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74.xml" ContentType="application/vnd.openxmlformats-officedocument.spreadsheetml.worksheet+xml"/>
  <Override PartName="/xl/worksheets/sheet1.xml" ContentType="application/vnd.openxmlformats-officedocument.spreadsheetml.worksheet+xml"/>
  <Override PartName="/xl/worksheets/sheet72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45.xml" ContentType="application/vnd.openxmlformats-officedocument.spreadsheetml.worksheet+xml"/>
  <Override PartName="/xl/worksheets/sheet44.xml" ContentType="application/vnd.openxmlformats-officedocument.spreadsheetml.worksheet+xml"/>
  <Override PartName="/xl/worksheets/sheet43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2.xml" ContentType="application/vnd.openxmlformats-officedocument.spreadsheetml.worksheet+xml"/>
  <Override PartName="/xl/worksheets/sheet61.xml" ContentType="application/vnd.openxmlformats-officedocument.spreadsheetml.worksheet+xml"/>
  <Override PartName="/xl/worksheets/sheet60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68.xml" ContentType="application/vnd.openxmlformats-officedocument.spreadsheetml.worksheet+xml"/>
  <Override PartName="/xl/worksheets/sheet73.xml" ContentType="application/vnd.openxmlformats-officedocument.spreadsheetml.worksheet+xml"/>
  <Override PartName="/xl/worksheets/sheet7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9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4.xml" ContentType="application/vnd.openxmlformats-officedocument.customXml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5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120" yWindow="120" windowWidth="15480" windowHeight="11640" tabRatio="950"/>
  </bookViews>
  <sheets>
    <sheet name="فهرس " sheetId="77" r:id="rId1"/>
    <sheet name="1-1" sheetId="14" r:id="rId2"/>
    <sheet name="1-2" sheetId="13" r:id="rId3"/>
    <sheet name="1-3" sheetId="12" r:id="rId4"/>
    <sheet name="1-4" sheetId="11" r:id="rId5"/>
    <sheet name="1-5" sheetId="10" r:id="rId6"/>
    <sheet name="1-6" sheetId="9" r:id="rId7"/>
    <sheet name="1-7" sheetId="8" r:id="rId8"/>
    <sheet name="1-8" sheetId="7" r:id="rId9"/>
    <sheet name="1-9" sheetId="6" r:id="rId10"/>
    <sheet name="1-10" sheetId="5" r:id="rId11"/>
    <sheet name="1-11" sheetId="4" r:id="rId12"/>
    <sheet name="2-1" sheetId="15" r:id="rId13"/>
    <sheet name="2-2" sheetId="16" r:id="rId14"/>
    <sheet name="2-3" sheetId="17" r:id="rId15"/>
    <sheet name="2-4" sheetId="18" r:id="rId16"/>
    <sheet name="2-5" sheetId="19" r:id="rId17"/>
    <sheet name="2-6" sheetId="20" r:id="rId18"/>
    <sheet name="2-7" sheetId="21" r:id="rId19"/>
    <sheet name="2-8" sheetId="22" r:id="rId20"/>
    <sheet name="2-9" sheetId="23" r:id="rId21"/>
    <sheet name="3-1" sheetId="24" r:id="rId22"/>
    <sheet name="3-2" sheetId="25" r:id="rId23"/>
    <sheet name="3-3" sheetId="26" r:id="rId24"/>
    <sheet name="3-4" sheetId="27" r:id="rId25"/>
    <sheet name="3-5" sheetId="28" r:id="rId26"/>
    <sheet name="3-6" sheetId="29" r:id="rId27"/>
    <sheet name="3-7" sheetId="30" r:id="rId28"/>
    <sheet name="3-8" sheetId="31" r:id="rId29"/>
    <sheet name="3-9" sheetId="32" r:id="rId30"/>
    <sheet name="4-1" sheetId="33" r:id="rId31"/>
    <sheet name="4-2" sheetId="34" r:id="rId32"/>
    <sheet name="ST4_3" sheetId="35" r:id="rId33"/>
    <sheet name="4-4" sheetId="36" r:id="rId34"/>
    <sheet name="4-5" sheetId="37" r:id="rId35"/>
    <sheet name="4-6" sheetId="38" r:id="rId36"/>
    <sheet name="4-7" sheetId="39" r:id="rId37"/>
    <sheet name="4-8" sheetId="40" r:id="rId38"/>
    <sheet name="4-9" sheetId="41" r:id="rId39"/>
    <sheet name="5-1" sheetId="42" r:id="rId40"/>
    <sheet name="5-2" sheetId="43" r:id="rId41"/>
    <sheet name="5-3" sheetId="44" r:id="rId42"/>
    <sheet name="5-4" sheetId="45" r:id="rId43"/>
    <sheet name="6-1" sheetId="46" r:id="rId44"/>
    <sheet name="6-2" sheetId="47" r:id="rId45"/>
    <sheet name="6-3" sheetId="48" r:id="rId46"/>
    <sheet name="6-4" sheetId="49" r:id="rId47"/>
    <sheet name="7-1" sheetId="50" r:id="rId48"/>
    <sheet name="7-2" sheetId="51" r:id="rId49"/>
    <sheet name="7-3" sheetId="52" r:id="rId50"/>
    <sheet name="7-4" sheetId="53" r:id="rId51"/>
    <sheet name="7-5" sheetId="54" r:id="rId52"/>
    <sheet name="7-6" sheetId="55" r:id="rId53"/>
    <sheet name="7-7" sheetId="56" r:id="rId54"/>
    <sheet name="7-8" sheetId="57" r:id="rId55"/>
    <sheet name="7-9" sheetId="58" r:id="rId56"/>
    <sheet name="8-1" sheetId="59" r:id="rId57"/>
    <sheet name="8-2" sheetId="60" r:id="rId58"/>
    <sheet name="8-3" sheetId="61" r:id="rId59"/>
    <sheet name="8-4" sheetId="62" r:id="rId60"/>
    <sheet name="8-5" sheetId="63" r:id="rId61"/>
    <sheet name="8-6" sheetId="64" r:id="rId62"/>
    <sheet name="8-7" sheetId="65" r:id="rId63"/>
    <sheet name="8-8" sheetId="66" r:id="rId64"/>
    <sheet name="8-9" sheetId="67" r:id="rId65"/>
    <sheet name="9-1" sheetId="68" r:id="rId66"/>
    <sheet name="9-2" sheetId="69" r:id="rId67"/>
    <sheet name="9-3" sheetId="70" r:id="rId68"/>
    <sheet name="9-4" sheetId="71" r:id="rId69"/>
    <sheet name="9-5" sheetId="72" r:id="rId70"/>
    <sheet name="9-6" sheetId="73" r:id="rId71"/>
    <sheet name="9-7" sheetId="74" r:id="rId72"/>
    <sheet name="9-8" sheetId="75" r:id="rId73"/>
    <sheet name="9-9" sheetId="76" r:id="rId74"/>
  </sheets>
  <definedNames>
    <definedName name="_xlnm._FilterDatabase" localSheetId="10" hidden="1">'1-10'!$B$3:$L$37</definedName>
    <definedName name="_xlnm._FilterDatabase" localSheetId="2" hidden="1">'1-2'!$F$3:$T$88</definedName>
    <definedName name="_xlnm._FilterDatabase" localSheetId="3" hidden="1">'1-3'!$C$3:$P$79</definedName>
    <definedName name="_xlnm._FilterDatabase" localSheetId="6" hidden="1">'1-6'!$C$3:$I$72</definedName>
    <definedName name="_xlnm._FilterDatabase" localSheetId="7" hidden="1">'1-7'!$D$3:$K$129</definedName>
    <definedName name="_xlnm._FilterDatabase" localSheetId="8" hidden="1">'1-8'!$C$3:$J$33</definedName>
    <definedName name="_xlnm._FilterDatabase" localSheetId="15" hidden="1">'2-4'!$C$4:$M$76</definedName>
    <definedName name="_xlnm._FilterDatabase" localSheetId="19" hidden="1">'2-8'!$B$5:$L$5</definedName>
    <definedName name="_xlnm._FilterDatabase" localSheetId="23" hidden="1">'3-3'!$C$3:$M$79</definedName>
    <definedName name="_xlnm._FilterDatabase" localSheetId="24" hidden="1">'3-4'!$C$3:$M$73</definedName>
    <definedName name="_xlnm._FilterDatabase" localSheetId="33" hidden="1">'4-4'!$C$3:$M$76</definedName>
    <definedName name="_xlnm._FilterDatabase" localSheetId="50" hidden="1">'7-4'!$C$2:$L$92</definedName>
    <definedName name="_xlnm._FilterDatabase" localSheetId="51" hidden="1">'7-5'!$C$2:$L$92</definedName>
    <definedName name="_xlnm._FilterDatabase" localSheetId="53" hidden="1">'7-7'!$B$3:$N$93</definedName>
    <definedName name="_xlnm._FilterDatabase" localSheetId="54" hidden="1">'7-8'!$B$3:$N$93</definedName>
    <definedName name="_xlnm._FilterDatabase" localSheetId="55" hidden="1">'7-9'!$C$2:$O$92</definedName>
    <definedName name="_xlnm._FilterDatabase" localSheetId="59" hidden="1">'8-4'!$C$2:$L$92</definedName>
    <definedName name="_xlnm._FilterDatabase" localSheetId="60" hidden="1">'8-5'!$C$2:$L$92</definedName>
    <definedName name="_xlnm._FilterDatabase" localSheetId="61" hidden="1">'8-6'!$C$2:$L$92</definedName>
    <definedName name="_xlnm._FilterDatabase" localSheetId="62" hidden="1">'8-7'!$C$2:$O$92</definedName>
    <definedName name="_xlnm._FilterDatabase" localSheetId="63" hidden="1">'8-8'!$C$2:$O$92</definedName>
    <definedName name="_xlnm._FilterDatabase" localSheetId="64" hidden="1">'8-9'!$C$2:$O$92</definedName>
    <definedName name="_xlnm._FilterDatabase" localSheetId="32" hidden="1">ST4_3!$C$3:$M$76</definedName>
    <definedName name="_xlnm.Print_Area" localSheetId="11">'1-11'!$B$1:$L$106</definedName>
    <definedName name="_xlnm.Print_Area" localSheetId="2">'1-2'!$F$1:$T$88</definedName>
    <definedName name="_xlnm.Print_Area" localSheetId="3">'1-3'!$C$1:$P$79</definedName>
    <definedName name="_xlnm.Print_Area" localSheetId="12">'2-1'!$B$1:$K$29</definedName>
    <definedName name="_xlnm.Print_Area" localSheetId="13">'2-2'!$B$1:$K$26</definedName>
    <definedName name="_xlnm.Print_Area" localSheetId="15">'2-4'!$C$1:$M$76</definedName>
    <definedName name="_xlnm.Print_Area" localSheetId="17">'2-6'!$C$1:$M$71</definedName>
    <definedName name="_xlnm.Print_Area" localSheetId="18">'2-7'!$B$1:$K$208</definedName>
    <definedName name="_xlnm.Print_Area" localSheetId="19">'2-8'!$B$1:$L$1083</definedName>
    <definedName name="_xlnm.Print_Area" localSheetId="20">'2-9'!$B$1:$L$378</definedName>
    <definedName name="_xlnm.Print_Area" localSheetId="21">'3-1'!$C$1:$L$29</definedName>
    <definedName name="_xlnm.Print_Area" localSheetId="22">'3-2'!$C$1:$L$28</definedName>
    <definedName name="_xlnm.Print_Area" localSheetId="24">'3-4'!$C$1:$M$73</definedName>
    <definedName name="_xlnm.Print_Area" localSheetId="27">'3-7'!$B$1:$K$212</definedName>
    <definedName name="_xlnm.Print_Area" localSheetId="28">'3-8'!$B$1:$L$1152</definedName>
    <definedName name="_xlnm.Print_Area" localSheetId="29">'3-9'!$C$1:$M$387</definedName>
    <definedName name="_xlnm.Print_Area" localSheetId="30">'4-1'!$C$1:$L$29</definedName>
    <definedName name="_xlnm.Print_Area" localSheetId="31">'4-2'!$D$1:$M$25</definedName>
    <definedName name="_xlnm.Print_Area" localSheetId="33">'4-4'!$C$1:$M$76</definedName>
    <definedName name="_xlnm.Print_Area" localSheetId="36">'4-7'!$B$1:$K$181</definedName>
    <definedName name="_xlnm.Print_Area" localSheetId="37">'4-8'!$B$1:$L$826</definedName>
    <definedName name="_xlnm.Print_Area" localSheetId="38">'4-9'!$B$1:$L$315</definedName>
    <definedName name="_xlnm.Print_Area" localSheetId="39">'5-1'!$C$1:$S$82</definedName>
    <definedName name="_xlnm.Print_Area" localSheetId="40">'5-2'!$B$1:$R$1261</definedName>
    <definedName name="_xlnm.Print_Area" localSheetId="41">'5-3'!$D$1:$Q$82</definedName>
    <definedName name="_xlnm.Print_Area" localSheetId="42">'5-4'!$B$1:$O$1261</definedName>
    <definedName name="_xlnm.Print_Area" localSheetId="43">'6-1'!$D$1:$M$30</definedName>
    <definedName name="_xlnm.Print_Area" localSheetId="44">'6-2'!$C$1:$L$398</definedName>
    <definedName name="_xlnm.Print_Area" localSheetId="45">'6-3'!$B$1:$U$83</definedName>
    <definedName name="_xlnm.Print_Area" localSheetId="56">'8-1'!$C$1:$L$83</definedName>
    <definedName name="_xlnm.Print_Area" localSheetId="65">'9-1'!$B$1:$K$37</definedName>
    <definedName name="_xlnm.Print_Area" localSheetId="66">'9-2'!$B$1:$K$37</definedName>
    <definedName name="_xlnm.Print_Area" localSheetId="67">'9-3'!$B$1:$K$37</definedName>
    <definedName name="_xlnm.Print_Area" localSheetId="69">'9-5'!$B$1:$K$73</definedName>
    <definedName name="_xlnm.Print_Area" localSheetId="70">'9-6'!$B$1:$K$34</definedName>
    <definedName name="_xlnm.Print_Area" localSheetId="0">'فهرس '!$A$1:$C$86</definedName>
    <definedName name="_xlnm.Print_Titles" localSheetId="2">'1-2'!$1:$4</definedName>
    <definedName name="_xlnm.Print_Titles" localSheetId="7">'1-7'!$1:$1</definedName>
    <definedName name="_xlnm.Print_Titles" localSheetId="13">'2-2'!$1:$4</definedName>
    <definedName name="_xlnm.Print_Titles" localSheetId="15">'2-4'!$1:$4</definedName>
    <definedName name="_xlnm.Print_Titles" localSheetId="17">'2-6'!$1:$4</definedName>
    <definedName name="_xlnm.Print_Titles" localSheetId="18">'2-7'!$2:$2</definedName>
    <definedName name="_xlnm.Print_Titles" localSheetId="19">'2-8'!$2:$2</definedName>
    <definedName name="_xlnm.Print_Titles" localSheetId="20">'2-9'!$2:$2</definedName>
    <definedName name="_xlnm.Print_Titles" localSheetId="23">'3-3'!$C$1:$IX$4</definedName>
    <definedName name="_xlnm.Print_Titles" localSheetId="27">'3-7'!$2:$2</definedName>
    <definedName name="_xlnm.Print_Titles" localSheetId="28">'3-8'!$2:$2</definedName>
    <definedName name="_xlnm.Print_Titles" localSheetId="29">'3-9'!$2:$2</definedName>
    <definedName name="_xlnm.Print_Titles" localSheetId="36">'4-7'!$2:$2</definedName>
    <definedName name="_xlnm.Print_Titles" localSheetId="38">'4-9'!$2:$2</definedName>
    <definedName name="_xlnm.Print_Titles" localSheetId="39">'5-1'!$3:$4</definedName>
    <definedName name="_xlnm.Print_Titles" localSheetId="45">'6-3'!$4:$5</definedName>
  </definedNames>
  <calcPr calcId="145621"/>
</workbook>
</file>

<file path=xl/calcChain.xml><?xml version="1.0" encoding="utf-8"?>
<calcChain xmlns="http://schemas.openxmlformats.org/spreadsheetml/2006/main">
  <c r="L32" i="76" l="1"/>
  <c r="K32" i="76"/>
  <c r="J32" i="76"/>
  <c r="I32" i="76"/>
  <c r="H32" i="76"/>
  <c r="G32" i="76"/>
  <c r="F32" i="76"/>
  <c r="E32" i="76"/>
  <c r="D32" i="76"/>
  <c r="C32" i="76"/>
  <c r="L31" i="76"/>
  <c r="K31" i="76"/>
  <c r="J31" i="76"/>
  <c r="I31" i="76"/>
  <c r="H31" i="76"/>
  <c r="G31" i="76"/>
  <c r="F31" i="76"/>
  <c r="E31" i="76"/>
  <c r="D31" i="76"/>
  <c r="C31" i="76"/>
  <c r="L30" i="76"/>
  <c r="K30" i="76"/>
  <c r="J30" i="76"/>
  <c r="I30" i="76"/>
  <c r="H30" i="76"/>
  <c r="G30" i="76"/>
  <c r="F30" i="76"/>
  <c r="E30" i="76"/>
  <c r="D30" i="76"/>
  <c r="C30" i="76"/>
  <c r="B29" i="76"/>
  <c r="B28" i="76"/>
  <c r="B30" i="76" s="1"/>
  <c r="L27" i="76"/>
  <c r="K27" i="76"/>
  <c r="J27" i="76"/>
  <c r="I27" i="76"/>
  <c r="H27" i="76"/>
  <c r="G27" i="76"/>
  <c r="F27" i="76"/>
  <c r="E27" i="76"/>
  <c r="D27" i="76"/>
  <c r="C27" i="76"/>
  <c r="B26" i="76"/>
  <c r="B25" i="76"/>
  <c r="B27" i="76" s="1"/>
  <c r="L24" i="76"/>
  <c r="K24" i="76"/>
  <c r="J24" i="76"/>
  <c r="I24" i="76"/>
  <c r="H24" i="76"/>
  <c r="G24" i="76"/>
  <c r="F24" i="76"/>
  <c r="E24" i="76"/>
  <c r="D24" i="76"/>
  <c r="C24" i="76"/>
  <c r="B23" i="76"/>
  <c r="B22" i="76"/>
  <c r="B24" i="76" s="1"/>
  <c r="L21" i="76"/>
  <c r="K21" i="76"/>
  <c r="J21" i="76"/>
  <c r="I21" i="76"/>
  <c r="H21" i="76"/>
  <c r="G21" i="76"/>
  <c r="F21" i="76"/>
  <c r="E21" i="76"/>
  <c r="D21" i="76"/>
  <c r="C21" i="76"/>
  <c r="B20" i="76"/>
  <c r="B19" i="76"/>
  <c r="B21" i="76" s="1"/>
  <c r="L18" i="76"/>
  <c r="K18" i="76"/>
  <c r="J18" i="76"/>
  <c r="I18" i="76"/>
  <c r="H18" i="76"/>
  <c r="G18" i="76"/>
  <c r="F18" i="76"/>
  <c r="E18" i="76"/>
  <c r="D18" i="76"/>
  <c r="C18" i="76"/>
  <c r="B17" i="76"/>
  <c r="B16" i="76"/>
  <c r="B18" i="76" s="1"/>
  <c r="L15" i="76"/>
  <c r="K15" i="76"/>
  <c r="J15" i="76"/>
  <c r="I15" i="76"/>
  <c r="H15" i="76"/>
  <c r="G15" i="76"/>
  <c r="F15" i="76"/>
  <c r="E15" i="76"/>
  <c r="D15" i="76"/>
  <c r="C15" i="76"/>
  <c r="B14" i="76"/>
  <c r="B13" i="76"/>
  <c r="B15" i="76" s="1"/>
  <c r="L12" i="76"/>
  <c r="K12" i="76"/>
  <c r="J12" i="76"/>
  <c r="I12" i="76"/>
  <c r="H12" i="76"/>
  <c r="G12" i="76"/>
  <c r="F12" i="76"/>
  <c r="E12" i="76"/>
  <c r="D12" i="76"/>
  <c r="C12" i="76"/>
  <c r="B11" i="76"/>
  <c r="B10" i="76"/>
  <c r="B12" i="76" s="1"/>
  <c r="L9" i="76"/>
  <c r="K9" i="76"/>
  <c r="J9" i="76"/>
  <c r="I9" i="76"/>
  <c r="H9" i="76"/>
  <c r="G9" i="76"/>
  <c r="F9" i="76"/>
  <c r="E9" i="76"/>
  <c r="D9" i="76"/>
  <c r="C9" i="76"/>
  <c r="B8" i="76"/>
  <c r="B7" i="76"/>
  <c r="B9" i="76" s="1"/>
  <c r="L6" i="76"/>
  <c r="L33" i="76" s="1"/>
  <c r="K6" i="76"/>
  <c r="K33" i="76" s="1"/>
  <c r="J6" i="76"/>
  <c r="J33" i="76" s="1"/>
  <c r="I6" i="76"/>
  <c r="I33" i="76" s="1"/>
  <c r="H6" i="76"/>
  <c r="H33" i="76" s="1"/>
  <c r="G6" i="76"/>
  <c r="G33" i="76" s="1"/>
  <c r="F6" i="76"/>
  <c r="F33" i="76" s="1"/>
  <c r="E6" i="76"/>
  <c r="E33" i="76" s="1"/>
  <c r="D6" i="76"/>
  <c r="D33" i="76" s="1"/>
  <c r="C6" i="76"/>
  <c r="C33" i="76" s="1"/>
  <c r="B5" i="76"/>
  <c r="B32" i="76" s="1"/>
  <c r="B4" i="76"/>
  <c r="B6" i="76" s="1"/>
  <c r="B33" i="76" s="1"/>
  <c r="L71" i="75"/>
  <c r="K71" i="75"/>
  <c r="J71" i="75"/>
  <c r="I71" i="75"/>
  <c r="H71" i="75"/>
  <c r="G71" i="75"/>
  <c r="F71" i="75"/>
  <c r="E71" i="75"/>
  <c r="D71" i="75"/>
  <c r="C71" i="75"/>
  <c r="L70" i="75"/>
  <c r="K70" i="75"/>
  <c r="J70" i="75"/>
  <c r="I70" i="75"/>
  <c r="H70" i="75"/>
  <c r="G70" i="75"/>
  <c r="F70" i="75"/>
  <c r="E70" i="75"/>
  <c r="D70" i="75"/>
  <c r="C70" i="75"/>
  <c r="L69" i="75"/>
  <c r="K69" i="75"/>
  <c r="J69" i="75"/>
  <c r="I69" i="75"/>
  <c r="H69" i="75"/>
  <c r="G69" i="75"/>
  <c r="F69" i="75"/>
  <c r="E69" i="75"/>
  <c r="D69" i="75"/>
  <c r="C69" i="75"/>
  <c r="B68" i="75"/>
  <c r="B67" i="75"/>
  <c r="B69" i="75" s="1"/>
  <c r="L66" i="75"/>
  <c r="K66" i="75"/>
  <c r="J66" i="75"/>
  <c r="I66" i="75"/>
  <c r="H66" i="75"/>
  <c r="G66" i="75"/>
  <c r="F66" i="75"/>
  <c r="E66" i="75"/>
  <c r="D66" i="75"/>
  <c r="C66" i="75"/>
  <c r="B65" i="75"/>
  <c r="B64" i="75"/>
  <c r="B66" i="75" s="1"/>
  <c r="L63" i="75"/>
  <c r="K63" i="75"/>
  <c r="J63" i="75"/>
  <c r="I63" i="75"/>
  <c r="H63" i="75"/>
  <c r="G63" i="75"/>
  <c r="F63" i="75"/>
  <c r="E63" i="75"/>
  <c r="D63" i="75"/>
  <c r="C63" i="75"/>
  <c r="B62" i="75"/>
  <c r="B61" i="75"/>
  <c r="B63" i="75" s="1"/>
  <c r="L60" i="75"/>
  <c r="K60" i="75"/>
  <c r="J60" i="75"/>
  <c r="I60" i="75"/>
  <c r="H60" i="75"/>
  <c r="G60" i="75"/>
  <c r="F60" i="75"/>
  <c r="E60" i="75"/>
  <c r="D60" i="75"/>
  <c r="C60" i="75"/>
  <c r="B59" i="75"/>
  <c r="B58" i="75"/>
  <c r="B60" i="75" s="1"/>
  <c r="L57" i="75"/>
  <c r="K57" i="75"/>
  <c r="J57" i="75"/>
  <c r="I57" i="75"/>
  <c r="H57" i="75"/>
  <c r="G57" i="75"/>
  <c r="F57" i="75"/>
  <c r="E57" i="75"/>
  <c r="D57" i="75"/>
  <c r="C57" i="75"/>
  <c r="B56" i="75"/>
  <c r="B55" i="75"/>
  <c r="B57" i="75" s="1"/>
  <c r="L54" i="75"/>
  <c r="K54" i="75"/>
  <c r="J54" i="75"/>
  <c r="I54" i="75"/>
  <c r="H54" i="75"/>
  <c r="G54" i="75"/>
  <c r="F54" i="75"/>
  <c r="E54" i="75"/>
  <c r="D54" i="75"/>
  <c r="C54" i="75"/>
  <c r="B53" i="75"/>
  <c r="B52" i="75"/>
  <c r="B54" i="75" s="1"/>
  <c r="L51" i="75"/>
  <c r="K51" i="75"/>
  <c r="J51" i="75"/>
  <c r="I51" i="75"/>
  <c r="H51" i="75"/>
  <c r="G51" i="75"/>
  <c r="F51" i="75"/>
  <c r="E51" i="75"/>
  <c r="D51" i="75"/>
  <c r="C51" i="75"/>
  <c r="B50" i="75"/>
  <c r="B49" i="75"/>
  <c r="B51" i="75" s="1"/>
  <c r="L48" i="75"/>
  <c r="K48" i="75"/>
  <c r="J48" i="75"/>
  <c r="I48" i="75"/>
  <c r="H48" i="75"/>
  <c r="G48" i="75"/>
  <c r="F48" i="75"/>
  <c r="E48" i="75"/>
  <c r="D48" i="75"/>
  <c r="C48" i="75"/>
  <c r="B47" i="75"/>
  <c r="B46" i="75"/>
  <c r="B48" i="75" s="1"/>
  <c r="L45" i="75"/>
  <c r="K45" i="75"/>
  <c r="J45" i="75"/>
  <c r="I45" i="75"/>
  <c r="H45" i="75"/>
  <c r="G45" i="75"/>
  <c r="F45" i="75"/>
  <c r="E45" i="75"/>
  <c r="D45" i="75"/>
  <c r="C45" i="75"/>
  <c r="B44" i="75"/>
  <c r="B43" i="75"/>
  <c r="B45" i="75" s="1"/>
  <c r="L42" i="75"/>
  <c r="K42" i="75"/>
  <c r="J42" i="75"/>
  <c r="I42" i="75"/>
  <c r="H42" i="75"/>
  <c r="G42" i="75"/>
  <c r="F42" i="75"/>
  <c r="E42" i="75"/>
  <c r="D42" i="75"/>
  <c r="C42" i="75"/>
  <c r="B41" i="75"/>
  <c r="B40" i="75"/>
  <c r="B42" i="75" s="1"/>
  <c r="L39" i="75"/>
  <c r="K39" i="75"/>
  <c r="J39" i="75"/>
  <c r="I39" i="75"/>
  <c r="H39" i="75"/>
  <c r="G39" i="75"/>
  <c r="F39" i="75"/>
  <c r="E39" i="75"/>
  <c r="D39" i="75"/>
  <c r="C39" i="75"/>
  <c r="B38" i="75"/>
  <c r="B37" i="75"/>
  <c r="B39" i="75" s="1"/>
  <c r="L36" i="75"/>
  <c r="K36" i="75"/>
  <c r="J36" i="75"/>
  <c r="I36" i="75"/>
  <c r="H36" i="75"/>
  <c r="G36" i="75"/>
  <c r="F36" i="75"/>
  <c r="E36" i="75"/>
  <c r="D36" i="75"/>
  <c r="C36" i="75"/>
  <c r="B35" i="75"/>
  <c r="B34" i="75"/>
  <c r="B36" i="75" s="1"/>
  <c r="L33" i="75"/>
  <c r="K33" i="75"/>
  <c r="J33" i="75"/>
  <c r="I33" i="75"/>
  <c r="H33" i="75"/>
  <c r="G33" i="75"/>
  <c r="F33" i="75"/>
  <c r="E33" i="75"/>
  <c r="D33" i="75"/>
  <c r="C33" i="75"/>
  <c r="B32" i="75"/>
  <c r="B31" i="75"/>
  <c r="B33" i="75" s="1"/>
  <c r="L30" i="75"/>
  <c r="K30" i="75"/>
  <c r="J30" i="75"/>
  <c r="I30" i="75"/>
  <c r="H30" i="75"/>
  <c r="G30" i="75"/>
  <c r="F30" i="75"/>
  <c r="E30" i="75"/>
  <c r="D30" i="75"/>
  <c r="C30" i="75"/>
  <c r="B29" i="75"/>
  <c r="B28" i="75"/>
  <c r="B30" i="75" s="1"/>
  <c r="L27" i="75"/>
  <c r="K27" i="75"/>
  <c r="J27" i="75"/>
  <c r="I27" i="75"/>
  <c r="H27" i="75"/>
  <c r="G27" i="75"/>
  <c r="F27" i="75"/>
  <c r="E27" i="75"/>
  <c r="D27" i="75"/>
  <c r="C27" i="75"/>
  <c r="B26" i="75"/>
  <c r="B25" i="75"/>
  <c r="B27" i="75" s="1"/>
  <c r="L24" i="75"/>
  <c r="K24" i="75"/>
  <c r="J24" i="75"/>
  <c r="I24" i="75"/>
  <c r="H24" i="75"/>
  <c r="G24" i="75"/>
  <c r="F24" i="75"/>
  <c r="E24" i="75"/>
  <c r="D24" i="75"/>
  <c r="C24" i="75"/>
  <c r="B23" i="75"/>
  <c r="B22" i="75"/>
  <c r="B24" i="75" s="1"/>
  <c r="L21" i="75"/>
  <c r="K21" i="75"/>
  <c r="J21" i="75"/>
  <c r="I21" i="75"/>
  <c r="H21" i="75"/>
  <c r="G21" i="75"/>
  <c r="F21" i="75"/>
  <c r="E21" i="75"/>
  <c r="D21" i="75"/>
  <c r="C21" i="75"/>
  <c r="B20" i="75"/>
  <c r="B19" i="75"/>
  <c r="B21" i="75" s="1"/>
  <c r="L18" i="75"/>
  <c r="K18" i="75"/>
  <c r="J18" i="75"/>
  <c r="I18" i="75"/>
  <c r="H18" i="75"/>
  <c r="G18" i="75"/>
  <c r="F18" i="75"/>
  <c r="E18" i="75"/>
  <c r="D18" i="75"/>
  <c r="C18" i="75"/>
  <c r="B17" i="75"/>
  <c r="B16" i="75"/>
  <c r="B18" i="75" s="1"/>
  <c r="L15" i="75"/>
  <c r="K15" i="75"/>
  <c r="J15" i="75"/>
  <c r="I15" i="75"/>
  <c r="H15" i="75"/>
  <c r="G15" i="75"/>
  <c r="F15" i="75"/>
  <c r="E15" i="75"/>
  <c r="D15" i="75"/>
  <c r="C15" i="75"/>
  <c r="B14" i="75"/>
  <c r="B13" i="75"/>
  <c r="B15" i="75" s="1"/>
  <c r="L12" i="75"/>
  <c r="K12" i="75"/>
  <c r="J12" i="75"/>
  <c r="I12" i="75"/>
  <c r="H12" i="75"/>
  <c r="G12" i="75"/>
  <c r="F12" i="75"/>
  <c r="E12" i="75"/>
  <c r="D12" i="75"/>
  <c r="C12" i="75"/>
  <c r="B11" i="75"/>
  <c r="B10" i="75"/>
  <c r="B12" i="75" s="1"/>
  <c r="L9" i="75"/>
  <c r="K9" i="75"/>
  <c r="J9" i="75"/>
  <c r="I9" i="75"/>
  <c r="H9" i="75"/>
  <c r="G9" i="75"/>
  <c r="F9" i="75"/>
  <c r="E9" i="75"/>
  <c r="D9" i="75"/>
  <c r="C9" i="75"/>
  <c r="B8" i="75"/>
  <c r="B7" i="75"/>
  <c r="B9" i="75" s="1"/>
  <c r="L6" i="75"/>
  <c r="L72" i="75" s="1"/>
  <c r="K6" i="75"/>
  <c r="K72" i="75" s="1"/>
  <c r="J6" i="75"/>
  <c r="J72" i="75" s="1"/>
  <c r="I6" i="75"/>
  <c r="I72" i="75" s="1"/>
  <c r="H6" i="75"/>
  <c r="H72" i="75" s="1"/>
  <c r="G6" i="75"/>
  <c r="G72" i="75" s="1"/>
  <c r="F6" i="75"/>
  <c r="F72" i="75" s="1"/>
  <c r="E6" i="75"/>
  <c r="E72" i="75" s="1"/>
  <c r="D6" i="75"/>
  <c r="D72" i="75" s="1"/>
  <c r="C6" i="75"/>
  <c r="C72" i="75" s="1"/>
  <c r="B5" i="75"/>
  <c r="B71" i="75" s="1"/>
  <c r="B4" i="75"/>
  <c r="B70" i="75" s="1"/>
  <c r="L71" i="74"/>
  <c r="K71" i="74"/>
  <c r="J71" i="74"/>
  <c r="I71" i="74"/>
  <c r="H71" i="74"/>
  <c r="G71" i="74"/>
  <c r="F71" i="74"/>
  <c r="E71" i="74"/>
  <c r="D71" i="74"/>
  <c r="C71" i="74"/>
  <c r="L70" i="74"/>
  <c r="K70" i="74"/>
  <c r="J70" i="74"/>
  <c r="I70" i="74"/>
  <c r="H70" i="74"/>
  <c r="G70" i="74"/>
  <c r="F70" i="74"/>
  <c r="E70" i="74"/>
  <c r="D70" i="74"/>
  <c r="C70" i="74"/>
  <c r="L69" i="74"/>
  <c r="K69" i="74"/>
  <c r="J69" i="74"/>
  <c r="I69" i="74"/>
  <c r="H69" i="74"/>
  <c r="G69" i="74"/>
  <c r="F69" i="74"/>
  <c r="E69" i="74"/>
  <c r="D69" i="74"/>
  <c r="C69" i="74"/>
  <c r="B68" i="74"/>
  <c r="B67" i="74"/>
  <c r="B69" i="74" s="1"/>
  <c r="L66" i="74"/>
  <c r="K66" i="74"/>
  <c r="J66" i="74"/>
  <c r="I66" i="74"/>
  <c r="H66" i="74"/>
  <c r="G66" i="74"/>
  <c r="F66" i="74"/>
  <c r="E66" i="74"/>
  <c r="D66" i="74"/>
  <c r="C66" i="74"/>
  <c r="B65" i="74"/>
  <c r="B64" i="74"/>
  <c r="B66" i="74" s="1"/>
  <c r="L63" i="74"/>
  <c r="K63" i="74"/>
  <c r="J63" i="74"/>
  <c r="I63" i="74"/>
  <c r="H63" i="74"/>
  <c r="G63" i="74"/>
  <c r="F63" i="74"/>
  <c r="E63" i="74"/>
  <c r="D63" i="74"/>
  <c r="C63" i="74"/>
  <c r="B62" i="74"/>
  <c r="B61" i="74"/>
  <c r="B63" i="74" s="1"/>
  <c r="L60" i="74"/>
  <c r="K60" i="74"/>
  <c r="J60" i="74"/>
  <c r="I60" i="74"/>
  <c r="H60" i="74"/>
  <c r="G60" i="74"/>
  <c r="F60" i="74"/>
  <c r="E60" i="74"/>
  <c r="D60" i="74"/>
  <c r="C60" i="74"/>
  <c r="B59" i="74"/>
  <c r="B58" i="74"/>
  <c r="B60" i="74" s="1"/>
  <c r="L57" i="74"/>
  <c r="K57" i="74"/>
  <c r="J57" i="74"/>
  <c r="I57" i="74"/>
  <c r="H57" i="74"/>
  <c r="G57" i="74"/>
  <c r="F57" i="74"/>
  <c r="E57" i="74"/>
  <c r="D57" i="74"/>
  <c r="C57" i="74"/>
  <c r="B56" i="74"/>
  <c r="B55" i="74"/>
  <c r="B57" i="74" s="1"/>
  <c r="L54" i="74"/>
  <c r="K54" i="74"/>
  <c r="J54" i="74"/>
  <c r="I54" i="74"/>
  <c r="H54" i="74"/>
  <c r="G54" i="74"/>
  <c r="F54" i="74"/>
  <c r="E54" i="74"/>
  <c r="D54" i="74"/>
  <c r="C54" i="74"/>
  <c r="B53" i="74"/>
  <c r="B52" i="74"/>
  <c r="B54" i="74" s="1"/>
  <c r="L51" i="74"/>
  <c r="K51" i="74"/>
  <c r="J51" i="74"/>
  <c r="I51" i="74"/>
  <c r="H51" i="74"/>
  <c r="G51" i="74"/>
  <c r="F51" i="74"/>
  <c r="E51" i="74"/>
  <c r="D51" i="74"/>
  <c r="C51" i="74"/>
  <c r="B50" i="74"/>
  <c r="B49" i="74"/>
  <c r="B51" i="74" s="1"/>
  <c r="L48" i="74"/>
  <c r="K48" i="74"/>
  <c r="J48" i="74"/>
  <c r="I48" i="74"/>
  <c r="H48" i="74"/>
  <c r="G48" i="74"/>
  <c r="F48" i="74"/>
  <c r="E48" i="74"/>
  <c r="D48" i="74"/>
  <c r="C48" i="74"/>
  <c r="B47" i="74"/>
  <c r="B46" i="74"/>
  <c r="B48" i="74" s="1"/>
  <c r="L45" i="74"/>
  <c r="K45" i="74"/>
  <c r="J45" i="74"/>
  <c r="I45" i="74"/>
  <c r="H45" i="74"/>
  <c r="G45" i="74"/>
  <c r="F45" i="74"/>
  <c r="E45" i="74"/>
  <c r="D45" i="74"/>
  <c r="C45" i="74"/>
  <c r="B44" i="74"/>
  <c r="B43" i="74"/>
  <c r="B45" i="74" s="1"/>
  <c r="L42" i="74"/>
  <c r="K42" i="74"/>
  <c r="J42" i="74"/>
  <c r="I42" i="74"/>
  <c r="H42" i="74"/>
  <c r="G42" i="74"/>
  <c r="F42" i="74"/>
  <c r="E42" i="74"/>
  <c r="D42" i="74"/>
  <c r="C42" i="74"/>
  <c r="B41" i="74"/>
  <c r="B40" i="74"/>
  <c r="B42" i="74" s="1"/>
  <c r="L39" i="74"/>
  <c r="K39" i="74"/>
  <c r="J39" i="74"/>
  <c r="I39" i="74"/>
  <c r="H39" i="74"/>
  <c r="G39" i="74"/>
  <c r="F39" i="74"/>
  <c r="E39" i="74"/>
  <c r="D39" i="74"/>
  <c r="C39" i="74"/>
  <c r="B38" i="74"/>
  <c r="B37" i="74"/>
  <c r="B39" i="74" s="1"/>
  <c r="L36" i="74"/>
  <c r="K36" i="74"/>
  <c r="J36" i="74"/>
  <c r="I36" i="74"/>
  <c r="H36" i="74"/>
  <c r="G36" i="74"/>
  <c r="F36" i="74"/>
  <c r="E36" i="74"/>
  <c r="D36" i="74"/>
  <c r="C36" i="74"/>
  <c r="B35" i="74"/>
  <c r="B34" i="74"/>
  <c r="B36" i="74" s="1"/>
  <c r="L33" i="74"/>
  <c r="K33" i="74"/>
  <c r="J33" i="74"/>
  <c r="I33" i="74"/>
  <c r="H33" i="74"/>
  <c r="G33" i="74"/>
  <c r="F33" i="74"/>
  <c r="E33" i="74"/>
  <c r="D33" i="74"/>
  <c r="C33" i="74"/>
  <c r="B32" i="74"/>
  <c r="B31" i="74"/>
  <c r="B33" i="74" s="1"/>
  <c r="L30" i="74"/>
  <c r="K30" i="74"/>
  <c r="J30" i="74"/>
  <c r="I30" i="74"/>
  <c r="H30" i="74"/>
  <c r="G30" i="74"/>
  <c r="F30" i="74"/>
  <c r="E30" i="74"/>
  <c r="D30" i="74"/>
  <c r="C30" i="74"/>
  <c r="B29" i="74"/>
  <c r="B28" i="74"/>
  <c r="B30" i="74" s="1"/>
  <c r="L27" i="74"/>
  <c r="K27" i="74"/>
  <c r="J27" i="74"/>
  <c r="I27" i="74"/>
  <c r="H27" i="74"/>
  <c r="G27" i="74"/>
  <c r="F27" i="74"/>
  <c r="E27" i="74"/>
  <c r="D27" i="74"/>
  <c r="C27" i="74"/>
  <c r="B26" i="74"/>
  <c r="B25" i="74"/>
  <c r="B27" i="74" s="1"/>
  <c r="L24" i="74"/>
  <c r="K24" i="74"/>
  <c r="J24" i="74"/>
  <c r="I24" i="74"/>
  <c r="H24" i="74"/>
  <c r="G24" i="74"/>
  <c r="F24" i="74"/>
  <c r="E24" i="74"/>
  <c r="D24" i="74"/>
  <c r="C24" i="74"/>
  <c r="B23" i="74"/>
  <c r="B22" i="74"/>
  <c r="B24" i="74" s="1"/>
  <c r="L21" i="74"/>
  <c r="K21" i="74"/>
  <c r="J21" i="74"/>
  <c r="I21" i="74"/>
  <c r="H21" i="74"/>
  <c r="G21" i="74"/>
  <c r="F21" i="74"/>
  <c r="E21" i="74"/>
  <c r="D21" i="74"/>
  <c r="C21" i="74"/>
  <c r="B20" i="74"/>
  <c r="B19" i="74"/>
  <c r="B21" i="74" s="1"/>
  <c r="L18" i="74"/>
  <c r="K18" i="74"/>
  <c r="J18" i="74"/>
  <c r="I18" i="74"/>
  <c r="H18" i="74"/>
  <c r="G18" i="74"/>
  <c r="F18" i="74"/>
  <c r="E18" i="74"/>
  <c r="D18" i="74"/>
  <c r="C18" i="74"/>
  <c r="B17" i="74"/>
  <c r="B16" i="74"/>
  <c r="B18" i="74" s="1"/>
  <c r="L15" i="74"/>
  <c r="K15" i="74"/>
  <c r="J15" i="74"/>
  <c r="I15" i="74"/>
  <c r="H15" i="74"/>
  <c r="G15" i="74"/>
  <c r="F15" i="74"/>
  <c r="E15" i="74"/>
  <c r="D15" i="74"/>
  <c r="C15" i="74"/>
  <c r="B14" i="74"/>
  <c r="B13" i="74"/>
  <c r="B15" i="74" s="1"/>
  <c r="L12" i="74"/>
  <c r="K12" i="74"/>
  <c r="J12" i="74"/>
  <c r="I12" i="74"/>
  <c r="H12" i="74"/>
  <c r="G12" i="74"/>
  <c r="F12" i="74"/>
  <c r="E12" i="74"/>
  <c r="D12" i="74"/>
  <c r="C12" i="74"/>
  <c r="B11" i="74"/>
  <c r="B10" i="74"/>
  <c r="B12" i="74" s="1"/>
  <c r="L9" i="74"/>
  <c r="K9" i="74"/>
  <c r="J9" i="74"/>
  <c r="I9" i="74"/>
  <c r="H9" i="74"/>
  <c r="G9" i="74"/>
  <c r="F9" i="74"/>
  <c r="E9" i="74"/>
  <c r="D9" i="74"/>
  <c r="C9" i="74"/>
  <c r="B8" i="74"/>
  <c r="B7" i="74"/>
  <c r="B9" i="74" s="1"/>
  <c r="L6" i="74"/>
  <c r="L72" i="74" s="1"/>
  <c r="K6" i="74"/>
  <c r="K72" i="74" s="1"/>
  <c r="J6" i="74"/>
  <c r="J72" i="74" s="1"/>
  <c r="I6" i="74"/>
  <c r="I72" i="74" s="1"/>
  <c r="H6" i="74"/>
  <c r="H72" i="74" s="1"/>
  <c r="G6" i="74"/>
  <c r="G72" i="74" s="1"/>
  <c r="F6" i="74"/>
  <c r="F72" i="74" s="1"/>
  <c r="E6" i="74"/>
  <c r="E72" i="74" s="1"/>
  <c r="D6" i="74"/>
  <c r="D72" i="74" s="1"/>
  <c r="C6" i="74"/>
  <c r="C72" i="74" s="1"/>
  <c r="B5" i="74"/>
  <c r="B71" i="74" s="1"/>
  <c r="B4" i="74"/>
  <c r="B70" i="74" s="1"/>
  <c r="I33" i="73"/>
  <c r="H33" i="73"/>
  <c r="G33" i="73"/>
  <c r="F33" i="73"/>
  <c r="E33" i="73"/>
  <c r="D33" i="73"/>
  <c r="C33" i="73"/>
  <c r="I32" i="73"/>
  <c r="H32" i="73"/>
  <c r="G32" i="73"/>
  <c r="F32" i="73"/>
  <c r="E32" i="73"/>
  <c r="D32" i="73"/>
  <c r="C32" i="73"/>
  <c r="I31" i="73"/>
  <c r="H31" i="73"/>
  <c r="G31" i="73"/>
  <c r="F31" i="73"/>
  <c r="E31" i="73"/>
  <c r="D31" i="73"/>
  <c r="C31" i="73"/>
  <c r="B30" i="73"/>
  <c r="B29" i="73"/>
  <c r="I28" i="73"/>
  <c r="H28" i="73"/>
  <c r="G28" i="73"/>
  <c r="F28" i="73"/>
  <c r="E28" i="73"/>
  <c r="D28" i="73"/>
  <c r="C28" i="73"/>
  <c r="B27" i="73"/>
  <c r="B26" i="73"/>
  <c r="I25" i="73"/>
  <c r="H25" i="73"/>
  <c r="G25" i="73"/>
  <c r="F25" i="73"/>
  <c r="E25" i="73"/>
  <c r="D25" i="73"/>
  <c r="C25" i="73"/>
  <c r="B24" i="73"/>
  <c r="B23" i="73"/>
  <c r="I22" i="73"/>
  <c r="H22" i="73"/>
  <c r="G22" i="73"/>
  <c r="F22" i="73"/>
  <c r="E22" i="73"/>
  <c r="D22" i="73"/>
  <c r="C22" i="73"/>
  <c r="B21" i="73"/>
  <c r="B20" i="73"/>
  <c r="B22" i="73" s="1"/>
  <c r="I19" i="73"/>
  <c r="H19" i="73"/>
  <c r="G19" i="73"/>
  <c r="F19" i="73"/>
  <c r="E19" i="73"/>
  <c r="D19" i="73"/>
  <c r="C19" i="73"/>
  <c r="B18" i="73"/>
  <c r="B17" i="73"/>
  <c r="I16" i="73"/>
  <c r="H16" i="73"/>
  <c r="G16" i="73"/>
  <c r="F16" i="73"/>
  <c r="E16" i="73"/>
  <c r="D16" i="73"/>
  <c r="C16" i="73"/>
  <c r="B15" i="73"/>
  <c r="B14" i="73"/>
  <c r="B16" i="73" s="1"/>
  <c r="I13" i="73"/>
  <c r="H13" i="73"/>
  <c r="G13" i="73"/>
  <c r="F13" i="73"/>
  <c r="E13" i="73"/>
  <c r="D13" i="73"/>
  <c r="C13" i="73"/>
  <c r="B12" i="73"/>
  <c r="B11" i="73"/>
  <c r="I10" i="73"/>
  <c r="H10" i="73"/>
  <c r="G10" i="73"/>
  <c r="F10" i="73"/>
  <c r="E10" i="73"/>
  <c r="D10" i="73"/>
  <c r="C10" i="73"/>
  <c r="B9" i="73"/>
  <c r="B8" i="73"/>
  <c r="B10" i="73" s="1"/>
  <c r="I7" i="73"/>
  <c r="H7" i="73"/>
  <c r="H34" i="73" s="1"/>
  <c r="G7" i="73"/>
  <c r="F7" i="73"/>
  <c r="F34" i="73" s="1"/>
  <c r="E7" i="73"/>
  <c r="D7" i="73"/>
  <c r="D34" i="73" s="1"/>
  <c r="C7" i="73"/>
  <c r="B6" i="73"/>
  <c r="B33" i="73" s="1"/>
  <c r="B5" i="73"/>
  <c r="I72" i="72"/>
  <c r="H72" i="72"/>
  <c r="G72" i="72"/>
  <c r="F72" i="72"/>
  <c r="E72" i="72"/>
  <c r="D72" i="72"/>
  <c r="C72" i="72"/>
  <c r="I71" i="72"/>
  <c r="H71" i="72"/>
  <c r="G71" i="72"/>
  <c r="F71" i="72"/>
  <c r="E71" i="72"/>
  <c r="D71" i="72"/>
  <c r="C71" i="72"/>
  <c r="I70" i="72"/>
  <c r="H70" i="72"/>
  <c r="G70" i="72"/>
  <c r="F70" i="72"/>
  <c r="E70" i="72"/>
  <c r="D70" i="72"/>
  <c r="C70" i="72"/>
  <c r="B69" i="72"/>
  <c r="B68" i="72"/>
  <c r="B70" i="72" s="1"/>
  <c r="I67" i="72"/>
  <c r="H67" i="72"/>
  <c r="G67" i="72"/>
  <c r="F67" i="72"/>
  <c r="E67" i="72"/>
  <c r="D67" i="72"/>
  <c r="C67" i="72"/>
  <c r="B66" i="72"/>
  <c r="B65" i="72"/>
  <c r="I64" i="72"/>
  <c r="H64" i="72"/>
  <c r="G64" i="72"/>
  <c r="F64" i="72"/>
  <c r="E64" i="72"/>
  <c r="D64" i="72"/>
  <c r="C64" i="72"/>
  <c r="B63" i="72"/>
  <c r="B62" i="72"/>
  <c r="B64" i="72" s="1"/>
  <c r="I61" i="72"/>
  <c r="H61" i="72"/>
  <c r="G61" i="72"/>
  <c r="F61" i="72"/>
  <c r="E61" i="72"/>
  <c r="D61" i="72"/>
  <c r="C61" i="72"/>
  <c r="B60" i="72"/>
  <c r="B59" i="72"/>
  <c r="I58" i="72"/>
  <c r="H58" i="72"/>
  <c r="G58" i="72"/>
  <c r="F58" i="72"/>
  <c r="E58" i="72"/>
  <c r="D58" i="72"/>
  <c r="C58" i="72"/>
  <c r="B57" i="72"/>
  <c r="B56" i="72"/>
  <c r="B58" i="72" s="1"/>
  <c r="I55" i="72"/>
  <c r="H55" i="72"/>
  <c r="G55" i="72"/>
  <c r="F55" i="72"/>
  <c r="E55" i="72"/>
  <c r="D55" i="72"/>
  <c r="C55" i="72"/>
  <c r="B54" i="72"/>
  <c r="B53" i="72"/>
  <c r="I52" i="72"/>
  <c r="H52" i="72"/>
  <c r="G52" i="72"/>
  <c r="F52" i="72"/>
  <c r="E52" i="72"/>
  <c r="D52" i="72"/>
  <c r="C52" i="72"/>
  <c r="B51" i="72"/>
  <c r="B50" i="72"/>
  <c r="B52" i="72" s="1"/>
  <c r="I49" i="72"/>
  <c r="H49" i="72"/>
  <c r="G49" i="72"/>
  <c r="F49" i="72"/>
  <c r="E49" i="72"/>
  <c r="D49" i="72"/>
  <c r="C49" i="72"/>
  <c r="B48" i="72"/>
  <c r="B47" i="72"/>
  <c r="I46" i="72"/>
  <c r="H46" i="72"/>
  <c r="G46" i="72"/>
  <c r="F46" i="72"/>
  <c r="E46" i="72"/>
  <c r="D46" i="72"/>
  <c r="C46" i="72"/>
  <c r="B45" i="72"/>
  <c r="B44" i="72"/>
  <c r="B46" i="72" s="1"/>
  <c r="I43" i="72"/>
  <c r="H43" i="72"/>
  <c r="G43" i="72"/>
  <c r="F43" i="72"/>
  <c r="E43" i="72"/>
  <c r="D43" i="72"/>
  <c r="C43" i="72"/>
  <c r="B42" i="72"/>
  <c r="B41" i="72"/>
  <c r="I40" i="72"/>
  <c r="H40" i="72"/>
  <c r="G40" i="72"/>
  <c r="F40" i="72"/>
  <c r="E40" i="72"/>
  <c r="D40" i="72"/>
  <c r="C40" i="72"/>
  <c r="B39" i="72"/>
  <c r="B38" i="72"/>
  <c r="B40" i="72" s="1"/>
  <c r="I37" i="72"/>
  <c r="H37" i="72"/>
  <c r="G37" i="72"/>
  <c r="F37" i="72"/>
  <c r="E37" i="72"/>
  <c r="D37" i="72"/>
  <c r="C37" i="72"/>
  <c r="B36" i="72"/>
  <c r="B35" i="72"/>
  <c r="I34" i="72"/>
  <c r="H34" i="72"/>
  <c r="G34" i="72"/>
  <c r="F34" i="72"/>
  <c r="E34" i="72"/>
  <c r="D34" i="72"/>
  <c r="C34" i="72"/>
  <c r="B33" i="72"/>
  <c r="B32" i="72"/>
  <c r="B34" i="72" s="1"/>
  <c r="I31" i="72"/>
  <c r="H31" i="72"/>
  <c r="G31" i="72"/>
  <c r="F31" i="72"/>
  <c r="E31" i="72"/>
  <c r="D31" i="72"/>
  <c r="C31" i="72"/>
  <c r="B30" i="72"/>
  <c r="B29" i="72"/>
  <c r="I28" i="72"/>
  <c r="H28" i="72"/>
  <c r="G28" i="72"/>
  <c r="F28" i="72"/>
  <c r="E28" i="72"/>
  <c r="D28" i="72"/>
  <c r="C28" i="72"/>
  <c r="B27" i="72"/>
  <c r="B26" i="72"/>
  <c r="B28" i="72" s="1"/>
  <c r="I25" i="72"/>
  <c r="H25" i="72"/>
  <c r="G25" i="72"/>
  <c r="F25" i="72"/>
  <c r="E25" i="72"/>
  <c r="D25" i="72"/>
  <c r="C25" i="72"/>
  <c r="B24" i="72"/>
  <c r="B23" i="72"/>
  <c r="I22" i="72"/>
  <c r="H22" i="72"/>
  <c r="G22" i="72"/>
  <c r="F22" i="72"/>
  <c r="E22" i="72"/>
  <c r="D22" i="72"/>
  <c r="C22" i="72"/>
  <c r="B21" i="72"/>
  <c r="B20" i="72"/>
  <c r="B22" i="72" s="1"/>
  <c r="I19" i="72"/>
  <c r="H19" i="72"/>
  <c r="G19" i="72"/>
  <c r="F19" i="72"/>
  <c r="E19" i="72"/>
  <c r="D19" i="72"/>
  <c r="C19" i="72"/>
  <c r="B18" i="72"/>
  <c r="B17" i="72"/>
  <c r="I16" i="72"/>
  <c r="H16" i="72"/>
  <c r="G16" i="72"/>
  <c r="F16" i="72"/>
  <c r="E16" i="72"/>
  <c r="D16" i="72"/>
  <c r="C16" i="72"/>
  <c r="B15" i="72"/>
  <c r="B14" i="72"/>
  <c r="B16" i="72" s="1"/>
  <c r="I13" i="72"/>
  <c r="H13" i="72"/>
  <c r="G13" i="72"/>
  <c r="F13" i="72"/>
  <c r="E13" i="72"/>
  <c r="D13" i="72"/>
  <c r="C13" i="72"/>
  <c r="B12" i="72"/>
  <c r="B11" i="72"/>
  <c r="I10" i="72"/>
  <c r="H10" i="72"/>
  <c r="G10" i="72"/>
  <c r="F10" i="72"/>
  <c r="E10" i="72"/>
  <c r="D10" i="72"/>
  <c r="C10" i="72"/>
  <c r="B9" i="72"/>
  <c r="B8" i="72"/>
  <c r="B10" i="72" s="1"/>
  <c r="I7" i="72"/>
  <c r="H7" i="72"/>
  <c r="H73" i="72" s="1"/>
  <c r="G7" i="72"/>
  <c r="F7" i="72"/>
  <c r="F73" i="72" s="1"/>
  <c r="E7" i="72"/>
  <c r="D7" i="72"/>
  <c r="D73" i="72" s="1"/>
  <c r="C7" i="72"/>
  <c r="C73" i="72" s="1"/>
  <c r="B6" i="72"/>
  <c r="B72" i="72" s="1"/>
  <c r="B5" i="72"/>
  <c r="B71" i="72" s="1"/>
  <c r="I72" i="71"/>
  <c r="H72" i="71"/>
  <c r="G72" i="71"/>
  <c r="F72" i="71"/>
  <c r="E72" i="71"/>
  <c r="D72" i="71"/>
  <c r="C72" i="71"/>
  <c r="I71" i="71"/>
  <c r="H71" i="71"/>
  <c r="G71" i="71"/>
  <c r="F71" i="71"/>
  <c r="E71" i="71"/>
  <c r="D71" i="71"/>
  <c r="C71" i="71"/>
  <c r="I70" i="71"/>
  <c r="H70" i="71"/>
  <c r="G70" i="71"/>
  <c r="F70" i="71"/>
  <c r="E70" i="71"/>
  <c r="D70" i="71"/>
  <c r="C70" i="71"/>
  <c r="B69" i="71"/>
  <c r="B68" i="71"/>
  <c r="B70" i="71" s="1"/>
  <c r="I67" i="71"/>
  <c r="H67" i="71"/>
  <c r="G67" i="71"/>
  <c r="F67" i="71"/>
  <c r="E67" i="71"/>
  <c r="D67" i="71"/>
  <c r="C67" i="71"/>
  <c r="B66" i="71"/>
  <c r="B65" i="71"/>
  <c r="I64" i="71"/>
  <c r="H64" i="71"/>
  <c r="G64" i="71"/>
  <c r="F64" i="71"/>
  <c r="E64" i="71"/>
  <c r="D64" i="71"/>
  <c r="C64" i="71"/>
  <c r="B63" i="71"/>
  <c r="B62" i="71"/>
  <c r="B64" i="71" s="1"/>
  <c r="I61" i="71"/>
  <c r="H61" i="71"/>
  <c r="G61" i="71"/>
  <c r="F61" i="71"/>
  <c r="E61" i="71"/>
  <c r="D61" i="71"/>
  <c r="C61" i="71"/>
  <c r="B60" i="71"/>
  <c r="B59" i="71"/>
  <c r="I58" i="71"/>
  <c r="H58" i="71"/>
  <c r="G58" i="71"/>
  <c r="F58" i="71"/>
  <c r="E58" i="71"/>
  <c r="D58" i="71"/>
  <c r="C58" i="71"/>
  <c r="B57" i="71"/>
  <c r="B56" i="71"/>
  <c r="B58" i="71" s="1"/>
  <c r="I55" i="71"/>
  <c r="H55" i="71"/>
  <c r="G55" i="71"/>
  <c r="F55" i="71"/>
  <c r="E55" i="71"/>
  <c r="D55" i="71"/>
  <c r="C55" i="71"/>
  <c r="B54" i="71"/>
  <c r="B53" i="71"/>
  <c r="I52" i="71"/>
  <c r="H52" i="71"/>
  <c r="G52" i="71"/>
  <c r="F52" i="71"/>
  <c r="E52" i="71"/>
  <c r="D52" i="71"/>
  <c r="C52" i="71"/>
  <c r="B51" i="71"/>
  <c r="B50" i="71"/>
  <c r="B52" i="71" s="1"/>
  <c r="I49" i="71"/>
  <c r="H49" i="71"/>
  <c r="G49" i="71"/>
  <c r="F49" i="71"/>
  <c r="E49" i="71"/>
  <c r="D49" i="71"/>
  <c r="C49" i="71"/>
  <c r="B48" i="71"/>
  <c r="B47" i="71"/>
  <c r="I46" i="71"/>
  <c r="H46" i="71"/>
  <c r="G46" i="71"/>
  <c r="F46" i="71"/>
  <c r="E46" i="71"/>
  <c r="D46" i="71"/>
  <c r="C46" i="71"/>
  <c r="B45" i="71"/>
  <c r="B44" i="71"/>
  <c r="B46" i="71" s="1"/>
  <c r="I43" i="71"/>
  <c r="H43" i="71"/>
  <c r="G43" i="71"/>
  <c r="F43" i="71"/>
  <c r="E43" i="71"/>
  <c r="D43" i="71"/>
  <c r="C43" i="71"/>
  <c r="B42" i="71"/>
  <c r="B41" i="71"/>
  <c r="I40" i="71"/>
  <c r="H40" i="71"/>
  <c r="G40" i="71"/>
  <c r="F40" i="71"/>
  <c r="E40" i="71"/>
  <c r="D40" i="71"/>
  <c r="C40" i="71"/>
  <c r="B39" i="71"/>
  <c r="B38" i="71"/>
  <c r="B40" i="71" s="1"/>
  <c r="I37" i="71"/>
  <c r="H37" i="71"/>
  <c r="G37" i="71"/>
  <c r="F37" i="71"/>
  <c r="E37" i="71"/>
  <c r="D37" i="71"/>
  <c r="C37" i="71"/>
  <c r="B36" i="71"/>
  <c r="B35" i="71"/>
  <c r="I34" i="71"/>
  <c r="H34" i="71"/>
  <c r="G34" i="71"/>
  <c r="F34" i="71"/>
  <c r="E34" i="71"/>
  <c r="D34" i="71"/>
  <c r="C34" i="71"/>
  <c r="B33" i="71"/>
  <c r="B32" i="71"/>
  <c r="B34" i="71" s="1"/>
  <c r="I31" i="71"/>
  <c r="H31" i="71"/>
  <c r="G31" i="71"/>
  <c r="F31" i="71"/>
  <c r="E31" i="71"/>
  <c r="D31" i="71"/>
  <c r="C31" i="71"/>
  <c r="B30" i="71"/>
  <c r="B29" i="71"/>
  <c r="I28" i="71"/>
  <c r="H28" i="71"/>
  <c r="G28" i="71"/>
  <c r="F28" i="71"/>
  <c r="E28" i="71"/>
  <c r="D28" i="71"/>
  <c r="C28" i="71"/>
  <c r="B27" i="71"/>
  <c r="B26" i="71"/>
  <c r="B28" i="71" s="1"/>
  <c r="I25" i="71"/>
  <c r="H25" i="71"/>
  <c r="G25" i="71"/>
  <c r="F25" i="71"/>
  <c r="E25" i="71"/>
  <c r="D25" i="71"/>
  <c r="C25" i="71"/>
  <c r="B24" i="71"/>
  <c r="B23" i="71"/>
  <c r="I22" i="71"/>
  <c r="H22" i="71"/>
  <c r="G22" i="71"/>
  <c r="F22" i="71"/>
  <c r="E22" i="71"/>
  <c r="D22" i="71"/>
  <c r="C22" i="71"/>
  <c r="B21" i="71"/>
  <c r="B20" i="71"/>
  <c r="B22" i="71" s="1"/>
  <c r="I19" i="71"/>
  <c r="H19" i="71"/>
  <c r="G19" i="71"/>
  <c r="F19" i="71"/>
  <c r="E19" i="71"/>
  <c r="D19" i="71"/>
  <c r="C19" i="71"/>
  <c r="B18" i="71"/>
  <c r="B17" i="71"/>
  <c r="I16" i="71"/>
  <c r="H16" i="71"/>
  <c r="G16" i="71"/>
  <c r="F16" i="71"/>
  <c r="E16" i="71"/>
  <c r="D16" i="71"/>
  <c r="C16" i="71"/>
  <c r="B15" i="71"/>
  <c r="B14" i="71"/>
  <c r="B16" i="71" s="1"/>
  <c r="I13" i="71"/>
  <c r="H13" i="71"/>
  <c r="G13" i="71"/>
  <c r="F13" i="71"/>
  <c r="E13" i="71"/>
  <c r="D13" i="71"/>
  <c r="C13" i="71"/>
  <c r="B12" i="71"/>
  <c r="B11" i="71"/>
  <c r="I10" i="71"/>
  <c r="H10" i="71"/>
  <c r="G10" i="71"/>
  <c r="F10" i="71"/>
  <c r="E10" i="71"/>
  <c r="D10" i="71"/>
  <c r="C10" i="71"/>
  <c r="B9" i="71"/>
  <c r="B8" i="71"/>
  <c r="B10" i="71" s="1"/>
  <c r="I7" i="71"/>
  <c r="H7" i="71"/>
  <c r="H73" i="71" s="1"/>
  <c r="G7" i="71"/>
  <c r="F7" i="71"/>
  <c r="F73" i="71" s="1"/>
  <c r="E7" i="71"/>
  <c r="D7" i="71"/>
  <c r="D73" i="71" s="1"/>
  <c r="C7" i="71"/>
  <c r="B6" i="71"/>
  <c r="B72" i="71" s="1"/>
  <c r="B5" i="71"/>
  <c r="B71" i="71" s="1"/>
  <c r="I36" i="70"/>
  <c r="H36" i="70"/>
  <c r="G36" i="70"/>
  <c r="F36" i="70"/>
  <c r="E36" i="70"/>
  <c r="D36" i="70"/>
  <c r="C36" i="70"/>
  <c r="I35" i="70"/>
  <c r="H35" i="70"/>
  <c r="G35" i="70"/>
  <c r="F35" i="70"/>
  <c r="E35" i="70"/>
  <c r="D35" i="70"/>
  <c r="C35" i="70"/>
  <c r="I34" i="70"/>
  <c r="H34" i="70"/>
  <c r="G34" i="70"/>
  <c r="F34" i="70"/>
  <c r="E34" i="70"/>
  <c r="D34" i="70"/>
  <c r="C34" i="70"/>
  <c r="B33" i="70"/>
  <c r="B32" i="70"/>
  <c r="B34" i="70" s="1"/>
  <c r="I31" i="70"/>
  <c r="H31" i="70"/>
  <c r="G31" i="70"/>
  <c r="F31" i="70"/>
  <c r="E31" i="70"/>
  <c r="D31" i="70"/>
  <c r="C31" i="70"/>
  <c r="B30" i="70"/>
  <c r="B29" i="70"/>
  <c r="I28" i="70"/>
  <c r="H28" i="70"/>
  <c r="G28" i="70"/>
  <c r="F28" i="70"/>
  <c r="E28" i="70"/>
  <c r="D28" i="70"/>
  <c r="C28" i="70"/>
  <c r="B27" i="70"/>
  <c r="B26" i="70"/>
  <c r="B28" i="70" s="1"/>
  <c r="I25" i="70"/>
  <c r="H25" i="70"/>
  <c r="G25" i="70"/>
  <c r="F25" i="70"/>
  <c r="E25" i="70"/>
  <c r="D25" i="70"/>
  <c r="C25" i="70"/>
  <c r="B24" i="70"/>
  <c r="B23" i="70"/>
  <c r="I22" i="70"/>
  <c r="H22" i="70"/>
  <c r="G22" i="70"/>
  <c r="F22" i="70"/>
  <c r="E22" i="70"/>
  <c r="D22" i="70"/>
  <c r="C22" i="70"/>
  <c r="B21" i="70"/>
  <c r="B20" i="70"/>
  <c r="B22" i="70" s="1"/>
  <c r="I19" i="70"/>
  <c r="H19" i="70"/>
  <c r="G19" i="70"/>
  <c r="F19" i="70"/>
  <c r="E19" i="70"/>
  <c r="D19" i="70"/>
  <c r="C19" i="70"/>
  <c r="B18" i="70"/>
  <c r="B17" i="70"/>
  <c r="I16" i="70"/>
  <c r="H16" i="70"/>
  <c r="G16" i="70"/>
  <c r="F16" i="70"/>
  <c r="E16" i="70"/>
  <c r="D16" i="70"/>
  <c r="C16" i="70"/>
  <c r="B15" i="70"/>
  <c r="B14" i="70"/>
  <c r="B16" i="70" s="1"/>
  <c r="I13" i="70"/>
  <c r="H13" i="70"/>
  <c r="G13" i="70"/>
  <c r="F13" i="70"/>
  <c r="E13" i="70"/>
  <c r="D13" i="70"/>
  <c r="C13" i="70"/>
  <c r="B12" i="70"/>
  <c r="B11" i="70"/>
  <c r="I10" i="70"/>
  <c r="H10" i="70"/>
  <c r="G10" i="70"/>
  <c r="F10" i="70"/>
  <c r="E10" i="70"/>
  <c r="D10" i="70"/>
  <c r="C10" i="70"/>
  <c r="B9" i="70"/>
  <c r="B8" i="70"/>
  <c r="B10" i="70" s="1"/>
  <c r="I7" i="70"/>
  <c r="H7" i="70"/>
  <c r="H37" i="70" s="1"/>
  <c r="G7" i="70"/>
  <c r="F7" i="70"/>
  <c r="F37" i="70" s="1"/>
  <c r="E7" i="70"/>
  <c r="D7" i="70"/>
  <c r="D37" i="70" s="1"/>
  <c r="C7" i="70"/>
  <c r="B6" i="70"/>
  <c r="B36" i="70" s="1"/>
  <c r="B5" i="70"/>
  <c r="I36" i="69"/>
  <c r="H36" i="69"/>
  <c r="G36" i="69"/>
  <c r="F36" i="69"/>
  <c r="E36" i="69"/>
  <c r="D36" i="69"/>
  <c r="C36" i="69"/>
  <c r="I35" i="69"/>
  <c r="H35" i="69"/>
  <c r="G35" i="69"/>
  <c r="F35" i="69"/>
  <c r="E35" i="69"/>
  <c r="D35" i="69"/>
  <c r="C35" i="69"/>
  <c r="I34" i="69"/>
  <c r="H34" i="69"/>
  <c r="G34" i="69"/>
  <c r="F34" i="69"/>
  <c r="E34" i="69"/>
  <c r="D34" i="69"/>
  <c r="C34" i="69"/>
  <c r="B33" i="69"/>
  <c r="B32" i="69"/>
  <c r="B34" i="69" s="1"/>
  <c r="I31" i="69"/>
  <c r="H31" i="69"/>
  <c r="G31" i="69"/>
  <c r="F31" i="69"/>
  <c r="E31" i="69"/>
  <c r="D31" i="69"/>
  <c r="C31" i="69"/>
  <c r="B30" i="69"/>
  <c r="B29" i="69"/>
  <c r="I28" i="69"/>
  <c r="H28" i="69"/>
  <c r="G28" i="69"/>
  <c r="F28" i="69"/>
  <c r="E28" i="69"/>
  <c r="D28" i="69"/>
  <c r="C28" i="69"/>
  <c r="B27" i="69"/>
  <c r="B26" i="69"/>
  <c r="B28" i="69" s="1"/>
  <c r="I25" i="69"/>
  <c r="H25" i="69"/>
  <c r="G25" i="69"/>
  <c r="F25" i="69"/>
  <c r="E25" i="69"/>
  <c r="D25" i="69"/>
  <c r="C25" i="69"/>
  <c r="B24" i="69"/>
  <c r="B23" i="69"/>
  <c r="I22" i="69"/>
  <c r="H22" i="69"/>
  <c r="G22" i="69"/>
  <c r="F22" i="69"/>
  <c r="E22" i="69"/>
  <c r="D22" i="69"/>
  <c r="C22" i="69"/>
  <c r="B21" i="69"/>
  <c r="B20" i="69"/>
  <c r="B22" i="69" s="1"/>
  <c r="I19" i="69"/>
  <c r="H19" i="69"/>
  <c r="G19" i="69"/>
  <c r="F19" i="69"/>
  <c r="E19" i="69"/>
  <c r="D19" i="69"/>
  <c r="C19" i="69"/>
  <c r="B18" i="69"/>
  <c r="B17" i="69"/>
  <c r="I16" i="69"/>
  <c r="H16" i="69"/>
  <c r="G16" i="69"/>
  <c r="F16" i="69"/>
  <c r="E16" i="69"/>
  <c r="D16" i="69"/>
  <c r="C16" i="69"/>
  <c r="B15" i="69"/>
  <c r="B14" i="69"/>
  <c r="B16" i="69" s="1"/>
  <c r="I13" i="69"/>
  <c r="H13" i="69"/>
  <c r="G13" i="69"/>
  <c r="F13" i="69"/>
  <c r="E13" i="69"/>
  <c r="D13" i="69"/>
  <c r="C13" i="69"/>
  <c r="B12" i="69"/>
  <c r="B11" i="69"/>
  <c r="I10" i="69"/>
  <c r="H10" i="69"/>
  <c r="G10" i="69"/>
  <c r="F10" i="69"/>
  <c r="E10" i="69"/>
  <c r="D10" i="69"/>
  <c r="C10" i="69"/>
  <c r="B9" i="69"/>
  <c r="B8" i="69"/>
  <c r="B10" i="69" s="1"/>
  <c r="I7" i="69"/>
  <c r="H7" i="69"/>
  <c r="H37" i="69" s="1"/>
  <c r="G7" i="69"/>
  <c r="F7" i="69"/>
  <c r="F37" i="69" s="1"/>
  <c r="E7" i="69"/>
  <c r="D7" i="69"/>
  <c r="D37" i="69" s="1"/>
  <c r="C7" i="69"/>
  <c r="B6" i="69"/>
  <c r="B36" i="69" s="1"/>
  <c r="B5" i="69"/>
  <c r="I36" i="68"/>
  <c r="H36" i="68"/>
  <c r="G36" i="68"/>
  <c r="F36" i="68"/>
  <c r="E36" i="68"/>
  <c r="D36" i="68"/>
  <c r="C36" i="68"/>
  <c r="I35" i="68"/>
  <c r="H35" i="68"/>
  <c r="G35" i="68"/>
  <c r="F35" i="68"/>
  <c r="E35" i="68"/>
  <c r="D35" i="68"/>
  <c r="C35" i="68"/>
  <c r="I34" i="68"/>
  <c r="H34" i="68"/>
  <c r="G34" i="68"/>
  <c r="F34" i="68"/>
  <c r="E34" i="68"/>
  <c r="D34" i="68"/>
  <c r="C34" i="68"/>
  <c r="B33" i="68"/>
  <c r="B32" i="68"/>
  <c r="B34" i="68" s="1"/>
  <c r="I31" i="68"/>
  <c r="H31" i="68"/>
  <c r="G31" i="68"/>
  <c r="F31" i="68"/>
  <c r="E31" i="68"/>
  <c r="D31" i="68"/>
  <c r="C31" i="68"/>
  <c r="B30" i="68"/>
  <c r="B29" i="68"/>
  <c r="I28" i="68"/>
  <c r="H28" i="68"/>
  <c r="G28" i="68"/>
  <c r="F28" i="68"/>
  <c r="E28" i="68"/>
  <c r="D28" i="68"/>
  <c r="C28" i="68"/>
  <c r="B27" i="68"/>
  <c r="B26" i="68"/>
  <c r="I25" i="68"/>
  <c r="H25" i="68"/>
  <c r="G25" i="68"/>
  <c r="F25" i="68"/>
  <c r="E25" i="68"/>
  <c r="D25" i="68"/>
  <c r="C25" i="68"/>
  <c r="B24" i="68"/>
  <c r="B23" i="68"/>
  <c r="I22" i="68"/>
  <c r="H22" i="68"/>
  <c r="G22" i="68"/>
  <c r="F22" i="68"/>
  <c r="E22" i="68"/>
  <c r="D22" i="68"/>
  <c r="C22" i="68"/>
  <c r="B21" i="68"/>
  <c r="B20" i="68"/>
  <c r="I19" i="68"/>
  <c r="H19" i="68"/>
  <c r="G19" i="68"/>
  <c r="F19" i="68"/>
  <c r="E19" i="68"/>
  <c r="D19" i="68"/>
  <c r="C19" i="68"/>
  <c r="B18" i="68"/>
  <c r="B17" i="68"/>
  <c r="I16" i="68"/>
  <c r="H16" i="68"/>
  <c r="G16" i="68"/>
  <c r="F16" i="68"/>
  <c r="E16" i="68"/>
  <c r="D16" i="68"/>
  <c r="C16" i="68"/>
  <c r="B15" i="68"/>
  <c r="B14" i="68"/>
  <c r="I13" i="68"/>
  <c r="H13" i="68"/>
  <c r="G13" i="68"/>
  <c r="F13" i="68"/>
  <c r="E13" i="68"/>
  <c r="D13" i="68"/>
  <c r="C13" i="68"/>
  <c r="B12" i="68"/>
  <c r="B11" i="68"/>
  <c r="I10" i="68"/>
  <c r="H10" i="68"/>
  <c r="G10" i="68"/>
  <c r="F10" i="68"/>
  <c r="E10" i="68"/>
  <c r="D10" i="68"/>
  <c r="C10" i="68"/>
  <c r="B9" i="68"/>
  <c r="B8" i="68"/>
  <c r="I7" i="68"/>
  <c r="H7" i="68"/>
  <c r="H37" i="68" s="1"/>
  <c r="G7" i="68"/>
  <c r="F7" i="68"/>
  <c r="F37" i="68" s="1"/>
  <c r="E7" i="68"/>
  <c r="D7" i="68"/>
  <c r="D37" i="68" s="1"/>
  <c r="C7" i="68"/>
  <c r="B6" i="68"/>
  <c r="B36" i="68" s="1"/>
  <c r="B5" i="68"/>
  <c r="B35" i="68" l="1"/>
  <c r="C37" i="68"/>
  <c r="E37" i="68"/>
  <c r="G37" i="68"/>
  <c r="I37" i="68"/>
  <c r="B13" i="68"/>
  <c r="B19" i="68"/>
  <c r="B25" i="68"/>
  <c r="B35" i="70"/>
  <c r="C37" i="70"/>
  <c r="E37" i="70"/>
  <c r="G37" i="70"/>
  <c r="I37" i="70"/>
  <c r="B13" i="70"/>
  <c r="B19" i="70"/>
  <c r="B25" i="70"/>
  <c r="B31" i="70"/>
  <c r="C73" i="71"/>
  <c r="E73" i="71"/>
  <c r="G73" i="71"/>
  <c r="I73" i="71"/>
  <c r="B13" i="71"/>
  <c r="B19" i="71"/>
  <c r="B25" i="71"/>
  <c r="B31" i="71"/>
  <c r="B37" i="71"/>
  <c r="B43" i="71"/>
  <c r="B49" i="71"/>
  <c r="B55" i="71"/>
  <c r="B61" i="71"/>
  <c r="B67" i="71"/>
  <c r="E73" i="72"/>
  <c r="G73" i="72"/>
  <c r="I73" i="72"/>
  <c r="B13" i="72"/>
  <c r="B19" i="72"/>
  <c r="B25" i="72"/>
  <c r="B31" i="72"/>
  <c r="B37" i="72"/>
  <c r="B43" i="72"/>
  <c r="B49" i="72"/>
  <c r="B55" i="72"/>
  <c r="B61" i="72"/>
  <c r="B67" i="72"/>
  <c r="B32" i="73"/>
  <c r="C34" i="73"/>
  <c r="E34" i="73"/>
  <c r="G34" i="73"/>
  <c r="I34" i="73"/>
  <c r="B31" i="73"/>
  <c r="B13" i="73"/>
  <c r="B19" i="73"/>
  <c r="B25" i="73"/>
  <c r="B28" i="73"/>
  <c r="B35" i="69"/>
  <c r="C37" i="69"/>
  <c r="E37" i="69"/>
  <c r="G37" i="69"/>
  <c r="I37" i="69"/>
  <c r="B13" i="69"/>
  <c r="B19" i="69"/>
  <c r="B25" i="69"/>
  <c r="B31" i="69"/>
  <c r="B10" i="68"/>
  <c r="B16" i="68"/>
  <c r="B22" i="68"/>
  <c r="B28" i="68"/>
  <c r="B31" i="68"/>
  <c r="B7" i="69"/>
  <c r="B37" i="69" s="1"/>
  <c r="B6" i="75"/>
  <c r="B72" i="75" s="1"/>
  <c r="B31" i="76"/>
  <c r="B7" i="68"/>
  <c r="B37" i="68" s="1"/>
  <c r="B7" i="70"/>
  <c r="B37" i="70" s="1"/>
  <c r="B7" i="71"/>
  <c r="B73" i="71" s="1"/>
  <c r="B7" i="72"/>
  <c r="B73" i="72" s="1"/>
  <c r="B7" i="73"/>
  <c r="B34" i="73" s="1"/>
  <c r="B6" i="74"/>
  <c r="B72" i="74" s="1"/>
  <c r="N91" i="67" l="1"/>
  <c r="M91" i="67"/>
  <c r="L91" i="67"/>
  <c r="K91" i="67"/>
  <c r="J91" i="67"/>
  <c r="I91" i="67"/>
  <c r="H91" i="67"/>
  <c r="G91" i="67"/>
  <c r="F91" i="67"/>
  <c r="E91" i="67"/>
  <c r="N90" i="67"/>
  <c r="M90" i="67"/>
  <c r="L90" i="67"/>
  <c r="K90" i="67"/>
  <c r="J90" i="67"/>
  <c r="I90" i="67"/>
  <c r="H90" i="67"/>
  <c r="G90" i="67"/>
  <c r="F90" i="67"/>
  <c r="E90" i="67"/>
  <c r="N89" i="67"/>
  <c r="M89" i="67"/>
  <c r="L89" i="67"/>
  <c r="K89" i="67"/>
  <c r="J89" i="67"/>
  <c r="I89" i="67"/>
  <c r="H89" i="67"/>
  <c r="G89" i="67"/>
  <c r="F89" i="67"/>
  <c r="E89" i="67"/>
  <c r="O88" i="67"/>
  <c r="O87" i="67"/>
  <c r="O89" i="67" s="1"/>
  <c r="N86" i="67"/>
  <c r="M86" i="67"/>
  <c r="L86" i="67"/>
  <c r="K86" i="67"/>
  <c r="J86" i="67"/>
  <c r="I86" i="67"/>
  <c r="H86" i="67"/>
  <c r="G86" i="67"/>
  <c r="F86" i="67"/>
  <c r="E86" i="67"/>
  <c r="O85" i="67"/>
  <c r="O84" i="67"/>
  <c r="O86" i="67" s="1"/>
  <c r="N83" i="67"/>
  <c r="M83" i="67"/>
  <c r="L83" i="67"/>
  <c r="K83" i="67"/>
  <c r="J83" i="67"/>
  <c r="I83" i="67"/>
  <c r="H83" i="67"/>
  <c r="G83" i="67"/>
  <c r="F83" i="67"/>
  <c r="E83" i="67"/>
  <c r="O82" i="67"/>
  <c r="O81" i="67"/>
  <c r="O83" i="67" s="1"/>
  <c r="N80" i="67"/>
  <c r="M80" i="67"/>
  <c r="L80" i="67"/>
  <c r="K80" i="67"/>
  <c r="J80" i="67"/>
  <c r="I80" i="67"/>
  <c r="H80" i="67"/>
  <c r="G80" i="67"/>
  <c r="F80" i="67"/>
  <c r="E80" i="67"/>
  <c r="O79" i="67"/>
  <c r="O78" i="67"/>
  <c r="O80" i="67" s="1"/>
  <c r="N77" i="67"/>
  <c r="M77" i="67"/>
  <c r="L77" i="67"/>
  <c r="K77" i="67"/>
  <c r="J77" i="67"/>
  <c r="I77" i="67"/>
  <c r="H77" i="67"/>
  <c r="G77" i="67"/>
  <c r="F77" i="67"/>
  <c r="E77" i="67"/>
  <c r="O76" i="67"/>
  <c r="O75" i="67"/>
  <c r="O77" i="67" s="1"/>
  <c r="N74" i="67"/>
  <c r="M74" i="67"/>
  <c r="L74" i="67"/>
  <c r="K74" i="67"/>
  <c r="J74" i="67"/>
  <c r="I74" i="67"/>
  <c r="H74" i="67"/>
  <c r="G74" i="67"/>
  <c r="F74" i="67"/>
  <c r="E74" i="67"/>
  <c r="O73" i="67"/>
  <c r="O72" i="67"/>
  <c r="O74" i="67" s="1"/>
  <c r="N71" i="67"/>
  <c r="M71" i="67"/>
  <c r="L71" i="67"/>
  <c r="K71" i="67"/>
  <c r="J71" i="67"/>
  <c r="I71" i="67"/>
  <c r="H71" i="67"/>
  <c r="G71" i="67"/>
  <c r="F71" i="67"/>
  <c r="E71" i="67"/>
  <c r="O70" i="67"/>
  <c r="O69" i="67"/>
  <c r="O71" i="67" s="1"/>
  <c r="N68" i="67"/>
  <c r="M68" i="67"/>
  <c r="L68" i="67"/>
  <c r="K68" i="67"/>
  <c r="J68" i="67"/>
  <c r="I68" i="67"/>
  <c r="H68" i="67"/>
  <c r="G68" i="67"/>
  <c r="F68" i="67"/>
  <c r="E68" i="67"/>
  <c r="O67" i="67"/>
  <c r="O66" i="67"/>
  <c r="O68" i="67" s="1"/>
  <c r="N65" i="67"/>
  <c r="M65" i="67"/>
  <c r="L65" i="67"/>
  <c r="K65" i="67"/>
  <c r="J65" i="67"/>
  <c r="I65" i="67"/>
  <c r="H65" i="67"/>
  <c r="G65" i="67"/>
  <c r="F65" i="67"/>
  <c r="E65" i="67"/>
  <c r="O64" i="67"/>
  <c r="O63" i="67"/>
  <c r="O65" i="67" s="1"/>
  <c r="N62" i="67"/>
  <c r="M62" i="67"/>
  <c r="L62" i="67"/>
  <c r="K62" i="67"/>
  <c r="J62" i="67"/>
  <c r="I62" i="67"/>
  <c r="H62" i="67"/>
  <c r="G62" i="67"/>
  <c r="F62" i="67"/>
  <c r="E62" i="67"/>
  <c r="O61" i="67"/>
  <c r="O60" i="67"/>
  <c r="O62" i="67" s="1"/>
  <c r="N59" i="67"/>
  <c r="M59" i="67"/>
  <c r="L59" i="67"/>
  <c r="K59" i="67"/>
  <c r="J59" i="67"/>
  <c r="I59" i="67"/>
  <c r="H59" i="67"/>
  <c r="G59" i="67"/>
  <c r="F59" i="67"/>
  <c r="E59" i="67"/>
  <c r="O58" i="67"/>
  <c r="O57" i="67"/>
  <c r="O59" i="67" s="1"/>
  <c r="N56" i="67"/>
  <c r="M56" i="67"/>
  <c r="L56" i="67"/>
  <c r="K56" i="67"/>
  <c r="J56" i="67"/>
  <c r="I56" i="67"/>
  <c r="H56" i="67"/>
  <c r="G56" i="67"/>
  <c r="F56" i="67"/>
  <c r="E56" i="67"/>
  <c r="O55" i="67"/>
  <c r="O54" i="67"/>
  <c r="O56" i="67" s="1"/>
  <c r="N53" i="67"/>
  <c r="M53" i="67"/>
  <c r="L53" i="67"/>
  <c r="K53" i="67"/>
  <c r="J53" i="67"/>
  <c r="I53" i="67"/>
  <c r="H53" i="67"/>
  <c r="G53" i="67"/>
  <c r="F53" i="67"/>
  <c r="E53" i="67"/>
  <c r="O52" i="67"/>
  <c r="O51" i="67"/>
  <c r="O53" i="67" s="1"/>
  <c r="N50" i="67"/>
  <c r="M50" i="67"/>
  <c r="L50" i="67"/>
  <c r="K50" i="67"/>
  <c r="J50" i="67"/>
  <c r="I50" i="67"/>
  <c r="H50" i="67"/>
  <c r="G50" i="67"/>
  <c r="F50" i="67"/>
  <c r="E50" i="67"/>
  <c r="O49" i="67"/>
  <c r="O48" i="67"/>
  <c r="O50" i="67" s="1"/>
  <c r="N47" i="67"/>
  <c r="M47" i="67"/>
  <c r="L47" i="67"/>
  <c r="K47" i="67"/>
  <c r="J47" i="67"/>
  <c r="I47" i="67"/>
  <c r="H47" i="67"/>
  <c r="G47" i="67"/>
  <c r="F47" i="67"/>
  <c r="E47" i="67"/>
  <c r="O46" i="67"/>
  <c r="O45" i="67"/>
  <c r="O47" i="67" s="1"/>
  <c r="N44" i="67"/>
  <c r="M44" i="67"/>
  <c r="L44" i="67"/>
  <c r="K44" i="67"/>
  <c r="J44" i="67"/>
  <c r="I44" i="67"/>
  <c r="H44" i="67"/>
  <c r="G44" i="67"/>
  <c r="F44" i="67"/>
  <c r="E44" i="67"/>
  <c r="O43" i="67"/>
  <c r="O42" i="67"/>
  <c r="O44" i="67" s="1"/>
  <c r="N41" i="67"/>
  <c r="M41" i="67"/>
  <c r="L41" i="67"/>
  <c r="K41" i="67"/>
  <c r="J41" i="67"/>
  <c r="I41" i="67"/>
  <c r="H41" i="67"/>
  <c r="G41" i="67"/>
  <c r="F41" i="67"/>
  <c r="E41" i="67"/>
  <c r="O40" i="67"/>
  <c r="O39" i="67"/>
  <c r="O41" i="67" s="1"/>
  <c r="N38" i="67"/>
  <c r="M38" i="67"/>
  <c r="L38" i="67"/>
  <c r="K38" i="67"/>
  <c r="J38" i="67"/>
  <c r="I38" i="67"/>
  <c r="H38" i="67"/>
  <c r="G38" i="67"/>
  <c r="F38" i="67"/>
  <c r="E38" i="67"/>
  <c r="O37" i="67"/>
  <c r="O36" i="67"/>
  <c r="O38" i="67" s="1"/>
  <c r="N35" i="67"/>
  <c r="M35" i="67"/>
  <c r="L35" i="67"/>
  <c r="K35" i="67"/>
  <c r="J35" i="67"/>
  <c r="I35" i="67"/>
  <c r="H35" i="67"/>
  <c r="G35" i="67"/>
  <c r="F35" i="67"/>
  <c r="E35" i="67"/>
  <c r="O34" i="67"/>
  <c r="O33" i="67"/>
  <c r="O35" i="67" s="1"/>
  <c r="N32" i="67"/>
  <c r="M32" i="67"/>
  <c r="L32" i="67"/>
  <c r="K32" i="67"/>
  <c r="J32" i="67"/>
  <c r="I32" i="67"/>
  <c r="H32" i="67"/>
  <c r="G32" i="67"/>
  <c r="F32" i="67"/>
  <c r="E32" i="67"/>
  <c r="O31" i="67"/>
  <c r="O30" i="67"/>
  <c r="O32" i="67" s="1"/>
  <c r="N29" i="67"/>
  <c r="M29" i="67"/>
  <c r="L29" i="67"/>
  <c r="K29" i="67"/>
  <c r="J29" i="67"/>
  <c r="I29" i="67"/>
  <c r="H29" i="67"/>
  <c r="G29" i="67"/>
  <c r="F29" i="67"/>
  <c r="E29" i="67"/>
  <c r="O28" i="67"/>
  <c r="O27" i="67"/>
  <c r="O29" i="67" s="1"/>
  <c r="N26" i="67"/>
  <c r="M26" i="67"/>
  <c r="L26" i="67"/>
  <c r="K26" i="67"/>
  <c r="J26" i="67"/>
  <c r="I26" i="67"/>
  <c r="H26" i="67"/>
  <c r="G26" i="67"/>
  <c r="F26" i="67"/>
  <c r="E26" i="67"/>
  <c r="O25" i="67"/>
  <c r="O24" i="67"/>
  <c r="O26" i="67" s="1"/>
  <c r="N23" i="67"/>
  <c r="M23" i="67"/>
  <c r="L23" i="67"/>
  <c r="K23" i="67"/>
  <c r="J23" i="67"/>
  <c r="I23" i="67"/>
  <c r="H23" i="67"/>
  <c r="G23" i="67"/>
  <c r="F23" i="67"/>
  <c r="E23" i="67"/>
  <c r="O22" i="67"/>
  <c r="O21" i="67"/>
  <c r="O23" i="67" s="1"/>
  <c r="N20" i="67"/>
  <c r="M20" i="67"/>
  <c r="L20" i="67"/>
  <c r="K20" i="67"/>
  <c r="J20" i="67"/>
  <c r="I20" i="67"/>
  <c r="H20" i="67"/>
  <c r="G20" i="67"/>
  <c r="F20" i="67"/>
  <c r="E20" i="67"/>
  <c r="O19" i="67"/>
  <c r="O18" i="67"/>
  <c r="O20" i="67" s="1"/>
  <c r="N17" i="67"/>
  <c r="M17" i="67"/>
  <c r="L17" i="67"/>
  <c r="K17" i="67"/>
  <c r="J17" i="67"/>
  <c r="I17" i="67"/>
  <c r="H17" i="67"/>
  <c r="G17" i="67"/>
  <c r="F17" i="67"/>
  <c r="E17" i="67"/>
  <c r="O16" i="67"/>
  <c r="O15" i="67"/>
  <c r="O17" i="67" s="1"/>
  <c r="N14" i="67"/>
  <c r="M14" i="67"/>
  <c r="L14" i="67"/>
  <c r="K14" i="67"/>
  <c r="J14" i="67"/>
  <c r="I14" i="67"/>
  <c r="H14" i="67"/>
  <c r="G14" i="67"/>
  <c r="F14" i="67"/>
  <c r="E14" i="67"/>
  <c r="O13" i="67"/>
  <c r="O12" i="67"/>
  <c r="O14" i="67" s="1"/>
  <c r="N11" i="67"/>
  <c r="M11" i="67"/>
  <c r="L11" i="67"/>
  <c r="K11" i="67"/>
  <c r="J11" i="67"/>
  <c r="I11" i="67"/>
  <c r="H11" i="67"/>
  <c r="G11" i="67"/>
  <c r="F11" i="67"/>
  <c r="E11" i="67"/>
  <c r="O10" i="67"/>
  <c r="O9" i="67"/>
  <c r="O11" i="67" s="1"/>
  <c r="N8" i="67"/>
  <c r="M8" i="67"/>
  <c r="L8" i="67"/>
  <c r="K8" i="67"/>
  <c r="J8" i="67"/>
  <c r="I8" i="67"/>
  <c r="H8" i="67"/>
  <c r="G8" i="67"/>
  <c r="F8" i="67"/>
  <c r="E8" i="67"/>
  <c r="O7" i="67"/>
  <c r="O6" i="67"/>
  <c r="O8" i="67" s="1"/>
  <c r="N5" i="67"/>
  <c r="N92" i="67" s="1"/>
  <c r="M5" i="67"/>
  <c r="M92" i="67" s="1"/>
  <c r="L5" i="67"/>
  <c r="L92" i="67" s="1"/>
  <c r="K5" i="67"/>
  <c r="K92" i="67" s="1"/>
  <c r="J5" i="67"/>
  <c r="J92" i="67" s="1"/>
  <c r="I5" i="67"/>
  <c r="I92" i="67" s="1"/>
  <c r="H5" i="67"/>
  <c r="H92" i="67" s="1"/>
  <c r="G5" i="67"/>
  <c r="G92" i="67" s="1"/>
  <c r="F5" i="67"/>
  <c r="F92" i="67" s="1"/>
  <c r="E5" i="67"/>
  <c r="E92" i="67" s="1"/>
  <c r="O4" i="67"/>
  <c r="O91" i="67" s="1"/>
  <c r="O3" i="67"/>
  <c r="O5" i="67" s="1"/>
  <c r="O92" i="67" s="1"/>
  <c r="N91" i="66"/>
  <c r="M91" i="66"/>
  <c r="L91" i="66"/>
  <c r="K91" i="66"/>
  <c r="J91" i="66"/>
  <c r="I91" i="66"/>
  <c r="H91" i="66"/>
  <c r="G91" i="66"/>
  <c r="F91" i="66"/>
  <c r="E91" i="66"/>
  <c r="N90" i="66"/>
  <c r="M90" i="66"/>
  <c r="L90" i="66"/>
  <c r="K90" i="66"/>
  <c r="J90" i="66"/>
  <c r="I90" i="66"/>
  <c r="H90" i="66"/>
  <c r="G90" i="66"/>
  <c r="F90" i="66"/>
  <c r="E90" i="66"/>
  <c r="N89" i="66"/>
  <c r="M89" i="66"/>
  <c r="L89" i="66"/>
  <c r="K89" i="66"/>
  <c r="J89" i="66"/>
  <c r="I89" i="66"/>
  <c r="H89" i="66"/>
  <c r="G89" i="66"/>
  <c r="F89" i="66"/>
  <c r="E89" i="66"/>
  <c r="O88" i="66"/>
  <c r="O87" i="66"/>
  <c r="O89" i="66" s="1"/>
  <c r="N86" i="66"/>
  <c r="M86" i="66"/>
  <c r="L86" i="66"/>
  <c r="K86" i="66"/>
  <c r="J86" i="66"/>
  <c r="I86" i="66"/>
  <c r="H86" i="66"/>
  <c r="G86" i="66"/>
  <c r="F86" i="66"/>
  <c r="E86" i="66"/>
  <c r="O85" i="66"/>
  <c r="O84" i="66"/>
  <c r="O86" i="66" s="1"/>
  <c r="N83" i="66"/>
  <c r="M83" i="66"/>
  <c r="L83" i="66"/>
  <c r="K83" i="66"/>
  <c r="J83" i="66"/>
  <c r="I83" i="66"/>
  <c r="H83" i="66"/>
  <c r="G83" i="66"/>
  <c r="F83" i="66"/>
  <c r="E83" i="66"/>
  <c r="O82" i="66"/>
  <c r="O81" i="66"/>
  <c r="O83" i="66" s="1"/>
  <c r="N80" i="66"/>
  <c r="M80" i="66"/>
  <c r="L80" i="66"/>
  <c r="K80" i="66"/>
  <c r="J80" i="66"/>
  <c r="I80" i="66"/>
  <c r="H80" i="66"/>
  <c r="G80" i="66"/>
  <c r="F80" i="66"/>
  <c r="E80" i="66"/>
  <c r="O79" i="66"/>
  <c r="O78" i="66"/>
  <c r="O80" i="66" s="1"/>
  <c r="N77" i="66"/>
  <c r="M77" i="66"/>
  <c r="L77" i="66"/>
  <c r="K77" i="66"/>
  <c r="J77" i="66"/>
  <c r="I77" i="66"/>
  <c r="H77" i="66"/>
  <c r="G77" i="66"/>
  <c r="F77" i="66"/>
  <c r="E77" i="66"/>
  <c r="O76" i="66"/>
  <c r="O75" i="66"/>
  <c r="O77" i="66" s="1"/>
  <c r="N74" i="66"/>
  <c r="M74" i="66"/>
  <c r="L74" i="66"/>
  <c r="K74" i="66"/>
  <c r="J74" i="66"/>
  <c r="I74" i="66"/>
  <c r="H74" i="66"/>
  <c r="G74" i="66"/>
  <c r="F74" i="66"/>
  <c r="E74" i="66"/>
  <c r="O73" i="66"/>
  <c r="O72" i="66"/>
  <c r="O74" i="66" s="1"/>
  <c r="N71" i="66"/>
  <c r="M71" i="66"/>
  <c r="L71" i="66"/>
  <c r="K71" i="66"/>
  <c r="J71" i="66"/>
  <c r="I71" i="66"/>
  <c r="H71" i="66"/>
  <c r="G71" i="66"/>
  <c r="F71" i="66"/>
  <c r="E71" i="66"/>
  <c r="O70" i="66"/>
  <c r="O69" i="66"/>
  <c r="O71" i="66" s="1"/>
  <c r="N68" i="66"/>
  <c r="M68" i="66"/>
  <c r="L68" i="66"/>
  <c r="K68" i="66"/>
  <c r="J68" i="66"/>
  <c r="I68" i="66"/>
  <c r="H68" i="66"/>
  <c r="G68" i="66"/>
  <c r="F68" i="66"/>
  <c r="E68" i="66"/>
  <c r="O67" i="66"/>
  <c r="O66" i="66"/>
  <c r="O68" i="66" s="1"/>
  <c r="N65" i="66"/>
  <c r="M65" i="66"/>
  <c r="L65" i="66"/>
  <c r="K65" i="66"/>
  <c r="J65" i="66"/>
  <c r="I65" i="66"/>
  <c r="H65" i="66"/>
  <c r="G65" i="66"/>
  <c r="F65" i="66"/>
  <c r="E65" i="66"/>
  <c r="O64" i="66"/>
  <c r="O63" i="66"/>
  <c r="O65" i="66" s="1"/>
  <c r="N62" i="66"/>
  <c r="M62" i="66"/>
  <c r="L62" i="66"/>
  <c r="K62" i="66"/>
  <c r="J62" i="66"/>
  <c r="I62" i="66"/>
  <c r="H62" i="66"/>
  <c r="G62" i="66"/>
  <c r="F62" i="66"/>
  <c r="E62" i="66"/>
  <c r="O61" i="66"/>
  <c r="O60" i="66"/>
  <c r="O62" i="66" s="1"/>
  <c r="N59" i="66"/>
  <c r="M59" i="66"/>
  <c r="L59" i="66"/>
  <c r="K59" i="66"/>
  <c r="J59" i="66"/>
  <c r="I59" i="66"/>
  <c r="H59" i="66"/>
  <c r="G59" i="66"/>
  <c r="F59" i="66"/>
  <c r="E59" i="66"/>
  <c r="O58" i="66"/>
  <c r="O57" i="66"/>
  <c r="O59" i="66" s="1"/>
  <c r="N56" i="66"/>
  <c r="M56" i="66"/>
  <c r="L56" i="66"/>
  <c r="K56" i="66"/>
  <c r="J56" i="66"/>
  <c r="I56" i="66"/>
  <c r="H56" i="66"/>
  <c r="G56" i="66"/>
  <c r="F56" i="66"/>
  <c r="E56" i="66"/>
  <c r="O55" i="66"/>
  <c r="O54" i="66"/>
  <c r="O56" i="66" s="1"/>
  <c r="N53" i="66"/>
  <c r="M53" i="66"/>
  <c r="L53" i="66"/>
  <c r="K53" i="66"/>
  <c r="J53" i="66"/>
  <c r="I53" i="66"/>
  <c r="H53" i="66"/>
  <c r="G53" i="66"/>
  <c r="F53" i="66"/>
  <c r="E53" i="66"/>
  <c r="O52" i="66"/>
  <c r="O51" i="66"/>
  <c r="O53" i="66" s="1"/>
  <c r="N50" i="66"/>
  <c r="M50" i="66"/>
  <c r="L50" i="66"/>
  <c r="K50" i="66"/>
  <c r="J50" i="66"/>
  <c r="I50" i="66"/>
  <c r="H50" i="66"/>
  <c r="G50" i="66"/>
  <c r="F50" i="66"/>
  <c r="E50" i="66"/>
  <c r="O49" i="66"/>
  <c r="O48" i="66"/>
  <c r="O50" i="66" s="1"/>
  <c r="N47" i="66"/>
  <c r="M47" i="66"/>
  <c r="L47" i="66"/>
  <c r="K47" i="66"/>
  <c r="J47" i="66"/>
  <c r="I47" i="66"/>
  <c r="H47" i="66"/>
  <c r="G47" i="66"/>
  <c r="F47" i="66"/>
  <c r="E47" i="66"/>
  <c r="O46" i="66"/>
  <c r="O45" i="66"/>
  <c r="O47" i="66" s="1"/>
  <c r="N44" i="66"/>
  <c r="M44" i="66"/>
  <c r="L44" i="66"/>
  <c r="K44" i="66"/>
  <c r="J44" i="66"/>
  <c r="I44" i="66"/>
  <c r="H44" i="66"/>
  <c r="G44" i="66"/>
  <c r="F44" i="66"/>
  <c r="E44" i="66"/>
  <c r="O43" i="66"/>
  <c r="O42" i="66"/>
  <c r="O44" i="66" s="1"/>
  <c r="N41" i="66"/>
  <c r="M41" i="66"/>
  <c r="L41" i="66"/>
  <c r="K41" i="66"/>
  <c r="J41" i="66"/>
  <c r="I41" i="66"/>
  <c r="H41" i="66"/>
  <c r="G41" i="66"/>
  <c r="F41" i="66"/>
  <c r="E41" i="66"/>
  <c r="O40" i="66"/>
  <c r="O39" i="66"/>
  <c r="O41" i="66" s="1"/>
  <c r="N38" i="66"/>
  <c r="M38" i="66"/>
  <c r="L38" i="66"/>
  <c r="K38" i="66"/>
  <c r="J38" i="66"/>
  <c r="I38" i="66"/>
  <c r="H38" i="66"/>
  <c r="G38" i="66"/>
  <c r="F38" i="66"/>
  <c r="E38" i="66"/>
  <c r="O37" i="66"/>
  <c r="O36" i="66"/>
  <c r="O38" i="66" s="1"/>
  <c r="N35" i="66"/>
  <c r="M35" i="66"/>
  <c r="L35" i="66"/>
  <c r="K35" i="66"/>
  <c r="J35" i="66"/>
  <c r="I35" i="66"/>
  <c r="H35" i="66"/>
  <c r="G35" i="66"/>
  <c r="F35" i="66"/>
  <c r="E35" i="66"/>
  <c r="O34" i="66"/>
  <c r="O33" i="66"/>
  <c r="O35" i="66" s="1"/>
  <c r="N32" i="66"/>
  <c r="M32" i="66"/>
  <c r="L32" i="66"/>
  <c r="K32" i="66"/>
  <c r="J32" i="66"/>
  <c r="I32" i="66"/>
  <c r="H32" i="66"/>
  <c r="G32" i="66"/>
  <c r="F32" i="66"/>
  <c r="E32" i="66"/>
  <c r="O31" i="66"/>
  <c r="O30" i="66"/>
  <c r="O32" i="66" s="1"/>
  <c r="N29" i="66"/>
  <c r="M29" i="66"/>
  <c r="L29" i="66"/>
  <c r="K29" i="66"/>
  <c r="J29" i="66"/>
  <c r="I29" i="66"/>
  <c r="H29" i="66"/>
  <c r="G29" i="66"/>
  <c r="F29" i="66"/>
  <c r="E29" i="66"/>
  <c r="O28" i="66"/>
  <c r="O27" i="66"/>
  <c r="O29" i="66" s="1"/>
  <c r="N26" i="66"/>
  <c r="M26" i="66"/>
  <c r="L26" i="66"/>
  <c r="K26" i="66"/>
  <c r="J26" i="66"/>
  <c r="I26" i="66"/>
  <c r="H26" i="66"/>
  <c r="G26" i="66"/>
  <c r="F26" i="66"/>
  <c r="E26" i="66"/>
  <c r="O25" i="66"/>
  <c r="O24" i="66"/>
  <c r="O26" i="66" s="1"/>
  <c r="N23" i="66"/>
  <c r="M23" i="66"/>
  <c r="L23" i="66"/>
  <c r="K23" i="66"/>
  <c r="J23" i="66"/>
  <c r="I23" i="66"/>
  <c r="H23" i="66"/>
  <c r="G23" i="66"/>
  <c r="F23" i="66"/>
  <c r="E23" i="66"/>
  <c r="O22" i="66"/>
  <c r="O21" i="66"/>
  <c r="O23" i="66" s="1"/>
  <c r="N20" i="66"/>
  <c r="M20" i="66"/>
  <c r="L20" i="66"/>
  <c r="K20" i="66"/>
  <c r="J20" i="66"/>
  <c r="I20" i="66"/>
  <c r="H20" i="66"/>
  <c r="G20" i="66"/>
  <c r="F20" i="66"/>
  <c r="E20" i="66"/>
  <c r="O19" i="66"/>
  <c r="O18" i="66"/>
  <c r="O20" i="66" s="1"/>
  <c r="N17" i="66"/>
  <c r="M17" i="66"/>
  <c r="L17" i="66"/>
  <c r="K17" i="66"/>
  <c r="J17" i="66"/>
  <c r="I17" i="66"/>
  <c r="H17" i="66"/>
  <c r="G17" i="66"/>
  <c r="F17" i="66"/>
  <c r="E17" i="66"/>
  <c r="O16" i="66"/>
  <c r="O15" i="66"/>
  <c r="O17" i="66" s="1"/>
  <c r="N14" i="66"/>
  <c r="M14" i="66"/>
  <c r="L14" i="66"/>
  <c r="K14" i="66"/>
  <c r="J14" i="66"/>
  <c r="I14" i="66"/>
  <c r="H14" i="66"/>
  <c r="G14" i="66"/>
  <c r="F14" i="66"/>
  <c r="E14" i="66"/>
  <c r="O13" i="66"/>
  <c r="O12" i="66"/>
  <c r="O14" i="66" s="1"/>
  <c r="N11" i="66"/>
  <c r="M11" i="66"/>
  <c r="L11" i="66"/>
  <c r="K11" i="66"/>
  <c r="J11" i="66"/>
  <c r="I11" i="66"/>
  <c r="H11" i="66"/>
  <c r="G11" i="66"/>
  <c r="F11" i="66"/>
  <c r="E11" i="66"/>
  <c r="O10" i="66"/>
  <c r="O9" i="66"/>
  <c r="O11" i="66" s="1"/>
  <c r="N8" i="66"/>
  <c r="M8" i="66"/>
  <c r="L8" i="66"/>
  <c r="K8" i="66"/>
  <c r="J8" i="66"/>
  <c r="I8" i="66"/>
  <c r="H8" i="66"/>
  <c r="G8" i="66"/>
  <c r="F8" i="66"/>
  <c r="E8" i="66"/>
  <c r="O7" i="66"/>
  <c r="O6" i="66"/>
  <c r="O8" i="66" s="1"/>
  <c r="N5" i="66"/>
  <c r="N92" i="66" s="1"/>
  <c r="M5" i="66"/>
  <c r="M92" i="66" s="1"/>
  <c r="L5" i="66"/>
  <c r="L92" i="66" s="1"/>
  <c r="K5" i="66"/>
  <c r="K92" i="66" s="1"/>
  <c r="J5" i="66"/>
  <c r="J92" i="66" s="1"/>
  <c r="I5" i="66"/>
  <c r="I92" i="66" s="1"/>
  <c r="H5" i="66"/>
  <c r="H92" i="66" s="1"/>
  <c r="G5" i="66"/>
  <c r="G92" i="66" s="1"/>
  <c r="F5" i="66"/>
  <c r="F92" i="66" s="1"/>
  <c r="E5" i="66"/>
  <c r="E92" i="66" s="1"/>
  <c r="O4" i="66"/>
  <c r="O91" i="66" s="1"/>
  <c r="O3" i="66"/>
  <c r="O5" i="66" s="1"/>
  <c r="O92" i="66" s="1"/>
  <c r="N91" i="65"/>
  <c r="M91" i="65"/>
  <c r="L91" i="65"/>
  <c r="K91" i="65"/>
  <c r="J91" i="65"/>
  <c r="I91" i="65"/>
  <c r="H91" i="65"/>
  <c r="G91" i="65"/>
  <c r="F91" i="65"/>
  <c r="E91" i="65"/>
  <c r="N90" i="65"/>
  <c r="M90" i="65"/>
  <c r="L90" i="65"/>
  <c r="K90" i="65"/>
  <c r="J90" i="65"/>
  <c r="I90" i="65"/>
  <c r="H90" i="65"/>
  <c r="G90" i="65"/>
  <c r="F90" i="65"/>
  <c r="E90" i="65"/>
  <c r="N89" i="65"/>
  <c r="M89" i="65"/>
  <c r="L89" i="65"/>
  <c r="K89" i="65"/>
  <c r="J89" i="65"/>
  <c r="I89" i="65"/>
  <c r="H89" i="65"/>
  <c r="G89" i="65"/>
  <c r="F89" i="65"/>
  <c r="E89" i="65"/>
  <c r="O88" i="65"/>
  <c r="O87" i="65"/>
  <c r="O89" i="65" s="1"/>
  <c r="N86" i="65"/>
  <c r="M86" i="65"/>
  <c r="L86" i="65"/>
  <c r="K86" i="65"/>
  <c r="J86" i="65"/>
  <c r="I86" i="65"/>
  <c r="H86" i="65"/>
  <c r="G86" i="65"/>
  <c r="F86" i="65"/>
  <c r="E86" i="65"/>
  <c r="O85" i="65"/>
  <c r="O84" i="65"/>
  <c r="O86" i="65" s="1"/>
  <c r="N83" i="65"/>
  <c r="M83" i="65"/>
  <c r="L83" i="65"/>
  <c r="K83" i="65"/>
  <c r="J83" i="65"/>
  <c r="I83" i="65"/>
  <c r="H83" i="65"/>
  <c r="G83" i="65"/>
  <c r="F83" i="65"/>
  <c r="E83" i="65"/>
  <c r="O82" i="65"/>
  <c r="O81" i="65"/>
  <c r="O83" i="65" s="1"/>
  <c r="N80" i="65"/>
  <c r="M80" i="65"/>
  <c r="L80" i="65"/>
  <c r="K80" i="65"/>
  <c r="J80" i="65"/>
  <c r="I80" i="65"/>
  <c r="H80" i="65"/>
  <c r="G80" i="65"/>
  <c r="F80" i="65"/>
  <c r="E80" i="65"/>
  <c r="O79" i="65"/>
  <c r="O78" i="65"/>
  <c r="O80" i="65" s="1"/>
  <c r="N77" i="65"/>
  <c r="M77" i="65"/>
  <c r="L77" i="65"/>
  <c r="K77" i="65"/>
  <c r="J77" i="65"/>
  <c r="I77" i="65"/>
  <c r="H77" i="65"/>
  <c r="G77" i="65"/>
  <c r="F77" i="65"/>
  <c r="E77" i="65"/>
  <c r="O76" i="65"/>
  <c r="O75" i="65"/>
  <c r="O77" i="65" s="1"/>
  <c r="N74" i="65"/>
  <c r="M74" i="65"/>
  <c r="L74" i="65"/>
  <c r="K74" i="65"/>
  <c r="J74" i="65"/>
  <c r="I74" i="65"/>
  <c r="H74" i="65"/>
  <c r="G74" i="65"/>
  <c r="F74" i="65"/>
  <c r="E74" i="65"/>
  <c r="O73" i="65"/>
  <c r="O72" i="65"/>
  <c r="O74" i="65" s="1"/>
  <c r="N71" i="65"/>
  <c r="M71" i="65"/>
  <c r="L71" i="65"/>
  <c r="K71" i="65"/>
  <c r="J71" i="65"/>
  <c r="I71" i="65"/>
  <c r="H71" i="65"/>
  <c r="G71" i="65"/>
  <c r="F71" i="65"/>
  <c r="E71" i="65"/>
  <c r="O70" i="65"/>
  <c r="O69" i="65"/>
  <c r="O71" i="65" s="1"/>
  <c r="N68" i="65"/>
  <c r="M68" i="65"/>
  <c r="L68" i="65"/>
  <c r="K68" i="65"/>
  <c r="J68" i="65"/>
  <c r="I68" i="65"/>
  <c r="H68" i="65"/>
  <c r="G68" i="65"/>
  <c r="F68" i="65"/>
  <c r="E68" i="65"/>
  <c r="O67" i="65"/>
  <c r="O66" i="65"/>
  <c r="O68" i="65" s="1"/>
  <c r="N65" i="65"/>
  <c r="M65" i="65"/>
  <c r="L65" i="65"/>
  <c r="K65" i="65"/>
  <c r="J65" i="65"/>
  <c r="I65" i="65"/>
  <c r="H65" i="65"/>
  <c r="G65" i="65"/>
  <c r="F65" i="65"/>
  <c r="E65" i="65"/>
  <c r="O64" i="65"/>
  <c r="O63" i="65"/>
  <c r="O65" i="65" s="1"/>
  <c r="N62" i="65"/>
  <c r="M62" i="65"/>
  <c r="L62" i="65"/>
  <c r="K62" i="65"/>
  <c r="J62" i="65"/>
  <c r="I62" i="65"/>
  <c r="H62" i="65"/>
  <c r="G62" i="65"/>
  <c r="F62" i="65"/>
  <c r="E62" i="65"/>
  <c r="O61" i="65"/>
  <c r="O60" i="65"/>
  <c r="O62" i="65" s="1"/>
  <c r="N59" i="65"/>
  <c r="M59" i="65"/>
  <c r="L59" i="65"/>
  <c r="K59" i="65"/>
  <c r="J59" i="65"/>
  <c r="I59" i="65"/>
  <c r="H59" i="65"/>
  <c r="G59" i="65"/>
  <c r="F59" i="65"/>
  <c r="E59" i="65"/>
  <c r="O58" i="65"/>
  <c r="O57" i="65"/>
  <c r="O59" i="65" s="1"/>
  <c r="N56" i="65"/>
  <c r="M56" i="65"/>
  <c r="L56" i="65"/>
  <c r="K56" i="65"/>
  <c r="J56" i="65"/>
  <c r="I56" i="65"/>
  <c r="H56" i="65"/>
  <c r="G56" i="65"/>
  <c r="F56" i="65"/>
  <c r="E56" i="65"/>
  <c r="O55" i="65"/>
  <c r="O54" i="65"/>
  <c r="O56" i="65" s="1"/>
  <c r="N53" i="65"/>
  <c r="M53" i="65"/>
  <c r="L53" i="65"/>
  <c r="K53" i="65"/>
  <c r="J53" i="65"/>
  <c r="I53" i="65"/>
  <c r="H53" i="65"/>
  <c r="G53" i="65"/>
  <c r="F53" i="65"/>
  <c r="E53" i="65"/>
  <c r="O52" i="65"/>
  <c r="O51" i="65"/>
  <c r="O53" i="65" s="1"/>
  <c r="N50" i="65"/>
  <c r="M50" i="65"/>
  <c r="L50" i="65"/>
  <c r="K50" i="65"/>
  <c r="J50" i="65"/>
  <c r="I50" i="65"/>
  <c r="H50" i="65"/>
  <c r="G50" i="65"/>
  <c r="F50" i="65"/>
  <c r="E50" i="65"/>
  <c r="O49" i="65"/>
  <c r="O48" i="65"/>
  <c r="O50" i="65" s="1"/>
  <c r="N47" i="65"/>
  <c r="M47" i="65"/>
  <c r="L47" i="65"/>
  <c r="K47" i="65"/>
  <c r="J47" i="65"/>
  <c r="I47" i="65"/>
  <c r="H47" i="65"/>
  <c r="G47" i="65"/>
  <c r="F47" i="65"/>
  <c r="E47" i="65"/>
  <c r="O46" i="65"/>
  <c r="O45" i="65"/>
  <c r="O47" i="65" s="1"/>
  <c r="N44" i="65"/>
  <c r="M44" i="65"/>
  <c r="L44" i="65"/>
  <c r="K44" i="65"/>
  <c r="J44" i="65"/>
  <c r="I44" i="65"/>
  <c r="H44" i="65"/>
  <c r="G44" i="65"/>
  <c r="F44" i="65"/>
  <c r="E44" i="65"/>
  <c r="O43" i="65"/>
  <c r="O42" i="65"/>
  <c r="O44" i="65" s="1"/>
  <c r="N41" i="65"/>
  <c r="M41" i="65"/>
  <c r="L41" i="65"/>
  <c r="K41" i="65"/>
  <c r="J41" i="65"/>
  <c r="I41" i="65"/>
  <c r="H41" i="65"/>
  <c r="G41" i="65"/>
  <c r="F41" i="65"/>
  <c r="E41" i="65"/>
  <c r="O40" i="65"/>
  <c r="O39" i="65"/>
  <c r="O41" i="65" s="1"/>
  <c r="N38" i="65"/>
  <c r="M38" i="65"/>
  <c r="L38" i="65"/>
  <c r="K38" i="65"/>
  <c r="J38" i="65"/>
  <c r="I38" i="65"/>
  <c r="H38" i="65"/>
  <c r="G38" i="65"/>
  <c r="F38" i="65"/>
  <c r="E38" i="65"/>
  <c r="O37" i="65"/>
  <c r="O36" i="65"/>
  <c r="O38" i="65" s="1"/>
  <c r="N35" i="65"/>
  <c r="M35" i="65"/>
  <c r="L35" i="65"/>
  <c r="K35" i="65"/>
  <c r="J35" i="65"/>
  <c r="I35" i="65"/>
  <c r="H35" i="65"/>
  <c r="G35" i="65"/>
  <c r="F35" i="65"/>
  <c r="E35" i="65"/>
  <c r="O34" i="65"/>
  <c r="O33" i="65"/>
  <c r="O35" i="65" s="1"/>
  <c r="N32" i="65"/>
  <c r="M32" i="65"/>
  <c r="L32" i="65"/>
  <c r="K32" i="65"/>
  <c r="J32" i="65"/>
  <c r="I32" i="65"/>
  <c r="H32" i="65"/>
  <c r="G32" i="65"/>
  <c r="F32" i="65"/>
  <c r="E32" i="65"/>
  <c r="O31" i="65"/>
  <c r="O30" i="65"/>
  <c r="O32" i="65" s="1"/>
  <c r="N29" i="65"/>
  <c r="M29" i="65"/>
  <c r="L29" i="65"/>
  <c r="K29" i="65"/>
  <c r="J29" i="65"/>
  <c r="I29" i="65"/>
  <c r="H29" i="65"/>
  <c r="G29" i="65"/>
  <c r="F29" i="65"/>
  <c r="E29" i="65"/>
  <c r="O28" i="65"/>
  <c r="O27" i="65"/>
  <c r="O29" i="65" s="1"/>
  <c r="N26" i="65"/>
  <c r="M26" i="65"/>
  <c r="L26" i="65"/>
  <c r="K26" i="65"/>
  <c r="J26" i="65"/>
  <c r="I26" i="65"/>
  <c r="H26" i="65"/>
  <c r="G26" i="65"/>
  <c r="F26" i="65"/>
  <c r="E26" i="65"/>
  <c r="O25" i="65"/>
  <c r="O24" i="65"/>
  <c r="O26" i="65" s="1"/>
  <c r="N23" i="65"/>
  <c r="M23" i="65"/>
  <c r="L23" i="65"/>
  <c r="K23" i="65"/>
  <c r="J23" i="65"/>
  <c r="I23" i="65"/>
  <c r="H23" i="65"/>
  <c r="G23" i="65"/>
  <c r="F23" i="65"/>
  <c r="E23" i="65"/>
  <c r="O22" i="65"/>
  <c r="O21" i="65"/>
  <c r="O23" i="65" s="1"/>
  <c r="N20" i="65"/>
  <c r="M20" i="65"/>
  <c r="L20" i="65"/>
  <c r="K20" i="65"/>
  <c r="J20" i="65"/>
  <c r="I20" i="65"/>
  <c r="H20" i="65"/>
  <c r="G20" i="65"/>
  <c r="F20" i="65"/>
  <c r="E20" i="65"/>
  <c r="O19" i="65"/>
  <c r="O18" i="65"/>
  <c r="O20" i="65" s="1"/>
  <c r="N17" i="65"/>
  <c r="M17" i="65"/>
  <c r="L17" i="65"/>
  <c r="K17" i="65"/>
  <c r="J17" i="65"/>
  <c r="I17" i="65"/>
  <c r="H17" i="65"/>
  <c r="G17" i="65"/>
  <c r="F17" i="65"/>
  <c r="E17" i="65"/>
  <c r="O16" i="65"/>
  <c r="O15" i="65"/>
  <c r="O17" i="65" s="1"/>
  <c r="N14" i="65"/>
  <c r="M14" i="65"/>
  <c r="L14" i="65"/>
  <c r="K14" i="65"/>
  <c r="J14" i="65"/>
  <c r="I14" i="65"/>
  <c r="H14" i="65"/>
  <c r="G14" i="65"/>
  <c r="F14" i="65"/>
  <c r="E14" i="65"/>
  <c r="O13" i="65"/>
  <c r="O12" i="65"/>
  <c r="O14" i="65" s="1"/>
  <c r="N11" i="65"/>
  <c r="M11" i="65"/>
  <c r="L11" i="65"/>
  <c r="K11" i="65"/>
  <c r="J11" i="65"/>
  <c r="I11" i="65"/>
  <c r="H11" i="65"/>
  <c r="G11" i="65"/>
  <c r="F11" i="65"/>
  <c r="E11" i="65"/>
  <c r="O10" i="65"/>
  <c r="O9" i="65"/>
  <c r="O11" i="65" s="1"/>
  <c r="N8" i="65"/>
  <c r="M8" i="65"/>
  <c r="L8" i="65"/>
  <c r="K8" i="65"/>
  <c r="J8" i="65"/>
  <c r="I8" i="65"/>
  <c r="H8" i="65"/>
  <c r="G8" i="65"/>
  <c r="F8" i="65"/>
  <c r="E8" i="65"/>
  <c r="O7" i="65"/>
  <c r="O6" i="65"/>
  <c r="O8" i="65" s="1"/>
  <c r="N5" i="65"/>
  <c r="N92" i="65" s="1"/>
  <c r="M5" i="65"/>
  <c r="M92" i="65" s="1"/>
  <c r="L5" i="65"/>
  <c r="L92" i="65" s="1"/>
  <c r="K5" i="65"/>
  <c r="K92" i="65" s="1"/>
  <c r="J5" i="65"/>
  <c r="J92" i="65" s="1"/>
  <c r="I5" i="65"/>
  <c r="I92" i="65" s="1"/>
  <c r="H5" i="65"/>
  <c r="H92" i="65" s="1"/>
  <c r="G5" i="65"/>
  <c r="G92" i="65" s="1"/>
  <c r="F5" i="65"/>
  <c r="F92" i="65" s="1"/>
  <c r="E5" i="65"/>
  <c r="E92" i="65" s="1"/>
  <c r="O4" i="65"/>
  <c r="O91" i="65" s="1"/>
  <c r="O3" i="65"/>
  <c r="O5" i="65" s="1"/>
  <c r="O92" i="65" s="1"/>
  <c r="K91" i="64"/>
  <c r="J91" i="64"/>
  <c r="I91" i="64"/>
  <c r="H91" i="64"/>
  <c r="G91" i="64"/>
  <c r="F91" i="64"/>
  <c r="E91" i="64"/>
  <c r="K90" i="64"/>
  <c r="J90" i="64"/>
  <c r="I90" i="64"/>
  <c r="H90" i="64"/>
  <c r="G90" i="64"/>
  <c r="F90" i="64"/>
  <c r="E90" i="64"/>
  <c r="K89" i="64"/>
  <c r="J89" i="64"/>
  <c r="I89" i="64"/>
  <c r="H89" i="64"/>
  <c r="G89" i="64"/>
  <c r="F89" i="64"/>
  <c r="E89" i="64"/>
  <c r="L88" i="64"/>
  <c r="L87" i="64"/>
  <c r="K86" i="64"/>
  <c r="J86" i="64"/>
  <c r="I86" i="64"/>
  <c r="H86" i="64"/>
  <c r="G86" i="64"/>
  <c r="F86" i="64"/>
  <c r="E86" i="64"/>
  <c r="L85" i="64"/>
  <c r="L84" i="64"/>
  <c r="L86" i="64" s="1"/>
  <c r="K83" i="64"/>
  <c r="J83" i="64"/>
  <c r="I83" i="64"/>
  <c r="H83" i="64"/>
  <c r="G83" i="64"/>
  <c r="F83" i="64"/>
  <c r="E83" i="64"/>
  <c r="L82" i="64"/>
  <c r="L81" i="64"/>
  <c r="K80" i="64"/>
  <c r="J80" i="64"/>
  <c r="I80" i="64"/>
  <c r="H80" i="64"/>
  <c r="G80" i="64"/>
  <c r="F80" i="64"/>
  <c r="E80" i="64"/>
  <c r="L79" i="64"/>
  <c r="L78" i="64"/>
  <c r="L80" i="64" s="1"/>
  <c r="K77" i="64"/>
  <c r="J77" i="64"/>
  <c r="I77" i="64"/>
  <c r="H77" i="64"/>
  <c r="G77" i="64"/>
  <c r="F77" i="64"/>
  <c r="E77" i="64"/>
  <c r="L76" i="64"/>
  <c r="L75" i="64"/>
  <c r="K74" i="64"/>
  <c r="J74" i="64"/>
  <c r="I74" i="64"/>
  <c r="H74" i="64"/>
  <c r="G74" i="64"/>
  <c r="F74" i="64"/>
  <c r="E74" i="64"/>
  <c r="L73" i="64"/>
  <c r="L72" i="64"/>
  <c r="L74" i="64" s="1"/>
  <c r="K71" i="64"/>
  <c r="J71" i="64"/>
  <c r="I71" i="64"/>
  <c r="H71" i="64"/>
  <c r="G71" i="64"/>
  <c r="F71" i="64"/>
  <c r="E71" i="64"/>
  <c r="L70" i="64"/>
  <c r="L69" i="64"/>
  <c r="K68" i="64"/>
  <c r="J68" i="64"/>
  <c r="I68" i="64"/>
  <c r="H68" i="64"/>
  <c r="G68" i="64"/>
  <c r="F68" i="64"/>
  <c r="E68" i="64"/>
  <c r="L67" i="64"/>
  <c r="L66" i="64"/>
  <c r="L68" i="64" s="1"/>
  <c r="K65" i="64"/>
  <c r="J65" i="64"/>
  <c r="I65" i="64"/>
  <c r="H65" i="64"/>
  <c r="G65" i="64"/>
  <c r="F65" i="64"/>
  <c r="E65" i="64"/>
  <c r="L64" i="64"/>
  <c r="L63" i="64"/>
  <c r="K62" i="64"/>
  <c r="J62" i="64"/>
  <c r="I62" i="64"/>
  <c r="H62" i="64"/>
  <c r="G62" i="64"/>
  <c r="F62" i="64"/>
  <c r="E62" i="64"/>
  <c r="L61" i="64"/>
  <c r="L60" i="64"/>
  <c r="L62" i="64" s="1"/>
  <c r="K59" i="64"/>
  <c r="J59" i="64"/>
  <c r="I59" i="64"/>
  <c r="H59" i="64"/>
  <c r="G59" i="64"/>
  <c r="F59" i="64"/>
  <c r="E59" i="64"/>
  <c r="L58" i="64"/>
  <c r="L57" i="64"/>
  <c r="K56" i="64"/>
  <c r="J56" i="64"/>
  <c r="I56" i="64"/>
  <c r="H56" i="64"/>
  <c r="G56" i="64"/>
  <c r="F56" i="64"/>
  <c r="E56" i="64"/>
  <c r="L55" i="64"/>
  <c r="L54" i="64"/>
  <c r="L56" i="64" s="1"/>
  <c r="K53" i="64"/>
  <c r="J53" i="64"/>
  <c r="I53" i="64"/>
  <c r="H53" i="64"/>
  <c r="G53" i="64"/>
  <c r="F53" i="64"/>
  <c r="E53" i="64"/>
  <c r="L52" i="64"/>
  <c r="L51" i="64"/>
  <c r="K50" i="64"/>
  <c r="J50" i="64"/>
  <c r="I50" i="64"/>
  <c r="H50" i="64"/>
  <c r="G50" i="64"/>
  <c r="F50" i="64"/>
  <c r="E50" i="64"/>
  <c r="L49" i="64"/>
  <c r="L48" i="64"/>
  <c r="L50" i="64" s="1"/>
  <c r="K47" i="64"/>
  <c r="J47" i="64"/>
  <c r="I47" i="64"/>
  <c r="H47" i="64"/>
  <c r="G47" i="64"/>
  <c r="F47" i="64"/>
  <c r="E47" i="64"/>
  <c r="L46" i="64"/>
  <c r="L45" i="64"/>
  <c r="K44" i="64"/>
  <c r="J44" i="64"/>
  <c r="I44" i="64"/>
  <c r="H44" i="64"/>
  <c r="G44" i="64"/>
  <c r="F44" i="64"/>
  <c r="E44" i="64"/>
  <c r="L43" i="64"/>
  <c r="L42" i="64"/>
  <c r="L44" i="64" s="1"/>
  <c r="K41" i="64"/>
  <c r="J41" i="64"/>
  <c r="I41" i="64"/>
  <c r="H41" i="64"/>
  <c r="G41" i="64"/>
  <c r="F41" i="64"/>
  <c r="E41" i="64"/>
  <c r="L40" i="64"/>
  <c r="L39" i="64"/>
  <c r="K38" i="64"/>
  <c r="J38" i="64"/>
  <c r="I38" i="64"/>
  <c r="H38" i="64"/>
  <c r="G38" i="64"/>
  <c r="F38" i="64"/>
  <c r="E38" i="64"/>
  <c r="L37" i="64"/>
  <c r="L36" i="64"/>
  <c r="L38" i="64" s="1"/>
  <c r="K35" i="64"/>
  <c r="J35" i="64"/>
  <c r="I35" i="64"/>
  <c r="H35" i="64"/>
  <c r="G35" i="64"/>
  <c r="F35" i="64"/>
  <c r="E35" i="64"/>
  <c r="L34" i="64"/>
  <c r="L33" i="64"/>
  <c r="K32" i="64"/>
  <c r="J32" i="64"/>
  <c r="I32" i="64"/>
  <c r="H32" i="64"/>
  <c r="G32" i="64"/>
  <c r="F32" i="64"/>
  <c r="E32" i="64"/>
  <c r="L31" i="64"/>
  <c r="L30" i="64"/>
  <c r="L32" i="64" s="1"/>
  <c r="K29" i="64"/>
  <c r="J29" i="64"/>
  <c r="I29" i="64"/>
  <c r="H29" i="64"/>
  <c r="G29" i="64"/>
  <c r="F29" i="64"/>
  <c r="E29" i="64"/>
  <c r="L28" i="64"/>
  <c r="L27" i="64"/>
  <c r="K26" i="64"/>
  <c r="J26" i="64"/>
  <c r="I26" i="64"/>
  <c r="H26" i="64"/>
  <c r="G26" i="64"/>
  <c r="F26" i="64"/>
  <c r="E26" i="64"/>
  <c r="L25" i="64"/>
  <c r="L24" i="64"/>
  <c r="L26" i="64" s="1"/>
  <c r="K23" i="64"/>
  <c r="J23" i="64"/>
  <c r="I23" i="64"/>
  <c r="H23" i="64"/>
  <c r="G23" i="64"/>
  <c r="F23" i="64"/>
  <c r="E23" i="64"/>
  <c r="L22" i="64"/>
  <c r="L21" i="64"/>
  <c r="K20" i="64"/>
  <c r="J20" i="64"/>
  <c r="I20" i="64"/>
  <c r="H20" i="64"/>
  <c r="G20" i="64"/>
  <c r="F20" i="64"/>
  <c r="E20" i="64"/>
  <c r="L19" i="64"/>
  <c r="L18" i="64"/>
  <c r="L20" i="64" s="1"/>
  <c r="K17" i="64"/>
  <c r="J17" i="64"/>
  <c r="I17" i="64"/>
  <c r="H17" i="64"/>
  <c r="G17" i="64"/>
  <c r="F17" i="64"/>
  <c r="E17" i="64"/>
  <c r="L16" i="64"/>
  <c r="L15" i="64"/>
  <c r="K14" i="64"/>
  <c r="J14" i="64"/>
  <c r="I14" i="64"/>
  <c r="H14" i="64"/>
  <c r="G14" i="64"/>
  <c r="F14" i="64"/>
  <c r="E14" i="64"/>
  <c r="L13" i="64"/>
  <c r="L12" i="64"/>
  <c r="L14" i="64" s="1"/>
  <c r="K11" i="64"/>
  <c r="J11" i="64"/>
  <c r="I11" i="64"/>
  <c r="H11" i="64"/>
  <c r="G11" i="64"/>
  <c r="F11" i="64"/>
  <c r="E11" i="64"/>
  <c r="L10" i="64"/>
  <c r="L9" i="64"/>
  <c r="K8" i="64"/>
  <c r="J8" i="64"/>
  <c r="I8" i="64"/>
  <c r="H8" i="64"/>
  <c r="G8" i="64"/>
  <c r="F8" i="64"/>
  <c r="E8" i="64"/>
  <c r="L7" i="64"/>
  <c r="L6" i="64"/>
  <c r="L8" i="64" s="1"/>
  <c r="K5" i="64"/>
  <c r="J5" i="64"/>
  <c r="J92" i="64" s="1"/>
  <c r="I5" i="64"/>
  <c r="H5" i="64"/>
  <c r="H92" i="64" s="1"/>
  <c r="G5" i="64"/>
  <c r="F5" i="64"/>
  <c r="F92" i="64" s="1"/>
  <c r="E5" i="64"/>
  <c r="L4" i="64"/>
  <c r="L91" i="64" s="1"/>
  <c r="L3" i="64"/>
  <c r="K91" i="63"/>
  <c r="J91" i="63"/>
  <c r="I91" i="63"/>
  <c r="H91" i="63"/>
  <c r="G91" i="63"/>
  <c r="F91" i="63"/>
  <c r="E91" i="63"/>
  <c r="K90" i="63"/>
  <c r="J90" i="63"/>
  <c r="I90" i="63"/>
  <c r="H90" i="63"/>
  <c r="G90" i="63"/>
  <c r="F90" i="63"/>
  <c r="E90" i="63"/>
  <c r="K89" i="63"/>
  <c r="J89" i="63"/>
  <c r="I89" i="63"/>
  <c r="H89" i="63"/>
  <c r="G89" i="63"/>
  <c r="F89" i="63"/>
  <c r="E89" i="63"/>
  <c r="L88" i="63"/>
  <c r="L87" i="63"/>
  <c r="L89" i="63" s="1"/>
  <c r="K86" i="63"/>
  <c r="J86" i="63"/>
  <c r="I86" i="63"/>
  <c r="H86" i="63"/>
  <c r="G86" i="63"/>
  <c r="F86" i="63"/>
  <c r="E86" i="63"/>
  <c r="L85" i="63"/>
  <c r="L84" i="63"/>
  <c r="K83" i="63"/>
  <c r="J83" i="63"/>
  <c r="I83" i="63"/>
  <c r="H83" i="63"/>
  <c r="G83" i="63"/>
  <c r="F83" i="63"/>
  <c r="E83" i="63"/>
  <c r="L82" i="63"/>
  <c r="L81" i="63"/>
  <c r="L83" i="63" s="1"/>
  <c r="K80" i="63"/>
  <c r="J80" i="63"/>
  <c r="I80" i="63"/>
  <c r="H80" i="63"/>
  <c r="G80" i="63"/>
  <c r="F80" i="63"/>
  <c r="E80" i="63"/>
  <c r="L79" i="63"/>
  <c r="L78" i="63"/>
  <c r="K77" i="63"/>
  <c r="J77" i="63"/>
  <c r="I77" i="63"/>
  <c r="H77" i="63"/>
  <c r="G77" i="63"/>
  <c r="F77" i="63"/>
  <c r="E77" i="63"/>
  <c r="L76" i="63"/>
  <c r="L75" i="63"/>
  <c r="L77" i="63" s="1"/>
  <c r="K74" i="63"/>
  <c r="J74" i="63"/>
  <c r="I74" i="63"/>
  <c r="H74" i="63"/>
  <c r="G74" i="63"/>
  <c r="F74" i="63"/>
  <c r="E74" i="63"/>
  <c r="L73" i="63"/>
  <c r="L72" i="63"/>
  <c r="K71" i="63"/>
  <c r="J71" i="63"/>
  <c r="I71" i="63"/>
  <c r="H71" i="63"/>
  <c r="G71" i="63"/>
  <c r="F71" i="63"/>
  <c r="E71" i="63"/>
  <c r="L70" i="63"/>
  <c r="L69" i="63"/>
  <c r="L71" i="63" s="1"/>
  <c r="K68" i="63"/>
  <c r="J68" i="63"/>
  <c r="I68" i="63"/>
  <c r="H68" i="63"/>
  <c r="G68" i="63"/>
  <c r="F68" i="63"/>
  <c r="E68" i="63"/>
  <c r="L67" i="63"/>
  <c r="L66" i="63"/>
  <c r="K65" i="63"/>
  <c r="J65" i="63"/>
  <c r="I65" i="63"/>
  <c r="H65" i="63"/>
  <c r="G65" i="63"/>
  <c r="F65" i="63"/>
  <c r="E65" i="63"/>
  <c r="L64" i="63"/>
  <c r="L63" i="63"/>
  <c r="L65" i="63" s="1"/>
  <c r="K62" i="63"/>
  <c r="J62" i="63"/>
  <c r="I62" i="63"/>
  <c r="H62" i="63"/>
  <c r="G62" i="63"/>
  <c r="F62" i="63"/>
  <c r="E62" i="63"/>
  <c r="L61" i="63"/>
  <c r="L60" i="63"/>
  <c r="K59" i="63"/>
  <c r="J59" i="63"/>
  <c r="I59" i="63"/>
  <c r="H59" i="63"/>
  <c r="G59" i="63"/>
  <c r="F59" i="63"/>
  <c r="E59" i="63"/>
  <c r="L58" i="63"/>
  <c r="L57" i="63"/>
  <c r="L59" i="63" s="1"/>
  <c r="K56" i="63"/>
  <c r="J56" i="63"/>
  <c r="I56" i="63"/>
  <c r="H56" i="63"/>
  <c r="G56" i="63"/>
  <c r="F56" i="63"/>
  <c r="E56" i="63"/>
  <c r="L55" i="63"/>
  <c r="L54" i="63"/>
  <c r="K53" i="63"/>
  <c r="J53" i="63"/>
  <c r="I53" i="63"/>
  <c r="H53" i="63"/>
  <c r="G53" i="63"/>
  <c r="F53" i="63"/>
  <c r="E53" i="63"/>
  <c r="L52" i="63"/>
  <c r="L51" i="63"/>
  <c r="L53" i="63" s="1"/>
  <c r="K50" i="63"/>
  <c r="J50" i="63"/>
  <c r="I50" i="63"/>
  <c r="H50" i="63"/>
  <c r="G50" i="63"/>
  <c r="F50" i="63"/>
  <c r="E50" i="63"/>
  <c r="L49" i="63"/>
  <c r="L48" i="63"/>
  <c r="K47" i="63"/>
  <c r="J47" i="63"/>
  <c r="I47" i="63"/>
  <c r="H47" i="63"/>
  <c r="G47" i="63"/>
  <c r="F47" i="63"/>
  <c r="E47" i="63"/>
  <c r="L46" i="63"/>
  <c r="L45" i="63"/>
  <c r="L47" i="63" s="1"/>
  <c r="K44" i="63"/>
  <c r="J44" i="63"/>
  <c r="I44" i="63"/>
  <c r="H44" i="63"/>
  <c r="G44" i="63"/>
  <c r="F44" i="63"/>
  <c r="E44" i="63"/>
  <c r="L43" i="63"/>
  <c r="L42" i="63"/>
  <c r="K41" i="63"/>
  <c r="J41" i="63"/>
  <c r="I41" i="63"/>
  <c r="H41" i="63"/>
  <c r="G41" i="63"/>
  <c r="F41" i="63"/>
  <c r="E41" i="63"/>
  <c r="L40" i="63"/>
  <c r="L39" i="63"/>
  <c r="L41" i="63" s="1"/>
  <c r="K38" i="63"/>
  <c r="J38" i="63"/>
  <c r="I38" i="63"/>
  <c r="H38" i="63"/>
  <c r="G38" i="63"/>
  <c r="F38" i="63"/>
  <c r="E38" i="63"/>
  <c r="L37" i="63"/>
  <c r="L36" i="63"/>
  <c r="K35" i="63"/>
  <c r="J35" i="63"/>
  <c r="I35" i="63"/>
  <c r="H35" i="63"/>
  <c r="G35" i="63"/>
  <c r="F35" i="63"/>
  <c r="E35" i="63"/>
  <c r="L34" i="63"/>
  <c r="L33" i="63"/>
  <c r="L35" i="63" s="1"/>
  <c r="K32" i="63"/>
  <c r="J32" i="63"/>
  <c r="I32" i="63"/>
  <c r="H32" i="63"/>
  <c r="G32" i="63"/>
  <c r="F32" i="63"/>
  <c r="E32" i="63"/>
  <c r="L31" i="63"/>
  <c r="L30" i="63"/>
  <c r="K29" i="63"/>
  <c r="J29" i="63"/>
  <c r="I29" i="63"/>
  <c r="H29" i="63"/>
  <c r="G29" i="63"/>
  <c r="F29" i="63"/>
  <c r="E29" i="63"/>
  <c r="L28" i="63"/>
  <c r="L27" i="63"/>
  <c r="L29" i="63" s="1"/>
  <c r="K26" i="63"/>
  <c r="J26" i="63"/>
  <c r="I26" i="63"/>
  <c r="H26" i="63"/>
  <c r="G26" i="63"/>
  <c r="F26" i="63"/>
  <c r="E26" i="63"/>
  <c r="L25" i="63"/>
  <c r="L24" i="63"/>
  <c r="K23" i="63"/>
  <c r="J23" i="63"/>
  <c r="I23" i="63"/>
  <c r="H23" i="63"/>
  <c r="G23" i="63"/>
  <c r="F23" i="63"/>
  <c r="E23" i="63"/>
  <c r="L22" i="63"/>
  <c r="L21" i="63"/>
  <c r="L23" i="63" s="1"/>
  <c r="K20" i="63"/>
  <c r="J20" i="63"/>
  <c r="I20" i="63"/>
  <c r="H20" i="63"/>
  <c r="G20" i="63"/>
  <c r="F20" i="63"/>
  <c r="E20" i="63"/>
  <c r="L19" i="63"/>
  <c r="L18" i="63"/>
  <c r="K17" i="63"/>
  <c r="J17" i="63"/>
  <c r="I17" i="63"/>
  <c r="H17" i="63"/>
  <c r="G17" i="63"/>
  <c r="F17" i="63"/>
  <c r="E17" i="63"/>
  <c r="L16" i="63"/>
  <c r="L15" i="63"/>
  <c r="K14" i="63"/>
  <c r="J14" i="63"/>
  <c r="I14" i="63"/>
  <c r="H14" i="63"/>
  <c r="G14" i="63"/>
  <c r="F14" i="63"/>
  <c r="E14" i="63"/>
  <c r="L13" i="63"/>
  <c r="L14" i="63" s="1"/>
  <c r="L12" i="63"/>
  <c r="K11" i="63"/>
  <c r="J11" i="63"/>
  <c r="I11" i="63"/>
  <c r="H11" i="63"/>
  <c r="G11" i="63"/>
  <c r="F11" i="63"/>
  <c r="E11" i="63"/>
  <c r="L10" i="63"/>
  <c r="L9" i="63"/>
  <c r="K8" i="63"/>
  <c r="J8" i="63"/>
  <c r="I8" i="63"/>
  <c r="H8" i="63"/>
  <c r="G8" i="63"/>
  <c r="F8" i="63"/>
  <c r="E8" i="63"/>
  <c r="L7" i="63"/>
  <c r="L8" i="63" s="1"/>
  <c r="L6" i="63"/>
  <c r="K5" i="63"/>
  <c r="K92" i="63" s="1"/>
  <c r="J5" i="63"/>
  <c r="I5" i="63"/>
  <c r="I92" i="63" s="1"/>
  <c r="H5" i="63"/>
  <c r="G5" i="63"/>
  <c r="G92" i="63" s="1"/>
  <c r="F5" i="63"/>
  <c r="E5" i="63"/>
  <c r="E92" i="63" s="1"/>
  <c r="L4" i="63"/>
  <c r="L3" i="63"/>
  <c r="L90" i="63" s="1"/>
  <c r="K91" i="62"/>
  <c r="J91" i="62"/>
  <c r="I91" i="62"/>
  <c r="H91" i="62"/>
  <c r="G91" i="62"/>
  <c r="F91" i="62"/>
  <c r="E91" i="62"/>
  <c r="K90" i="62"/>
  <c r="J90" i="62"/>
  <c r="I90" i="62"/>
  <c r="H90" i="62"/>
  <c r="G90" i="62"/>
  <c r="F90" i="62"/>
  <c r="E90" i="62"/>
  <c r="K89" i="62"/>
  <c r="J89" i="62"/>
  <c r="I89" i="62"/>
  <c r="H89" i="62"/>
  <c r="G89" i="62"/>
  <c r="F89" i="62"/>
  <c r="E89" i="62"/>
  <c r="L88" i="62"/>
  <c r="L87" i="62"/>
  <c r="K86" i="62"/>
  <c r="J86" i="62"/>
  <c r="I86" i="62"/>
  <c r="H86" i="62"/>
  <c r="G86" i="62"/>
  <c r="F86" i="62"/>
  <c r="E86" i="62"/>
  <c r="L85" i="62"/>
  <c r="L84" i="62"/>
  <c r="L86" i="62" s="1"/>
  <c r="K83" i="62"/>
  <c r="J83" i="62"/>
  <c r="I83" i="62"/>
  <c r="H83" i="62"/>
  <c r="G83" i="62"/>
  <c r="F83" i="62"/>
  <c r="E83" i="62"/>
  <c r="L82" i="62"/>
  <c r="L81" i="62"/>
  <c r="K80" i="62"/>
  <c r="J80" i="62"/>
  <c r="I80" i="62"/>
  <c r="H80" i="62"/>
  <c r="G80" i="62"/>
  <c r="F80" i="62"/>
  <c r="E80" i="62"/>
  <c r="L79" i="62"/>
  <c r="L78" i="62"/>
  <c r="L80" i="62" s="1"/>
  <c r="K77" i="62"/>
  <c r="J77" i="62"/>
  <c r="I77" i="62"/>
  <c r="H77" i="62"/>
  <c r="G77" i="62"/>
  <c r="F77" i="62"/>
  <c r="E77" i="62"/>
  <c r="L76" i="62"/>
  <c r="L75" i="62"/>
  <c r="K74" i="62"/>
  <c r="J74" i="62"/>
  <c r="I74" i="62"/>
  <c r="H74" i="62"/>
  <c r="G74" i="62"/>
  <c r="F74" i="62"/>
  <c r="E74" i="62"/>
  <c r="L73" i="62"/>
  <c r="L72" i="62"/>
  <c r="L74" i="62" s="1"/>
  <c r="K71" i="62"/>
  <c r="J71" i="62"/>
  <c r="I71" i="62"/>
  <c r="H71" i="62"/>
  <c r="G71" i="62"/>
  <c r="F71" i="62"/>
  <c r="E71" i="62"/>
  <c r="L70" i="62"/>
  <c r="L69" i="62"/>
  <c r="K68" i="62"/>
  <c r="J68" i="62"/>
  <c r="I68" i="62"/>
  <c r="H68" i="62"/>
  <c r="G68" i="62"/>
  <c r="F68" i="62"/>
  <c r="E68" i="62"/>
  <c r="L67" i="62"/>
  <c r="L66" i="62"/>
  <c r="L68" i="62" s="1"/>
  <c r="K65" i="62"/>
  <c r="J65" i="62"/>
  <c r="I65" i="62"/>
  <c r="H65" i="62"/>
  <c r="G65" i="62"/>
  <c r="F65" i="62"/>
  <c r="E65" i="62"/>
  <c r="L64" i="62"/>
  <c r="L63" i="62"/>
  <c r="K62" i="62"/>
  <c r="J62" i="62"/>
  <c r="I62" i="62"/>
  <c r="H62" i="62"/>
  <c r="G62" i="62"/>
  <c r="F62" i="62"/>
  <c r="E62" i="62"/>
  <c r="L61" i="62"/>
  <c r="L60" i="62"/>
  <c r="L62" i="62" s="1"/>
  <c r="K59" i="62"/>
  <c r="J59" i="62"/>
  <c r="I59" i="62"/>
  <c r="H59" i="62"/>
  <c r="G59" i="62"/>
  <c r="F59" i="62"/>
  <c r="E59" i="62"/>
  <c r="L58" i="62"/>
  <c r="L57" i="62"/>
  <c r="K56" i="62"/>
  <c r="J56" i="62"/>
  <c r="I56" i="62"/>
  <c r="H56" i="62"/>
  <c r="G56" i="62"/>
  <c r="F56" i="62"/>
  <c r="E56" i="62"/>
  <c r="L55" i="62"/>
  <c r="L54" i="62"/>
  <c r="L56" i="62" s="1"/>
  <c r="K53" i="62"/>
  <c r="J53" i="62"/>
  <c r="I53" i="62"/>
  <c r="H53" i="62"/>
  <c r="G53" i="62"/>
  <c r="F53" i="62"/>
  <c r="E53" i="62"/>
  <c r="L52" i="62"/>
  <c r="L51" i="62"/>
  <c r="K50" i="62"/>
  <c r="J50" i="62"/>
  <c r="I50" i="62"/>
  <c r="H50" i="62"/>
  <c r="G50" i="62"/>
  <c r="F50" i="62"/>
  <c r="E50" i="62"/>
  <c r="L49" i="62"/>
  <c r="L48" i="62"/>
  <c r="L50" i="62" s="1"/>
  <c r="K47" i="62"/>
  <c r="J47" i="62"/>
  <c r="I47" i="62"/>
  <c r="H47" i="62"/>
  <c r="G47" i="62"/>
  <c r="F47" i="62"/>
  <c r="E47" i="62"/>
  <c r="L46" i="62"/>
  <c r="L45" i="62"/>
  <c r="K44" i="62"/>
  <c r="J44" i="62"/>
  <c r="I44" i="62"/>
  <c r="H44" i="62"/>
  <c r="G44" i="62"/>
  <c r="F44" i="62"/>
  <c r="E44" i="62"/>
  <c r="L43" i="62"/>
  <c r="L42" i="62"/>
  <c r="L44" i="62" s="1"/>
  <c r="K41" i="62"/>
  <c r="J41" i="62"/>
  <c r="I41" i="62"/>
  <c r="H41" i="62"/>
  <c r="G41" i="62"/>
  <c r="F41" i="62"/>
  <c r="E41" i="62"/>
  <c r="L40" i="62"/>
  <c r="L39" i="62"/>
  <c r="K38" i="62"/>
  <c r="J38" i="62"/>
  <c r="I38" i="62"/>
  <c r="H38" i="62"/>
  <c r="G38" i="62"/>
  <c r="F38" i="62"/>
  <c r="E38" i="62"/>
  <c r="L37" i="62"/>
  <c r="L36" i="62"/>
  <c r="L38" i="62" s="1"/>
  <c r="K35" i="62"/>
  <c r="J35" i="62"/>
  <c r="I35" i="62"/>
  <c r="H35" i="62"/>
  <c r="G35" i="62"/>
  <c r="F35" i="62"/>
  <c r="E35" i="62"/>
  <c r="L34" i="62"/>
  <c r="L33" i="62"/>
  <c r="K32" i="62"/>
  <c r="J32" i="62"/>
  <c r="I32" i="62"/>
  <c r="H32" i="62"/>
  <c r="G32" i="62"/>
  <c r="F32" i="62"/>
  <c r="E32" i="62"/>
  <c r="L31" i="62"/>
  <c r="L30" i="62"/>
  <c r="L32" i="62" s="1"/>
  <c r="K29" i="62"/>
  <c r="J29" i="62"/>
  <c r="I29" i="62"/>
  <c r="H29" i="62"/>
  <c r="G29" i="62"/>
  <c r="F29" i="62"/>
  <c r="E29" i="62"/>
  <c r="L28" i="62"/>
  <c r="L27" i="62"/>
  <c r="K26" i="62"/>
  <c r="J26" i="62"/>
  <c r="I26" i="62"/>
  <c r="H26" i="62"/>
  <c r="G26" i="62"/>
  <c r="F26" i="62"/>
  <c r="E26" i="62"/>
  <c r="L25" i="62"/>
  <c r="L24" i="62"/>
  <c r="L26" i="62" s="1"/>
  <c r="K23" i="62"/>
  <c r="J23" i="62"/>
  <c r="I23" i="62"/>
  <c r="H23" i="62"/>
  <c r="G23" i="62"/>
  <c r="F23" i="62"/>
  <c r="E23" i="62"/>
  <c r="L22" i="62"/>
  <c r="L21" i="62"/>
  <c r="K20" i="62"/>
  <c r="J20" i="62"/>
  <c r="I20" i="62"/>
  <c r="H20" i="62"/>
  <c r="G20" i="62"/>
  <c r="F20" i="62"/>
  <c r="E20" i="62"/>
  <c r="L19" i="62"/>
  <c r="L18" i="62"/>
  <c r="L20" i="62" s="1"/>
  <c r="K17" i="62"/>
  <c r="J17" i="62"/>
  <c r="I17" i="62"/>
  <c r="H17" i="62"/>
  <c r="G17" i="62"/>
  <c r="F17" i="62"/>
  <c r="E17" i="62"/>
  <c r="L16" i="62"/>
  <c r="L15" i="62"/>
  <c r="K14" i="62"/>
  <c r="J14" i="62"/>
  <c r="I14" i="62"/>
  <c r="H14" i="62"/>
  <c r="G14" i="62"/>
  <c r="F14" i="62"/>
  <c r="E14" i="62"/>
  <c r="L13" i="62"/>
  <c r="L12" i="62"/>
  <c r="L14" i="62" s="1"/>
  <c r="K11" i="62"/>
  <c r="J11" i="62"/>
  <c r="I11" i="62"/>
  <c r="H11" i="62"/>
  <c r="G11" i="62"/>
  <c r="F11" i="62"/>
  <c r="E11" i="62"/>
  <c r="L10" i="62"/>
  <c r="L9" i="62"/>
  <c r="K8" i="62"/>
  <c r="J8" i="62"/>
  <c r="I8" i="62"/>
  <c r="H8" i="62"/>
  <c r="G8" i="62"/>
  <c r="F8" i="62"/>
  <c r="E8" i="62"/>
  <c r="L7" i="62"/>
  <c r="L6" i="62"/>
  <c r="L8" i="62" s="1"/>
  <c r="K5" i="62"/>
  <c r="J5" i="62"/>
  <c r="J92" i="62" s="1"/>
  <c r="I5" i="62"/>
  <c r="H5" i="62"/>
  <c r="H92" i="62" s="1"/>
  <c r="G5" i="62"/>
  <c r="F5" i="62"/>
  <c r="F92" i="62" s="1"/>
  <c r="E5" i="62"/>
  <c r="L4" i="62"/>
  <c r="L91" i="62" s="1"/>
  <c r="L3" i="62"/>
  <c r="J34" i="61"/>
  <c r="I34" i="61"/>
  <c r="H34" i="61"/>
  <c r="G34" i="61"/>
  <c r="F34" i="61"/>
  <c r="E34" i="61"/>
  <c r="D34" i="61"/>
  <c r="J33" i="61"/>
  <c r="I33" i="61"/>
  <c r="H33" i="61"/>
  <c r="G33" i="61"/>
  <c r="F33" i="61"/>
  <c r="E33" i="61"/>
  <c r="D33" i="61"/>
  <c r="J32" i="61"/>
  <c r="I32" i="61"/>
  <c r="H32" i="61"/>
  <c r="G32" i="61"/>
  <c r="F32" i="61"/>
  <c r="E32" i="61"/>
  <c r="D32" i="61"/>
  <c r="K31" i="61"/>
  <c r="K30" i="61"/>
  <c r="K32" i="61" s="1"/>
  <c r="J29" i="61"/>
  <c r="I29" i="61"/>
  <c r="H29" i="61"/>
  <c r="G29" i="61"/>
  <c r="F29" i="61"/>
  <c r="E29" i="61"/>
  <c r="D29" i="61"/>
  <c r="K28" i="61"/>
  <c r="K27" i="61"/>
  <c r="J26" i="61"/>
  <c r="I26" i="61"/>
  <c r="H26" i="61"/>
  <c r="G26" i="61"/>
  <c r="F26" i="61"/>
  <c r="E26" i="61"/>
  <c r="D26" i="61"/>
  <c r="K25" i="61"/>
  <c r="K24" i="61"/>
  <c r="K26" i="61" s="1"/>
  <c r="J23" i="61"/>
  <c r="I23" i="61"/>
  <c r="H23" i="61"/>
  <c r="G23" i="61"/>
  <c r="F23" i="61"/>
  <c r="E23" i="61"/>
  <c r="D23" i="61"/>
  <c r="K22" i="61"/>
  <c r="K21" i="61"/>
  <c r="J20" i="61"/>
  <c r="I20" i="61"/>
  <c r="H20" i="61"/>
  <c r="G20" i="61"/>
  <c r="F20" i="61"/>
  <c r="E20" i="61"/>
  <c r="D20" i="61"/>
  <c r="K19" i="61"/>
  <c r="K18" i="61"/>
  <c r="K20" i="61" s="1"/>
  <c r="J17" i="61"/>
  <c r="I17" i="61"/>
  <c r="H17" i="61"/>
  <c r="G17" i="61"/>
  <c r="F17" i="61"/>
  <c r="E17" i="61"/>
  <c r="D17" i="61"/>
  <c r="K16" i="61"/>
  <c r="K15" i="61"/>
  <c r="J14" i="61"/>
  <c r="I14" i="61"/>
  <c r="H14" i="61"/>
  <c r="G14" i="61"/>
  <c r="F14" i="61"/>
  <c r="E14" i="61"/>
  <c r="D14" i="61"/>
  <c r="K13" i="61"/>
  <c r="K12" i="61"/>
  <c r="K14" i="61" s="1"/>
  <c r="J11" i="61"/>
  <c r="I11" i="61"/>
  <c r="H11" i="61"/>
  <c r="G11" i="61"/>
  <c r="F11" i="61"/>
  <c r="E11" i="61"/>
  <c r="D11" i="61"/>
  <c r="K10" i="61"/>
  <c r="K9" i="61"/>
  <c r="J8" i="61"/>
  <c r="I8" i="61"/>
  <c r="H8" i="61"/>
  <c r="G8" i="61"/>
  <c r="F8" i="61"/>
  <c r="E8" i="61"/>
  <c r="D8" i="61"/>
  <c r="K7" i="61"/>
  <c r="K6" i="61"/>
  <c r="K8" i="61" s="1"/>
  <c r="J5" i="61"/>
  <c r="I5" i="61"/>
  <c r="I35" i="61" s="1"/>
  <c r="H5" i="61"/>
  <c r="G5" i="61"/>
  <c r="G35" i="61" s="1"/>
  <c r="F5" i="61"/>
  <c r="E5" i="61"/>
  <c r="E35" i="61" s="1"/>
  <c r="D5" i="61"/>
  <c r="K4" i="61"/>
  <c r="K34" i="61" s="1"/>
  <c r="K3" i="61"/>
  <c r="J34" i="60"/>
  <c r="I34" i="60"/>
  <c r="H34" i="60"/>
  <c r="G34" i="60"/>
  <c r="F34" i="60"/>
  <c r="E34" i="60"/>
  <c r="D34" i="60"/>
  <c r="J33" i="60"/>
  <c r="I33" i="60"/>
  <c r="H33" i="60"/>
  <c r="G33" i="60"/>
  <c r="F33" i="60"/>
  <c r="E33" i="60"/>
  <c r="D33" i="60"/>
  <c r="J32" i="60"/>
  <c r="I32" i="60"/>
  <c r="H32" i="60"/>
  <c r="G32" i="60"/>
  <c r="F32" i="60"/>
  <c r="E32" i="60"/>
  <c r="D32" i="60"/>
  <c r="K31" i="60"/>
  <c r="K30" i="60"/>
  <c r="K32" i="60" s="1"/>
  <c r="J29" i="60"/>
  <c r="I29" i="60"/>
  <c r="H29" i="60"/>
  <c r="G29" i="60"/>
  <c r="F29" i="60"/>
  <c r="E29" i="60"/>
  <c r="D29" i="60"/>
  <c r="K28" i="60"/>
  <c r="K27" i="60"/>
  <c r="J26" i="60"/>
  <c r="I26" i="60"/>
  <c r="H26" i="60"/>
  <c r="G26" i="60"/>
  <c r="F26" i="60"/>
  <c r="E26" i="60"/>
  <c r="D26" i="60"/>
  <c r="K25" i="60"/>
  <c r="K24" i="60"/>
  <c r="K26" i="60" s="1"/>
  <c r="J23" i="60"/>
  <c r="I23" i="60"/>
  <c r="H23" i="60"/>
  <c r="G23" i="60"/>
  <c r="F23" i="60"/>
  <c r="E23" i="60"/>
  <c r="D23" i="60"/>
  <c r="K22" i="60"/>
  <c r="K21" i="60"/>
  <c r="J20" i="60"/>
  <c r="I20" i="60"/>
  <c r="H20" i="60"/>
  <c r="G20" i="60"/>
  <c r="F20" i="60"/>
  <c r="E20" i="60"/>
  <c r="D20" i="60"/>
  <c r="K19" i="60"/>
  <c r="K18" i="60"/>
  <c r="K20" i="60" s="1"/>
  <c r="J17" i="60"/>
  <c r="I17" i="60"/>
  <c r="H17" i="60"/>
  <c r="G17" i="60"/>
  <c r="F17" i="60"/>
  <c r="E17" i="60"/>
  <c r="D17" i="60"/>
  <c r="K16" i="60"/>
  <c r="K15" i="60"/>
  <c r="J14" i="60"/>
  <c r="I14" i="60"/>
  <c r="H14" i="60"/>
  <c r="G14" i="60"/>
  <c r="F14" i="60"/>
  <c r="E14" i="60"/>
  <c r="D14" i="60"/>
  <c r="K13" i="60"/>
  <c r="K12" i="60"/>
  <c r="K14" i="60" s="1"/>
  <c r="J11" i="60"/>
  <c r="I11" i="60"/>
  <c r="H11" i="60"/>
  <c r="G11" i="60"/>
  <c r="F11" i="60"/>
  <c r="E11" i="60"/>
  <c r="D11" i="60"/>
  <c r="K10" i="60"/>
  <c r="K9" i="60"/>
  <c r="J8" i="60"/>
  <c r="I8" i="60"/>
  <c r="H8" i="60"/>
  <c r="G8" i="60"/>
  <c r="F8" i="60"/>
  <c r="E8" i="60"/>
  <c r="D8" i="60"/>
  <c r="K7" i="60"/>
  <c r="K6" i="60"/>
  <c r="K8" i="60" s="1"/>
  <c r="J5" i="60"/>
  <c r="I5" i="60"/>
  <c r="I35" i="60" s="1"/>
  <c r="H5" i="60"/>
  <c r="G5" i="60"/>
  <c r="G35" i="60" s="1"/>
  <c r="F5" i="60"/>
  <c r="E5" i="60"/>
  <c r="E35" i="60" s="1"/>
  <c r="D5" i="60"/>
  <c r="K4" i="60"/>
  <c r="K34" i="60" s="1"/>
  <c r="K3" i="60"/>
  <c r="K34" i="59"/>
  <c r="J34" i="59"/>
  <c r="I34" i="59"/>
  <c r="H34" i="59"/>
  <c r="G34" i="59"/>
  <c r="F34" i="59"/>
  <c r="E34" i="59"/>
  <c r="K33" i="59"/>
  <c r="J33" i="59"/>
  <c r="I33" i="59"/>
  <c r="H33" i="59"/>
  <c r="G33" i="59"/>
  <c r="F33" i="59"/>
  <c r="E33" i="59"/>
  <c r="K32" i="59"/>
  <c r="J32" i="59"/>
  <c r="I32" i="59"/>
  <c r="H32" i="59"/>
  <c r="G32" i="59"/>
  <c r="F32" i="59"/>
  <c r="E32" i="59"/>
  <c r="L31" i="59"/>
  <c r="L30" i="59"/>
  <c r="L32" i="59" s="1"/>
  <c r="K29" i="59"/>
  <c r="J29" i="59"/>
  <c r="I29" i="59"/>
  <c r="H29" i="59"/>
  <c r="G29" i="59"/>
  <c r="F29" i="59"/>
  <c r="E29" i="59"/>
  <c r="L28" i="59"/>
  <c r="L27" i="59"/>
  <c r="K26" i="59"/>
  <c r="J26" i="59"/>
  <c r="I26" i="59"/>
  <c r="H26" i="59"/>
  <c r="G26" i="59"/>
  <c r="F26" i="59"/>
  <c r="E26" i="59"/>
  <c r="L25" i="59"/>
  <c r="L24" i="59"/>
  <c r="L26" i="59" s="1"/>
  <c r="K23" i="59"/>
  <c r="J23" i="59"/>
  <c r="I23" i="59"/>
  <c r="H23" i="59"/>
  <c r="G23" i="59"/>
  <c r="F23" i="59"/>
  <c r="E23" i="59"/>
  <c r="L22" i="59"/>
  <c r="L21" i="59"/>
  <c r="K20" i="59"/>
  <c r="J20" i="59"/>
  <c r="I20" i="59"/>
  <c r="H20" i="59"/>
  <c r="G20" i="59"/>
  <c r="F20" i="59"/>
  <c r="E20" i="59"/>
  <c r="L19" i="59"/>
  <c r="L18" i="59"/>
  <c r="L20" i="59" s="1"/>
  <c r="K17" i="59"/>
  <c r="J17" i="59"/>
  <c r="I17" i="59"/>
  <c r="H17" i="59"/>
  <c r="G17" i="59"/>
  <c r="F17" i="59"/>
  <c r="E17" i="59"/>
  <c r="L16" i="59"/>
  <c r="L15" i="59"/>
  <c r="K14" i="59"/>
  <c r="J14" i="59"/>
  <c r="I14" i="59"/>
  <c r="H14" i="59"/>
  <c r="G14" i="59"/>
  <c r="F14" i="59"/>
  <c r="E14" i="59"/>
  <c r="L13" i="59"/>
  <c r="L12" i="59"/>
  <c r="L14" i="59" s="1"/>
  <c r="K11" i="59"/>
  <c r="J11" i="59"/>
  <c r="I11" i="59"/>
  <c r="H11" i="59"/>
  <c r="G11" i="59"/>
  <c r="F11" i="59"/>
  <c r="E11" i="59"/>
  <c r="L10" i="59"/>
  <c r="L9" i="59"/>
  <c r="K8" i="59"/>
  <c r="J8" i="59"/>
  <c r="I8" i="59"/>
  <c r="H8" i="59"/>
  <c r="G8" i="59"/>
  <c r="F8" i="59"/>
  <c r="E8" i="59"/>
  <c r="L7" i="59"/>
  <c r="L6" i="59"/>
  <c r="L8" i="59" s="1"/>
  <c r="K5" i="59"/>
  <c r="J5" i="59"/>
  <c r="J35" i="59" s="1"/>
  <c r="I5" i="59"/>
  <c r="H5" i="59"/>
  <c r="H35" i="59" s="1"/>
  <c r="G5" i="59"/>
  <c r="F5" i="59"/>
  <c r="F35" i="59" s="1"/>
  <c r="E5" i="59"/>
  <c r="L4" i="59"/>
  <c r="L34" i="59" s="1"/>
  <c r="L3" i="59"/>
  <c r="L33" i="59" l="1"/>
  <c r="E35" i="59"/>
  <c r="G35" i="59"/>
  <c r="I35" i="59"/>
  <c r="K35" i="59"/>
  <c r="L11" i="59"/>
  <c r="L17" i="59"/>
  <c r="L23" i="59"/>
  <c r="L29" i="59"/>
  <c r="K33" i="60"/>
  <c r="D35" i="60"/>
  <c r="F35" i="60"/>
  <c r="H35" i="60"/>
  <c r="J35" i="60"/>
  <c r="K11" i="60"/>
  <c r="K17" i="60"/>
  <c r="K23" i="60"/>
  <c r="K29" i="60"/>
  <c r="K33" i="61"/>
  <c r="D35" i="61"/>
  <c r="F35" i="61"/>
  <c r="H35" i="61"/>
  <c r="J35" i="61"/>
  <c r="K11" i="61"/>
  <c r="K17" i="61"/>
  <c r="K23" i="61"/>
  <c r="K29" i="61"/>
  <c r="L90" i="62"/>
  <c r="E92" i="62"/>
  <c r="G92" i="62"/>
  <c r="I92" i="62"/>
  <c r="K92" i="62"/>
  <c r="L11" i="62"/>
  <c r="L17" i="62"/>
  <c r="L23" i="62"/>
  <c r="L29" i="62"/>
  <c r="L35" i="62"/>
  <c r="L41" i="62"/>
  <c r="L47" i="62"/>
  <c r="L53" i="62"/>
  <c r="L59" i="62"/>
  <c r="L65" i="62"/>
  <c r="L71" i="62"/>
  <c r="L77" i="62"/>
  <c r="L83" i="62"/>
  <c r="L89" i="62"/>
  <c r="L91" i="63"/>
  <c r="F92" i="63"/>
  <c r="H92" i="63"/>
  <c r="J92" i="63"/>
  <c r="L11" i="63"/>
  <c r="L17" i="63"/>
  <c r="L20" i="63"/>
  <c r="L26" i="63"/>
  <c r="L32" i="63"/>
  <c r="L38" i="63"/>
  <c r="L44" i="63"/>
  <c r="L50" i="63"/>
  <c r="L56" i="63"/>
  <c r="L62" i="63"/>
  <c r="L68" i="63"/>
  <c r="L74" i="63"/>
  <c r="L80" i="63"/>
  <c r="L86" i="63"/>
  <c r="L90" i="64"/>
  <c r="E92" i="64"/>
  <c r="G92" i="64"/>
  <c r="I92" i="64"/>
  <c r="K92" i="64"/>
  <c r="L11" i="64"/>
  <c r="L17" i="64"/>
  <c r="L23" i="64"/>
  <c r="L29" i="64"/>
  <c r="L35" i="64"/>
  <c r="L41" i="64"/>
  <c r="L47" i="64"/>
  <c r="L53" i="64"/>
  <c r="L59" i="64"/>
  <c r="L65" i="64"/>
  <c r="L71" i="64"/>
  <c r="L77" i="64"/>
  <c r="L83" i="64"/>
  <c r="L89" i="64"/>
  <c r="L5" i="59"/>
  <c r="L35" i="59" s="1"/>
  <c r="K5" i="60"/>
  <c r="K35" i="60" s="1"/>
  <c r="K5" i="61"/>
  <c r="K35" i="61" s="1"/>
  <c r="L5" i="62"/>
  <c r="L92" i="62" s="1"/>
  <c r="L5" i="63"/>
  <c r="L92" i="63" s="1"/>
  <c r="L5" i="64"/>
  <c r="L92" i="64" s="1"/>
  <c r="O90" i="65"/>
  <c r="O90" i="66"/>
  <c r="O90" i="67"/>
  <c r="O3" i="58" l="1"/>
  <c r="O4" i="58"/>
  <c r="O5" i="58" s="1"/>
  <c r="E5" i="58"/>
  <c r="F5" i="58"/>
  <c r="G5" i="58"/>
  <c r="H5" i="58"/>
  <c r="I5" i="58"/>
  <c r="J5" i="58"/>
  <c r="K5" i="58"/>
  <c r="L5" i="58"/>
  <c r="M5" i="58"/>
  <c r="N5" i="58"/>
  <c r="O6" i="58"/>
  <c r="O7" i="58"/>
  <c r="E8" i="58"/>
  <c r="F8" i="58"/>
  <c r="G8" i="58"/>
  <c r="H8" i="58"/>
  <c r="I8" i="58"/>
  <c r="J8" i="58"/>
  <c r="K8" i="58"/>
  <c r="L8" i="58"/>
  <c r="M8" i="58"/>
  <c r="N8" i="58"/>
  <c r="O9" i="58"/>
  <c r="O10" i="58"/>
  <c r="E11" i="58"/>
  <c r="F11" i="58"/>
  <c r="G11" i="58"/>
  <c r="H11" i="58"/>
  <c r="I11" i="58"/>
  <c r="J11" i="58"/>
  <c r="K11" i="58"/>
  <c r="L11" i="58"/>
  <c r="M11" i="58"/>
  <c r="N11" i="58"/>
  <c r="O11" i="58"/>
  <c r="O12" i="58"/>
  <c r="O13" i="58"/>
  <c r="O14" i="58" s="1"/>
  <c r="E14" i="58"/>
  <c r="F14" i="58"/>
  <c r="G14" i="58"/>
  <c r="H14" i="58"/>
  <c r="I14" i="58"/>
  <c r="J14" i="58"/>
  <c r="K14" i="58"/>
  <c r="L14" i="58"/>
  <c r="L92" i="58" s="1"/>
  <c r="M14" i="58"/>
  <c r="N14" i="58"/>
  <c r="O15" i="58"/>
  <c r="O16" i="58"/>
  <c r="O17" i="58" s="1"/>
  <c r="E17" i="58"/>
  <c r="F17" i="58"/>
  <c r="G17" i="58"/>
  <c r="H17" i="58"/>
  <c r="I17" i="58"/>
  <c r="J17" i="58"/>
  <c r="K17" i="58"/>
  <c r="L17" i="58"/>
  <c r="M17" i="58"/>
  <c r="N17" i="58"/>
  <c r="O18" i="58"/>
  <c r="O19" i="58"/>
  <c r="E20" i="58"/>
  <c r="F20" i="58"/>
  <c r="G20" i="58"/>
  <c r="H20" i="58"/>
  <c r="I20" i="58"/>
  <c r="J20" i="58"/>
  <c r="K20" i="58"/>
  <c r="L20" i="58"/>
  <c r="M20" i="58"/>
  <c r="N20" i="58"/>
  <c r="O21" i="58"/>
  <c r="O22" i="58"/>
  <c r="E23" i="58"/>
  <c r="F23" i="58"/>
  <c r="G23" i="58"/>
  <c r="H23" i="58"/>
  <c r="I23" i="58"/>
  <c r="J23" i="58"/>
  <c r="K23" i="58"/>
  <c r="L23" i="58"/>
  <c r="M23" i="58"/>
  <c r="N23" i="58"/>
  <c r="O23" i="58"/>
  <c r="O24" i="58"/>
  <c r="O25" i="58"/>
  <c r="O26" i="58" s="1"/>
  <c r="E26" i="58"/>
  <c r="F26" i="58"/>
  <c r="G26" i="58"/>
  <c r="H26" i="58"/>
  <c r="I26" i="58"/>
  <c r="J26" i="58"/>
  <c r="K26" i="58"/>
  <c r="L26" i="58"/>
  <c r="M26" i="58"/>
  <c r="N26" i="58"/>
  <c r="O27" i="58"/>
  <c r="O28" i="58"/>
  <c r="O29" i="58" s="1"/>
  <c r="E29" i="58"/>
  <c r="F29" i="58"/>
  <c r="G29" i="58"/>
  <c r="H29" i="58"/>
  <c r="I29" i="58"/>
  <c r="J29" i="58"/>
  <c r="K29" i="58"/>
  <c r="L29" i="58"/>
  <c r="M29" i="58"/>
  <c r="N29" i="58"/>
  <c r="O30" i="58"/>
  <c r="O31" i="58"/>
  <c r="E32" i="58"/>
  <c r="F32" i="58"/>
  <c r="G32" i="58"/>
  <c r="H32" i="58"/>
  <c r="I32" i="58"/>
  <c r="J32" i="58"/>
  <c r="K32" i="58"/>
  <c r="L32" i="58"/>
  <c r="M32" i="58"/>
  <c r="N32" i="58"/>
  <c r="O33" i="58"/>
  <c r="O34" i="58"/>
  <c r="E35" i="58"/>
  <c r="F35" i="58"/>
  <c r="G35" i="58"/>
  <c r="H35" i="58"/>
  <c r="I35" i="58"/>
  <c r="J35" i="58"/>
  <c r="K35" i="58"/>
  <c r="L35" i="58"/>
  <c r="M35" i="58"/>
  <c r="N35" i="58"/>
  <c r="O35" i="58"/>
  <c r="O36" i="58"/>
  <c r="O37" i="58"/>
  <c r="O38" i="58" s="1"/>
  <c r="E38" i="58"/>
  <c r="F38" i="58"/>
  <c r="G38" i="58"/>
  <c r="H38" i="58"/>
  <c r="I38" i="58"/>
  <c r="J38" i="58"/>
  <c r="K38" i="58"/>
  <c r="L38" i="58"/>
  <c r="M38" i="58"/>
  <c r="N38" i="58"/>
  <c r="O39" i="58"/>
  <c r="O40" i="58"/>
  <c r="O41" i="58" s="1"/>
  <c r="E41" i="58"/>
  <c r="F41" i="58"/>
  <c r="G41" i="58"/>
  <c r="H41" i="58"/>
  <c r="I41" i="58"/>
  <c r="J41" i="58"/>
  <c r="K41" i="58"/>
  <c r="L41" i="58"/>
  <c r="M41" i="58"/>
  <c r="N41" i="58"/>
  <c r="O42" i="58"/>
  <c r="O43" i="58"/>
  <c r="E44" i="58"/>
  <c r="F44" i="58"/>
  <c r="G44" i="58"/>
  <c r="H44" i="58"/>
  <c r="I44" i="58"/>
  <c r="J44" i="58"/>
  <c r="K44" i="58"/>
  <c r="L44" i="58"/>
  <c r="M44" i="58"/>
  <c r="N44" i="58"/>
  <c r="O45" i="58"/>
  <c r="O46" i="58"/>
  <c r="E47" i="58"/>
  <c r="F47" i="58"/>
  <c r="G47" i="58"/>
  <c r="H47" i="58"/>
  <c r="I47" i="58"/>
  <c r="J47" i="58"/>
  <c r="K47" i="58"/>
  <c r="L47" i="58"/>
  <c r="M47" i="58"/>
  <c r="N47" i="58"/>
  <c r="O47" i="58"/>
  <c r="O48" i="58"/>
  <c r="O49" i="58"/>
  <c r="O50" i="58" s="1"/>
  <c r="E50" i="58"/>
  <c r="F50" i="58"/>
  <c r="G50" i="58"/>
  <c r="H50" i="58"/>
  <c r="I50" i="58"/>
  <c r="J50" i="58"/>
  <c r="K50" i="58"/>
  <c r="L50" i="58"/>
  <c r="M50" i="58"/>
  <c r="N50" i="58"/>
  <c r="O51" i="58"/>
  <c r="O52" i="58"/>
  <c r="O53" i="58" s="1"/>
  <c r="E53" i="58"/>
  <c r="F53" i="58"/>
  <c r="G53" i="58"/>
  <c r="H53" i="58"/>
  <c r="I53" i="58"/>
  <c r="J53" i="58"/>
  <c r="K53" i="58"/>
  <c r="L53" i="58"/>
  <c r="M53" i="58"/>
  <c r="N53" i="58"/>
  <c r="O54" i="58"/>
  <c r="O55" i="58"/>
  <c r="E56" i="58"/>
  <c r="F56" i="58"/>
  <c r="G56" i="58"/>
  <c r="H56" i="58"/>
  <c r="I56" i="58"/>
  <c r="J56" i="58"/>
  <c r="K56" i="58"/>
  <c r="L56" i="58"/>
  <c r="M56" i="58"/>
  <c r="N56" i="58"/>
  <c r="O57" i="58"/>
  <c r="O58" i="58"/>
  <c r="E59" i="58"/>
  <c r="F59" i="58"/>
  <c r="G59" i="58"/>
  <c r="H59" i="58"/>
  <c r="I59" i="58"/>
  <c r="J59" i="58"/>
  <c r="K59" i="58"/>
  <c r="L59" i="58"/>
  <c r="M59" i="58"/>
  <c r="N59" i="58"/>
  <c r="O59" i="58"/>
  <c r="O60" i="58"/>
  <c r="O61" i="58"/>
  <c r="O62" i="58" s="1"/>
  <c r="E62" i="58"/>
  <c r="F62" i="58"/>
  <c r="G62" i="58"/>
  <c r="H62" i="58"/>
  <c r="I62" i="58"/>
  <c r="J62" i="58"/>
  <c r="K62" i="58"/>
  <c r="L62" i="58"/>
  <c r="M62" i="58"/>
  <c r="N62" i="58"/>
  <c r="O63" i="58"/>
  <c r="O64" i="58"/>
  <c r="O65" i="58" s="1"/>
  <c r="E65" i="58"/>
  <c r="F65" i="58"/>
  <c r="G65" i="58"/>
  <c r="H65" i="58"/>
  <c r="I65" i="58"/>
  <c r="J65" i="58"/>
  <c r="K65" i="58"/>
  <c r="L65" i="58"/>
  <c r="M65" i="58"/>
  <c r="N65" i="58"/>
  <c r="O66" i="58"/>
  <c r="O67" i="58"/>
  <c r="E68" i="58"/>
  <c r="F68" i="58"/>
  <c r="G68" i="58"/>
  <c r="H68" i="58"/>
  <c r="I68" i="58"/>
  <c r="J68" i="58"/>
  <c r="K68" i="58"/>
  <c r="L68" i="58"/>
  <c r="M68" i="58"/>
  <c r="N68" i="58"/>
  <c r="O69" i="58"/>
  <c r="O70" i="58"/>
  <c r="E71" i="58"/>
  <c r="F71" i="58"/>
  <c r="G71" i="58"/>
  <c r="H71" i="58"/>
  <c r="I71" i="58"/>
  <c r="J71" i="58"/>
  <c r="K71" i="58"/>
  <c r="L71" i="58"/>
  <c r="M71" i="58"/>
  <c r="N71" i="58"/>
  <c r="O71" i="58"/>
  <c r="O72" i="58"/>
  <c r="O73" i="58"/>
  <c r="O74" i="58" s="1"/>
  <c r="E74" i="58"/>
  <c r="F74" i="58"/>
  <c r="G74" i="58"/>
  <c r="H74" i="58"/>
  <c r="I74" i="58"/>
  <c r="J74" i="58"/>
  <c r="K74" i="58"/>
  <c r="L74" i="58"/>
  <c r="M74" i="58"/>
  <c r="N74" i="58"/>
  <c r="O75" i="58"/>
  <c r="O76" i="58"/>
  <c r="O77" i="58" s="1"/>
  <c r="E77" i="58"/>
  <c r="F77" i="58"/>
  <c r="G77" i="58"/>
  <c r="H77" i="58"/>
  <c r="I77" i="58"/>
  <c r="J77" i="58"/>
  <c r="K77" i="58"/>
  <c r="L77" i="58"/>
  <c r="M77" i="58"/>
  <c r="N77" i="58"/>
  <c r="O78" i="58"/>
  <c r="O79" i="58"/>
  <c r="E80" i="58"/>
  <c r="F80" i="58"/>
  <c r="G80" i="58"/>
  <c r="H80" i="58"/>
  <c r="I80" i="58"/>
  <c r="J80" i="58"/>
  <c r="K80" i="58"/>
  <c r="L80" i="58"/>
  <c r="M80" i="58"/>
  <c r="N80" i="58"/>
  <c r="O81" i="58"/>
  <c r="O82" i="58"/>
  <c r="E83" i="58"/>
  <c r="F83" i="58"/>
  <c r="G83" i="58"/>
  <c r="H83" i="58"/>
  <c r="I83" i="58"/>
  <c r="J83" i="58"/>
  <c r="K83" i="58"/>
  <c r="L83" i="58"/>
  <c r="M83" i="58"/>
  <c r="N83" i="58"/>
  <c r="O83" i="58"/>
  <c r="O84" i="58"/>
  <c r="O85" i="58"/>
  <c r="O86" i="58" s="1"/>
  <c r="E86" i="58"/>
  <c r="F86" i="58"/>
  <c r="G86" i="58"/>
  <c r="H86" i="58"/>
  <c r="I86" i="58"/>
  <c r="J86" i="58"/>
  <c r="K86" i="58"/>
  <c r="L86" i="58"/>
  <c r="M86" i="58"/>
  <c r="N86" i="58"/>
  <c r="O87" i="58"/>
  <c r="O88" i="58"/>
  <c r="O89" i="58" s="1"/>
  <c r="E89" i="58"/>
  <c r="F89" i="58"/>
  <c r="G89" i="58"/>
  <c r="H89" i="58"/>
  <c r="I89" i="58"/>
  <c r="J89" i="58"/>
  <c r="K89" i="58"/>
  <c r="L89" i="58"/>
  <c r="M89" i="58"/>
  <c r="N89" i="58"/>
  <c r="E90" i="58"/>
  <c r="F90" i="58"/>
  <c r="G90" i="58"/>
  <c r="H90" i="58"/>
  <c r="I90" i="58"/>
  <c r="J90" i="58"/>
  <c r="K90" i="58"/>
  <c r="L90" i="58"/>
  <c r="M90" i="58"/>
  <c r="N90" i="58"/>
  <c r="E91" i="58"/>
  <c r="F91" i="58"/>
  <c r="G91" i="58"/>
  <c r="H91" i="58"/>
  <c r="I91" i="58"/>
  <c r="J91" i="58"/>
  <c r="K91" i="58"/>
  <c r="L91" i="58"/>
  <c r="M91" i="58"/>
  <c r="N91" i="58"/>
  <c r="H92" i="58"/>
  <c r="N4" i="57"/>
  <c r="N5" i="57"/>
  <c r="D6" i="57"/>
  <c r="E6" i="57"/>
  <c r="F6" i="57"/>
  <c r="G6" i="57"/>
  <c r="H6" i="57"/>
  <c r="I6" i="57"/>
  <c r="J6" i="57"/>
  <c r="K6" i="57"/>
  <c r="L6" i="57"/>
  <c r="M6" i="57"/>
  <c r="N6" i="57"/>
  <c r="N7" i="57"/>
  <c r="N8" i="57"/>
  <c r="D9" i="57"/>
  <c r="E9" i="57"/>
  <c r="F9" i="57"/>
  <c r="G9" i="57"/>
  <c r="H9" i="57"/>
  <c r="I9" i="57"/>
  <c r="I93" i="57" s="1"/>
  <c r="J9" i="57"/>
  <c r="K9" i="57"/>
  <c r="L9" i="57"/>
  <c r="M9" i="57"/>
  <c r="N10" i="57"/>
  <c r="N11" i="57"/>
  <c r="N12" i="57" s="1"/>
  <c r="D12" i="57"/>
  <c r="E12" i="57"/>
  <c r="F12" i="57"/>
  <c r="G12" i="57"/>
  <c r="H12" i="57"/>
  <c r="I12" i="57"/>
  <c r="J12" i="57"/>
  <c r="K12" i="57"/>
  <c r="L12" i="57"/>
  <c r="M12" i="57"/>
  <c r="N13" i="57"/>
  <c r="N14" i="57"/>
  <c r="D15" i="57"/>
  <c r="E15" i="57"/>
  <c r="F15" i="57"/>
  <c r="G15" i="57"/>
  <c r="H15" i="57"/>
  <c r="I15" i="57"/>
  <c r="J15" i="57"/>
  <c r="K15" i="57"/>
  <c r="L15" i="57"/>
  <c r="M15" i="57"/>
  <c r="N16" i="57"/>
  <c r="N17" i="57"/>
  <c r="D18" i="57"/>
  <c r="E18" i="57"/>
  <c r="F18" i="57"/>
  <c r="G18" i="57"/>
  <c r="H18" i="57"/>
  <c r="I18" i="57"/>
  <c r="J18" i="57"/>
  <c r="K18" i="57"/>
  <c r="L18" i="57"/>
  <c r="M18" i="57"/>
  <c r="N18" i="57"/>
  <c r="N19" i="57"/>
  <c r="N20" i="57"/>
  <c r="N21" i="57" s="1"/>
  <c r="D21" i="57"/>
  <c r="E21" i="57"/>
  <c r="F21" i="57"/>
  <c r="G21" i="57"/>
  <c r="H21" i="57"/>
  <c r="I21" i="57"/>
  <c r="J21" i="57"/>
  <c r="K21" i="57"/>
  <c r="L21" i="57"/>
  <c r="M21" i="57"/>
  <c r="N22" i="57"/>
  <c r="N23" i="57"/>
  <c r="N24" i="57" s="1"/>
  <c r="D24" i="57"/>
  <c r="E24" i="57"/>
  <c r="F24" i="57"/>
  <c r="G24" i="57"/>
  <c r="H24" i="57"/>
  <c r="I24" i="57"/>
  <c r="J24" i="57"/>
  <c r="K24" i="57"/>
  <c r="L24" i="57"/>
  <c r="M24" i="57"/>
  <c r="N25" i="57"/>
  <c r="N26" i="57"/>
  <c r="D27" i="57"/>
  <c r="E27" i="57"/>
  <c r="F27" i="57"/>
  <c r="G27" i="57"/>
  <c r="H27" i="57"/>
  <c r="I27" i="57"/>
  <c r="J27" i="57"/>
  <c r="K27" i="57"/>
  <c r="L27" i="57"/>
  <c r="M27" i="57"/>
  <c r="N28" i="57"/>
  <c r="N29" i="57"/>
  <c r="D30" i="57"/>
  <c r="E30" i="57"/>
  <c r="F30" i="57"/>
  <c r="G30" i="57"/>
  <c r="H30" i="57"/>
  <c r="I30" i="57"/>
  <c r="J30" i="57"/>
  <c r="K30" i="57"/>
  <c r="L30" i="57"/>
  <c r="M30" i="57"/>
  <c r="N30" i="57"/>
  <c r="N31" i="57"/>
  <c r="N32" i="57"/>
  <c r="N33" i="57" s="1"/>
  <c r="D33" i="57"/>
  <c r="E33" i="57"/>
  <c r="F33" i="57"/>
  <c r="G33" i="57"/>
  <c r="H33" i="57"/>
  <c r="I33" i="57"/>
  <c r="J33" i="57"/>
  <c r="K33" i="57"/>
  <c r="L33" i="57"/>
  <c r="M33" i="57"/>
  <c r="N34" i="57"/>
  <c r="N35" i="57"/>
  <c r="N36" i="57" s="1"/>
  <c r="D36" i="57"/>
  <c r="E36" i="57"/>
  <c r="F36" i="57"/>
  <c r="G36" i="57"/>
  <c r="H36" i="57"/>
  <c r="I36" i="57"/>
  <c r="J36" i="57"/>
  <c r="K36" i="57"/>
  <c r="L36" i="57"/>
  <c r="M36" i="57"/>
  <c r="N37" i="57"/>
  <c r="N38" i="57"/>
  <c r="D39" i="57"/>
  <c r="E39" i="57"/>
  <c r="F39" i="57"/>
  <c r="G39" i="57"/>
  <c r="H39" i="57"/>
  <c r="I39" i="57"/>
  <c r="J39" i="57"/>
  <c r="K39" i="57"/>
  <c r="L39" i="57"/>
  <c r="M39" i="57"/>
  <c r="N40" i="57"/>
  <c r="N41" i="57"/>
  <c r="D42" i="57"/>
  <c r="E42" i="57"/>
  <c r="F42" i="57"/>
  <c r="G42" i="57"/>
  <c r="H42" i="57"/>
  <c r="I42" i="57"/>
  <c r="J42" i="57"/>
  <c r="K42" i="57"/>
  <c r="L42" i="57"/>
  <c r="M42" i="57"/>
  <c r="N42" i="57"/>
  <c r="N43" i="57"/>
  <c r="N44" i="57"/>
  <c r="N45" i="57" s="1"/>
  <c r="D45" i="57"/>
  <c r="E45" i="57"/>
  <c r="F45" i="57"/>
  <c r="G45" i="57"/>
  <c r="H45" i="57"/>
  <c r="I45" i="57"/>
  <c r="J45" i="57"/>
  <c r="K45" i="57"/>
  <c r="L45" i="57"/>
  <c r="M45" i="57"/>
  <c r="N46" i="57"/>
  <c r="N47" i="57"/>
  <c r="N48" i="57" s="1"/>
  <c r="D48" i="57"/>
  <c r="E48" i="57"/>
  <c r="F48" i="57"/>
  <c r="G48" i="57"/>
  <c r="H48" i="57"/>
  <c r="I48" i="57"/>
  <c r="J48" i="57"/>
  <c r="K48" i="57"/>
  <c r="L48" i="57"/>
  <c r="M48" i="57"/>
  <c r="N49" i="57"/>
  <c r="N50" i="57"/>
  <c r="D51" i="57"/>
  <c r="E51" i="57"/>
  <c r="F51" i="57"/>
  <c r="G51" i="57"/>
  <c r="H51" i="57"/>
  <c r="I51" i="57"/>
  <c r="J51" i="57"/>
  <c r="K51" i="57"/>
  <c r="L51" i="57"/>
  <c r="M51" i="57"/>
  <c r="N52" i="57"/>
  <c r="N53" i="57"/>
  <c r="D54" i="57"/>
  <c r="E54" i="57"/>
  <c r="F54" i="57"/>
  <c r="G54" i="57"/>
  <c r="H54" i="57"/>
  <c r="I54" i="57"/>
  <c r="J54" i="57"/>
  <c r="K54" i="57"/>
  <c r="L54" i="57"/>
  <c r="M54" i="57"/>
  <c r="N54" i="57"/>
  <c r="N55" i="57"/>
  <c r="N56" i="57"/>
  <c r="N57" i="57" s="1"/>
  <c r="D57" i="57"/>
  <c r="E57" i="57"/>
  <c r="F57" i="57"/>
  <c r="G57" i="57"/>
  <c r="H57" i="57"/>
  <c r="I57" i="57"/>
  <c r="J57" i="57"/>
  <c r="K57" i="57"/>
  <c r="L57" i="57"/>
  <c r="M57" i="57"/>
  <c r="N58" i="57"/>
  <c r="N59" i="57"/>
  <c r="N60" i="57" s="1"/>
  <c r="D60" i="57"/>
  <c r="E60" i="57"/>
  <c r="F60" i="57"/>
  <c r="G60" i="57"/>
  <c r="H60" i="57"/>
  <c r="I60" i="57"/>
  <c r="J60" i="57"/>
  <c r="K60" i="57"/>
  <c r="L60" i="57"/>
  <c r="M60" i="57"/>
  <c r="N61" i="57"/>
  <c r="N62" i="57"/>
  <c r="D63" i="57"/>
  <c r="E63" i="57"/>
  <c r="F63" i="57"/>
  <c r="G63" i="57"/>
  <c r="H63" i="57"/>
  <c r="I63" i="57"/>
  <c r="J63" i="57"/>
  <c r="K63" i="57"/>
  <c r="L63" i="57"/>
  <c r="M63" i="57"/>
  <c r="N64" i="57"/>
  <c r="N65" i="57"/>
  <c r="D66" i="57"/>
  <c r="E66" i="57"/>
  <c r="F66" i="57"/>
  <c r="G66" i="57"/>
  <c r="H66" i="57"/>
  <c r="I66" i="57"/>
  <c r="J66" i="57"/>
  <c r="K66" i="57"/>
  <c r="L66" i="57"/>
  <c r="M66" i="57"/>
  <c r="N66" i="57"/>
  <c r="N67" i="57"/>
  <c r="N68" i="57"/>
  <c r="N69" i="57" s="1"/>
  <c r="D69" i="57"/>
  <c r="E69" i="57"/>
  <c r="F69" i="57"/>
  <c r="G69" i="57"/>
  <c r="H69" i="57"/>
  <c r="I69" i="57"/>
  <c r="J69" i="57"/>
  <c r="K69" i="57"/>
  <c r="L69" i="57"/>
  <c r="M69" i="57"/>
  <c r="N70" i="57"/>
  <c r="N71" i="57"/>
  <c r="N72" i="57" s="1"/>
  <c r="D72" i="57"/>
  <c r="E72" i="57"/>
  <c r="F72" i="57"/>
  <c r="G72" i="57"/>
  <c r="H72" i="57"/>
  <c r="I72" i="57"/>
  <c r="J72" i="57"/>
  <c r="K72" i="57"/>
  <c r="L72" i="57"/>
  <c r="M72" i="57"/>
  <c r="N73" i="57"/>
  <c r="N74" i="57"/>
  <c r="D75" i="57"/>
  <c r="E75" i="57"/>
  <c r="F75" i="57"/>
  <c r="G75" i="57"/>
  <c r="H75" i="57"/>
  <c r="I75" i="57"/>
  <c r="J75" i="57"/>
  <c r="K75" i="57"/>
  <c r="L75" i="57"/>
  <c r="M75" i="57"/>
  <c r="N76" i="57"/>
  <c r="N77" i="57"/>
  <c r="D78" i="57"/>
  <c r="E78" i="57"/>
  <c r="F78" i="57"/>
  <c r="G78" i="57"/>
  <c r="H78" i="57"/>
  <c r="I78" i="57"/>
  <c r="J78" i="57"/>
  <c r="K78" i="57"/>
  <c r="L78" i="57"/>
  <c r="M78" i="57"/>
  <c r="N78" i="57"/>
  <c r="N79" i="57"/>
  <c r="N80" i="57"/>
  <c r="N81" i="57" s="1"/>
  <c r="D81" i="57"/>
  <c r="E81" i="57"/>
  <c r="F81" i="57"/>
  <c r="G81" i="57"/>
  <c r="H81" i="57"/>
  <c r="I81" i="57"/>
  <c r="J81" i="57"/>
  <c r="K81" i="57"/>
  <c r="L81" i="57"/>
  <c r="M81" i="57"/>
  <c r="N82" i="57"/>
  <c r="N83" i="57"/>
  <c r="N84" i="57" s="1"/>
  <c r="D84" i="57"/>
  <c r="E84" i="57"/>
  <c r="F84" i="57"/>
  <c r="G84" i="57"/>
  <c r="H84" i="57"/>
  <c r="I84" i="57"/>
  <c r="J84" i="57"/>
  <c r="K84" i="57"/>
  <c r="L84" i="57"/>
  <c r="M84" i="57"/>
  <c r="N85" i="57"/>
  <c r="N86" i="57"/>
  <c r="D87" i="57"/>
  <c r="E87" i="57"/>
  <c r="F87" i="57"/>
  <c r="G87" i="57"/>
  <c r="H87" i="57"/>
  <c r="I87" i="57"/>
  <c r="J87" i="57"/>
  <c r="K87" i="57"/>
  <c r="L87" i="57"/>
  <c r="M87" i="57"/>
  <c r="N88" i="57"/>
  <c r="N89" i="57"/>
  <c r="D90" i="57"/>
  <c r="E90" i="57"/>
  <c r="F90" i="57"/>
  <c r="G90" i="57"/>
  <c r="H90" i="57"/>
  <c r="I90" i="57"/>
  <c r="J90" i="57"/>
  <c r="K90" i="57"/>
  <c r="L90" i="57"/>
  <c r="M90" i="57"/>
  <c r="N90" i="57"/>
  <c r="D91" i="57"/>
  <c r="E91" i="57"/>
  <c r="F91" i="57"/>
  <c r="G91" i="57"/>
  <c r="H91" i="57"/>
  <c r="I91" i="57"/>
  <c r="J91" i="57"/>
  <c r="K91" i="57"/>
  <c r="L91" i="57"/>
  <c r="M91" i="57"/>
  <c r="D92" i="57"/>
  <c r="E92" i="57"/>
  <c r="F92" i="57"/>
  <c r="G92" i="57"/>
  <c r="H92" i="57"/>
  <c r="I92" i="57"/>
  <c r="J92" i="57"/>
  <c r="K92" i="57"/>
  <c r="L92" i="57"/>
  <c r="M92" i="57"/>
  <c r="E93" i="57"/>
  <c r="M93" i="57"/>
  <c r="N4" i="56"/>
  <c r="N5" i="56"/>
  <c r="N6" i="56" s="1"/>
  <c r="D6" i="56"/>
  <c r="E6" i="56"/>
  <c r="F6" i="56"/>
  <c r="G6" i="56"/>
  <c r="G93" i="56" s="1"/>
  <c r="H6" i="56"/>
  <c r="I6" i="56"/>
  <c r="J6" i="56"/>
  <c r="K6" i="56"/>
  <c r="L6" i="56"/>
  <c r="M6" i="56"/>
  <c r="N7" i="56"/>
  <c r="N8" i="56"/>
  <c r="D9" i="56"/>
  <c r="E9" i="56"/>
  <c r="F9" i="56"/>
  <c r="G9" i="56"/>
  <c r="H9" i="56"/>
  <c r="I9" i="56"/>
  <c r="J9" i="56"/>
  <c r="K9" i="56"/>
  <c r="L9" i="56"/>
  <c r="M9" i="56"/>
  <c r="N10" i="56"/>
  <c r="N11" i="56"/>
  <c r="D12" i="56"/>
  <c r="E12" i="56"/>
  <c r="F12" i="56"/>
  <c r="G12" i="56"/>
  <c r="H12" i="56"/>
  <c r="I12" i="56"/>
  <c r="J12" i="56"/>
  <c r="K12" i="56"/>
  <c r="L12" i="56"/>
  <c r="M12" i="56"/>
  <c r="N12" i="56"/>
  <c r="N13" i="56"/>
  <c r="N14" i="56"/>
  <c r="N15" i="56" s="1"/>
  <c r="D15" i="56"/>
  <c r="E15" i="56"/>
  <c r="F15" i="56"/>
  <c r="G15" i="56"/>
  <c r="H15" i="56"/>
  <c r="I15" i="56"/>
  <c r="J15" i="56"/>
  <c r="K15" i="56"/>
  <c r="L15" i="56"/>
  <c r="M15" i="56"/>
  <c r="N16" i="56"/>
  <c r="N17" i="56"/>
  <c r="N18" i="56" s="1"/>
  <c r="D18" i="56"/>
  <c r="E18" i="56"/>
  <c r="F18" i="56"/>
  <c r="G18" i="56"/>
  <c r="H18" i="56"/>
  <c r="I18" i="56"/>
  <c r="J18" i="56"/>
  <c r="K18" i="56"/>
  <c r="L18" i="56"/>
  <c r="M18" i="56"/>
  <c r="N19" i="56"/>
  <c r="N20" i="56"/>
  <c r="D21" i="56"/>
  <c r="E21" i="56"/>
  <c r="F21" i="56"/>
  <c r="G21" i="56"/>
  <c r="H21" i="56"/>
  <c r="I21" i="56"/>
  <c r="J21" i="56"/>
  <c r="K21" i="56"/>
  <c r="L21" i="56"/>
  <c r="M21" i="56"/>
  <c r="N22" i="56"/>
  <c r="N23" i="56"/>
  <c r="D24" i="56"/>
  <c r="E24" i="56"/>
  <c r="F24" i="56"/>
  <c r="G24" i="56"/>
  <c r="H24" i="56"/>
  <c r="I24" i="56"/>
  <c r="J24" i="56"/>
  <c r="K24" i="56"/>
  <c r="L24" i="56"/>
  <c r="M24" i="56"/>
  <c r="N24" i="56"/>
  <c r="N25" i="56"/>
  <c r="N26" i="56"/>
  <c r="N27" i="56" s="1"/>
  <c r="D27" i="56"/>
  <c r="E27" i="56"/>
  <c r="F27" i="56"/>
  <c r="G27" i="56"/>
  <c r="H27" i="56"/>
  <c r="I27" i="56"/>
  <c r="J27" i="56"/>
  <c r="K27" i="56"/>
  <c r="L27" i="56"/>
  <c r="M27" i="56"/>
  <c r="N28" i="56"/>
  <c r="N29" i="56"/>
  <c r="N30" i="56" s="1"/>
  <c r="D30" i="56"/>
  <c r="E30" i="56"/>
  <c r="F30" i="56"/>
  <c r="G30" i="56"/>
  <c r="H30" i="56"/>
  <c r="I30" i="56"/>
  <c r="J30" i="56"/>
  <c r="K30" i="56"/>
  <c r="L30" i="56"/>
  <c r="M30" i="56"/>
  <c r="N31" i="56"/>
  <c r="N32" i="56"/>
  <c r="D33" i="56"/>
  <c r="E33" i="56"/>
  <c r="F33" i="56"/>
  <c r="G33" i="56"/>
  <c r="H33" i="56"/>
  <c r="I33" i="56"/>
  <c r="J33" i="56"/>
  <c r="K33" i="56"/>
  <c r="L33" i="56"/>
  <c r="M33" i="56"/>
  <c r="N34" i="56"/>
  <c r="N35" i="56"/>
  <c r="D36" i="56"/>
  <c r="E36" i="56"/>
  <c r="F36" i="56"/>
  <c r="G36" i="56"/>
  <c r="H36" i="56"/>
  <c r="I36" i="56"/>
  <c r="J36" i="56"/>
  <c r="K36" i="56"/>
  <c r="L36" i="56"/>
  <c r="M36" i="56"/>
  <c r="N36" i="56"/>
  <c r="N37" i="56"/>
  <c r="N38" i="56"/>
  <c r="N39" i="56" s="1"/>
  <c r="D39" i="56"/>
  <c r="E39" i="56"/>
  <c r="F39" i="56"/>
  <c r="G39" i="56"/>
  <c r="H39" i="56"/>
  <c r="I39" i="56"/>
  <c r="J39" i="56"/>
  <c r="K39" i="56"/>
  <c r="L39" i="56"/>
  <c r="M39" i="56"/>
  <c r="N40" i="56"/>
  <c r="N41" i="56"/>
  <c r="N42" i="56" s="1"/>
  <c r="D42" i="56"/>
  <c r="E42" i="56"/>
  <c r="F42" i="56"/>
  <c r="G42" i="56"/>
  <c r="H42" i="56"/>
  <c r="I42" i="56"/>
  <c r="J42" i="56"/>
  <c r="K42" i="56"/>
  <c r="L42" i="56"/>
  <c r="M42" i="56"/>
  <c r="N43" i="56"/>
  <c r="N44" i="56"/>
  <c r="D45" i="56"/>
  <c r="E45" i="56"/>
  <c r="F45" i="56"/>
  <c r="G45" i="56"/>
  <c r="H45" i="56"/>
  <c r="I45" i="56"/>
  <c r="J45" i="56"/>
  <c r="K45" i="56"/>
  <c r="L45" i="56"/>
  <c r="M45" i="56"/>
  <c r="N46" i="56"/>
  <c r="N47" i="56"/>
  <c r="D48" i="56"/>
  <c r="E48" i="56"/>
  <c r="F48" i="56"/>
  <c r="G48" i="56"/>
  <c r="H48" i="56"/>
  <c r="I48" i="56"/>
  <c r="J48" i="56"/>
  <c r="K48" i="56"/>
  <c r="L48" i="56"/>
  <c r="M48" i="56"/>
  <c r="N48" i="56"/>
  <c r="N49" i="56"/>
  <c r="N50" i="56"/>
  <c r="N51" i="56" s="1"/>
  <c r="D51" i="56"/>
  <c r="E51" i="56"/>
  <c r="F51" i="56"/>
  <c r="G51" i="56"/>
  <c r="H51" i="56"/>
  <c r="I51" i="56"/>
  <c r="J51" i="56"/>
  <c r="K51" i="56"/>
  <c r="L51" i="56"/>
  <c r="M51" i="56"/>
  <c r="N52" i="56"/>
  <c r="N53" i="56"/>
  <c r="N54" i="56" s="1"/>
  <c r="D54" i="56"/>
  <c r="E54" i="56"/>
  <c r="F54" i="56"/>
  <c r="G54" i="56"/>
  <c r="H54" i="56"/>
  <c r="I54" i="56"/>
  <c r="J54" i="56"/>
  <c r="K54" i="56"/>
  <c r="L54" i="56"/>
  <c r="M54" i="56"/>
  <c r="N55" i="56"/>
  <c r="N56" i="56"/>
  <c r="D57" i="56"/>
  <c r="E57" i="56"/>
  <c r="F57" i="56"/>
  <c r="G57" i="56"/>
  <c r="H57" i="56"/>
  <c r="I57" i="56"/>
  <c r="J57" i="56"/>
  <c r="K57" i="56"/>
  <c r="L57" i="56"/>
  <c r="M57" i="56"/>
  <c r="N58" i="56"/>
  <c r="N59" i="56"/>
  <c r="D60" i="56"/>
  <c r="E60" i="56"/>
  <c r="F60" i="56"/>
  <c r="G60" i="56"/>
  <c r="H60" i="56"/>
  <c r="I60" i="56"/>
  <c r="J60" i="56"/>
  <c r="K60" i="56"/>
  <c r="L60" i="56"/>
  <c r="M60" i="56"/>
  <c r="N60" i="56"/>
  <c r="N61" i="56"/>
  <c r="N62" i="56"/>
  <c r="N63" i="56" s="1"/>
  <c r="D63" i="56"/>
  <c r="E63" i="56"/>
  <c r="F63" i="56"/>
  <c r="G63" i="56"/>
  <c r="H63" i="56"/>
  <c r="I63" i="56"/>
  <c r="J63" i="56"/>
  <c r="K63" i="56"/>
  <c r="L63" i="56"/>
  <c r="M63" i="56"/>
  <c r="N64" i="56"/>
  <c r="N65" i="56"/>
  <c r="N66" i="56" s="1"/>
  <c r="D66" i="56"/>
  <c r="E66" i="56"/>
  <c r="F66" i="56"/>
  <c r="G66" i="56"/>
  <c r="H66" i="56"/>
  <c r="I66" i="56"/>
  <c r="J66" i="56"/>
  <c r="K66" i="56"/>
  <c r="L66" i="56"/>
  <c r="M66" i="56"/>
  <c r="N67" i="56"/>
  <c r="N68" i="56"/>
  <c r="D69" i="56"/>
  <c r="E69" i="56"/>
  <c r="F69" i="56"/>
  <c r="G69" i="56"/>
  <c r="H69" i="56"/>
  <c r="I69" i="56"/>
  <c r="J69" i="56"/>
  <c r="K69" i="56"/>
  <c r="L69" i="56"/>
  <c r="M69" i="56"/>
  <c r="N70" i="56"/>
  <c r="N71" i="56"/>
  <c r="D72" i="56"/>
  <c r="E72" i="56"/>
  <c r="F72" i="56"/>
  <c r="G72" i="56"/>
  <c r="H72" i="56"/>
  <c r="I72" i="56"/>
  <c r="J72" i="56"/>
  <c r="K72" i="56"/>
  <c r="L72" i="56"/>
  <c r="M72" i="56"/>
  <c r="N72" i="56"/>
  <c r="N73" i="56"/>
  <c r="N74" i="56"/>
  <c r="N75" i="56" s="1"/>
  <c r="D75" i="56"/>
  <c r="E75" i="56"/>
  <c r="F75" i="56"/>
  <c r="G75" i="56"/>
  <c r="H75" i="56"/>
  <c r="I75" i="56"/>
  <c r="J75" i="56"/>
  <c r="K75" i="56"/>
  <c r="L75" i="56"/>
  <c r="M75" i="56"/>
  <c r="N76" i="56"/>
  <c r="N77" i="56"/>
  <c r="N78" i="56" s="1"/>
  <c r="D78" i="56"/>
  <c r="E78" i="56"/>
  <c r="F78" i="56"/>
  <c r="G78" i="56"/>
  <c r="H78" i="56"/>
  <c r="I78" i="56"/>
  <c r="J78" i="56"/>
  <c r="K78" i="56"/>
  <c r="L78" i="56"/>
  <c r="M78" i="56"/>
  <c r="N79" i="56"/>
  <c r="N80" i="56"/>
  <c r="D81" i="56"/>
  <c r="E81" i="56"/>
  <c r="F81" i="56"/>
  <c r="G81" i="56"/>
  <c r="H81" i="56"/>
  <c r="I81" i="56"/>
  <c r="J81" i="56"/>
  <c r="K81" i="56"/>
  <c r="L81" i="56"/>
  <c r="M81" i="56"/>
  <c r="N82" i="56"/>
  <c r="N83" i="56"/>
  <c r="D84" i="56"/>
  <c r="E84" i="56"/>
  <c r="F84" i="56"/>
  <c r="G84" i="56"/>
  <c r="H84" i="56"/>
  <c r="I84" i="56"/>
  <c r="J84" i="56"/>
  <c r="K84" i="56"/>
  <c r="L84" i="56"/>
  <c r="M84" i="56"/>
  <c r="N84" i="56"/>
  <c r="N85" i="56"/>
  <c r="N86" i="56"/>
  <c r="N87" i="56" s="1"/>
  <c r="D87" i="56"/>
  <c r="E87" i="56"/>
  <c r="F87" i="56"/>
  <c r="G87" i="56"/>
  <c r="H87" i="56"/>
  <c r="I87" i="56"/>
  <c r="J87" i="56"/>
  <c r="K87" i="56"/>
  <c r="L87" i="56"/>
  <c r="M87" i="56"/>
  <c r="N88" i="56"/>
  <c r="N89" i="56"/>
  <c r="N90" i="56" s="1"/>
  <c r="D90" i="56"/>
  <c r="E90" i="56"/>
  <c r="F90" i="56"/>
  <c r="G90" i="56"/>
  <c r="H90" i="56"/>
  <c r="I90" i="56"/>
  <c r="J90" i="56"/>
  <c r="K90" i="56"/>
  <c r="L90" i="56"/>
  <c r="M90" i="56"/>
  <c r="D91" i="56"/>
  <c r="E91" i="56"/>
  <c r="F91" i="56"/>
  <c r="G91" i="56"/>
  <c r="H91" i="56"/>
  <c r="I91" i="56"/>
  <c r="J91" i="56"/>
  <c r="K91" i="56"/>
  <c r="L91" i="56"/>
  <c r="M91" i="56"/>
  <c r="D92" i="56"/>
  <c r="E92" i="56"/>
  <c r="F92" i="56"/>
  <c r="G92" i="56"/>
  <c r="H92" i="56"/>
  <c r="I92" i="56"/>
  <c r="J92" i="56"/>
  <c r="K92" i="56"/>
  <c r="L92" i="56"/>
  <c r="M92" i="56"/>
  <c r="N92" i="56"/>
  <c r="K93" i="56"/>
  <c r="L3" i="55"/>
  <c r="L5" i="55" s="1"/>
  <c r="L4" i="55"/>
  <c r="E5" i="55"/>
  <c r="F5" i="55"/>
  <c r="G5" i="55"/>
  <c r="H5" i="55"/>
  <c r="I5" i="55"/>
  <c r="J5" i="55"/>
  <c r="K5" i="55"/>
  <c r="L6" i="55"/>
  <c r="L7" i="55"/>
  <c r="E8" i="55"/>
  <c r="F8" i="55"/>
  <c r="G8" i="55"/>
  <c r="H8" i="55"/>
  <c r="I8" i="55"/>
  <c r="J8" i="55"/>
  <c r="K8" i="55"/>
  <c r="L9" i="55"/>
  <c r="L11" i="55" s="1"/>
  <c r="L10" i="55"/>
  <c r="E11" i="55"/>
  <c r="F11" i="55"/>
  <c r="G11" i="55"/>
  <c r="H11" i="55"/>
  <c r="I11" i="55"/>
  <c r="J11" i="55"/>
  <c r="K11" i="55"/>
  <c r="L12" i="55"/>
  <c r="L13" i="55"/>
  <c r="E14" i="55"/>
  <c r="F14" i="55"/>
  <c r="G14" i="55"/>
  <c r="H14" i="55"/>
  <c r="I14" i="55"/>
  <c r="J14" i="55"/>
  <c r="K14" i="55"/>
  <c r="L15" i="55"/>
  <c r="L17" i="55" s="1"/>
  <c r="L16" i="55"/>
  <c r="E17" i="55"/>
  <c r="F17" i="55"/>
  <c r="G17" i="55"/>
  <c r="H17" i="55"/>
  <c r="I17" i="55"/>
  <c r="J17" i="55"/>
  <c r="K17" i="55"/>
  <c r="L18" i="55"/>
  <c r="L19" i="55"/>
  <c r="E20" i="55"/>
  <c r="F20" i="55"/>
  <c r="G20" i="55"/>
  <c r="H20" i="55"/>
  <c r="I20" i="55"/>
  <c r="J20" i="55"/>
  <c r="K20" i="55"/>
  <c r="L21" i="55"/>
  <c r="L23" i="55" s="1"/>
  <c r="L22" i="55"/>
  <c r="E23" i="55"/>
  <c r="F23" i="55"/>
  <c r="G23" i="55"/>
  <c r="H23" i="55"/>
  <c r="I23" i="55"/>
  <c r="J23" i="55"/>
  <c r="K23" i="55"/>
  <c r="L24" i="55"/>
  <c r="L25" i="55"/>
  <c r="E26" i="55"/>
  <c r="F26" i="55"/>
  <c r="G26" i="55"/>
  <c r="H26" i="55"/>
  <c r="I26" i="55"/>
  <c r="J26" i="55"/>
  <c r="K26" i="55"/>
  <c r="L27" i="55"/>
  <c r="L29" i="55" s="1"/>
  <c r="L28" i="55"/>
  <c r="E29" i="55"/>
  <c r="F29" i="55"/>
  <c r="G29" i="55"/>
  <c r="H29" i="55"/>
  <c r="I29" i="55"/>
  <c r="J29" i="55"/>
  <c r="K29" i="55"/>
  <c r="L30" i="55"/>
  <c r="L31" i="55"/>
  <c r="E32" i="55"/>
  <c r="F32" i="55"/>
  <c r="G32" i="55"/>
  <c r="H32" i="55"/>
  <c r="I32" i="55"/>
  <c r="J32" i="55"/>
  <c r="K32" i="55"/>
  <c r="L33" i="55"/>
  <c r="L35" i="55" s="1"/>
  <c r="L34" i="55"/>
  <c r="E35" i="55"/>
  <c r="F35" i="55"/>
  <c r="G35" i="55"/>
  <c r="H35" i="55"/>
  <c r="I35" i="55"/>
  <c r="J35" i="55"/>
  <c r="K35" i="55"/>
  <c r="L36" i="55"/>
  <c r="L37" i="55"/>
  <c r="E38" i="55"/>
  <c r="F38" i="55"/>
  <c r="G38" i="55"/>
  <c r="H38" i="55"/>
  <c r="I38" i="55"/>
  <c r="J38" i="55"/>
  <c r="K38" i="55"/>
  <c r="L39" i="55"/>
  <c r="L41" i="55" s="1"/>
  <c r="L40" i="55"/>
  <c r="E41" i="55"/>
  <c r="F41" i="55"/>
  <c r="G41" i="55"/>
  <c r="H41" i="55"/>
  <c r="I41" i="55"/>
  <c r="J41" i="55"/>
  <c r="K41" i="55"/>
  <c r="L42" i="55"/>
  <c r="L43" i="55"/>
  <c r="E44" i="55"/>
  <c r="F44" i="55"/>
  <c r="G44" i="55"/>
  <c r="H44" i="55"/>
  <c r="I44" i="55"/>
  <c r="J44" i="55"/>
  <c r="K44" i="55"/>
  <c r="L45" i="55"/>
  <c r="L47" i="55" s="1"/>
  <c r="L46" i="55"/>
  <c r="E47" i="55"/>
  <c r="F47" i="55"/>
  <c r="G47" i="55"/>
  <c r="H47" i="55"/>
  <c r="I47" i="55"/>
  <c r="J47" i="55"/>
  <c r="K47" i="55"/>
  <c r="L48" i="55"/>
  <c r="L49" i="55"/>
  <c r="E50" i="55"/>
  <c r="F50" i="55"/>
  <c r="G50" i="55"/>
  <c r="H50" i="55"/>
  <c r="I50" i="55"/>
  <c r="J50" i="55"/>
  <c r="K50" i="55"/>
  <c r="L51" i="55"/>
  <c r="L53" i="55" s="1"/>
  <c r="L52" i="55"/>
  <c r="E53" i="55"/>
  <c r="F53" i="55"/>
  <c r="G53" i="55"/>
  <c r="H53" i="55"/>
  <c r="I53" i="55"/>
  <c r="J53" i="55"/>
  <c r="K53" i="55"/>
  <c r="L54" i="55"/>
  <c r="L55" i="55"/>
  <c r="E56" i="55"/>
  <c r="F56" i="55"/>
  <c r="G56" i="55"/>
  <c r="H56" i="55"/>
  <c r="I56" i="55"/>
  <c r="J56" i="55"/>
  <c r="K56" i="55"/>
  <c r="L57" i="55"/>
  <c r="L59" i="55" s="1"/>
  <c r="L58" i="55"/>
  <c r="E59" i="55"/>
  <c r="F59" i="55"/>
  <c r="G59" i="55"/>
  <c r="H59" i="55"/>
  <c r="I59" i="55"/>
  <c r="J59" i="55"/>
  <c r="K59" i="55"/>
  <c r="L60" i="55"/>
  <c r="L61" i="55"/>
  <c r="E62" i="55"/>
  <c r="F62" i="55"/>
  <c r="G62" i="55"/>
  <c r="H62" i="55"/>
  <c r="I62" i="55"/>
  <c r="J62" i="55"/>
  <c r="K62" i="55"/>
  <c r="L63" i="55"/>
  <c r="L65" i="55" s="1"/>
  <c r="L64" i="55"/>
  <c r="E65" i="55"/>
  <c r="F65" i="55"/>
  <c r="G65" i="55"/>
  <c r="H65" i="55"/>
  <c r="I65" i="55"/>
  <c r="J65" i="55"/>
  <c r="K65" i="55"/>
  <c r="L66" i="55"/>
  <c r="L67" i="55"/>
  <c r="E68" i="55"/>
  <c r="F68" i="55"/>
  <c r="G68" i="55"/>
  <c r="H68" i="55"/>
  <c r="I68" i="55"/>
  <c r="J68" i="55"/>
  <c r="K68" i="55"/>
  <c r="L69" i="55"/>
  <c r="L71" i="55" s="1"/>
  <c r="L70" i="55"/>
  <c r="E71" i="55"/>
  <c r="F71" i="55"/>
  <c r="G71" i="55"/>
  <c r="H71" i="55"/>
  <c r="I71" i="55"/>
  <c r="J71" i="55"/>
  <c r="K71" i="55"/>
  <c r="L72" i="55"/>
  <c r="L73" i="55"/>
  <c r="E74" i="55"/>
  <c r="F74" i="55"/>
  <c r="G74" i="55"/>
  <c r="H74" i="55"/>
  <c r="I74" i="55"/>
  <c r="J74" i="55"/>
  <c r="K74" i="55"/>
  <c r="L75" i="55"/>
  <c r="L77" i="55" s="1"/>
  <c r="L76" i="55"/>
  <c r="E77" i="55"/>
  <c r="F77" i="55"/>
  <c r="G77" i="55"/>
  <c r="H77" i="55"/>
  <c r="I77" i="55"/>
  <c r="J77" i="55"/>
  <c r="K77" i="55"/>
  <c r="L78" i="55"/>
  <c r="L79" i="55"/>
  <c r="E80" i="55"/>
  <c r="F80" i="55"/>
  <c r="G80" i="55"/>
  <c r="H80" i="55"/>
  <c r="I80" i="55"/>
  <c r="J80" i="55"/>
  <c r="K80" i="55"/>
  <c r="L81" i="55"/>
  <c r="L83" i="55" s="1"/>
  <c r="L82" i="55"/>
  <c r="E83" i="55"/>
  <c r="F83" i="55"/>
  <c r="G83" i="55"/>
  <c r="H83" i="55"/>
  <c r="I83" i="55"/>
  <c r="J83" i="55"/>
  <c r="K83" i="55"/>
  <c r="L84" i="55"/>
  <c r="L85" i="55"/>
  <c r="E86" i="55"/>
  <c r="F86" i="55"/>
  <c r="G86" i="55"/>
  <c r="H86" i="55"/>
  <c r="I86" i="55"/>
  <c r="J86" i="55"/>
  <c r="K86" i="55"/>
  <c r="L87" i="55"/>
  <c r="L89" i="55" s="1"/>
  <c r="L88" i="55"/>
  <c r="E89" i="55"/>
  <c r="F89" i="55"/>
  <c r="G89" i="55"/>
  <c r="H89" i="55"/>
  <c r="I89" i="55"/>
  <c r="J89" i="55"/>
  <c r="K89" i="55"/>
  <c r="E90" i="55"/>
  <c r="F90" i="55"/>
  <c r="G90" i="55"/>
  <c r="H90" i="55"/>
  <c r="I90" i="55"/>
  <c r="J90" i="55"/>
  <c r="K90" i="55"/>
  <c r="E91" i="55"/>
  <c r="F91" i="55"/>
  <c r="G91" i="55"/>
  <c r="H91" i="55"/>
  <c r="I91" i="55"/>
  <c r="J91" i="55"/>
  <c r="K91" i="55"/>
  <c r="E92" i="55"/>
  <c r="G92" i="55"/>
  <c r="I92" i="55"/>
  <c r="K92" i="55"/>
  <c r="L3" i="54"/>
  <c r="L4" i="54"/>
  <c r="E5" i="54"/>
  <c r="F5" i="54"/>
  <c r="G5" i="54"/>
  <c r="H5" i="54"/>
  <c r="I5" i="54"/>
  <c r="J5" i="54"/>
  <c r="K5" i="54"/>
  <c r="L6" i="54"/>
  <c r="L8" i="54" s="1"/>
  <c r="L7" i="54"/>
  <c r="E8" i="54"/>
  <c r="F8" i="54"/>
  <c r="G8" i="54"/>
  <c r="H8" i="54"/>
  <c r="I8" i="54"/>
  <c r="J8" i="54"/>
  <c r="K8" i="54"/>
  <c r="L9" i="54"/>
  <c r="L10" i="54"/>
  <c r="E11" i="54"/>
  <c r="F11" i="54"/>
  <c r="G11" i="54"/>
  <c r="H11" i="54"/>
  <c r="I11" i="54"/>
  <c r="J11" i="54"/>
  <c r="K11" i="54"/>
  <c r="L12" i="54"/>
  <c r="L13" i="54"/>
  <c r="L91" i="54" s="1"/>
  <c r="E14" i="54"/>
  <c r="F14" i="54"/>
  <c r="F92" i="54" s="1"/>
  <c r="G14" i="54"/>
  <c r="H14" i="54"/>
  <c r="H92" i="54" s="1"/>
  <c r="I14" i="54"/>
  <c r="J14" i="54"/>
  <c r="J92" i="54" s="1"/>
  <c r="K14" i="54"/>
  <c r="L15" i="54"/>
  <c r="L17" i="54" s="1"/>
  <c r="L16" i="54"/>
  <c r="E17" i="54"/>
  <c r="F17" i="54"/>
  <c r="G17" i="54"/>
  <c r="H17" i="54"/>
  <c r="I17" i="54"/>
  <c r="J17" i="54"/>
  <c r="K17" i="54"/>
  <c r="L18" i="54"/>
  <c r="L19" i="54"/>
  <c r="E20" i="54"/>
  <c r="F20" i="54"/>
  <c r="G20" i="54"/>
  <c r="H20" i="54"/>
  <c r="I20" i="54"/>
  <c r="J20" i="54"/>
  <c r="K20" i="54"/>
  <c r="L21" i="54"/>
  <c r="L23" i="54" s="1"/>
  <c r="L22" i="54"/>
  <c r="E23" i="54"/>
  <c r="F23" i="54"/>
  <c r="G23" i="54"/>
  <c r="H23" i="54"/>
  <c r="I23" i="54"/>
  <c r="J23" i="54"/>
  <c r="K23" i="54"/>
  <c r="L24" i="54"/>
  <c r="L25" i="54"/>
  <c r="E26" i="54"/>
  <c r="F26" i="54"/>
  <c r="G26" i="54"/>
  <c r="H26" i="54"/>
  <c r="I26" i="54"/>
  <c r="J26" i="54"/>
  <c r="K26" i="54"/>
  <c r="L27" i="54"/>
  <c r="L29" i="54" s="1"/>
  <c r="L28" i="54"/>
  <c r="E29" i="54"/>
  <c r="F29" i="54"/>
  <c r="G29" i="54"/>
  <c r="H29" i="54"/>
  <c r="I29" i="54"/>
  <c r="J29" i="54"/>
  <c r="K29" i="54"/>
  <c r="L30" i="54"/>
  <c r="L31" i="54"/>
  <c r="E32" i="54"/>
  <c r="F32" i="54"/>
  <c r="G32" i="54"/>
  <c r="H32" i="54"/>
  <c r="I32" i="54"/>
  <c r="J32" i="54"/>
  <c r="K32" i="54"/>
  <c r="L33" i="54"/>
  <c r="L35" i="54" s="1"/>
  <c r="L34" i="54"/>
  <c r="E35" i="54"/>
  <c r="F35" i="54"/>
  <c r="G35" i="54"/>
  <c r="H35" i="54"/>
  <c r="I35" i="54"/>
  <c r="J35" i="54"/>
  <c r="K35" i="54"/>
  <c r="L36" i="54"/>
  <c r="L37" i="54"/>
  <c r="E38" i="54"/>
  <c r="F38" i="54"/>
  <c r="G38" i="54"/>
  <c r="H38" i="54"/>
  <c r="I38" i="54"/>
  <c r="J38" i="54"/>
  <c r="K38" i="54"/>
  <c r="L39" i="54"/>
  <c r="L41" i="54" s="1"/>
  <c r="L40" i="54"/>
  <c r="E41" i="54"/>
  <c r="F41" i="54"/>
  <c r="G41" i="54"/>
  <c r="H41" i="54"/>
  <c r="I41" i="54"/>
  <c r="J41" i="54"/>
  <c r="K41" i="54"/>
  <c r="L42" i="54"/>
  <c r="L43" i="54"/>
  <c r="E44" i="54"/>
  <c r="F44" i="54"/>
  <c r="G44" i="54"/>
  <c r="H44" i="54"/>
  <c r="I44" i="54"/>
  <c r="J44" i="54"/>
  <c r="K44" i="54"/>
  <c r="L45" i="54"/>
  <c r="L47" i="54" s="1"/>
  <c r="L46" i="54"/>
  <c r="E47" i="54"/>
  <c r="F47" i="54"/>
  <c r="G47" i="54"/>
  <c r="H47" i="54"/>
  <c r="I47" i="54"/>
  <c r="J47" i="54"/>
  <c r="K47" i="54"/>
  <c r="L48" i="54"/>
  <c r="L49" i="54"/>
  <c r="E50" i="54"/>
  <c r="F50" i="54"/>
  <c r="G50" i="54"/>
  <c r="H50" i="54"/>
  <c r="I50" i="54"/>
  <c r="J50" i="54"/>
  <c r="K50" i="54"/>
  <c r="L51" i="54"/>
  <c r="L53" i="54" s="1"/>
  <c r="L52" i="54"/>
  <c r="E53" i="54"/>
  <c r="F53" i="54"/>
  <c r="G53" i="54"/>
  <c r="H53" i="54"/>
  <c r="I53" i="54"/>
  <c r="J53" i="54"/>
  <c r="K53" i="54"/>
  <c r="L54" i="54"/>
  <c r="L55" i="54"/>
  <c r="E56" i="54"/>
  <c r="F56" i="54"/>
  <c r="G56" i="54"/>
  <c r="H56" i="54"/>
  <c r="I56" i="54"/>
  <c r="J56" i="54"/>
  <c r="K56" i="54"/>
  <c r="L57" i="54"/>
  <c r="L59" i="54" s="1"/>
  <c r="L58" i="54"/>
  <c r="E59" i="54"/>
  <c r="F59" i="54"/>
  <c r="G59" i="54"/>
  <c r="H59" i="54"/>
  <c r="I59" i="54"/>
  <c r="J59" i="54"/>
  <c r="K59" i="54"/>
  <c r="L60" i="54"/>
  <c r="L61" i="54"/>
  <c r="E62" i="54"/>
  <c r="F62" i="54"/>
  <c r="G62" i="54"/>
  <c r="H62" i="54"/>
  <c r="I62" i="54"/>
  <c r="J62" i="54"/>
  <c r="K62" i="54"/>
  <c r="L63" i="54"/>
  <c r="L65" i="54" s="1"/>
  <c r="L64" i="54"/>
  <c r="E65" i="54"/>
  <c r="F65" i="54"/>
  <c r="G65" i="54"/>
  <c r="H65" i="54"/>
  <c r="I65" i="54"/>
  <c r="J65" i="54"/>
  <c r="K65" i="54"/>
  <c r="L66" i="54"/>
  <c r="L67" i="54"/>
  <c r="E68" i="54"/>
  <c r="F68" i="54"/>
  <c r="G68" i="54"/>
  <c r="H68" i="54"/>
  <c r="I68" i="54"/>
  <c r="J68" i="54"/>
  <c r="K68" i="54"/>
  <c r="L69" i="54"/>
  <c r="L71" i="54" s="1"/>
  <c r="L70" i="54"/>
  <c r="E71" i="54"/>
  <c r="F71" i="54"/>
  <c r="G71" i="54"/>
  <c r="H71" i="54"/>
  <c r="I71" i="54"/>
  <c r="J71" i="54"/>
  <c r="K71" i="54"/>
  <c r="L72" i="54"/>
  <c r="L73" i="54"/>
  <c r="E74" i="54"/>
  <c r="F74" i="54"/>
  <c r="G74" i="54"/>
  <c r="H74" i="54"/>
  <c r="I74" i="54"/>
  <c r="J74" i="54"/>
  <c r="K74" i="54"/>
  <c r="L75" i="54"/>
  <c r="L77" i="54" s="1"/>
  <c r="L76" i="54"/>
  <c r="E77" i="54"/>
  <c r="F77" i="54"/>
  <c r="G77" i="54"/>
  <c r="H77" i="54"/>
  <c r="I77" i="54"/>
  <c r="J77" i="54"/>
  <c r="K77" i="54"/>
  <c r="L78" i="54"/>
  <c r="L79" i="54"/>
  <c r="E80" i="54"/>
  <c r="F80" i="54"/>
  <c r="G80" i="54"/>
  <c r="H80" i="54"/>
  <c r="I80" i="54"/>
  <c r="J80" i="54"/>
  <c r="K80" i="54"/>
  <c r="L81" i="54"/>
  <c r="L83" i="54" s="1"/>
  <c r="L82" i="54"/>
  <c r="E83" i="54"/>
  <c r="F83" i="54"/>
  <c r="G83" i="54"/>
  <c r="H83" i="54"/>
  <c r="I83" i="54"/>
  <c r="J83" i="54"/>
  <c r="K83" i="54"/>
  <c r="L84" i="54"/>
  <c r="L85" i="54"/>
  <c r="E86" i="54"/>
  <c r="F86" i="54"/>
  <c r="G86" i="54"/>
  <c r="H86" i="54"/>
  <c r="I86" i="54"/>
  <c r="J86" i="54"/>
  <c r="K86" i="54"/>
  <c r="L87" i="54"/>
  <c r="L89" i="54" s="1"/>
  <c r="L88" i="54"/>
  <c r="E89" i="54"/>
  <c r="F89" i="54"/>
  <c r="G89" i="54"/>
  <c r="H89" i="54"/>
  <c r="I89" i="54"/>
  <c r="J89" i="54"/>
  <c r="K89" i="54"/>
  <c r="E90" i="54"/>
  <c r="F90" i="54"/>
  <c r="G90" i="54"/>
  <c r="H90" i="54"/>
  <c r="I90" i="54"/>
  <c r="J90" i="54"/>
  <c r="K90" i="54"/>
  <c r="E91" i="54"/>
  <c r="F91" i="54"/>
  <c r="G91" i="54"/>
  <c r="H91" i="54"/>
  <c r="I91" i="54"/>
  <c r="J91" i="54"/>
  <c r="K91" i="54"/>
  <c r="E92" i="54"/>
  <c r="G92" i="54"/>
  <c r="I92" i="54"/>
  <c r="K92" i="54"/>
  <c r="L3" i="53"/>
  <c r="L4" i="53"/>
  <c r="E5" i="53"/>
  <c r="F5" i="53"/>
  <c r="G5" i="53"/>
  <c r="H5" i="53"/>
  <c r="I5" i="53"/>
  <c r="J5" i="53"/>
  <c r="K5" i="53"/>
  <c r="L6" i="53"/>
  <c r="L8" i="53" s="1"/>
  <c r="L7" i="53"/>
  <c r="E8" i="53"/>
  <c r="E92" i="53" s="1"/>
  <c r="F8" i="53"/>
  <c r="G8" i="53"/>
  <c r="G92" i="53" s="1"/>
  <c r="H8" i="53"/>
  <c r="I8" i="53"/>
  <c r="I92" i="53" s="1"/>
  <c r="J8" i="53"/>
  <c r="K8" i="53"/>
  <c r="K92" i="53" s="1"/>
  <c r="L9" i="53"/>
  <c r="L10" i="53"/>
  <c r="E11" i="53"/>
  <c r="F11" i="53"/>
  <c r="G11" i="53"/>
  <c r="H11" i="53"/>
  <c r="I11" i="53"/>
  <c r="J11" i="53"/>
  <c r="K11" i="53"/>
  <c r="L12" i="53"/>
  <c r="L14" i="53" s="1"/>
  <c r="L13" i="53"/>
  <c r="E14" i="53"/>
  <c r="F14" i="53"/>
  <c r="G14" i="53"/>
  <c r="H14" i="53"/>
  <c r="I14" i="53"/>
  <c r="J14" i="53"/>
  <c r="K14" i="53"/>
  <c r="L15" i="53"/>
  <c r="L16" i="53"/>
  <c r="E17" i="53"/>
  <c r="F17" i="53"/>
  <c r="G17" i="53"/>
  <c r="H17" i="53"/>
  <c r="I17" i="53"/>
  <c r="J17" i="53"/>
  <c r="K17" i="53"/>
  <c r="L18" i="53"/>
  <c r="L20" i="53" s="1"/>
  <c r="L19" i="53"/>
  <c r="E20" i="53"/>
  <c r="F20" i="53"/>
  <c r="G20" i="53"/>
  <c r="H20" i="53"/>
  <c r="I20" i="53"/>
  <c r="J20" i="53"/>
  <c r="K20" i="53"/>
  <c r="L21" i="53"/>
  <c r="L22" i="53"/>
  <c r="E23" i="53"/>
  <c r="F23" i="53"/>
  <c r="G23" i="53"/>
  <c r="H23" i="53"/>
  <c r="I23" i="53"/>
  <c r="J23" i="53"/>
  <c r="K23" i="53"/>
  <c r="L24" i="53"/>
  <c r="L26" i="53" s="1"/>
  <c r="L25" i="53"/>
  <c r="E26" i="53"/>
  <c r="F26" i="53"/>
  <c r="G26" i="53"/>
  <c r="H26" i="53"/>
  <c r="I26" i="53"/>
  <c r="J26" i="53"/>
  <c r="K26" i="53"/>
  <c r="L27" i="53"/>
  <c r="L28" i="53"/>
  <c r="E29" i="53"/>
  <c r="F29" i="53"/>
  <c r="G29" i="53"/>
  <c r="H29" i="53"/>
  <c r="I29" i="53"/>
  <c r="J29" i="53"/>
  <c r="K29" i="53"/>
  <c r="L30" i="53"/>
  <c r="L32" i="53" s="1"/>
  <c r="L31" i="53"/>
  <c r="E32" i="53"/>
  <c r="F32" i="53"/>
  <c r="G32" i="53"/>
  <c r="H32" i="53"/>
  <c r="I32" i="53"/>
  <c r="J32" i="53"/>
  <c r="K32" i="53"/>
  <c r="L33" i="53"/>
  <c r="L34" i="53"/>
  <c r="E35" i="53"/>
  <c r="F35" i="53"/>
  <c r="G35" i="53"/>
  <c r="H35" i="53"/>
  <c r="I35" i="53"/>
  <c r="J35" i="53"/>
  <c r="K35" i="53"/>
  <c r="L36" i="53"/>
  <c r="L38" i="53" s="1"/>
  <c r="L37" i="53"/>
  <c r="E38" i="53"/>
  <c r="F38" i="53"/>
  <c r="G38" i="53"/>
  <c r="H38" i="53"/>
  <c r="I38" i="53"/>
  <c r="J38" i="53"/>
  <c r="K38" i="53"/>
  <c r="L39" i="53"/>
  <c r="L40" i="53"/>
  <c r="E41" i="53"/>
  <c r="F41" i="53"/>
  <c r="G41" i="53"/>
  <c r="H41" i="53"/>
  <c r="I41" i="53"/>
  <c r="J41" i="53"/>
  <c r="K41" i="53"/>
  <c r="L42" i="53"/>
  <c r="L44" i="53" s="1"/>
  <c r="L43" i="53"/>
  <c r="E44" i="53"/>
  <c r="F44" i="53"/>
  <c r="G44" i="53"/>
  <c r="H44" i="53"/>
  <c r="I44" i="53"/>
  <c r="J44" i="53"/>
  <c r="K44" i="53"/>
  <c r="L45" i="53"/>
  <c r="L46" i="53"/>
  <c r="E47" i="53"/>
  <c r="F47" i="53"/>
  <c r="G47" i="53"/>
  <c r="H47" i="53"/>
  <c r="I47" i="53"/>
  <c r="J47" i="53"/>
  <c r="K47" i="53"/>
  <c r="L48" i="53"/>
  <c r="L50" i="53" s="1"/>
  <c r="L49" i="53"/>
  <c r="E50" i="53"/>
  <c r="F50" i="53"/>
  <c r="G50" i="53"/>
  <c r="H50" i="53"/>
  <c r="I50" i="53"/>
  <c r="J50" i="53"/>
  <c r="K50" i="53"/>
  <c r="L51" i="53"/>
  <c r="L52" i="53"/>
  <c r="E53" i="53"/>
  <c r="F53" i="53"/>
  <c r="G53" i="53"/>
  <c r="H53" i="53"/>
  <c r="I53" i="53"/>
  <c r="J53" i="53"/>
  <c r="K53" i="53"/>
  <c r="L54" i="53"/>
  <c r="L56" i="53" s="1"/>
  <c r="L55" i="53"/>
  <c r="E56" i="53"/>
  <c r="F56" i="53"/>
  <c r="G56" i="53"/>
  <c r="H56" i="53"/>
  <c r="I56" i="53"/>
  <c r="J56" i="53"/>
  <c r="K56" i="53"/>
  <c r="L57" i="53"/>
  <c r="L58" i="53"/>
  <c r="E59" i="53"/>
  <c r="F59" i="53"/>
  <c r="G59" i="53"/>
  <c r="H59" i="53"/>
  <c r="I59" i="53"/>
  <c r="J59" i="53"/>
  <c r="K59" i="53"/>
  <c r="L60" i="53"/>
  <c r="L62" i="53" s="1"/>
  <c r="L61" i="53"/>
  <c r="E62" i="53"/>
  <c r="F62" i="53"/>
  <c r="G62" i="53"/>
  <c r="H62" i="53"/>
  <c r="I62" i="53"/>
  <c r="J62" i="53"/>
  <c r="K62" i="53"/>
  <c r="L63" i="53"/>
  <c r="L64" i="53"/>
  <c r="E65" i="53"/>
  <c r="F65" i="53"/>
  <c r="G65" i="53"/>
  <c r="H65" i="53"/>
  <c r="I65" i="53"/>
  <c r="J65" i="53"/>
  <c r="K65" i="53"/>
  <c r="L66" i="53"/>
  <c r="L68" i="53" s="1"/>
  <c r="L67" i="53"/>
  <c r="E68" i="53"/>
  <c r="F68" i="53"/>
  <c r="G68" i="53"/>
  <c r="H68" i="53"/>
  <c r="I68" i="53"/>
  <c r="J68" i="53"/>
  <c r="K68" i="53"/>
  <c r="L69" i="53"/>
  <c r="L70" i="53"/>
  <c r="E71" i="53"/>
  <c r="F71" i="53"/>
  <c r="G71" i="53"/>
  <c r="H71" i="53"/>
  <c r="I71" i="53"/>
  <c r="J71" i="53"/>
  <c r="K71" i="53"/>
  <c r="L72" i="53"/>
  <c r="L74" i="53" s="1"/>
  <c r="L73" i="53"/>
  <c r="E74" i="53"/>
  <c r="F74" i="53"/>
  <c r="G74" i="53"/>
  <c r="H74" i="53"/>
  <c r="I74" i="53"/>
  <c r="J74" i="53"/>
  <c r="K74" i="53"/>
  <c r="L75" i="53"/>
  <c r="L76" i="53"/>
  <c r="E77" i="53"/>
  <c r="F77" i="53"/>
  <c r="G77" i="53"/>
  <c r="H77" i="53"/>
  <c r="I77" i="53"/>
  <c r="J77" i="53"/>
  <c r="K77" i="53"/>
  <c r="L78" i="53"/>
  <c r="L80" i="53" s="1"/>
  <c r="L79" i="53"/>
  <c r="E80" i="53"/>
  <c r="F80" i="53"/>
  <c r="G80" i="53"/>
  <c r="H80" i="53"/>
  <c r="I80" i="53"/>
  <c r="J80" i="53"/>
  <c r="K80" i="53"/>
  <c r="L81" i="53"/>
  <c r="L82" i="53"/>
  <c r="E83" i="53"/>
  <c r="F83" i="53"/>
  <c r="G83" i="53"/>
  <c r="H83" i="53"/>
  <c r="I83" i="53"/>
  <c r="J83" i="53"/>
  <c r="K83" i="53"/>
  <c r="L84" i="53"/>
  <c r="L86" i="53" s="1"/>
  <c r="L85" i="53"/>
  <c r="E86" i="53"/>
  <c r="F86" i="53"/>
  <c r="G86" i="53"/>
  <c r="H86" i="53"/>
  <c r="I86" i="53"/>
  <c r="J86" i="53"/>
  <c r="K86" i="53"/>
  <c r="L87" i="53"/>
  <c r="L88" i="53"/>
  <c r="E89" i="53"/>
  <c r="F89" i="53"/>
  <c r="G89" i="53"/>
  <c r="H89" i="53"/>
  <c r="I89" i="53"/>
  <c r="J89" i="53"/>
  <c r="K89" i="53"/>
  <c r="E90" i="53"/>
  <c r="F90" i="53"/>
  <c r="G90" i="53"/>
  <c r="H90" i="53"/>
  <c r="I90" i="53"/>
  <c r="J90" i="53"/>
  <c r="K90" i="53"/>
  <c r="E91" i="53"/>
  <c r="F91" i="53"/>
  <c r="G91" i="53"/>
  <c r="H91" i="53"/>
  <c r="I91" i="53"/>
  <c r="J91" i="53"/>
  <c r="K91" i="53"/>
  <c r="L91" i="53"/>
  <c r="F92" i="53"/>
  <c r="H92" i="53"/>
  <c r="J92" i="53"/>
  <c r="L4" i="52"/>
  <c r="L6" i="52" s="1"/>
  <c r="L5" i="52"/>
  <c r="E6" i="52"/>
  <c r="E36" i="52" s="1"/>
  <c r="F6" i="52"/>
  <c r="G6" i="52"/>
  <c r="G36" i="52" s="1"/>
  <c r="H6" i="52"/>
  <c r="I6" i="52"/>
  <c r="I36" i="52" s="1"/>
  <c r="J6" i="52"/>
  <c r="K6" i="52"/>
  <c r="K36" i="52" s="1"/>
  <c r="L7" i="52"/>
  <c r="L8" i="52"/>
  <c r="E9" i="52"/>
  <c r="F9" i="52"/>
  <c r="G9" i="52"/>
  <c r="H9" i="52"/>
  <c r="I9" i="52"/>
  <c r="J9" i="52"/>
  <c r="K9" i="52"/>
  <c r="L10" i="52"/>
  <c r="L12" i="52" s="1"/>
  <c r="L11" i="52"/>
  <c r="E12" i="52"/>
  <c r="F12" i="52"/>
  <c r="G12" i="52"/>
  <c r="H12" i="52"/>
  <c r="I12" i="52"/>
  <c r="J12" i="52"/>
  <c r="K12" i="52"/>
  <c r="L13" i="52"/>
  <c r="L14" i="52"/>
  <c r="E15" i="52"/>
  <c r="F15" i="52"/>
  <c r="G15" i="52"/>
  <c r="H15" i="52"/>
  <c r="I15" i="52"/>
  <c r="J15" i="52"/>
  <c r="K15" i="52"/>
  <c r="L16" i="52"/>
  <c r="L18" i="52" s="1"/>
  <c r="L17" i="52"/>
  <c r="E18" i="52"/>
  <c r="F18" i="52"/>
  <c r="G18" i="52"/>
  <c r="H18" i="52"/>
  <c r="I18" i="52"/>
  <c r="J18" i="52"/>
  <c r="K18" i="52"/>
  <c r="L19" i="52"/>
  <c r="L20" i="52"/>
  <c r="E21" i="52"/>
  <c r="F21" i="52"/>
  <c r="G21" i="52"/>
  <c r="H21" i="52"/>
  <c r="I21" i="52"/>
  <c r="J21" i="52"/>
  <c r="K21" i="52"/>
  <c r="L22" i="52"/>
  <c r="L24" i="52" s="1"/>
  <c r="L23" i="52"/>
  <c r="E24" i="52"/>
  <c r="F24" i="52"/>
  <c r="G24" i="52"/>
  <c r="H24" i="52"/>
  <c r="I24" i="52"/>
  <c r="J24" i="52"/>
  <c r="K24" i="52"/>
  <c r="L25" i="52"/>
  <c r="L26" i="52"/>
  <c r="E27" i="52"/>
  <c r="F27" i="52"/>
  <c r="G27" i="52"/>
  <c r="H27" i="52"/>
  <c r="I27" i="52"/>
  <c r="J27" i="52"/>
  <c r="K27" i="52"/>
  <c r="L28" i="52"/>
  <c r="L30" i="52" s="1"/>
  <c r="L29" i="52"/>
  <c r="E30" i="52"/>
  <c r="F30" i="52"/>
  <c r="G30" i="52"/>
  <c r="H30" i="52"/>
  <c r="I30" i="52"/>
  <c r="J30" i="52"/>
  <c r="K30" i="52"/>
  <c r="L31" i="52"/>
  <c r="L32" i="52"/>
  <c r="E33" i="52"/>
  <c r="F33" i="52"/>
  <c r="G33" i="52"/>
  <c r="H33" i="52"/>
  <c r="I33" i="52"/>
  <c r="J33" i="52"/>
  <c r="K33" i="52"/>
  <c r="E34" i="52"/>
  <c r="F34" i="52"/>
  <c r="G34" i="52"/>
  <c r="H34" i="52"/>
  <c r="I34" i="52"/>
  <c r="J34" i="52"/>
  <c r="K34" i="52"/>
  <c r="E35" i="52"/>
  <c r="F35" i="52"/>
  <c r="G35" i="52"/>
  <c r="H35" i="52"/>
  <c r="I35" i="52"/>
  <c r="J35" i="52"/>
  <c r="K35" i="52"/>
  <c r="L35" i="52"/>
  <c r="F36" i="52"/>
  <c r="H36" i="52"/>
  <c r="J36" i="52"/>
  <c r="M4" i="51"/>
  <c r="M6" i="51" s="1"/>
  <c r="M5" i="51"/>
  <c r="F6" i="51"/>
  <c r="F36" i="51" s="1"/>
  <c r="G6" i="51"/>
  <c r="H6" i="51"/>
  <c r="H36" i="51" s="1"/>
  <c r="I6" i="51"/>
  <c r="J6" i="51"/>
  <c r="J36" i="51" s="1"/>
  <c r="K6" i="51"/>
  <c r="L6" i="51"/>
  <c r="L36" i="51" s="1"/>
  <c r="M7" i="51"/>
  <c r="M8" i="51"/>
  <c r="F9" i="51"/>
  <c r="G9" i="51"/>
  <c r="H9" i="51"/>
  <c r="I9" i="51"/>
  <c r="J9" i="51"/>
  <c r="K9" i="51"/>
  <c r="L9" i="51"/>
  <c r="M10" i="51"/>
  <c r="M12" i="51" s="1"/>
  <c r="M11" i="51"/>
  <c r="F12" i="51"/>
  <c r="G12" i="51"/>
  <c r="H12" i="51"/>
  <c r="I12" i="51"/>
  <c r="J12" i="51"/>
  <c r="K12" i="51"/>
  <c r="L12" i="51"/>
  <c r="M13" i="51"/>
  <c r="M14" i="51"/>
  <c r="F15" i="51"/>
  <c r="G15" i="51"/>
  <c r="H15" i="51"/>
  <c r="I15" i="51"/>
  <c r="J15" i="51"/>
  <c r="K15" i="51"/>
  <c r="L15" i="51"/>
  <c r="M16" i="51"/>
  <c r="M18" i="51" s="1"/>
  <c r="M17" i="51"/>
  <c r="F18" i="51"/>
  <c r="G18" i="51"/>
  <c r="H18" i="51"/>
  <c r="I18" i="51"/>
  <c r="J18" i="51"/>
  <c r="K18" i="51"/>
  <c r="L18" i="51"/>
  <c r="M19" i="51"/>
  <c r="M20" i="51"/>
  <c r="F21" i="51"/>
  <c r="G21" i="51"/>
  <c r="H21" i="51"/>
  <c r="I21" i="51"/>
  <c r="J21" i="51"/>
  <c r="K21" i="51"/>
  <c r="L21" i="51"/>
  <c r="M22" i="51"/>
  <c r="M24" i="51" s="1"/>
  <c r="M23" i="51"/>
  <c r="F24" i="51"/>
  <c r="G24" i="51"/>
  <c r="H24" i="51"/>
  <c r="I24" i="51"/>
  <c r="J24" i="51"/>
  <c r="K24" i="51"/>
  <c r="L24" i="51"/>
  <c r="M25" i="51"/>
  <c r="M26" i="51"/>
  <c r="F27" i="51"/>
  <c r="G27" i="51"/>
  <c r="H27" i="51"/>
  <c r="I27" i="51"/>
  <c r="J27" i="51"/>
  <c r="K27" i="51"/>
  <c r="L27" i="51"/>
  <c r="M28" i="51"/>
  <c r="M30" i="51" s="1"/>
  <c r="M29" i="51"/>
  <c r="F30" i="51"/>
  <c r="G30" i="51"/>
  <c r="H30" i="51"/>
  <c r="I30" i="51"/>
  <c r="J30" i="51"/>
  <c r="K30" i="51"/>
  <c r="L30" i="51"/>
  <c r="M31" i="51"/>
  <c r="M32" i="51"/>
  <c r="F33" i="51"/>
  <c r="G33" i="51"/>
  <c r="H33" i="51"/>
  <c r="I33" i="51"/>
  <c r="J33" i="51"/>
  <c r="K33" i="51"/>
  <c r="L33" i="51"/>
  <c r="F34" i="51"/>
  <c r="G34" i="51"/>
  <c r="H34" i="51"/>
  <c r="I34" i="51"/>
  <c r="J34" i="51"/>
  <c r="K34" i="51"/>
  <c r="L34" i="51"/>
  <c r="F35" i="51"/>
  <c r="G35" i="51"/>
  <c r="H35" i="51"/>
  <c r="I35" i="51"/>
  <c r="J35" i="51"/>
  <c r="K35" i="51"/>
  <c r="L35" i="51"/>
  <c r="M35" i="51"/>
  <c r="G36" i="51"/>
  <c r="I36" i="51"/>
  <c r="K36" i="51"/>
  <c r="L4" i="50"/>
  <c r="L6" i="50" s="1"/>
  <c r="L5" i="50"/>
  <c r="E6" i="50"/>
  <c r="E36" i="50" s="1"/>
  <c r="F6" i="50"/>
  <c r="G6" i="50"/>
  <c r="G36" i="50" s="1"/>
  <c r="H6" i="50"/>
  <c r="I6" i="50"/>
  <c r="I36" i="50" s="1"/>
  <c r="J6" i="50"/>
  <c r="K6" i="50"/>
  <c r="K36" i="50" s="1"/>
  <c r="L7" i="50"/>
  <c r="L8" i="50"/>
  <c r="E9" i="50"/>
  <c r="F9" i="50"/>
  <c r="G9" i="50"/>
  <c r="H9" i="50"/>
  <c r="I9" i="50"/>
  <c r="J9" i="50"/>
  <c r="K9" i="50"/>
  <c r="L10" i="50"/>
  <c r="L12" i="50" s="1"/>
  <c r="L11" i="50"/>
  <c r="E12" i="50"/>
  <c r="F12" i="50"/>
  <c r="G12" i="50"/>
  <c r="H12" i="50"/>
  <c r="I12" i="50"/>
  <c r="J12" i="50"/>
  <c r="K12" i="50"/>
  <c r="L13" i="50"/>
  <c r="L14" i="50"/>
  <c r="E15" i="50"/>
  <c r="F15" i="50"/>
  <c r="G15" i="50"/>
  <c r="H15" i="50"/>
  <c r="I15" i="50"/>
  <c r="J15" i="50"/>
  <c r="K15" i="50"/>
  <c r="L16" i="50"/>
  <c r="L18" i="50" s="1"/>
  <c r="L17" i="50"/>
  <c r="E18" i="50"/>
  <c r="F18" i="50"/>
  <c r="G18" i="50"/>
  <c r="H18" i="50"/>
  <c r="I18" i="50"/>
  <c r="J18" i="50"/>
  <c r="K18" i="50"/>
  <c r="L19" i="50"/>
  <c r="L20" i="50"/>
  <c r="E21" i="50"/>
  <c r="F21" i="50"/>
  <c r="G21" i="50"/>
  <c r="H21" i="50"/>
  <c r="I21" i="50"/>
  <c r="J21" i="50"/>
  <c r="K21" i="50"/>
  <c r="L22" i="50"/>
  <c r="L24" i="50" s="1"/>
  <c r="L23" i="50"/>
  <c r="E24" i="50"/>
  <c r="F24" i="50"/>
  <c r="G24" i="50"/>
  <c r="H24" i="50"/>
  <c r="I24" i="50"/>
  <c r="J24" i="50"/>
  <c r="K24" i="50"/>
  <c r="L25" i="50"/>
  <c r="L26" i="50"/>
  <c r="E27" i="50"/>
  <c r="F27" i="50"/>
  <c r="G27" i="50"/>
  <c r="H27" i="50"/>
  <c r="I27" i="50"/>
  <c r="J27" i="50"/>
  <c r="K27" i="50"/>
  <c r="L28" i="50"/>
  <c r="L30" i="50" s="1"/>
  <c r="L29" i="50"/>
  <c r="E30" i="50"/>
  <c r="F30" i="50"/>
  <c r="G30" i="50"/>
  <c r="H30" i="50"/>
  <c r="I30" i="50"/>
  <c r="J30" i="50"/>
  <c r="K30" i="50"/>
  <c r="L31" i="50"/>
  <c r="L32" i="50"/>
  <c r="E33" i="50"/>
  <c r="F33" i="50"/>
  <c r="G33" i="50"/>
  <c r="H33" i="50"/>
  <c r="I33" i="50"/>
  <c r="J33" i="50"/>
  <c r="K33" i="50"/>
  <c r="E34" i="50"/>
  <c r="F34" i="50"/>
  <c r="G34" i="50"/>
  <c r="H34" i="50"/>
  <c r="I34" i="50"/>
  <c r="J34" i="50"/>
  <c r="K34" i="50"/>
  <c r="E35" i="50"/>
  <c r="F35" i="50"/>
  <c r="G35" i="50"/>
  <c r="H35" i="50"/>
  <c r="I35" i="50"/>
  <c r="J35" i="50"/>
  <c r="K35" i="50"/>
  <c r="L35" i="50"/>
  <c r="F36" i="50"/>
  <c r="H36" i="50"/>
  <c r="J36" i="50"/>
  <c r="I93" i="56" l="1"/>
  <c r="E93" i="56"/>
  <c r="K93" i="57"/>
  <c r="G93" i="57"/>
  <c r="N9" i="57"/>
  <c r="N92" i="57"/>
  <c r="L93" i="57"/>
  <c r="H93" i="57"/>
  <c r="F93" i="57"/>
  <c r="D93" i="57"/>
  <c r="N91" i="57"/>
  <c r="L33" i="50"/>
  <c r="L27" i="50"/>
  <c r="L21" i="50"/>
  <c r="L15" i="50"/>
  <c r="L9" i="50"/>
  <c r="M33" i="51"/>
  <c r="M27" i="51"/>
  <c r="M21" i="51"/>
  <c r="M15" i="51"/>
  <c r="M9" i="51"/>
  <c r="L33" i="52"/>
  <c r="L27" i="52"/>
  <c r="L21" i="52"/>
  <c r="L15" i="52"/>
  <c r="L9" i="52"/>
  <c r="L89" i="53"/>
  <c r="L83" i="53"/>
  <c r="L77" i="53"/>
  <c r="L71" i="53"/>
  <c r="L65" i="53"/>
  <c r="L59" i="53"/>
  <c r="L53" i="53"/>
  <c r="L47" i="53"/>
  <c r="L41" i="53"/>
  <c r="L35" i="53"/>
  <c r="L29" i="53"/>
  <c r="L23" i="53"/>
  <c r="L17" i="53"/>
  <c r="L11" i="53"/>
  <c r="L5" i="53"/>
  <c r="L86" i="54"/>
  <c r="L80" i="54"/>
  <c r="L74" i="54"/>
  <c r="L68" i="54"/>
  <c r="L62" i="54"/>
  <c r="L56" i="54"/>
  <c r="L50" i="54"/>
  <c r="L44" i="54"/>
  <c r="L38" i="54"/>
  <c r="L32" i="54"/>
  <c r="L26" i="54"/>
  <c r="L20" i="54"/>
  <c r="L14" i="54"/>
  <c r="J92" i="55"/>
  <c r="H92" i="55"/>
  <c r="F92" i="55"/>
  <c r="L91" i="55"/>
  <c r="O91" i="58"/>
  <c r="N92" i="58"/>
  <c r="J92" i="58"/>
  <c r="F92" i="58"/>
  <c r="M93" i="56"/>
  <c r="J93" i="57"/>
  <c r="L11" i="54"/>
  <c r="L5" i="54"/>
  <c r="L86" i="55"/>
  <c r="L80" i="55"/>
  <c r="L74" i="55"/>
  <c r="L68" i="55"/>
  <c r="L62" i="55"/>
  <c r="L56" i="55"/>
  <c r="L50" i="55"/>
  <c r="L44" i="55"/>
  <c r="L38" i="55"/>
  <c r="L32" i="55"/>
  <c r="L26" i="55"/>
  <c r="L20" i="55"/>
  <c r="L14" i="55"/>
  <c r="L8" i="55"/>
  <c r="N81" i="56"/>
  <c r="N69" i="56"/>
  <c r="N57" i="56"/>
  <c r="N45" i="56"/>
  <c r="N33" i="56"/>
  <c r="N21" i="56"/>
  <c r="N9" i="56"/>
  <c r="L93" i="56"/>
  <c r="J93" i="56"/>
  <c r="H93" i="56"/>
  <c r="F93" i="56"/>
  <c r="D93" i="56"/>
  <c r="N91" i="56"/>
  <c r="N87" i="57"/>
  <c r="N75" i="57"/>
  <c r="N63" i="57"/>
  <c r="N51" i="57"/>
  <c r="N39" i="57"/>
  <c r="N27" i="57"/>
  <c r="N15" i="57"/>
  <c r="O80" i="58"/>
  <c r="O68" i="58"/>
  <c r="O56" i="58"/>
  <c r="O44" i="58"/>
  <c r="O32" i="58"/>
  <c r="O20" i="58"/>
  <c r="O8" i="58"/>
  <c r="M92" i="58"/>
  <c r="K92" i="58"/>
  <c r="I92" i="58"/>
  <c r="G92" i="58"/>
  <c r="E92" i="58"/>
  <c r="O90" i="58"/>
  <c r="L36" i="50"/>
  <c r="M36" i="51"/>
  <c r="L36" i="52"/>
  <c r="L92" i="54"/>
  <c r="N93" i="56"/>
  <c r="O92" i="58"/>
  <c r="L92" i="53"/>
  <c r="L92" i="55"/>
  <c r="N93" i="57"/>
  <c r="L34" i="50"/>
  <c r="M34" i="51"/>
  <c r="L34" i="52"/>
  <c r="L90" i="53"/>
  <c r="L90" i="54"/>
  <c r="L90" i="55"/>
  <c r="S1042" i="49"/>
  <c r="R1042" i="49"/>
  <c r="P1042" i="49"/>
  <c r="O1042" i="49"/>
  <c r="M1042" i="49"/>
  <c r="L1042" i="49"/>
  <c r="J1042" i="49"/>
  <c r="I1042" i="49"/>
  <c r="G1042" i="49"/>
  <c r="F1042" i="49"/>
  <c r="S1041" i="49"/>
  <c r="R1041" i="49"/>
  <c r="P1041" i="49"/>
  <c r="O1041" i="49"/>
  <c r="M1041" i="49"/>
  <c r="L1041" i="49"/>
  <c r="J1041" i="49"/>
  <c r="I1041" i="49"/>
  <c r="G1041" i="49"/>
  <c r="F1041" i="49"/>
  <c r="S1040" i="49"/>
  <c r="R1040" i="49"/>
  <c r="P1040" i="49"/>
  <c r="O1040" i="49"/>
  <c r="M1040" i="49"/>
  <c r="L1040" i="49"/>
  <c r="J1040" i="49"/>
  <c r="I1040" i="49"/>
  <c r="G1040" i="49"/>
  <c r="F1040" i="49"/>
  <c r="Q1039" i="49"/>
  <c r="N1039" i="49"/>
  <c r="K1039" i="49"/>
  <c r="H1039" i="49"/>
  <c r="E1039" i="49"/>
  <c r="D1039" i="49"/>
  <c r="C1039" i="49"/>
  <c r="B1039" i="49" s="1"/>
  <c r="Q1038" i="49"/>
  <c r="Q1040" i="49" s="1"/>
  <c r="N1038" i="49"/>
  <c r="N1040" i="49" s="1"/>
  <c r="K1038" i="49"/>
  <c r="K1040" i="49" s="1"/>
  <c r="H1038" i="49"/>
  <c r="H1040" i="49" s="1"/>
  <c r="E1038" i="49"/>
  <c r="E1040" i="49" s="1"/>
  <c r="D1038" i="49"/>
  <c r="D1040" i="49" s="1"/>
  <c r="C1038" i="49"/>
  <c r="B1038" i="49" s="1"/>
  <c r="S1037" i="49"/>
  <c r="R1037" i="49"/>
  <c r="P1037" i="49"/>
  <c r="O1037" i="49"/>
  <c r="M1037" i="49"/>
  <c r="L1037" i="49"/>
  <c r="J1037" i="49"/>
  <c r="I1037" i="49"/>
  <c r="G1037" i="49"/>
  <c r="F1037" i="49"/>
  <c r="Q1036" i="49"/>
  <c r="N1036" i="49"/>
  <c r="K1036" i="49"/>
  <c r="H1036" i="49"/>
  <c r="E1036" i="49"/>
  <c r="D1036" i="49"/>
  <c r="C1036" i="49"/>
  <c r="B1036" i="49" s="1"/>
  <c r="Q1035" i="49"/>
  <c r="Q1037" i="49" s="1"/>
  <c r="N1035" i="49"/>
  <c r="N1037" i="49" s="1"/>
  <c r="K1035" i="49"/>
  <c r="K1037" i="49" s="1"/>
  <c r="H1035" i="49"/>
  <c r="H1037" i="49" s="1"/>
  <c r="E1035" i="49"/>
  <c r="E1037" i="49" s="1"/>
  <c r="D1035" i="49"/>
  <c r="D1037" i="49" s="1"/>
  <c r="C1035" i="49"/>
  <c r="S1034" i="49"/>
  <c r="R1034" i="49"/>
  <c r="P1034" i="49"/>
  <c r="O1034" i="49"/>
  <c r="M1034" i="49"/>
  <c r="L1034" i="49"/>
  <c r="J1034" i="49"/>
  <c r="I1034" i="49"/>
  <c r="G1034" i="49"/>
  <c r="F1034" i="49"/>
  <c r="Q1033" i="49"/>
  <c r="N1033" i="49"/>
  <c r="K1033" i="49"/>
  <c r="H1033" i="49"/>
  <c r="E1033" i="49"/>
  <c r="D1033" i="49"/>
  <c r="C1033" i="49"/>
  <c r="B1033" i="49" s="1"/>
  <c r="Q1032" i="49"/>
  <c r="Q1034" i="49" s="1"/>
  <c r="N1032" i="49"/>
  <c r="N1034" i="49" s="1"/>
  <c r="K1032" i="49"/>
  <c r="K1034" i="49" s="1"/>
  <c r="H1032" i="49"/>
  <c r="H1034" i="49" s="1"/>
  <c r="E1032" i="49"/>
  <c r="E1034" i="49" s="1"/>
  <c r="D1032" i="49"/>
  <c r="D1034" i="49" s="1"/>
  <c r="C1032" i="49"/>
  <c r="B1032" i="49" s="1"/>
  <c r="S1031" i="49"/>
  <c r="R1031" i="49"/>
  <c r="P1031" i="49"/>
  <c r="O1031" i="49"/>
  <c r="M1031" i="49"/>
  <c r="L1031" i="49"/>
  <c r="J1031" i="49"/>
  <c r="I1031" i="49"/>
  <c r="G1031" i="49"/>
  <c r="F1031" i="49"/>
  <c r="Q1030" i="49"/>
  <c r="N1030" i="49"/>
  <c r="K1030" i="49"/>
  <c r="H1030" i="49"/>
  <c r="E1030" i="49"/>
  <c r="D1030" i="49"/>
  <c r="C1030" i="49"/>
  <c r="B1030" i="49" s="1"/>
  <c r="Q1029" i="49"/>
  <c r="Q1031" i="49" s="1"/>
  <c r="N1029" i="49"/>
  <c r="N1031" i="49" s="1"/>
  <c r="K1029" i="49"/>
  <c r="K1031" i="49" s="1"/>
  <c r="H1029" i="49"/>
  <c r="H1031" i="49" s="1"/>
  <c r="E1029" i="49"/>
  <c r="E1031" i="49" s="1"/>
  <c r="D1029" i="49"/>
  <c r="D1031" i="49" s="1"/>
  <c r="C1029" i="49"/>
  <c r="B1029" i="49" s="1"/>
  <c r="S1028" i="49"/>
  <c r="R1028" i="49"/>
  <c r="P1028" i="49"/>
  <c r="O1028" i="49"/>
  <c r="M1028" i="49"/>
  <c r="L1028" i="49"/>
  <c r="J1028" i="49"/>
  <c r="I1028" i="49"/>
  <c r="G1028" i="49"/>
  <c r="F1028" i="49"/>
  <c r="Q1027" i="49"/>
  <c r="N1027" i="49"/>
  <c r="K1027" i="49"/>
  <c r="H1027" i="49"/>
  <c r="E1027" i="49"/>
  <c r="D1027" i="49"/>
  <c r="C1027" i="49"/>
  <c r="B1027" i="49" s="1"/>
  <c r="Q1026" i="49"/>
  <c r="Q1028" i="49" s="1"/>
  <c r="N1026" i="49"/>
  <c r="N1028" i="49" s="1"/>
  <c r="K1026" i="49"/>
  <c r="K1028" i="49" s="1"/>
  <c r="H1026" i="49"/>
  <c r="H1028" i="49" s="1"/>
  <c r="E1026" i="49"/>
  <c r="E1028" i="49" s="1"/>
  <c r="D1026" i="49"/>
  <c r="D1028" i="49" s="1"/>
  <c r="C1026" i="49"/>
  <c r="B1026" i="49" s="1"/>
  <c r="B1028" i="49" s="1"/>
  <c r="S1025" i="49"/>
  <c r="R1025" i="49"/>
  <c r="P1025" i="49"/>
  <c r="O1025" i="49"/>
  <c r="M1025" i="49"/>
  <c r="L1025" i="49"/>
  <c r="J1025" i="49"/>
  <c r="I1025" i="49"/>
  <c r="G1025" i="49"/>
  <c r="F1025" i="49"/>
  <c r="Q1024" i="49"/>
  <c r="N1024" i="49"/>
  <c r="K1024" i="49"/>
  <c r="H1024" i="49"/>
  <c r="E1024" i="49"/>
  <c r="D1024" i="49"/>
  <c r="C1024" i="49"/>
  <c r="B1024" i="49" s="1"/>
  <c r="Q1023" i="49"/>
  <c r="Q1025" i="49" s="1"/>
  <c r="N1023" i="49"/>
  <c r="N1025" i="49" s="1"/>
  <c r="K1023" i="49"/>
  <c r="K1025" i="49" s="1"/>
  <c r="H1023" i="49"/>
  <c r="H1025" i="49" s="1"/>
  <c r="E1023" i="49"/>
  <c r="E1025" i="49" s="1"/>
  <c r="D1023" i="49"/>
  <c r="D1025" i="49" s="1"/>
  <c r="C1023" i="49"/>
  <c r="B1023" i="49" s="1"/>
  <c r="B1025" i="49" s="1"/>
  <c r="S1022" i="49"/>
  <c r="R1022" i="49"/>
  <c r="P1022" i="49"/>
  <c r="O1022" i="49"/>
  <c r="M1022" i="49"/>
  <c r="L1022" i="49"/>
  <c r="J1022" i="49"/>
  <c r="I1022" i="49"/>
  <c r="G1022" i="49"/>
  <c r="F1022" i="49"/>
  <c r="Q1021" i="49"/>
  <c r="N1021" i="49"/>
  <c r="K1021" i="49"/>
  <c r="H1021" i="49"/>
  <c r="E1021" i="49"/>
  <c r="D1021" i="49"/>
  <c r="C1021" i="49"/>
  <c r="Q1020" i="49"/>
  <c r="Q1022" i="49" s="1"/>
  <c r="N1020" i="49"/>
  <c r="N1022" i="49" s="1"/>
  <c r="K1020" i="49"/>
  <c r="K1022" i="49" s="1"/>
  <c r="H1020" i="49"/>
  <c r="H1022" i="49" s="1"/>
  <c r="E1020" i="49"/>
  <c r="E1022" i="49" s="1"/>
  <c r="D1020" i="49"/>
  <c r="D1022" i="49" s="1"/>
  <c r="C1020" i="49"/>
  <c r="B1020" i="49" s="1"/>
  <c r="S1019" i="49"/>
  <c r="R1019" i="49"/>
  <c r="P1019" i="49"/>
  <c r="O1019" i="49"/>
  <c r="M1019" i="49"/>
  <c r="L1019" i="49"/>
  <c r="J1019" i="49"/>
  <c r="I1019" i="49"/>
  <c r="G1019" i="49"/>
  <c r="F1019" i="49"/>
  <c r="Q1018" i="49"/>
  <c r="N1018" i="49"/>
  <c r="K1018" i="49"/>
  <c r="H1018" i="49"/>
  <c r="E1018" i="49"/>
  <c r="D1018" i="49"/>
  <c r="C1018" i="49"/>
  <c r="Q1017" i="49"/>
  <c r="Q1019" i="49" s="1"/>
  <c r="N1017" i="49"/>
  <c r="N1019" i="49" s="1"/>
  <c r="K1017" i="49"/>
  <c r="K1019" i="49" s="1"/>
  <c r="H1017" i="49"/>
  <c r="H1019" i="49" s="1"/>
  <c r="E1017" i="49"/>
  <c r="E1019" i="49" s="1"/>
  <c r="D1017" i="49"/>
  <c r="D1019" i="49" s="1"/>
  <c r="C1017" i="49"/>
  <c r="B1017" i="49" s="1"/>
  <c r="S1016" i="49"/>
  <c r="R1016" i="49"/>
  <c r="P1016" i="49"/>
  <c r="O1016" i="49"/>
  <c r="M1016" i="49"/>
  <c r="L1016" i="49"/>
  <c r="J1016" i="49"/>
  <c r="I1016" i="49"/>
  <c r="G1016" i="49"/>
  <c r="F1016" i="49"/>
  <c r="Q1015" i="49"/>
  <c r="N1015" i="49"/>
  <c r="K1015" i="49"/>
  <c r="H1015" i="49"/>
  <c r="E1015" i="49"/>
  <c r="D1015" i="49"/>
  <c r="C1015" i="49"/>
  <c r="B1015" i="49" s="1"/>
  <c r="Q1014" i="49"/>
  <c r="Q1016" i="49" s="1"/>
  <c r="N1014" i="49"/>
  <c r="N1016" i="49" s="1"/>
  <c r="K1014" i="49"/>
  <c r="K1016" i="49" s="1"/>
  <c r="H1014" i="49"/>
  <c r="H1016" i="49" s="1"/>
  <c r="E1014" i="49"/>
  <c r="E1016" i="49" s="1"/>
  <c r="D1014" i="49"/>
  <c r="D1016" i="49" s="1"/>
  <c r="C1014" i="49"/>
  <c r="B1014" i="49" s="1"/>
  <c r="B1016" i="49" s="1"/>
  <c r="S1013" i="49"/>
  <c r="R1013" i="49"/>
  <c r="P1013" i="49"/>
  <c r="O1013" i="49"/>
  <c r="M1013" i="49"/>
  <c r="L1013" i="49"/>
  <c r="J1013" i="49"/>
  <c r="I1013" i="49"/>
  <c r="G1013" i="49"/>
  <c r="F1013" i="49"/>
  <c r="Q1012" i="49"/>
  <c r="N1012" i="49"/>
  <c r="K1012" i="49"/>
  <c r="H1012" i="49"/>
  <c r="E1012" i="49"/>
  <c r="D1012" i="49"/>
  <c r="C1012" i="49"/>
  <c r="Q1011" i="49"/>
  <c r="Q1013" i="49" s="1"/>
  <c r="N1011" i="49"/>
  <c r="N1013" i="49" s="1"/>
  <c r="K1011" i="49"/>
  <c r="K1013" i="49" s="1"/>
  <c r="H1011" i="49"/>
  <c r="H1013" i="49" s="1"/>
  <c r="E1011" i="49"/>
  <c r="E1013" i="49" s="1"/>
  <c r="D1011" i="49"/>
  <c r="D1013" i="49" s="1"/>
  <c r="C1011" i="49"/>
  <c r="B1011" i="49" s="1"/>
  <c r="S1010" i="49"/>
  <c r="R1010" i="49"/>
  <c r="P1010" i="49"/>
  <c r="O1010" i="49"/>
  <c r="M1010" i="49"/>
  <c r="L1010" i="49"/>
  <c r="J1010" i="49"/>
  <c r="I1010" i="49"/>
  <c r="G1010" i="49"/>
  <c r="F1010" i="49"/>
  <c r="Q1009" i="49"/>
  <c r="N1009" i="49"/>
  <c r="K1009" i="49"/>
  <c r="H1009" i="49"/>
  <c r="E1009" i="49"/>
  <c r="D1009" i="49"/>
  <c r="C1009" i="49"/>
  <c r="Q1008" i="49"/>
  <c r="Q1010" i="49" s="1"/>
  <c r="N1008" i="49"/>
  <c r="N1010" i="49" s="1"/>
  <c r="K1008" i="49"/>
  <c r="K1010" i="49" s="1"/>
  <c r="H1008" i="49"/>
  <c r="H1010" i="49" s="1"/>
  <c r="E1008" i="49"/>
  <c r="E1010" i="49" s="1"/>
  <c r="D1008" i="49"/>
  <c r="D1010" i="49" s="1"/>
  <c r="C1008" i="49"/>
  <c r="B1008" i="49" s="1"/>
  <c r="S1007" i="49"/>
  <c r="R1007" i="49"/>
  <c r="P1007" i="49"/>
  <c r="O1007" i="49"/>
  <c r="M1007" i="49"/>
  <c r="L1007" i="49"/>
  <c r="J1007" i="49"/>
  <c r="I1007" i="49"/>
  <c r="G1007" i="49"/>
  <c r="F1007" i="49"/>
  <c r="Q1006" i="49"/>
  <c r="N1006" i="49"/>
  <c r="K1006" i="49"/>
  <c r="H1006" i="49"/>
  <c r="E1006" i="49"/>
  <c r="D1006" i="49"/>
  <c r="C1006" i="49"/>
  <c r="Q1005" i="49"/>
  <c r="Q1007" i="49" s="1"/>
  <c r="N1005" i="49"/>
  <c r="N1007" i="49" s="1"/>
  <c r="K1005" i="49"/>
  <c r="K1007" i="49" s="1"/>
  <c r="H1005" i="49"/>
  <c r="H1007" i="49" s="1"/>
  <c r="E1005" i="49"/>
  <c r="E1007" i="49" s="1"/>
  <c r="D1005" i="49"/>
  <c r="D1007" i="49" s="1"/>
  <c r="C1005" i="49"/>
  <c r="B1005" i="49" s="1"/>
  <c r="S1004" i="49"/>
  <c r="R1004" i="49"/>
  <c r="P1004" i="49"/>
  <c r="O1004" i="49"/>
  <c r="M1004" i="49"/>
  <c r="L1004" i="49"/>
  <c r="J1004" i="49"/>
  <c r="I1004" i="49"/>
  <c r="G1004" i="49"/>
  <c r="F1004" i="49"/>
  <c r="Q1003" i="49"/>
  <c r="N1003" i="49"/>
  <c r="K1003" i="49"/>
  <c r="H1003" i="49"/>
  <c r="E1003" i="49"/>
  <c r="D1003" i="49"/>
  <c r="C1003" i="49"/>
  <c r="Q1002" i="49"/>
  <c r="Q1004" i="49" s="1"/>
  <c r="N1002" i="49"/>
  <c r="N1004" i="49" s="1"/>
  <c r="K1002" i="49"/>
  <c r="K1004" i="49" s="1"/>
  <c r="H1002" i="49"/>
  <c r="H1004" i="49" s="1"/>
  <c r="E1002" i="49"/>
  <c r="E1004" i="49" s="1"/>
  <c r="D1002" i="49"/>
  <c r="D1004" i="49" s="1"/>
  <c r="C1002" i="49"/>
  <c r="B1002" i="49" s="1"/>
  <c r="S1001" i="49"/>
  <c r="R1001" i="49"/>
  <c r="P1001" i="49"/>
  <c r="O1001" i="49"/>
  <c r="M1001" i="49"/>
  <c r="L1001" i="49"/>
  <c r="J1001" i="49"/>
  <c r="I1001" i="49"/>
  <c r="G1001" i="49"/>
  <c r="F1001" i="49"/>
  <c r="Q1000" i="49"/>
  <c r="N1000" i="49"/>
  <c r="K1000" i="49"/>
  <c r="H1000" i="49"/>
  <c r="E1000" i="49"/>
  <c r="D1000" i="49"/>
  <c r="C1000" i="49"/>
  <c r="Q999" i="49"/>
  <c r="Q1001" i="49" s="1"/>
  <c r="N999" i="49"/>
  <c r="N1001" i="49" s="1"/>
  <c r="K999" i="49"/>
  <c r="K1001" i="49" s="1"/>
  <c r="H999" i="49"/>
  <c r="H1001" i="49" s="1"/>
  <c r="E999" i="49"/>
  <c r="E1001" i="49" s="1"/>
  <c r="D999" i="49"/>
  <c r="D1001" i="49" s="1"/>
  <c r="C999" i="49"/>
  <c r="B999" i="49" s="1"/>
  <c r="S998" i="49"/>
  <c r="R998" i="49"/>
  <c r="P998" i="49"/>
  <c r="O998" i="49"/>
  <c r="M998" i="49"/>
  <c r="L998" i="49"/>
  <c r="J998" i="49"/>
  <c r="I998" i="49"/>
  <c r="G998" i="49"/>
  <c r="F998" i="49"/>
  <c r="Q997" i="49"/>
  <c r="N997" i="49"/>
  <c r="K997" i="49"/>
  <c r="H997" i="49"/>
  <c r="E997" i="49"/>
  <c r="D997" i="49"/>
  <c r="C997" i="49"/>
  <c r="Q996" i="49"/>
  <c r="Q998" i="49" s="1"/>
  <c r="N996" i="49"/>
  <c r="N998" i="49" s="1"/>
  <c r="K996" i="49"/>
  <c r="K998" i="49" s="1"/>
  <c r="H996" i="49"/>
  <c r="H998" i="49" s="1"/>
  <c r="E996" i="49"/>
  <c r="E998" i="49" s="1"/>
  <c r="D996" i="49"/>
  <c r="D998" i="49" s="1"/>
  <c r="C996" i="49"/>
  <c r="B996" i="49" s="1"/>
  <c r="S995" i="49"/>
  <c r="R995" i="49"/>
  <c r="P995" i="49"/>
  <c r="O995" i="49"/>
  <c r="M995" i="49"/>
  <c r="L995" i="49"/>
  <c r="J995" i="49"/>
  <c r="I995" i="49"/>
  <c r="G995" i="49"/>
  <c r="F995" i="49"/>
  <c r="Q994" i="49"/>
  <c r="N994" i="49"/>
  <c r="K994" i="49"/>
  <c r="H994" i="49"/>
  <c r="E994" i="49"/>
  <c r="D994" i="49"/>
  <c r="C994" i="49"/>
  <c r="Q993" i="49"/>
  <c r="Q995" i="49" s="1"/>
  <c r="N993" i="49"/>
  <c r="K993" i="49"/>
  <c r="K995" i="49" s="1"/>
  <c r="H993" i="49"/>
  <c r="H995" i="49" s="1"/>
  <c r="E993" i="49"/>
  <c r="E995" i="49" s="1"/>
  <c r="D993" i="49"/>
  <c r="D995" i="49" s="1"/>
  <c r="C993" i="49"/>
  <c r="B993" i="49" s="1"/>
  <c r="S992" i="49"/>
  <c r="R992" i="49"/>
  <c r="P992" i="49"/>
  <c r="O992" i="49"/>
  <c r="M992" i="49"/>
  <c r="L992" i="49"/>
  <c r="J992" i="49"/>
  <c r="I992" i="49"/>
  <c r="G992" i="49"/>
  <c r="F992" i="49"/>
  <c r="Q991" i="49"/>
  <c r="N991" i="49"/>
  <c r="K991" i="49"/>
  <c r="H991" i="49"/>
  <c r="E991" i="49"/>
  <c r="D991" i="49"/>
  <c r="C991" i="49"/>
  <c r="Q990" i="49"/>
  <c r="Q992" i="49" s="1"/>
  <c r="N990" i="49"/>
  <c r="K990" i="49"/>
  <c r="K992" i="49" s="1"/>
  <c r="H990" i="49"/>
  <c r="H992" i="49" s="1"/>
  <c r="E990" i="49"/>
  <c r="E992" i="49" s="1"/>
  <c r="D990" i="49"/>
  <c r="D992" i="49" s="1"/>
  <c r="C990" i="49"/>
  <c r="B990" i="49" s="1"/>
  <c r="S989" i="49"/>
  <c r="R989" i="49"/>
  <c r="P989" i="49"/>
  <c r="O989" i="49"/>
  <c r="M989" i="49"/>
  <c r="L989" i="49"/>
  <c r="J989" i="49"/>
  <c r="I989" i="49"/>
  <c r="G989" i="49"/>
  <c r="F989" i="49"/>
  <c r="Q988" i="49"/>
  <c r="N988" i="49"/>
  <c r="K988" i="49"/>
  <c r="H988" i="49"/>
  <c r="E988" i="49"/>
  <c r="D988" i="49"/>
  <c r="C988" i="49"/>
  <c r="Q987" i="49"/>
  <c r="Q989" i="49" s="1"/>
  <c r="N987" i="49"/>
  <c r="K987" i="49"/>
  <c r="K989" i="49" s="1"/>
  <c r="H987" i="49"/>
  <c r="E987" i="49"/>
  <c r="E989" i="49" s="1"/>
  <c r="D987" i="49"/>
  <c r="D989" i="49" s="1"/>
  <c r="C987" i="49"/>
  <c r="B987" i="49" s="1"/>
  <c r="S986" i="49"/>
  <c r="S1043" i="49" s="1"/>
  <c r="R986" i="49"/>
  <c r="R1043" i="49" s="1"/>
  <c r="P986" i="49"/>
  <c r="P1043" i="49" s="1"/>
  <c r="O986" i="49"/>
  <c r="O1043" i="49" s="1"/>
  <c r="M986" i="49"/>
  <c r="M1043" i="49" s="1"/>
  <c r="L986" i="49"/>
  <c r="L1043" i="49" s="1"/>
  <c r="J986" i="49"/>
  <c r="J1043" i="49" s="1"/>
  <c r="I986" i="49"/>
  <c r="I1043" i="49" s="1"/>
  <c r="G986" i="49"/>
  <c r="G1043" i="49" s="1"/>
  <c r="F986" i="49"/>
  <c r="F1043" i="49" s="1"/>
  <c r="Q985" i="49"/>
  <c r="Q1042" i="49" s="1"/>
  <c r="N985" i="49"/>
  <c r="N1042" i="49" s="1"/>
  <c r="K985" i="49"/>
  <c r="K1042" i="49" s="1"/>
  <c r="H985" i="49"/>
  <c r="H1042" i="49" s="1"/>
  <c r="E985" i="49"/>
  <c r="E1042" i="49" s="1"/>
  <c r="D985" i="49"/>
  <c r="D1042" i="49" s="1"/>
  <c r="C985" i="49"/>
  <c r="B985" i="49" s="1"/>
  <c r="Q984" i="49"/>
  <c r="Q1041" i="49" s="1"/>
  <c r="N984" i="49"/>
  <c r="N1041" i="49" s="1"/>
  <c r="K984" i="49"/>
  <c r="K1041" i="49" s="1"/>
  <c r="H984" i="49"/>
  <c r="H1041" i="49" s="1"/>
  <c r="E984" i="49"/>
  <c r="E1041" i="49" s="1"/>
  <c r="D984" i="49"/>
  <c r="D1041" i="49" s="1"/>
  <c r="C984" i="49"/>
  <c r="B984" i="49" s="1"/>
  <c r="S979" i="49"/>
  <c r="R979" i="49"/>
  <c r="P979" i="49"/>
  <c r="O979" i="49"/>
  <c r="M979" i="49"/>
  <c r="L979" i="49"/>
  <c r="J979" i="49"/>
  <c r="I979" i="49"/>
  <c r="G979" i="49"/>
  <c r="F979" i="49"/>
  <c r="S978" i="49"/>
  <c r="R978" i="49"/>
  <c r="P978" i="49"/>
  <c r="O978" i="49"/>
  <c r="M978" i="49"/>
  <c r="L978" i="49"/>
  <c r="J978" i="49"/>
  <c r="I978" i="49"/>
  <c r="G978" i="49"/>
  <c r="F978" i="49"/>
  <c r="S977" i="49"/>
  <c r="S980" i="49" s="1"/>
  <c r="R977" i="49"/>
  <c r="R980" i="49" s="1"/>
  <c r="P977" i="49"/>
  <c r="P980" i="49" s="1"/>
  <c r="O977" i="49"/>
  <c r="O980" i="49" s="1"/>
  <c r="M977" i="49"/>
  <c r="M980" i="49" s="1"/>
  <c r="L977" i="49"/>
  <c r="L980" i="49" s="1"/>
  <c r="J977" i="49"/>
  <c r="J980" i="49" s="1"/>
  <c r="I977" i="49"/>
  <c r="I980" i="49" s="1"/>
  <c r="G977" i="49"/>
  <c r="G980" i="49" s="1"/>
  <c r="F977" i="49"/>
  <c r="F980" i="49" s="1"/>
  <c r="Q976" i="49"/>
  <c r="Q979" i="49" s="1"/>
  <c r="N976" i="49"/>
  <c r="N979" i="49" s="1"/>
  <c r="K976" i="49"/>
  <c r="K979" i="49" s="1"/>
  <c r="H976" i="49"/>
  <c r="H979" i="49" s="1"/>
  <c r="E976" i="49"/>
  <c r="E979" i="49" s="1"/>
  <c r="D976" i="49"/>
  <c r="D979" i="49" s="1"/>
  <c r="C976" i="49"/>
  <c r="B976" i="49" s="1"/>
  <c r="B979" i="49" s="1"/>
  <c r="Q975" i="49"/>
  <c r="Q978" i="49" s="1"/>
  <c r="N975" i="49"/>
  <c r="N978" i="49" s="1"/>
  <c r="K975" i="49"/>
  <c r="K978" i="49" s="1"/>
  <c r="H975" i="49"/>
  <c r="H978" i="49" s="1"/>
  <c r="E975" i="49"/>
  <c r="E978" i="49" s="1"/>
  <c r="D975" i="49"/>
  <c r="D978" i="49" s="1"/>
  <c r="C975" i="49"/>
  <c r="B975" i="49" s="1"/>
  <c r="S970" i="49"/>
  <c r="R970" i="49"/>
  <c r="P970" i="49"/>
  <c r="O970" i="49"/>
  <c r="M970" i="49"/>
  <c r="L970" i="49"/>
  <c r="J970" i="49"/>
  <c r="I970" i="49"/>
  <c r="G970" i="49"/>
  <c r="F970" i="49"/>
  <c r="S969" i="49"/>
  <c r="R969" i="49"/>
  <c r="P969" i="49"/>
  <c r="O969" i="49"/>
  <c r="M969" i="49"/>
  <c r="L969" i="49"/>
  <c r="J969" i="49"/>
  <c r="I969" i="49"/>
  <c r="G969" i="49"/>
  <c r="F969" i="49"/>
  <c r="S968" i="49"/>
  <c r="R968" i="49"/>
  <c r="P968" i="49"/>
  <c r="O968" i="49"/>
  <c r="M968" i="49"/>
  <c r="L968" i="49"/>
  <c r="J968" i="49"/>
  <c r="I968" i="49"/>
  <c r="G968" i="49"/>
  <c r="F968" i="49"/>
  <c r="Q967" i="49"/>
  <c r="N967" i="49"/>
  <c r="K967" i="49"/>
  <c r="H967" i="49"/>
  <c r="E967" i="49"/>
  <c r="D967" i="49"/>
  <c r="C967" i="49"/>
  <c r="B967" i="49" s="1"/>
  <c r="Q966" i="49"/>
  <c r="Q968" i="49" s="1"/>
  <c r="N966" i="49"/>
  <c r="N968" i="49" s="1"/>
  <c r="K966" i="49"/>
  <c r="K968" i="49" s="1"/>
  <c r="H966" i="49"/>
  <c r="H968" i="49" s="1"/>
  <c r="E966" i="49"/>
  <c r="E968" i="49" s="1"/>
  <c r="D966" i="49"/>
  <c r="D968" i="49" s="1"/>
  <c r="C966" i="49"/>
  <c r="B966" i="49" s="1"/>
  <c r="B968" i="49" s="1"/>
  <c r="S965" i="49"/>
  <c r="R965" i="49"/>
  <c r="P965" i="49"/>
  <c r="O965" i="49"/>
  <c r="M965" i="49"/>
  <c r="L965" i="49"/>
  <c r="J965" i="49"/>
  <c r="I965" i="49"/>
  <c r="G965" i="49"/>
  <c r="F965" i="49"/>
  <c r="Q964" i="49"/>
  <c r="N964" i="49"/>
  <c r="K964" i="49"/>
  <c r="H964" i="49"/>
  <c r="E964" i="49"/>
  <c r="D964" i="49"/>
  <c r="C964" i="49"/>
  <c r="Q963" i="49"/>
  <c r="Q965" i="49" s="1"/>
  <c r="N963" i="49"/>
  <c r="N965" i="49" s="1"/>
  <c r="K963" i="49"/>
  <c r="K965" i="49" s="1"/>
  <c r="H963" i="49"/>
  <c r="H965" i="49" s="1"/>
  <c r="E963" i="49"/>
  <c r="E965" i="49" s="1"/>
  <c r="D963" i="49"/>
  <c r="D965" i="49" s="1"/>
  <c r="C963" i="49"/>
  <c r="B963" i="49" s="1"/>
  <c r="S962" i="49"/>
  <c r="R962" i="49"/>
  <c r="P962" i="49"/>
  <c r="O962" i="49"/>
  <c r="M962" i="49"/>
  <c r="L962" i="49"/>
  <c r="J962" i="49"/>
  <c r="I962" i="49"/>
  <c r="G962" i="49"/>
  <c r="F962" i="49"/>
  <c r="Q961" i="49"/>
  <c r="N961" i="49"/>
  <c r="K961" i="49"/>
  <c r="H961" i="49"/>
  <c r="E961" i="49"/>
  <c r="D961" i="49"/>
  <c r="C961" i="49"/>
  <c r="Q960" i="49"/>
  <c r="Q962" i="49" s="1"/>
  <c r="N960" i="49"/>
  <c r="N962" i="49" s="1"/>
  <c r="K960" i="49"/>
  <c r="K962" i="49" s="1"/>
  <c r="H960" i="49"/>
  <c r="H962" i="49" s="1"/>
  <c r="E960" i="49"/>
  <c r="E962" i="49" s="1"/>
  <c r="D960" i="49"/>
  <c r="D962" i="49" s="1"/>
  <c r="C960" i="49"/>
  <c r="B960" i="49" s="1"/>
  <c r="S959" i="49"/>
  <c r="S971" i="49" s="1"/>
  <c r="R959" i="49"/>
  <c r="R971" i="49" s="1"/>
  <c r="P959" i="49"/>
  <c r="P971" i="49" s="1"/>
  <c r="O959" i="49"/>
  <c r="O971" i="49" s="1"/>
  <c r="M959" i="49"/>
  <c r="M971" i="49" s="1"/>
  <c r="L959" i="49"/>
  <c r="L971" i="49" s="1"/>
  <c r="J959" i="49"/>
  <c r="J971" i="49" s="1"/>
  <c r="I959" i="49"/>
  <c r="I971" i="49" s="1"/>
  <c r="G959" i="49"/>
  <c r="G971" i="49" s="1"/>
  <c r="F959" i="49"/>
  <c r="F971" i="49" s="1"/>
  <c r="Q958" i="49"/>
  <c r="Q970" i="49" s="1"/>
  <c r="N958" i="49"/>
  <c r="N970" i="49" s="1"/>
  <c r="K958" i="49"/>
  <c r="K970" i="49" s="1"/>
  <c r="H958" i="49"/>
  <c r="H970" i="49" s="1"/>
  <c r="E958" i="49"/>
  <c r="E970" i="49" s="1"/>
  <c r="D958" i="49"/>
  <c r="D970" i="49" s="1"/>
  <c r="C958" i="49"/>
  <c r="B958" i="49" s="1"/>
  <c r="Q957" i="49"/>
  <c r="Q969" i="49" s="1"/>
  <c r="N957" i="49"/>
  <c r="N969" i="49" s="1"/>
  <c r="K957" i="49"/>
  <c r="K969" i="49" s="1"/>
  <c r="H957" i="49"/>
  <c r="H969" i="49" s="1"/>
  <c r="E957" i="49"/>
  <c r="E969" i="49" s="1"/>
  <c r="D957" i="49"/>
  <c r="D969" i="49" s="1"/>
  <c r="C957" i="49"/>
  <c r="B957" i="49" s="1"/>
  <c r="S952" i="49"/>
  <c r="R952" i="49"/>
  <c r="P952" i="49"/>
  <c r="O952" i="49"/>
  <c r="M952" i="49"/>
  <c r="L952" i="49"/>
  <c r="J952" i="49"/>
  <c r="I952" i="49"/>
  <c r="G952" i="49"/>
  <c r="F952" i="49"/>
  <c r="S951" i="49"/>
  <c r="R951" i="49"/>
  <c r="P951" i="49"/>
  <c r="O951" i="49"/>
  <c r="M951" i="49"/>
  <c r="L951" i="49"/>
  <c r="J951" i="49"/>
  <c r="I951" i="49"/>
  <c r="G951" i="49"/>
  <c r="F951" i="49"/>
  <c r="S950" i="49"/>
  <c r="S953" i="49" s="1"/>
  <c r="R950" i="49"/>
  <c r="R953" i="49" s="1"/>
  <c r="P950" i="49"/>
  <c r="P953" i="49" s="1"/>
  <c r="O950" i="49"/>
  <c r="O953" i="49" s="1"/>
  <c r="M950" i="49"/>
  <c r="M953" i="49" s="1"/>
  <c r="L950" i="49"/>
  <c r="L953" i="49" s="1"/>
  <c r="J950" i="49"/>
  <c r="J953" i="49" s="1"/>
  <c r="I950" i="49"/>
  <c r="I953" i="49" s="1"/>
  <c r="G950" i="49"/>
  <c r="G953" i="49" s="1"/>
  <c r="F950" i="49"/>
  <c r="F953" i="49" s="1"/>
  <c r="Q949" i="49"/>
  <c r="Q952" i="49" s="1"/>
  <c r="N949" i="49"/>
  <c r="N952" i="49" s="1"/>
  <c r="K949" i="49"/>
  <c r="K952" i="49" s="1"/>
  <c r="H949" i="49"/>
  <c r="H952" i="49" s="1"/>
  <c r="E949" i="49"/>
  <c r="E952" i="49" s="1"/>
  <c r="D949" i="49"/>
  <c r="D952" i="49" s="1"/>
  <c r="C949" i="49"/>
  <c r="B949" i="49" s="1"/>
  <c r="B952" i="49" s="1"/>
  <c r="Q948" i="49"/>
  <c r="Q951" i="49" s="1"/>
  <c r="N948" i="49"/>
  <c r="N951" i="49" s="1"/>
  <c r="K948" i="49"/>
  <c r="K951" i="49" s="1"/>
  <c r="H948" i="49"/>
  <c r="H951" i="49" s="1"/>
  <c r="E948" i="49"/>
  <c r="E951" i="49" s="1"/>
  <c r="D948" i="49"/>
  <c r="D951" i="49" s="1"/>
  <c r="C948" i="49"/>
  <c r="B948" i="49" s="1"/>
  <c r="S943" i="49"/>
  <c r="R943" i="49"/>
  <c r="P943" i="49"/>
  <c r="O943" i="49"/>
  <c r="M943" i="49"/>
  <c r="L943" i="49"/>
  <c r="J943" i="49"/>
  <c r="I943" i="49"/>
  <c r="G943" i="49"/>
  <c r="F943" i="49"/>
  <c r="S942" i="49"/>
  <c r="R942" i="49"/>
  <c r="P942" i="49"/>
  <c r="O942" i="49"/>
  <c r="M942" i="49"/>
  <c r="L942" i="49"/>
  <c r="J942" i="49"/>
  <c r="I942" i="49"/>
  <c r="G942" i="49"/>
  <c r="F942" i="49"/>
  <c r="S941" i="49"/>
  <c r="R941" i="49"/>
  <c r="P941" i="49"/>
  <c r="O941" i="49"/>
  <c r="M941" i="49"/>
  <c r="L941" i="49"/>
  <c r="J941" i="49"/>
  <c r="I941" i="49"/>
  <c r="G941" i="49"/>
  <c r="F941" i="49"/>
  <c r="Q940" i="49"/>
  <c r="N940" i="49"/>
  <c r="K940" i="49"/>
  <c r="H940" i="49"/>
  <c r="E940" i="49"/>
  <c r="D940" i="49"/>
  <c r="C940" i="49"/>
  <c r="B940" i="49" s="1"/>
  <c r="Q939" i="49"/>
  <c r="Q941" i="49" s="1"/>
  <c r="N939" i="49"/>
  <c r="N941" i="49" s="1"/>
  <c r="K939" i="49"/>
  <c r="K941" i="49" s="1"/>
  <c r="H939" i="49"/>
  <c r="H941" i="49" s="1"/>
  <c r="E939" i="49"/>
  <c r="E941" i="49" s="1"/>
  <c r="D939" i="49"/>
  <c r="D941" i="49" s="1"/>
  <c r="C939" i="49"/>
  <c r="B939" i="49" s="1"/>
  <c r="B941" i="49" s="1"/>
  <c r="S938" i="49"/>
  <c r="R938" i="49"/>
  <c r="P938" i="49"/>
  <c r="O938" i="49"/>
  <c r="M938" i="49"/>
  <c r="L938" i="49"/>
  <c r="J938" i="49"/>
  <c r="I938" i="49"/>
  <c r="G938" i="49"/>
  <c r="F938" i="49"/>
  <c r="Q937" i="49"/>
  <c r="N937" i="49"/>
  <c r="K937" i="49"/>
  <c r="H937" i="49"/>
  <c r="E937" i="49"/>
  <c r="D937" i="49"/>
  <c r="C937" i="49"/>
  <c r="B937" i="49" s="1"/>
  <c r="Q936" i="49"/>
  <c r="Q938" i="49" s="1"/>
  <c r="N936" i="49"/>
  <c r="N938" i="49" s="1"/>
  <c r="K936" i="49"/>
  <c r="K938" i="49" s="1"/>
  <c r="H936" i="49"/>
  <c r="H938" i="49" s="1"/>
  <c r="E936" i="49"/>
  <c r="E938" i="49" s="1"/>
  <c r="D936" i="49"/>
  <c r="D938" i="49" s="1"/>
  <c r="C936" i="49"/>
  <c r="B936" i="49" s="1"/>
  <c r="B938" i="49" s="1"/>
  <c r="S935" i="49"/>
  <c r="R935" i="49"/>
  <c r="P935" i="49"/>
  <c r="O935" i="49"/>
  <c r="M935" i="49"/>
  <c r="L935" i="49"/>
  <c r="J935" i="49"/>
  <c r="I935" i="49"/>
  <c r="G935" i="49"/>
  <c r="F935" i="49"/>
  <c r="Q934" i="49"/>
  <c r="N934" i="49"/>
  <c r="K934" i="49"/>
  <c r="H934" i="49"/>
  <c r="E934" i="49"/>
  <c r="D934" i="49"/>
  <c r="C934" i="49"/>
  <c r="B934" i="49" s="1"/>
  <c r="Q933" i="49"/>
  <c r="Q935" i="49" s="1"/>
  <c r="N933" i="49"/>
  <c r="N935" i="49" s="1"/>
  <c r="K933" i="49"/>
  <c r="K935" i="49" s="1"/>
  <c r="H933" i="49"/>
  <c r="H935" i="49" s="1"/>
  <c r="E933" i="49"/>
  <c r="E935" i="49" s="1"/>
  <c r="D933" i="49"/>
  <c r="D935" i="49" s="1"/>
  <c r="C933" i="49"/>
  <c r="B933" i="49" s="1"/>
  <c r="B935" i="49" s="1"/>
  <c r="S932" i="49"/>
  <c r="R932" i="49"/>
  <c r="P932" i="49"/>
  <c r="O932" i="49"/>
  <c r="M932" i="49"/>
  <c r="L932" i="49"/>
  <c r="J932" i="49"/>
  <c r="I932" i="49"/>
  <c r="G932" i="49"/>
  <c r="F932" i="49"/>
  <c r="Q931" i="49"/>
  <c r="N931" i="49"/>
  <c r="K931" i="49"/>
  <c r="H931" i="49"/>
  <c r="E931" i="49"/>
  <c r="D931" i="49"/>
  <c r="C931" i="49"/>
  <c r="B931" i="49"/>
  <c r="Q930" i="49"/>
  <c r="Q932" i="49" s="1"/>
  <c r="N930" i="49"/>
  <c r="N932" i="49" s="1"/>
  <c r="K930" i="49"/>
  <c r="K932" i="49" s="1"/>
  <c r="H930" i="49"/>
  <c r="H932" i="49" s="1"/>
  <c r="E930" i="49"/>
  <c r="E932" i="49" s="1"/>
  <c r="D930" i="49"/>
  <c r="D932" i="49" s="1"/>
  <c r="C930" i="49"/>
  <c r="C932" i="49" s="1"/>
  <c r="B930" i="49"/>
  <c r="B932" i="49" s="1"/>
  <c r="S929" i="49"/>
  <c r="R929" i="49"/>
  <c r="P929" i="49"/>
  <c r="O929" i="49"/>
  <c r="M929" i="49"/>
  <c r="L929" i="49"/>
  <c r="J929" i="49"/>
  <c r="I929" i="49"/>
  <c r="G929" i="49"/>
  <c r="F929" i="49"/>
  <c r="Q928" i="49"/>
  <c r="N928" i="49"/>
  <c r="K928" i="49"/>
  <c r="H928" i="49"/>
  <c r="E928" i="49"/>
  <c r="D928" i="49"/>
  <c r="C928" i="49"/>
  <c r="B928" i="49"/>
  <c r="Q927" i="49"/>
  <c r="Q929" i="49" s="1"/>
  <c r="N927" i="49"/>
  <c r="N929" i="49" s="1"/>
  <c r="K927" i="49"/>
  <c r="K929" i="49" s="1"/>
  <c r="H927" i="49"/>
  <c r="H929" i="49" s="1"/>
  <c r="E927" i="49"/>
  <c r="E929" i="49" s="1"/>
  <c r="D927" i="49"/>
  <c r="D929" i="49" s="1"/>
  <c r="C927" i="49"/>
  <c r="C929" i="49" s="1"/>
  <c r="B927" i="49"/>
  <c r="B929" i="49" s="1"/>
  <c r="S926" i="49"/>
  <c r="R926" i="49"/>
  <c r="P926" i="49"/>
  <c r="O926" i="49"/>
  <c r="M926" i="49"/>
  <c r="L926" i="49"/>
  <c r="J926" i="49"/>
  <c r="I926" i="49"/>
  <c r="G926" i="49"/>
  <c r="F926" i="49"/>
  <c r="Q925" i="49"/>
  <c r="N925" i="49"/>
  <c r="K925" i="49"/>
  <c r="H925" i="49"/>
  <c r="E925" i="49"/>
  <c r="D925" i="49"/>
  <c r="C925" i="49"/>
  <c r="B925" i="49"/>
  <c r="Q924" i="49"/>
  <c r="Q926" i="49" s="1"/>
  <c r="N924" i="49"/>
  <c r="N926" i="49" s="1"/>
  <c r="K924" i="49"/>
  <c r="K926" i="49" s="1"/>
  <c r="H924" i="49"/>
  <c r="H926" i="49" s="1"/>
  <c r="E924" i="49"/>
  <c r="E926" i="49" s="1"/>
  <c r="D924" i="49"/>
  <c r="D926" i="49" s="1"/>
  <c r="C924" i="49"/>
  <c r="C926" i="49" s="1"/>
  <c r="B924" i="49"/>
  <c r="B926" i="49" s="1"/>
  <c r="S923" i="49"/>
  <c r="R923" i="49"/>
  <c r="P923" i="49"/>
  <c r="O923" i="49"/>
  <c r="M923" i="49"/>
  <c r="L923" i="49"/>
  <c r="J923" i="49"/>
  <c r="I923" i="49"/>
  <c r="G923" i="49"/>
  <c r="F923" i="49"/>
  <c r="Q922" i="49"/>
  <c r="N922" i="49"/>
  <c r="K922" i="49"/>
  <c r="H922" i="49"/>
  <c r="E922" i="49"/>
  <c r="D922" i="49"/>
  <c r="C922" i="49"/>
  <c r="B922" i="49"/>
  <c r="Q921" i="49"/>
  <c r="Q923" i="49" s="1"/>
  <c r="N921" i="49"/>
  <c r="N923" i="49" s="1"/>
  <c r="K921" i="49"/>
  <c r="K923" i="49" s="1"/>
  <c r="H921" i="49"/>
  <c r="H923" i="49" s="1"/>
  <c r="E921" i="49"/>
  <c r="E923" i="49" s="1"/>
  <c r="D921" i="49"/>
  <c r="D923" i="49" s="1"/>
  <c r="C921" i="49"/>
  <c r="C923" i="49" s="1"/>
  <c r="B921" i="49"/>
  <c r="B923" i="49" s="1"/>
  <c r="S920" i="49"/>
  <c r="R920" i="49"/>
  <c r="P920" i="49"/>
  <c r="O920" i="49"/>
  <c r="M920" i="49"/>
  <c r="L920" i="49"/>
  <c r="J920" i="49"/>
  <c r="I920" i="49"/>
  <c r="G920" i="49"/>
  <c r="F920" i="49"/>
  <c r="Q919" i="49"/>
  <c r="N919" i="49"/>
  <c r="K919" i="49"/>
  <c r="H919" i="49"/>
  <c r="E919" i="49"/>
  <c r="D919" i="49"/>
  <c r="C919" i="49"/>
  <c r="B919" i="49"/>
  <c r="Q918" i="49"/>
  <c r="Q920" i="49" s="1"/>
  <c r="N918" i="49"/>
  <c r="N920" i="49" s="1"/>
  <c r="K918" i="49"/>
  <c r="K920" i="49" s="1"/>
  <c r="H918" i="49"/>
  <c r="H920" i="49" s="1"/>
  <c r="E918" i="49"/>
  <c r="E920" i="49" s="1"/>
  <c r="D918" i="49"/>
  <c r="D920" i="49" s="1"/>
  <c r="C918" i="49"/>
  <c r="C920" i="49" s="1"/>
  <c r="B918" i="49"/>
  <c r="B920" i="49" s="1"/>
  <c r="S917" i="49"/>
  <c r="R917" i="49"/>
  <c r="P917" i="49"/>
  <c r="O917" i="49"/>
  <c r="M917" i="49"/>
  <c r="L917" i="49"/>
  <c r="J917" i="49"/>
  <c r="I917" i="49"/>
  <c r="G917" i="49"/>
  <c r="F917" i="49"/>
  <c r="Q916" i="49"/>
  <c r="N916" i="49"/>
  <c r="K916" i="49"/>
  <c r="H916" i="49"/>
  <c r="E916" i="49"/>
  <c r="D916" i="49"/>
  <c r="C916" i="49"/>
  <c r="B916" i="49"/>
  <c r="Q915" i="49"/>
  <c r="Q917" i="49" s="1"/>
  <c r="N915" i="49"/>
  <c r="N917" i="49" s="1"/>
  <c r="K915" i="49"/>
  <c r="K917" i="49" s="1"/>
  <c r="H915" i="49"/>
  <c r="H917" i="49" s="1"/>
  <c r="E915" i="49"/>
  <c r="E917" i="49" s="1"/>
  <c r="D915" i="49"/>
  <c r="D917" i="49" s="1"/>
  <c r="C915" i="49"/>
  <c r="C917" i="49" s="1"/>
  <c r="B915" i="49"/>
  <c r="B917" i="49" s="1"/>
  <c r="S914" i="49"/>
  <c r="R914" i="49"/>
  <c r="P914" i="49"/>
  <c r="O914" i="49"/>
  <c r="M914" i="49"/>
  <c r="L914" i="49"/>
  <c r="J914" i="49"/>
  <c r="I914" i="49"/>
  <c r="G914" i="49"/>
  <c r="F914" i="49"/>
  <c r="Q913" i="49"/>
  <c r="N913" i="49"/>
  <c r="K913" i="49"/>
  <c r="H913" i="49"/>
  <c r="E913" i="49"/>
  <c r="D913" i="49"/>
  <c r="C913" i="49"/>
  <c r="B913" i="49"/>
  <c r="Q912" i="49"/>
  <c r="Q914" i="49" s="1"/>
  <c r="N912" i="49"/>
  <c r="N914" i="49" s="1"/>
  <c r="K912" i="49"/>
  <c r="K914" i="49" s="1"/>
  <c r="H912" i="49"/>
  <c r="H914" i="49" s="1"/>
  <c r="E912" i="49"/>
  <c r="E914" i="49" s="1"/>
  <c r="D912" i="49"/>
  <c r="D914" i="49" s="1"/>
  <c r="C912" i="49"/>
  <c r="C914" i="49" s="1"/>
  <c r="B912" i="49"/>
  <c r="B914" i="49" s="1"/>
  <c r="S911" i="49"/>
  <c r="R911" i="49"/>
  <c r="P911" i="49"/>
  <c r="O911" i="49"/>
  <c r="M911" i="49"/>
  <c r="L911" i="49"/>
  <c r="J911" i="49"/>
  <c r="I911" i="49"/>
  <c r="G911" i="49"/>
  <c r="F911" i="49"/>
  <c r="Q910" i="49"/>
  <c r="N910" i="49"/>
  <c r="K910" i="49"/>
  <c r="H910" i="49"/>
  <c r="E910" i="49"/>
  <c r="D910" i="49"/>
  <c r="C910" i="49"/>
  <c r="B910" i="49"/>
  <c r="Q909" i="49"/>
  <c r="Q911" i="49" s="1"/>
  <c r="N909" i="49"/>
  <c r="N911" i="49" s="1"/>
  <c r="K909" i="49"/>
  <c r="K911" i="49" s="1"/>
  <c r="H909" i="49"/>
  <c r="H911" i="49" s="1"/>
  <c r="E909" i="49"/>
  <c r="E911" i="49" s="1"/>
  <c r="D909" i="49"/>
  <c r="D911" i="49" s="1"/>
  <c r="C909" i="49"/>
  <c r="C911" i="49" s="1"/>
  <c r="B909" i="49"/>
  <c r="B911" i="49" s="1"/>
  <c r="S908" i="49"/>
  <c r="R908" i="49"/>
  <c r="P908" i="49"/>
  <c r="O908" i="49"/>
  <c r="M908" i="49"/>
  <c r="L908" i="49"/>
  <c r="J908" i="49"/>
  <c r="I908" i="49"/>
  <c r="G908" i="49"/>
  <c r="F908" i="49"/>
  <c r="Q907" i="49"/>
  <c r="N907" i="49"/>
  <c r="K907" i="49"/>
  <c r="H907" i="49"/>
  <c r="E907" i="49"/>
  <c r="D907" i="49"/>
  <c r="C907" i="49"/>
  <c r="B907" i="49"/>
  <c r="Q906" i="49"/>
  <c r="Q908" i="49" s="1"/>
  <c r="N906" i="49"/>
  <c r="N908" i="49" s="1"/>
  <c r="K906" i="49"/>
  <c r="K908" i="49" s="1"/>
  <c r="H906" i="49"/>
  <c r="H908" i="49" s="1"/>
  <c r="E906" i="49"/>
  <c r="E908" i="49" s="1"/>
  <c r="D906" i="49"/>
  <c r="D908" i="49" s="1"/>
  <c r="C906" i="49"/>
  <c r="C908" i="49" s="1"/>
  <c r="B906" i="49"/>
  <c r="B908" i="49" s="1"/>
  <c r="S905" i="49"/>
  <c r="R905" i="49"/>
  <c r="P905" i="49"/>
  <c r="O905" i="49"/>
  <c r="M905" i="49"/>
  <c r="L905" i="49"/>
  <c r="J905" i="49"/>
  <c r="I905" i="49"/>
  <c r="G905" i="49"/>
  <c r="F905" i="49"/>
  <c r="Q904" i="49"/>
  <c r="N904" i="49"/>
  <c r="K904" i="49"/>
  <c r="H904" i="49"/>
  <c r="E904" i="49"/>
  <c r="D904" i="49"/>
  <c r="C904" i="49"/>
  <c r="B904" i="49"/>
  <c r="Q903" i="49"/>
  <c r="Q905" i="49" s="1"/>
  <c r="N903" i="49"/>
  <c r="N905" i="49" s="1"/>
  <c r="K903" i="49"/>
  <c r="K905" i="49" s="1"/>
  <c r="H903" i="49"/>
  <c r="H905" i="49" s="1"/>
  <c r="E903" i="49"/>
  <c r="E905" i="49" s="1"/>
  <c r="D903" i="49"/>
  <c r="D905" i="49" s="1"/>
  <c r="C903" i="49"/>
  <c r="C905" i="49" s="1"/>
  <c r="B903" i="49"/>
  <c r="B905" i="49" s="1"/>
  <c r="S902" i="49"/>
  <c r="R902" i="49"/>
  <c r="P902" i="49"/>
  <c r="O902" i="49"/>
  <c r="M902" i="49"/>
  <c r="L902" i="49"/>
  <c r="J902" i="49"/>
  <c r="I902" i="49"/>
  <c r="G902" i="49"/>
  <c r="F902" i="49"/>
  <c r="Q901" i="49"/>
  <c r="N901" i="49"/>
  <c r="K901" i="49"/>
  <c r="H901" i="49"/>
  <c r="E901" i="49"/>
  <c r="D901" i="49"/>
  <c r="C901" i="49"/>
  <c r="B901" i="49"/>
  <c r="Q900" i="49"/>
  <c r="Q902" i="49" s="1"/>
  <c r="N900" i="49"/>
  <c r="N902" i="49" s="1"/>
  <c r="K900" i="49"/>
  <c r="K902" i="49" s="1"/>
  <c r="H900" i="49"/>
  <c r="H902" i="49" s="1"/>
  <c r="E900" i="49"/>
  <c r="E902" i="49" s="1"/>
  <c r="D900" i="49"/>
  <c r="D902" i="49" s="1"/>
  <c r="C900" i="49"/>
  <c r="C902" i="49" s="1"/>
  <c r="B900" i="49"/>
  <c r="B902" i="49" s="1"/>
  <c r="S899" i="49"/>
  <c r="R899" i="49"/>
  <c r="P899" i="49"/>
  <c r="O899" i="49"/>
  <c r="M899" i="49"/>
  <c r="L899" i="49"/>
  <c r="J899" i="49"/>
  <c r="I899" i="49"/>
  <c r="G899" i="49"/>
  <c r="F899" i="49"/>
  <c r="Q898" i="49"/>
  <c r="N898" i="49"/>
  <c r="K898" i="49"/>
  <c r="H898" i="49"/>
  <c r="E898" i="49"/>
  <c r="D898" i="49"/>
  <c r="C898" i="49"/>
  <c r="B898" i="49"/>
  <c r="Q897" i="49"/>
  <c r="Q899" i="49" s="1"/>
  <c r="N897" i="49"/>
  <c r="N899" i="49" s="1"/>
  <c r="K897" i="49"/>
  <c r="K899" i="49" s="1"/>
  <c r="H897" i="49"/>
  <c r="H899" i="49" s="1"/>
  <c r="E897" i="49"/>
  <c r="E899" i="49" s="1"/>
  <c r="D897" i="49"/>
  <c r="D899" i="49" s="1"/>
  <c r="C897" i="49"/>
  <c r="C899" i="49" s="1"/>
  <c r="B897" i="49"/>
  <c r="B899" i="49" s="1"/>
  <c r="S896" i="49"/>
  <c r="R896" i="49"/>
  <c r="P896" i="49"/>
  <c r="O896" i="49"/>
  <c r="M896" i="49"/>
  <c r="L896" i="49"/>
  <c r="J896" i="49"/>
  <c r="I896" i="49"/>
  <c r="G896" i="49"/>
  <c r="F896" i="49"/>
  <c r="Q895" i="49"/>
  <c r="N895" i="49"/>
  <c r="K895" i="49"/>
  <c r="H895" i="49"/>
  <c r="E895" i="49"/>
  <c r="D895" i="49"/>
  <c r="C895" i="49"/>
  <c r="B895" i="49"/>
  <c r="Q894" i="49"/>
  <c r="Q896" i="49" s="1"/>
  <c r="N894" i="49"/>
  <c r="N896" i="49" s="1"/>
  <c r="K894" i="49"/>
  <c r="K896" i="49" s="1"/>
  <c r="H894" i="49"/>
  <c r="H896" i="49" s="1"/>
  <c r="E894" i="49"/>
  <c r="E896" i="49" s="1"/>
  <c r="D894" i="49"/>
  <c r="D896" i="49" s="1"/>
  <c r="C894" i="49"/>
  <c r="C896" i="49" s="1"/>
  <c r="B894" i="49"/>
  <c r="B896" i="49" s="1"/>
  <c r="S893" i="49"/>
  <c r="R893" i="49"/>
  <c r="P893" i="49"/>
  <c r="O893" i="49"/>
  <c r="M893" i="49"/>
  <c r="L893" i="49"/>
  <c r="J893" i="49"/>
  <c r="I893" i="49"/>
  <c r="G893" i="49"/>
  <c r="F893" i="49"/>
  <c r="Q892" i="49"/>
  <c r="N892" i="49"/>
  <c r="K892" i="49"/>
  <c r="H892" i="49"/>
  <c r="E892" i="49"/>
  <c r="D892" i="49"/>
  <c r="C892" i="49"/>
  <c r="B892" i="49"/>
  <c r="Q891" i="49"/>
  <c r="Q893" i="49" s="1"/>
  <c r="N891" i="49"/>
  <c r="N893" i="49" s="1"/>
  <c r="K891" i="49"/>
  <c r="K893" i="49" s="1"/>
  <c r="H891" i="49"/>
  <c r="H893" i="49" s="1"/>
  <c r="E891" i="49"/>
  <c r="E893" i="49" s="1"/>
  <c r="D891" i="49"/>
  <c r="D893" i="49" s="1"/>
  <c r="C891" i="49"/>
  <c r="C893" i="49" s="1"/>
  <c r="B891" i="49"/>
  <c r="B893" i="49" s="1"/>
  <c r="S890" i="49"/>
  <c r="R890" i="49"/>
  <c r="P890" i="49"/>
  <c r="O890" i="49"/>
  <c r="M890" i="49"/>
  <c r="L890" i="49"/>
  <c r="J890" i="49"/>
  <c r="I890" i="49"/>
  <c r="G890" i="49"/>
  <c r="F890" i="49"/>
  <c r="Q889" i="49"/>
  <c r="N889" i="49"/>
  <c r="K889" i="49"/>
  <c r="H889" i="49"/>
  <c r="E889" i="49"/>
  <c r="D889" i="49"/>
  <c r="C889" i="49"/>
  <c r="B889" i="49"/>
  <c r="Q888" i="49"/>
  <c r="Q890" i="49" s="1"/>
  <c r="N888" i="49"/>
  <c r="N890" i="49" s="1"/>
  <c r="K888" i="49"/>
  <c r="K890" i="49" s="1"/>
  <c r="H888" i="49"/>
  <c r="H890" i="49" s="1"/>
  <c r="E888" i="49"/>
  <c r="E890" i="49" s="1"/>
  <c r="D888" i="49"/>
  <c r="D890" i="49" s="1"/>
  <c r="C888" i="49"/>
  <c r="C890" i="49" s="1"/>
  <c r="B888" i="49"/>
  <c r="B890" i="49" s="1"/>
  <c r="S887" i="49"/>
  <c r="R887" i="49"/>
  <c r="P887" i="49"/>
  <c r="O887" i="49"/>
  <c r="M887" i="49"/>
  <c r="L887" i="49"/>
  <c r="J887" i="49"/>
  <c r="I887" i="49"/>
  <c r="G887" i="49"/>
  <c r="F887" i="49"/>
  <c r="Q886" i="49"/>
  <c r="N886" i="49"/>
  <c r="K886" i="49"/>
  <c r="H886" i="49"/>
  <c r="E886" i="49"/>
  <c r="D886" i="49"/>
  <c r="C886" i="49"/>
  <c r="B886" i="49"/>
  <c r="Q885" i="49"/>
  <c r="Q887" i="49" s="1"/>
  <c r="N885" i="49"/>
  <c r="N887" i="49" s="1"/>
  <c r="K885" i="49"/>
  <c r="K887" i="49" s="1"/>
  <c r="H885" i="49"/>
  <c r="H887" i="49" s="1"/>
  <c r="E885" i="49"/>
  <c r="E887" i="49" s="1"/>
  <c r="D885" i="49"/>
  <c r="D887" i="49" s="1"/>
  <c r="C885" i="49"/>
  <c r="C887" i="49" s="1"/>
  <c r="B885" i="49"/>
  <c r="B887" i="49" s="1"/>
  <c r="S884" i="49"/>
  <c r="R884" i="49"/>
  <c r="P884" i="49"/>
  <c r="O884" i="49"/>
  <c r="M884" i="49"/>
  <c r="L884" i="49"/>
  <c r="J884" i="49"/>
  <c r="I884" i="49"/>
  <c r="G884" i="49"/>
  <c r="F884" i="49"/>
  <c r="Q883" i="49"/>
  <c r="N883" i="49"/>
  <c r="K883" i="49"/>
  <c r="H883" i="49"/>
  <c r="E883" i="49"/>
  <c r="D883" i="49"/>
  <c r="C883" i="49"/>
  <c r="B883" i="49"/>
  <c r="Q882" i="49"/>
  <c r="Q884" i="49" s="1"/>
  <c r="N882" i="49"/>
  <c r="N884" i="49" s="1"/>
  <c r="K882" i="49"/>
  <c r="K884" i="49" s="1"/>
  <c r="H882" i="49"/>
  <c r="H884" i="49" s="1"/>
  <c r="E882" i="49"/>
  <c r="E884" i="49" s="1"/>
  <c r="D882" i="49"/>
  <c r="D884" i="49" s="1"/>
  <c r="C882" i="49"/>
  <c r="C884" i="49" s="1"/>
  <c r="B882" i="49"/>
  <c r="B884" i="49" s="1"/>
  <c r="S881" i="49"/>
  <c r="R881" i="49"/>
  <c r="P881" i="49"/>
  <c r="O881" i="49"/>
  <c r="M881" i="49"/>
  <c r="L881" i="49"/>
  <c r="J881" i="49"/>
  <c r="I881" i="49"/>
  <c r="G881" i="49"/>
  <c r="F881" i="49"/>
  <c r="Q880" i="49"/>
  <c r="N880" i="49"/>
  <c r="K880" i="49"/>
  <c r="H880" i="49"/>
  <c r="E880" i="49"/>
  <c r="D880" i="49"/>
  <c r="C880" i="49"/>
  <c r="B880" i="49"/>
  <c r="Q879" i="49"/>
  <c r="Q881" i="49" s="1"/>
  <c r="N879" i="49"/>
  <c r="N881" i="49" s="1"/>
  <c r="K879" i="49"/>
  <c r="K881" i="49" s="1"/>
  <c r="H879" i="49"/>
  <c r="H881" i="49" s="1"/>
  <c r="E879" i="49"/>
  <c r="E881" i="49" s="1"/>
  <c r="D879" i="49"/>
  <c r="D881" i="49" s="1"/>
  <c r="C879" i="49"/>
  <c r="C881" i="49" s="1"/>
  <c r="B879" i="49"/>
  <c r="B881" i="49" s="1"/>
  <c r="S878" i="49"/>
  <c r="R878" i="49"/>
  <c r="P878" i="49"/>
  <c r="O878" i="49"/>
  <c r="M878" i="49"/>
  <c r="L878" i="49"/>
  <c r="J878" i="49"/>
  <c r="I878" i="49"/>
  <c r="G878" i="49"/>
  <c r="F878" i="49"/>
  <c r="Q877" i="49"/>
  <c r="N877" i="49"/>
  <c r="K877" i="49"/>
  <c r="H877" i="49"/>
  <c r="E877" i="49"/>
  <c r="D877" i="49"/>
  <c r="C877" i="49"/>
  <c r="B877" i="49"/>
  <c r="Q876" i="49"/>
  <c r="Q878" i="49" s="1"/>
  <c r="N876" i="49"/>
  <c r="N878" i="49" s="1"/>
  <c r="K876" i="49"/>
  <c r="K878" i="49" s="1"/>
  <c r="H876" i="49"/>
  <c r="H878" i="49" s="1"/>
  <c r="E876" i="49"/>
  <c r="E878" i="49" s="1"/>
  <c r="D876" i="49"/>
  <c r="D878" i="49" s="1"/>
  <c r="C876" i="49"/>
  <c r="C878" i="49" s="1"/>
  <c r="B876" i="49"/>
  <c r="B878" i="49" s="1"/>
  <c r="S875" i="49"/>
  <c r="R875" i="49"/>
  <c r="P875" i="49"/>
  <c r="O875" i="49"/>
  <c r="M875" i="49"/>
  <c r="L875" i="49"/>
  <c r="J875" i="49"/>
  <c r="I875" i="49"/>
  <c r="G875" i="49"/>
  <c r="F875" i="49"/>
  <c r="Q874" i="49"/>
  <c r="N874" i="49"/>
  <c r="K874" i="49"/>
  <c r="H874" i="49"/>
  <c r="E874" i="49"/>
  <c r="D874" i="49"/>
  <c r="C874" i="49"/>
  <c r="B874" i="49"/>
  <c r="Q873" i="49"/>
  <c r="Q875" i="49" s="1"/>
  <c r="N873" i="49"/>
  <c r="N875" i="49" s="1"/>
  <c r="K873" i="49"/>
  <c r="K875" i="49" s="1"/>
  <c r="H873" i="49"/>
  <c r="H875" i="49" s="1"/>
  <c r="E873" i="49"/>
  <c r="E875" i="49" s="1"/>
  <c r="D873" i="49"/>
  <c r="D875" i="49" s="1"/>
  <c r="C873" i="49"/>
  <c r="C875" i="49" s="1"/>
  <c r="B873" i="49"/>
  <c r="B875" i="49" s="1"/>
  <c r="S872" i="49"/>
  <c r="R872" i="49"/>
  <c r="P872" i="49"/>
  <c r="O872" i="49"/>
  <c r="M872" i="49"/>
  <c r="L872" i="49"/>
  <c r="J872" i="49"/>
  <c r="I872" i="49"/>
  <c r="G872" i="49"/>
  <c r="F872" i="49"/>
  <c r="Q871" i="49"/>
  <c r="N871" i="49"/>
  <c r="K871" i="49"/>
  <c r="H871" i="49"/>
  <c r="E871" i="49"/>
  <c r="D871" i="49"/>
  <c r="C871" i="49"/>
  <c r="B871" i="49"/>
  <c r="Q870" i="49"/>
  <c r="Q872" i="49" s="1"/>
  <c r="N870" i="49"/>
  <c r="N872" i="49" s="1"/>
  <c r="K870" i="49"/>
  <c r="K872" i="49" s="1"/>
  <c r="H870" i="49"/>
  <c r="H872" i="49" s="1"/>
  <c r="E870" i="49"/>
  <c r="E872" i="49" s="1"/>
  <c r="D870" i="49"/>
  <c r="D872" i="49" s="1"/>
  <c r="C870" i="49"/>
  <c r="C872" i="49" s="1"/>
  <c r="B870" i="49"/>
  <c r="B872" i="49" s="1"/>
  <c r="S869" i="49"/>
  <c r="R869" i="49"/>
  <c r="P869" i="49"/>
  <c r="O869" i="49"/>
  <c r="M869" i="49"/>
  <c r="L869" i="49"/>
  <c r="J869" i="49"/>
  <c r="I869" i="49"/>
  <c r="G869" i="49"/>
  <c r="F869" i="49"/>
  <c r="Q868" i="49"/>
  <c r="N868" i="49"/>
  <c r="K868" i="49"/>
  <c r="H868" i="49"/>
  <c r="E868" i="49"/>
  <c r="D868" i="49"/>
  <c r="C868" i="49"/>
  <c r="B868" i="49"/>
  <c r="Q867" i="49"/>
  <c r="Q869" i="49" s="1"/>
  <c r="N867" i="49"/>
  <c r="N869" i="49" s="1"/>
  <c r="K867" i="49"/>
  <c r="K869" i="49" s="1"/>
  <c r="H867" i="49"/>
  <c r="H869" i="49" s="1"/>
  <c r="E867" i="49"/>
  <c r="E869" i="49" s="1"/>
  <c r="D867" i="49"/>
  <c r="D869" i="49" s="1"/>
  <c r="C867" i="49"/>
  <c r="C869" i="49" s="1"/>
  <c r="B867" i="49"/>
  <c r="B869" i="49" s="1"/>
  <c r="S866" i="49"/>
  <c r="R866" i="49"/>
  <c r="P866" i="49"/>
  <c r="O866" i="49"/>
  <c r="M866" i="49"/>
  <c r="L866" i="49"/>
  <c r="J866" i="49"/>
  <c r="I866" i="49"/>
  <c r="G866" i="49"/>
  <c r="F866" i="49"/>
  <c r="Q865" i="49"/>
  <c r="N865" i="49"/>
  <c r="K865" i="49"/>
  <c r="H865" i="49"/>
  <c r="E865" i="49"/>
  <c r="D865" i="49"/>
  <c r="C865" i="49"/>
  <c r="B865" i="49"/>
  <c r="Q864" i="49"/>
  <c r="Q866" i="49" s="1"/>
  <c r="N864" i="49"/>
  <c r="N866" i="49" s="1"/>
  <c r="K864" i="49"/>
  <c r="K866" i="49" s="1"/>
  <c r="H864" i="49"/>
  <c r="H866" i="49" s="1"/>
  <c r="E864" i="49"/>
  <c r="E866" i="49" s="1"/>
  <c r="D864" i="49"/>
  <c r="D866" i="49" s="1"/>
  <c r="C864" i="49"/>
  <c r="C866" i="49" s="1"/>
  <c r="B864" i="49"/>
  <c r="B866" i="49" s="1"/>
  <c r="S863" i="49"/>
  <c r="R863" i="49"/>
  <c r="P863" i="49"/>
  <c r="O863" i="49"/>
  <c r="M863" i="49"/>
  <c r="L863" i="49"/>
  <c r="J863" i="49"/>
  <c r="I863" i="49"/>
  <c r="G863" i="49"/>
  <c r="F863" i="49"/>
  <c r="Q862" i="49"/>
  <c r="N862" i="49"/>
  <c r="K862" i="49"/>
  <c r="H862" i="49"/>
  <c r="E862" i="49"/>
  <c r="D862" i="49"/>
  <c r="C862" i="49"/>
  <c r="B862" i="49"/>
  <c r="Q861" i="49"/>
  <c r="Q863" i="49" s="1"/>
  <c r="N861" i="49"/>
  <c r="N863" i="49" s="1"/>
  <c r="K861" i="49"/>
  <c r="K863" i="49" s="1"/>
  <c r="H861" i="49"/>
  <c r="H863" i="49" s="1"/>
  <c r="E861" i="49"/>
  <c r="E863" i="49" s="1"/>
  <c r="D861" i="49"/>
  <c r="D863" i="49" s="1"/>
  <c r="C861" i="49"/>
  <c r="C863" i="49" s="1"/>
  <c r="B861" i="49"/>
  <c r="B863" i="49" s="1"/>
  <c r="S860" i="49"/>
  <c r="R860" i="49"/>
  <c r="P860" i="49"/>
  <c r="O860" i="49"/>
  <c r="M860" i="49"/>
  <c r="L860" i="49"/>
  <c r="J860" i="49"/>
  <c r="I860" i="49"/>
  <c r="G860" i="49"/>
  <c r="F860" i="49"/>
  <c r="Q859" i="49"/>
  <c r="N859" i="49"/>
  <c r="K859" i="49"/>
  <c r="H859" i="49"/>
  <c r="E859" i="49"/>
  <c r="D859" i="49"/>
  <c r="C859" i="49"/>
  <c r="B859" i="49"/>
  <c r="Q858" i="49"/>
  <c r="Q860" i="49" s="1"/>
  <c r="N858" i="49"/>
  <c r="N860" i="49" s="1"/>
  <c r="K858" i="49"/>
  <c r="K860" i="49" s="1"/>
  <c r="H858" i="49"/>
  <c r="H860" i="49" s="1"/>
  <c r="E858" i="49"/>
  <c r="E860" i="49" s="1"/>
  <c r="D858" i="49"/>
  <c r="D860" i="49" s="1"/>
  <c r="C858" i="49"/>
  <c r="C860" i="49" s="1"/>
  <c r="B858" i="49"/>
  <c r="B860" i="49" s="1"/>
  <c r="S857" i="49"/>
  <c r="R857" i="49"/>
  <c r="P857" i="49"/>
  <c r="O857" i="49"/>
  <c r="M857" i="49"/>
  <c r="L857" i="49"/>
  <c r="J857" i="49"/>
  <c r="I857" i="49"/>
  <c r="G857" i="49"/>
  <c r="F857" i="49"/>
  <c r="Q856" i="49"/>
  <c r="N856" i="49"/>
  <c r="K856" i="49"/>
  <c r="H856" i="49"/>
  <c r="E856" i="49"/>
  <c r="D856" i="49"/>
  <c r="C856" i="49"/>
  <c r="B856" i="49"/>
  <c r="Q855" i="49"/>
  <c r="Q857" i="49" s="1"/>
  <c r="N855" i="49"/>
  <c r="N857" i="49" s="1"/>
  <c r="K855" i="49"/>
  <c r="K857" i="49" s="1"/>
  <c r="H855" i="49"/>
  <c r="H857" i="49" s="1"/>
  <c r="E855" i="49"/>
  <c r="E857" i="49" s="1"/>
  <c r="D855" i="49"/>
  <c r="D857" i="49" s="1"/>
  <c r="C855" i="49"/>
  <c r="C857" i="49" s="1"/>
  <c r="B855" i="49"/>
  <c r="B857" i="49" s="1"/>
  <c r="S854" i="49"/>
  <c r="R854" i="49"/>
  <c r="P854" i="49"/>
  <c r="O854" i="49"/>
  <c r="M854" i="49"/>
  <c r="L854" i="49"/>
  <c r="J854" i="49"/>
  <c r="I854" i="49"/>
  <c r="G854" i="49"/>
  <c r="F854" i="49"/>
  <c r="Q853" i="49"/>
  <c r="N853" i="49"/>
  <c r="K853" i="49"/>
  <c r="H853" i="49"/>
  <c r="E853" i="49"/>
  <c r="D853" i="49"/>
  <c r="C853" i="49"/>
  <c r="B853" i="49"/>
  <c r="Q852" i="49"/>
  <c r="Q854" i="49" s="1"/>
  <c r="N852" i="49"/>
  <c r="N854" i="49" s="1"/>
  <c r="K852" i="49"/>
  <c r="K854" i="49" s="1"/>
  <c r="H852" i="49"/>
  <c r="H854" i="49" s="1"/>
  <c r="E852" i="49"/>
  <c r="E854" i="49" s="1"/>
  <c r="D852" i="49"/>
  <c r="D854" i="49" s="1"/>
  <c r="C852" i="49"/>
  <c r="C854" i="49" s="1"/>
  <c r="B852" i="49"/>
  <c r="B854" i="49" s="1"/>
  <c r="S851" i="49"/>
  <c r="R851" i="49"/>
  <c r="P851" i="49"/>
  <c r="O851" i="49"/>
  <c r="M851" i="49"/>
  <c r="L851" i="49"/>
  <c r="J851" i="49"/>
  <c r="I851" i="49"/>
  <c r="G851" i="49"/>
  <c r="F851" i="49"/>
  <c r="Q850" i="49"/>
  <c r="N850" i="49"/>
  <c r="K850" i="49"/>
  <c r="H850" i="49"/>
  <c r="E850" i="49"/>
  <c r="D850" i="49"/>
  <c r="C850" i="49"/>
  <c r="B850" i="49"/>
  <c r="Q849" i="49"/>
  <c r="Q851" i="49" s="1"/>
  <c r="N849" i="49"/>
  <c r="N851" i="49" s="1"/>
  <c r="K849" i="49"/>
  <c r="K851" i="49" s="1"/>
  <c r="H849" i="49"/>
  <c r="H851" i="49" s="1"/>
  <c r="E849" i="49"/>
  <c r="E851" i="49" s="1"/>
  <c r="D849" i="49"/>
  <c r="D851" i="49" s="1"/>
  <c r="C849" i="49"/>
  <c r="C851" i="49" s="1"/>
  <c r="B849" i="49"/>
  <c r="B851" i="49" s="1"/>
  <c r="S848" i="49"/>
  <c r="R848" i="49"/>
  <c r="P848" i="49"/>
  <c r="O848" i="49"/>
  <c r="M848" i="49"/>
  <c r="L848" i="49"/>
  <c r="J848" i="49"/>
  <c r="I848" i="49"/>
  <c r="G848" i="49"/>
  <c r="F848" i="49"/>
  <c r="Q847" i="49"/>
  <c r="N847" i="49"/>
  <c r="K847" i="49"/>
  <c r="H847" i="49"/>
  <c r="E847" i="49"/>
  <c r="D847" i="49"/>
  <c r="C847" i="49"/>
  <c r="Q846" i="49"/>
  <c r="Q848" i="49" s="1"/>
  <c r="N846" i="49"/>
  <c r="K846" i="49"/>
  <c r="K848" i="49" s="1"/>
  <c r="H846" i="49"/>
  <c r="E846" i="49"/>
  <c r="E848" i="49" s="1"/>
  <c r="D846" i="49"/>
  <c r="C846" i="49"/>
  <c r="B846" i="49" s="1"/>
  <c r="S845" i="49"/>
  <c r="R845" i="49"/>
  <c r="P845" i="49"/>
  <c r="O845" i="49"/>
  <c r="M845" i="49"/>
  <c r="L845" i="49"/>
  <c r="J845" i="49"/>
  <c r="I845" i="49"/>
  <c r="G845" i="49"/>
  <c r="F845" i="49"/>
  <c r="Q844" i="49"/>
  <c r="N844" i="49"/>
  <c r="K844" i="49"/>
  <c r="H844" i="49"/>
  <c r="E844" i="49"/>
  <c r="D844" i="49"/>
  <c r="C844" i="49"/>
  <c r="Q843" i="49"/>
  <c r="Q845" i="49" s="1"/>
  <c r="N843" i="49"/>
  <c r="K843" i="49"/>
  <c r="K845" i="49" s="1"/>
  <c r="H843" i="49"/>
  <c r="E843" i="49"/>
  <c r="E845" i="49" s="1"/>
  <c r="D843" i="49"/>
  <c r="C843" i="49"/>
  <c r="B843" i="49" s="1"/>
  <c r="S842" i="49"/>
  <c r="R842" i="49"/>
  <c r="P842" i="49"/>
  <c r="O842" i="49"/>
  <c r="M842" i="49"/>
  <c r="L842" i="49"/>
  <c r="J842" i="49"/>
  <c r="I842" i="49"/>
  <c r="G842" i="49"/>
  <c r="F842" i="49"/>
  <c r="Q841" i="49"/>
  <c r="N841" i="49"/>
  <c r="K841" i="49"/>
  <c r="H841" i="49"/>
  <c r="E841" i="49"/>
  <c r="D841" i="49"/>
  <c r="C841" i="49"/>
  <c r="Q840" i="49"/>
  <c r="Q842" i="49" s="1"/>
  <c r="N840" i="49"/>
  <c r="K840" i="49"/>
  <c r="K842" i="49" s="1"/>
  <c r="H840" i="49"/>
  <c r="E840" i="49"/>
  <c r="E842" i="49" s="1"/>
  <c r="D840" i="49"/>
  <c r="C840" i="49"/>
  <c r="B840" i="49" s="1"/>
  <c r="S839" i="49"/>
  <c r="R839" i="49"/>
  <c r="P839" i="49"/>
  <c r="O839" i="49"/>
  <c r="M839" i="49"/>
  <c r="L839" i="49"/>
  <c r="J839" i="49"/>
  <c r="I839" i="49"/>
  <c r="G839" i="49"/>
  <c r="F839" i="49"/>
  <c r="Q838" i="49"/>
  <c r="N838" i="49"/>
  <c r="K838" i="49"/>
  <c r="H838" i="49"/>
  <c r="E838" i="49"/>
  <c r="D838" i="49"/>
  <c r="C838" i="49"/>
  <c r="Q837" i="49"/>
  <c r="Q839" i="49" s="1"/>
  <c r="N837" i="49"/>
  <c r="K837" i="49"/>
  <c r="K839" i="49" s="1"/>
  <c r="H837" i="49"/>
  <c r="E837" i="49"/>
  <c r="E839" i="49" s="1"/>
  <c r="D837" i="49"/>
  <c r="C837" i="49"/>
  <c r="B837" i="49" s="1"/>
  <c r="S836" i="49"/>
  <c r="R836" i="49"/>
  <c r="P836" i="49"/>
  <c r="O836" i="49"/>
  <c r="M836" i="49"/>
  <c r="L836" i="49"/>
  <c r="J836" i="49"/>
  <c r="I836" i="49"/>
  <c r="G836" i="49"/>
  <c r="F836" i="49"/>
  <c r="Q835" i="49"/>
  <c r="N835" i="49"/>
  <c r="K835" i="49"/>
  <c r="H835" i="49"/>
  <c r="E835" i="49"/>
  <c r="D835" i="49"/>
  <c r="C835" i="49"/>
  <c r="Q834" i="49"/>
  <c r="Q836" i="49" s="1"/>
  <c r="N834" i="49"/>
  <c r="K834" i="49"/>
  <c r="K836" i="49" s="1"/>
  <c r="H834" i="49"/>
  <c r="E834" i="49"/>
  <c r="E836" i="49" s="1"/>
  <c r="D834" i="49"/>
  <c r="C834" i="49"/>
  <c r="B834" i="49" s="1"/>
  <c r="S833" i="49"/>
  <c r="R833" i="49"/>
  <c r="P833" i="49"/>
  <c r="O833" i="49"/>
  <c r="M833" i="49"/>
  <c r="L833" i="49"/>
  <c r="J833" i="49"/>
  <c r="I833" i="49"/>
  <c r="G833" i="49"/>
  <c r="F833" i="49"/>
  <c r="Q832" i="49"/>
  <c r="N832" i="49"/>
  <c r="K832" i="49"/>
  <c r="H832" i="49"/>
  <c r="E832" i="49"/>
  <c r="D832" i="49"/>
  <c r="C832" i="49"/>
  <c r="Q831" i="49"/>
  <c r="Q833" i="49" s="1"/>
  <c r="N831" i="49"/>
  <c r="K831" i="49"/>
  <c r="K833" i="49" s="1"/>
  <c r="H831" i="49"/>
  <c r="E831" i="49"/>
  <c r="E833" i="49" s="1"/>
  <c r="D831" i="49"/>
  <c r="C831" i="49"/>
  <c r="B831" i="49" s="1"/>
  <c r="S830" i="49"/>
  <c r="R830" i="49"/>
  <c r="P830" i="49"/>
  <c r="O830" i="49"/>
  <c r="M830" i="49"/>
  <c r="L830" i="49"/>
  <c r="J830" i="49"/>
  <c r="I830" i="49"/>
  <c r="G830" i="49"/>
  <c r="F830" i="49"/>
  <c r="Q829" i="49"/>
  <c r="N829" i="49"/>
  <c r="K829" i="49"/>
  <c r="H829" i="49"/>
  <c r="E829" i="49"/>
  <c r="D829" i="49"/>
  <c r="C829" i="49"/>
  <c r="Q828" i="49"/>
  <c r="Q830" i="49" s="1"/>
  <c r="N828" i="49"/>
  <c r="K828" i="49"/>
  <c r="K830" i="49" s="1"/>
  <c r="H828" i="49"/>
  <c r="E828" i="49"/>
  <c r="E830" i="49" s="1"/>
  <c r="D828" i="49"/>
  <c r="D830" i="49" s="1"/>
  <c r="C828" i="49"/>
  <c r="B828" i="49" s="1"/>
  <c r="S827" i="49"/>
  <c r="R827" i="49"/>
  <c r="P827" i="49"/>
  <c r="O827" i="49"/>
  <c r="M827" i="49"/>
  <c r="L827" i="49"/>
  <c r="J827" i="49"/>
  <c r="I827" i="49"/>
  <c r="G827" i="49"/>
  <c r="F827" i="49"/>
  <c r="Q826" i="49"/>
  <c r="N826" i="49"/>
  <c r="K826" i="49"/>
  <c r="H826" i="49"/>
  <c r="E826" i="49"/>
  <c r="D826" i="49"/>
  <c r="C826" i="49"/>
  <c r="Q825" i="49"/>
  <c r="Q827" i="49" s="1"/>
  <c r="N825" i="49"/>
  <c r="K825" i="49"/>
  <c r="K827" i="49" s="1"/>
  <c r="H825" i="49"/>
  <c r="E825" i="49"/>
  <c r="E827" i="49" s="1"/>
  <c r="D825" i="49"/>
  <c r="D827" i="49" s="1"/>
  <c r="C825" i="49"/>
  <c r="B825" i="49" s="1"/>
  <c r="S824" i="49"/>
  <c r="R824" i="49"/>
  <c r="P824" i="49"/>
  <c r="O824" i="49"/>
  <c r="M824" i="49"/>
  <c r="L824" i="49"/>
  <c r="J824" i="49"/>
  <c r="I824" i="49"/>
  <c r="G824" i="49"/>
  <c r="F824" i="49"/>
  <c r="Q823" i="49"/>
  <c r="N823" i="49"/>
  <c r="K823" i="49"/>
  <c r="H823" i="49"/>
  <c r="E823" i="49"/>
  <c r="D823" i="49"/>
  <c r="C823" i="49"/>
  <c r="Q822" i="49"/>
  <c r="Q824" i="49" s="1"/>
  <c r="N822" i="49"/>
  <c r="N824" i="49" s="1"/>
  <c r="K822" i="49"/>
  <c r="K824" i="49" s="1"/>
  <c r="H822" i="49"/>
  <c r="H824" i="49" s="1"/>
  <c r="E822" i="49"/>
  <c r="E824" i="49" s="1"/>
  <c r="D822" i="49"/>
  <c r="D824" i="49" s="1"/>
  <c r="C822" i="49"/>
  <c r="B822" i="49" s="1"/>
  <c r="S821" i="49"/>
  <c r="R821" i="49"/>
  <c r="P821" i="49"/>
  <c r="O821" i="49"/>
  <c r="M821" i="49"/>
  <c r="L821" i="49"/>
  <c r="J821" i="49"/>
  <c r="I821" i="49"/>
  <c r="G821" i="49"/>
  <c r="F821" i="49"/>
  <c r="Q820" i="49"/>
  <c r="N820" i="49"/>
  <c r="K820" i="49"/>
  <c r="H820" i="49"/>
  <c r="E820" i="49"/>
  <c r="D820" i="49"/>
  <c r="C820" i="49"/>
  <c r="Q819" i="49"/>
  <c r="Q821" i="49" s="1"/>
  <c r="N819" i="49"/>
  <c r="N821" i="49" s="1"/>
  <c r="K819" i="49"/>
  <c r="K821" i="49" s="1"/>
  <c r="H819" i="49"/>
  <c r="H821" i="49" s="1"/>
  <c r="E819" i="49"/>
  <c r="E821" i="49" s="1"/>
  <c r="D819" i="49"/>
  <c r="D821" i="49" s="1"/>
  <c r="C819" i="49"/>
  <c r="B819" i="49" s="1"/>
  <c r="S818" i="49"/>
  <c r="R818" i="49"/>
  <c r="P818" i="49"/>
  <c r="O818" i="49"/>
  <c r="M818" i="49"/>
  <c r="L818" i="49"/>
  <c r="J818" i="49"/>
  <c r="I818" i="49"/>
  <c r="G818" i="49"/>
  <c r="F818" i="49"/>
  <c r="Q817" i="49"/>
  <c r="N817" i="49"/>
  <c r="K817" i="49"/>
  <c r="H817" i="49"/>
  <c r="E817" i="49"/>
  <c r="D817" i="49"/>
  <c r="C817" i="49"/>
  <c r="Q816" i="49"/>
  <c r="Q818" i="49" s="1"/>
  <c r="N816" i="49"/>
  <c r="N818" i="49" s="1"/>
  <c r="K816" i="49"/>
  <c r="K818" i="49" s="1"/>
  <c r="H816" i="49"/>
  <c r="H818" i="49" s="1"/>
  <c r="E816" i="49"/>
  <c r="E818" i="49" s="1"/>
  <c r="D816" i="49"/>
  <c r="D818" i="49" s="1"/>
  <c r="C816" i="49"/>
  <c r="B816" i="49" s="1"/>
  <c r="S815" i="49"/>
  <c r="R815" i="49"/>
  <c r="P815" i="49"/>
  <c r="O815" i="49"/>
  <c r="M815" i="49"/>
  <c r="L815" i="49"/>
  <c r="J815" i="49"/>
  <c r="I815" i="49"/>
  <c r="G815" i="49"/>
  <c r="F815" i="49"/>
  <c r="Q814" i="49"/>
  <c r="N814" i="49"/>
  <c r="K814" i="49"/>
  <c r="H814" i="49"/>
  <c r="E814" i="49"/>
  <c r="D814" i="49"/>
  <c r="C814" i="49"/>
  <c r="Q813" i="49"/>
  <c r="Q815" i="49" s="1"/>
  <c r="N813" i="49"/>
  <c r="N815" i="49" s="1"/>
  <c r="K813" i="49"/>
  <c r="K815" i="49" s="1"/>
  <c r="H813" i="49"/>
  <c r="H815" i="49" s="1"/>
  <c r="E813" i="49"/>
  <c r="E815" i="49" s="1"/>
  <c r="D813" i="49"/>
  <c r="D815" i="49" s="1"/>
  <c r="C813" i="49"/>
  <c r="B813" i="49" s="1"/>
  <c r="S812" i="49"/>
  <c r="S944" i="49" s="1"/>
  <c r="R812" i="49"/>
  <c r="R944" i="49" s="1"/>
  <c r="P812" i="49"/>
  <c r="P944" i="49" s="1"/>
  <c r="O812" i="49"/>
  <c r="O944" i="49" s="1"/>
  <c r="M812" i="49"/>
  <c r="M944" i="49" s="1"/>
  <c r="L812" i="49"/>
  <c r="L944" i="49" s="1"/>
  <c r="J812" i="49"/>
  <c r="J944" i="49" s="1"/>
  <c r="I812" i="49"/>
  <c r="I944" i="49" s="1"/>
  <c r="G812" i="49"/>
  <c r="G944" i="49" s="1"/>
  <c r="F812" i="49"/>
  <c r="F944" i="49" s="1"/>
  <c r="Q811" i="49"/>
  <c r="Q943" i="49" s="1"/>
  <c r="N811" i="49"/>
  <c r="N943" i="49" s="1"/>
  <c r="K811" i="49"/>
  <c r="K943" i="49" s="1"/>
  <c r="H811" i="49"/>
  <c r="H943" i="49" s="1"/>
  <c r="E811" i="49"/>
  <c r="E943" i="49" s="1"/>
  <c r="D811" i="49"/>
  <c r="D943" i="49" s="1"/>
  <c r="C811" i="49"/>
  <c r="C943" i="49" s="1"/>
  <c r="Q810" i="49"/>
  <c r="Q942" i="49" s="1"/>
  <c r="N810" i="49"/>
  <c r="N942" i="49" s="1"/>
  <c r="K810" i="49"/>
  <c r="K942" i="49" s="1"/>
  <c r="H810" i="49"/>
  <c r="H942" i="49" s="1"/>
  <c r="E810" i="49"/>
  <c r="E942" i="49" s="1"/>
  <c r="D810" i="49"/>
  <c r="D942" i="49" s="1"/>
  <c r="C810" i="49"/>
  <c r="C942" i="49" s="1"/>
  <c r="S805" i="49"/>
  <c r="R805" i="49"/>
  <c r="P805" i="49"/>
  <c r="O805" i="49"/>
  <c r="M805" i="49"/>
  <c r="L805" i="49"/>
  <c r="J805" i="49"/>
  <c r="I805" i="49"/>
  <c r="G805" i="49"/>
  <c r="F805" i="49"/>
  <c r="S804" i="49"/>
  <c r="R804" i="49"/>
  <c r="P804" i="49"/>
  <c r="O804" i="49"/>
  <c r="M804" i="49"/>
  <c r="L804" i="49"/>
  <c r="J804" i="49"/>
  <c r="I804" i="49"/>
  <c r="G804" i="49"/>
  <c r="F804" i="49"/>
  <c r="S803" i="49"/>
  <c r="R803" i="49"/>
  <c r="P803" i="49"/>
  <c r="O803" i="49"/>
  <c r="M803" i="49"/>
  <c r="L803" i="49"/>
  <c r="J803" i="49"/>
  <c r="I803" i="49"/>
  <c r="G803" i="49"/>
  <c r="F803" i="49"/>
  <c r="Q802" i="49"/>
  <c r="N802" i="49"/>
  <c r="K802" i="49"/>
  <c r="H802" i="49"/>
  <c r="E802" i="49"/>
  <c r="D802" i="49"/>
  <c r="C802" i="49"/>
  <c r="B802" i="49" s="1"/>
  <c r="Q801" i="49"/>
  <c r="Q803" i="49" s="1"/>
  <c r="N801" i="49"/>
  <c r="N803" i="49" s="1"/>
  <c r="K801" i="49"/>
  <c r="K803" i="49" s="1"/>
  <c r="H801" i="49"/>
  <c r="H803" i="49" s="1"/>
  <c r="E801" i="49"/>
  <c r="E803" i="49" s="1"/>
  <c r="D801" i="49"/>
  <c r="D803" i="49" s="1"/>
  <c r="C801" i="49"/>
  <c r="B801" i="49" s="1"/>
  <c r="S800" i="49"/>
  <c r="R800" i="49"/>
  <c r="P800" i="49"/>
  <c r="O800" i="49"/>
  <c r="M800" i="49"/>
  <c r="L800" i="49"/>
  <c r="J800" i="49"/>
  <c r="I800" i="49"/>
  <c r="G800" i="49"/>
  <c r="F800" i="49"/>
  <c r="Q799" i="49"/>
  <c r="N799" i="49"/>
  <c r="K799" i="49"/>
  <c r="H799" i="49"/>
  <c r="E799" i="49"/>
  <c r="D799" i="49"/>
  <c r="C799" i="49"/>
  <c r="B799" i="49" s="1"/>
  <c r="Q798" i="49"/>
  <c r="Q800" i="49" s="1"/>
  <c r="N798" i="49"/>
  <c r="N800" i="49" s="1"/>
  <c r="K798" i="49"/>
  <c r="K800" i="49" s="1"/>
  <c r="H798" i="49"/>
  <c r="H800" i="49" s="1"/>
  <c r="E798" i="49"/>
  <c r="E800" i="49" s="1"/>
  <c r="D798" i="49"/>
  <c r="D800" i="49" s="1"/>
  <c r="C798" i="49"/>
  <c r="B798" i="49" s="1"/>
  <c r="S797" i="49"/>
  <c r="R797" i="49"/>
  <c r="P797" i="49"/>
  <c r="O797" i="49"/>
  <c r="M797" i="49"/>
  <c r="L797" i="49"/>
  <c r="J797" i="49"/>
  <c r="I797" i="49"/>
  <c r="G797" i="49"/>
  <c r="F797" i="49"/>
  <c r="Q796" i="49"/>
  <c r="N796" i="49"/>
  <c r="K796" i="49"/>
  <c r="H796" i="49"/>
  <c r="E796" i="49"/>
  <c r="D796" i="49"/>
  <c r="C796" i="49"/>
  <c r="B796" i="49" s="1"/>
  <c r="Q795" i="49"/>
  <c r="Q797" i="49" s="1"/>
  <c r="N795" i="49"/>
  <c r="N797" i="49" s="1"/>
  <c r="K795" i="49"/>
  <c r="K797" i="49" s="1"/>
  <c r="H795" i="49"/>
  <c r="H797" i="49" s="1"/>
  <c r="E795" i="49"/>
  <c r="E797" i="49" s="1"/>
  <c r="D795" i="49"/>
  <c r="D797" i="49" s="1"/>
  <c r="C795" i="49"/>
  <c r="B795" i="49" s="1"/>
  <c r="S794" i="49"/>
  <c r="R794" i="49"/>
  <c r="P794" i="49"/>
  <c r="O794" i="49"/>
  <c r="M794" i="49"/>
  <c r="L794" i="49"/>
  <c r="J794" i="49"/>
  <c r="I794" i="49"/>
  <c r="G794" i="49"/>
  <c r="F794" i="49"/>
  <c r="Q793" i="49"/>
  <c r="N793" i="49"/>
  <c r="K793" i="49"/>
  <c r="H793" i="49"/>
  <c r="E793" i="49"/>
  <c r="D793" i="49"/>
  <c r="C793" i="49"/>
  <c r="B793" i="49" s="1"/>
  <c r="Q792" i="49"/>
  <c r="Q794" i="49" s="1"/>
  <c r="N792" i="49"/>
  <c r="N794" i="49" s="1"/>
  <c r="K792" i="49"/>
  <c r="K794" i="49" s="1"/>
  <c r="H792" i="49"/>
  <c r="H794" i="49" s="1"/>
  <c r="E792" i="49"/>
  <c r="E794" i="49" s="1"/>
  <c r="D792" i="49"/>
  <c r="D794" i="49" s="1"/>
  <c r="C792" i="49"/>
  <c r="B792" i="49" s="1"/>
  <c r="B794" i="49" s="1"/>
  <c r="S791" i="49"/>
  <c r="S806" i="49" s="1"/>
  <c r="R791" i="49"/>
  <c r="R806" i="49" s="1"/>
  <c r="P791" i="49"/>
  <c r="P806" i="49" s="1"/>
  <c r="O791" i="49"/>
  <c r="O806" i="49" s="1"/>
  <c r="M791" i="49"/>
  <c r="M806" i="49" s="1"/>
  <c r="L791" i="49"/>
  <c r="L806" i="49" s="1"/>
  <c r="J791" i="49"/>
  <c r="J806" i="49" s="1"/>
  <c r="I791" i="49"/>
  <c r="I806" i="49" s="1"/>
  <c r="G791" i="49"/>
  <c r="G806" i="49" s="1"/>
  <c r="F791" i="49"/>
  <c r="F806" i="49" s="1"/>
  <c r="Q790" i="49"/>
  <c r="Q805" i="49" s="1"/>
  <c r="N790" i="49"/>
  <c r="N805" i="49" s="1"/>
  <c r="K790" i="49"/>
  <c r="K805" i="49" s="1"/>
  <c r="H790" i="49"/>
  <c r="H805" i="49" s="1"/>
  <c r="E790" i="49"/>
  <c r="E805" i="49" s="1"/>
  <c r="D790" i="49"/>
  <c r="D805" i="49" s="1"/>
  <c r="C790" i="49"/>
  <c r="B790" i="49" s="1"/>
  <c r="B805" i="49" s="1"/>
  <c r="Q789" i="49"/>
  <c r="Q804" i="49" s="1"/>
  <c r="N789" i="49"/>
  <c r="N804" i="49" s="1"/>
  <c r="K789" i="49"/>
  <c r="K804" i="49" s="1"/>
  <c r="H789" i="49"/>
  <c r="H804" i="49" s="1"/>
  <c r="E789" i="49"/>
  <c r="E804" i="49" s="1"/>
  <c r="D789" i="49"/>
  <c r="D804" i="49" s="1"/>
  <c r="C789" i="49"/>
  <c r="B789" i="49" s="1"/>
  <c r="S784" i="49"/>
  <c r="R784" i="49"/>
  <c r="P784" i="49"/>
  <c r="O784" i="49"/>
  <c r="M784" i="49"/>
  <c r="L784" i="49"/>
  <c r="J784" i="49"/>
  <c r="I784" i="49"/>
  <c r="G784" i="49"/>
  <c r="F784" i="49"/>
  <c r="S783" i="49"/>
  <c r="R783" i="49"/>
  <c r="P783" i="49"/>
  <c r="O783" i="49"/>
  <c r="M783" i="49"/>
  <c r="L783" i="49"/>
  <c r="J783" i="49"/>
  <c r="I783" i="49"/>
  <c r="G783" i="49"/>
  <c r="F783" i="49"/>
  <c r="S782" i="49"/>
  <c r="R782" i="49"/>
  <c r="P782" i="49"/>
  <c r="O782" i="49"/>
  <c r="M782" i="49"/>
  <c r="L782" i="49"/>
  <c r="J782" i="49"/>
  <c r="I782" i="49"/>
  <c r="G782" i="49"/>
  <c r="F782" i="49"/>
  <c r="Q781" i="49"/>
  <c r="N781" i="49"/>
  <c r="K781" i="49"/>
  <c r="H781" i="49"/>
  <c r="E781" i="49"/>
  <c r="D781" i="49"/>
  <c r="C781" i="49"/>
  <c r="B781" i="49" s="1"/>
  <c r="Q780" i="49"/>
  <c r="Q782" i="49" s="1"/>
  <c r="N780" i="49"/>
  <c r="N782" i="49" s="1"/>
  <c r="K780" i="49"/>
  <c r="K782" i="49" s="1"/>
  <c r="H780" i="49"/>
  <c r="H782" i="49" s="1"/>
  <c r="E780" i="49"/>
  <c r="E782" i="49" s="1"/>
  <c r="D780" i="49"/>
  <c r="D782" i="49" s="1"/>
  <c r="C780" i="49"/>
  <c r="B780" i="49" s="1"/>
  <c r="B782" i="49" s="1"/>
  <c r="S779" i="49"/>
  <c r="R779" i="49"/>
  <c r="P779" i="49"/>
  <c r="O779" i="49"/>
  <c r="M779" i="49"/>
  <c r="L779" i="49"/>
  <c r="J779" i="49"/>
  <c r="I779" i="49"/>
  <c r="G779" i="49"/>
  <c r="F779" i="49"/>
  <c r="Q778" i="49"/>
  <c r="N778" i="49"/>
  <c r="K778" i="49"/>
  <c r="H778" i="49"/>
  <c r="E778" i="49"/>
  <c r="D778" i="49"/>
  <c r="C778" i="49"/>
  <c r="B778" i="49" s="1"/>
  <c r="Q777" i="49"/>
  <c r="Q779" i="49" s="1"/>
  <c r="N777" i="49"/>
  <c r="N779" i="49" s="1"/>
  <c r="K777" i="49"/>
  <c r="K779" i="49" s="1"/>
  <c r="H777" i="49"/>
  <c r="H779" i="49" s="1"/>
  <c r="E777" i="49"/>
  <c r="E779" i="49" s="1"/>
  <c r="D777" i="49"/>
  <c r="D779" i="49" s="1"/>
  <c r="C777" i="49"/>
  <c r="B777" i="49" s="1"/>
  <c r="B779" i="49" s="1"/>
  <c r="S776" i="49"/>
  <c r="R776" i="49"/>
  <c r="P776" i="49"/>
  <c r="O776" i="49"/>
  <c r="M776" i="49"/>
  <c r="L776" i="49"/>
  <c r="J776" i="49"/>
  <c r="I776" i="49"/>
  <c r="G776" i="49"/>
  <c r="F776" i="49"/>
  <c r="Q775" i="49"/>
  <c r="N775" i="49"/>
  <c r="K775" i="49"/>
  <c r="H775" i="49"/>
  <c r="E775" i="49"/>
  <c r="D775" i="49"/>
  <c r="C775" i="49"/>
  <c r="Q774" i="49"/>
  <c r="Q776" i="49" s="1"/>
  <c r="N774" i="49"/>
  <c r="N776" i="49" s="1"/>
  <c r="K774" i="49"/>
  <c r="K776" i="49" s="1"/>
  <c r="H774" i="49"/>
  <c r="H776" i="49" s="1"/>
  <c r="E774" i="49"/>
  <c r="E776" i="49" s="1"/>
  <c r="D774" i="49"/>
  <c r="D776" i="49" s="1"/>
  <c r="C774" i="49"/>
  <c r="B774" i="49" s="1"/>
  <c r="S773" i="49"/>
  <c r="R773" i="49"/>
  <c r="P773" i="49"/>
  <c r="O773" i="49"/>
  <c r="M773" i="49"/>
  <c r="L773" i="49"/>
  <c r="J773" i="49"/>
  <c r="I773" i="49"/>
  <c r="G773" i="49"/>
  <c r="F773" i="49"/>
  <c r="Q772" i="49"/>
  <c r="N772" i="49"/>
  <c r="K772" i="49"/>
  <c r="H772" i="49"/>
  <c r="E772" i="49"/>
  <c r="D772" i="49"/>
  <c r="C772" i="49"/>
  <c r="Q771" i="49"/>
  <c r="Q773" i="49" s="1"/>
  <c r="N771" i="49"/>
  <c r="N773" i="49" s="1"/>
  <c r="K771" i="49"/>
  <c r="K773" i="49" s="1"/>
  <c r="H771" i="49"/>
  <c r="H773" i="49" s="1"/>
  <c r="E771" i="49"/>
  <c r="E773" i="49" s="1"/>
  <c r="D771" i="49"/>
  <c r="D773" i="49" s="1"/>
  <c r="C771" i="49"/>
  <c r="B771" i="49" s="1"/>
  <c r="S770" i="49"/>
  <c r="R770" i="49"/>
  <c r="P770" i="49"/>
  <c r="O770" i="49"/>
  <c r="M770" i="49"/>
  <c r="L770" i="49"/>
  <c r="J770" i="49"/>
  <c r="I770" i="49"/>
  <c r="G770" i="49"/>
  <c r="F770" i="49"/>
  <c r="Q769" i="49"/>
  <c r="N769" i="49"/>
  <c r="K769" i="49"/>
  <c r="H769" i="49"/>
  <c r="E769" i="49"/>
  <c r="D769" i="49"/>
  <c r="C769" i="49"/>
  <c r="Q768" i="49"/>
  <c r="Q770" i="49" s="1"/>
  <c r="N768" i="49"/>
  <c r="N770" i="49" s="1"/>
  <c r="K768" i="49"/>
  <c r="K770" i="49" s="1"/>
  <c r="H768" i="49"/>
  <c r="H770" i="49" s="1"/>
  <c r="E768" i="49"/>
  <c r="E770" i="49" s="1"/>
  <c r="D768" i="49"/>
  <c r="D770" i="49" s="1"/>
  <c r="C768" i="49"/>
  <c r="B768" i="49" s="1"/>
  <c r="S767" i="49"/>
  <c r="R767" i="49"/>
  <c r="P767" i="49"/>
  <c r="O767" i="49"/>
  <c r="M767" i="49"/>
  <c r="L767" i="49"/>
  <c r="J767" i="49"/>
  <c r="I767" i="49"/>
  <c r="G767" i="49"/>
  <c r="F767" i="49"/>
  <c r="Q766" i="49"/>
  <c r="N766" i="49"/>
  <c r="K766" i="49"/>
  <c r="H766" i="49"/>
  <c r="E766" i="49"/>
  <c r="D766" i="49"/>
  <c r="C766" i="49"/>
  <c r="Q765" i="49"/>
  <c r="Q767" i="49" s="1"/>
  <c r="N765" i="49"/>
  <c r="N767" i="49" s="1"/>
  <c r="K765" i="49"/>
  <c r="K767" i="49" s="1"/>
  <c r="H765" i="49"/>
  <c r="H767" i="49" s="1"/>
  <c r="E765" i="49"/>
  <c r="E767" i="49" s="1"/>
  <c r="D765" i="49"/>
  <c r="D767" i="49" s="1"/>
  <c r="C765" i="49"/>
  <c r="B765" i="49" s="1"/>
  <c r="S764" i="49"/>
  <c r="S785" i="49" s="1"/>
  <c r="R764" i="49"/>
  <c r="R785" i="49" s="1"/>
  <c r="P764" i="49"/>
  <c r="P785" i="49" s="1"/>
  <c r="O764" i="49"/>
  <c r="O785" i="49" s="1"/>
  <c r="M764" i="49"/>
  <c r="M785" i="49" s="1"/>
  <c r="L764" i="49"/>
  <c r="L785" i="49" s="1"/>
  <c r="J764" i="49"/>
  <c r="J785" i="49" s="1"/>
  <c r="I764" i="49"/>
  <c r="I785" i="49" s="1"/>
  <c r="G764" i="49"/>
  <c r="G785" i="49" s="1"/>
  <c r="F764" i="49"/>
  <c r="F785" i="49" s="1"/>
  <c r="Q763" i="49"/>
  <c r="Q784" i="49" s="1"/>
  <c r="N763" i="49"/>
  <c r="N784" i="49" s="1"/>
  <c r="K763" i="49"/>
  <c r="K784" i="49" s="1"/>
  <c r="H763" i="49"/>
  <c r="H784" i="49" s="1"/>
  <c r="E763" i="49"/>
  <c r="E784" i="49" s="1"/>
  <c r="D763" i="49"/>
  <c r="D784" i="49" s="1"/>
  <c r="C763" i="49"/>
  <c r="B763" i="49" s="1"/>
  <c r="Q762" i="49"/>
  <c r="Q783" i="49" s="1"/>
  <c r="N762" i="49"/>
  <c r="N783" i="49" s="1"/>
  <c r="K762" i="49"/>
  <c r="K783" i="49" s="1"/>
  <c r="H762" i="49"/>
  <c r="H783" i="49" s="1"/>
  <c r="E762" i="49"/>
  <c r="E783" i="49" s="1"/>
  <c r="D762" i="49"/>
  <c r="D783" i="49" s="1"/>
  <c r="C762" i="49"/>
  <c r="B762" i="49" s="1"/>
  <c r="S757" i="49"/>
  <c r="R757" i="49"/>
  <c r="P757" i="49"/>
  <c r="O757" i="49"/>
  <c r="M757" i="49"/>
  <c r="L757" i="49"/>
  <c r="J757" i="49"/>
  <c r="I757" i="49"/>
  <c r="G757" i="49"/>
  <c r="F757" i="49"/>
  <c r="S756" i="49"/>
  <c r="R756" i="49"/>
  <c r="P756" i="49"/>
  <c r="O756" i="49"/>
  <c r="M756" i="49"/>
  <c r="L756" i="49"/>
  <c r="J756" i="49"/>
  <c r="I756" i="49"/>
  <c r="G756" i="49"/>
  <c r="F756" i="49"/>
  <c r="S755" i="49"/>
  <c r="R755" i="49"/>
  <c r="P755" i="49"/>
  <c r="O755" i="49"/>
  <c r="M755" i="49"/>
  <c r="L755" i="49"/>
  <c r="J755" i="49"/>
  <c r="I755" i="49"/>
  <c r="G755" i="49"/>
  <c r="F755" i="49"/>
  <c r="Q754" i="49"/>
  <c r="N754" i="49"/>
  <c r="K754" i="49"/>
  <c r="H754" i="49"/>
  <c r="E754" i="49"/>
  <c r="D754" i="49"/>
  <c r="C754" i="49"/>
  <c r="B754" i="49" s="1"/>
  <c r="Q753" i="49"/>
  <c r="Q755" i="49" s="1"/>
  <c r="N753" i="49"/>
  <c r="N755" i="49" s="1"/>
  <c r="K753" i="49"/>
  <c r="K755" i="49" s="1"/>
  <c r="H753" i="49"/>
  <c r="H755" i="49" s="1"/>
  <c r="E753" i="49"/>
  <c r="E755" i="49" s="1"/>
  <c r="D753" i="49"/>
  <c r="D755" i="49" s="1"/>
  <c r="C753" i="49"/>
  <c r="B753" i="49" s="1"/>
  <c r="B755" i="49" s="1"/>
  <c r="S752" i="49"/>
  <c r="R752" i="49"/>
  <c r="P752" i="49"/>
  <c r="O752" i="49"/>
  <c r="M752" i="49"/>
  <c r="L752" i="49"/>
  <c r="J752" i="49"/>
  <c r="I752" i="49"/>
  <c r="G752" i="49"/>
  <c r="F752" i="49"/>
  <c r="Q751" i="49"/>
  <c r="N751" i="49"/>
  <c r="K751" i="49"/>
  <c r="H751" i="49"/>
  <c r="E751" i="49"/>
  <c r="D751" i="49"/>
  <c r="C751" i="49"/>
  <c r="B751" i="49" s="1"/>
  <c r="Q750" i="49"/>
  <c r="Q752" i="49" s="1"/>
  <c r="N750" i="49"/>
  <c r="N752" i="49" s="1"/>
  <c r="K750" i="49"/>
  <c r="K752" i="49" s="1"/>
  <c r="H750" i="49"/>
  <c r="H752" i="49" s="1"/>
  <c r="E750" i="49"/>
  <c r="E752" i="49" s="1"/>
  <c r="D750" i="49"/>
  <c r="D752" i="49" s="1"/>
  <c r="C750" i="49"/>
  <c r="B750" i="49" s="1"/>
  <c r="B752" i="49" s="1"/>
  <c r="S749" i="49"/>
  <c r="R749" i="49"/>
  <c r="P749" i="49"/>
  <c r="O749" i="49"/>
  <c r="M749" i="49"/>
  <c r="L749" i="49"/>
  <c r="J749" i="49"/>
  <c r="I749" i="49"/>
  <c r="G749" i="49"/>
  <c r="F749" i="49"/>
  <c r="Q748" i="49"/>
  <c r="N748" i="49"/>
  <c r="K748" i="49"/>
  <c r="H748" i="49"/>
  <c r="E748" i="49"/>
  <c r="D748" i="49"/>
  <c r="C748" i="49"/>
  <c r="Q747" i="49"/>
  <c r="Q749" i="49" s="1"/>
  <c r="N747" i="49"/>
  <c r="N749" i="49" s="1"/>
  <c r="K747" i="49"/>
  <c r="K749" i="49" s="1"/>
  <c r="H747" i="49"/>
  <c r="H749" i="49" s="1"/>
  <c r="E747" i="49"/>
  <c r="E749" i="49" s="1"/>
  <c r="D747" i="49"/>
  <c r="D749" i="49" s="1"/>
  <c r="C747" i="49"/>
  <c r="B747" i="49" s="1"/>
  <c r="S746" i="49"/>
  <c r="R746" i="49"/>
  <c r="P746" i="49"/>
  <c r="O746" i="49"/>
  <c r="M746" i="49"/>
  <c r="L746" i="49"/>
  <c r="J746" i="49"/>
  <c r="I746" i="49"/>
  <c r="G746" i="49"/>
  <c r="F746" i="49"/>
  <c r="Q745" i="49"/>
  <c r="N745" i="49"/>
  <c r="K745" i="49"/>
  <c r="H745" i="49"/>
  <c r="E745" i="49"/>
  <c r="D745" i="49"/>
  <c r="C745" i="49"/>
  <c r="Q744" i="49"/>
  <c r="Q746" i="49" s="1"/>
  <c r="N744" i="49"/>
  <c r="N746" i="49" s="1"/>
  <c r="K744" i="49"/>
  <c r="K746" i="49" s="1"/>
  <c r="H744" i="49"/>
  <c r="H746" i="49" s="1"/>
  <c r="E744" i="49"/>
  <c r="E746" i="49" s="1"/>
  <c r="D744" i="49"/>
  <c r="D746" i="49" s="1"/>
  <c r="C744" i="49"/>
  <c r="B744" i="49" s="1"/>
  <c r="S743" i="49"/>
  <c r="R743" i="49"/>
  <c r="P743" i="49"/>
  <c r="O743" i="49"/>
  <c r="M743" i="49"/>
  <c r="L743" i="49"/>
  <c r="J743" i="49"/>
  <c r="I743" i="49"/>
  <c r="G743" i="49"/>
  <c r="F743" i="49"/>
  <c r="Q742" i="49"/>
  <c r="N742" i="49"/>
  <c r="K742" i="49"/>
  <c r="H742" i="49"/>
  <c r="E742" i="49"/>
  <c r="D742" i="49"/>
  <c r="C742" i="49"/>
  <c r="Q741" i="49"/>
  <c r="Q743" i="49" s="1"/>
  <c r="N741" i="49"/>
  <c r="N743" i="49" s="1"/>
  <c r="K741" i="49"/>
  <c r="K743" i="49" s="1"/>
  <c r="H741" i="49"/>
  <c r="H743" i="49" s="1"/>
  <c r="E741" i="49"/>
  <c r="E743" i="49" s="1"/>
  <c r="D741" i="49"/>
  <c r="D743" i="49" s="1"/>
  <c r="C741" i="49"/>
  <c r="B741" i="49" s="1"/>
  <c r="S740" i="49"/>
  <c r="R740" i="49"/>
  <c r="P740" i="49"/>
  <c r="O740" i="49"/>
  <c r="M740" i="49"/>
  <c r="L740" i="49"/>
  <c r="J740" i="49"/>
  <c r="I740" i="49"/>
  <c r="G740" i="49"/>
  <c r="F740" i="49"/>
  <c r="Q739" i="49"/>
  <c r="N739" i="49"/>
  <c r="K739" i="49"/>
  <c r="H739" i="49"/>
  <c r="E739" i="49"/>
  <c r="D739" i="49"/>
  <c r="C739" i="49"/>
  <c r="Q738" i="49"/>
  <c r="Q740" i="49" s="1"/>
  <c r="N738" i="49"/>
  <c r="N740" i="49" s="1"/>
  <c r="K738" i="49"/>
  <c r="K740" i="49" s="1"/>
  <c r="H738" i="49"/>
  <c r="H740" i="49" s="1"/>
  <c r="E738" i="49"/>
  <c r="E740" i="49" s="1"/>
  <c r="D738" i="49"/>
  <c r="D740" i="49" s="1"/>
  <c r="C738" i="49"/>
  <c r="B738" i="49" s="1"/>
  <c r="S737" i="49"/>
  <c r="R737" i="49"/>
  <c r="Q737" i="49" s="1"/>
  <c r="P737" i="49"/>
  <c r="O737" i="49"/>
  <c r="M737" i="49"/>
  <c r="L737" i="49"/>
  <c r="K737" i="49"/>
  <c r="J737" i="49"/>
  <c r="I737" i="49"/>
  <c r="H737" i="49" s="1"/>
  <c r="G737" i="49"/>
  <c r="F737" i="49"/>
  <c r="E737" i="49" s="1"/>
  <c r="Q736" i="49"/>
  <c r="N736" i="49"/>
  <c r="K736" i="49"/>
  <c r="H736" i="49"/>
  <c r="E736" i="49"/>
  <c r="D736" i="49"/>
  <c r="C736" i="49"/>
  <c r="B736" i="49" s="1"/>
  <c r="Q735" i="49"/>
  <c r="N735" i="49"/>
  <c r="K735" i="49"/>
  <c r="H735" i="49"/>
  <c r="E735" i="49"/>
  <c r="D735" i="49"/>
  <c r="D737" i="49" s="1"/>
  <c r="C735" i="49"/>
  <c r="S734" i="49"/>
  <c r="S758" i="49" s="1"/>
  <c r="R734" i="49"/>
  <c r="R758" i="49" s="1"/>
  <c r="P734" i="49"/>
  <c r="P758" i="49" s="1"/>
  <c r="O734" i="49"/>
  <c r="O758" i="49" s="1"/>
  <c r="M734" i="49"/>
  <c r="M758" i="49" s="1"/>
  <c r="L734" i="49"/>
  <c r="L758" i="49" s="1"/>
  <c r="J734" i="49"/>
  <c r="J758" i="49" s="1"/>
  <c r="I734" i="49"/>
  <c r="I758" i="49" s="1"/>
  <c r="G734" i="49"/>
  <c r="G758" i="49" s="1"/>
  <c r="F734" i="49"/>
  <c r="F758" i="49" s="1"/>
  <c r="Q733" i="49"/>
  <c r="Q757" i="49" s="1"/>
  <c r="N733" i="49"/>
  <c r="N757" i="49" s="1"/>
  <c r="K733" i="49"/>
  <c r="K757" i="49" s="1"/>
  <c r="H733" i="49"/>
  <c r="H757" i="49" s="1"/>
  <c r="E733" i="49"/>
  <c r="E757" i="49" s="1"/>
  <c r="D733" i="49"/>
  <c r="D757" i="49" s="1"/>
  <c r="C733" i="49"/>
  <c r="C757" i="49" s="1"/>
  <c r="Q732" i="49"/>
  <c r="Q756" i="49" s="1"/>
  <c r="N732" i="49"/>
  <c r="N756" i="49" s="1"/>
  <c r="K732" i="49"/>
  <c r="K756" i="49" s="1"/>
  <c r="H732" i="49"/>
  <c r="H756" i="49" s="1"/>
  <c r="E732" i="49"/>
  <c r="E756" i="49" s="1"/>
  <c r="D732" i="49"/>
  <c r="D756" i="49" s="1"/>
  <c r="C732" i="49"/>
  <c r="C756" i="49" s="1"/>
  <c r="S727" i="49"/>
  <c r="R727" i="49"/>
  <c r="P727" i="49"/>
  <c r="O727" i="49"/>
  <c r="M727" i="49"/>
  <c r="L727" i="49"/>
  <c r="J727" i="49"/>
  <c r="I727" i="49"/>
  <c r="G727" i="49"/>
  <c r="F727" i="49"/>
  <c r="S726" i="49"/>
  <c r="R726" i="49"/>
  <c r="P726" i="49"/>
  <c r="O726" i="49"/>
  <c r="M726" i="49"/>
  <c r="L726" i="49"/>
  <c r="J726" i="49"/>
  <c r="I726" i="49"/>
  <c r="G726" i="49"/>
  <c r="F726" i="49"/>
  <c r="S725" i="49"/>
  <c r="R725" i="49"/>
  <c r="P725" i="49"/>
  <c r="O725" i="49"/>
  <c r="M725" i="49"/>
  <c r="L725" i="49"/>
  <c r="J725" i="49"/>
  <c r="I725" i="49"/>
  <c r="G725" i="49"/>
  <c r="F725" i="49"/>
  <c r="Q724" i="49"/>
  <c r="N724" i="49"/>
  <c r="K724" i="49"/>
  <c r="H724" i="49"/>
  <c r="E724" i="49"/>
  <c r="D724" i="49"/>
  <c r="C724" i="49"/>
  <c r="B724" i="49" s="1"/>
  <c r="Q723" i="49"/>
  <c r="Q725" i="49" s="1"/>
  <c r="N723" i="49"/>
  <c r="N725" i="49" s="1"/>
  <c r="K723" i="49"/>
  <c r="K725" i="49" s="1"/>
  <c r="H723" i="49"/>
  <c r="H725" i="49" s="1"/>
  <c r="E723" i="49"/>
  <c r="E725" i="49" s="1"/>
  <c r="D723" i="49"/>
  <c r="D725" i="49" s="1"/>
  <c r="C723" i="49"/>
  <c r="B723" i="49" s="1"/>
  <c r="S722" i="49"/>
  <c r="R722" i="49"/>
  <c r="P722" i="49"/>
  <c r="O722" i="49"/>
  <c r="M722" i="49"/>
  <c r="L722" i="49"/>
  <c r="J722" i="49"/>
  <c r="I722" i="49"/>
  <c r="G722" i="49"/>
  <c r="F722" i="49"/>
  <c r="Q721" i="49"/>
  <c r="N721" i="49"/>
  <c r="K721" i="49"/>
  <c r="H721" i="49"/>
  <c r="E721" i="49"/>
  <c r="D721" i="49"/>
  <c r="C721" i="49"/>
  <c r="B721" i="49" s="1"/>
  <c r="Q720" i="49"/>
  <c r="Q722" i="49" s="1"/>
  <c r="N720" i="49"/>
  <c r="N722" i="49" s="1"/>
  <c r="K720" i="49"/>
  <c r="K722" i="49" s="1"/>
  <c r="H720" i="49"/>
  <c r="H722" i="49" s="1"/>
  <c r="E720" i="49"/>
  <c r="E722" i="49" s="1"/>
  <c r="D720" i="49"/>
  <c r="D722" i="49" s="1"/>
  <c r="C720" i="49"/>
  <c r="B720" i="49" s="1"/>
  <c r="S719" i="49"/>
  <c r="R719" i="49"/>
  <c r="P719" i="49"/>
  <c r="O719" i="49"/>
  <c r="M719" i="49"/>
  <c r="L719" i="49"/>
  <c r="J719" i="49"/>
  <c r="I719" i="49"/>
  <c r="G719" i="49"/>
  <c r="F719" i="49"/>
  <c r="Q718" i="49"/>
  <c r="N718" i="49"/>
  <c r="K718" i="49"/>
  <c r="H718" i="49"/>
  <c r="E718" i="49"/>
  <c r="D718" i="49"/>
  <c r="C718" i="49"/>
  <c r="B718" i="49" s="1"/>
  <c r="Q717" i="49"/>
  <c r="Q719" i="49" s="1"/>
  <c r="N717" i="49"/>
  <c r="N719" i="49" s="1"/>
  <c r="K717" i="49"/>
  <c r="K719" i="49" s="1"/>
  <c r="H717" i="49"/>
  <c r="H719" i="49" s="1"/>
  <c r="E717" i="49"/>
  <c r="E719" i="49" s="1"/>
  <c r="D717" i="49"/>
  <c r="D719" i="49" s="1"/>
  <c r="C717" i="49"/>
  <c r="S716" i="49"/>
  <c r="R716" i="49"/>
  <c r="P716" i="49"/>
  <c r="O716" i="49"/>
  <c r="M716" i="49"/>
  <c r="L716" i="49"/>
  <c r="J716" i="49"/>
  <c r="I716" i="49"/>
  <c r="G716" i="49"/>
  <c r="F716" i="49"/>
  <c r="Q715" i="49"/>
  <c r="N715" i="49"/>
  <c r="K715" i="49"/>
  <c r="H715" i="49"/>
  <c r="E715" i="49"/>
  <c r="D715" i="49"/>
  <c r="C715" i="49"/>
  <c r="B715" i="49" s="1"/>
  <c r="Q714" i="49"/>
  <c r="Q716" i="49" s="1"/>
  <c r="N714" i="49"/>
  <c r="N716" i="49" s="1"/>
  <c r="K714" i="49"/>
  <c r="K716" i="49" s="1"/>
  <c r="H714" i="49"/>
  <c r="H716" i="49" s="1"/>
  <c r="E714" i="49"/>
  <c r="E716" i="49" s="1"/>
  <c r="D714" i="49"/>
  <c r="D716" i="49" s="1"/>
  <c r="C714" i="49"/>
  <c r="S713" i="49"/>
  <c r="R713" i="49"/>
  <c r="P713" i="49"/>
  <c r="O713" i="49"/>
  <c r="M713" i="49"/>
  <c r="L713" i="49"/>
  <c r="J713" i="49"/>
  <c r="I713" i="49"/>
  <c r="G713" i="49"/>
  <c r="F713" i="49"/>
  <c r="Q712" i="49"/>
  <c r="N712" i="49"/>
  <c r="K712" i="49"/>
  <c r="H712" i="49"/>
  <c r="E712" i="49"/>
  <c r="D712" i="49"/>
  <c r="C712" i="49"/>
  <c r="B712" i="49" s="1"/>
  <c r="Q711" i="49"/>
  <c r="Q713" i="49" s="1"/>
  <c r="N711" i="49"/>
  <c r="N713" i="49" s="1"/>
  <c r="K711" i="49"/>
  <c r="K713" i="49" s="1"/>
  <c r="H711" i="49"/>
  <c r="H713" i="49" s="1"/>
  <c r="E711" i="49"/>
  <c r="E713" i="49" s="1"/>
  <c r="D711" i="49"/>
  <c r="D713" i="49" s="1"/>
  <c r="C711" i="49"/>
  <c r="S710" i="49"/>
  <c r="R710" i="49"/>
  <c r="P710" i="49"/>
  <c r="O710" i="49"/>
  <c r="M710" i="49"/>
  <c r="L710" i="49"/>
  <c r="J710" i="49"/>
  <c r="I710" i="49"/>
  <c r="G710" i="49"/>
  <c r="F710" i="49"/>
  <c r="Q709" i="49"/>
  <c r="N709" i="49"/>
  <c r="K709" i="49"/>
  <c r="H709" i="49"/>
  <c r="E709" i="49"/>
  <c r="D709" i="49"/>
  <c r="C709" i="49"/>
  <c r="B709" i="49" s="1"/>
  <c r="Q708" i="49"/>
  <c r="Q710" i="49" s="1"/>
  <c r="N708" i="49"/>
  <c r="N710" i="49" s="1"/>
  <c r="K708" i="49"/>
  <c r="K710" i="49" s="1"/>
  <c r="H708" i="49"/>
  <c r="H710" i="49" s="1"/>
  <c r="E708" i="49"/>
  <c r="E710" i="49" s="1"/>
  <c r="D708" i="49"/>
  <c r="D710" i="49" s="1"/>
  <c r="C708" i="49"/>
  <c r="S707" i="49"/>
  <c r="S728" i="49" s="1"/>
  <c r="R707" i="49"/>
  <c r="R728" i="49" s="1"/>
  <c r="P707" i="49"/>
  <c r="P728" i="49" s="1"/>
  <c r="O707" i="49"/>
  <c r="O728" i="49" s="1"/>
  <c r="M707" i="49"/>
  <c r="M728" i="49" s="1"/>
  <c r="L707" i="49"/>
  <c r="L728" i="49" s="1"/>
  <c r="J707" i="49"/>
  <c r="J728" i="49" s="1"/>
  <c r="I707" i="49"/>
  <c r="I728" i="49" s="1"/>
  <c r="G707" i="49"/>
  <c r="G728" i="49" s="1"/>
  <c r="F707" i="49"/>
  <c r="F728" i="49" s="1"/>
  <c r="Q706" i="49"/>
  <c r="Q727" i="49" s="1"/>
  <c r="N706" i="49"/>
  <c r="N727" i="49" s="1"/>
  <c r="K706" i="49"/>
  <c r="K727" i="49" s="1"/>
  <c r="H706" i="49"/>
  <c r="H727" i="49" s="1"/>
  <c r="E706" i="49"/>
  <c r="E727" i="49" s="1"/>
  <c r="D706" i="49"/>
  <c r="D727" i="49" s="1"/>
  <c r="C706" i="49"/>
  <c r="B706" i="49" s="1"/>
  <c r="B727" i="49" s="1"/>
  <c r="Q705" i="49"/>
  <c r="Q726" i="49" s="1"/>
  <c r="N705" i="49"/>
  <c r="N726" i="49" s="1"/>
  <c r="K705" i="49"/>
  <c r="K726" i="49" s="1"/>
  <c r="H705" i="49"/>
  <c r="H726" i="49" s="1"/>
  <c r="E705" i="49"/>
  <c r="E726" i="49" s="1"/>
  <c r="D705" i="49"/>
  <c r="D726" i="49" s="1"/>
  <c r="C705" i="49"/>
  <c r="B705" i="49" s="1"/>
  <c r="S700" i="49"/>
  <c r="R700" i="49"/>
  <c r="P700" i="49"/>
  <c r="O700" i="49"/>
  <c r="M700" i="49"/>
  <c r="L700" i="49"/>
  <c r="J700" i="49"/>
  <c r="I700" i="49"/>
  <c r="G700" i="49"/>
  <c r="F700" i="49"/>
  <c r="S699" i="49"/>
  <c r="R699" i="49"/>
  <c r="P699" i="49"/>
  <c r="O699" i="49"/>
  <c r="M699" i="49"/>
  <c r="L699" i="49"/>
  <c r="J699" i="49"/>
  <c r="I699" i="49"/>
  <c r="G699" i="49"/>
  <c r="F699" i="49"/>
  <c r="S698" i="49"/>
  <c r="R698" i="49"/>
  <c r="P698" i="49"/>
  <c r="O698" i="49"/>
  <c r="M698" i="49"/>
  <c r="L698" i="49"/>
  <c r="J698" i="49"/>
  <c r="I698" i="49"/>
  <c r="G698" i="49"/>
  <c r="F698" i="49"/>
  <c r="Q697" i="49"/>
  <c r="N697" i="49"/>
  <c r="K697" i="49"/>
  <c r="H697" i="49"/>
  <c r="E697" i="49"/>
  <c r="D697" i="49"/>
  <c r="C697" i="49"/>
  <c r="B697" i="49" s="1"/>
  <c r="Q696" i="49"/>
  <c r="Q698" i="49" s="1"/>
  <c r="N696" i="49"/>
  <c r="N698" i="49" s="1"/>
  <c r="K696" i="49"/>
  <c r="K698" i="49" s="1"/>
  <c r="H696" i="49"/>
  <c r="H698" i="49" s="1"/>
  <c r="E696" i="49"/>
  <c r="E698" i="49" s="1"/>
  <c r="D696" i="49"/>
  <c r="D698" i="49" s="1"/>
  <c r="C696" i="49"/>
  <c r="B696" i="49" s="1"/>
  <c r="B698" i="49" s="1"/>
  <c r="S695" i="49"/>
  <c r="R695" i="49"/>
  <c r="P695" i="49"/>
  <c r="O695" i="49"/>
  <c r="M695" i="49"/>
  <c r="L695" i="49"/>
  <c r="J695" i="49"/>
  <c r="I695" i="49"/>
  <c r="G695" i="49"/>
  <c r="F695" i="49"/>
  <c r="Q694" i="49"/>
  <c r="N694" i="49"/>
  <c r="K694" i="49"/>
  <c r="H694" i="49"/>
  <c r="E694" i="49"/>
  <c r="D694" i="49"/>
  <c r="C694" i="49"/>
  <c r="B694" i="49" s="1"/>
  <c r="Q693" i="49"/>
  <c r="Q695" i="49" s="1"/>
  <c r="N693" i="49"/>
  <c r="N695" i="49" s="1"/>
  <c r="K693" i="49"/>
  <c r="K695" i="49" s="1"/>
  <c r="H693" i="49"/>
  <c r="H695" i="49" s="1"/>
  <c r="E693" i="49"/>
  <c r="E695" i="49" s="1"/>
  <c r="D693" i="49"/>
  <c r="D695" i="49" s="1"/>
  <c r="C693" i="49"/>
  <c r="B693" i="49" s="1"/>
  <c r="B695" i="49" s="1"/>
  <c r="S692" i="49"/>
  <c r="R692" i="49"/>
  <c r="P692" i="49"/>
  <c r="O692" i="49"/>
  <c r="M692" i="49"/>
  <c r="L692" i="49"/>
  <c r="J692" i="49"/>
  <c r="I692" i="49"/>
  <c r="G692" i="49"/>
  <c r="F692" i="49"/>
  <c r="Q691" i="49"/>
  <c r="N691" i="49"/>
  <c r="K691" i="49"/>
  <c r="H691" i="49"/>
  <c r="E691" i="49"/>
  <c r="D691" i="49"/>
  <c r="C691" i="49"/>
  <c r="B691" i="49" s="1"/>
  <c r="Q690" i="49"/>
  <c r="Q692" i="49" s="1"/>
  <c r="N690" i="49"/>
  <c r="N692" i="49" s="1"/>
  <c r="K690" i="49"/>
  <c r="K692" i="49" s="1"/>
  <c r="H690" i="49"/>
  <c r="H692" i="49" s="1"/>
  <c r="E690" i="49"/>
  <c r="E692" i="49" s="1"/>
  <c r="D690" i="49"/>
  <c r="D692" i="49" s="1"/>
  <c r="C690" i="49"/>
  <c r="B690" i="49" s="1"/>
  <c r="B692" i="49" s="1"/>
  <c r="S689" i="49"/>
  <c r="R689" i="49"/>
  <c r="P689" i="49"/>
  <c r="O689" i="49"/>
  <c r="M689" i="49"/>
  <c r="L689" i="49"/>
  <c r="J689" i="49"/>
  <c r="I689" i="49"/>
  <c r="G689" i="49"/>
  <c r="F689" i="49"/>
  <c r="Q688" i="49"/>
  <c r="N688" i="49"/>
  <c r="K688" i="49"/>
  <c r="H688" i="49"/>
  <c r="E688" i="49"/>
  <c r="D688" i="49"/>
  <c r="C688" i="49"/>
  <c r="B688" i="49" s="1"/>
  <c r="Q687" i="49"/>
  <c r="Q689" i="49" s="1"/>
  <c r="N687" i="49"/>
  <c r="N689" i="49" s="1"/>
  <c r="K687" i="49"/>
  <c r="K689" i="49" s="1"/>
  <c r="H687" i="49"/>
  <c r="H689" i="49" s="1"/>
  <c r="E687" i="49"/>
  <c r="E689" i="49" s="1"/>
  <c r="D687" i="49"/>
  <c r="D689" i="49" s="1"/>
  <c r="C687" i="49"/>
  <c r="B687" i="49" s="1"/>
  <c r="B689" i="49" s="1"/>
  <c r="S686" i="49"/>
  <c r="R686" i="49"/>
  <c r="P686" i="49"/>
  <c r="O686" i="49"/>
  <c r="M686" i="49"/>
  <c r="L686" i="49"/>
  <c r="J686" i="49"/>
  <c r="I686" i="49"/>
  <c r="G686" i="49"/>
  <c r="F686" i="49"/>
  <c r="Q685" i="49"/>
  <c r="N685" i="49"/>
  <c r="K685" i="49"/>
  <c r="H685" i="49"/>
  <c r="E685" i="49"/>
  <c r="D685" i="49"/>
  <c r="C685" i="49"/>
  <c r="B685" i="49" s="1"/>
  <c r="Q684" i="49"/>
  <c r="Q686" i="49" s="1"/>
  <c r="N684" i="49"/>
  <c r="N686" i="49" s="1"/>
  <c r="K684" i="49"/>
  <c r="K686" i="49" s="1"/>
  <c r="H684" i="49"/>
  <c r="H686" i="49" s="1"/>
  <c r="E684" i="49"/>
  <c r="E686" i="49" s="1"/>
  <c r="D684" i="49"/>
  <c r="D686" i="49" s="1"/>
  <c r="C684" i="49"/>
  <c r="B684" i="49" s="1"/>
  <c r="B686" i="49" s="1"/>
  <c r="S683" i="49"/>
  <c r="R683" i="49"/>
  <c r="P683" i="49"/>
  <c r="O683" i="49"/>
  <c r="M683" i="49"/>
  <c r="L683" i="49"/>
  <c r="J683" i="49"/>
  <c r="I683" i="49"/>
  <c r="G683" i="49"/>
  <c r="F683" i="49"/>
  <c r="Q682" i="49"/>
  <c r="N682" i="49"/>
  <c r="K682" i="49"/>
  <c r="H682" i="49"/>
  <c r="E682" i="49"/>
  <c r="D682" i="49"/>
  <c r="C682" i="49"/>
  <c r="B682" i="49" s="1"/>
  <c r="Q681" i="49"/>
  <c r="Q683" i="49" s="1"/>
  <c r="N681" i="49"/>
  <c r="N683" i="49" s="1"/>
  <c r="K681" i="49"/>
  <c r="K683" i="49" s="1"/>
  <c r="H681" i="49"/>
  <c r="H683" i="49" s="1"/>
  <c r="E681" i="49"/>
  <c r="E683" i="49" s="1"/>
  <c r="D681" i="49"/>
  <c r="D683" i="49" s="1"/>
  <c r="C681" i="49"/>
  <c r="B681" i="49" s="1"/>
  <c r="B683" i="49" s="1"/>
  <c r="S680" i="49"/>
  <c r="R680" i="49"/>
  <c r="P680" i="49"/>
  <c r="O680" i="49"/>
  <c r="M680" i="49"/>
  <c r="L680" i="49"/>
  <c r="J680" i="49"/>
  <c r="I680" i="49"/>
  <c r="G680" i="49"/>
  <c r="F680" i="49"/>
  <c r="Q679" i="49"/>
  <c r="N679" i="49"/>
  <c r="K679" i="49"/>
  <c r="H679" i="49"/>
  <c r="E679" i="49"/>
  <c r="D679" i="49"/>
  <c r="C679" i="49"/>
  <c r="B679" i="49" s="1"/>
  <c r="Q678" i="49"/>
  <c r="Q680" i="49" s="1"/>
  <c r="N678" i="49"/>
  <c r="N680" i="49" s="1"/>
  <c r="K678" i="49"/>
  <c r="K680" i="49" s="1"/>
  <c r="H678" i="49"/>
  <c r="H680" i="49" s="1"/>
  <c r="E678" i="49"/>
  <c r="E680" i="49" s="1"/>
  <c r="D678" i="49"/>
  <c r="D680" i="49" s="1"/>
  <c r="C678" i="49"/>
  <c r="S677" i="49"/>
  <c r="S701" i="49" s="1"/>
  <c r="R677" i="49"/>
  <c r="R701" i="49" s="1"/>
  <c r="P677" i="49"/>
  <c r="P701" i="49" s="1"/>
  <c r="O677" i="49"/>
  <c r="O701" i="49" s="1"/>
  <c r="M677" i="49"/>
  <c r="M701" i="49" s="1"/>
  <c r="L677" i="49"/>
  <c r="L701" i="49" s="1"/>
  <c r="J677" i="49"/>
  <c r="J701" i="49" s="1"/>
  <c r="I677" i="49"/>
  <c r="I701" i="49" s="1"/>
  <c r="G677" i="49"/>
  <c r="G701" i="49" s="1"/>
  <c r="F677" i="49"/>
  <c r="F701" i="49" s="1"/>
  <c r="Q676" i="49"/>
  <c r="Q700" i="49" s="1"/>
  <c r="N676" i="49"/>
  <c r="N700" i="49" s="1"/>
  <c r="K676" i="49"/>
  <c r="K700" i="49" s="1"/>
  <c r="H676" i="49"/>
  <c r="H700" i="49" s="1"/>
  <c r="E676" i="49"/>
  <c r="E700" i="49" s="1"/>
  <c r="D676" i="49"/>
  <c r="D700" i="49" s="1"/>
  <c r="C676" i="49"/>
  <c r="B676" i="49" s="1"/>
  <c r="B700" i="49" s="1"/>
  <c r="Q675" i="49"/>
  <c r="Q699" i="49" s="1"/>
  <c r="N675" i="49"/>
  <c r="N699" i="49" s="1"/>
  <c r="K675" i="49"/>
  <c r="K699" i="49" s="1"/>
  <c r="H675" i="49"/>
  <c r="H699" i="49" s="1"/>
  <c r="E675" i="49"/>
  <c r="E699" i="49" s="1"/>
  <c r="D675" i="49"/>
  <c r="D699" i="49" s="1"/>
  <c r="C675" i="49"/>
  <c r="S670" i="49"/>
  <c r="R670" i="49"/>
  <c r="P670" i="49"/>
  <c r="O670" i="49"/>
  <c r="M670" i="49"/>
  <c r="L670" i="49"/>
  <c r="J670" i="49"/>
  <c r="I670" i="49"/>
  <c r="G670" i="49"/>
  <c r="F670" i="49"/>
  <c r="S669" i="49"/>
  <c r="R669" i="49"/>
  <c r="P669" i="49"/>
  <c r="O669" i="49"/>
  <c r="M669" i="49"/>
  <c r="L669" i="49"/>
  <c r="J669" i="49"/>
  <c r="I669" i="49"/>
  <c r="G669" i="49"/>
  <c r="F669" i="49"/>
  <c r="S668" i="49"/>
  <c r="R668" i="49"/>
  <c r="P668" i="49"/>
  <c r="O668" i="49"/>
  <c r="M668" i="49"/>
  <c r="L668" i="49"/>
  <c r="J668" i="49"/>
  <c r="I668" i="49"/>
  <c r="G668" i="49"/>
  <c r="F668" i="49"/>
  <c r="Q667" i="49"/>
  <c r="N667" i="49"/>
  <c r="K667" i="49"/>
  <c r="H667" i="49"/>
  <c r="E667" i="49"/>
  <c r="D667" i="49"/>
  <c r="C667" i="49"/>
  <c r="B667" i="49" s="1"/>
  <c r="Q666" i="49"/>
  <c r="Q668" i="49" s="1"/>
  <c r="N666" i="49"/>
  <c r="N668" i="49" s="1"/>
  <c r="K666" i="49"/>
  <c r="K668" i="49" s="1"/>
  <c r="H666" i="49"/>
  <c r="H668" i="49" s="1"/>
  <c r="E666" i="49"/>
  <c r="E668" i="49" s="1"/>
  <c r="D666" i="49"/>
  <c r="D668" i="49" s="1"/>
  <c r="C666" i="49"/>
  <c r="S665" i="49"/>
  <c r="R665" i="49"/>
  <c r="P665" i="49"/>
  <c r="O665" i="49"/>
  <c r="M665" i="49"/>
  <c r="L665" i="49"/>
  <c r="J665" i="49"/>
  <c r="I665" i="49"/>
  <c r="G665" i="49"/>
  <c r="F665" i="49"/>
  <c r="Q664" i="49"/>
  <c r="N664" i="49"/>
  <c r="K664" i="49"/>
  <c r="H664" i="49"/>
  <c r="E664" i="49"/>
  <c r="D664" i="49"/>
  <c r="C664" i="49"/>
  <c r="B664" i="49" s="1"/>
  <c r="Q663" i="49"/>
  <c r="Q665" i="49" s="1"/>
  <c r="N663" i="49"/>
  <c r="N665" i="49" s="1"/>
  <c r="K663" i="49"/>
  <c r="K665" i="49" s="1"/>
  <c r="H663" i="49"/>
  <c r="H665" i="49" s="1"/>
  <c r="E663" i="49"/>
  <c r="E665" i="49" s="1"/>
  <c r="D663" i="49"/>
  <c r="D665" i="49" s="1"/>
  <c r="C663" i="49"/>
  <c r="S662" i="49"/>
  <c r="R662" i="49"/>
  <c r="P662" i="49"/>
  <c r="O662" i="49"/>
  <c r="M662" i="49"/>
  <c r="L662" i="49"/>
  <c r="J662" i="49"/>
  <c r="I662" i="49"/>
  <c r="G662" i="49"/>
  <c r="F662" i="49"/>
  <c r="Q661" i="49"/>
  <c r="N661" i="49"/>
  <c r="K661" i="49"/>
  <c r="H661" i="49"/>
  <c r="E661" i="49"/>
  <c r="D661" i="49"/>
  <c r="C661" i="49"/>
  <c r="B661" i="49" s="1"/>
  <c r="Q660" i="49"/>
  <c r="Q662" i="49" s="1"/>
  <c r="N660" i="49"/>
  <c r="N662" i="49" s="1"/>
  <c r="K660" i="49"/>
  <c r="K662" i="49" s="1"/>
  <c r="H660" i="49"/>
  <c r="H662" i="49" s="1"/>
  <c r="E660" i="49"/>
  <c r="E662" i="49" s="1"/>
  <c r="D660" i="49"/>
  <c r="D662" i="49" s="1"/>
  <c r="C660" i="49"/>
  <c r="S659" i="49"/>
  <c r="R659" i="49"/>
  <c r="P659" i="49"/>
  <c r="O659" i="49"/>
  <c r="M659" i="49"/>
  <c r="L659" i="49"/>
  <c r="J659" i="49"/>
  <c r="I659" i="49"/>
  <c r="G659" i="49"/>
  <c r="F659" i="49"/>
  <c r="Q658" i="49"/>
  <c r="N658" i="49"/>
  <c r="K658" i="49"/>
  <c r="H658" i="49"/>
  <c r="E658" i="49"/>
  <c r="D658" i="49"/>
  <c r="C658" i="49"/>
  <c r="B658" i="49" s="1"/>
  <c r="Q657" i="49"/>
  <c r="Q659" i="49" s="1"/>
  <c r="N657" i="49"/>
  <c r="N659" i="49" s="1"/>
  <c r="K657" i="49"/>
  <c r="K659" i="49" s="1"/>
  <c r="H657" i="49"/>
  <c r="H659" i="49" s="1"/>
  <c r="E657" i="49"/>
  <c r="E659" i="49" s="1"/>
  <c r="D657" i="49"/>
  <c r="D659" i="49" s="1"/>
  <c r="C657" i="49"/>
  <c r="S656" i="49"/>
  <c r="R656" i="49"/>
  <c r="P656" i="49"/>
  <c r="O656" i="49"/>
  <c r="M656" i="49"/>
  <c r="L656" i="49"/>
  <c r="J656" i="49"/>
  <c r="I656" i="49"/>
  <c r="G656" i="49"/>
  <c r="F656" i="49"/>
  <c r="Q655" i="49"/>
  <c r="N655" i="49"/>
  <c r="K655" i="49"/>
  <c r="H655" i="49"/>
  <c r="E655" i="49"/>
  <c r="D655" i="49"/>
  <c r="C655" i="49"/>
  <c r="B655" i="49" s="1"/>
  <c r="Q654" i="49"/>
  <c r="Q656" i="49" s="1"/>
  <c r="N654" i="49"/>
  <c r="N656" i="49" s="1"/>
  <c r="K654" i="49"/>
  <c r="K656" i="49" s="1"/>
  <c r="H654" i="49"/>
  <c r="H656" i="49" s="1"/>
  <c r="E654" i="49"/>
  <c r="E656" i="49" s="1"/>
  <c r="D654" i="49"/>
  <c r="D656" i="49" s="1"/>
  <c r="C654" i="49"/>
  <c r="S653" i="49"/>
  <c r="R653" i="49"/>
  <c r="P653" i="49"/>
  <c r="O653" i="49"/>
  <c r="M653" i="49"/>
  <c r="L653" i="49"/>
  <c r="J653" i="49"/>
  <c r="I653" i="49"/>
  <c r="G653" i="49"/>
  <c r="F653" i="49"/>
  <c r="Q652" i="49"/>
  <c r="N652" i="49"/>
  <c r="K652" i="49"/>
  <c r="H652" i="49"/>
  <c r="E652" i="49"/>
  <c r="D652" i="49"/>
  <c r="C652" i="49"/>
  <c r="B652" i="49" s="1"/>
  <c r="Q651" i="49"/>
  <c r="Q653" i="49" s="1"/>
  <c r="N651" i="49"/>
  <c r="N653" i="49" s="1"/>
  <c r="K651" i="49"/>
  <c r="K653" i="49" s="1"/>
  <c r="H651" i="49"/>
  <c r="H653" i="49" s="1"/>
  <c r="E651" i="49"/>
  <c r="E653" i="49" s="1"/>
  <c r="D651" i="49"/>
  <c r="D653" i="49" s="1"/>
  <c r="C651" i="49"/>
  <c r="S650" i="49"/>
  <c r="R650" i="49"/>
  <c r="P650" i="49"/>
  <c r="O650" i="49"/>
  <c r="M650" i="49"/>
  <c r="L650" i="49"/>
  <c r="J650" i="49"/>
  <c r="I650" i="49"/>
  <c r="G650" i="49"/>
  <c r="F650" i="49"/>
  <c r="Q649" i="49"/>
  <c r="N649" i="49"/>
  <c r="K649" i="49"/>
  <c r="H649" i="49"/>
  <c r="E649" i="49"/>
  <c r="D649" i="49"/>
  <c r="C649" i="49"/>
  <c r="B649" i="49" s="1"/>
  <c r="Q648" i="49"/>
  <c r="Q650" i="49" s="1"/>
  <c r="N648" i="49"/>
  <c r="N650" i="49" s="1"/>
  <c r="K648" i="49"/>
  <c r="K650" i="49" s="1"/>
  <c r="H648" i="49"/>
  <c r="H650" i="49" s="1"/>
  <c r="E648" i="49"/>
  <c r="E650" i="49" s="1"/>
  <c r="D648" i="49"/>
  <c r="D650" i="49" s="1"/>
  <c r="C648" i="49"/>
  <c r="S647" i="49"/>
  <c r="R647" i="49"/>
  <c r="P647" i="49"/>
  <c r="O647" i="49"/>
  <c r="M647" i="49"/>
  <c r="L647" i="49"/>
  <c r="J647" i="49"/>
  <c r="I647" i="49"/>
  <c r="G647" i="49"/>
  <c r="F647" i="49"/>
  <c r="Q646" i="49"/>
  <c r="N646" i="49"/>
  <c r="K646" i="49"/>
  <c r="H646" i="49"/>
  <c r="E646" i="49"/>
  <c r="D646" i="49"/>
  <c r="C646" i="49"/>
  <c r="B646" i="49" s="1"/>
  <c r="Q645" i="49"/>
  <c r="Q647" i="49" s="1"/>
  <c r="N645" i="49"/>
  <c r="N647" i="49" s="1"/>
  <c r="K645" i="49"/>
  <c r="K647" i="49" s="1"/>
  <c r="H645" i="49"/>
  <c r="H647" i="49" s="1"/>
  <c r="E645" i="49"/>
  <c r="E647" i="49" s="1"/>
  <c r="D645" i="49"/>
  <c r="D647" i="49" s="1"/>
  <c r="C645" i="49"/>
  <c r="S644" i="49"/>
  <c r="R644" i="49"/>
  <c r="P644" i="49"/>
  <c r="O644" i="49"/>
  <c r="M644" i="49"/>
  <c r="L644" i="49"/>
  <c r="J644" i="49"/>
  <c r="I644" i="49"/>
  <c r="G644" i="49"/>
  <c r="F644" i="49"/>
  <c r="Q643" i="49"/>
  <c r="N643" i="49"/>
  <c r="K643" i="49"/>
  <c r="H643" i="49"/>
  <c r="E643" i="49"/>
  <c r="D643" i="49"/>
  <c r="C643" i="49"/>
  <c r="B643" i="49" s="1"/>
  <c r="Q642" i="49"/>
  <c r="Q644" i="49" s="1"/>
  <c r="N642" i="49"/>
  <c r="N644" i="49" s="1"/>
  <c r="K642" i="49"/>
  <c r="K644" i="49" s="1"/>
  <c r="H642" i="49"/>
  <c r="H644" i="49" s="1"/>
  <c r="E642" i="49"/>
  <c r="E644" i="49" s="1"/>
  <c r="D642" i="49"/>
  <c r="D644" i="49" s="1"/>
  <c r="C642" i="49"/>
  <c r="S641" i="49"/>
  <c r="S671" i="49" s="1"/>
  <c r="R641" i="49"/>
  <c r="R671" i="49" s="1"/>
  <c r="P641" i="49"/>
  <c r="P671" i="49" s="1"/>
  <c r="O641" i="49"/>
  <c r="O671" i="49" s="1"/>
  <c r="M641" i="49"/>
  <c r="M671" i="49" s="1"/>
  <c r="L641" i="49"/>
  <c r="L671" i="49" s="1"/>
  <c r="J641" i="49"/>
  <c r="J671" i="49" s="1"/>
  <c r="I641" i="49"/>
  <c r="I671" i="49" s="1"/>
  <c r="G641" i="49"/>
  <c r="G671" i="49" s="1"/>
  <c r="F641" i="49"/>
  <c r="F671" i="49" s="1"/>
  <c r="Q640" i="49"/>
  <c r="Q670" i="49" s="1"/>
  <c r="N640" i="49"/>
  <c r="N670" i="49" s="1"/>
  <c r="K640" i="49"/>
  <c r="K670" i="49" s="1"/>
  <c r="H640" i="49"/>
  <c r="H670" i="49" s="1"/>
  <c r="E640" i="49"/>
  <c r="E670" i="49" s="1"/>
  <c r="D640" i="49"/>
  <c r="D670" i="49" s="1"/>
  <c r="C640" i="49"/>
  <c r="B640" i="49" s="1"/>
  <c r="B670" i="49" s="1"/>
  <c r="Q639" i="49"/>
  <c r="Q669" i="49" s="1"/>
  <c r="N639" i="49"/>
  <c r="N669" i="49" s="1"/>
  <c r="K639" i="49"/>
  <c r="K669" i="49" s="1"/>
  <c r="H639" i="49"/>
  <c r="H669" i="49" s="1"/>
  <c r="E639" i="49"/>
  <c r="E669" i="49" s="1"/>
  <c r="D639" i="49"/>
  <c r="D669" i="49" s="1"/>
  <c r="C639" i="49"/>
  <c r="B639" i="49" s="1"/>
  <c r="S634" i="49"/>
  <c r="R634" i="49"/>
  <c r="P634" i="49"/>
  <c r="O634" i="49"/>
  <c r="M634" i="49"/>
  <c r="L634" i="49"/>
  <c r="J634" i="49"/>
  <c r="I634" i="49"/>
  <c r="G634" i="49"/>
  <c r="F634" i="49"/>
  <c r="S633" i="49"/>
  <c r="R633" i="49"/>
  <c r="P633" i="49"/>
  <c r="O633" i="49"/>
  <c r="M633" i="49"/>
  <c r="L633" i="49"/>
  <c r="J633" i="49"/>
  <c r="I633" i="49"/>
  <c r="G633" i="49"/>
  <c r="F633" i="49"/>
  <c r="S632" i="49"/>
  <c r="R632" i="49"/>
  <c r="P632" i="49"/>
  <c r="O632" i="49"/>
  <c r="M632" i="49"/>
  <c r="L632" i="49"/>
  <c r="J632" i="49"/>
  <c r="I632" i="49"/>
  <c r="G632" i="49"/>
  <c r="F632" i="49"/>
  <c r="Q631" i="49"/>
  <c r="N631" i="49"/>
  <c r="K631" i="49"/>
  <c r="H631" i="49"/>
  <c r="E631" i="49"/>
  <c r="D631" i="49"/>
  <c r="C631" i="49"/>
  <c r="B631" i="49" s="1"/>
  <c r="Q630" i="49"/>
  <c r="Q632" i="49" s="1"/>
  <c r="N630" i="49"/>
  <c r="N632" i="49" s="1"/>
  <c r="K630" i="49"/>
  <c r="K632" i="49" s="1"/>
  <c r="H630" i="49"/>
  <c r="H632" i="49" s="1"/>
  <c r="E630" i="49"/>
  <c r="E632" i="49" s="1"/>
  <c r="D630" i="49"/>
  <c r="D632" i="49" s="1"/>
  <c r="C630" i="49"/>
  <c r="B630" i="49" s="1"/>
  <c r="B632" i="49" s="1"/>
  <c r="S629" i="49"/>
  <c r="R629" i="49"/>
  <c r="P629" i="49"/>
  <c r="O629" i="49"/>
  <c r="M629" i="49"/>
  <c r="L629" i="49"/>
  <c r="J629" i="49"/>
  <c r="I629" i="49"/>
  <c r="G629" i="49"/>
  <c r="F629" i="49"/>
  <c r="Q628" i="49"/>
  <c r="N628" i="49"/>
  <c r="K628" i="49"/>
  <c r="H628" i="49"/>
  <c r="E628" i="49"/>
  <c r="D628" i="49"/>
  <c r="C628" i="49"/>
  <c r="B628" i="49" s="1"/>
  <c r="Q627" i="49"/>
  <c r="Q629" i="49" s="1"/>
  <c r="N627" i="49"/>
  <c r="N629" i="49" s="1"/>
  <c r="K627" i="49"/>
  <c r="K629" i="49" s="1"/>
  <c r="H627" i="49"/>
  <c r="H629" i="49" s="1"/>
  <c r="E627" i="49"/>
  <c r="E629" i="49" s="1"/>
  <c r="D627" i="49"/>
  <c r="D629" i="49" s="1"/>
  <c r="C627" i="49"/>
  <c r="S626" i="49"/>
  <c r="R626" i="49"/>
  <c r="P626" i="49"/>
  <c r="O626" i="49"/>
  <c r="M626" i="49"/>
  <c r="L626" i="49"/>
  <c r="J626" i="49"/>
  <c r="I626" i="49"/>
  <c r="G626" i="49"/>
  <c r="F626" i="49"/>
  <c r="Q625" i="49"/>
  <c r="N625" i="49"/>
  <c r="K625" i="49"/>
  <c r="H625" i="49"/>
  <c r="E625" i="49"/>
  <c r="D625" i="49"/>
  <c r="C625" i="49"/>
  <c r="B625" i="49" s="1"/>
  <c r="Q624" i="49"/>
  <c r="Q626" i="49" s="1"/>
  <c r="N624" i="49"/>
  <c r="N626" i="49" s="1"/>
  <c r="K624" i="49"/>
  <c r="K626" i="49" s="1"/>
  <c r="H624" i="49"/>
  <c r="H626" i="49" s="1"/>
  <c r="E624" i="49"/>
  <c r="E626" i="49" s="1"/>
  <c r="D624" i="49"/>
  <c r="D626" i="49" s="1"/>
  <c r="C624" i="49"/>
  <c r="S623" i="49"/>
  <c r="R623" i="49"/>
  <c r="P623" i="49"/>
  <c r="O623" i="49"/>
  <c r="M623" i="49"/>
  <c r="L623" i="49"/>
  <c r="J623" i="49"/>
  <c r="I623" i="49"/>
  <c r="G623" i="49"/>
  <c r="F623" i="49"/>
  <c r="Q622" i="49"/>
  <c r="N622" i="49"/>
  <c r="K622" i="49"/>
  <c r="H622" i="49"/>
  <c r="E622" i="49"/>
  <c r="D622" i="49"/>
  <c r="C622" i="49"/>
  <c r="B622" i="49" s="1"/>
  <c r="Q621" i="49"/>
  <c r="Q623" i="49" s="1"/>
  <c r="N621" i="49"/>
  <c r="N623" i="49" s="1"/>
  <c r="K621" i="49"/>
  <c r="K623" i="49" s="1"/>
  <c r="H621" i="49"/>
  <c r="H623" i="49" s="1"/>
  <c r="E621" i="49"/>
  <c r="E623" i="49" s="1"/>
  <c r="D621" i="49"/>
  <c r="D623" i="49" s="1"/>
  <c r="C621" i="49"/>
  <c r="S620" i="49"/>
  <c r="R620" i="49"/>
  <c r="P620" i="49"/>
  <c r="O620" i="49"/>
  <c r="M620" i="49"/>
  <c r="L620" i="49"/>
  <c r="J620" i="49"/>
  <c r="I620" i="49"/>
  <c r="G620" i="49"/>
  <c r="F620" i="49"/>
  <c r="Q619" i="49"/>
  <c r="N619" i="49"/>
  <c r="K619" i="49"/>
  <c r="H619" i="49"/>
  <c r="E619" i="49"/>
  <c r="D619" i="49"/>
  <c r="C619" i="49"/>
  <c r="B619" i="49" s="1"/>
  <c r="Q618" i="49"/>
  <c r="Q620" i="49" s="1"/>
  <c r="N618" i="49"/>
  <c r="N620" i="49" s="1"/>
  <c r="K618" i="49"/>
  <c r="K620" i="49" s="1"/>
  <c r="H618" i="49"/>
  <c r="H620" i="49" s="1"/>
  <c r="E618" i="49"/>
  <c r="E620" i="49" s="1"/>
  <c r="D618" i="49"/>
  <c r="D620" i="49" s="1"/>
  <c r="C618" i="49"/>
  <c r="S617" i="49"/>
  <c r="R617" i="49"/>
  <c r="P617" i="49"/>
  <c r="O617" i="49"/>
  <c r="M617" i="49"/>
  <c r="L617" i="49"/>
  <c r="J617" i="49"/>
  <c r="I617" i="49"/>
  <c r="G617" i="49"/>
  <c r="F617" i="49"/>
  <c r="Q616" i="49"/>
  <c r="N616" i="49"/>
  <c r="K616" i="49"/>
  <c r="H616" i="49"/>
  <c r="E616" i="49"/>
  <c r="D616" i="49"/>
  <c r="C616" i="49"/>
  <c r="B616" i="49" s="1"/>
  <c r="Q615" i="49"/>
  <c r="Q617" i="49" s="1"/>
  <c r="N615" i="49"/>
  <c r="N617" i="49" s="1"/>
  <c r="K615" i="49"/>
  <c r="K617" i="49" s="1"/>
  <c r="H615" i="49"/>
  <c r="H617" i="49" s="1"/>
  <c r="E615" i="49"/>
  <c r="E617" i="49" s="1"/>
  <c r="D615" i="49"/>
  <c r="D617" i="49" s="1"/>
  <c r="C615" i="49"/>
  <c r="S614" i="49"/>
  <c r="S635" i="49" s="1"/>
  <c r="R614" i="49"/>
  <c r="R635" i="49" s="1"/>
  <c r="P614" i="49"/>
  <c r="P635" i="49" s="1"/>
  <c r="O614" i="49"/>
  <c r="O635" i="49" s="1"/>
  <c r="M614" i="49"/>
  <c r="M635" i="49" s="1"/>
  <c r="L614" i="49"/>
  <c r="L635" i="49" s="1"/>
  <c r="J614" i="49"/>
  <c r="J635" i="49" s="1"/>
  <c r="I614" i="49"/>
  <c r="I635" i="49" s="1"/>
  <c r="G614" i="49"/>
  <c r="G635" i="49" s="1"/>
  <c r="F614" i="49"/>
  <c r="F635" i="49" s="1"/>
  <c r="Q613" i="49"/>
  <c r="Q634" i="49" s="1"/>
  <c r="N613" i="49"/>
  <c r="N634" i="49" s="1"/>
  <c r="K613" i="49"/>
  <c r="K634" i="49" s="1"/>
  <c r="H613" i="49"/>
  <c r="H634" i="49" s="1"/>
  <c r="E613" i="49"/>
  <c r="E634" i="49" s="1"/>
  <c r="D613" i="49"/>
  <c r="D634" i="49" s="1"/>
  <c r="C613" i="49"/>
  <c r="B613" i="49" s="1"/>
  <c r="B634" i="49" s="1"/>
  <c r="Q612" i="49"/>
  <c r="Q633" i="49" s="1"/>
  <c r="N612" i="49"/>
  <c r="N633" i="49" s="1"/>
  <c r="K612" i="49"/>
  <c r="K633" i="49" s="1"/>
  <c r="H612" i="49"/>
  <c r="H633" i="49" s="1"/>
  <c r="E612" i="49"/>
  <c r="E633" i="49" s="1"/>
  <c r="D612" i="49"/>
  <c r="D633" i="49" s="1"/>
  <c r="C612" i="49"/>
  <c r="B612" i="49" s="1"/>
  <c r="S607" i="49"/>
  <c r="R607" i="49"/>
  <c r="P607" i="49"/>
  <c r="O607" i="49"/>
  <c r="M607" i="49"/>
  <c r="L607" i="49"/>
  <c r="J607" i="49"/>
  <c r="I607" i="49"/>
  <c r="G607" i="49"/>
  <c r="F607" i="49"/>
  <c r="S606" i="49"/>
  <c r="R606" i="49"/>
  <c r="P606" i="49"/>
  <c r="O606" i="49"/>
  <c r="M606" i="49"/>
  <c r="L606" i="49"/>
  <c r="J606" i="49"/>
  <c r="I606" i="49"/>
  <c r="G606" i="49"/>
  <c r="F606" i="49"/>
  <c r="S605" i="49"/>
  <c r="R605" i="49"/>
  <c r="P605" i="49"/>
  <c r="O605" i="49"/>
  <c r="M605" i="49"/>
  <c r="L605" i="49"/>
  <c r="J605" i="49"/>
  <c r="I605" i="49"/>
  <c r="G605" i="49"/>
  <c r="F605" i="49"/>
  <c r="Q604" i="49"/>
  <c r="N604" i="49"/>
  <c r="K604" i="49"/>
  <c r="H604" i="49"/>
  <c r="E604" i="49"/>
  <c r="D604" i="49"/>
  <c r="C604" i="49"/>
  <c r="B604" i="49" s="1"/>
  <c r="Q603" i="49"/>
  <c r="Q605" i="49" s="1"/>
  <c r="N603" i="49"/>
  <c r="N605" i="49" s="1"/>
  <c r="K603" i="49"/>
  <c r="K605" i="49" s="1"/>
  <c r="H603" i="49"/>
  <c r="H605" i="49" s="1"/>
  <c r="E603" i="49"/>
  <c r="E605" i="49" s="1"/>
  <c r="D603" i="49"/>
  <c r="D605" i="49" s="1"/>
  <c r="C603" i="49"/>
  <c r="B603" i="49" s="1"/>
  <c r="B605" i="49" s="1"/>
  <c r="S602" i="49"/>
  <c r="R602" i="49"/>
  <c r="P602" i="49"/>
  <c r="O602" i="49"/>
  <c r="M602" i="49"/>
  <c r="L602" i="49"/>
  <c r="J602" i="49"/>
  <c r="I602" i="49"/>
  <c r="G602" i="49"/>
  <c r="F602" i="49"/>
  <c r="Q601" i="49"/>
  <c r="N601" i="49"/>
  <c r="K601" i="49"/>
  <c r="H601" i="49"/>
  <c r="E601" i="49"/>
  <c r="D601" i="49"/>
  <c r="C601" i="49"/>
  <c r="B601" i="49" s="1"/>
  <c r="Q600" i="49"/>
  <c r="Q602" i="49" s="1"/>
  <c r="N600" i="49"/>
  <c r="N602" i="49" s="1"/>
  <c r="K600" i="49"/>
  <c r="K602" i="49" s="1"/>
  <c r="H600" i="49"/>
  <c r="H602" i="49" s="1"/>
  <c r="E600" i="49"/>
  <c r="E602" i="49" s="1"/>
  <c r="D600" i="49"/>
  <c r="D602" i="49" s="1"/>
  <c r="C600" i="49"/>
  <c r="S599" i="49"/>
  <c r="R599" i="49"/>
  <c r="P599" i="49"/>
  <c r="O599" i="49"/>
  <c r="M599" i="49"/>
  <c r="L599" i="49"/>
  <c r="J599" i="49"/>
  <c r="I599" i="49"/>
  <c r="G599" i="49"/>
  <c r="F599" i="49"/>
  <c r="Q598" i="49"/>
  <c r="N598" i="49"/>
  <c r="K598" i="49"/>
  <c r="H598" i="49"/>
  <c r="E598" i="49"/>
  <c r="D598" i="49"/>
  <c r="C598" i="49"/>
  <c r="B598" i="49" s="1"/>
  <c r="Q597" i="49"/>
  <c r="Q599" i="49" s="1"/>
  <c r="N597" i="49"/>
  <c r="N599" i="49" s="1"/>
  <c r="K597" i="49"/>
  <c r="K599" i="49" s="1"/>
  <c r="H597" i="49"/>
  <c r="H599" i="49" s="1"/>
  <c r="E597" i="49"/>
  <c r="E599" i="49" s="1"/>
  <c r="D597" i="49"/>
  <c r="D599" i="49" s="1"/>
  <c r="C597" i="49"/>
  <c r="S596" i="49"/>
  <c r="R596" i="49"/>
  <c r="P596" i="49"/>
  <c r="O596" i="49"/>
  <c r="M596" i="49"/>
  <c r="L596" i="49"/>
  <c r="J596" i="49"/>
  <c r="I596" i="49"/>
  <c r="G596" i="49"/>
  <c r="F596" i="49"/>
  <c r="Q595" i="49"/>
  <c r="N595" i="49"/>
  <c r="K595" i="49"/>
  <c r="H595" i="49"/>
  <c r="E595" i="49"/>
  <c r="D595" i="49"/>
  <c r="C595" i="49"/>
  <c r="B595" i="49" s="1"/>
  <c r="Q594" i="49"/>
  <c r="Q596" i="49" s="1"/>
  <c r="N594" i="49"/>
  <c r="N596" i="49" s="1"/>
  <c r="K594" i="49"/>
  <c r="K596" i="49" s="1"/>
  <c r="H594" i="49"/>
  <c r="H596" i="49" s="1"/>
  <c r="E594" i="49"/>
  <c r="E596" i="49" s="1"/>
  <c r="D594" i="49"/>
  <c r="D596" i="49" s="1"/>
  <c r="C594" i="49"/>
  <c r="B594" i="49" s="1"/>
  <c r="B596" i="49" s="1"/>
  <c r="S593" i="49"/>
  <c r="R593" i="49"/>
  <c r="P593" i="49"/>
  <c r="O593" i="49"/>
  <c r="M593" i="49"/>
  <c r="L593" i="49"/>
  <c r="J593" i="49"/>
  <c r="I593" i="49"/>
  <c r="G593" i="49"/>
  <c r="F593" i="49"/>
  <c r="Q592" i="49"/>
  <c r="N592" i="49"/>
  <c r="K592" i="49"/>
  <c r="H592" i="49"/>
  <c r="E592" i="49"/>
  <c r="D592" i="49"/>
  <c r="C592" i="49"/>
  <c r="B592" i="49" s="1"/>
  <c r="Q591" i="49"/>
  <c r="Q593" i="49" s="1"/>
  <c r="N591" i="49"/>
  <c r="N593" i="49" s="1"/>
  <c r="K591" i="49"/>
  <c r="K593" i="49" s="1"/>
  <c r="H591" i="49"/>
  <c r="H593" i="49" s="1"/>
  <c r="E591" i="49"/>
  <c r="E593" i="49" s="1"/>
  <c r="D591" i="49"/>
  <c r="D593" i="49" s="1"/>
  <c r="C591" i="49"/>
  <c r="B591" i="49" s="1"/>
  <c r="B593" i="49" s="1"/>
  <c r="S590" i="49"/>
  <c r="R590" i="49"/>
  <c r="P590" i="49"/>
  <c r="O590" i="49"/>
  <c r="M590" i="49"/>
  <c r="L590" i="49"/>
  <c r="J590" i="49"/>
  <c r="I590" i="49"/>
  <c r="G590" i="49"/>
  <c r="F590" i="49"/>
  <c r="Q589" i="49"/>
  <c r="N589" i="49"/>
  <c r="K589" i="49"/>
  <c r="H589" i="49"/>
  <c r="E589" i="49"/>
  <c r="D589" i="49"/>
  <c r="C589" i="49"/>
  <c r="B589" i="49" s="1"/>
  <c r="Q588" i="49"/>
  <c r="Q590" i="49" s="1"/>
  <c r="N588" i="49"/>
  <c r="N590" i="49" s="1"/>
  <c r="K588" i="49"/>
  <c r="K590" i="49" s="1"/>
  <c r="H588" i="49"/>
  <c r="H590" i="49" s="1"/>
  <c r="E588" i="49"/>
  <c r="E590" i="49" s="1"/>
  <c r="D588" i="49"/>
  <c r="D590" i="49" s="1"/>
  <c r="C588" i="49"/>
  <c r="B588" i="49" s="1"/>
  <c r="B590" i="49" s="1"/>
  <c r="S587" i="49"/>
  <c r="R587" i="49"/>
  <c r="P587" i="49"/>
  <c r="O587" i="49"/>
  <c r="M587" i="49"/>
  <c r="L587" i="49"/>
  <c r="J587" i="49"/>
  <c r="I587" i="49"/>
  <c r="G587" i="49"/>
  <c r="F587" i="49"/>
  <c r="Q586" i="49"/>
  <c r="N586" i="49"/>
  <c r="K586" i="49"/>
  <c r="H586" i="49"/>
  <c r="E586" i="49"/>
  <c r="D586" i="49"/>
  <c r="C586" i="49"/>
  <c r="B586" i="49" s="1"/>
  <c r="Q585" i="49"/>
  <c r="Q587" i="49" s="1"/>
  <c r="N585" i="49"/>
  <c r="N587" i="49" s="1"/>
  <c r="K585" i="49"/>
  <c r="K587" i="49" s="1"/>
  <c r="H585" i="49"/>
  <c r="H587" i="49" s="1"/>
  <c r="E585" i="49"/>
  <c r="E587" i="49" s="1"/>
  <c r="D585" i="49"/>
  <c r="D587" i="49" s="1"/>
  <c r="C585" i="49"/>
  <c r="B585" i="49" s="1"/>
  <c r="B587" i="49" s="1"/>
  <c r="S584" i="49"/>
  <c r="R584" i="49"/>
  <c r="P584" i="49"/>
  <c r="O584" i="49"/>
  <c r="M584" i="49"/>
  <c r="L584" i="49"/>
  <c r="J584" i="49"/>
  <c r="I584" i="49"/>
  <c r="G584" i="49"/>
  <c r="F584" i="49"/>
  <c r="Q583" i="49"/>
  <c r="N583" i="49"/>
  <c r="K583" i="49"/>
  <c r="H583" i="49"/>
  <c r="E583" i="49"/>
  <c r="D583" i="49"/>
  <c r="C583" i="49"/>
  <c r="B583" i="49" s="1"/>
  <c r="Q582" i="49"/>
  <c r="Q584" i="49" s="1"/>
  <c r="N582" i="49"/>
  <c r="N584" i="49" s="1"/>
  <c r="K582" i="49"/>
  <c r="K584" i="49" s="1"/>
  <c r="H582" i="49"/>
  <c r="H584" i="49" s="1"/>
  <c r="E582" i="49"/>
  <c r="E584" i="49" s="1"/>
  <c r="D582" i="49"/>
  <c r="D584" i="49" s="1"/>
  <c r="C582" i="49"/>
  <c r="S581" i="49"/>
  <c r="R581" i="49"/>
  <c r="P581" i="49"/>
  <c r="O581" i="49"/>
  <c r="M581" i="49"/>
  <c r="L581" i="49"/>
  <c r="J581" i="49"/>
  <c r="I581" i="49"/>
  <c r="G581" i="49"/>
  <c r="F581" i="49"/>
  <c r="Q580" i="49"/>
  <c r="N580" i="49"/>
  <c r="K580" i="49"/>
  <c r="H580" i="49"/>
  <c r="E580" i="49"/>
  <c r="D580" i="49"/>
  <c r="C580" i="49"/>
  <c r="B580" i="49" s="1"/>
  <c r="Q579" i="49"/>
  <c r="Q581" i="49" s="1"/>
  <c r="N579" i="49"/>
  <c r="N581" i="49" s="1"/>
  <c r="K579" i="49"/>
  <c r="K581" i="49" s="1"/>
  <c r="H579" i="49"/>
  <c r="H581" i="49" s="1"/>
  <c r="E579" i="49"/>
  <c r="E581" i="49" s="1"/>
  <c r="D579" i="49"/>
  <c r="D581" i="49" s="1"/>
  <c r="C579" i="49"/>
  <c r="S578" i="49"/>
  <c r="R578" i="49"/>
  <c r="P578" i="49"/>
  <c r="O578" i="49"/>
  <c r="M578" i="49"/>
  <c r="L578" i="49"/>
  <c r="J578" i="49"/>
  <c r="I578" i="49"/>
  <c r="G578" i="49"/>
  <c r="F578" i="49"/>
  <c r="Q577" i="49"/>
  <c r="N577" i="49"/>
  <c r="K577" i="49"/>
  <c r="H577" i="49"/>
  <c r="E577" i="49"/>
  <c r="D577" i="49"/>
  <c r="C577" i="49"/>
  <c r="B577" i="49" s="1"/>
  <c r="Q576" i="49"/>
  <c r="Q578" i="49" s="1"/>
  <c r="N576" i="49"/>
  <c r="N578" i="49" s="1"/>
  <c r="K576" i="49"/>
  <c r="K578" i="49" s="1"/>
  <c r="H576" i="49"/>
  <c r="H578" i="49" s="1"/>
  <c r="E576" i="49"/>
  <c r="E578" i="49" s="1"/>
  <c r="D576" i="49"/>
  <c r="D578" i="49" s="1"/>
  <c r="C576" i="49"/>
  <c r="S575" i="49"/>
  <c r="R575" i="49"/>
  <c r="P575" i="49"/>
  <c r="O575" i="49"/>
  <c r="M575" i="49"/>
  <c r="L575" i="49"/>
  <c r="J575" i="49"/>
  <c r="I575" i="49"/>
  <c r="G575" i="49"/>
  <c r="F575" i="49"/>
  <c r="Q574" i="49"/>
  <c r="N574" i="49"/>
  <c r="K574" i="49"/>
  <c r="H574" i="49"/>
  <c r="E574" i="49"/>
  <c r="D574" i="49"/>
  <c r="C574" i="49"/>
  <c r="B574" i="49" s="1"/>
  <c r="Q573" i="49"/>
  <c r="Q575" i="49" s="1"/>
  <c r="N573" i="49"/>
  <c r="N575" i="49" s="1"/>
  <c r="K573" i="49"/>
  <c r="K575" i="49" s="1"/>
  <c r="H573" i="49"/>
  <c r="H575" i="49" s="1"/>
  <c r="E573" i="49"/>
  <c r="E575" i="49" s="1"/>
  <c r="D573" i="49"/>
  <c r="D575" i="49" s="1"/>
  <c r="C573" i="49"/>
  <c r="S572" i="49"/>
  <c r="R572" i="49"/>
  <c r="P572" i="49"/>
  <c r="O572" i="49"/>
  <c r="M572" i="49"/>
  <c r="L572" i="49"/>
  <c r="J572" i="49"/>
  <c r="I572" i="49"/>
  <c r="G572" i="49"/>
  <c r="F572" i="49"/>
  <c r="Q571" i="49"/>
  <c r="N571" i="49"/>
  <c r="K571" i="49"/>
  <c r="H571" i="49"/>
  <c r="E571" i="49"/>
  <c r="D571" i="49"/>
  <c r="C571" i="49"/>
  <c r="B571" i="49" s="1"/>
  <c r="Q570" i="49"/>
  <c r="Q572" i="49" s="1"/>
  <c r="N570" i="49"/>
  <c r="N572" i="49" s="1"/>
  <c r="K570" i="49"/>
  <c r="K572" i="49" s="1"/>
  <c r="H570" i="49"/>
  <c r="H572" i="49" s="1"/>
  <c r="E570" i="49"/>
  <c r="E572" i="49" s="1"/>
  <c r="D570" i="49"/>
  <c r="D572" i="49" s="1"/>
  <c r="C570" i="49"/>
  <c r="S569" i="49"/>
  <c r="R569" i="49"/>
  <c r="P569" i="49"/>
  <c r="O569" i="49"/>
  <c r="M569" i="49"/>
  <c r="L569" i="49"/>
  <c r="J569" i="49"/>
  <c r="I569" i="49"/>
  <c r="G569" i="49"/>
  <c r="F569" i="49"/>
  <c r="Q568" i="49"/>
  <c r="N568" i="49"/>
  <c r="K568" i="49"/>
  <c r="H568" i="49"/>
  <c r="E568" i="49"/>
  <c r="D568" i="49"/>
  <c r="C568" i="49"/>
  <c r="B568" i="49" s="1"/>
  <c r="Q567" i="49"/>
  <c r="Q569" i="49" s="1"/>
  <c r="N567" i="49"/>
  <c r="N569" i="49" s="1"/>
  <c r="K567" i="49"/>
  <c r="K569" i="49" s="1"/>
  <c r="H567" i="49"/>
  <c r="H569" i="49" s="1"/>
  <c r="E567" i="49"/>
  <c r="E569" i="49" s="1"/>
  <c r="D567" i="49"/>
  <c r="D569" i="49" s="1"/>
  <c r="C567" i="49"/>
  <c r="S566" i="49"/>
  <c r="R566" i="49"/>
  <c r="P566" i="49"/>
  <c r="O566" i="49"/>
  <c r="M566" i="49"/>
  <c r="L566" i="49"/>
  <c r="J566" i="49"/>
  <c r="I566" i="49"/>
  <c r="G566" i="49"/>
  <c r="F566" i="49"/>
  <c r="Q565" i="49"/>
  <c r="N565" i="49"/>
  <c r="K565" i="49"/>
  <c r="H565" i="49"/>
  <c r="E565" i="49"/>
  <c r="D565" i="49"/>
  <c r="C565" i="49"/>
  <c r="B565" i="49" s="1"/>
  <c r="Q564" i="49"/>
  <c r="Q566" i="49" s="1"/>
  <c r="N564" i="49"/>
  <c r="N566" i="49" s="1"/>
  <c r="K564" i="49"/>
  <c r="K566" i="49" s="1"/>
  <c r="H564" i="49"/>
  <c r="H566" i="49" s="1"/>
  <c r="E564" i="49"/>
  <c r="E566" i="49" s="1"/>
  <c r="D564" i="49"/>
  <c r="D566" i="49" s="1"/>
  <c r="C564" i="49"/>
  <c r="C566" i="49" s="1"/>
  <c r="S563" i="49"/>
  <c r="S608" i="49" s="1"/>
  <c r="R563" i="49"/>
  <c r="R608" i="49" s="1"/>
  <c r="P563" i="49"/>
  <c r="P608" i="49" s="1"/>
  <c r="O563" i="49"/>
  <c r="O608" i="49" s="1"/>
  <c r="M563" i="49"/>
  <c r="M608" i="49" s="1"/>
  <c r="L563" i="49"/>
  <c r="L608" i="49" s="1"/>
  <c r="J563" i="49"/>
  <c r="J608" i="49" s="1"/>
  <c r="I563" i="49"/>
  <c r="I608" i="49" s="1"/>
  <c r="G563" i="49"/>
  <c r="G608" i="49" s="1"/>
  <c r="F563" i="49"/>
  <c r="F608" i="49" s="1"/>
  <c r="Q562" i="49"/>
  <c r="Q607" i="49" s="1"/>
  <c r="N562" i="49"/>
  <c r="N607" i="49" s="1"/>
  <c r="K562" i="49"/>
  <c r="K607" i="49" s="1"/>
  <c r="H562" i="49"/>
  <c r="H607" i="49" s="1"/>
  <c r="E562" i="49"/>
  <c r="E607" i="49" s="1"/>
  <c r="D562" i="49"/>
  <c r="D607" i="49" s="1"/>
  <c r="C562" i="49"/>
  <c r="C607" i="49" s="1"/>
  <c r="B562" i="49"/>
  <c r="Q561" i="49"/>
  <c r="Q606" i="49" s="1"/>
  <c r="N561" i="49"/>
  <c r="N606" i="49" s="1"/>
  <c r="K561" i="49"/>
  <c r="K606" i="49" s="1"/>
  <c r="H561" i="49"/>
  <c r="H606" i="49" s="1"/>
  <c r="E561" i="49"/>
  <c r="E606" i="49" s="1"/>
  <c r="D561" i="49"/>
  <c r="D606" i="49" s="1"/>
  <c r="C561" i="49"/>
  <c r="C606" i="49" s="1"/>
  <c r="S538" i="49"/>
  <c r="R538" i="49"/>
  <c r="P538" i="49"/>
  <c r="O538" i="49"/>
  <c r="M538" i="49"/>
  <c r="L538" i="49"/>
  <c r="J538" i="49"/>
  <c r="I538" i="49"/>
  <c r="G538" i="49"/>
  <c r="F538" i="49"/>
  <c r="S537" i="49"/>
  <c r="R537" i="49"/>
  <c r="P537" i="49"/>
  <c r="O537" i="49"/>
  <c r="M537" i="49"/>
  <c r="L537" i="49"/>
  <c r="J537" i="49"/>
  <c r="I537" i="49"/>
  <c r="G537" i="49"/>
  <c r="F537" i="49"/>
  <c r="S536" i="49"/>
  <c r="S539" i="49" s="1"/>
  <c r="R536" i="49"/>
  <c r="R539" i="49" s="1"/>
  <c r="P536" i="49"/>
  <c r="P539" i="49" s="1"/>
  <c r="O536" i="49"/>
  <c r="O539" i="49" s="1"/>
  <c r="M536" i="49"/>
  <c r="M539" i="49" s="1"/>
  <c r="L536" i="49"/>
  <c r="L539" i="49" s="1"/>
  <c r="J536" i="49"/>
  <c r="J539" i="49" s="1"/>
  <c r="I536" i="49"/>
  <c r="I539" i="49" s="1"/>
  <c r="G536" i="49"/>
  <c r="G539" i="49" s="1"/>
  <c r="F536" i="49"/>
  <c r="F539" i="49" s="1"/>
  <c r="Q535" i="49"/>
  <c r="Q538" i="49" s="1"/>
  <c r="N535" i="49"/>
  <c r="N538" i="49" s="1"/>
  <c r="K535" i="49"/>
  <c r="K538" i="49" s="1"/>
  <c r="H535" i="49"/>
  <c r="H538" i="49" s="1"/>
  <c r="E535" i="49"/>
  <c r="E538" i="49" s="1"/>
  <c r="D535" i="49"/>
  <c r="D538" i="49" s="1"/>
  <c r="C535" i="49"/>
  <c r="B535" i="49" s="1"/>
  <c r="B538" i="49" s="1"/>
  <c r="Q534" i="49"/>
  <c r="Q537" i="49" s="1"/>
  <c r="N534" i="49"/>
  <c r="N537" i="49" s="1"/>
  <c r="K534" i="49"/>
  <c r="K537" i="49" s="1"/>
  <c r="H534" i="49"/>
  <c r="H537" i="49" s="1"/>
  <c r="E534" i="49"/>
  <c r="E537" i="49" s="1"/>
  <c r="D534" i="49"/>
  <c r="D537" i="49" s="1"/>
  <c r="C534" i="49"/>
  <c r="S529" i="49"/>
  <c r="R529" i="49"/>
  <c r="P529" i="49"/>
  <c r="O529" i="49"/>
  <c r="M529" i="49"/>
  <c r="L529" i="49"/>
  <c r="J529" i="49"/>
  <c r="I529" i="49"/>
  <c r="G529" i="49"/>
  <c r="F529" i="49"/>
  <c r="S528" i="49"/>
  <c r="R528" i="49"/>
  <c r="P528" i="49"/>
  <c r="O528" i="49"/>
  <c r="M528" i="49"/>
  <c r="L528" i="49"/>
  <c r="J528" i="49"/>
  <c r="I528" i="49"/>
  <c r="G528" i="49"/>
  <c r="F528" i="49"/>
  <c r="S527" i="49"/>
  <c r="R527" i="49"/>
  <c r="P527" i="49"/>
  <c r="O527" i="49"/>
  <c r="M527" i="49"/>
  <c r="L527" i="49"/>
  <c r="J527" i="49"/>
  <c r="I527" i="49"/>
  <c r="G527" i="49"/>
  <c r="F527" i="49"/>
  <c r="Q526" i="49"/>
  <c r="N526" i="49"/>
  <c r="K526" i="49"/>
  <c r="H526" i="49"/>
  <c r="E526" i="49"/>
  <c r="D526" i="49"/>
  <c r="C526" i="49"/>
  <c r="B526" i="49" s="1"/>
  <c r="Q525" i="49"/>
  <c r="Q527" i="49" s="1"/>
  <c r="N525" i="49"/>
  <c r="N527" i="49" s="1"/>
  <c r="K525" i="49"/>
  <c r="K527" i="49" s="1"/>
  <c r="H525" i="49"/>
  <c r="H527" i="49" s="1"/>
  <c r="E525" i="49"/>
  <c r="E527" i="49" s="1"/>
  <c r="D525" i="49"/>
  <c r="D527" i="49" s="1"/>
  <c r="C525" i="49"/>
  <c r="C527" i="49" s="1"/>
  <c r="S524" i="49"/>
  <c r="R524" i="49"/>
  <c r="P524" i="49"/>
  <c r="O524" i="49"/>
  <c r="M524" i="49"/>
  <c r="L524" i="49"/>
  <c r="J524" i="49"/>
  <c r="I524" i="49"/>
  <c r="G524" i="49"/>
  <c r="F524" i="49"/>
  <c r="Q523" i="49"/>
  <c r="N523" i="49"/>
  <c r="K523" i="49"/>
  <c r="H523" i="49"/>
  <c r="E523" i="49"/>
  <c r="D523" i="49"/>
  <c r="C523" i="49"/>
  <c r="B523" i="49" s="1"/>
  <c r="Q522" i="49"/>
  <c r="Q524" i="49" s="1"/>
  <c r="N522" i="49"/>
  <c r="N524" i="49" s="1"/>
  <c r="K522" i="49"/>
  <c r="K524" i="49" s="1"/>
  <c r="H522" i="49"/>
  <c r="H524" i="49" s="1"/>
  <c r="E522" i="49"/>
  <c r="E524" i="49" s="1"/>
  <c r="D522" i="49"/>
  <c r="D524" i="49" s="1"/>
  <c r="C522" i="49"/>
  <c r="S521" i="49"/>
  <c r="R521" i="49"/>
  <c r="P521" i="49"/>
  <c r="O521" i="49"/>
  <c r="M521" i="49"/>
  <c r="L521" i="49"/>
  <c r="J521" i="49"/>
  <c r="I521" i="49"/>
  <c r="G521" i="49"/>
  <c r="F521" i="49"/>
  <c r="Q520" i="49"/>
  <c r="N520" i="49"/>
  <c r="K520" i="49"/>
  <c r="H520" i="49"/>
  <c r="E520" i="49"/>
  <c r="D520" i="49"/>
  <c r="C520" i="49"/>
  <c r="B520" i="49" s="1"/>
  <c r="Q519" i="49"/>
  <c r="Q521" i="49" s="1"/>
  <c r="N519" i="49"/>
  <c r="N521" i="49" s="1"/>
  <c r="K519" i="49"/>
  <c r="K521" i="49" s="1"/>
  <c r="H519" i="49"/>
  <c r="H521" i="49" s="1"/>
  <c r="E519" i="49"/>
  <c r="E521" i="49" s="1"/>
  <c r="D519" i="49"/>
  <c r="D521" i="49" s="1"/>
  <c r="C519" i="49"/>
  <c r="S518" i="49"/>
  <c r="R518" i="49"/>
  <c r="P518" i="49"/>
  <c r="O518" i="49"/>
  <c r="M518" i="49"/>
  <c r="L518" i="49"/>
  <c r="J518" i="49"/>
  <c r="I518" i="49"/>
  <c r="G518" i="49"/>
  <c r="F518" i="49"/>
  <c r="Q517" i="49"/>
  <c r="N517" i="49"/>
  <c r="K517" i="49"/>
  <c r="H517" i="49"/>
  <c r="E517" i="49"/>
  <c r="D517" i="49"/>
  <c r="C517" i="49"/>
  <c r="B517" i="49" s="1"/>
  <c r="Q516" i="49"/>
  <c r="Q518" i="49" s="1"/>
  <c r="N516" i="49"/>
  <c r="N518" i="49" s="1"/>
  <c r="K516" i="49"/>
  <c r="K518" i="49" s="1"/>
  <c r="H516" i="49"/>
  <c r="H518" i="49" s="1"/>
  <c r="E516" i="49"/>
  <c r="E518" i="49" s="1"/>
  <c r="D516" i="49"/>
  <c r="D518" i="49" s="1"/>
  <c r="C516" i="49"/>
  <c r="S515" i="49"/>
  <c r="R515" i="49"/>
  <c r="P515" i="49"/>
  <c r="O515" i="49"/>
  <c r="M515" i="49"/>
  <c r="L515" i="49"/>
  <c r="J515" i="49"/>
  <c r="I515" i="49"/>
  <c r="G515" i="49"/>
  <c r="F515" i="49"/>
  <c r="Q514" i="49"/>
  <c r="N514" i="49"/>
  <c r="K514" i="49"/>
  <c r="H514" i="49"/>
  <c r="E514" i="49"/>
  <c r="D514" i="49"/>
  <c r="C514" i="49"/>
  <c r="B514" i="49" s="1"/>
  <c r="Q513" i="49"/>
  <c r="Q515" i="49" s="1"/>
  <c r="N513" i="49"/>
  <c r="N515" i="49" s="1"/>
  <c r="K513" i="49"/>
  <c r="K515" i="49" s="1"/>
  <c r="H513" i="49"/>
  <c r="H515" i="49" s="1"/>
  <c r="E513" i="49"/>
  <c r="E515" i="49" s="1"/>
  <c r="D513" i="49"/>
  <c r="D515" i="49" s="1"/>
  <c r="C513" i="49"/>
  <c r="S512" i="49"/>
  <c r="R512" i="49"/>
  <c r="P512" i="49"/>
  <c r="O512" i="49"/>
  <c r="M512" i="49"/>
  <c r="L512" i="49"/>
  <c r="J512" i="49"/>
  <c r="I512" i="49"/>
  <c r="G512" i="49"/>
  <c r="F512" i="49"/>
  <c r="Q511" i="49"/>
  <c r="N511" i="49"/>
  <c r="K511" i="49"/>
  <c r="H511" i="49"/>
  <c r="E511" i="49"/>
  <c r="D511" i="49"/>
  <c r="C511" i="49"/>
  <c r="B511" i="49" s="1"/>
  <c r="Q510" i="49"/>
  <c r="Q512" i="49" s="1"/>
  <c r="N510" i="49"/>
  <c r="N512" i="49" s="1"/>
  <c r="K510" i="49"/>
  <c r="K512" i="49" s="1"/>
  <c r="H510" i="49"/>
  <c r="H512" i="49" s="1"/>
  <c r="E510" i="49"/>
  <c r="E512" i="49" s="1"/>
  <c r="D510" i="49"/>
  <c r="D512" i="49" s="1"/>
  <c r="C510" i="49"/>
  <c r="S509" i="49"/>
  <c r="S530" i="49" s="1"/>
  <c r="R509" i="49"/>
  <c r="R530" i="49" s="1"/>
  <c r="P509" i="49"/>
  <c r="P530" i="49" s="1"/>
  <c r="O509" i="49"/>
  <c r="O530" i="49" s="1"/>
  <c r="M509" i="49"/>
  <c r="M530" i="49" s="1"/>
  <c r="L509" i="49"/>
  <c r="L530" i="49" s="1"/>
  <c r="J509" i="49"/>
  <c r="J530" i="49" s="1"/>
  <c r="I509" i="49"/>
  <c r="I530" i="49" s="1"/>
  <c r="G509" i="49"/>
  <c r="G530" i="49" s="1"/>
  <c r="F509" i="49"/>
  <c r="F530" i="49" s="1"/>
  <c r="Q508" i="49"/>
  <c r="Q529" i="49" s="1"/>
  <c r="N508" i="49"/>
  <c r="N529" i="49" s="1"/>
  <c r="K508" i="49"/>
  <c r="K529" i="49" s="1"/>
  <c r="H508" i="49"/>
  <c r="H529" i="49" s="1"/>
  <c r="E508" i="49"/>
  <c r="E529" i="49" s="1"/>
  <c r="D508" i="49"/>
  <c r="D529" i="49" s="1"/>
  <c r="C508" i="49"/>
  <c r="B508" i="49" s="1"/>
  <c r="Q507" i="49"/>
  <c r="Q528" i="49" s="1"/>
  <c r="N507" i="49"/>
  <c r="N528" i="49" s="1"/>
  <c r="K507" i="49"/>
  <c r="K528" i="49" s="1"/>
  <c r="H507" i="49"/>
  <c r="H528" i="49" s="1"/>
  <c r="E507" i="49"/>
  <c r="E528" i="49" s="1"/>
  <c r="D507" i="49"/>
  <c r="D528" i="49" s="1"/>
  <c r="C507" i="49"/>
  <c r="B507" i="49" s="1"/>
  <c r="S502" i="49"/>
  <c r="R502" i="49"/>
  <c r="P502" i="49"/>
  <c r="O502" i="49"/>
  <c r="M502" i="49"/>
  <c r="L502" i="49"/>
  <c r="J502" i="49"/>
  <c r="I502" i="49"/>
  <c r="G502" i="49"/>
  <c r="F502" i="49"/>
  <c r="S501" i="49"/>
  <c r="R501" i="49"/>
  <c r="P501" i="49"/>
  <c r="O501" i="49"/>
  <c r="M501" i="49"/>
  <c r="L501" i="49"/>
  <c r="J501" i="49"/>
  <c r="I501" i="49"/>
  <c r="G501" i="49"/>
  <c r="F501" i="49"/>
  <c r="S500" i="49"/>
  <c r="R500" i="49"/>
  <c r="P500" i="49"/>
  <c r="O500" i="49"/>
  <c r="M500" i="49"/>
  <c r="L500" i="49"/>
  <c r="J500" i="49"/>
  <c r="I500" i="49"/>
  <c r="G500" i="49"/>
  <c r="F500" i="49"/>
  <c r="Q499" i="49"/>
  <c r="N499" i="49"/>
  <c r="K499" i="49"/>
  <c r="H499" i="49"/>
  <c r="E499" i="49"/>
  <c r="D499" i="49"/>
  <c r="C499" i="49"/>
  <c r="B499" i="49"/>
  <c r="Q498" i="49"/>
  <c r="Q500" i="49" s="1"/>
  <c r="N498" i="49"/>
  <c r="N500" i="49" s="1"/>
  <c r="K498" i="49"/>
  <c r="K500" i="49" s="1"/>
  <c r="H498" i="49"/>
  <c r="H500" i="49" s="1"/>
  <c r="E498" i="49"/>
  <c r="E500" i="49" s="1"/>
  <c r="D498" i="49"/>
  <c r="D500" i="49" s="1"/>
  <c r="C498" i="49"/>
  <c r="C500" i="49" s="1"/>
  <c r="B498" i="49"/>
  <c r="B500" i="49" s="1"/>
  <c r="S497" i="49"/>
  <c r="R497" i="49"/>
  <c r="P497" i="49"/>
  <c r="O497" i="49"/>
  <c r="M497" i="49"/>
  <c r="L497" i="49"/>
  <c r="J497" i="49"/>
  <c r="I497" i="49"/>
  <c r="G497" i="49"/>
  <c r="F497" i="49"/>
  <c r="Q496" i="49"/>
  <c r="N496" i="49"/>
  <c r="K496" i="49"/>
  <c r="H496" i="49"/>
  <c r="E496" i="49"/>
  <c r="D496" i="49"/>
  <c r="C496" i="49"/>
  <c r="B496" i="49" s="1"/>
  <c r="Q495" i="49"/>
  <c r="Q497" i="49" s="1"/>
  <c r="N495" i="49"/>
  <c r="N497" i="49" s="1"/>
  <c r="K495" i="49"/>
  <c r="K497" i="49" s="1"/>
  <c r="H495" i="49"/>
  <c r="H497" i="49" s="1"/>
  <c r="E495" i="49"/>
  <c r="E497" i="49" s="1"/>
  <c r="D495" i="49"/>
  <c r="D497" i="49" s="1"/>
  <c r="C495" i="49"/>
  <c r="C497" i="49" s="1"/>
  <c r="B495" i="49"/>
  <c r="S494" i="49"/>
  <c r="R494" i="49"/>
  <c r="P494" i="49"/>
  <c r="O494" i="49"/>
  <c r="M494" i="49"/>
  <c r="L494" i="49"/>
  <c r="J494" i="49"/>
  <c r="I494" i="49"/>
  <c r="G494" i="49"/>
  <c r="F494" i="49"/>
  <c r="Q493" i="49"/>
  <c r="N493" i="49"/>
  <c r="K493" i="49"/>
  <c r="H493" i="49"/>
  <c r="E493" i="49"/>
  <c r="D493" i="49"/>
  <c r="C493" i="49"/>
  <c r="B493" i="49"/>
  <c r="Q492" i="49"/>
  <c r="Q494" i="49" s="1"/>
  <c r="N492" i="49"/>
  <c r="N494" i="49" s="1"/>
  <c r="K492" i="49"/>
  <c r="K494" i="49" s="1"/>
  <c r="H492" i="49"/>
  <c r="H494" i="49" s="1"/>
  <c r="E492" i="49"/>
  <c r="E494" i="49" s="1"/>
  <c r="D492" i="49"/>
  <c r="D494" i="49" s="1"/>
  <c r="C492" i="49"/>
  <c r="C494" i="49" s="1"/>
  <c r="B492" i="49"/>
  <c r="B494" i="49" s="1"/>
  <c r="S491" i="49"/>
  <c r="R491" i="49"/>
  <c r="P491" i="49"/>
  <c r="O491" i="49"/>
  <c r="M491" i="49"/>
  <c r="L491" i="49"/>
  <c r="J491" i="49"/>
  <c r="I491" i="49"/>
  <c r="G491" i="49"/>
  <c r="F491" i="49"/>
  <c r="Q490" i="49"/>
  <c r="N490" i="49"/>
  <c r="K490" i="49"/>
  <c r="H490" i="49"/>
  <c r="E490" i="49"/>
  <c r="D490" i="49"/>
  <c r="C490" i="49"/>
  <c r="B490" i="49"/>
  <c r="Q489" i="49"/>
  <c r="Q491" i="49" s="1"/>
  <c r="N489" i="49"/>
  <c r="N491" i="49" s="1"/>
  <c r="K489" i="49"/>
  <c r="K491" i="49" s="1"/>
  <c r="H489" i="49"/>
  <c r="H491" i="49" s="1"/>
  <c r="E489" i="49"/>
  <c r="E491" i="49" s="1"/>
  <c r="D489" i="49"/>
  <c r="D491" i="49" s="1"/>
  <c r="C489" i="49"/>
  <c r="C491" i="49" s="1"/>
  <c r="B489" i="49"/>
  <c r="B491" i="49" s="1"/>
  <c r="S488" i="49"/>
  <c r="R488" i="49"/>
  <c r="P488" i="49"/>
  <c r="O488" i="49"/>
  <c r="M488" i="49"/>
  <c r="L488" i="49"/>
  <c r="J488" i="49"/>
  <c r="I488" i="49"/>
  <c r="G488" i="49"/>
  <c r="F488" i="49"/>
  <c r="Q487" i="49"/>
  <c r="N487" i="49"/>
  <c r="K487" i="49"/>
  <c r="H487" i="49"/>
  <c r="E487" i="49"/>
  <c r="D487" i="49"/>
  <c r="C487" i="49"/>
  <c r="B487" i="49"/>
  <c r="Q486" i="49"/>
  <c r="Q488" i="49" s="1"/>
  <c r="N486" i="49"/>
  <c r="N488" i="49" s="1"/>
  <c r="K486" i="49"/>
  <c r="K488" i="49" s="1"/>
  <c r="H486" i="49"/>
  <c r="H488" i="49" s="1"/>
  <c r="E486" i="49"/>
  <c r="E488" i="49" s="1"/>
  <c r="D486" i="49"/>
  <c r="D488" i="49" s="1"/>
  <c r="C486" i="49"/>
  <c r="C488" i="49" s="1"/>
  <c r="B486" i="49"/>
  <c r="B488" i="49" s="1"/>
  <c r="S485" i="49"/>
  <c r="R485" i="49"/>
  <c r="P485" i="49"/>
  <c r="O485" i="49"/>
  <c r="M485" i="49"/>
  <c r="L485" i="49"/>
  <c r="J485" i="49"/>
  <c r="I485" i="49"/>
  <c r="G485" i="49"/>
  <c r="F485" i="49"/>
  <c r="Q484" i="49"/>
  <c r="N484" i="49"/>
  <c r="K484" i="49"/>
  <c r="H484" i="49"/>
  <c r="E484" i="49"/>
  <c r="D484" i="49"/>
  <c r="C484" i="49"/>
  <c r="B484" i="49" s="1"/>
  <c r="Q483" i="49"/>
  <c r="Q485" i="49" s="1"/>
  <c r="N483" i="49"/>
  <c r="N485" i="49" s="1"/>
  <c r="K483" i="49"/>
  <c r="K485" i="49" s="1"/>
  <c r="H483" i="49"/>
  <c r="H485" i="49" s="1"/>
  <c r="E483" i="49"/>
  <c r="E485" i="49" s="1"/>
  <c r="D483" i="49"/>
  <c r="D485" i="49" s="1"/>
  <c r="C483" i="49"/>
  <c r="C485" i="49" s="1"/>
  <c r="B483" i="49"/>
  <c r="B485" i="49" s="1"/>
  <c r="S482" i="49"/>
  <c r="R482" i="49"/>
  <c r="P482" i="49"/>
  <c r="O482" i="49"/>
  <c r="M482" i="49"/>
  <c r="L482" i="49"/>
  <c r="J482" i="49"/>
  <c r="I482" i="49"/>
  <c r="G482" i="49"/>
  <c r="F482" i="49"/>
  <c r="Q481" i="49"/>
  <c r="N481" i="49"/>
  <c r="K481" i="49"/>
  <c r="H481" i="49"/>
  <c r="E481" i="49"/>
  <c r="D481" i="49"/>
  <c r="C481" i="49"/>
  <c r="Q480" i="49"/>
  <c r="Q482" i="49" s="1"/>
  <c r="N480" i="49"/>
  <c r="N482" i="49" s="1"/>
  <c r="K480" i="49"/>
  <c r="K482" i="49" s="1"/>
  <c r="H480" i="49"/>
  <c r="H482" i="49" s="1"/>
  <c r="E480" i="49"/>
  <c r="E482" i="49" s="1"/>
  <c r="D480" i="49"/>
  <c r="D482" i="49" s="1"/>
  <c r="C480" i="49"/>
  <c r="C482" i="49" s="1"/>
  <c r="S479" i="49"/>
  <c r="R479" i="49"/>
  <c r="P479" i="49"/>
  <c r="O479" i="49"/>
  <c r="M479" i="49"/>
  <c r="L479" i="49"/>
  <c r="J479" i="49"/>
  <c r="I479" i="49"/>
  <c r="G479" i="49"/>
  <c r="F479" i="49"/>
  <c r="Q478" i="49"/>
  <c r="N478" i="49"/>
  <c r="K478" i="49"/>
  <c r="H478" i="49"/>
  <c r="E478" i="49"/>
  <c r="D478" i="49"/>
  <c r="C478" i="49"/>
  <c r="B478" i="49" s="1"/>
  <c r="Q477" i="49"/>
  <c r="Q479" i="49" s="1"/>
  <c r="N477" i="49"/>
  <c r="N479" i="49" s="1"/>
  <c r="K477" i="49"/>
  <c r="K479" i="49" s="1"/>
  <c r="H477" i="49"/>
  <c r="H479" i="49" s="1"/>
  <c r="E477" i="49"/>
  <c r="E479" i="49" s="1"/>
  <c r="D477" i="49"/>
  <c r="D479" i="49" s="1"/>
  <c r="C477" i="49"/>
  <c r="C479" i="49" s="1"/>
  <c r="S476" i="49"/>
  <c r="R476" i="49"/>
  <c r="P476" i="49"/>
  <c r="O476" i="49"/>
  <c r="M476" i="49"/>
  <c r="L476" i="49"/>
  <c r="J476" i="49"/>
  <c r="I476" i="49"/>
  <c r="G476" i="49"/>
  <c r="F476" i="49"/>
  <c r="Q475" i="49"/>
  <c r="N475" i="49"/>
  <c r="K475" i="49"/>
  <c r="H475" i="49"/>
  <c r="E475" i="49"/>
  <c r="D475" i="49"/>
  <c r="C475" i="49"/>
  <c r="B475" i="49" s="1"/>
  <c r="Q474" i="49"/>
  <c r="Q476" i="49" s="1"/>
  <c r="N474" i="49"/>
  <c r="N476" i="49" s="1"/>
  <c r="K474" i="49"/>
  <c r="K476" i="49" s="1"/>
  <c r="H474" i="49"/>
  <c r="H476" i="49" s="1"/>
  <c r="E474" i="49"/>
  <c r="E476" i="49" s="1"/>
  <c r="D474" i="49"/>
  <c r="D476" i="49" s="1"/>
  <c r="C474" i="49"/>
  <c r="C476" i="49" s="1"/>
  <c r="S473" i="49"/>
  <c r="R473" i="49"/>
  <c r="P473" i="49"/>
  <c r="O473" i="49"/>
  <c r="M473" i="49"/>
  <c r="L473" i="49"/>
  <c r="J473" i="49"/>
  <c r="I473" i="49"/>
  <c r="G473" i="49"/>
  <c r="F473" i="49"/>
  <c r="Q472" i="49"/>
  <c r="N472" i="49"/>
  <c r="K472" i="49"/>
  <c r="H472" i="49"/>
  <c r="E472" i="49"/>
  <c r="D472" i="49"/>
  <c r="C472" i="49"/>
  <c r="B472" i="49" s="1"/>
  <c r="Q471" i="49"/>
  <c r="Q473" i="49" s="1"/>
  <c r="N471" i="49"/>
  <c r="N473" i="49" s="1"/>
  <c r="K471" i="49"/>
  <c r="K473" i="49" s="1"/>
  <c r="H471" i="49"/>
  <c r="H473" i="49" s="1"/>
  <c r="E471" i="49"/>
  <c r="E473" i="49" s="1"/>
  <c r="D471" i="49"/>
  <c r="D473" i="49" s="1"/>
  <c r="C471" i="49"/>
  <c r="C473" i="49" s="1"/>
  <c r="S470" i="49"/>
  <c r="R470" i="49"/>
  <c r="P470" i="49"/>
  <c r="O470" i="49"/>
  <c r="M470" i="49"/>
  <c r="L470" i="49"/>
  <c r="J470" i="49"/>
  <c r="I470" i="49"/>
  <c r="G470" i="49"/>
  <c r="F470" i="49"/>
  <c r="Q469" i="49"/>
  <c r="N469" i="49"/>
  <c r="K469" i="49"/>
  <c r="H469" i="49"/>
  <c r="E469" i="49"/>
  <c r="D469" i="49"/>
  <c r="C469" i="49"/>
  <c r="B469" i="49" s="1"/>
  <c r="Q468" i="49"/>
  <c r="Q470" i="49" s="1"/>
  <c r="N468" i="49"/>
  <c r="N470" i="49" s="1"/>
  <c r="K468" i="49"/>
  <c r="K470" i="49" s="1"/>
  <c r="H468" i="49"/>
  <c r="H470" i="49" s="1"/>
  <c r="E468" i="49"/>
  <c r="E470" i="49" s="1"/>
  <c r="D468" i="49"/>
  <c r="D470" i="49" s="1"/>
  <c r="C468" i="49"/>
  <c r="C470" i="49" s="1"/>
  <c r="S467" i="49"/>
  <c r="R467" i="49"/>
  <c r="P467" i="49"/>
  <c r="O467" i="49"/>
  <c r="M467" i="49"/>
  <c r="L467" i="49"/>
  <c r="J467" i="49"/>
  <c r="I467" i="49"/>
  <c r="G467" i="49"/>
  <c r="F467" i="49"/>
  <c r="Q466" i="49"/>
  <c r="N466" i="49"/>
  <c r="K466" i="49"/>
  <c r="H466" i="49"/>
  <c r="E466" i="49"/>
  <c r="D466" i="49"/>
  <c r="C466" i="49"/>
  <c r="B466" i="49" s="1"/>
  <c r="Q465" i="49"/>
  <c r="Q467" i="49" s="1"/>
  <c r="N465" i="49"/>
  <c r="N467" i="49" s="1"/>
  <c r="K465" i="49"/>
  <c r="K467" i="49" s="1"/>
  <c r="H465" i="49"/>
  <c r="H467" i="49" s="1"/>
  <c r="E465" i="49"/>
  <c r="E467" i="49" s="1"/>
  <c r="D465" i="49"/>
  <c r="D467" i="49" s="1"/>
  <c r="C465" i="49"/>
  <c r="C467" i="49" s="1"/>
  <c r="S464" i="49"/>
  <c r="R464" i="49"/>
  <c r="P464" i="49"/>
  <c r="O464" i="49"/>
  <c r="M464" i="49"/>
  <c r="L464" i="49"/>
  <c r="J464" i="49"/>
  <c r="I464" i="49"/>
  <c r="G464" i="49"/>
  <c r="F464" i="49"/>
  <c r="Q463" i="49"/>
  <c r="N463" i="49"/>
  <c r="K463" i="49"/>
  <c r="H463" i="49"/>
  <c r="E463" i="49"/>
  <c r="D463" i="49"/>
  <c r="C463" i="49"/>
  <c r="B463" i="49" s="1"/>
  <c r="Q462" i="49"/>
  <c r="Q464" i="49" s="1"/>
  <c r="N462" i="49"/>
  <c r="N464" i="49" s="1"/>
  <c r="K462" i="49"/>
  <c r="K464" i="49" s="1"/>
  <c r="H462" i="49"/>
  <c r="H464" i="49" s="1"/>
  <c r="E462" i="49"/>
  <c r="E464" i="49" s="1"/>
  <c r="D462" i="49"/>
  <c r="D464" i="49" s="1"/>
  <c r="C462" i="49"/>
  <c r="C464" i="49" s="1"/>
  <c r="S461" i="49"/>
  <c r="R461" i="49"/>
  <c r="P461" i="49"/>
  <c r="O461" i="49"/>
  <c r="M461" i="49"/>
  <c r="L461" i="49"/>
  <c r="J461" i="49"/>
  <c r="I461" i="49"/>
  <c r="G461" i="49"/>
  <c r="F461" i="49"/>
  <c r="Q460" i="49"/>
  <c r="N460" i="49"/>
  <c r="K460" i="49"/>
  <c r="H460" i="49"/>
  <c r="E460" i="49"/>
  <c r="D460" i="49"/>
  <c r="C460" i="49"/>
  <c r="B460" i="49" s="1"/>
  <c r="Q459" i="49"/>
  <c r="Q461" i="49" s="1"/>
  <c r="N459" i="49"/>
  <c r="N461" i="49" s="1"/>
  <c r="K459" i="49"/>
  <c r="K461" i="49" s="1"/>
  <c r="H459" i="49"/>
  <c r="H461" i="49" s="1"/>
  <c r="E459" i="49"/>
  <c r="E461" i="49" s="1"/>
  <c r="D459" i="49"/>
  <c r="D461" i="49" s="1"/>
  <c r="C459" i="49"/>
  <c r="C461" i="49" s="1"/>
  <c r="S458" i="49"/>
  <c r="R458" i="49"/>
  <c r="P458" i="49"/>
  <c r="O458" i="49"/>
  <c r="M458" i="49"/>
  <c r="L458" i="49"/>
  <c r="J458" i="49"/>
  <c r="I458" i="49"/>
  <c r="G458" i="49"/>
  <c r="F458" i="49"/>
  <c r="Q457" i="49"/>
  <c r="N457" i="49"/>
  <c r="K457" i="49"/>
  <c r="H457" i="49"/>
  <c r="E457" i="49"/>
  <c r="D457" i="49"/>
  <c r="C457" i="49"/>
  <c r="B457" i="49" s="1"/>
  <c r="Q456" i="49"/>
  <c r="Q458" i="49" s="1"/>
  <c r="N456" i="49"/>
  <c r="N458" i="49" s="1"/>
  <c r="K456" i="49"/>
  <c r="K458" i="49" s="1"/>
  <c r="H456" i="49"/>
  <c r="H458" i="49" s="1"/>
  <c r="E456" i="49"/>
  <c r="E458" i="49" s="1"/>
  <c r="D456" i="49"/>
  <c r="D458" i="49" s="1"/>
  <c r="C456" i="49"/>
  <c r="C458" i="49" s="1"/>
  <c r="S455" i="49"/>
  <c r="R455" i="49"/>
  <c r="P455" i="49"/>
  <c r="O455" i="49"/>
  <c r="M455" i="49"/>
  <c r="L455" i="49"/>
  <c r="J455" i="49"/>
  <c r="I455" i="49"/>
  <c r="G455" i="49"/>
  <c r="F455" i="49"/>
  <c r="Q454" i="49"/>
  <c r="N454" i="49"/>
  <c r="K454" i="49"/>
  <c r="H454" i="49"/>
  <c r="E454" i="49"/>
  <c r="D454" i="49"/>
  <c r="C454" i="49"/>
  <c r="B454" i="49" s="1"/>
  <c r="Q453" i="49"/>
  <c r="Q455" i="49" s="1"/>
  <c r="N453" i="49"/>
  <c r="N455" i="49" s="1"/>
  <c r="K453" i="49"/>
  <c r="K455" i="49" s="1"/>
  <c r="H453" i="49"/>
  <c r="H455" i="49" s="1"/>
  <c r="E453" i="49"/>
  <c r="E455" i="49" s="1"/>
  <c r="D453" i="49"/>
  <c r="D455" i="49" s="1"/>
  <c r="C453" i="49"/>
  <c r="C455" i="49" s="1"/>
  <c r="S452" i="49"/>
  <c r="R452" i="49"/>
  <c r="P452" i="49"/>
  <c r="O452" i="49"/>
  <c r="M452" i="49"/>
  <c r="L452" i="49"/>
  <c r="J452" i="49"/>
  <c r="I452" i="49"/>
  <c r="G452" i="49"/>
  <c r="F452" i="49"/>
  <c r="Q451" i="49"/>
  <c r="N451" i="49"/>
  <c r="K451" i="49"/>
  <c r="H451" i="49"/>
  <c r="E451" i="49"/>
  <c r="D451" i="49"/>
  <c r="C451" i="49"/>
  <c r="B451" i="49" s="1"/>
  <c r="Q450" i="49"/>
  <c r="Q452" i="49" s="1"/>
  <c r="N450" i="49"/>
  <c r="N452" i="49" s="1"/>
  <c r="K450" i="49"/>
  <c r="K452" i="49" s="1"/>
  <c r="H450" i="49"/>
  <c r="H452" i="49" s="1"/>
  <c r="E450" i="49"/>
  <c r="E452" i="49" s="1"/>
  <c r="D450" i="49"/>
  <c r="D452" i="49" s="1"/>
  <c r="C450" i="49"/>
  <c r="C452" i="49" s="1"/>
  <c r="S449" i="49"/>
  <c r="R449" i="49"/>
  <c r="P449" i="49"/>
  <c r="O449" i="49"/>
  <c r="M449" i="49"/>
  <c r="L449" i="49"/>
  <c r="J449" i="49"/>
  <c r="I449" i="49"/>
  <c r="G449" i="49"/>
  <c r="F449" i="49"/>
  <c r="Q448" i="49"/>
  <c r="N448" i="49"/>
  <c r="K448" i="49"/>
  <c r="H448" i="49"/>
  <c r="E448" i="49"/>
  <c r="D448" i="49"/>
  <c r="C448" i="49"/>
  <c r="B448" i="49" s="1"/>
  <c r="Q447" i="49"/>
  <c r="Q449" i="49" s="1"/>
  <c r="N447" i="49"/>
  <c r="N449" i="49" s="1"/>
  <c r="K447" i="49"/>
  <c r="K449" i="49" s="1"/>
  <c r="H447" i="49"/>
  <c r="H449" i="49" s="1"/>
  <c r="E447" i="49"/>
  <c r="E449" i="49" s="1"/>
  <c r="D447" i="49"/>
  <c r="D449" i="49" s="1"/>
  <c r="C447" i="49"/>
  <c r="C449" i="49" s="1"/>
  <c r="S446" i="49"/>
  <c r="R446" i="49"/>
  <c r="P446" i="49"/>
  <c r="O446" i="49"/>
  <c r="M446" i="49"/>
  <c r="L446" i="49"/>
  <c r="J446" i="49"/>
  <c r="I446" i="49"/>
  <c r="G446" i="49"/>
  <c r="F446" i="49"/>
  <c r="Q445" i="49"/>
  <c r="N445" i="49"/>
  <c r="K445" i="49"/>
  <c r="H445" i="49"/>
  <c r="E445" i="49"/>
  <c r="D445" i="49"/>
  <c r="C445" i="49"/>
  <c r="B445" i="49" s="1"/>
  <c r="Q444" i="49"/>
  <c r="Q446" i="49" s="1"/>
  <c r="N444" i="49"/>
  <c r="N446" i="49" s="1"/>
  <c r="K444" i="49"/>
  <c r="K446" i="49" s="1"/>
  <c r="H444" i="49"/>
  <c r="H446" i="49" s="1"/>
  <c r="E444" i="49"/>
  <c r="E446" i="49" s="1"/>
  <c r="D444" i="49"/>
  <c r="D446" i="49" s="1"/>
  <c r="C444" i="49"/>
  <c r="C446" i="49" s="1"/>
  <c r="S443" i="49"/>
  <c r="R443" i="49"/>
  <c r="P443" i="49"/>
  <c r="O443" i="49"/>
  <c r="M443" i="49"/>
  <c r="L443" i="49"/>
  <c r="J443" i="49"/>
  <c r="I443" i="49"/>
  <c r="G443" i="49"/>
  <c r="F443" i="49"/>
  <c r="Q442" i="49"/>
  <c r="N442" i="49"/>
  <c r="K442" i="49"/>
  <c r="H442" i="49"/>
  <c r="E442" i="49"/>
  <c r="D442" i="49"/>
  <c r="C442" i="49"/>
  <c r="B442" i="49" s="1"/>
  <c r="Q441" i="49"/>
  <c r="Q443" i="49" s="1"/>
  <c r="N441" i="49"/>
  <c r="N443" i="49" s="1"/>
  <c r="K441" i="49"/>
  <c r="K443" i="49" s="1"/>
  <c r="H441" i="49"/>
  <c r="H443" i="49" s="1"/>
  <c r="E441" i="49"/>
  <c r="E443" i="49" s="1"/>
  <c r="D441" i="49"/>
  <c r="D443" i="49" s="1"/>
  <c r="C441" i="49"/>
  <c r="C443" i="49" s="1"/>
  <c r="S440" i="49"/>
  <c r="R440" i="49"/>
  <c r="P440" i="49"/>
  <c r="O440" i="49"/>
  <c r="M440" i="49"/>
  <c r="L440" i="49"/>
  <c r="J440" i="49"/>
  <c r="I440" i="49"/>
  <c r="G440" i="49"/>
  <c r="F440" i="49"/>
  <c r="Q439" i="49"/>
  <c r="N439" i="49"/>
  <c r="K439" i="49"/>
  <c r="H439" i="49"/>
  <c r="E439" i="49"/>
  <c r="D439" i="49"/>
  <c r="C439" i="49"/>
  <c r="B439" i="49" s="1"/>
  <c r="Q438" i="49"/>
  <c r="Q440" i="49" s="1"/>
  <c r="N438" i="49"/>
  <c r="N440" i="49" s="1"/>
  <c r="K438" i="49"/>
  <c r="K440" i="49" s="1"/>
  <c r="H438" i="49"/>
  <c r="H440" i="49" s="1"/>
  <c r="E438" i="49"/>
  <c r="E440" i="49" s="1"/>
  <c r="D438" i="49"/>
  <c r="D440" i="49" s="1"/>
  <c r="C438" i="49"/>
  <c r="C440" i="49" s="1"/>
  <c r="S437" i="49"/>
  <c r="R437" i="49"/>
  <c r="P437" i="49"/>
  <c r="O437" i="49"/>
  <c r="M437" i="49"/>
  <c r="L437" i="49"/>
  <c r="J437" i="49"/>
  <c r="I437" i="49"/>
  <c r="G437" i="49"/>
  <c r="F437" i="49"/>
  <c r="Q436" i="49"/>
  <c r="N436" i="49"/>
  <c r="K436" i="49"/>
  <c r="H436" i="49"/>
  <c r="E436" i="49"/>
  <c r="D436" i="49"/>
  <c r="C436" i="49"/>
  <c r="B436" i="49" s="1"/>
  <c r="Q435" i="49"/>
  <c r="Q437" i="49" s="1"/>
  <c r="N435" i="49"/>
  <c r="N437" i="49" s="1"/>
  <c r="K435" i="49"/>
  <c r="K437" i="49" s="1"/>
  <c r="H435" i="49"/>
  <c r="H437" i="49" s="1"/>
  <c r="E435" i="49"/>
  <c r="E437" i="49" s="1"/>
  <c r="D435" i="49"/>
  <c r="D437" i="49" s="1"/>
  <c r="C435" i="49"/>
  <c r="C437" i="49" s="1"/>
  <c r="S434" i="49"/>
  <c r="R434" i="49"/>
  <c r="P434" i="49"/>
  <c r="O434" i="49"/>
  <c r="M434" i="49"/>
  <c r="L434" i="49"/>
  <c r="J434" i="49"/>
  <c r="I434" i="49"/>
  <c r="G434" i="49"/>
  <c r="F434" i="49"/>
  <c r="Q433" i="49"/>
  <c r="N433" i="49"/>
  <c r="K433" i="49"/>
  <c r="H433" i="49"/>
  <c r="E433" i="49"/>
  <c r="D433" i="49"/>
  <c r="C433" i="49"/>
  <c r="B433" i="49" s="1"/>
  <c r="Q432" i="49"/>
  <c r="Q434" i="49" s="1"/>
  <c r="N432" i="49"/>
  <c r="N434" i="49" s="1"/>
  <c r="K432" i="49"/>
  <c r="K434" i="49" s="1"/>
  <c r="H432" i="49"/>
  <c r="H434" i="49" s="1"/>
  <c r="E432" i="49"/>
  <c r="E434" i="49" s="1"/>
  <c r="D432" i="49"/>
  <c r="D434" i="49" s="1"/>
  <c r="C432" i="49"/>
  <c r="C434" i="49" s="1"/>
  <c r="S431" i="49"/>
  <c r="R431" i="49"/>
  <c r="P431" i="49"/>
  <c r="O431" i="49"/>
  <c r="M431" i="49"/>
  <c r="L431" i="49"/>
  <c r="J431" i="49"/>
  <c r="I431" i="49"/>
  <c r="G431" i="49"/>
  <c r="F431" i="49"/>
  <c r="Q430" i="49"/>
  <c r="N430" i="49"/>
  <c r="K430" i="49"/>
  <c r="H430" i="49"/>
  <c r="E430" i="49"/>
  <c r="D430" i="49"/>
  <c r="C430" i="49"/>
  <c r="B430" i="49" s="1"/>
  <c r="Q429" i="49"/>
  <c r="Q431" i="49" s="1"/>
  <c r="N429" i="49"/>
  <c r="N431" i="49" s="1"/>
  <c r="K429" i="49"/>
  <c r="K431" i="49" s="1"/>
  <c r="H429" i="49"/>
  <c r="H431" i="49" s="1"/>
  <c r="E429" i="49"/>
  <c r="E431" i="49" s="1"/>
  <c r="D429" i="49"/>
  <c r="D431" i="49" s="1"/>
  <c r="C429" i="49"/>
  <c r="C431" i="49" s="1"/>
  <c r="S428" i="49"/>
  <c r="S503" i="49" s="1"/>
  <c r="R428" i="49"/>
  <c r="R503" i="49" s="1"/>
  <c r="P428" i="49"/>
  <c r="P503" i="49" s="1"/>
  <c r="O428" i="49"/>
  <c r="O503" i="49" s="1"/>
  <c r="M428" i="49"/>
  <c r="M503" i="49" s="1"/>
  <c r="L428" i="49"/>
  <c r="L503" i="49" s="1"/>
  <c r="J428" i="49"/>
  <c r="J503" i="49" s="1"/>
  <c r="I428" i="49"/>
  <c r="I503" i="49" s="1"/>
  <c r="G428" i="49"/>
  <c r="G503" i="49" s="1"/>
  <c r="F428" i="49"/>
  <c r="F503" i="49" s="1"/>
  <c r="Q427" i="49"/>
  <c r="Q502" i="49" s="1"/>
  <c r="N427" i="49"/>
  <c r="N502" i="49" s="1"/>
  <c r="K427" i="49"/>
  <c r="K502" i="49" s="1"/>
  <c r="H427" i="49"/>
  <c r="H502" i="49" s="1"/>
  <c r="E427" i="49"/>
  <c r="E502" i="49" s="1"/>
  <c r="D427" i="49"/>
  <c r="D502" i="49" s="1"/>
  <c r="C427" i="49"/>
  <c r="C502" i="49" s="1"/>
  <c r="Q426" i="49"/>
  <c r="Q501" i="49" s="1"/>
  <c r="N426" i="49"/>
  <c r="N501" i="49" s="1"/>
  <c r="K426" i="49"/>
  <c r="K501" i="49" s="1"/>
  <c r="H426" i="49"/>
  <c r="H501" i="49" s="1"/>
  <c r="E426" i="49"/>
  <c r="E501" i="49" s="1"/>
  <c r="D426" i="49"/>
  <c r="D501" i="49" s="1"/>
  <c r="C426" i="49"/>
  <c r="C501" i="49" s="1"/>
  <c r="S421" i="49"/>
  <c r="R421" i="49"/>
  <c r="P421" i="49"/>
  <c r="O421" i="49"/>
  <c r="M421" i="49"/>
  <c r="L421" i="49"/>
  <c r="J421" i="49"/>
  <c r="I421" i="49"/>
  <c r="G421" i="49"/>
  <c r="F421" i="49"/>
  <c r="S420" i="49"/>
  <c r="R420" i="49"/>
  <c r="P420" i="49"/>
  <c r="O420" i="49"/>
  <c r="M420" i="49"/>
  <c r="L420" i="49"/>
  <c r="J420" i="49"/>
  <c r="I420" i="49"/>
  <c r="G420" i="49"/>
  <c r="F420" i="49"/>
  <c r="S419" i="49"/>
  <c r="R419" i="49"/>
  <c r="P419" i="49"/>
  <c r="O419" i="49"/>
  <c r="M419" i="49"/>
  <c r="L419" i="49"/>
  <c r="J419" i="49"/>
  <c r="I419" i="49"/>
  <c r="G419" i="49"/>
  <c r="F419" i="49"/>
  <c r="Q418" i="49"/>
  <c r="N418" i="49"/>
  <c r="K418" i="49"/>
  <c r="H418" i="49"/>
  <c r="E418" i="49"/>
  <c r="D418" i="49"/>
  <c r="C418" i="49"/>
  <c r="B418" i="49" s="1"/>
  <c r="Q417" i="49"/>
  <c r="Q419" i="49" s="1"/>
  <c r="N417" i="49"/>
  <c r="N419" i="49" s="1"/>
  <c r="K417" i="49"/>
  <c r="K419" i="49" s="1"/>
  <c r="H417" i="49"/>
  <c r="H419" i="49" s="1"/>
  <c r="E417" i="49"/>
  <c r="E419" i="49" s="1"/>
  <c r="D417" i="49"/>
  <c r="D419" i="49" s="1"/>
  <c r="C417" i="49"/>
  <c r="C419" i="49" s="1"/>
  <c r="S416" i="49"/>
  <c r="R416" i="49"/>
  <c r="P416" i="49"/>
  <c r="O416" i="49"/>
  <c r="M416" i="49"/>
  <c r="L416" i="49"/>
  <c r="J416" i="49"/>
  <c r="I416" i="49"/>
  <c r="G416" i="49"/>
  <c r="F416" i="49"/>
  <c r="Q415" i="49"/>
  <c r="N415" i="49"/>
  <c r="K415" i="49"/>
  <c r="H415" i="49"/>
  <c r="E415" i="49"/>
  <c r="D415" i="49"/>
  <c r="C415" i="49"/>
  <c r="B415" i="49" s="1"/>
  <c r="Q414" i="49"/>
  <c r="Q416" i="49" s="1"/>
  <c r="N414" i="49"/>
  <c r="N416" i="49" s="1"/>
  <c r="K414" i="49"/>
  <c r="K416" i="49" s="1"/>
  <c r="H414" i="49"/>
  <c r="H416" i="49" s="1"/>
  <c r="E414" i="49"/>
  <c r="E416" i="49" s="1"/>
  <c r="D414" i="49"/>
  <c r="D416" i="49" s="1"/>
  <c r="C414" i="49"/>
  <c r="C416" i="49" s="1"/>
  <c r="S413" i="49"/>
  <c r="R413" i="49"/>
  <c r="P413" i="49"/>
  <c r="O413" i="49"/>
  <c r="M413" i="49"/>
  <c r="L413" i="49"/>
  <c r="J413" i="49"/>
  <c r="I413" i="49"/>
  <c r="G413" i="49"/>
  <c r="F413" i="49"/>
  <c r="Q412" i="49"/>
  <c r="N412" i="49"/>
  <c r="K412" i="49"/>
  <c r="H412" i="49"/>
  <c r="E412" i="49"/>
  <c r="D412" i="49"/>
  <c r="C412" i="49"/>
  <c r="B412" i="49" s="1"/>
  <c r="Q411" i="49"/>
  <c r="Q413" i="49" s="1"/>
  <c r="N411" i="49"/>
  <c r="N413" i="49" s="1"/>
  <c r="K411" i="49"/>
  <c r="K413" i="49" s="1"/>
  <c r="H411" i="49"/>
  <c r="H413" i="49" s="1"/>
  <c r="E411" i="49"/>
  <c r="E413" i="49" s="1"/>
  <c r="D411" i="49"/>
  <c r="D413" i="49" s="1"/>
  <c r="C411" i="49"/>
  <c r="C413" i="49" s="1"/>
  <c r="S410" i="49"/>
  <c r="R410" i="49"/>
  <c r="P410" i="49"/>
  <c r="O410" i="49"/>
  <c r="M410" i="49"/>
  <c r="L410" i="49"/>
  <c r="J410" i="49"/>
  <c r="I410" i="49"/>
  <c r="G410" i="49"/>
  <c r="F410" i="49"/>
  <c r="Q409" i="49"/>
  <c r="N409" i="49"/>
  <c r="K409" i="49"/>
  <c r="H409" i="49"/>
  <c r="E409" i="49"/>
  <c r="D409" i="49"/>
  <c r="C409" i="49"/>
  <c r="B409" i="49" s="1"/>
  <c r="Q408" i="49"/>
  <c r="Q410" i="49" s="1"/>
  <c r="N408" i="49"/>
  <c r="N410" i="49" s="1"/>
  <c r="K408" i="49"/>
  <c r="K410" i="49" s="1"/>
  <c r="H408" i="49"/>
  <c r="H410" i="49" s="1"/>
  <c r="E408" i="49"/>
  <c r="E410" i="49" s="1"/>
  <c r="D408" i="49"/>
  <c r="D410" i="49" s="1"/>
  <c r="C408" i="49"/>
  <c r="C410" i="49" s="1"/>
  <c r="S407" i="49"/>
  <c r="R407" i="49"/>
  <c r="P407" i="49"/>
  <c r="O407" i="49"/>
  <c r="M407" i="49"/>
  <c r="L407" i="49"/>
  <c r="J407" i="49"/>
  <c r="I407" i="49"/>
  <c r="G407" i="49"/>
  <c r="F407" i="49"/>
  <c r="Q406" i="49"/>
  <c r="N406" i="49"/>
  <c r="K406" i="49"/>
  <c r="H406" i="49"/>
  <c r="E406" i="49"/>
  <c r="D406" i="49"/>
  <c r="C406" i="49"/>
  <c r="B406" i="49" s="1"/>
  <c r="Q405" i="49"/>
  <c r="Q407" i="49" s="1"/>
  <c r="N405" i="49"/>
  <c r="N407" i="49" s="1"/>
  <c r="K405" i="49"/>
  <c r="K407" i="49" s="1"/>
  <c r="H405" i="49"/>
  <c r="H407" i="49" s="1"/>
  <c r="E405" i="49"/>
  <c r="E407" i="49" s="1"/>
  <c r="D405" i="49"/>
  <c r="D407" i="49" s="1"/>
  <c r="C405" i="49"/>
  <c r="C407" i="49" s="1"/>
  <c r="S404" i="49"/>
  <c r="R404" i="49"/>
  <c r="P404" i="49"/>
  <c r="O404" i="49"/>
  <c r="M404" i="49"/>
  <c r="L404" i="49"/>
  <c r="J404" i="49"/>
  <c r="I404" i="49"/>
  <c r="G404" i="49"/>
  <c r="F404" i="49"/>
  <c r="Q403" i="49"/>
  <c r="N403" i="49"/>
  <c r="K403" i="49"/>
  <c r="H403" i="49"/>
  <c r="E403" i="49"/>
  <c r="D403" i="49"/>
  <c r="C403" i="49"/>
  <c r="B403" i="49" s="1"/>
  <c r="Q402" i="49"/>
  <c r="Q404" i="49" s="1"/>
  <c r="N402" i="49"/>
  <c r="N404" i="49" s="1"/>
  <c r="K402" i="49"/>
  <c r="K404" i="49" s="1"/>
  <c r="H402" i="49"/>
  <c r="H404" i="49" s="1"/>
  <c r="E402" i="49"/>
  <c r="E404" i="49" s="1"/>
  <c r="D402" i="49"/>
  <c r="D404" i="49" s="1"/>
  <c r="C402" i="49"/>
  <c r="C404" i="49" s="1"/>
  <c r="S401" i="49"/>
  <c r="R401" i="49"/>
  <c r="P401" i="49"/>
  <c r="O401" i="49"/>
  <c r="M401" i="49"/>
  <c r="L401" i="49"/>
  <c r="J401" i="49"/>
  <c r="I401" i="49"/>
  <c r="G401" i="49"/>
  <c r="F401" i="49"/>
  <c r="Q400" i="49"/>
  <c r="N400" i="49"/>
  <c r="K400" i="49"/>
  <c r="H400" i="49"/>
  <c r="E400" i="49"/>
  <c r="D400" i="49"/>
  <c r="C400" i="49"/>
  <c r="B400" i="49" s="1"/>
  <c r="Q399" i="49"/>
  <c r="Q401" i="49" s="1"/>
  <c r="N399" i="49"/>
  <c r="N401" i="49" s="1"/>
  <c r="K399" i="49"/>
  <c r="K401" i="49" s="1"/>
  <c r="H399" i="49"/>
  <c r="H401" i="49" s="1"/>
  <c r="E399" i="49"/>
  <c r="E401" i="49" s="1"/>
  <c r="D399" i="49"/>
  <c r="D401" i="49" s="1"/>
  <c r="C399" i="49"/>
  <c r="C401" i="49" s="1"/>
  <c r="S398" i="49"/>
  <c r="R398" i="49"/>
  <c r="P398" i="49"/>
  <c r="O398" i="49"/>
  <c r="M398" i="49"/>
  <c r="L398" i="49"/>
  <c r="J398" i="49"/>
  <c r="I398" i="49"/>
  <c r="G398" i="49"/>
  <c r="F398" i="49"/>
  <c r="Q397" i="49"/>
  <c r="N397" i="49"/>
  <c r="K397" i="49"/>
  <c r="H397" i="49"/>
  <c r="E397" i="49"/>
  <c r="D397" i="49"/>
  <c r="C397" i="49"/>
  <c r="B397" i="49" s="1"/>
  <c r="Q396" i="49"/>
  <c r="Q398" i="49" s="1"/>
  <c r="N396" i="49"/>
  <c r="N398" i="49" s="1"/>
  <c r="K396" i="49"/>
  <c r="K398" i="49" s="1"/>
  <c r="H396" i="49"/>
  <c r="H398" i="49" s="1"/>
  <c r="E396" i="49"/>
  <c r="E398" i="49" s="1"/>
  <c r="D396" i="49"/>
  <c r="D398" i="49" s="1"/>
  <c r="C396" i="49"/>
  <c r="C398" i="49" s="1"/>
  <c r="S395" i="49"/>
  <c r="R395" i="49"/>
  <c r="P395" i="49"/>
  <c r="O395" i="49"/>
  <c r="M395" i="49"/>
  <c r="L395" i="49"/>
  <c r="J395" i="49"/>
  <c r="I395" i="49"/>
  <c r="G395" i="49"/>
  <c r="F395" i="49"/>
  <c r="Q394" i="49"/>
  <c r="N394" i="49"/>
  <c r="K394" i="49"/>
  <c r="H394" i="49"/>
  <c r="E394" i="49"/>
  <c r="D394" i="49"/>
  <c r="C394" i="49"/>
  <c r="B394" i="49" s="1"/>
  <c r="Q393" i="49"/>
  <c r="Q395" i="49" s="1"/>
  <c r="N393" i="49"/>
  <c r="N395" i="49" s="1"/>
  <c r="K393" i="49"/>
  <c r="K395" i="49" s="1"/>
  <c r="H393" i="49"/>
  <c r="H395" i="49" s="1"/>
  <c r="E393" i="49"/>
  <c r="E395" i="49" s="1"/>
  <c r="D393" i="49"/>
  <c r="D395" i="49" s="1"/>
  <c r="C393" i="49"/>
  <c r="C395" i="49" s="1"/>
  <c r="S392" i="49"/>
  <c r="R392" i="49"/>
  <c r="P392" i="49"/>
  <c r="O392" i="49"/>
  <c r="M392" i="49"/>
  <c r="L392" i="49"/>
  <c r="J392" i="49"/>
  <c r="I392" i="49"/>
  <c r="G392" i="49"/>
  <c r="F392" i="49"/>
  <c r="Q391" i="49"/>
  <c r="N391" i="49"/>
  <c r="K391" i="49"/>
  <c r="H391" i="49"/>
  <c r="E391" i="49"/>
  <c r="D391" i="49"/>
  <c r="C391" i="49"/>
  <c r="B391" i="49" s="1"/>
  <c r="Q390" i="49"/>
  <c r="Q392" i="49" s="1"/>
  <c r="N390" i="49"/>
  <c r="N392" i="49" s="1"/>
  <c r="K390" i="49"/>
  <c r="K392" i="49" s="1"/>
  <c r="H390" i="49"/>
  <c r="H392" i="49" s="1"/>
  <c r="E390" i="49"/>
  <c r="E392" i="49" s="1"/>
  <c r="D390" i="49"/>
  <c r="D392" i="49" s="1"/>
  <c r="C390" i="49"/>
  <c r="C392" i="49" s="1"/>
  <c r="S389" i="49"/>
  <c r="R389" i="49"/>
  <c r="P389" i="49"/>
  <c r="O389" i="49"/>
  <c r="M389" i="49"/>
  <c r="L389" i="49"/>
  <c r="J389" i="49"/>
  <c r="I389" i="49"/>
  <c r="G389" i="49"/>
  <c r="F389" i="49"/>
  <c r="Q388" i="49"/>
  <c r="N388" i="49"/>
  <c r="K388" i="49"/>
  <c r="H388" i="49"/>
  <c r="E388" i="49"/>
  <c r="D388" i="49"/>
  <c r="C388" i="49"/>
  <c r="B388" i="49" s="1"/>
  <c r="Q387" i="49"/>
  <c r="Q389" i="49" s="1"/>
  <c r="N387" i="49"/>
  <c r="N389" i="49" s="1"/>
  <c r="K387" i="49"/>
  <c r="K389" i="49" s="1"/>
  <c r="H387" i="49"/>
  <c r="H389" i="49" s="1"/>
  <c r="E387" i="49"/>
  <c r="E389" i="49" s="1"/>
  <c r="D387" i="49"/>
  <c r="D389" i="49" s="1"/>
  <c r="C387" i="49"/>
  <c r="C389" i="49" s="1"/>
  <c r="S386" i="49"/>
  <c r="R386" i="49"/>
  <c r="P386" i="49"/>
  <c r="O386" i="49"/>
  <c r="M386" i="49"/>
  <c r="L386" i="49"/>
  <c r="J386" i="49"/>
  <c r="I386" i="49"/>
  <c r="G386" i="49"/>
  <c r="F386" i="49"/>
  <c r="Q385" i="49"/>
  <c r="N385" i="49"/>
  <c r="K385" i="49"/>
  <c r="H385" i="49"/>
  <c r="E385" i="49"/>
  <c r="D385" i="49"/>
  <c r="C385" i="49"/>
  <c r="Q384" i="49"/>
  <c r="Q386" i="49" s="1"/>
  <c r="N384" i="49"/>
  <c r="N386" i="49" s="1"/>
  <c r="K384" i="49"/>
  <c r="K386" i="49" s="1"/>
  <c r="H384" i="49"/>
  <c r="H386" i="49" s="1"/>
  <c r="E384" i="49"/>
  <c r="E386" i="49" s="1"/>
  <c r="D384" i="49"/>
  <c r="D386" i="49" s="1"/>
  <c r="C384" i="49"/>
  <c r="C386" i="49" s="1"/>
  <c r="S383" i="49"/>
  <c r="R383" i="49"/>
  <c r="P383" i="49"/>
  <c r="O383" i="49"/>
  <c r="M383" i="49"/>
  <c r="L383" i="49"/>
  <c r="J383" i="49"/>
  <c r="I383" i="49"/>
  <c r="G383" i="49"/>
  <c r="F383" i="49"/>
  <c r="Q382" i="49"/>
  <c r="N382" i="49"/>
  <c r="K382" i="49"/>
  <c r="H382" i="49"/>
  <c r="E382" i="49"/>
  <c r="D382" i="49"/>
  <c r="C382" i="49"/>
  <c r="Q381" i="49"/>
  <c r="Q383" i="49" s="1"/>
  <c r="N381" i="49"/>
  <c r="N383" i="49" s="1"/>
  <c r="K381" i="49"/>
  <c r="K383" i="49" s="1"/>
  <c r="H381" i="49"/>
  <c r="H383" i="49" s="1"/>
  <c r="E381" i="49"/>
  <c r="E383" i="49" s="1"/>
  <c r="D381" i="49"/>
  <c r="D383" i="49" s="1"/>
  <c r="C381" i="49"/>
  <c r="C383" i="49" s="1"/>
  <c r="S380" i="49"/>
  <c r="R380" i="49"/>
  <c r="P380" i="49"/>
  <c r="O380" i="49"/>
  <c r="M380" i="49"/>
  <c r="L380" i="49"/>
  <c r="J380" i="49"/>
  <c r="I380" i="49"/>
  <c r="G380" i="49"/>
  <c r="F380" i="49"/>
  <c r="Q379" i="49"/>
  <c r="N379" i="49"/>
  <c r="K379" i="49"/>
  <c r="H379" i="49"/>
  <c r="E379" i="49"/>
  <c r="D379" i="49"/>
  <c r="C379" i="49"/>
  <c r="Q378" i="49"/>
  <c r="Q380" i="49" s="1"/>
  <c r="N378" i="49"/>
  <c r="N380" i="49" s="1"/>
  <c r="K378" i="49"/>
  <c r="K380" i="49" s="1"/>
  <c r="H378" i="49"/>
  <c r="H380" i="49" s="1"/>
  <c r="E378" i="49"/>
  <c r="E380" i="49" s="1"/>
  <c r="D378" i="49"/>
  <c r="D380" i="49" s="1"/>
  <c r="C378" i="49"/>
  <c r="C380" i="49" s="1"/>
  <c r="S377" i="49"/>
  <c r="S422" i="49" s="1"/>
  <c r="R377" i="49"/>
  <c r="R422" i="49" s="1"/>
  <c r="P377" i="49"/>
  <c r="P422" i="49" s="1"/>
  <c r="O377" i="49"/>
  <c r="O422" i="49" s="1"/>
  <c r="M377" i="49"/>
  <c r="M422" i="49" s="1"/>
  <c r="L377" i="49"/>
  <c r="L422" i="49" s="1"/>
  <c r="J377" i="49"/>
  <c r="J422" i="49" s="1"/>
  <c r="I377" i="49"/>
  <c r="I422" i="49" s="1"/>
  <c r="G377" i="49"/>
  <c r="G422" i="49" s="1"/>
  <c r="F377" i="49"/>
  <c r="F422" i="49" s="1"/>
  <c r="Q376" i="49"/>
  <c r="Q421" i="49" s="1"/>
  <c r="N376" i="49"/>
  <c r="N421" i="49" s="1"/>
  <c r="K376" i="49"/>
  <c r="K421" i="49" s="1"/>
  <c r="H376" i="49"/>
  <c r="H421" i="49" s="1"/>
  <c r="E376" i="49"/>
  <c r="E421" i="49" s="1"/>
  <c r="D376" i="49"/>
  <c r="D421" i="49" s="1"/>
  <c r="C376" i="49"/>
  <c r="C421" i="49" s="1"/>
  <c r="Q375" i="49"/>
  <c r="Q420" i="49" s="1"/>
  <c r="N375" i="49"/>
  <c r="N420" i="49" s="1"/>
  <c r="K375" i="49"/>
  <c r="K420" i="49" s="1"/>
  <c r="H375" i="49"/>
  <c r="H420" i="49" s="1"/>
  <c r="E375" i="49"/>
  <c r="E420" i="49" s="1"/>
  <c r="D375" i="49"/>
  <c r="D420" i="49" s="1"/>
  <c r="C375" i="49"/>
  <c r="C420" i="49" s="1"/>
  <c r="S370" i="49"/>
  <c r="R370" i="49"/>
  <c r="P370" i="49"/>
  <c r="O370" i="49"/>
  <c r="M370" i="49"/>
  <c r="L370" i="49"/>
  <c r="J370" i="49"/>
  <c r="I370" i="49"/>
  <c r="G370" i="49"/>
  <c r="F370" i="49"/>
  <c r="S369" i="49"/>
  <c r="R369" i="49"/>
  <c r="P369" i="49"/>
  <c r="O369" i="49"/>
  <c r="M369" i="49"/>
  <c r="L369" i="49"/>
  <c r="J369" i="49"/>
  <c r="I369" i="49"/>
  <c r="G369" i="49"/>
  <c r="F369" i="49"/>
  <c r="S368" i="49"/>
  <c r="R368" i="49"/>
  <c r="P368" i="49"/>
  <c r="O368" i="49"/>
  <c r="M368" i="49"/>
  <c r="L368" i="49"/>
  <c r="J368" i="49"/>
  <c r="I368" i="49"/>
  <c r="G368" i="49"/>
  <c r="F368" i="49"/>
  <c r="Q367" i="49"/>
  <c r="N367" i="49"/>
  <c r="K367" i="49"/>
  <c r="H367" i="49"/>
  <c r="E367" i="49"/>
  <c r="D367" i="49"/>
  <c r="C367" i="49"/>
  <c r="B367" i="49" s="1"/>
  <c r="Q366" i="49"/>
  <c r="Q368" i="49" s="1"/>
  <c r="N366" i="49"/>
  <c r="N368" i="49" s="1"/>
  <c r="K366" i="49"/>
  <c r="K368" i="49" s="1"/>
  <c r="H366" i="49"/>
  <c r="H368" i="49" s="1"/>
  <c r="E366" i="49"/>
  <c r="E368" i="49" s="1"/>
  <c r="D366" i="49"/>
  <c r="D368" i="49" s="1"/>
  <c r="C366" i="49"/>
  <c r="C368" i="49" s="1"/>
  <c r="S365" i="49"/>
  <c r="R365" i="49"/>
  <c r="P365" i="49"/>
  <c r="O365" i="49"/>
  <c r="M365" i="49"/>
  <c r="L365" i="49"/>
  <c r="J365" i="49"/>
  <c r="I365" i="49"/>
  <c r="G365" i="49"/>
  <c r="F365" i="49"/>
  <c r="Q364" i="49"/>
  <c r="N364" i="49"/>
  <c r="K364" i="49"/>
  <c r="H364" i="49"/>
  <c r="E364" i="49"/>
  <c r="D364" i="49"/>
  <c r="C364" i="49"/>
  <c r="B364" i="49" s="1"/>
  <c r="Q363" i="49"/>
  <c r="Q365" i="49" s="1"/>
  <c r="N363" i="49"/>
  <c r="N365" i="49" s="1"/>
  <c r="K363" i="49"/>
  <c r="K365" i="49" s="1"/>
  <c r="H363" i="49"/>
  <c r="H365" i="49" s="1"/>
  <c r="E363" i="49"/>
  <c r="E365" i="49" s="1"/>
  <c r="D363" i="49"/>
  <c r="D365" i="49" s="1"/>
  <c r="C363" i="49"/>
  <c r="C365" i="49" s="1"/>
  <c r="S362" i="49"/>
  <c r="R362" i="49"/>
  <c r="P362" i="49"/>
  <c r="O362" i="49"/>
  <c r="M362" i="49"/>
  <c r="L362" i="49"/>
  <c r="J362" i="49"/>
  <c r="I362" i="49"/>
  <c r="G362" i="49"/>
  <c r="F362" i="49"/>
  <c r="Q361" i="49"/>
  <c r="N361" i="49"/>
  <c r="K361" i="49"/>
  <c r="H361" i="49"/>
  <c r="E361" i="49"/>
  <c r="D361" i="49"/>
  <c r="C361" i="49"/>
  <c r="B361" i="49" s="1"/>
  <c r="Q360" i="49"/>
  <c r="Q362" i="49" s="1"/>
  <c r="N360" i="49"/>
  <c r="N362" i="49" s="1"/>
  <c r="K360" i="49"/>
  <c r="K362" i="49" s="1"/>
  <c r="H360" i="49"/>
  <c r="H362" i="49" s="1"/>
  <c r="E360" i="49"/>
  <c r="E362" i="49" s="1"/>
  <c r="D360" i="49"/>
  <c r="D362" i="49" s="1"/>
  <c r="C360" i="49"/>
  <c r="C362" i="49" s="1"/>
  <c r="S359" i="49"/>
  <c r="R359" i="49"/>
  <c r="P359" i="49"/>
  <c r="O359" i="49"/>
  <c r="M359" i="49"/>
  <c r="L359" i="49"/>
  <c r="J359" i="49"/>
  <c r="I359" i="49"/>
  <c r="G359" i="49"/>
  <c r="F359" i="49"/>
  <c r="Q358" i="49"/>
  <c r="N358" i="49"/>
  <c r="K358" i="49"/>
  <c r="H358" i="49"/>
  <c r="E358" i="49"/>
  <c r="D358" i="49"/>
  <c r="C358" i="49"/>
  <c r="B358" i="49" s="1"/>
  <c r="Q357" i="49"/>
  <c r="Q359" i="49" s="1"/>
  <c r="N357" i="49"/>
  <c r="N359" i="49" s="1"/>
  <c r="K357" i="49"/>
  <c r="K359" i="49" s="1"/>
  <c r="H357" i="49"/>
  <c r="H359" i="49" s="1"/>
  <c r="E357" i="49"/>
  <c r="E359" i="49" s="1"/>
  <c r="D357" i="49"/>
  <c r="D359" i="49" s="1"/>
  <c r="C357" i="49"/>
  <c r="C359" i="49" s="1"/>
  <c r="S356" i="49"/>
  <c r="R356" i="49"/>
  <c r="P356" i="49"/>
  <c r="O356" i="49"/>
  <c r="M356" i="49"/>
  <c r="L356" i="49"/>
  <c r="J356" i="49"/>
  <c r="I356" i="49"/>
  <c r="G356" i="49"/>
  <c r="F356" i="49"/>
  <c r="Q355" i="49"/>
  <c r="N355" i="49"/>
  <c r="K355" i="49"/>
  <c r="H355" i="49"/>
  <c r="E355" i="49"/>
  <c r="D355" i="49"/>
  <c r="C355" i="49"/>
  <c r="B355" i="49" s="1"/>
  <c r="Q354" i="49"/>
  <c r="Q356" i="49" s="1"/>
  <c r="N354" i="49"/>
  <c r="N356" i="49" s="1"/>
  <c r="K354" i="49"/>
  <c r="K356" i="49" s="1"/>
  <c r="H354" i="49"/>
  <c r="H356" i="49" s="1"/>
  <c r="E354" i="49"/>
  <c r="E356" i="49" s="1"/>
  <c r="D354" i="49"/>
  <c r="D356" i="49" s="1"/>
  <c r="C354" i="49"/>
  <c r="C356" i="49" s="1"/>
  <c r="S353" i="49"/>
  <c r="R353" i="49"/>
  <c r="P353" i="49"/>
  <c r="O353" i="49"/>
  <c r="M353" i="49"/>
  <c r="L353" i="49"/>
  <c r="J353" i="49"/>
  <c r="I353" i="49"/>
  <c r="G353" i="49"/>
  <c r="F353" i="49"/>
  <c r="Q352" i="49"/>
  <c r="N352" i="49"/>
  <c r="K352" i="49"/>
  <c r="H352" i="49"/>
  <c r="E352" i="49"/>
  <c r="D352" i="49"/>
  <c r="C352" i="49"/>
  <c r="B352" i="49" s="1"/>
  <c r="Q351" i="49"/>
  <c r="Q353" i="49" s="1"/>
  <c r="N351" i="49"/>
  <c r="N353" i="49" s="1"/>
  <c r="K351" i="49"/>
  <c r="K353" i="49" s="1"/>
  <c r="H351" i="49"/>
  <c r="H353" i="49" s="1"/>
  <c r="E351" i="49"/>
  <c r="E353" i="49" s="1"/>
  <c r="D351" i="49"/>
  <c r="D353" i="49" s="1"/>
  <c r="C351" i="49"/>
  <c r="C353" i="49" s="1"/>
  <c r="S350" i="49"/>
  <c r="R350" i="49"/>
  <c r="P350" i="49"/>
  <c r="O350" i="49"/>
  <c r="M350" i="49"/>
  <c r="L350" i="49"/>
  <c r="J350" i="49"/>
  <c r="I350" i="49"/>
  <c r="G350" i="49"/>
  <c r="F350" i="49"/>
  <c r="Q349" i="49"/>
  <c r="N349" i="49"/>
  <c r="K349" i="49"/>
  <c r="H349" i="49"/>
  <c r="E349" i="49"/>
  <c r="D349" i="49"/>
  <c r="C349" i="49"/>
  <c r="B349" i="49" s="1"/>
  <c r="Q348" i="49"/>
  <c r="Q350" i="49" s="1"/>
  <c r="N348" i="49"/>
  <c r="N350" i="49" s="1"/>
  <c r="K348" i="49"/>
  <c r="K350" i="49" s="1"/>
  <c r="H348" i="49"/>
  <c r="H350" i="49" s="1"/>
  <c r="E348" i="49"/>
  <c r="E350" i="49" s="1"/>
  <c r="D348" i="49"/>
  <c r="D350" i="49" s="1"/>
  <c r="C348" i="49"/>
  <c r="C350" i="49" s="1"/>
  <c r="S347" i="49"/>
  <c r="R347" i="49"/>
  <c r="P347" i="49"/>
  <c r="O347" i="49"/>
  <c r="M347" i="49"/>
  <c r="L347" i="49"/>
  <c r="J347" i="49"/>
  <c r="I347" i="49"/>
  <c r="G347" i="49"/>
  <c r="F347" i="49"/>
  <c r="Q346" i="49"/>
  <c r="N346" i="49"/>
  <c r="K346" i="49"/>
  <c r="H346" i="49"/>
  <c r="E346" i="49"/>
  <c r="D346" i="49"/>
  <c r="C346" i="49"/>
  <c r="B346" i="49" s="1"/>
  <c r="Q345" i="49"/>
  <c r="Q347" i="49" s="1"/>
  <c r="N345" i="49"/>
  <c r="N347" i="49" s="1"/>
  <c r="K345" i="49"/>
  <c r="K347" i="49" s="1"/>
  <c r="H345" i="49"/>
  <c r="H347" i="49" s="1"/>
  <c r="E345" i="49"/>
  <c r="E347" i="49" s="1"/>
  <c r="D345" i="49"/>
  <c r="D347" i="49" s="1"/>
  <c r="C345" i="49"/>
  <c r="C347" i="49" s="1"/>
  <c r="B345" i="49"/>
  <c r="S344" i="49"/>
  <c r="R344" i="49"/>
  <c r="P344" i="49"/>
  <c r="O344" i="49"/>
  <c r="M344" i="49"/>
  <c r="L344" i="49"/>
  <c r="J344" i="49"/>
  <c r="I344" i="49"/>
  <c r="G344" i="49"/>
  <c r="F344" i="49"/>
  <c r="Q343" i="49"/>
  <c r="N343" i="49"/>
  <c r="K343" i="49"/>
  <c r="H343" i="49"/>
  <c r="E343" i="49"/>
  <c r="D343" i="49"/>
  <c r="C343" i="49"/>
  <c r="Q342" i="49"/>
  <c r="Q344" i="49" s="1"/>
  <c r="N342" i="49"/>
  <c r="N344" i="49" s="1"/>
  <c r="K342" i="49"/>
  <c r="K344" i="49" s="1"/>
  <c r="H342" i="49"/>
  <c r="H344" i="49" s="1"/>
  <c r="E342" i="49"/>
  <c r="E344" i="49" s="1"/>
  <c r="D342" i="49"/>
  <c r="D344" i="49" s="1"/>
  <c r="C342" i="49"/>
  <c r="C344" i="49" s="1"/>
  <c r="S341" i="49"/>
  <c r="R341" i="49"/>
  <c r="P341" i="49"/>
  <c r="O341" i="49"/>
  <c r="M341" i="49"/>
  <c r="L341" i="49"/>
  <c r="J341" i="49"/>
  <c r="I341" i="49"/>
  <c r="G341" i="49"/>
  <c r="F341" i="49"/>
  <c r="Q340" i="49"/>
  <c r="N340" i="49"/>
  <c r="K340" i="49"/>
  <c r="H340" i="49"/>
  <c r="E340" i="49"/>
  <c r="D340" i="49"/>
  <c r="C340" i="49"/>
  <c r="B340" i="49" s="1"/>
  <c r="Q339" i="49"/>
  <c r="Q341" i="49" s="1"/>
  <c r="N339" i="49"/>
  <c r="N341" i="49" s="1"/>
  <c r="K339" i="49"/>
  <c r="K341" i="49" s="1"/>
  <c r="H339" i="49"/>
  <c r="H341" i="49" s="1"/>
  <c r="E339" i="49"/>
  <c r="E341" i="49" s="1"/>
  <c r="D339" i="49"/>
  <c r="D341" i="49" s="1"/>
  <c r="C339" i="49"/>
  <c r="C341" i="49" s="1"/>
  <c r="S338" i="49"/>
  <c r="R338" i="49"/>
  <c r="P338" i="49"/>
  <c r="O338" i="49"/>
  <c r="M338" i="49"/>
  <c r="L338" i="49"/>
  <c r="J338" i="49"/>
  <c r="I338" i="49"/>
  <c r="G338" i="49"/>
  <c r="F338" i="49"/>
  <c r="Q337" i="49"/>
  <c r="N337" i="49"/>
  <c r="K337" i="49"/>
  <c r="H337" i="49"/>
  <c r="E337" i="49"/>
  <c r="D337" i="49"/>
  <c r="C337" i="49"/>
  <c r="B337" i="49" s="1"/>
  <c r="Q336" i="49"/>
  <c r="Q338" i="49" s="1"/>
  <c r="N336" i="49"/>
  <c r="N338" i="49" s="1"/>
  <c r="K336" i="49"/>
  <c r="K338" i="49" s="1"/>
  <c r="H336" i="49"/>
  <c r="H338" i="49" s="1"/>
  <c r="E336" i="49"/>
  <c r="E338" i="49" s="1"/>
  <c r="D336" i="49"/>
  <c r="D338" i="49" s="1"/>
  <c r="C336" i="49"/>
  <c r="C338" i="49" s="1"/>
  <c r="S335" i="49"/>
  <c r="R335" i="49"/>
  <c r="P335" i="49"/>
  <c r="O335" i="49"/>
  <c r="M335" i="49"/>
  <c r="L335" i="49"/>
  <c r="J335" i="49"/>
  <c r="I335" i="49"/>
  <c r="G335" i="49"/>
  <c r="F335" i="49"/>
  <c r="Q334" i="49"/>
  <c r="N334" i="49"/>
  <c r="K334" i="49"/>
  <c r="H334" i="49"/>
  <c r="E334" i="49"/>
  <c r="D334" i="49"/>
  <c r="C334" i="49"/>
  <c r="B334" i="49" s="1"/>
  <c r="Q333" i="49"/>
  <c r="Q335" i="49" s="1"/>
  <c r="N333" i="49"/>
  <c r="N335" i="49" s="1"/>
  <c r="K333" i="49"/>
  <c r="K335" i="49" s="1"/>
  <c r="H333" i="49"/>
  <c r="H335" i="49" s="1"/>
  <c r="E333" i="49"/>
  <c r="E335" i="49" s="1"/>
  <c r="D333" i="49"/>
  <c r="D335" i="49" s="1"/>
  <c r="C333" i="49"/>
  <c r="C335" i="49" s="1"/>
  <c r="S332" i="49"/>
  <c r="R332" i="49"/>
  <c r="P332" i="49"/>
  <c r="O332" i="49"/>
  <c r="M332" i="49"/>
  <c r="L332" i="49"/>
  <c r="J332" i="49"/>
  <c r="I332" i="49"/>
  <c r="G332" i="49"/>
  <c r="F332" i="49"/>
  <c r="Q331" i="49"/>
  <c r="N331" i="49"/>
  <c r="K331" i="49"/>
  <c r="H331" i="49"/>
  <c r="E331" i="49"/>
  <c r="D331" i="49"/>
  <c r="C331" i="49"/>
  <c r="B331" i="49" s="1"/>
  <c r="Q330" i="49"/>
  <c r="Q332" i="49" s="1"/>
  <c r="N330" i="49"/>
  <c r="N332" i="49" s="1"/>
  <c r="K330" i="49"/>
  <c r="K332" i="49" s="1"/>
  <c r="H330" i="49"/>
  <c r="H332" i="49" s="1"/>
  <c r="E330" i="49"/>
  <c r="E332" i="49" s="1"/>
  <c r="D330" i="49"/>
  <c r="D332" i="49" s="1"/>
  <c r="C330" i="49"/>
  <c r="C332" i="49" s="1"/>
  <c r="S329" i="49"/>
  <c r="R329" i="49"/>
  <c r="P329" i="49"/>
  <c r="O329" i="49"/>
  <c r="M329" i="49"/>
  <c r="L329" i="49"/>
  <c r="J329" i="49"/>
  <c r="I329" i="49"/>
  <c r="G329" i="49"/>
  <c r="F329" i="49"/>
  <c r="Q328" i="49"/>
  <c r="N328" i="49"/>
  <c r="K328" i="49"/>
  <c r="H328" i="49"/>
  <c r="E328" i="49"/>
  <c r="D328" i="49"/>
  <c r="C328" i="49"/>
  <c r="B328" i="49" s="1"/>
  <c r="Q327" i="49"/>
  <c r="Q329" i="49" s="1"/>
  <c r="N327" i="49"/>
  <c r="N329" i="49" s="1"/>
  <c r="K327" i="49"/>
  <c r="K329" i="49" s="1"/>
  <c r="H327" i="49"/>
  <c r="H329" i="49" s="1"/>
  <c r="E327" i="49"/>
  <c r="E329" i="49" s="1"/>
  <c r="D327" i="49"/>
  <c r="D329" i="49" s="1"/>
  <c r="C327" i="49"/>
  <c r="C329" i="49" s="1"/>
  <c r="S326" i="49"/>
  <c r="R326" i="49"/>
  <c r="P326" i="49"/>
  <c r="O326" i="49"/>
  <c r="M326" i="49"/>
  <c r="L326" i="49"/>
  <c r="J326" i="49"/>
  <c r="I326" i="49"/>
  <c r="G326" i="49"/>
  <c r="F326" i="49"/>
  <c r="Q325" i="49"/>
  <c r="N325" i="49"/>
  <c r="K325" i="49"/>
  <c r="H325" i="49"/>
  <c r="E325" i="49"/>
  <c r="D325" i="49"/>
  <c r="C325" i="49"/>
  <c r="B325" i="49" s="1"/>
  <c r="Q324" i="49"/>
  <c r="Q326" i="49" s="1"/>
  <c r="N324" i="49"/>
  <c r="N326" i="49" s="1"/>
  <c r="K324" i="49"/>
  <c r="K326" i="49" s="1"/>
  <c r="H324" i="49"/>
  <c r="H326" i="49" s="1"/>
  <c r="E324" i="49"/>
  <c r="E326" i="49" s="1"/>
  <c r="D324" i="49"/>
  <c r="D326" i="49" s="1"/>
  <c r="C324" i="49"/>
  <c r="C326" i="49" s="1"/>
  <c r="S323" i="49"/>
  <c r="R323" i="49"/>
  <c r="P323" i="49"/>
  <c r="O323" i="49"/>
  <c r="M323" i="49"/>
  <c r="L323" i="49"/>
  <c r="J323" i="49"/>
  <c r="I323" i="49"/>
  <c r="G323" i="49"/>
  <c r="F323" i="49"/>
  <c r="Q322" i="49"/>
  <c r="N322" i="49"/>
  <c r="K322" i="49"/>
  <c r="H322" i="49"/>
  <c r="E322" i="49"/>
  <c r="D322" i="49"/>
  <c r="C322" i="49"/>
  <c r="B322" i="49" s="1"/>
  <c r="Q321" i="49"/>
  <c r="Q323" i="49" s="1"/>
  <c r="N321" i="49"/>
  <c r="N323" i="49" s="1"/>
  <c r="K321" i="49"/>
  <c r="K323" i="49" s="1"/>
  <c r="H321" i="49"/>
  <c r="H323" i="49" s="1"/>
  <c r="E321" i="49"/>
  <c r="E323" i="49" s="1"/>
  <c r="D321" i="49"/>
  <c r="D323" i="49" s="1"/>
  <c r="C321" i="49"/>
  <c r="C323" i="49" s="1"/>
  <c r="S320" i="49"/>
  <c r="R320" i="49"/>
  <c r="P320" i="49"/>
  <c r="O320" i="49"/>
  <c r="M320" i="49"/>
  <c r="L320" i="49"/>
  <c r="J320" i="49"/>
  <c r="I320" i="49"/>
  <c r="G320" i="49"/>
  <c r="F320" i="49"/>
  <c r="Q319" i="49"/>
  <c r="N319" i="49"/>
  <c r="K319" i="49"/>
  <c r="H319" i="49"/>
  <c r="E319" i="49"/>
  <c r="D319" i="49"/>
  <c r="C319" i="49"/>
  <c r="Q318" i="49"/>
  <c r="Q320" i="49" s="1"/>
  <c r="N318" i="49"/>
  <c r="N320" i="49" s="1"/>
  <c r="K318" i="49"/>
  <c r="K320" i="49" s="1"/>
  <c r="H318" i="49"/>
  <c r="H320" i="49" s="1"/>
  <c r="E318" i="49"/>
  <c r="E320" i="49" s="1"/>
  <c r="D318" i="49"/>
  <c r="D320" i="49" s="1"/>
  <c r="C318" i="49"/>
  <c r="C320" i="49" s="1"/>
  <c r="S317" i="49"/>
  <c r="R317" i="49"/>
  <c r="P317" i="49"/>
  <c r="O317" i="49"/>
  <c r="M317" i="49"/>
  <c r="L317" i="49"/>
  <c r="J317" i="49"/>
  <c r="I317" i="49"/>
  <c r="G317" i="49"/>
  <c r="F317" i="49"/>
  <c r="Q316" i="49"/>
  <c r="N316" i="49"/>
  <c r="K316" i="49"/>
  <c r="H316" i="49"/>
  <c r="E316" i="49"/>
  <c r="D316" i="49"/>
  <c r="C316" i="49"/>
  <c r="B316" i="49" s="1"/>
  <c r="Q315" i="49"/>
  <c r="Q317" i="49" s="1"/>
  <c r="N315" i="49"/>
  <c r="N317" i="49" s="1"/>
  <c r="K315" i="49"/>
  <c r="K317" i="49" s="1"/>
  <c r="H315" i="49"/>
  <c r="H317" i="49" s="1"/>
  <c r="E315" i="49"/>
  <c r="E317" i="49" s="1"/>
  <c r="D315" i="49"/>
  <c r="D317" i="49" s="1"/>
  <c r="C315" i="49"/>
  <c r="C317" i="49" s="1"/>
  <c r="S314" i="49"/>
  <c r="R314" i="49"/>
  <c r="P314" i="49"/>
  <c r="O314" i="49"/>
  <c r="M314" i="49"/>
  <c r="L314" i="49"/>
  <c r="J314" i="49"/>
  <c r="I314" i="49"/>
  <c r="G314" i="49"/>
  <c r="F314" i="49"/>
  <c r="Q313" i="49"/>
  <c r="N313" i="49"/>
  <c r="K313" i="49"/>
  <c r="H313" i="49"/>
  <c r="E313" i="49"/>
  <c r="D313" i="49"/>
  <c r="C313" i="49"/>
  <c r="Q312" i="49"/>
  <c r="Q314" i="49" s="1"/>
  <c r="N312" i="49"/>
  <c r="N314" i="49" s="1"/>
  <c r="K312" i="49"/>
  <c r="K314" i="49" s="1"/>
  <c r="H312" i="49"/>
  <c r="H314" i="49" s="1"/>
  <c r="E312" i="49"/>
  <c r="E314" i="49" s="1"/>
  <c r="D312" i="49"/>
  <c r="D314" i="49" s="1"/>
  <c r="C312" i="49"/>
  <c r="C314" i="49" s="1"/>
  <c r="S311" i="49"/>
  <c r="R311" i="49"/>
  <c r="P311" i="49"/>
  <c r="O311" i="49"/>
  <c r="M311" i="49"/>
  <c r="L311" i="49"/>
  <c r="J311" i="49"/>
  <c r="I311" i="49"/>
  <c r="G311" i="49"/>
  <c r="F311" i="49"/>
  <c r="Q310" i="49"/>
  <c r="N310" i="49"/>
  <c r="K310" i="49"/>
  <c r="H310" i="49"/>
  <c r="E310" i="49"/>
  <c r="D310" i="49"/>
  <c r="C310" i="49"/>
  <c r="B310" i="49" s="1"/>
  <c r="Q309" i="49"/>
  <c r="Q311" i="49" s="1"/>
  <c r="N309" i="49"/>
  <c r="N311" i="49" s="1"/>
  <c r="K309" i="49"/>
  <c r="K311" i="49" s="1"/>
  <c r="H309" i="49"/>
  <c r="H311" i="49" s="1"/>
  <c r="E309" i="49"/>
  <c r="E311" i="49" s="1"/>
  <c r="D309" i="49"/>
  <c r="D311" i="49" s="1"/>
  <c r="C309" i="49"/>
  <c r="C311" i="49" s="1"/>
  <c r="S308" i="49"/>
  <c r="R308" i="49"/>
  <c r="P308" i="49"/>
  <c r="O308" i="49"/>
  <c r="M308" i="49"/>
  <c r="L308" i="49"/>
  <c r="J308" i="49"/>
  <c r="I308" i="49"/>
  <c r="G308" i="49"/>
  <c r="F308" i="49"/>
  <c r="Q307" i="49"/>
  <c r="N307" i="49"/>
  <c r="K307" i="49"/>
  <c r="H307" i="49"/>
  <c r="E307" i="49"/>
  <c r="D307" i="49"/>
  <c r="C307" i="49"/>
  <c r="B307" i="49" s="1"/>
  <c r="Q306" i="49"/>
  <c r="Q308" i="49" s="1"/>
  <c r="N306" i="49"/>
  <c r="N308" i="49" s="1"/>
  <c r="K306" i="49"/>
  <c r="K308" i="49" s="1"/>
  <c r="H306" i="49"/>
  <c r="H308" i="49" s="1"/>
  <c r="E306" i="49"/>
  <c r="E308" i="49" s="1"/>
  <c r="D306" i="49"/>
  <c r="D308" i="49" s="1"/>
  <c r="C306" i="49"/>
  <c r="C308" i="49" s="1"/>
  <c r="S305" i="49"/>
  <c r="R305" i="49"/>
  <c r="P305" i="49"/>
  <c r="O305" i="49"/>
  <c r="M305" i="49"/>
  <c r="L305" i="49"/>
  <c r="J305" i="49"/>
  <c r="I305" i="49"/>
  <c r="G305" i="49"/>
  <c r="F305" i="49"/>
  <c r="Q304" i="49"/>
  <c r="N304" i="49"/>
  <c r="K304" i="49"/>
  <c r="H304" i="49"/>
  <c r="E304" i="49"/>
  <c r="D304" i="49"/>
  <c r="C304" i="49"/>
  <c r="B304" i="49" s="1"/>
  <c r="Q303" i="49"/>
  <c r="Q305" i="49" s="1"/>
  <c r="N303" i="49"/>
  <c r="N305" i="49" s="1"/>
  <c r="K303" i="49"/>
  <c r="K305" i="49" s="1"/>
  <c r="H303" i="49"/>
  <c r="H305" i="49" s="1"/>
  <c r="E303" i="49"/>
  <c r="E305" i="49" s="1"/>
  <c r="D303" i="49"/>
  <c r="D305" i="49" s="1"/>
  <c r="C303" i="49"/>
  <c r="C305" i="49" s="1"/>
  <c r="S302" i="49"/>
  <c r="R302" i="49"/>
  <c r="P302" i="49"/>
  <c r="O302" i="49"/>
  <c r="M302" i="49"/>
  <c r="L302" i="49"/>
  <c r="J302" i="49"/>
  <c r="I302" i="49"/>
  <c r="G302" i="49"/>
  <c r="F302" i="49"/>
  <c r="Q301" i="49"/>
  <c r="N301" i="49"/>
  <c r="K301" i="49"/>
  <c r="H301" i="49"/>
  <c r="E301" i="49"/>
  <c r="D301" i="49"/>
  <c r="C301" i="49"/>
  <c r="B301" i="49" s="1"/>
  <c r="Q300" i="49"/>
  <c r="Q302" i="49" s="1"/>
  <c r="N300" i="49"/>
  <c r="N302" i="49" s="1"/>
  <c r="K300" i="49"/>
  <c r="K302" i="49" s="1"/>
  <c r="H300" i="49"/>
  <c r="H302" i="49" s="1"/>
  <c r="E300" i="49"/>
  <c r="E302" i="49" s="1"/>
  <c r="D300" i="49"/>
  <c r="D302" i="49" s="1"/>
  <c r="C300" i="49"/>
  <c r="C302" i="49" s="1"/>
  <c r="S299" i="49"/>
  <c r="R299" i="49"/>
  <c r="P299" i="49"/>
  <c r="O299" i="49"/>
  <c r="M299" i="49"/>
  <c r="L299" i="49"/>
  <c r="J299" i="49"/>
  <c r="I299" i="49"/>
  <c r="G299" i="49"/>
  <c r="F299" i="49"/>
  <c r="Q298" i="49"/>
  <c r="N298" i="49"/>
  <c r="K298" i="49"/>
  <c r="H298" i="49"/>
  <c r="E298" i="49"/>
  <c r="D298" i="49"/>
  <c r="C298" i="49"/>
  <c r="B298" i="49" s="1"/>
  <c r="Q297" i="49"/>
  <c r="Q299" i="49" s="1"/>
  <c r="N297" i="49"/>
  <c r="N299" i="49" s="1"/>
  <c r="K297" i="49"/>
  <c r="K299" i="49" s="1"/>
  <c r="H297" i="49"/>
  <c r="H299" i="49" s="1"/>
  <c r="E297" i="49"/>
  <c r="E299" i="49" s="1"/>
  <c r="D297" i="49"/>
  <c r="D299" i="49" s="1"/>
  <c r="C297" i="49"/>
  <c r="C299" i="49" s="1"/>
  <c r="S296" i="49"/>
  <c r="R296" i="49"/>
  <c r="P296" i="49"/>
  <c r="O296" i="49"/>
  <c r="M296" i="49"/>
  <c r="L296" i="49"/>
  <c r="J296" i="49"/>
  <c r="I296" i="49"/>
  <c r="G296" i="49"/>
  <c r="F296" i="49"/>
  <c r="Q295" i="49"/>
  <c r="N295" i="49"/>
  <c r="K295" i="49"/>
  <c r="H295" i="49"/>
  <c r="E295" i="49"/>
  <c r="D295" i="49"/>
  <c r="C295" i="49"/>
  <c r="B295" i="49" s="1"/>
  <c r="Q294" i="49"/>
  <c r="Q296" i="49" s="1"/>
  <c r="N294" i="49"/>
  <c r="N296" i="49" s="1"/>
  <c r="K294" i="49"/>
  <c r="K296" i="49" s="1"/>
  <c r="H294" i="49"/>
  <c r="H296" i="49" s="1"/>
  <c r="E294" i="49"/>
  <c r="E296" i="49" s="1"/>
  <c r="D294" i="49"/>
  <c r="D296" i="49" s="1"/>
  <c r="C294" i="49"/>
  <c r="C296" i="49" s="1"/>
  <c r="S293" i="49"/>
  <c r="R293" i="49"/>
  <c r="P293" i="49"/>
  <c r="O293" i="49"/>
  <c r="M293" i="49"/>
  <c r="L293" i="49"/>
  <c r="J293" i="49"/>
  <c r="I293" i="49"/>
  <c r="G293" i="49"/>
  <c r="F293" i="49"/>
  <c r="Q292" i="49"/>
  <c r="N292" i="49"/>
  <c r="K292" i="49"/>
  <c r="H292" i="49"/>
  <c r="E292" i="49"/>
  <c r="D292" i="49"/>
  <c r="C292" i="49"/>
  <c r="B292" i="49" s="1"/>
  <c r="Q291" i="49"/>
  <c r="Q293" i="49" s="1"/>
  <c r="N291" i="49"/>
  <c r="N293" i="49" s="1"/>
  <c r="K291" i="49"/>
  <c r="K293" i="49" s="1"/>
  <c r="H291" i="49"/>
  <c r="H293" i="49" s="1"/>
  <c r="E291" i="49"/>
  <c r="E293" i="49" s="1"/>
  <c r="D291" i="49"/>
  <c r="D293" i="49" s="1"/>
  <c r="C291" i="49"/>
  <c r="C293" i="49" s="1"/>
  <c r="S290" i="49"/>
  <c r="R290" i="49"/>
  <c r="P290" i="49"/>
  <c r="O290" i="49"/>
  <c r="M290" i="49"/>
  <c r="L290" i="49"/>
  <c r="J290" i="49"/>
  <c r="I290" i="49"/>
  <c r="G290" i="49"/>
  <c r="F290" i="49"/>
  <c r="Q289" i="49"/>
  <c r="N289" i="49"/>
  <c r="K289" i="49"/>
  <c r="H289" i="49"/>
  <c r="E289" i="49"/>
  <c r="D289" i="49"/>
  <c r="C289" i="49"/>
  <c r="B289" i="49" s="1"/>
  <c r="Q288" i="49"/>
  <c r="Q290" i="49" s="1"/>
  <c r="N288" i="49"/>
  <c r="N290" i="49" s="1"/>
  <c r="K288" i="49"/>
  <c r="K290" i="49" s="1"/>
  <c r="H288" i="49"/>
  <c r="H290" i="49" s="1"/>
  <c r="E288" i="49"/>
  <c r="E290" i="49" s="1"/>
  <c r="D288" i="49"/>
  <c r="D290" i="49" s="1"/>
  <c r="C288" i="49"/>
  <c r="C290" i="49" s="1"/>
  <c r="S287" i="49"/>
  <c r="R287" i="49"/>
  <c r="P287" i="49"/>
  <c r="O287" i="49"/>
  <c r="M287" i="49"/>
  <c r="L287" i="49"/>
  <c r="J287" i="49"/>
  <c r="I287" i="49"/>
  <c r="G287" i="49"/>
  <c r="F287" i="49"/>
  <c r="Q286" i="49"/>
  <c r="N286" i="49"/>
  <c r="K286" i="49"/>
  <c r="H286" i="49"/>
  <c r="E286" i="49"/>
  <c r="D286" i="49"/>
  <c r="C286" i="49"/>
  <c r="B286" i="49" s="1"/>
  <c r="Q285" i="49"/>
  <c r="Q287" i="49" s="1"/>
  <c r="N285" i="49"/>
  <c r="N287" i="49" s="1"/>
  <c r="K285" i="49"/>
  <c r="K287" i="49" s="1"/>
  <c r="H285" i="49"/>
  <c r="H287" i="49" s="1"/>
  <c r="E285" i="49"/>
  <c r="E287" i="49" s="1"/>
  <c r="D285" i="49"/>
  <c r="D287" i="49" s="1"/>
  <c r="C285" i="49"/>
  <c r="C287" i="49" s="1"/>
  <c r="S284" i="49"/>
  <c r="R284" i="49"/>
  <c r="P284" i="49"/>
  <c r="O284" i="49"/>
  <c r="M284" i="49"/>
  <c r="L284" i="49"/>
  <c r="J284" i="49"/>
  <c r="I284" i="49"/>
  <c r="G284" i="49"/>
  <c r="F284" i="49"/>
  <c r="Q283" i="49"/>
  <c r="N283" i="49"/>
  <c r="K283" i="49"/>
  <c r="H283" i="49"/>
  <c r="E283" i="49"/>
  <c r="D283" i="49"/>
  <c r="C283" i="49"/>
  <c r="B283" i="49" s="1"/>
  <c r="Q282" i="49"/>
  <c r="Q284" i="49" s="1"/>
  <c r="N282" i="49"/>
  <c r="N284" i="49" s="1"/>
  <c r="K282" i="49"/>
  <c r="K284" i="49" s="1"/>
  <c r="H282" i="49"/>
  <c r="H284" i="49" s="1"/>
  <c r="E282" i="49"/>
  <c r="E284" i="49" s="1"/>
  <c r="D282" i="49"/>
  <c r="D284" i="49" s="1"/>
  <c r="C282" i="49"/>
  <c r="C284" i="49" s="1"/>
  <c r="S281" i="49"/>
  <c r="R281" i="49"/>
  <c r="P281" i="49"/>
  <c r="O281" i="49"/>
  <c r="M281" i="49"/>
  <c r="L281" i="49"/>
  <c r="J281" i="49"/>
  <c r="I281" i="49"/>
  <c r="G281" i="49"/>
  <c r="F281" i="49"/>
  <c r="Q280" i="49"/>
  <c r="N280" i="49"/>
  <c r="K280" i="49"/>
  <c r="H280" i="49"/>
  <c r="E280" i="49"/>
  <c r="D280" i="49"/>
  <c r="C280" i="49"/>
  <c r="B280" i="49" s="1"/>
  <c r="Q279" i="49"/>
  <c r="Q281" i="49" s="1"/>
  <c r="N279" i="49"/>
  <c r="N281" i="49" s="1"/>
  <c r="K279" i="49"/>
  <c r="K281" i="49" s="1"/>
  <c r="H279" i="49"/>
  <c r="H281" i="49" s="1"/>
  <c r="E279" i="49"/>
  <c r="E281" i="49" s="1"/>
  <c r="D279" i="49"/>
  <c r="D281" i="49" s="1"/>
  <c r="C279" i="49"/>
  <c r="C281" i="49" s="1"/>
  <c r="S278" i="49"/>
  <c r="S371" i="49" s="1"/>
  <c r="R278" i="49"/>
  <c r="R371" i="49" s="1"/>
  <c r="P278" i="49"/>
  <c r="P371" i="49" s="1"/>
  <c r="O278" i="49"/>
  <c r="O371" i="49" s="1"/>
  <c r="M278" i="49"/>
  <c r="M371" i="49" s="1"/>
  <c r="L278" i="49"/>
  <c r="L371" i="49" s="1"/>
  <c r="J278" i="49"/>
  <c r="J371" i="49" s="1"/>
  <c r="I278" i="49"/>
  <c r="I371" i="49" s="1"/>
  <c r="G278" i="49"/>
  <c r="G371" i="49" s="1"/>
  <c r="F278" i="49"/>
  <c r="F371" i="49" s="1"/>
  <c r="Q277" i="49"/>
  <c r="Q370" i="49" s="1"/>
  <c r="N277" i="49"/>
  <c r="N370" i="49" s="1"/>
  <c r="K277" i="49"/>
  <c r="K370" i="49" s="1"/>
  <c r="H277" i="49"/>
  <c r="H370" i="49" s="1"/>
  <c r="E277" i="49"/>
  <c r="E370" i="49" s="1"/>
  <c r="D277" i="49"/>
  <c r="D370" i="49" s="1"/>
  <c r="C277" i="49"/>
  <c r="C370" i="49" s="1"/>
  <c r="Q276" i="49"/>
  <c r="Q369" i="49" s="1"/>
  <c r="N276" i="49"/>
  <c r="N369" i="49" s="1"/>
  <c r="K276" i="49"/>
  <c r="K369" i="49" s="1"/>
  <c r="H276" i="49"/>
  <c r="H369" i="49" s="1"/>
  <c r="E276" i="49"/>
  <c r="E369" i="49" s="1"/>
  <c r="D276" i="49"/>
  <c r="D369" i="49" s="1"/>
  <c r="C276" i="49"/>
  <c r="C369" i="49" s="1"/>
  <c r="S271" i="49"/>
  <c r="R271" i="49"/>
  <c r="P271" i="49"/>
  <c r="O271" i="49"/>
  <c r="M271" i="49"/>
  <c r="L271" i="49"/>
  <c r="J271" i="49"/>
  <c r="I271" i="49"/>
  <c r="G271" i="49"/>
  <c r="F271" i="49"/>
  <c r="S270" i="49"/>
  <c r="R270" i="49"/>
  <c r="P270" i="49"/>
  <c r="O270" i="49"/>
  <c r="M270" i="49"/>
  <c r="L270" i="49"/>
  <c r="J270" i="49"/>
  <c r="I270" i="49"/>
  <c r="G270" i="49"/>
  <c r="F270" i="49"/>
  <c r="S269" i="49"/>
  <c r="R269" i="49"/>
  <c r="P269" i="49"/>
  <c r="O269" i="49"/>
  <c r="M269" i="49"/>
  <c r="L269" i="49"/>
  <c r="J269" i="49"/>
  <c r="I269" i="49"/>
  <c r="G269" i="49"/>
  <c r="F269" i="49"/>
  <c r="Q268" i="49"/>
  <c r="N268" i="49"/>
  <c r="K268" i="49"/>
  <c r="H268" i="49"/>
  <c r="E268" i="49"/>
  <c r="D268" i="49"/>
  <c r="C268" i="49"/>
  <c r="B268" i="49" s="1"/>
  <c r="Q267" i="49"/>
  <c r="N267" i="49"/>
  <c r="N269" i="49" s="1"/>
  <c r="K267" i="49"/>
  <c r="H267" i="49"/>
  <c r="H269" i="49" s="1"/>
  <c r="E267" i="49"/>
  <c r="D267" i="49"/>
  <c r="D269" i="49" s="1"/>
  <c r="C267" i="49"/>
  <c r="C269" i="49" s="1"/>
  <c r="S266" i="49"/>
  <c r="R266" i="49"/>
  <c r="P266" i="49"/>
  <c r="O266" i="49"/>
  <c r="M266" i="49"/>
  <c r="L266" i="49"/>
  <c r="J266" i="49"/>
  <c r="I266" i="49"/>
  <c r="G266" i="49"/>
  <c r="F266" i="49"/>
  <c r="Q265" i="49"/>
  <c r="N265" i="49"/>
  <c r="K265" i="49"/>
  <c r="H265" i="49"/>
  <c r="E265" i="49"/>
  <c r="D265" i="49"/>
  <c r="C265" i="49"/>
  <c r="B265" i="49" s="1"/>
  <c r="Q264" i="49"/>
  <c r="N264" i="49"/>
  <c r="N266" i="49" s="1"/>
  <c r="K264" i="49"/>
  <c r="H264" i="49"/>
  <c r="H266" i="49" s="1"/>
  <c r="E264" i="49"/>
  <c r="D264" i="49"/>
  <c r="D266" i="49" s="1"/>
  <c r="C264" i="49"/>
  <c r="C266" i="49" s="1"/>
  <c r="S263" i="49"/>
  <c r="R263" i="49"/>
  <c r="P263" i="49"/>
  <c r="O263" i="49"/>
  <c r="M263" i="49"/>
  <c r="L263" i="49"/>
  <c r="J263" i="49"/>
  <c r="I263" i="49"/>
  <c r="G263" i="49"/>
  <c r="F263" i="49"/>
  <c r="Q262" i="49"/>
  <c r="N262" i="49"/>
  <c r="K262" i="49"/>
  <c r="H262" i="49"/>
  <c r="E262" i="49"/>
  <c r="D262" i="49"/>
  <c r="C262" i="49"/>
  <c r="B262" i="49" s="1"/>
  <c r="Q261" i="49"/>
  <c r="Q263" i="49" s="1"/>
  <c r="N261" i="49"/>
  <c r="N263" i="49" s="1"/>
  <c r="K261" i="49"/>
  <c r="K263" i="49" s="1"/>
  <c r="H261" i="49"/>
  <c r="H263" i="49" s="1"/>
  <c r="E261" i="49"/>
  <c r="E263" i="49" s="1"/>
  <c r="D261" i="49"/>
  <c r="D263" i="49" s="1"/>
  <c r="C261" i="49"/>
  <c r="C263" i="49" s="1"/>
  <c r="S260" i="49"/>
  <c r="R260" i="49"/>
  <c r="P260" i="49"/>
  <c r="O260" i="49"/>
  <c r="M260" i="49"/>
  <c r="L260" i="49"/>
  <c r="J260" i="49"/>
  <c r="I260" i="49"/>
  <c r="G260" i="49"/>
  <c r="F260" i="49"/>
  <c r="Q259" i="49"/>
  <c r="N259" i="49"/>
  <c r="K259" i="49"/>
  <c r="H259" i="49"/>
  <c r="E259" i="49"/>
  <c r="D259" i="49"/>
  <c r="C259" i="49"/>
  <c r="B259" i="49" s="1"/>
  <c r="Q258" i="49"/>
  <c r="N258" i="49"/>
  <c r="N260" i="49" s="1"/>
  <c r="K258" i="49"/>
  <c r="K260" i="49" s="1"/>
  <c r="H258" i="49"/>
  <c r="H260" i="49" s="1"/>
  <c r="E258" i="49"/>
  <c r="E260" i="49" s="1"/>
  <c r="D258" i="49"/>
  <c r="D260" i="49" s="1"/>
  <c r="C258" i="49"/>
  <c r="C260" i="49" s="1"/>
  <c r="S257" i="49"/>
  <c r="R257" i="49"/>
  <c r="P257" i="49"/>
  <c r="O257" i="49"/>
  <c r="M257" i="49"/>
  <c r="L257" i="49"/>
  <c r="J257" i="49"/>
  <c r="I257" i="49"/>
  <c r="G257" i="49"/>
  <c r="F257" i="49"/>
  <c r="Q256" i="49"/>
  <c r="N256" i="49"/>
  <c r="K256" i="49"/>
  <c r="H256" i="49"/>
  <c r="E256" i="49"/>
  <c r="D256" i="49"/>
  <c r="C256" i="49"/>
  <c r="B256" i="49" s="1"/>
  <c r="Q255" i="49"/>
  <c r="Q257" i="49" s="1"/>
  <c r="N255" i="49"/>
  <c r="N257" i="49" s="1"/>
  <c r="K255" i="49"/>
  <c r="K257" i="49" s="1"/>
  <c r="H255" i="49"/>
  <c r="H257" i="49" s="1"/>
  <c r="E255" i="49"/>
  <c r="E257" i="49" s="1"/>
  <c r="D255" i="49"/>
  <c r="D257" i="49" s="1"/>
  <c r="C255" i="49"/>
  <c r="C257" i="49" s="1"/>
  <c r="S254" i="49"/>
  <c r="R254" i="49"/>
  <c r="P254" i="49"/>
  <c r="O254" i="49"/>
  <c r="M254" i="49"/>
  <c r="L254" i="49"/>
  <c r="J254" i="49"/>
  <c r="I254" i="49"/>
  <c r="G254" i="49"/>
  <c r="F254" i="49"/>
  <c r="Q253" i="49"/>
  <c r="N253" i="49"/>
  <c r="K253" i="49"/>
  <c r="H253" i="49"/>
  <c r="E253" i="49"/>
  <c r="D253" i="49"/>
  <c r="C253" i="49"/>
  <c r="B253" i="49" s="1"/>
  <c r="Q252" i="49"/>
  <c r="Q254" i="49" s="1"/>
  <c r="N252" i="49"/>
  <c r="N254" i="49" s="1"/>
  <c r="K252" i="49"/>
  <c r="K254" i="49" s="1"/>
  <c r="H252" i="49"/>
  <c r="H254" i="49" s="1"/>
  <c r="E252" i="49"/>
  <c r="E254" i="49" s="1"/>
  <c r="D252" i="49"/>
  <c r="D254" i="49" s="1"/>
  <c r="C252" i="49"/>
  <c r="C254" i="49" s="1"/>
  <c r="S251" i="49"/>
  <c r="R251" i="49"/>
  <c r="P251" i="49"/>
  <c r="O251" i="49"/>
  <c r="M251" i="49"/>
  <c r="L251" i="49"/>
  <c r="J251" i="49"/>
  <c r="I251" i="49"/>
  <c r="G251" i="49"/>
  <c r="F251" i="49"/>
  <c r="Q250" i="49"/>
  <c r="N250" i="49"/>
  <c r="K250" i="49"/>
  <c r="H250" i="49"/>
  <c r="E250" i="49"/>
  <c r="D250" i="49"/>
  <c r="C250" i="49"/>
  <c r="B250" i="49" s="1"/>
  <c r="Q249" i="49"/>
  <c r="Q251" i="49" s="1"/>
  <c r="N249" i="49"/>
  <c r="N251" i="49" s="1"/>
  <c r="K249" i="49"/>
  <c r="K251" i="49" s="1"/>
  <c r="H249" i="49"/>
  <c r="H251" i="49" s="1"/>
  <c r="E249" i="49"/>
  <c r="E251" i="49" s="1"/>
  <c r="D249" i="49"/>
  <c r="D251" i="49" s="1"/>
  <c r="C249" i="49"/>
  <c r="C251" i="49" s="1"/>
  <c r="S248" i="49"/>
  <c r="R248" i="49"/>
  <c r="P248" i="49"/>
  <c r="O248" i="49"/>
  <c r="M248" i="49"/>
  <c r="L248" i="49"/>
  <c r="J248" i="49"/>
  <c r="I248" i="49"/>
  <c r="G248" i="49"/>
  <c r="F248" i="49"/>
  <c r="Q247" i="49"/>
  <c r="N247" i="49"/>
  <c r="K247" i="49"/>
  <c r="H247" i="49"/>
  <c r="E247" i="49"/>
  <c r="D247" i="49"/>
  <c r="C247" i="49"/>
  <c r="B247" i="49" s="1"/>
  <c r="Q246" i="49"/>
  <c r="Q248" i="49" s="1"/>
  <c r="N246" i="49"/>
  <c r="N248" i="49" s="1"/>
  <c r="K246" i="49"/>
  <c r="K248" i="49" s="1"/>
  <c r="H246" i="49"/>
  <c r="H248" i="49" s="1"/>
  <c r="E246" i="49"/>
  <c r="E248" i="49" s="1"/>
  <c r="D246" i="49"/>
  <c r="D248" i="49" s="1"/>
  <c r="C246" i="49"/>
  <c r="C248" i="49" s="1"/>
  <c r="S245" i="49"/>
  <c r="R245" i="49"/>
  <c r="P245" i="49"/>
  <c r="O245" i="49"/>
  <c r="M245" i="49"/>
  <c r="L245" i="49"/>
  <c r="J245" i="49"/>
  <c r="I245" i="49"/>
  <c r="G245" i="49"/>
  <c r="F245" i="49"/>
  <c r="Q244" i="49"/>
  <c r="N244" i="49"/>
  <c r="K244" i="49"/>
  <c r="H244" i="49"/>
  <c r="E244" i="49"/>
  <c r="D244" i="49"/>
  <c r="C244" i="49"/>
  <c r="B244" i="49" s="1"/>
  <c r="Q243" i="49"/>
  <c r="Q245" i="49" s="1"/>
  <c r="N243" i="49"/>
  <c r="N245" i="49" s="1"/>
  <c r="K243" i="49"/>
  <c r="K245" i="49" s="1"/>
  <c r="H243" i="49"/>
  <c r="H245" i="49" s="1"/>
  <c r="E243" i="49"/>
  <c r="E245" i="49" s="1"/>
  <c r="D243" i="49"/>
  <c r="D245" i="49" s="1"/>
  <c r="C243" i="49"/>
  <c r="C245" i="49" s="1"/>
  <c r="S242" i="49"/>
  <c r="S272" i="49" s="1"/>
  <c r="R242" i="49"/>
  <c r="R272" i="49" s="1"/>
  <c r="P242" i="49"/>
  <c r="P272" i="49" s="1"/>
  <c r="O242" i="49"/>
  <c r="O272" i="49" s="1"/>
  <c r="M242" i="49"/>
  <c r="M272" i="49" s="1"/>
  <c r="L242" i="49"/>
  <c r="L272" i="49" s="1"/>
  <c r="J242" i="49"/>
  <c r="J272" i="49" s="1"/>
  <c r="I242" i="49"/>
  <c r="I272" i="49" s="1"/>
  <c r="G242" i="49"/>
  <c r="G272" i="49" s="1"/>
  <c r="F242" i="49"/>
  <c r="F272" i="49" s="1"/>
  <c r="Q241" i="49"/>
  <c r="Q271" i="49" s="1"/>
  <c r="N241" i="49"/>
  <c r="N271" i="49" s="1"/>
  <c r="K241" i="49"/>
  <c r="K271" i="49" s="1"/>
  <c r="H241" i="49"/>
  <c r="H271" i="49" s="1"/>
  <c r="E241" i="49"/>
  <c r="E271" i="49" s="1"/>
  <c r="D241" i="49"/>
  <c r="D271" i="49" s="1"/>
  <c r="C241" i="49"/>
  <c r="C271" i="49" s="1"/>
  <c r="Q240" i="49"/>
  <c r="Q270" i="49" s="1"/>
  <c r="N240" i="49"/>
  <c r="N270" i="49" s="1"/>
  <c r="K240" i="49"/>
  <c r="K270" i="49" s="1"/>
  <c r="H240" i="49"/>
  <c r="H270" i="49" s="1"/>
  <c r="E240" i="49"/>
  <c r="E270" i="49" s="1"/>
  <c r="D240" i="49"/>
  <c r="D270" i="49" s="1"/>
  <c r="C240" i="49"/>
  <c r="C270" i="49" s="1"/>
  <c r="S235" i="49"/>
  <c r="R235" i="49"/>
  <c r="P235" i="49"/>
  <c r="O235" i="49"/>
  <c r="M235" i="49"/>
  <c r="L235" i="49"/>
  <c r="J235" i="49"/>
  <c r="I235" i="49"/>
  <c r="G235" i="49"/>
  <c r="F235" i="49"/>
  <c r="S234" i="49"/>
  <c r="R234" i="49"/>
  <c r="P234" i="49"/>
  <c r="O234" i="49"/>
  <c r="M234" i="49"/>
  <c r="L234" i="49"/>
  <c r="J234" i="49"/>
  <c r="I234" i="49"/>
  <c r="G234" i="49"/>
  <c r="F234" i="49"/>
  <c r="S233" i="49"/>
  <c r="R233" i="49"/>
  <c r="P233" i="49"/>
  <c r="O233" i="49"/>
  <c r="M233" i="49"/>
  <c r="L233" i="49"/>
  <c r="J233" i="49"/>
  <c r="I233" i="49"/>
  <c r="G233" i="49"/>
  <c r="F233" i="49"/>
  <c r="Q232" i="49"/>
  <c r="N232" i="49"/>
  <c r="K232" i="49"/>
  <c r="H232" i="49"/>
  <c r="E232" i="49"/>
  <c r="D232" i="49"/>
  <c r="C232" i="49"/>
  <c r="B232" i="49" s="1"/>
  <c r="Q231" i="49"/>
  <c r="Q233" i="49" s="1"/>
  <c r="N231" i="49"/>
  <c r="N233" i="49" s="1"/>
  <c r="K231" i="49"/>
  <c r="K233" i="49" s="1"/>
  <c r="H231" i="49"/>
  <c r="H233" i="49" s="1"/>
  <c r="E231" i="49"/>
  <c r="E233" i="49" s="1"/>
  <c r="D231" i="49"/>
  <c r="D233" i="49" s="1"/>
  <c r="C231" i="49"/>
  <c r="C233" i="49" s="1"/>
  <c r="S230" i="49"/>
  <c r="R230" i="49"/>
  <c r="P230" i="49"/>
  <c r="O230" i="49"/>
  <c r="M230" i="49"/>
  <c r="L230" i="49"/>
  <c r="J230" i="49"/>
  <c r="I230" i="49"/>
  <c r="G230" i="49"/>
  <c r="F230" i="49"/>
  <c r="Q229" i="49"/>
  <c r="N229" i="49"/>
  <c r="K229" i="49"/>
  <c r="H229" i="49"/>
  <c r="E229" i="49"/>
  <c r="D229" i="49"/>
  <c r="C229" i="49"/>
  <c r="Q228" i="49"/>
  <c r="Q230" i="49" s="1"/>
  <c r="N228" i="49"/>
  <c r="N230" i="49" s="1"/>
  <c r="K228" i="49"/>
  <c r="K230" i="49" s="1"/>
  <c r="H228" i="49"/>
  <c r="H230" i="49" s="1"/>
  <c r="E228" i="49"/>
  <c r="E230" i="49" s="1"/>
  <c r="D228" i="49"/>
  <c r="D230" i="49" s="1"/>
  <c r="C228" i="49"/>
  <c r="C230" i="49" s="1"/>
  <c r="S227" i="49"/>
  <c r="R227" i="49"/>
  <c r="P227" i="49"/>
  <c r="O227" i="49"/>
  <c r="M227" i="49"/>
  <c r="L227" i="49"/>
  <c r="J227" i="49"/>
  <c r="I227" i="49"/>
  <c r="G227" i="49"/>
  <c r="F227" i="49"/>
  <c r="Q226" i="49"/>
  <c r="N226" i="49"/>
  <c r="K226" i="49"/>
  <c r="H226" i="49"/>
  <c r="E226" i="49"/>
  <c r="D226" i="49"/>
  <c r="C226" i="49"/>
  <c r="B226" i="49"/>
  <c r="Q225" i="49"/>
  <c r="Q227" i="49" s="1"/>
  <c r="N225" i="49"/>
  <c r="N227" i="49" s="1"/>
  <c r="K225" i="49"/>
  <c r="K227" i="49" s="1"/>
  <c r="H225" i="49"/>
  <c r="H227" i="49" s="1"/>
  <c r="E225" i="49"/>
  <c r="E227" i="49" s="1"/>
  <c r="D225" i="49"/>
  <c r="D227" i="49" s="1"/>
  <c r="C225" i="49"/>
  <c r="C227" i="49" s="1"/>
  <c r="B225" i="49"/>
  <c r="B227" i="49" s="1"/>
  <c r="S224" i="49"/>
  <c r="R224" i="49"/>
  <c r="P224" i="49"/>
  <c r="O224" i="49"/>
  <c r="M224" i="49"/>
  <c r="L224" i="49"/>
  <c r="J224" i="49"/>
  <c r="I224" i="49"/>
  <c r="G224" i="49"/>
  <c r="F224" i="49"/>
  <c r="Q223" i="49"/>
  <c r="N223" i="49"/>
  <c r="K223" i="49"/>
  <c r="H223" i="49"/>
  <c r="E223" i="49"/>
  <c r="D223" i="49"/>
  <c r="C223" i="49"/>
  <c r="B223" i="49"/>
  <c r="Q222" i="49"/>
  <c r="Q224" i="49" s="1"/>
  <c r="N222" i="49"/>
  <c r="N224" i="49" s="1"/>
  <c r="K222" i="49"/>
  <c r="K224" i="49" s="1"/>
  <c r="H222" i="49"/>
  <c r="H224" i="49" s="1"/>
  <c r="E222" i="49"/>
  <c r="E224" i="49" s="1"/>
  <c r="D222" i="49"/>
  <c r="D224" i="49" s="1"/>
  <c r="C222" i="49"/>
  <c r="C224" i="49" s="1"/>
  <c r="B222" i="49"/>
  <c r="B224" i="49" s="1"/>
  <c r="S221" i="49"/>
  <c r="R221" i="49"/>
  <c r="P221" i="49"/>
  <c r="O221" i="49"/>
  <c r="M221" i="49"/>
  <c r="L221" i="49"/>
  <c r="J221" i="49"/>
  <c r="I221" i="49"/>
  <c r="G221" i="49"/>
  <c r="F221" i="49"/>
  <c r="Q220" i="49"/>
  <c r="N220" i="49"/>
  <c r="K220" i="49"/>
  <c r="H220" i="49"/>
  <c r="E220" i="49"/>
  <c r="D220" i="49"/>
  <c r="C220" i="49"/>
  <c r="B220" i="49"/>
  <c r="Q219" i="49"/>
  <c r="Q221" i="49" s="1"/>
  <c r="N219" i="49"/>
  <c r="N221" i="49" s="1"/>
  <c r="K219" i="49"/>
  <c r="K221" i="49" s="1"/>
  <c r="H219" i="49"/>
  <c r="H221" i="49" s="1"/>
  <c r="E219" i="49"/>
  <c r="E221" i="49" s="1"/>
  <c r="D219" i="49"/>
  <c r="D221" i="49" s="1"/>
  <c r="C219" i="49"/>
  <c r="C221" i="49" s="1"/>
  <c r="B219" i="49"/>
  <c r="B221" i="49" s="1"/>
  <c r="S218" i="49"/>
  <c r="R218" i="49"/>
  <c r="P218" i="49"/>
  <c r="O218" i="49"/>
  <c r="M218" i="49"/>
  <c r="L218" i="49"/>
  <c r="J218" i="49"/>
  <c r="I218" i="49"/>
  <c r="G218" i="49"/>
  <c r="F218" i="49"/>
  <c r="Q217" i="49"/>
  <c r="N217" i="49"/>
  <c r="K217" i="49"/>
  <c r="H217" i="49"/>
  <c r="E217" i="49"/>
  <c r="D217" i="49"/>
  <c r="C217" i="49"/>
  <c r="B217" i="49"/>
  <c r="Q216" i="49"/>
  <c r="Q218" i="49" s="1"/>
  <c r="N216" i="49"/>
  <c r="N218" i="49" s="1"/>
  <c r="K216" i="49"/>
  <c r="K218" i="49" s="1"/>
  <c r="H216" i="49"/>
  <c r="H218" i="49" s="1"/>
  <c r="E216" i="49"/>
  <c r="E218" i="49" s="1"/>
  <c r="D216" i="49"/>
  <c r="D218" i="49" s="1"/>
  <c r="C216" i="49"/>
  <c r="C218" i="49" s="1"/>
  <c r="B216" i="49"/>
  <c r="B218" i="49" s="1"/>
  <c r="S215" i="49"/>
  <c r="R215" i="49"/>
  <c r="P215" i="49"/>
  <c r="O215" i="49"/>
  <c r="M215" i="49"/>
  <c r="L215" i="49"/>
  <c r="J215" i="49"/>
  <c r="I215" i="49"/>
  <c r="G215" i="49"/>
  <c r="F215" i="49"/>
  <c r="Q214" i="49"/>
  <c r="N214" i="49"/>
  <c r="K214" i="49"/>
  <c r="H214" i="49"/>
  <c r="E214" i="49"/>
  <c r="D214" i="49"/>
  <c r="C214" i="49"/>
  <c r="B214" i="49"/>
  <c r="Q213" i="49"/>
  <c r="Q215" i="49" s="1"/>
  <c r="N213" i="49"/>
  <c r="N215" i="49" s="1"/>
  <c r="K213" i="49"/>
  <c r="K215" i="49" s="1"/>
  <c r="H213" i="49"/>
  <c r="H215" i="49" s="1"/>
  <c r="E213" i="49"/>
  <c r="E215" i="49" s="1"/>
  <c r="D213" i="49"/>
  <c r="D215" i="49" s="1"/>
  <c r="C213" i="49"/>
  <c r="C215" i="49" s="1"/>
  <c r="B213" i="49"/>
  <c r="B215" i="49" s="1"/>
  <c r="S212" i="49"/>
  <c r="R212" i="49"/>
  <c r="P212" i="49"/>
  <c r="O212" i="49"/>
  <c r="M212" i="49"/>
  <c r="L212" i="49"/>
  <c r="J212" i="49"/>
  <c r="I212" i="49"/>
  <c r="G212" i="49"/>
  <c r="F212" i="49"/>
  <c r="Q211" i="49"/>
  <c r="N211" i="49"/>
  <c r="K211" i="49"/>
  <c r="H211" i="49"/>
  <c r="E211" i="49"/>
  <c r="D211" i="49"/>
  <c r="C211" i="49"/>
  <c r="B211" i="49"/>
  <c r="Q210" i="49"/>
  <c r="Q212" i="49" s="1"/>
  <c r="N210" i="49"/>
  <c r="N212" i="49" s="1"/>
  <c r="K210" i="49"/>
  <c r="K212" i="49" s="1"/>
  <c r="H210" i="49"/>
  <c r="H212" i="49" s="1"/>
  <c r="E210" i="49"/>
  <c r="E212" i="49" s="1"/>
  <c r="D210" i="49"/>
  <c r="D212" i="49" s="1"/>
  <c r="C210" i="49"/>
  <c r="C212" i="49" s="1"/>
  <c r="B210" i="49"/>
  <c r="B212" i="49" s="1"/>
  <c r="S209" i="49"/>
  <c r="R209" i="49"/>
  <c r="P209" i="49"/>
  <c r="O209" i="49"/>
  <c r="M209" i="49"/>
  <c r="L209" i="49"/>
  <c r="J209" i="49"/>
  <c r="I209" i="49"/>
  <c r="G209" i="49"/>
  <c r="F209" i="49"/>
  <c r="Q208" i="49"/>
  <c r="N208" i="49"/>
  <c r="K208" i="49"/>
  <c r="H208" i="49"/>
  <c r="E208" i="49"/>
  <c r="D208" i="49"/>
  <c r="C208" i="49"/>
  <c r="B208" i="49"/>
  <c r="Q207" i="49"/>
  <c r="Q209" i="49" s="1"/>
  <c r="N207" i="49"/>
  <c r="N209" i="49" s="1"/>
  <c r="K207" i="49"/>
  <c r="K209" i="49" s="1"/>
  <c r="H207" i="49"/>
  <c r="H209" i="49" s="1"/>
  <c r="E207" i="49"/>
  <c r="E209" i="49" s="1"/>
  <c r="D207" i="49"/>
  <c r="D209" i="49" s="1"/>
  <c r="C207" i="49"/>
  <c r="C209" i="49" s="1"/>
  <c r="B207" i="49"/>
  <c r="B209" i="49" s="1"/>
  <c r="S206" i="49"/>
  <c r="R206" i="49"/>
  <c r="P206" i="49"/>
  <c r="O206" i="49"/>
  <c r="M206" i="49"/>
  <c r="L206" i="49"/>
  <c r="J206" i="49"/>
  <c r="I206" i="49"/>
  <c r="G206" i="49"/>
  <c r="F206" i="49"/>
  <c r="Q205" i="49"/>
  <c r="N205" i="49"/>
  <c r="K205" i="49"/>
  <c r="H205" i="49"/>
  <c r="E205" i="49"/>
  <c r="D205" i="49"/>
  <c r="C205" i="49"/>
  <c r="B205" i="49"/>
  <c r="Q204" i="49"/>
  <c r="Q206" i="49" s="1"/>
  <c r="N204" i="49"/>
  <c r="N206" i="49" s="1"/>
  <c r="K204" i="49"/>
  <c r="K206" i="49" s="1"/>
  <c r="H204" i="49"/>
  <c r="H206" i="49" s="1"/>
  <c r="E204" i="49"/>
  <c r="E206" i="49" s="1"/>
  <c r="D204" i="49"/>
  <c r="D206" i="49" s="1"/>
  <c r="C204" i="49"/>
  <c r="C206" i="49" s="1"/>
  <c r="B204" i="49"/>
  <c r="B206" i="49" s="1"/>
  <c r="S203" i="49"/>
  <c r="R203" i="49"/>
  <c r="P203" i="49"/>
  <c r="O203" i="49"/>
  <c r="M203" i="49"/>
  <c r="L203" i="49"/>
  <c r="J203" i="49"/>
  <c r="I203" i="49"/>
  <c r="G203" i="49"/>
  <c r="F203" i="49"/>
  <c r="Q202" i="49"/>
  <c r="N202" i="49"/>
  <c r="K202" i="49"/>
  <c r="H202" i="49"/>
  <c r="E202" i="49"/>
  <c r="D202" i="49"/>
  <c r="C202" i="49"/>
  <c r="B202" i="49"/>
  <c r="Q201" i="49"/>
  <c r="Q203" i="49" s="1"/>
  <c r="N201" i="49"/>
  <c r="N203" i="49" s="1"/>
  <c r="K201" i="49"/>
  <c r="K203" i="49" s="1"/>
  <c r="H201" i="49"/>
  <c r="H203" i="49" s="1"/>
  <c r="E201" i="49"/>
  <c r="E203" i="49" s="1"/>
  <c r="D201" i="49"/>
  <c r="D203" i="49" s="1"/>
  <c r="C201" i="49"/>
  <c r="C203" i="49" s="1"/>
  <c r="B201" i="49"/>
  <c r="B203" i="49" s="1"/>
  <c r="S200" i="49"/>
  <c r="R200" i="49"/>
  <c r="P200" i="49"/>
  <c r="O200" i="49"/>
  <c r="M200" i="49"/>
  <c r="L200" i="49"/>
  <c r="J200" i="49"/>
  <c r="I200" i="49"/>
  <c r="G200" i="49"/>
  <c r="F200" i="49"/>
  <c r="Q199" i="49"/>
  <c r="N199" i="49"/>
  <c r="K199" i="49"/>
  <c r="H199" i="49"/>
  <c r="E199" i="49"/>
  <c r="D199" i="49"/>
  <c r="C199" i="49"/>
  <c r="B199" i="49"/>
  <c r="Q198" i="49"/>
  <c r="Q200" i="49" s="1"/>
  <c r="N198" i="49"/>
  <c r="N200" i="49" s="1"/>
  <c r="K198" i="49"/>
  <c r="K200" i="49" s="1"/>
  <c r="H198" i="49"/>
  <c r="H200" i="49" s="1"/>
  <c r="E198" i="49"/>
  <c r="E200" i="49" s="1"/>
  <c r="D198" i="49"/>
  <c r="D200" i="49" s="1"/>
  <c r="C198" i="49"/>
  <c r="C200" i="49" s="1"/>
  <c r="B198" i="49"/>
  <c r="B200" i="49" s="1"/>
  <c r="S197" i="49"/>
  <c r="R197" i="49"/>
  <c r="P197" i="49"/>
  <c r="O197" i="49"/>
  <c r="M197" i="49"/>
  <c r="L197" i="49"/>
  <c r="J197" i="49"/>
  <c r="I197" i="49"/>
  <c r="G197" i="49"/>
  <c r="F197" i="49"/>
  <c r="Q196" i="49"/>
  <c r="N196" i="49"/>
  <c r="K196" i="49"/>
  <c r="H196" i="49"/>
  <c r="E196" i="49"/>
  <c r="D196" i="49"/>
  <c r="C196" i="49"/>
  <c r="B196" i="49"/>
  <c r="Q195" i="49"/>
  <c r="Q197" i="49" s="1"/>
  <c r="N195" i="49"/>
  <c r="N197" i="49" s="1"/>
  <c r="K195" i="49"/>
  <c r="K197" i="49" s="1"/>
  <c r="H195" i="49"/>
  <c r="H197" i="49" s="1"/>
  <c r="E195" i="49"/>
  <c r="E197" i="49" s="1"/>
  <c r="D195" i="49"/>
  <c r="D197" i="49" s="1"/>
  <c r="C195" i="49"/>
  <c r="C197" i="49" s="1"/>
  <c r="B195" i="49"/>
  <c r="B197" i="49" s="1"/>
  <c r="S194" i="49"/>
  <c r="R194" i="49"/>
  <c r="P194" i="49"/>
  <c r="O194" i="49"/>
  <c r="M194" i="49"/>
  <c r="L194" i="49"/>
  <c r="J194" i="49"/>
  <c r="I194" i="49"/>
  <c r="G194" i="49"/>
  <c r="F194" i="49"/>
  <c r="Q193" i="49"/>
  <c r="N193" i="49"/>
  <c r="K193" i="49"/>
  <c r="H193" i="49"/>
  <c r="E193" i="49"/>
  <c r="D193" i="49"/>
  <c r="C193" i="49"/>
  <c r="B193" i="49"/>
  <c r="Q192" i="49"/>
  <c r="Q194" i="49" s="1"/>
  <c r="N192" i="49"/>
  <c r="N194" i="49" s="1"/>
  <c r="K192" i="49"/>
  <c r="K194" i="49" s="1"/>
  <c r="H192" i="49"/>
  <c r="H194" i="49" s="1"/>
  <c r="E192" i="49"/>
  <c r="E194" i="49" s="1"/>
  <c r="D192" i="49"/>
  <c r="D194" i="49" s="1"/>
  <c r="C192" i="49"/>
  <c r="C194" i="49" s="1"/>
  <c r="B192" i="49"/>
  <c r="B194" i="49" s="1"/>
  <c r="S191" i="49"/>
  <c r="R191" i="49"/>
  <c r="P191" i="49"/>
  <c r="O191" i="49"/>
  <c r="M191" i="49"/>
  <c r="L191" i="49"/>
  <c r="J191" i="49"/>
  <c r="I191" i="49"/>
  <c r="G191" i="49"/>
  <c r="F191" i="49"/>
  <c r="Q190" i="49"/>
  <c r="N190" i="49"/>
  <c r="K190" i="49"/>
  <c r="H190" i="49"/>
  <c r="E190" i="49"/>
  <c r="D190" i="49"/>
  <c r="C190" i="49"/>
  <c r="B190" i="49"/>
  <c r="Q189" i="49"/>
  <c r="Q191" i="49" s="1"/>
  <c r="N189" i="49"/>
  <c r="N191" i="49" s="1"/>
  <c r="K189" i="49"/>
  <c r="K191" i="49" s="1"/>
  <c r="H189" i="49"/>
  <c r="H191" i="49" s="1"/>
  <c r="E189" i="49"/>
  <c r="E191" i="49" s="1"/>
  <c r="D189" i="49"/>
  <c r="D191" i="49" s="1"/>
  <c r="C189" i="49"/>
  <c r="C191" i="49" s="1"/>
  <c r="B189" i="49"/>
  <c r="B191" i="49" s="1"/>
  <c r="S188" i="49"/>
  <c r="R188" i="49"/>
  <c r="P188" i="49"/>
  <c r="O188" i="49"/>
  <c r="M188" i="49"/>
  <c r="L188" i="49"/>
  <c r="J188" i="49"/>
  <c r="I188" i="49"/>
  <c r="G188" i="49"/>
  <c r="F188" i="49"/>
  <c r="Q187" i="49"/>
  <c r="N187" i="49"/>
  <c r="K187" i="49"/>
  <c r="H187" i="49"/>
  <c r="E187" i="49"/>
  <c r="D187" i="49"/>
  <c r="C187" i="49"/>
  <c r="B187" i="49"/>
  <c r="Q186" i="49"/>
  <c r="Q188" i="49" s="1"/>
  <c r="N186" i="49"/>
  <c r="N188" i="49" s="1"/>
  <c r="K186" i="49"/>
  <c r="K188" i="49" s="1"/>
  <c r="H186" i="49"/>
  <c r="H188" i="49" s="1"/>
  <c r="E186" i="49"/>
  <c r="E188" i="49" s="1"/>
  <c r="D186" i="49"/>
  <c r="D188" i="49" s="1"/>
  <c r="C186" i="49"/>
  <c r="C188" i="49" s="1"/>
  <c r="B186" i="49"/>
  <c r="B188" i="49" s="1"/>
  <c r="S185" i="49"/>
  <c r="R185" i="49"/>
  <c r="P185" i="49"/>
  <c r="O185" i="49"/>
  <c r="M185" i="49"/>
  <c r="L185" i="49"/>
  <c r="J185" i="49"/>
  <c r="I185" i="49"/>
  <c r="G185" i="49"/>
  <c r="F185" i="49"/>
  <c r="Q184" i="49"/>
  <c r="N184" i="49"/>
  <c r="K184" i="49"/>
  <c r="H184" i="49"/>
  <c r="E184" i="49"/>
  <c r="D184" i="49"/>
  <c r="C184" i="49"/>
  <c r="B184" i="49"/>
  <c r="Q183" i="49"/>
  <c r="Q185" i="49" s="1"/>
  <c r="N183" i="49"/>
  <c r="N185" i="49" s="1"/>
  <c r="K183" i="49"/>
  <c r="K185" i="49" s="1"/>
  <c r="H183" i="49"/>
  <c r="H185" i="49" s="1"/>
  <c r="E183" i="49"/>
  <c r="E185" i="49" s="1"/>
  <c r="D183" i="49"/>
  <c r="D185" i="49" s="1"/>
  <c r="C183" i="49"/>
  <c r="C185" i="49" s="1"/>
  <c r="B183" i="49"/>
  <c r="B185" i="49" s="1"/>
  <c r="S182" i="49"/>
  <c r="R182" i="49"/>
  <c r="P182" i="49"/>
  <c r="O182" i="49"/>
  <c r="M182" i="49"/>
  <c r="L182" i="49"/>
  <c r="J182" i="49"/>
  <c r="I182" i="49"/>
  <c r="G182" i="49"/>
  <c r="F182" i="49"/>
  <c r="Q181" i="49"/>
  <c r="N181" i="49"/>
  <c r="K181" i="49"/>
  <c r="H181" i="49"/>
  <c r="E181" i="49"/>
  <c r="D181" i="49"/>
  <c r="C181" i="49"/>
  <c r="B181" i="49"/>
  <c r="Q180" i="49"/>
  <c r="Q182" i="49" s="1"/>
  <c r="N180" i="49"/>
  <c r="N182" i="49" s="1"/>
  <c r="K180" i="49"/>
  <c r="K182" i="49" s="1"/>
  <c r="H180" i="49"/>
  <c r="H182" i="49" s="1"/>
  <c r="E180" i="49"/>
  <c r="E182" i="49" s="1"/>
  <c r="D180" i="49"/>
  <c r="D182" i="49" s="1"/>
  <c r="C180" i="49"/>
  <c r="C182" i="49" s="1"/>
  <c r="B180" i="49"/>
  <c r="B182" i="49" s="1"/>
  <c r="S179" i="49"/>
  <c r="R179" i="49"/>
  <c r="P179" i="49"/>
  <c r="O179" i="49"/>
  <c r="M179" i="49"/>
  <c r="L179" i="49"/>
  <c r="J179" i="49"/>
  <c r="I179" i="49"/>
  <c r="G179" i="49"/>
  <c r="F179" i="49"/>
  <c r="Q178" i="49"/>
  <c r="N178" i="49"/>
  <c r="K178" i="49"/>
  <c r="H178" i="49"/>
  <c r="E178" i="49"/>
  <c r="D178" i="49"/>
  <c r="C178" i="49"/>
  <c r="B178" i="49"/>
  <c r="Q177" i="49"/>
  <c r="Q179" i="49" s="1"/>
  <c r="N177" i="49"/>
  <c r="N179" i="49" s="1"/>
  <c r="K177" i="49"/>
  <c r="K179" i="49" s="1"/>
  <c r="H177" i="49"/>
  <c r="H179" i="49" s="1"/>
  <c r="E177" i="49"/>
  <c r="E179" i="49" s="1"/>
  <c r="D177" i="49"/>
  <c r="D179" i="49" s="1"/>
  <c r="C177" i="49"/>
  <c r="C179" i="49" s="1"/>
  <c r="B177" i="49"/>
  <c r="B179" i="49" s="1"/>
  <c r="S176" i="49"/>
  <c r="R176" i="49"/>
  <c r="P176" i="49"/>
  <c r="O176" i="49"/>
  <c r="M176" i="49"/>
  <c r="L176" i="49"/>
  <c r="J176" i="49"/>
  <c r="I176" i="49"/>
  <c r="G176" i="49"/>
  <c r="F176" i="49"/>
  <c r="Q175" i="49"/>
  <c r="N175" i="49"/>
  <c r="K175" i="49"/>
  <c r="H175" i="49"/>
  <c r="E175" i="49"/>
  <c r="D175" i="49"/>
  <c r="C175" i="49"/>
  <c r="B175" i="49"/>
  <c r="Q174" i="49"/>
  <c r="Q176" i="49" s="1"/>
  <c r="N174" i="49"/>
  <c r="N176" i="49" s="1"/>
  <c r="K174" i="49"/>
  <c r="K176" i="49" s="1"/>
  <c r="H174" i="49"/>
  <c r="H176" i="49" s="1"/>
  <c r="E174" i="49"/>
  <c r="E176" i="49" s="1"/>
  <c r="D174" i="49"/>
  <c r="D176" i="49" s="1"/>
  <c r="C174" i="49"/>
  <c r="C176" i="49" s="1"/>
  <c r="B174" i="49"/>
  <c r="B176" i="49" s="1"/>
  <c r="S173" i="49"/>
  <c r="R173" i="49"/>
  <c r="P173" i="49"/>
  <c r="O173" i="49"/>
  <c r="M173" i="49"/>
  <c r="L173" i="49"/>
  <c r="J173" i="49"/>
  <c r="I173" i="49"/>
  <c r="G173" i="49"/>
  <c r="F173" i="49"/>
  <c r="Q172" i="49"/>
  <c r="N172" i="49"/>
  <c r="K172" i="49"/>
  <c r="H172" i="49"/>
  <c r="E172" i="49"/>
  <c r="D172" i="49"/>
  <c r="C172" i="49"/>
  <c r="B172" i="49"/>
  <c r="Q171" i="49"/>
  <c r="Q173" i="49" s="1"/>
  <c r="N171" i="49"/>
  <c r="N173" i="49" s="1"/>
  <c r="K171" i="49"/>
  <c r="K173" i="49" s="1"/>
  <c r="H171" i="49"/>
  <c r="H173" i="49" s="1"/>
  <c r="E171" i="49"/>
  <c r="E173" i="49" s="1"/>
  <c r="D171" i="49"/>
  <c r="D173" i="49" s="1"/>
  <c r="C171" i="49"/>
  <c r="C173" i="49" s="1"/>
  <c r="B171" i="49"/>
  <c r="B173" i="49" s="1"/>
  <c r="S170" i="49"/>
  <c r="R170" i="49"/>
  <c r="P170" i="49"/>
  <c r="O170" i="49"/>
  <c r="M170" i="49"/>
  <c r="L170" i="49"/>
  <c r="J170" i="49"/>
  <c r="I170" i="49"/>
  <c r="G170" i="49"/>
  <c r="F170" i="49"/>
  <c r="Q169" i="49"/>
  <c r="N169" i="49"/>
  <c r="K169" i="49"/>
  <c r="H169" i="49"/>
  <c r="E169" i="49"/>
  <c r="D169" i="49"/>
  <c r="C169" i="49"/>
  <c r="B169" i="49"/>
  <c r="Q168" i="49"/>
  <c r="Q170" i="49" s="1"/>
  <c r="N168" i="49"/>
  <c r="N170" i="49" s="1"/>
  <c r="K168" i="49"/>
  <c r="K170" i="49" s="1"/>
  <c r="H168" i="49"/>
  <c r="H170" i="49" s="1"/>
  <c r="E168" i="49"/>
  <c r="E170" i="49" s="1"/>
  <c r="D168" i="49"/>
  <c r="D170" i="49" s="1"/>
  <c r="C168" i="49"/>
  <c r="C170" i="49" s="1"/>
  <c r="B168" i="49"/>
  <c r="B170" i="49" s="1"/>
  <c r="S167" i="49"/>
  <c r="R167" i="49"/>
  <c r="P167" i="49"/>
  <c r="O167" i="49"/>
  <c r="M167" i="49"/>
  <c r="L167" i="49"/>
  <c r="J167" i="49"/>
  <c r="I167" i="49"/>
  <c r="G167" i="49"/>
  <c r="F167" i="49"/>
  <c r="Q166" i="49"/>
  <c r="N166" i="49"/>
  <c r="K166" i="49"/>
  <c r="H166" i="49"/>
  <c r="E166" i="49"/>
  <c r="D166" i="49"/>
  <c r="C166" i="49"/>
  <c r="B166" i="49"/>
  <c r="Q165" i="49"/>
  <c r="Q167" i="49" s="1"/>
  <c r="N165" i="49"/>
  <c r="N167" i="49" s="1"/>
  <c r="K165" i="49"/>
  <c r="K167" i="49" s="1"/>
  <c r="H165" i="49"/>
  <c r="H167" i="49" s="1"/>
  <c r="E165" i="49"/>
  <c r="E167" i="49" s="1"/>
  <c r="D165" i="49"/>
  <c r="D167" i="49" s="1"/>
  <c r="C165" i="49"/>
  <c r="C167" i="49" s="1"/>
  <c r="B165" i="49"/>
  <c r="B167" i="49" s="1"/>
  <c r="S164" i="49"/>
  <c r="S236" i="49" s="1"/>
  <c r="R164" i="49"/>
  <c r="R236" i="49" s="1"/>
  <c r="P164" i="49"/>
  <c r="P236" i="49" s="1"/>
  <c r="O164" i="49"/>
  <c r="O236" i="49" s="1"/>
  <c r="M164" i="49"/>
  <c r="M236" i="49" s="1"/>
  <c r="L164" i="49"/>
  <c r="L236" i="49" s="1"/>
  <c r="J164" i="49"/>
  <c r="J236" i="49" s="1"/>
  <c r="I164" i="49"/>
  <c r="I236" i="49" s="1"/>
  <c r="G164" i="49"/>
  <c r="G236" i="49" s="1"/>
  <c r="F164" i="49"/>
  <c r="F236" i="49" s="1"/>
  <c r="Q163" i="49"/>
  <c r="Q235" i="49" s="1"/>
  <c r="N163" i="49"/>
  <c r="N235" i="49" s="1"/>
  <c r="K163" i="49"/>
  <c r="K235" i="49" s="1"/>
  <c r="H163" i="49"/>
  <c r="H235" i="49" s="1"/>
  <c r="E163" i="49"/>
  <c r="E235" i="49" s="1"/>
  <c r="D163" i="49"/>
  <c r="D235" i="49" s="1"/>
  <c r="C163" i="49"/>
  <c r="C235" i="49" s="1"/>
  <c r="B163" i="49"/>
  <c r="Q162" i="49"/>
  <c r="Q234" i="49" s="1"/>
  <c r="N162" i="49"/>
  <c r="N234" i="49" s="1"/>
  <c r="K162" i="49"/>
  <c r="K234" i="49" s="1"/>
  <c r="H162" i="49"/>
  <c r="H234" i="49" s="1"/>
  <c r="E162" i="49"/>
  <c r="E234" i="49" s="1"/>
  <c r="D162" i="49"/>
  <c r="D234" i="49" s="1"/>
  <c r="C162" i="49"/>
  <c r="C234" i="49" s="1"/>
  <c r="B162" i="49"/>
  <c r="S157" i="49"/>
  <c r="R157" i="49"/>
  <c r="P157" i="49"/>
  <c r="O157" i="49"/>
  <c r="M157" i="49"/>
  <c r="L157" i="49"/>
  <c r="J157" i="49"/>
  <c r="I157" i="49"/>
  <c r="G157" i="49"/>
  <c r="F157" i="49"/>
  <c r="S156" i="49"/>
  <c r="R156" i="49"/>
  <c r="P156" i="49"/>
  <c r="O156" i="49"/>
  <c r="M156" i="49"/>
  <c r="L156" i="49"/>
  <c r="J156" i="49"/>
  <c r="I156" i="49"/>
  <c r="G156" i="49"/>
  <c r="F156" i="49"/>
  <c r="S155" i="49"/>
  <c r="R155" i="49"/>
  <c r="P155" i="49"/>
  <c r="O155" i="49"/>
  <c r="M155" i="49"/>
  <c r="L155" i="49"/>
  <c r="J155" i="49"/>
  <c r="I155" i="49"/>
  <c r="G155" i="49"/>
  <c r="F155" i="49"/>
  <c r="Q154" i="49"/>
  <c r="N154" i="49"/>
  <c r="K154" i="49"/>
  <c r="H154" i="49"/>
  <c r="E154" i="49"/>
  <c r="D154" i="49"/>
  <c r="C154" i="49"/>
  <c r="B154" i="49" s="1"/>
  <c r="Q153" i="49"/>
  <c r="Q155" i="49" s="1"/>
  <c r="N153" i="49"/>
  <c r="N155" i="49" s="1"/>
  <c r="K153" i="49"/>
  <c r="K155" i="49" s="1"/>
  <c r="H153" i="49"/>
  <c r="H155" i="49" s="1"/>
  <c r="E153" i="49"/>
  <c r="E155" i="49" s="1"/>
  <c r="D153" i="49"/>
  <c r="D155" i="49" s="1"/>
  <c r="C153" i="49"/>
  <c r="C155" i="49" s="1"/>
  <c r="S152" i="49"/>
  <c r="R152" i="49"/>
  <c r="P152" i="49"/>
  <c r="O152" i="49"/>
  <c r="M152" i="49"/>
  <c r="L152" i="49"/>
  <c r="J152" i="49"/>
  <c r="I152" i="49"/>
  <c r="G152" i="49"/>
  <c r="F152" i="49"/>
  <c r="Q151" i="49"/>
  <c r="N151" i="49"/>
  <c r="K151" i="49"/>
  <c r="H151" i="49"/>
  <c r="E151" i="49"/>
  <c r="D151" i="49"/>
  <c r="C151" i="49"/>
  <c r="B151" i="49" s="1"/>
  <c r="Q150" i="49"/>
  <c r="Q152" i="49" s="1"/>
  <c r="N150" i="49"/>
  <c r="N152" i="49" s="1"/>
  <c r="K150" i="49"/>
  <c r="K152" i="49" s="1"/>
  <c r="H150" i="49"/>
  <c r="H152" i="49" s="1"/>
  <c r="E150" i="49"/>
  <c r="E152" i="49" s="1"/>
  <c r="D150" i="49"/>
  <c r="D152" i="49" s="1"/>
  <c r="C150" i="49"/>
  <c r="C152" i="49" s="1"/>
  <c r="S149" i="49"/>
  <c r="R149" i="49"/>
  <c r="P149" i="49"/>
  <c r="O149" i="49"/>
  <c r="M149" i="49"/>
  <c r="L149" i="49"/>
  <c r="J149" i="49"/>
  <c r="I149" i="49"/>
  <c r="G149" i="49"/>
  <c r="F149" i="49"/>
  <c r="Q148" i="49"/>
  <c r="N148" i="49"/>
  <c r="K148" i="49"/>
  <c r="H148" i="49"/>
  <c r="E148" i="49"/>
  <c r="D148" i="49"/>
  <c r="C148" i="49"/>
  <c r="B148" i="49" s="1"/>
  <c r="Q147" i="49"/>
  <c r="Q149" i="49" s="1"/>
  <c r="N147" i="49"/>
  <c r="N149" i="49" s="1"/>
  <c r="K147" i="49"/>
  <c r="K149" i="49" s="1"/>
  <c r="H147" i="49"/>
  <c r="H149" i="49" s="1"/>
  <c r="E147" i="49"/>
  <c r="E149" i="49" s="1"/>
  <c r="D147" i="49"/>
  <c r="D149" i="49" s="1"/>
  <c r="C147" i="49"/>
  <c r="C149" i="49" s="1"/>
  <c r="S146" i="49"/>
  <c r="R146" i="49"/>
  <c r="P146" i="49"/>
  <c r="O146" i="49"/>
  <c r="M146" i="49"/>
  <c r="L146" i="49"/>
  <c r="J146" i="49"/>
  <c r="I146" i="49"/>
  <c r="G146" i="49"/>
  <c r="F146" i="49"/>
  <c r="Q145" i="49"/>
  <c r="N145" i="49"/>
  <c r="K145" i="49"/>
  <c r="H145" i="49"/>
  <c r="E145" i="49"/>
  <c r="D145" i="49"/>
  <c r="C145" i="49"/>
  <c r="B145" i="49" s="1"/>
  <c r="Q144" i="49"/>
  <c r="Q146" i="49" s="1"/>
  <c r="N144" i="49"/>
  <c r="N146" i="49" s="1"/>
  <c r="K144" i="49"/>
  <c r="K146" i="49" s="1"/>
  <c r="H144" i="49"/>
  <c r="H146" i="49" s="1"/>
  <c r="E144" i="49"/>
  <c r="E146" i="49" s="1"/>
  <c r="D144" i="49"/>
  <c r="D146" i="49" s="1"/>
  <c r="C144" i="49"/>
  <c r="C146" i="49" s="1"/>
  <c r="S143" i="49"/>
  <c r="R143" i="49"/>
  <c r="P143" i="49"/>
  <c r="O143" i="49"/>
  <c r="M143" i="49"/>
  <c r="L143" i="49"/>
  <c r="J143" i="49"/>
  <c r="I143" i="49"/>
  <c r="G143" i="49"/>
  <c r="F143" i="49"/>
  <c r="Q142" i="49"/>
  <c r="N142" i="49"/>
  <c r="K142" i="49"/>
  <c r="H142" i="49"/>
  <c r="E142" i="49"/>
  <c r="D142" i="49"/>
  <c r="C142" i="49"/>
  <c r="B142" i="49" s="1"/>
  <c r="Q141" i="49"/>
  <c r="Q143" i="49" s="1"/>
  <c r="N141" i="49"/>
  <c r="N143" i="49" s="1"/>
  <c r="K141" i="49"/>
  <c r="K143" i="49" s="1"/>
  <c r="H141" i="49"/>
  <c r="H143" i="49" s="1"/>
  <c r="E141" i="49"/>
  <c r="E143" i="49" s="1"/>
  <c r="D141" i="49"/>
  <c r="D143" i="49" s="1"/>
  <c r="C141" i="49"/>
  <c r="C143" i="49" s="1"/>
  <c r="S140" i="49"/>
  <c r="R140" i="49"/>
  <c r="P140" i="49"/>
  <c r="O140" i="49"/>
  <c r="M140" i="49"/>
  <c r="L140" i="49"/>
  <c r="J140" i="49"/>
  <c r="I140" i="49"/>
  <c r="G140" i="49"/>
  <c r="F140" i="49"/>
  <c r="Q139" i="49"/>
  <c r="N139" i="49"/>
  <c r="K139" i="49"/>
  <c r="H139" i="49"/>
  <c r="E139" i="49"/>
  <c r="D139" i="49"/>
  <c r="C139" i="49"/>
  <c r="B139" i="49" s="1"/>
  <c r="Q138" i="49"/>
  <c r="Q140" i="49" s="1"/>
  <c r="N138" i="49"/>
  <c r="N140" i="49" s="1"/>
  <c r="K138" i="49"/>
  <c r="K140" i="49" s="1"/>
  <c r="H138" i="49"/>
  <c r="H140" i="49" s="1"/>
  <c r="E138" i="49"/>
  <c r="E140" i="49" s="1"/>
  <c r="D138" i="49"/>
  <c r="D140" i="49" s="1"/>
  <c r="C138" i="49"/>
  <c r="C140" i="49" s="1"/>
  <c r="S137" i="49"/>
  <c r="R137" i="49"/>
  <c r="P137" i="49"/>
  <c r="O137" i="49"/>
  <c r="M137" i="49"/>
  <c r="L137" i="49"/>
  <c r="J137" i="49"/>
  <c r="I137" i="49"/>
  <c r="G137" i="49"/>
  <c r="F137" i="49"/>
  <c r="Q136" i="49"/>
  <c r="N136" i="49"/>
  <c r="K136" i="49"/>
  <c r="H136" i="49"/>
  <c r="E136" i="49"/>
  <c r="D136" i="49"/>
  <c r="C136" i="49"/>
  <c r="B136" i="49" s="1"/>
  <c r="Q135" i="49"/>
  <c r="Q137" i="49" s="1"/>
  <c r="N135" i="49"/>
  <c r="N137" i="49" s="1"/>
  <c r="K135" i="49"/>
  <c r="K137" i="49" s="1"/>
  <c r="H135" i="49"/>
  <c r="H137" i="49" s="1"/>
  <c r="E135" i="49"/>
  <c r="E137" i="49" s="1"/>
  <c r="D135" i="49"/>
  <c r="D137" i="49" s="1"/>
  <c r="C135" i="49"/>
  <c r="C137" i="49" s="1"/>
  <c r="S134" i="49"/>
  <c r="R134" i="49"/>
  <c r="P134" i="49"/>
  <c r="O134" i="49"/>
  <c r="M134" i="49"/>
  <c r="L134" i="49"/>
  <c r="J134" i="49"/>
  <c r="I134" i="49"/>
  <c r="G134" i="49"/>
  <c r="F134" i="49"/>
  <c r="Q133" i="49"/>
  <c r="N133" i="49"/>
  <c r="K133" i="49"/>
  <c r="H133" i="49"/>
  <c r="E133" i="49"/>
  <c r="D133" i="49"/>
  <c r="C133" i="49"/>
  <c r="B133" i="49" s="1"/>
  <c r="Q132" i="49"/>
  <c r="Q134" i="49" s="1"/>
  <c r="N132" i="49"/>
  <c r="N134" i="49" s="1"/>
  <c r="K132" i="49"/>
  <c r="K134" i="49" s="1"/>
  <c r="H132" i="49"/>
  <c r="H134" i="49" s="1"/>
  <c r="E132" i="49"/>
  <c r="E134" i="49" s="1"/>
  <c r="D132" i="49"/>
  <c r="D134" i="49" s="1"/>
  <c r="C132" i="49"/>
  <c r="C134" i="49" s="1"/>
  <c r="B132" i="49"/>
  <c r="S131" i="49"/>
  <c r="R131" i="49"/>
  <c r="P131" i="49"/>
  <c r="O131" i="49"/>
  <c r="M131" i="49"/>
  <c r="L131" i="49"/>
  <c r="J131" i="49"/>
  <c r="I131" i="49"/>
  <c r="G131" i="49"/>
  <c r="F131" i="49"/>
  <c r="Q130" i="49"/>
  <c r="N130" i="49"/>
  <c r="K130" i="49"/>
  <c r="H130" i="49"/>
  <c r="E130" i="49"/>
  <c r="D130" i="49"/>
  <c r="C130" i="49"/>
  <c r="B130" i="49"/>
  <c r="Q129" i="49"/>
  <c r="Q131" i="49" s="1"/>
  <c r="N129" i="49"/>
  <c r="N131" i="49" s="1"/>
  <c r="K129" i="49"/>
  <c r="K131" i="49" s="1"/>
  <c r="H129" i="49"/>
  <c r="H131" i="49" s="1"/>
  <c r="E129" i="49"/>
  <c r="E131" i="49" s="1"/>
  <c r="D129" i="49"/>
  <c r="D131" i="49" s="1"/>
  <c r="C129" i="49"/>
  <c r="C131" i="49" s="1"/>
  <c r="B129" i="49"/>
  <c r="B131" i="49" s="1"/>
  <c r="S128" i="49"/>
  <c r="R128" i="49"/>
  <c r="P128" i="49"/>
  <c r="O128" i="49"/>
  <c r="M128" i="49"/>
  <c r="L128" i="49"/>
  <c r="J128" i="49"/>
  <c r="I128" i="49"/>
  <c r="G128" i="49"/>
  <c r="F128" i="49"/>
  <c r="Q127" i="49"/>
  <c r="N127" i="49"/>
  <c r="K127" i="49"/>
  <c r="H127" i="49"/>
  <c r="E127" i="49"/>
  <c r="D127" i="49"/>
  <c r="C127" i="49"/>
  <c r="B127" i="49"/>
  <c r="Q126" i="49"/>
  <c r="Q128" i="49" s="1"/>
  <c r="N126" i="49"/>
  <c r="N128" i="49" s="1"/>
  <c r="K126" i="49"/>
  <c r="K128" i="49" s="1"/>
  <c r="H126" i="49"/>
  <c r="H128" i="49" s="1"/>
  <c r="E126" i="49"/>
  <c r="E128" i="49" s="1"/>
  <c r="D126" i="49"/>
  <c r="D128" i="49" s="1"/>
  <c r="C126" i="49"/>
  <c r="C128" i="49" s="1"/>
  <c r="B126" i="49"/>
  <c r="B128" i="49" s="1"/>
  <c r="S125" i="49"/>
  <c r="R125" i="49"/>
  <c r="P125" i="49"/>
  <c r="O125" i="49"/>
  <c r="M125" i="49"/>
  <c r="L125" i="49"/>
  <c r="J125" i="49"/>
  <c r="I125" i="49"/>
  <c r="G125" i="49"/>
  <c r="F125" i="49"/>
  <c r="Q124" i="49"/>
  <c r="N124" i="49"/>
  <c r="K124" i="49"/>
  <c r="H124" i="49"/>
  <c r="E124" i="49"/>
  <c r="D124" i="49"/>
  <c r="C124" i="49"/>
  <c r="B124" i="49"/>
  <c r="Q123" i="49"/>
  <c r="Q125" i="49" s="1"/>
  <c r="N123" i="49"/>
  <c r="N125" i="49" s="1"/>
  <c r="K123" i="49"/>
  <c r="K125" i="49" s="1"/>
  <c r="H123" i="49"/>
  <c r="H125" i="49" s="1"/>
  <c r="E123" i="49"/>
  <c r="E125" i="49" s="1"/>
  <c r="D123" i="49"/>
  <c r="D125" i="49" s="1"/>
  <c r="C123" i="49"/>
  <c r="C125" i="49" s="1"/>
  <c r="B123" i="49"/>
  <c r="B125" i="49" s="1"/>
  <c r="S122" i="49"/>
  <c r="R122" i="49"/>
  <c r="P122" i="49"/>
  <c r="O122" i="49"/>
  <c r="M122" i="49"/>
  <c r="L122" i="49"/>
  <c r="J122" i="49"/>
  <c r="I122" i="49"/>
  <c r="G122" i="49"/>
  <c r="F122" i="49"/>
  <c r="Q121" i="49"/>
  <c r="N121" i="49"/>
  <c r="K121" i="49"/>
  <c r="H121" i="49"/>
  <c r="E121" i="49"/>
  <c r="D121" i="49"/>
  <c r="C121" i="49"/>
  <c r="B121" i="49"/>
  <c r="Q120" i="49"/>
  <c r="Q122" i="49" s="1"/>
  <c r="N120" i="49"/>
  <c r="N122" i="49" s="1"/>
  <c r="K120" i="49"/>
  <c r="K122" i="49" s="1"/>
  <c r="H120" i="49"/>
  <c r="H122" i="49" s="1"/>
  <c r="E120" i="49"/>
  <c r="E122" i="49" s="1"/>
  <c r="D120" i="49"/>
  <c r="D122" i="49" s="1"/>
  <c r="C120" i="49"/>
  <c r="C122" i="49" s="1"/>
  <c r="B120" i="49"/>
  <c r="B122" i="49" s="1"/>
  <c r="S119" i="49"/>
  <c r="R119" i="49"/>
  <c r="P119" i="49"/>
  <c r="O119" i="49"/>
  <c r="M119" i="49"/>
  <c r="L119" i="49"/>
  <c r="J119" i="49"/>
  <c r="I119" i="49"/>
  <c r="G119" i="49"/>
  <c r="F119" i="49"/>
  <c r="Q118" i="49"/>
  <c r="N118" i="49"/>
  <c r="K118" i="49"/>
  <c r="H118" i="49"/>
  <c r="E118" i="49"/>
  <c r="D118" i="49"/>
  <c r="C118" i="49"/>
  <c r="B118" i="49"/>
  <c r="Q117" i="49"/>
  <c r="Q119" i="49" s="1"/>
  <c r="N117" i="49"/>
  <c r="N119" i="49" s="1"/>
  <c r="K117" i="49"/>
  <c r="K119" i="49" s="1"/>
  <c r="H117" i="49"/>
  <c r="H119" i="49" s="1"/>
  <c r="E117" i="49"/>
  <c r="E119" i="49" s="1"/>
  <c r="D117" i="49"/>
  <c r="D119" i="49" s="1"/>
  <c r="C117" i="49"/>
  <c r="C119" i="49" s="1"/>
  <c r="B117" i="49"/>
  <c r="B119" i="49" s="1"/>
  <c r="S116" i="49"/>
  <c r="R116" i="49"/>
  <c r="P116" i="49"/>
  <c r="O116" i="49"/>
  <c r="M116" i="49"/>
  <c r="L116" i="49"/>
  <c r="J116" i="49"/>
  <c r="I116" i="49"/>
  <c r="G116" i="49"/>
  <c r="F116" i="49"/>
  <c r="Q115" i="49"/>
  <c r="N115" i="49"/>
  <c r="K115" i="49"/>
  <c r="H115" i="49"/>
  <c r="E115" i="49"/>
  <c r="D115" i="49"/>
  <c r="C115" i="49"/>
  <c r="B115" i="49"/>
  <c r="Q114" i="49"/>
  <c r="Q116" i="49" s="1"/>
  <c r="N114" i="49"/>
  <c r="N116" i="49" s="1"/>
  <c r="K114" i="49"/>
  <c r="K116" i="49" s="1"/>
  <c r="H114" i="49"/>
  <c r="H116" i="49" s="1"/>
  <c r="E114" i="49"/>
  <c r="E116" i="49" s="1"/>
  <c r="D114" i="49"/>
  <c r="D116" i="49" s="1"/>
  <c r="C114" i="49"/>
  <c r="C116" i="49" s="1"/>
  <c r="B114" i="49"/>
  <c r="B116" i="49" s="1"/>
  <c r="S113" i="49"/>
  <c r="R113" i="49"/>
  <c r="P113" i="49"/>
  <c r="O113" i="49"/>
  <c r="M113" i="49"/>
  <c r="L113" i="49"/>
  <c r="J113" i="49"/>
  <c r="I113" i="49"/>
  <c r="G113" i="49"/>
  <c r="F113" i="49"/>
  <c r="Q112" i="49"/>
  <c r="N112" i="49"/>
  <c r="K112" i="49"/>
  <c r="H112" i="49"/>
  <c r="E112" i="49"/>
  <c r="D112" i="49"/>
  <c r="C112" i="49"/>
  <c r="B112" i="49"/>
  <c r="Q111" i="49"/>
  <c r="Q113" i="49" s="1"/>
  <c r="N111" i="49"/>
  <c r="N113" i="49" s="1"/>
  <c r="K111" i="49"/>
  <c r="K113" i="49" s="1"/>
  <c r="H111" i="49"/>
  <c r="H113" i="49" s="1"/>
  <c r="E111" i="49"/>
  <c r="E113" i="49" s="1"/>
  <c r="D111" i="49"/>
  <c r="D113" i="49" s="1"/>
  <c r="C111" i="49"/>
  <c r="C113" i="49" s="1"/>
  <c r="B111" i="49"/>
  <c r="B113" i="49" s="1"/>
  <c r="S110" i="49"/>
  <c r="R110" i="49"/>
  <c r="P110" i="49"/>
  <c r="O110" i="49"/>
  <c r="M110" i="49"/>
  <c r="L110" i="49"/>
  <c r="J110" i="49"/>
  <c r="I110" i="49"/>
  <c r="G110" i="49"/>
  <c r="F110" i="49"/>
  <c r="Q109" i="49"/>
  <c r="N109" i="49"/>
  <c r="K109" i="49"/>
  <c r="H109" i="49"/>
  <c r="E109" i="49"/>
  <c r="D109" i="49"/>
  <c r="C109" i="49"/>
  <c r="B109" i="49"/>
  <c r="Q108" i="49"/>
  <c r="Q110" i="49" s="1"/>
  <c r="N108" i="49"/>
  <c r="N110" i="49" s="1"/>
  <c r="K108" i="49"/>
  <c r="K110" i="49" s="1"/>
  <c r="H108" i="49"/>
  <c r="H110" i="49" s="1"/>
  <c r="E108" i="49"/>
  <c r="E110" i="49" s="1"/>
  <c r="D108" i="49"/>
  <c r="D110" i="49" s="1"/>
  <c r="C108" i="49"/>
  <c r="C110" i="49" s="1"/>
  <c r="B108" i="49"/>
  <c r="B110" i="49" s="1"/>
  <c r="S107" i="49"/>
  <c r="R107" i="49"/>
  <c r="P107" i="49"/>
  <c r="O107" i="49"/>
  <c r="M107" i="49"/>
  <c r="L107" i="49"/>
  <c r="J107" i="49"/>
  <c r="I107" i="49"/>
  <c r="G107" i="49"/>
  <c r="F107" i="49"/>
  <c r="Q106" i="49"/>
  <c r="N106" i="49"/>
  <c r="K106" i="49"/>
  <c r="H106" i="49"/>
  <c r="E106" i="49"/>
  <c r="D106" i="49"/>
  <c r="C106" i="49"/>
  <c r="B106" i="49"/>
  <c r="Q105" i="49"/>
  <c r="Q107" i="49" s="1"/>
  <c r="N105" i="49"/>
  <c r="N107" i="49" s="1"/>
  <c r="K105" i="49"/>
  <c r="K107" i="49" s="1"/>
  <c r="H105" i="49"/>
  <c r="H107" i="49" s="1"/>
  <c r="E105" i="49"/>
  <c r="E107" i="49" s="1"/>
  <c r="D105" i="49"/>
  <c r="D107" i="49" s="1"/>
  <c r="C105" i="49"/>
  <c r="C107" i="49" s="1"/>
  <c r="B105" i="49"/>
  <c r="B107" i="49" s="1"/>
  <c r="S104" i="49"/>
  <c r="R104" i="49"/>
  <c r="P104" i="49"/>
  <c r="O104" i="49"/>
  <c r="M104" i="49"/>
  <c r="L104" i="49"/>
  <c r="J104" i="49"/>
  <c r="I104" i="49"/>
  <c r="G104" i="49"/>
  <c r="F104" i="49"/>
  <c r="Q103" i="49"/>
  <c r="N103" i="49"/>
  <c r="K103" i="49"/>
  <c r="H103" i="49"/>
  <c r="E103" i="49"/>
  <c r="D103" i="49"/>
  <c r="C103" i="49"/>
  <c r="B103" i="49"/>
  <c r="Q102" i="49"/>
  <c r="Q104" i="49" s="1"/>
  <c r="N102" i="49"/>
  <c r="N104" i="49" s="1"/>
  <c r="K102" i="49"/>
  <c r="K104" i="49" s="1"/>
  <c r="H102" i="49"/>
  <c r="H104" i="49" s="1"/>
  <c r="E102" i="49"/>
  <c r="E104" i="49" s="1"/>
  <c r="D102" i="49"/>
  <c r="D104" i="49" s="1"/>
  <c r="C102" i="49"/>
  <c r="C104" i="49" s="1"/>
  <c r="B102" i="49"/>
  <c r="B104" i="49" s="1"/>
  <c r="S101" i="49"/>
  <c r="R101" i="49"/>
  <c r="P101" i="49"/>
  <c r="O101" i="49"/>
  <c r="M101" i="49"/>
  <c r="L101" i="49"/>
  <c r="J101" i="49"/>
  <c r="I101" i="49"/>
  <c r="G101" i="49"/>
  <c r="F101" i="49"/>
  <c r="Q100" i="49"/>
  <c r="N100" i="49"/>
  <c r="K100" i="49"/>
  <c r="H100" i="49"/>
  <c r="E100" i="49"/>
  <c r="D100" i="49"/>
  <c r="C100" i="49"/>
  <c r="B100" i="49"/>
  <c r="Q99" i="49"/>
  <c r="Q101" i="49" s="1"/>
  <c r="N99" i="49"/>
  <c r="N101" i="49" s="1"/>
  <c r="K99" i="49"/>
  <c r="K101" i="49" s="1"/>
  <c r="H99" i="49"/>
  <c r="H101" i="49" s="1"/>
  <c r="E99" i="49"/>
  <c r="E101" i="49" s="1"/>
  <c r="D99" i="49"/>
  <c r="D101" i="49" s="1"/>
  <c r="C99" i="49"/>
  <c r="C101" i="49" s="1"/>
  <c r="B99" i="49"/>
  <c r="B101" i="49" s="1"/>
  <c r="S98" i="49"/>
  <c r="R98" i="49"/>
  <c r="P98" i="49"/>
  <c r="O98" i="49"/>
  <c r="M98" i="49"/>
  <c r="L98" i="49"/>
  <c r="J98" i="49"/>
  <c r="I98" i="49"/>
  <c r="G98" i="49"/>
  <c r="F98" i="49"/>
  <c r="Q97" i="49"/>
  <c r="N97" i="49"/>
  <c r="K97" i="49"/>
  <c r="H97" i="49"/>
  <c r="E97" i="49"/>
  <c r="D97" i="49"/>
  <c r="C97" i="49"/>
  <c r="B97" i="49"/>
  <c r="Q96" i="49"/>
  <c r="Q98" i="49" s="1"/>
  <c r="N96" i="49"/>
  <c r="N98" i="49" s="1"/>
  <c r="K96" i="49"/>
  <c r="K98" i="49" s="1"/>
  <c r="H96" i="49"/>
  <c r="H98" i="49" s="1"/>
  <c r="E96" i="49"/>
  <c r="E98" i="49" s="1"/>
  <c r="D96" i="49"/>
  <c r="D98" i="49" s="1"/>
  <c r="C96" i="49"/>
  <c r="C98" i="49" s="1"/>
  <c r="B96" i="49"/>
  <c r="B98" i="49" s="1"/>
  <c r="S95" i="49"/>
  <c r="R95" i="49"/>
  <c r="P95" i="49"/>
  <c r="O95" i="49"/>
  <c r="M95" i="49"/>
  <c r="L95" i="49"/>
  <c r="J95" i="49"/>
  <c r="I95" i="49"/>
  <c r="G95" i="49"/>
  <c r="F95" i="49"/>
  <c r="Q94" i="49"/>
  <c r="N94" i="49"/>
  <c r="K94" i="49"/>
  <c r="H94" i="49"/>
  <c r="E94" i="49"/>
  <c r="D94" i="49"/>
  <c r="C94" i="49"/>
  <c r="B94" i="49"/>
  <c r="Q93" i="49"/>
  <c r="Q95" i="49" s="1"/>
  <c r="N93" i="49"/>
  <c r="N95" i="49" s="1"/>
  <c r="K93" i="49"/>
  <c r="K95" i="49" s="1"/>
  <c r="H93" i="49"/>
  <c r="H95" i="49" s="1"/>
  <c r="E93" i="49"/>
  <c r="E95" i="49" s="1"/>
  <c r="D93" i="49"/>
  <c r="D95" i="49" s="1"/>
  <c r="C93" i="49"/>
  <c r="C95" i="49" s="1"/>
  <c r="B93" i="49"/>
  <c r="B95" i="49" s="1"/>
  <c r="S92" i="49"/>
  <c r="R92" i="49"/>
  <c r="P92" i="49"/>
  <c r="O92" i="49"/>
  <c r="M92" i="49"/>
  <c r="L92" i="49"/>
  <c r="J92" i="49"/>
  <c r="I92" i="49"/>
  <c r="G92" i="49"/>
  <c r="F92" i="49"/>
  <c r="Q91" i="49"/>
  <c r="N91" i="49"/>
  <c r="K91" i="49"/>
  <c r="H91" i="49"/>
  <c r="E91" i="49"/>
  <c r="D91" i="49"/>
  <c r="C91" i="49"/>
  <c r="B91" i="49"/>
  <c r="Q90" i="49"/>
  <c r="Q92" i="49" s="1"/>
  <c r="N90" i="49"/>
  <c r="N92" i="49" s="1"/>
  <c r="K90" i="49"/>
  <c r="K92" i="49" s="1"/>
  <c r="H90" i="49"/>
  <c r="H92" i="49" s="1"/>
  <c r="E90" i="49"/>
  <c r="E92" i="49" s="1"/>
  <c r="D90" i="49"/>
  <c r="D92" i="49" s="1"/>
  <c r="C90" i="49"/>
  <c r="C92" i="49" s="1"/>
  <c r="B90" i="49"/>
  <c r="B92" i="49" s="1"/>
  <c r="S89" i="49"/>
  <c r="R89" i="49"/>
  <c r="P89" i="49"/>
  <c r="O89" i="49"/>
  <c r="M89" i="49"/>
  <c r="L89" i="49"/>
  <c r="J89" i="49"/>
  <c r="I89" i="49"/>
  <c r="G89" i="49"/>
  <c r="F89" i="49"/>
  <c r="Q88" i="49"/>
  <c r="N88" i="49"/>
  <c r="K88" i="49"/>
  <c r="H88" i="49"/>
  <c r="E88" i="49"/>
  <c r="D88" i="49"/>
  <c r="C88" i="49"/>
  <c r="B88" i="49"/>
  <c r="Q87" i="49"/>
  <c r="Q89" i="49" s="1"/>
  <c r="N87" i="49"/>
  <c r="N89" i="49" s="1"/>
  <c r="K87" i="49"/>
  <c r="K89" i="49" s="1"/>
  <c r="H87" i="49"/>
  <c r="H89" i="49" s="1"/>
  <c r="E87" i="49"/>
  <c r="E89" i="49" s="1"/>
  <c r="D87" i="49"/>
  <c r="D89" i="49" s="1"/>
  <c r="C87" i="49"/>
  <c r="C89" i="49" s="1"/>
  <c r="B87" i="49"/>
  <c r="B89" i="49" s="1"/>
  <c r="S86" i="49"/>
  <c r="R86" i="49"/>
  <c r="P86" i="49"/>
  <c r="O86" i="49"/>
  <c r="M86" i="49"/>
  <c r="L86" i="49"/>
  <c r="J86" i="49"/>
  <c r="I86" i="49"/>
  <c r="G86" i="49"/>
  <c r="F86" i="49"/>
  <c r="Q85" i="49"/>
  <c r="N85" i="49"/>
  <c r="K85" i="49"/>
  <c r="H85" i="49"/>
  <c r="E85" i="49"/>
  <c r="D85" i="49"/>
  <c r="C85" i="49"/>
  <c r="B85" i="49"/>
  <c r="Q84" i="49"/>
  <c r="Q86" i="49" s="1"/>
  <c r="N84" i="49"/>
  <c r="N86" i="49" s="1"/>
  <c r="K84" i="49"/>
  <c r="K86" i="49" s="1"/>
  <c r="H84" i="49"/>
  <c r="H86" i="49" s="1"/>
  <c r="E84" i="49"/>
  <c r="E86" i="49" s="1"/>
  <c r="D84" i="49"/>
  <c r="D86" i="49" s="1"/>
  <c r="C84" i="49"/>
  <c r="C86" i="49" s="1"/>
  <c r="B84" i="49"/>
  <c r="B86" i="49" s="1"/>
  <c r="S83" i="49"/>
  <c r="R83" i="49"/>
  <c r="P83" i="49"/>
  <c r="O83" i="49"/>
  <c r="M83" i="49"/>
  <c r="L83" i="49"/>
  <c r="J83" i="49"/>
  <c r="I83" i="49"/>
  <c r="G83" i="49"/>
  <c r="F83" i="49"/>
  <c r="Q82" i="49"/>
  <c r="N82" i="49"/>
  <c r="K82" i="49"/>
  <c r="H82" i="49"/>
  <c r="E82" i="49"/>
  <c r="D82" i="49"/>
  <c r="C82" i="49"/>
  <c r="B82" i="49"/>
  <c r="Q81" i="49"/>
  <c r="Q83" i="49" s="1"/>
  <c r="N81" i="49"/>
  <c r="N83" i="49" s="1"/>
  <c r="K81" i="49"/>
  <c r="K83" i="49" s="1"/>
  <c r="H81" i="49"/>
  <c r="H83" i="49" s="1"/>
  <c r="E81" i="49"/>
  <c r="E83" i="49" s="1"/>
  <c r="D81" i="49"/>
  <c r="D83" i="49" s="1"/>
  <c r="C81" i="49"/>
  <c r="C83" i="49" s="1"/>
  <c r="B81" i="49"/>
  <c r="B83" i="49" s="1"/>
  <c r="S80" i="49"/>
  <c r="R80" i="49"/>
  <c r="P80" i="49"/>
  <c r="O80" i="49"/>
  <c r="M80" i="49"/>
  <c r="L80" i="49"/>
  <c r="J80" i="49"/>
  <c r="I80" i="49"/>
  <c r="G80" i="49"/>
  <c r="F80" i="49"/>
  <c r="Q79" i="49"/>
  <c r="N79" i="49"/>
  <c r="K79" i="49"/>
  <c r="H79" i="49"/>
  <c r="E79" i="49"/>
  <c r="D79" i="49"/>
  <c r="C79" i="49"/>
  <c r="B79" i="49"/>
  <c r="Q78" i="49"/>
  <c r="Q80" i="49" s="1"/>
  <c r="N78" i="49"/>
  <c r="N80" i="49" s="1"/>
  <c r="K78" i="49"/>
  <c r="K80" i="49" s="1"/>
  <c r="H78" i="49"/>
  <c r="H80" i="49" s="1"/>
  <c r="E78" i="49"/>
  <c r="E80" i="49" s="1"/>
  <c r="D78" i="49"/>
  <c r="D80" i="49" s="1"/>
  <c r="C78" i="49"/>
  <c r="C80" i="49" s="1"/>
  <c r="B78" i="49"/>
  <c r="B80" i="49" s="1"/>
  <c r="S77" i="49"/>
  <c r="S158" i="49" s="1"/>
  <c r="R77" i="49"/>
  <c r="R158" i="49" s="1"/>
  <c r="P77" i="49"/>
  <c r="P158" i="49" s="1"/>
  <c r="O77" i="49"/>
  <c r="O158" i="49" s="1"/>
  <c r="M77" i="49"/>
  <c r="M158" i="49" s="1"/>
  <c r="L77" i="49"/>
  <c r="L158" i="49" s="1"/>
  <c r="J77" i="49"/>
  <c r="J158" i="49" s="1"/>
  <c r="I77" i="49"/>
  <c r="I158" i="49" s="1"/>
  <c r="G77" i="49"/>
  <c r="G158" i="49" s="1"/>
  <c r="F77" i="49"/>
  <c r="F158" i="49" s="1"/>
  <c r="Q76" i="49"/>
  <c r="Q157" i="49" s="1"/>
  <c r="N76" i="49"/>
  <c r="N157" i="49" s="1"/>
  <c r="K76" i="49"/>
  <c r="K157" i="49" s="1"/>
  <c r="H76" i="49"/>
  <c r="H157" i="49" s="1"/>
  <c r="E76" i="49"/>
  <c r="E157" i="49" s="1"/>
  <c r="D76" i="49"/>
  <c r="D157" i="49" s="1"/>
  <c r="C76" i="49"/>
  <c r="C157" i="49" s="1"/>
  <c r="B76" i="49"/>
  <c r="Q75" i="49"/>
  <c r="Q156" i="49" s="1"/>
  <c r="N75" i="49"/>
  <c r="N156" i="49" s="1"/>
  <c r="K75" i="49"/>
  <c r="K156" i="49" s="1"/>
  <c r="H75" i="49"/>
  <c r="H156" i="49" s="1"/>
  <c r="E75" i="49"/>
  <c r="E156" i="49" s="1"/>
  <c r="D75" i="49"/>
  <c r="D156" i="49" s="1"/>
  <c r="C75" i="49"/>
  <c r="C156" i="49" s="1"/>
  <c r="B75" i="49"/>
  <c r="S70" i="49"/>
  <c r="R70" i="49"/>
  <c r="P70" i="49"/>
  <c r="O70" i="49"/>
  <c r="M70" i="49"/>
  <c r="L70" i="49"/>
  <c r="J70" i="49"/>
  <c r="I70" i="49"/>
  <c r="G70" i="49"/>
  <c r="F70" i="49"/>
  <c r="S69" i="49"/>
  <c r="R69" i="49"/>
  <c r="P69" i="49"/>
  <c r="O69" i="49"/>
  <c r="M69" i="49"/>
  <c r="L69" i="49"/>
  <c r="J69" i="49"/>
  <c r="I69" i="49"/>
  <c r="G69" i="49"/>
  <c r="F69" i="49"/>
  <c r="S68" i="49"/>
  <c r="R68" i="49"/>
  <c r="P68" i="49"/>
  <c r="O68" i="49"/>
  <c r="M68" i="49"/>
  <c r="L68" i="49"/>
  <c r="J68" i="49"/>
  <c r="I68" i="49"/>
  <c r="G68" i="49"/>
  <c r="F68" i="49"/>
  <c r="Q67" i="49"/>
  <c r="N67" i="49"/>
  <c r="K67" i="49"/>
  <c r="H67" i="49"/>
  <c r="E67" i="49"/>
  <c r="D67" i="49"/>
  <c r="C67" i="49"/>
  <c r="B67" i="49" s="1"/>
  <c r="Q66" i="49"/>
  <c r="Q68" i="49" s="1"/>
  <c r="N66" i="49"/>
  <c r="N68" i="49" s="1"/>
  <c r="K66" i="49"/>
  <c r="K68" i="49" s="1"/>
  <c r="H66" i="49"/>
  <c r="H68" i="49" s="1"/>
  <c r="E66" i="49"/>
  <c r="E68" i="49" s="1"/>
  <c r="D66" i="49"/>
  <c r="D68" i="49" s="1"/>
  <c r="C66" i="49"/>
  <c r="C68" i="49" s="1"/>
  <c r="B66" i="49"/>
  <c r="S65" i="49"/>
  <c r="R65" i="49"/>
  <c r="P65" i="49"/>
  <c r="O65" i="49"/>
  <c r="M65" i="49"/>
  <c r="L65" i="49"/>
  <c r="J65" i="49"/>
  <c r="I65" i="49"/>
  <c r="G65" i="49"/>
  <c r="F65" i="49"/>
  <c r="Q64" i="49"/>
  <c r="N64" i="49"/>
  <c r="K64" i="49"/>
  <c r="H64" i="49"/>
  <c r="E64" i="49"/>
  <c r="D64" i="49"/>
  <c r="C64" i="49"/>
  <c r="B64" i="49"/>
  <c r="Q63" i="49"/>
  <c r="Q65" i="49" s="1"/>
  <c r="N63" i="49"/>
  <c r="N65" i="49" s="1"/>
  <c r="K63" i="49"/>
  <c r="K65" i="49" s="1"/>
  <c r="H63" i="49"/>
  <c r="H65" i="49" s="1"/>
  <c r="E63" i="49"/>
  <c r="E65" i="49" s="1"/>
  <c r="D63" i="49"/>
  <c r="D65" i="49" s="1"/>
  <c r="C63" i="49"/>
  <c r="C65" i="49" s="1"/>
  <c r="B63" i="49"/>
  <c r="B65" i="49" s="1"/>
  <c r="S62" i="49"/>
  <c r="R62" i="49"/>
  <c r="P62" i="49"/>
  <c r="O62" i="49"/>
  <c r="M62" i="49"/>
  <c r="L62" i="49"/>
  <c r="J62" i="49"/>
  <c r="I62" i="49"/>
  <c r="G62" i="49"/>
  <c r="F62" i="49"/>
  <c r="Q61" i="49"/>
  <c r="N61" i="49"/>
  <c r="K61" i="49"/>
  <c r="H61" i="49"/>
  <c r="E61" i="49"/>
  <c r="D61" i="49"/>
  <c r="C61" i="49"/>
  <c r="B61" i="49"/>
  <c r="Q60" i="49"/>
  <c r="Q62" i="49" s="1"/>
  <c r="N60" i="49"/>
  <c r="N62" i="49" s="1"/>
  <c r="K60" i="49"/>
  <c r="K62" i="49" s="1"/>
  <c r="H60" i="49"/>
  <c r="H62" i="49" s="1"/>
  <c r="E60" i="49"/>
  <c r="E62" i="49" s="1"/>
  <c r="D60" i="49"/>
  <c r="D62" i="49" s="1"/>
  <c r="C60" i="49"/>
  <c r="C62" i="49" s="1"/>
  <c r="B60" i="49"/>
  <c r="B62" i="49" s="1"/>
  <c r="S59" i="49"/>
  <c r="R59" i="49"/>
  <c r="P59" i="49"/>
  <c r="O59" i="49"/>
  <c r="M59" i="49"/>
  <c r="L59" i="49"/>
  <c r="J59" i="49"/>
  <c r="I59" i="49"/>
  <c r="G59" i="49"/>
  <c r="F59" i="49"/>
  <c r="Q58" i="49"/>
  <c r="N58" i="49"/>
  <c r="K58" i="49"/>
  <c r="H58" i="49"/>
  <c r="E58" i="49"/>
  <c r="D58" i="49"/>
  <c r="C58" i="49"/>
  <c r="B58" i="49"/>
  <c r="Q57" i="49"/>
  <c r="Q59" i="49" s="1"/>
  <c r="N57" i="49"/>
  <c r="N59" i="49" s="1"/>
  <c r="K57" i="49"/>
  <c r="K59" i="49" s="1"/>
  <c r="H57" i="49"/>
  <c r="H59" i="49" s="1"/>
  <c r="E57" i="49"/>
  <c r="E59" i="49" s="1"/>
  <c r="D57" i="49"/>
  <c r="D59" i="49" s="1"/>
  <c r="C57" i="49"/>
  <c r="C59" i="49" s="1"/>
  <c r="B57" i="49"/>
  <c r="B59" i="49" s="1"/>
  <c r="S56" i="49"/>
  <c r="R56" i="49"/>
  <c r="P56" i="49"/>
  <c r="O56" i="49"/>
  <c r="M56" i="49"/>
  <c r="L56" i="49"/>
  <c r="J56" i="49"/>
  <c r="I56" i="49"/>
  <c r="G56" i="49"/>
  <c r="F56" i="49"/>
  <c r="Q55" i="49"/>
  <c r="N55" i="49"/>
  <c r="K55" i="49"/>
  <c r="H55" i="49"/>
  <c r="E55" i="49"/>
  <c r="D55" i="49"/>
  <c r="C55" i="49"/>
  <c r="B55" i="49"/>
  <c r="Q54" i="49"/>
  <c r="Q56" i="49" s="1"/>
  <c r="N54" i="49"/>
  <c r="N56" i="49" s="1"/>
  <c r="K54" i="49"/>
  <c r="K56" i="49" s="1"/>
  <c r="H54" i="49"/>
  <c r="H56" i="49" s="1"/>
  <c r="E54" i="49"/>
  <c r="E56" i="49" s="1"/>
  <c r="D54" i="49"/>
  <c r="D56" i="49" s="1"/>
  <c r="C54" i="49"/>
  <c r="C56" i="49" s="1"/>
  <c r="B54" i="49"/>
  <c r="B56" i="49" s="1"/>
  <c r="S53" i="49"/>
  <c r="R53" i="49"/>
  <c r="P53" i="49"/>
  <c r="O53" i="49"/>
  <c r="M53" i="49"/>
  <c r="L53" i="49"/>
  <c r="J53" i="49"/>
  <c r="I53" i="49"/>
  <c r="G53" i="49"/>
  <c r="F53" i="49"/>
  <c r="Q52" i="49"/>
  <c r="N52" i="49"/>
  <c r="K52" i="49"/>
  <c r="H52" i="49"/>
  <c r="E52" i="49"/>
  <c r="D52" i="49"/>
  <c r="C52" i="49"/>
  <c r="B52" i="49"/>
  <c r="Q51" i="49"/>
  <c r="Q53" i="49" s="1"/>
  <c r="N51" i="49"/>
  <c r="N53" i="49" s="1"/>
  <c r="K51" i="49"/>
  <c r="K53" i="49" s="1"/>
  <c r="H51" i="49"/>
  <c r="H53" i="49" s="1"/>
  <c r="E51" i="49"/>
  <c r="E53" i="49" s="1"/>
  <c r="D51" i="49"/>
  <c r="D53" i="49" s="1"/>
  <c r="C51" i="49"/>
  <c r="C53" i="49" s="1"/>
  <c r="B51" i="49"/>
  <c r="B53" i="49" s="1"/>
  <c r="S50" i="49"/>
  <c r="R50" i="49"/>
  <c r="P50" i="49"/>
  <c r="O50" i="49"/>
  <c r="M50" i="49"/>
  <c r="L50" i="49"/>
  <c r="J50" i="49"/>
  <c r="I50" i="49"/>
  <c r="G50" i="49"/>
  <c r="F50" i="49"/>
  <c r="Q49" i="49"/>
  <c r="N49" i="49"/>
  <c r="K49" i="49"/>
  <c r="H49" i="49"/>
  <c r="E49" i="49"/>
  <c r="D49" i="49"/>
  <c r="C49" i="49"/>
  <c r="B49" i="49"/>
  <c r="Q48" i="49"/>
  <c r="Q50" i="49" s="1"/>
  <c r="N48" i="49"/>
  <c r="N50" i="49" s="1"/>
  <c r="K48" i="49"/>
  <c r="K50" i="49" s="1"/>
  <c r="H48" i="49"/>
  <c r="H50" i="49" s="1"/>
  <c r="E48" i="49"/>
  <c r="E50" i="49" s="1"/>
  <c r="D48" i="49"/>
  <c r="D50" i="49" s="1"/>
  <c r="C48" i="49"/>
  <c r="C50" i="49" s="1"/>
  <c r="B48" i="49"/>
  <c r="B50" i="49" s="1"/>
  <c r="S47" i="49"/>
  <c r="R47" i="49"/>
  <c r="P47" i="49"/>
  <c r="O47" i="49"/>
  <c r="M47" i="49"/>
  <c r="L47" i="49"/>
  <c r="J47" i="49"/>
  <c r="I47" i="49"/>
  <c r="G47" i="49"/>
  <c r="F47" i="49"/>
  <c r="Q46" i="49"/>
  <c r="N46" i="49"/>
  <c r="K46" i="49"/>
  <c r="H46" i="49"/>
  <c r="E46" i="49"/>
  <c r="D46" i="49"/>
  <c r="C46" i="49"/>
  <c r="B46" i="49"/>
  <c r="Q45" i="49"/>
  <c r="Q47" i="49" s="1"/>
  <c r="N45" i="49"/>
  <c r="N47" i="49" s="1"/>
  <c r="K45" i="49"/>
  <c r="K47" i="49" s="1"/>
  <c r="H45" i="49"/>
  <c r="H47" i="49" s="1"/>
  <c r="E45" i="49"/>
  <c r="E47" i="49" s="1"/>
  <c r="D45" i="49"/>
  <c r="D47" i="49" s="1"/>
  <c r="C45" i="49"/>
  <c r="C47" i="49" s="1"/>
  <c r="B45" i="49"/>
  <c r="B47" i="49" s="1"/>
  <c r="S44" i="49"/>
  <c r="R44" i="49"/>
  <c r="P44" i="49"/>
  <c r="O44" i="49"/>
  <c r="M44" i="49"/>
  <c r="L44" i="49"/>
  <c r="J44" i="49"/>
  <c r="I44" i="49"/>
  <c r="G44" i="49"/>
  <c r="F44" i="49"/>
  <c r="Q43" i="49"/>
  <c r="N43" i="49"/>
  <c r="K43" i="49"/>
  <c r="H43" i="49"/>
  <c r="E43" i="49"/>
  <c r="D43" i="49"/>
  <c r="C43" i="49"/>
  <c r="B43" i="49"/>
  <c r="Q42" i="49"/>
  <c r="Q44" i="49" s="1"/>
  <c r="N42" i="49"/>
  <c r="N44" i="49" s="1"/>
  <c r="K42" i="49"/>
  <c r="K44" i="49" s="1"/>
  <c r="H42" i="49"/>
  <c r="H44" i="49" s="1"/>
  <c r="E42" i="49"/>
  <c r="E44" i="49" s="1"/>
  <c r="D42" i="49"/>
  <c r="D44" i="49" s="1"/>
  <c r="C42" i="49"/>
  <c r="C44" i="49" s="1"/>
  <c r="B42" i="49"/>
  <c r="B44" i="49" s="1"/>
  <c r="S41" i="49"/>
  <c r="R41" i="49"/>
  <c r="P41" i="49"/>
  <c r="O41" i="49"/>
  <c r="M41" i="49"/>
  <c r="L41" i="49"/>
  <c r="J41" i="49"/>
  <c r="I41" i="49"/>
  <c r="G41" i="49"/>
  <c r="F41" i="49"/>
  <c r="Q40" i="49"/>
  <c r="N40" i="49"/>
  <c r="K40" i="49"/>
  <c r="H40" i="49"/>
  <c r="E40" i="49"/>
  <c r="D40" i="49"/>
  <c r="C40" i="49"/>
  <c r="B40" i="49"/>
  <c r="Q39" i="49"/>
  <c r="Q41" i="49" s="1"/>
  <c r="N39" i="49"/>
  <c r="N41" i="49" s="1"/>
  <c r="K39" i="49"/>
  <c r="K41" i="49" s="1"/>
  <c r="H39" i="49"/>
  <c r="H41" i="49" s="1"/>
  <c r="E39" i="49"/>
  <c r="E41" i="49" s="1"/>
  <c r="D39" i="49"/>
  <c r="D41" i="49" s="1"/>
  <c r="C39" i="49"/>
  <c r="C41" i="49" s="1"/>
  <c r="B39" i="49"/>
  <c r="B41" i="49" s="1"/>
  <c r="S38" i="49"/>
  <c r="R38" i="49"/>
  <c r="P38" i="49"/>
  <c r="O38" i="49"/>
  <c r="M38" i="49"/>
  <c r="L38" i="49"/>
  <c r="J38" i="49"/>
  <c r="I38" i="49"/>
  <c r="G38" i="49"/>
  <c r="F38" i="49"/>
  <c r="Q37" i="49"/>
  <c r="N37" i="49"/>
  <c r="K37" i="49"/>
  <c r="H37" i="49"/>
  <c r="E37" i="49"/>
  <c r="D37" i="49"/>
  <c r="C37" i="49"/>
  <c r="B37" i="49"/>
  <c r="Q36" i="49"/>
  <c r="Q38" i="49" s="1"/>
  <c r="N36" i="49"/>
  <c r="N38" i="49" s="1"/>
  <c r="K36" i="49"/>
  <c r="K38" i="49" s="1"/>
  <c r="H36" i="49"/>
  <c r="H38" i="49" s="1"/>
  <c r="E36" i="49"/>
  <c r="E38" i="49" s="1"/>
  <c r="D36" i="49"/>
  <c r="D38" i="49" s="1"/>
  <c r="C36" i="49"/>
  <c r="C38" i="49" s="1"/>
  <c r="B36" i="49"/>
  <c r="B38" i="49" s="1"/>
  <c r="S35" i="49"/>
  <c r="R35" i="49"/>
  <c r="P35" i="49"/>
  <c r="O35" i="49"/>
  <c r="M35" i="49"/>
  <c r="L35" i="49"/>
  <c r="J35" i="49"/>
  <c r="I35" i="49"/>
  <c r="G35" i="49"/>
  <c r="F35" i="49"/>
  <c r="Q34" i="49"/>
  <c r="N34" i="49"/>
  <c r="K34" i="49"/>
  <c r="H34" i="49"/>
  <c r="E34" i="49"/>
  <c r="D34" i="49"/>
  <c r="C34" i="49"/>
  <c r="B34" i="49"/>
  <c r="Q33" i="49"/>
  <c r="Q35" i="49" s="1"/>
  <c r="N33" i="49"/>
  <c r="N35" i="49" s="1"/>
  <c r="K33" i="49"/>
  <c r="K35" i="49" s="1"/>
  <c r="H33" i="49"/>
  <c r="H35" i="49" s="1"/>
  <c r="E33" i="49"/>
  <c r="E35" i="49" s="1"/>
  <c r="D33" i="49"/>
  <c r="D35" i="49" s="1"/>
  <c r="C33" i="49"/>
  <c r="C35" i="49" s="1"/>
  <c r="B33" i="49"/>
  <c r="B35" i="49" s="1"/>
  <c r="S32" i="49"/>
  <c r="R32" i="49"/>
  <c r="P32" i="49"/>
  <c r="O32" i="49"/>
  <c r="M32" i="49"/>
  <c r="L32" i="49"/>
  <c r="J32" i="49"/>
  <c r="I32" i="49"/>
  <c r="G32" i="49"/>
  <c r="F32" i="49"/>
  <c r="Q31" i="49"/>
  <c r="N31" i="49"/>
  <c r="K31" i="49"/>
  <c r="H31" i="49"/>
  <c r="E31" i="49"/>
  <c r="D31" i="49"/>
  <c r="C31" i="49"/>
  <c r="B31" i="49"/>
  <c r="Q30" i="49"/>
  <c r="Q32" i="49" s="1"/>
  <c r="N30" i="49"/>
  <c r="N32" i="49" s="1"/>
  <c r="K30" i="49"/>
  <c r="K32" i="49" s="1"/>
  <c r="H30" i="49"/>
  <c r="H32" i="49" s="1"/>
  <c r="E30" i="49"/>
  <c r="E32" i="49" s="1"/>
  <c r="D30" i="49"/>
  <c r="D32" i="49" s="1"/>
  <c r="C30" i="49"/>
  <c r="C32" i="49" s="1"/>
  <c r="B30" i="49"/>
  <c r="B32" i="49" s="1"/>
  <c r="S29" i="49"/>
  <c r="R29" i="49"/>
  <c r="P29" i="49"/>
  <c r="O29" i="49"/>
  <c r="M29" i="49"/>
  <c r="L29" i="49"/>
  <c r="J29" i="49"/>
  <c r="I29" i="49"/>
  <c r="G29" i="49"/>
  <c r="F29" i="49"/>
  <c r="Q28" i="49"/>
  <c r="N28" i="49"/>
  <c r="K28" i="49"/>
  <c r="H28" i="49"/>
  <c r="E28" i="49"/>
  <c r="D28" i="49"/>
  <c r="C28" i="49"/>
  <c r="B28" i="49"/>
  <c r="Q27" i="49"/>
  <c r="Q29" i="49" s="1"/>
  <c r="N27" i="49"/>
  <c r="N29" i="49" s="1"/>
  <c r="K27" i="49"/>
  <c r="K29" i="49" s="1"/>
  <c r="H27" i="49"/>
  <c r="H29" i="49" s="1"/>
  <c r="E27" i="49"/>
  <c r="E29" i="49" s="1"/>
  <c r="D27" i="49"/>
  <c r="D29" i="49" s="1"/>
  <c r="C27" i="49"/>
  <c r="C29" i="49" s="1"/>
  <c r="B27" i="49"/>
  <c r="B29" i="49" s="1"/>
  <c r="S26" i="49"/>
  <c r="S71" i="49" s="1"/>
  <c r="R26" i="49"/>
  <c r="R71" i="49" s="1"/>
  <c r="P26" i="49"/>
  <c r="P71" i="49" s="1"/>
  <c r="O26" i="49"/>
  <c r="O71" i="49" s="1"/>
  <c r="M26" i="49"/>
  <c r="M71" i="49" s="1"/>
  <c r="L26" i="49"/>
  <c r="L71" i="49" s="1"/>
  <c r="J26" i="49"/>
  <c r="J71" i="49" s="1"/>
  <c r="I26" i="49"/>
  <c r="I71" i="49" s="1"/>
  <c r="G26" i="49"/>
  <c r="G71" i="49" s="1"/>
  <c r="F26" i="49"/>
  <c r="F71" i="49" s="1"/>
  <c r="Q25" i="49"/>
  <c r="Q70" i="49" s="1"/>
  <c r="N25" i="49"/>
  <c r="N70" i="49" s="1"/>
  <c r="K25" i="49"/>
  <c r="K70" i="49" s="1"/>
  <c r="H25" i="49"/>
  <c r="H70" i="49" s="1"/>
  <c r="E25" i="49"/>
  <c r="E70" i="49" s="1"/>
  <c r="D25" i="49"/>
  <c r="D70" i="49" s="1"/>
  <c r="C25" i="49"/>
  <c r="C70" i="49" s="1"/>
  <c r="B25" i="49"/>
  <c r="B70" i="49" s="1"/>
  <c r="Q24" i="49"/>
  <c r="Q69" i="49" s="1"/>
  <c r="N24" i="49"/>
  <c r="N69" i="49" s="1"/>
  <c r="K24" i="49"/>
  <c r="K69" i="49" s="1"/>
  <c r="H24" i="49"/>
  <c r="H69" i="49" s="1"/>
  <c r="E24" i="49"/>
  <c r="E69" i="49" s="1"/>
  <c r="D24" i="49"/>
  <c r="D69" i="49" s="1"/>
  <c r="C24" i="49"/>
  <c r="C69" i="49" s="1"/>
  <c r="B24" i="49"/>
  <c r="B69" i="49" s="1"/>
  <c r="S19" i="49"/>
  <c r="R19" i="49"/>
  <c r="P19" i="49"/>
  <c r="O19" i="49"/>
  <c r="M19" i="49"/>
  <c r="L19" i="49"/>
  <c r="J19" i="49"/>
  <c r="I19" i="49"/>
  <c r="G19" i="49"/>
  <c r="F19" i="49"/>
  <c r="S18" i="49"/>
  <c r="R18" i="49"/>
  <c r="P18" i="49"/>
  <c r="O18" i="49"/>
  <c r="M18" i="49"/>
  <c r="L18" i="49"/>
  <c r="J18" i="49"/>
  <c r="I18" i="49"/>
  <c r="G18" i="49"/>
  <c r="F18" i="49"/>
  <c r="S17" i="49"/>
  <c r="S20" i="49" s="1"/>
  <c r="R17" i="49"/>
  <c r="R20" i="49" s="1"/>
  <c r="P17" i="49"/>
  <c r="P20" i="49" s="1"/>
  <c r="O17" i="49"/>
  <c r="O20" i="49" s="1"/>
  <c r="M17" i="49"/>
  <c r="M20" i="49" s="1"/>
  <c r="L17" i="49"/>
  <c r="L20" i="49" s="1"/>
  <c r="J17" i="49"/>
  <c r="J20" i="49" s="1"/>
  <c r="I17" i="49"/>
  <c r="I20" i="49" s="1"/>
  <c r="G17" i="49"/>
  <c r="G20" i="49" s="1"/>
  <c r="F17" i="49"/>
  <c r="F20" i="49" s="1"/>
  <c r="Q16" i="49"/>
  <c r="Q19" i="49" s="1"/>
  <c r="N16" i="49"/>
  <c r="N19" i="49" s="1"/>
  <c r="K16" i="49"/>
  <c r="K19" i="49" s="1"/>
  <c r="H16" i="49"/>
  <c r="H19" i="49" s="1"/>
  <c r="E16" i="49"/>
  <c r="E19" i="49" s="1"/>
  <c r="D16" i="49"/>
  <c r="D19" i="49" s="1"/>
  <c r="C16" i="49"/>
  <c r="C19" i="49" s="1"/>
  <c r="B16" i="49"/>
  <c r="B19" i="49" s="1"/>
  <c r="Q15" i="49"/>
  <c r="Q18" i="49" s="1"/>
  <c r="N15" i="49"/>
  <c r="N18" i="49" s="1"/>
  <c r="K15" i="49"/>
  <c r="K18" i="49" s="1"/>
  <c r="H15" i="49"/>
  <c r="H18" i="49" s="1"/>
  <c r="E15" i="49"/>
  <c r="E18" i="49" s="1"/>
  <c r="D15" i="49"/>
  <c r="D18" i="49" s="1"/>
  <c r="C15" i="49"/>
  <c r="C18" i="49" s="1"/>
  <c r="B15" i="49"/>
  <c r="B18" i="49" s="1"/>
  <c r="S10" i="49"/>
  <c r="R10" i="49"/>
  <c r="P10" i="49"/>
  <c r="O10" i="49"/>
  <c r="M10" i="49"/>
  <c r="L10" i="49"/>
  <c r="J10" i="49"/>
  <c r="I10" i="49"/>
  <c r="G10" i="49"/>
  <c r="F10" i="49"/>
  <c r="S9" i="49"/>
  <c r="R9" i="49"/>
  <c r="P9" i="49"/>
  <c r="O9" i="49"/>
  <c r="M9" i="49"/>
  <c r="L9" i="49"/>
  <c r="J9" i="49"/>
  <c r="I9" i="49"/>
  <c r="G9" i="49"/>
  <c r="F9" i="49"/>
  <c r="S8" i="49"/>
  <c r="S11" i="49" s="1"/>
  <c r="R8" i="49"/>
  <c r="R11" i="49" s="1"/>
  <c r="P8" i="49"/>
  <c r="P11" i="49" s="1"/>
  <c r="O8" i="49"/>
  <c r="O11" i="49" s="1"/>
  <c r="M8" i="49"/>
  <c r="M11" i="49" s="1"/>
  <c r="L8" i="49"/>
  <c r="L11" i="49" s="1"/>
  <c r="J8" i="49"/>
  <c r="J11" i="49" s="1"/>
  <c r="I8" i="49"/>
  <c r="I11" i="49" s="1"/>
  <c r="G8" i="49"/>
  <c r="G11" i="49" s="1"/>
  <c r="F8" i="49"/>
  <c r="F11" i="49" s="1"/>
  <c r="Q7" i="49"/>
  <c r="Q10" i="49" s="1"/>
  <c r="N7" i="49"/>
  <c r="N10" i="49" s="1"/>
  <c r="K7" i="49"/>
  <c r="K10" i="49" s="1"/>
  <c r="H7" i="49"/>
  <c r="H10" i="49" s="1"/>
  <c r="E7" i="49"/>
  <c r="E10" i="49" s="1"/>
  <c r="D7" i="49"/>
  <c r="D10" i="49" s="1"/>
  <c r="C7" i="49"/>
  <c r="C10" i="49" s="1"/>
  <c r="B7" i="49"/>
  <c r="B10" i="49" s="1"/>
  <c r="Q6" i="49"/>
  <c r="Q9" i="49" s="1"/>
  <c r="N6" i="49"/>
  <c r="N9" i="49" s="1"/>
  <c r="K6" i="49"/>
  <c r="K9" i="49" s="1"/>
  <c r="H6" i="49"/>
  <c r="H9" i="49" s="1"/>
  <c r="E6" i="49"/>
  <c r="E9" i="49" s="1"/>
  <c r="D6" i="49"/>
  <c r="D9" i="49" s="1"/>
  <c r="C6" i="49"/>
  <c r="C9" i="49" s="1"/>
  <c r="B6" i="49"/>
  <c r="B9" i="49" s="1"/>
  <c r="S82" i="48"/>
  <c r="R82" i="48"/>
  <c r="P82" i="48"/>
  <c r="O82" i="48"/>
  <c r="M82" i="48"/>
  <c r="L82" i="48"/>
  <c r="J82" i="48"/>
  <c r="I82" i="48"/>
  <c r="G82" i="48"/>
  <c r="F82" i="48"/>
  <c r="S81" i="48"/>
  <c r="R81" i="48"/>
  <c r="P81" i="48"/>
  <c r="O81" i="48"/>
  <c r="M81" i="48"/>
  <c r="L81" i="48"/>
  <c r="J81" i="48"/>
  <c r="I81" i="48"/>
  <c r="G81" i="48"/>
  <c r="F81" i="48"/>
  <c r="S80" i="48"/>
  <c r="R80" i="48"/>
  <c r="P80" i="48"/>
  <c r="O80" i="48"/>
  <c r="M80" i="48"/>
  <c r="L80" i="48"/>
  <c r="J80" i="48"/>
  <c r="I80" i="48"/>
  <c r="G80" i="48"/>
  <c r="F80" i="48"/>
  <c r="Q79" i="48"/>
  <c r="N79" i="48"/>
  <c r="K79" i="48"/>
  <c r="H79" i="48"/>
  <c r="E79" i="48"/>
  <c r="D79" i="48"/>
  <c r="C79" i="48"/>
  <c r="Q78" i="48"/>
  <c r="Q80" i="48" s="1"/>
  <c r="N78" i="48"/>
  <c r="K78" i="48"/>
  <c r="K80" i="48" s="1"/>
  <c r="H78" i="48"/>
  <c r="E78" i="48"/>
  <c r="E80" i="48" s="1"/>
  <c r="D78" i="48"/>
  <c r="C78" i="48"/>
  <c r="B78" i="48" s="1"/>
  <c r="S77" i="48"/>
  <c r="R77" i="48"/>
  <c r="P77" i="48"/>
  <c r="O77" i="48"/>
  <c r="M77" i="48"/>
  <c r="L77" i="48"/>
  <c r="J77" i="48"/>
  <c r="I77" i="48"/>
  <c r="G77" i="48"/>
  <c r="F77" i="48"/>
  <c r="Q76" i="48"/>
  <c r="N76" i="48"/>
  <c r="K76" i="48"/>
  <c r="H76" i="48"/>
  <c r="E76" i="48"/>
  <c r="D76" i="48"/>
  <c r="C76" i="48"/>
  <c r="Q75" i="48"/>
  <c r="Q77" i="48" s="1"/>
  <c r="N75" i="48"/>
  <c r="K75" i="48"/>
  <c r="K77" i="48" s="1"/>
  <c r="H75" i="48"/>
  <c r="E75" i="48"/>
  <c r="E77" i="48" s="1"/>
  <c r="D75" i="48"/>
  <c r="C75" i="48"/>
  <c r="B75" i="48" s="1"/>
  <c r="S74" i="48"/>
  <c r="R74" i="48"/>
  <c r="P74" i="48"/>
  <c r="O74" i="48"/>
  <c r="M74" i="48"/>
  <c r="L74" i="48"/>
  <c r="J74" i="48"/>
  <c r="I74" i="48"/>
  <c r="G74" i="48"/>
  <c r="F74" i="48"/>
  <c r="Q73" i="48"/>
  <c r="N73" i="48"/>
  <c r="K73" i="48"/>
  <c r="H73" i="48"/>
  <c r="E73" i="48"/>
  <c r="D73" i="48"/>
  <c r="C73" i="48"/>
  <c r="Q72" i="48"/>
  <c r="Q74" i="48" s="1"/>
  <c r="N72" i="48"/>
  <c r="K72" i="48"/>
  <c r="K74" i="48" s="1"/>
  <c r="H72" i="48"/>
  <c r="E72" i="48"/>
  <c r="E74" i="48" s="1"/>
  <c r="D72" i="48"/>
  <c r="C72" i="48"/>
  <c r="B72" i="48" s="1"/>
  <c r="S71" i="48"/>
  <c r="R71" i="48"/>
  <c r="P71" i="48"/>
  <c r="O71" i="48"/>
  <c r="M71" i="48"/>
  <c r="L71" i="48"/>
  <c r="J71" i="48"/>
  <c r="I71" i="48"/>
  <c r="G71" i="48"/>
  <c r="F71" i="48"/>
  <c r="Q70" i="48"/>
  <c r="N70" i="48"/>
  <c r="K70" i="48"/>
  <c r="H70" i="48"/>
  <c r="E70" i="48"/>
  <c r="D70" i="48"/>
  <c r="C70" i="48"/>
  <c r="Q69" i="48"/>
  <c r="Q71" i="48" s="1"/>
  <c r="N69" i="48"/>
  <c r="K69" i="48"/>
  <c r="K71" i="48" s="1"/>
  <c r="H69" i="48"/>
  <c r="E69" i="48"/>
  <c r="E71" i="48" s="1"/>
  <c r="D69" i="48"/>
  <c r="C69" i="48"/>
  <c r="B69" i="48" s="1"/>
  <c r="S68" i="48"/>
  <c r="R68" i="48"/>
  <c r="P68" i="48"/>
  <c r="O68" i="48"/>
  <c r="M68" i="48"/>
  <c r="L68" i="48"/>
  <c r="J68" i="48"/>
  <c r="I68" i="48"/>
  <c r="G68" i="48"/>
  <c r="F68" i="48"/>
  <c r="Q67" i="48"/>
  <c r="N67" i="48"/>
  <c r="K67" i="48"/>
  <c r="H67" i="48"/>
  <c r="E67" i="48"/>
  <c r="D67" i="48"/>
  <c r="C67" i="48"/>
  <c r="Q66" i="48"/>
  <c r="Q68" i="48" s="1"/>
  <c r="N66" i="48"/>
  <c r="K66" i="48"/>
  <c r="K68" i="48" s="1"/>
  <c r="H66" i="48"/>
  <c r="E66" i="48"/>
  <c r="E68" i="48" s="1"/>
  <c r="D66" i="48"/>
  <c r="C66" i="48"/>
  <c r="B66" i="48" s="1"/>
  <c r="S65" i="48"/>
  <c r="R65" i="48"/>
  <c r="P65" i="48"/>
  <c r="O65" i="48"/>
  <c r="M65" i="48"/>
  <c r="L65" i="48"/>
  <c r="J65" i="48"/>
  <c r="I65" i="48"/>
  <c r="G65" i="48"/>
  <c r="F65" i="48"/>
  <c r="Q64" i="48"/>
  <c r="N64" i="48"/>
  <c r="K64" i="48"/>
  <c r="H64" i="48"/>
  <c r="E64" i="48"/>
  <c r="D64" i="48"/>
  <c r="C64" i="48"/>
  <c r="Q63" i="48"/>
  <c r="Q65" i="48" s="1"/>
  <c r="N63" i="48"/>
  <c r="K63" i="48"/>
  <c r="K65" i="48" s="1"/>
  <c r="H63" i="48"/>
  <c r="E63" i="48"/>
  <c r="E65" i="48" s="1"/>
  <c r="D63" i="48"/>
  <c r="C63" i="48"/>
  <c r="B63" i="48" s="1"/>
  <c r="S62" i="48"/>
  <c r="R62" i="48"/>
  <c r="P62" i="48"/>
  <c r="O62" i="48"/>
  <c r="M62" i="48"/>
  <c r="L62" i="48"/>
  <c r="J62" i="48"/>
  <c r="I62" i="48"/>
  <c r="G62" i="48"/>
  <c r="F62" i="48"/>
  <c r="Q61" i="48"/>
  <c r="N61" i="48"/>
  <c r="K61" i="48"/>
  <c r="H61" i="48"/>
  <c r="E61" i="48"/>
  <c r="D61" i="48"/>
  <c r="C61" i="48"/>
  <c r="Q60" i="48"/>
  <c r="Q62" i="48" s="1"/>
  <c r="N60" i="48"/>
  <c r="K60" i="48"/>
  <c r="K62" i="48" s="1"/>
  <c r="H60" i="48"/>
  <c r="E60" i="48"/>
  <c r="E62" i="48" s="1"/>
  <c r="D60" i="48"/>
  <c r="C60" i="48"/>
  <c r="B60" i="48" s="1"/>
  <c r="S59" i="48"/>
  <c r="R59" i="48"/>
  <c r="P59" i="48"/>
  <c r="O59" i="48"/>
  <c r="M59" i="48"/>
  <c r="L59" i="48"/>
  <c r="J59" i="48"/>
  <c r="I59" i="48"/>
  <c r="G59" i="48"/>
  <c r="F59" i="48"/>
  <c r="Q58" i="48"/>
  <c r="N58" i="48"/>
  <c r="K58" i="48"/>
  <c r="H58" i="48"/>
  <c r="E58" i="48"/>
  <c r="D58" i="48"/>
  <c r="C58" i="48"/>
  <c r="Q57" i="48"/>
  <c r="Q59" i="48" s="1"/>
  <c r="N57" i="48"/>
  <c r="K57" i="48"/>
  <c r="K59" i="48" s="1"/>
  <c r="H57" i="48"/>
  <c r="E57" i="48"/>
  <c r="E59" i="48" s="1"/>
  <c r="D57" i="48"/>
  <c r="C57" i="48"/>
  <c r="B57" i="48" s="1"/>
  <c r="S56" i="48"/>
  <c r="R56" i="48"/>
  <c r="P56" i="48"/>
  <c r="O56" i="48"/>
  <c r="M56" i="48"/>
  <c r="L56" i="48"/>
  <c r="J56" i="48"/>
  <c r="I56" i="48"/>
  <c r="G56" i="48"/>
  <c r="F56" i="48"/>
  <c r="Q55" i="48"/>
  <c r="N55" i="48"/>
  <c r="K55" i="48"/>
  <c r="H55" i="48"/>
  <c r="E55" i="48"/>
  <c r="D55" i="48"/>
  <c r="C55" i="48"/>
  <c r="Q54" i="48"/>
  <c r="Q56" i="48" s="1"/>
  <c r="N54" i="48"/>
  <c r="K54" i="48"/>
  <c r="K56" i="48" s="1"/>
  <c r="H54" i="48"/>
  <c r="E54" i="48"/>
  <c r="E56" i="48" s="1"/>
  <c r="D54" i="48"/>
  <c r="C54" i="48"/>
  <c r="B54" i="48" s="1"/>
  <c r="S53" i="48"/>
  <c r="R53" i="48"/>
  <c r="P53" i="48"/>
  <c r="O53" i="48"/>
  <c r="M53" i="48"/>
  <c r="L53" i="48"/>
  <c r="J53" i="48"/>
  <c r="I53" i="48"/>
  <c r="G53" i="48"/>
  <c r="F53" i="48"/>
  <c r="Q52" i="48"/>
  <c r="N52" i="48"/>
  <c r="K52" i="48"/>
  <c r="H52" i="48"/>
  <c r="E52" i="48"/>
  <c r="D52" i="48"/>
  <c r="C52" i="48"/>
  <c r="Q51" i="48"/>
  <c r="Q53" i="48" s="1"/>
  <c r="N51" i="48"/>
  <c r="K51" i="48"/>
  <c r="K53" i="48" s="1"/>
  <c r="H51" i="48"/>
  <c r="E51" i="48"/>
  <c r="E53" i="48" s="1"/>
  <c r="D51" i="48"/>
  <c r="C51" i="48"/>
  <c r="B51" i="48" s="1"/>
  <c r="S50" i="48"/>
  <c r="R50" i="48"/>
  <c r="P50" i="48"/>
  <c r="O50" i="48"/>
  <c r="M50" i="48"/>
  <c r="L50" i="48"/>
  <c r="J50" i="48"/>
  <c r="I50" i="48"/>
  <c r="G50" i="48"/>
  <c r="F50" i="48"/>
  <c r="Q49" i="48"/>
  <c r="N49" i="48"/>
  <c r="K49" i="48"/>
  <c r="H49" i="48"/>
  <c r="E49" i="48"/>
  <c r="D49" i="48"/>
  <c r="C49" i="48"/>
  <c r="Q48" i="48"/>
  <c r="Q50" i="48" s="1"/>
  <c r="N48" i="48"/>
  <c r="K48" i="48"/>
  <c r="K50" i="48" s="1"/>
  <c r="H48" i="48"/>
  <c r="E48" i="48"/>
  <c r="E50" i="48" s="1"/>
  <c r="D48" i="48"/>
  <c r="C48" i="48"/>
  <c r="B48" i="48" s="1"/>
  <c r="S47" i="48"/>
  <c r="R47" i="48"/>
  <c r="P47" i="48"/>
  <c r="O47" i="48"/>
  <c r="M47" i="48"/>
  <c r="L47" i="48"/>
  <c r="J47" i="48"/>
  <c r="I47" i="48"/>
  <c r="G47" i="48"/>
  <c r="F47" i="48"/>
  <c r="Q46" i="48"/>
  <c r="N46" i="48"/>
  <c r="K46" i="48"/>
  <c r="H46" i="48"/>
  <c r="E46" i="48"/>
  <c r="D46" i="48"/>
  <c r="C46" i="48"/>
  <c r="Q45" i="48"/>
  <c r="Q47" i="48" s="1"/>
  <c r="N45" i="48"/>
  <c r="K45" i="48"/>
  <c r="K47" i="48" s="1"/>
  <c r="H45" i="48"/>
  <c r="E45" i="48"/>
  <c r="E47" i="48" s="1"/>
  <c r="D45" i="48"/>
  <c r="C45" i="48"/>
  <c r="B45" i="48" s="1"/>
  <c r="S44" i="48"/>
  <c r="R44" i="48"/>
  <c r="P44" i="48"/>
  <c r="O44" i="48"/>
  <c r="M44" i="48"/>
  <c r="L44" i="48"/>
  <c r="J44" i="48"/>
  <c r="I44" i="48"/>
  <c r="G44" i="48"/>
  <c r="F44" i="48"/>
  <c r="Q43" i="48"/>
  <c r="N43" i="48"/>
  <c r="K43" i="48"/>
  <c r="H43" i="48"/>
  <c r="E43" i="48"/>
  <c r="D43" i="48"/>
  <c r="C43" i="48"/>
  <c r="Q42" i="48"/>
  <c r="Q44" i="48" s="1"/>
  <c r="N42" i="48"/>
  <c r="K42" i="48"/>
  <c r="K44" i="48" s="1"/>
  <c r="H42" i="48"/>
  <c r="E42" i="48"/>
  <c r="E44" i="48" s="1"/>
  <c r="D42" i="48"/>
  <c r="C42" i="48"/>
  <c r="B42" i="48" s="1"/>
  <c r="S41" i="48"/>
  <c r="R41" i="48"/>
  <c r="P41" i="48"/>
  <c r="O41" i="48"/>
  <c r="M41" i="48"/>
  <c r="L41" i="48"/>
  <c r="J41" i="48"/>
  <c r="I41" i="48"/>
  <c r="G41" i="48"/>
  <c r="F41" i="48"/>
  <c r="Q40" i="48"/>
  <c r="N40" i="48"/>
  <c r="K40" i="48"/>
  <c r="H40" i="48"/>
  <c r="E40" i="48"/>
  <c r="D40" i="48"/>
  <c r="C40" i="48"/>
  <c r="Q39" i="48"/>
  <c r="Q41" i="48" s="1"/>
  <c r="N39" i="48"/>
  <c r="K39" i="48"/>
  <c r="K41" i="48" s="1"/>
  <c r="H39" i="48"/>
  <c r="E39" i="48"/>
  <c r="E41" i="48" s="1"/>
  <c r="D39" i="48"/>
  <c r="C39" i="48"/>
  <c r="B39" i="48" s="1"/>
  <c r="S38" i="48"/>
  <c r="R38" i="48"/>
  <c r="P38" i="48"/>
  <c r="O38" i="48"/>
  <c r="M38" i="48"/>
  <c r="L38" i="48"/>
  <c r="J38" i="48"/>
  <c r="I38" i="48"/>
  <c r="G38" i="48"/>
  <c r="F38" i="48"/>
  <c r="Q37" i="48"/>
  <c r="N37" i="48"/>
  <c r="K37" i="48"/>
  <c r="H37" i="48"/>
  <c r="E37" i="48"/>
  <c r="D37" i="48"/>
  <c r="C37" i="48"/>
  <c r="Q36" i="48"/>
  <c r="Q38" i="48" s="1"/>
  <c r="N36" i="48"/>
  <c r="K36" i="48"/>
  <c r="K38" i="48" s="1"/>
  <c r="H36" i="48"/>
  <c r="E36" i="48"/>
  <c r="E38" i="48" s="1"/>
  <c r="D36" i="48"/>
  <c r="C36" i="48"/>
  <c r="B36" i="48" s="1"/>
  <c r="S35" i="48"/>
  <c r="R35" i="48"/>
  <c r="P35" i="48"/>
  <c r="O35" i="48"/>
  <c r="M35" i="48"/>
  <c r="L35" i="48"/>
  <c r="J35" i="48"/>
  <c r="I35" i="48"/>
  <c r="G35" i="48"/>
  <c r="F35" i="48"/>
  <c r="Q34" i="48"/>
  <c r="N34" i="48"/>
  <c r="K34" i="48"/>
  <c r="H34" i="48"/>
  <c r="E34" i="48"/>
  <c r="D34" i="48"/>
  <c r="C34" i="48"/>
  <c r="Q33" i="48"/>
  <c r="Q35" i="48" s="1"/>
  <c r="N33" i="48"/>
  <c r="K33" i="48"/>
  <c r="K35" i="48" s="1"/>
  <c r="H33" i="48"/>
  <c r="E33" i="48"/>
  <c r="E35" i="48" s="1"/>
  <c r="D33" i="48"/>
  <c r="C33" i="48"/>
  <c r="B33" i="48" s="1"/>
  <c r="S32" i="48"/>
  <c r="R32" i="48"/>
  <c r="P32" i="48"/>
  <c r="O32" i="48"/>
  <c r="M32" i="48"/>
  <c r="L32" i="48"/>
  <c r="J32" i="48"/>
  <c r="I32" i="48"/>
  <c r="G32" i="48"/>
  <c r="F32" i="48"/>
  <c r="Q31" i="48"/>
  <c r="N31" i="48"/>
  <c r="K31" i="48"/>
  <c r="H31" i="48"/>
  <c r="E31" i="48"/>
  <c r="D31" i="48"/>
  <c r="C31" i="48"/>
  <c r="Q30" i="48"/>
  <c r="Q32" i="48" s="1"/>
  <c r="N30" i="48"/>
  <c r="K30" i="48"/>
  <c r="K32" i="48" s="1"/>
  <c r="H30" i="48"/>
  <c r="E30" i="48"/>
  <c r="E32" i="48" s="1"/>
  <c r="D30" i="48"/>
  <c r="C30" i="48"/>
  <c r="B30" i="48" s="1"/>
  <c r="S29" i="48"/>
  <c r="R29" i="48"/>
  <c r="P29" i="48"/>
  <c r="O29" i="48"/>
  <c r="M29" i="48"/>
  <c r="L29" i="48"/>
  <c r="J29" i="48"/>
  <c r="I29" i="48"/>
  <c r="G29" i="48"/>
  <c r="F29" i="48"/>
  <c r="Q28" i="48"/>
  <c r="N28" i="48"/>
  <c r="K28" i="48"/>
  <c r="H28" i="48"/>
  <c r="E28" i="48"/>
  <c r="D28" i="48"/>
  <c r="C28" i="48"/>
  <c r="Q27" i="48"/>
  <c r="Q29" i="48" s="1"/>
  <c r="N27" i="48"/>
  <c r="K27" i="48"/>
  <c r="K29" i="48" s="1"/>
  <c r="H27" i="48"/>
  <c r="E27" i="48"/>
  <c r="E29" i="48" s="1"/>
  <c r="D27" i="48"/>
  <c r="C27" i="48"/>
  <c r="B27" i="48" s="1"/>
  <c r="S26" i="48"/>
  <c r="R26" i="48"/>
  <c r="P26" i="48"/>
  <c r="O26" i="48"/>
  <c r="M26" i="48"/>
  <c r="L26" i="48"/>
  <c r="J26" i="48"/>
  <c r="I26" i="48"/>
  <c r="G26" i="48"/>
  <c r="F26" i="48"/>
  <c r="Q25" i="48"/>
  <c r="N25" i="48"/>
  <c r="K25" i="48"/>
  <c r="H25" i="48"/>
  <c r="E25" i="48"/>
  <c r="D25" i="48"/>
  <c r="C25" i="48"/>
  <c r="Q24" i="48"/>
  <c r="Q26" i="48" s="1"/>
  <c r="N24" i="48"/>
  <c r="K24" i="48"/>
  <c r="K26" i="48" s="1"/>
  <c r="H24" i="48"/>
  <c r="E24" i="48"/>
  <c r="E26" i="48" s="1"/>
  <c r="D24" i="48"/>
  <c r="C24" i="48"/>
  <c r="B24" i="48" s="1"/>
  <c r="S23" i="48"/>
  <c r="R23" i="48"/>
  <c r="P23" i="48"/>
  <c r="O23" i="48"/>
  <c r="M23" i="48"/>
  <c r="L23" i="48"/>
  <c r="J23" i="48"/>
  <c r="I23" i="48"/>
  <c r="G23" i="48"/>
  <c r="F23" i="48"/>
  <c r="Q22" i="48"/>
  <c r="N22" i="48"/>
  <c r="K22" i="48"/>
  <c r="H22" i="48"/>
  <c r="E22" i="48"/>
  <c r="D22" i="48"/>
  <c r="C22" i="48"/>
  <c r="Q21" i="48"/>
  <c r="Q23" i="48" s="1"/>
  <c r="N21" i="48"/>
  <c r="K21" i="48"/>
  <c r="K23" i="48" s="1"/>
  <c r="H21" i="48"/>
  <c r="E21" i="48"/>
  <c r="E23" i="48" s="1"/>
  <c r="D21" i="48"/>
  <c r="C21" i="48"/>
  <c r="B21" i="48" s="1"/>
  <c r="S20" i="48"/>
  <c r="R20" i="48"/>
  <c r="P20" i="48"/>
  <c r="O20" i="48"/>
  <c r="M20" i="48"/>
  <c r="L20" i="48"/>
  <c r="J20" i="48"/>
  <c r="I20" i="48"/>
  <c r="G20" i="48"/>
  <c r="F20" i="48"/>
  <c r="Q19" i="48"/>
  <c r="N19" i="48"/>
  <c r="K19" i="48"/>
  <c r="H19" i="48"/>
  <c r="E19" i="48"/>
  <c r="D19" i="48"/>
  <c r="C19" i="48"/>
  <c r="Q18" i="48"/>
  <c r="Q20" i="48" s="1"/>
  <c r="N18" i="48"/>
  <c r="K18" i="48"/>
  <c r="K20" i="48" s="1"/>
  <c r="H18" i="48"/>
  <c r="E18" i="48"/>
  <c r="E20" i="48" s="1"/>
  <c r="D18" i="48"/>
  <c r="C18" i="48"/>
  <c r="B18" i="48" s="1"/>
  <c r="S17" i="48"/>
  <c r="R17" i="48"/>
  <c r="P17" i="48"/>
  <c r="O17" i="48"/>
  <c r="M17" i="48"/>
  <c r="L17" i="48"/>
  <c r="J17" i="48"/>
  <c r="I17" i="48"/>
  <c r="G17" i="48"/>
  <c r="F17" i="48"/>
  <c r="Q16" i="48"/>
  <c r="N16" i="48"/>
  <c r="K16" i="48"/>
  <c r="H16" i="48"/>
  <c r="E16" i="48"/>
  <c r="D16" i="48"/>
  <c r="C16" i="48"/>
  <c r="Q15" i="48"/>
  <c r="Q17" i="48" s="1"/>
  <c r="N15" i="48"/>
  <c r="K15" i="48"/>
  <c r="K17" i="48" s="1"/>
  <c r="H15" i="48"/>
  <c r="E15" i="48"/>
  <c r="E17" i="48" s="1"/>
  <c r="D15" i="48"/>
  <c r="C15" i="48"/>
  <c r="B15" i="48" s="1"/>
  <c r="S14" i="48"/>
  <c r="R14" i="48"/>
  <c r="P14" i="48"/>
  <c r="O14" i="48"/>
  <c r="M14" i="48"/>
  <c r="L14" i="48"/>
  <c r="J14" i="48"/>
  <c r="I14" i="48"/>
  <c r="G14" i="48"/>
  <c r="F14" i="48"/>
  <c r="Q13" i="48"/>
  <c r="N13" i="48"/>
  <c r="K13" i="48"/>
  <c r="H13" i="48"/>
  <c r="E13" i="48"/>
  <c r="D13" i="48"/>
  <c r="C13" i="48"/>
  <c r="Q12" i="48"/>
  <c r="Q14" i="48" s="1"/>
  <c r="N12" i="48"/>
  <c r="K12" i="48"/>
  <c r="K14" i="48" s="1"/>
  <c r="H12" i="48"/>
  <c r="E12" i="48"/>
  <c r="E14" i="48" s="1"/>
  <c r="D12" i="48"/>
  <c r="C12" i="48"/>
  <c r="B12" i="48" s="1"/>
  <c r="S11" i="48"/>
  <c r="R11" i="48"/>
  <c r="P11" i="48"/>
  <c r="O11" i="48"/>
  <c r="M11" i="48"/>
  <c r="L11" i="48"/>
  <c r="J11" i="48"/>
  <c r="I11" i="48"/>
  <c r="G11" i="48"/>
  <c r="F11" i="48"/>
  <c r="Q10" i="48"/>
  <c r="N10" i="48"/>
  <c r="K10" i="48"/>
  <c r="H10" i="48"/>
  <c r="E10" i="48"/>
  <c r="D10" i="48"/>
  <c r="C10" i="48"/>
  <c r="Q9" i="48"/>
  <c r="Q11" i="48" s="1"/>
  <c r="N9" i="48"/>
  <c r="K9" i="48"/>
  <c r="K11" i="48" s="1"/>
  <c r="H9" i="48"/>
  <c r="E9" i="48"/>
  <c r="E11" i="48" s="1"/>
  <c r="D9" i="48"/>
  <c r="C9" i="48"/>
  <c r="B9" i="48" s="1"/>
  <c r="S8" i="48"/>
  <c r="S83" i="48" s="1"/>
  <c r="R8" i="48"/>
  <c r="R83" i="48" s="1"/>
  <c r="P8" i="48"/>
  <c r="P83" i="48" s="1"/>
  <c r="O8" i="48"/>
  <c r="O83" i="48" s="1"/>
  <c r="M8" i="48"/>
  <c r="M83" i="48" s="1"/>
  <c r="L8" i="48"/>
  <c r="L83" i="48" s="1"/>
  <c r="J8" i="48"/>
  <c r="J83" i="48" s="1"/>
  <c r="I8" i="48"/>
  <c r="I83" i="48" s="1"/>
  <c r="G8" i="48"/>
  <c r="G83" i="48" s="1"/>
  <c r="F8" i="48"/>
  <c r="F83" i="48" s="1"/>
  <c r="Q7" i="48"/>
  <c r="Q82" i="48" s="1"/>
  <c r="N7" i="48"/>
  <c r="N82" i="48" s="1"/>
  <c r="K7" i="48"/>
  <c r="K82" i="48" s="1"/>
  <c r="H7" i="48"/>
  <c r="H82" i="48" s="1"/>
  <c r="E7" i="48"/>
  <c r="E82" i="48" s="1"/>
  <c r="D7" i="48"/>
  <c r="D82" i="48" s="1"/>
  <c r="C7" i="48"/>
  <c r="Q6" i="48"/>
  <c r="Q81" i="48" s="1"/>
  <c r="N6" i="48"/>
  <c r="N81" i="48" s="1"/>
  <c r="K6" i="48"/>
  <c r="K81" i="48" s="1"/>
  <c r="H6" i="48"/>
  <c r="H81" i="48" s="1"/>
  <c r="E6" i="48"/>
  <c r="E81" i="48" s="1"/>
  <c r="D6" i="48"/>
  <c r="D81" i="48" s="1"/>
  <c r="C6" i="48"/>
  <c r="B6" i="48" s="1"/>
  <c r="K398" i="47"/>
  <c r="J398" i="47"/>
  <c r="H398" i="47"/>
  <c r="G398" i="47"/>
  <c r="I397" i="47"/>
  <c r="F397" i="47"/>
  <c r="E397" i="47"/>
  <c r="D397" i="47"/>
  <c r="C397" i="47" s="1"/>
  <c r="I396" i="47"/>
  <c r="F396" i="47"/>
  <c r="E396" i="47"/>
  <c r="D396" i="47"/>
  <c r="C396" i="47" s="1"/>
  <c r="I395" i="47"/>
  <c r="F395" i="47"/>
  <c r="E395" i="47"/>
  <c r="D395" i="47"/>
  <c r="C395" i="47" s="1"/>
  <c r="I394" i="47"/>
  <c r="F394" i="47"/>
  <c r="E394" i="47"/>
  <c r="D394" i="47"/>
  <c r="C394" i="47" s="1"/>
  <c r="I393" i="47"/>
  <c r="F393" i="47"/>
  <c r="E393" i="47"/>
  <c r="D393" i="47"/>
  <c r="C393" i="47" s="1"/>
  <c r="I392" i="47"/>
  <c r="F392" i="47"/>
  <c r="E392" i="47"/>
  <c r="D392" i="47"/>
  <c r="I391" i="47"/>
  <c r="F391" i="47"/>
  <c r="E391" i="47"/>
  <c r="D391" i="47"/>
  <c r="C391" i="47" s="1"/>
  <c r="I390" i="47"/>
  <c r="F390" i="47"/>
  <c r="E390" i="47"/>
  <c r="D390" i="47"/>
  <c r="I389" i="47"/>
  <c r="F389" i="47"/>
  <c r="E389" i="47"/>
  <c r="D389" i="47"/>
  <c r="I388" i="47"/>
  <c r="F388" i="47"/>
  <c r="E388" i="47"/>
  <c r="D388" i="47"/>
  <c r="I387" i="47"/>
  <c r="F387" i="47"/>
  <c r="E387" i="47"/>
  <c r="D387" i="47"/>
  <c r="C387" i="47"/>
  <c r="I386" i="47"/>
  <c r="F386" i="47"/>
  <c r="E386" i="47"/>
  <c r="D386" i="47"/>
  <c r="C386" i="47" s="1"/>
  <c r="I385" i="47"/>
  <c r="F385" i="47"/>
  <c r="E385" i="47"/>
  <c r="D385" i="47"/>
  <c r="C385" i="47" s="1"/>
  <c r="I384" i="47"/>
  <c r="F384" i="47"/>
  <c r="E384" i="47"/>
  <c r="D384" i="47"/>
  <c r="I383" i="47"/>
  <c r="F383" i="47"/>
  <c r="E383" i="47"/>
  <c r="D383" i="47"/>
  <c r="C383" i="47" s="1"/>
  <c r="I382" i="47"/>
  <c r="F382" i="47"/>
  <c r="E382" i="47"/>
  <c r="D382" i="47"/>
  <c r="I381" i="47"/>
  <c r="F381" i="47"/>
  <c r="E381" i="47"/>
  <c r="D381" i="47"/>
  <c r="C381" i="47"/>
  <c r="I380" i="47"/>
  <c r="F380" i="47"/>
  <c r="E380" i="47"/>
  <c r="D380" i="47"/>
  <c r="C380" i="47" s="1"/>
  <c r="I379" i="47"/>
  <c r="F379" i="47"/>
  <c r="F398" i="47" s="1"/>
  <c r="E379" i="47"/>
  <c r="D379" i="47"/>
  <c r="D398" i="47" s="1"/>
  <c r="K375" i="47"/>
  <c r="J375" i="47"/>
  <c r="H375" i="47"/>
  <c r="G375" i="47"/>
  <c r="I374" i="47"/>
  <c r="I375" i="47" s="1"/>
  <c r="F374" i="47"/>
  <c r="F375" i="47" s="1"/>
  <c r="E374" i="47"/>
  <c r="E375" i="47" s="1"/>
  <c r="D374" i="47"/>
  <c r="D375" i="47" s="1"/>
  <c r="C374" i="47"/>
  <c r="C375" i="47" s="1"/>
  <c r="K370" i="47"/>
  <c r="J370" i="47"/>
  <c r="H370" i="47"/>
  <c r="G370" i="47"/>
  <c r="I369" i="47"/>
  <c r="F369" i="47"/>
  <c r="E369" i="47"/>
  <c r="D369" i="47"/>
  <c r="C369" i="47" s="1"/>
  <c r="I368" i="47"/>
  <c r="F368" i="47"/>
  <c r="E368" i="47"/>
  <c r="D368" i="47"/>
  <c r="I367" i="47"/>
  <c r="F367" i="47"/>
  <c r="E367" i="47"/>
  <c r="D367" i="47"/>
  <c r="C367" i="47"/>
  <c r="I366" i="47"/>
  <c r="F366" i="47"/>
  <c r="F370" i="47" s="1"/>
  <c r="E366" i="47"/>
  <c r="D366" i="47"/>
  <c r="D370" i="47" s="1"/>
  <c r="K362" i="47"/>
  <c r="J362" i="47"/>
  <c r="H362" i="47"/>
  <c r="G362" i="47"/>
  <c r="I361" i="47"/>
  <c r="I362" i="47" s="1"/>
  <c r="F361" i="47"/>
  <c r="F362" i="47" s="1"/>
  <c r="E361" i="47"/>
  <c r="E362" i="47" s="1"/>
  <c r="D361" i="47"/>
  <c r="D362" i="47" s="1"/>
  <c r="K357" i="47"/>
  <c r="J357" i="47"/>
  <c r="H357" i="47"/>
  <c r="G357" i="47"/>
  <c r="I356" i="47"/>
  <c r="F356" i="47"/>
  <c r="E356" i="47"/>
  <c r="D356" i="47"/>
  <c r="C356" i="47"/>
  <c r="I355" i="47"/>
  <c r="F355" i="47"/>
  <c r="E355" i="47"/>
  <c r="D355" i="47"/>
  <c r="C355" i="47" s="1"/>
  <c r="I354" i="47"/>
  <c r="F354" i="47"/>
  <c r="E354" i="47"/>
  <c r="D354" i="47"/>
  <c r="C354" i="47" s="1"/>
  <c r="I353" i="47"/>
  <c r="F353" i="47"/>
  <c r="E353" i="47"/>
  <c r="D353" i="47"/>
  <c r="I352" i="47"/>
  <c r="F352" i="47"/>
  <c r="E352" i="47"/>
  <c r="D352" i="47"/>
  <c r="C352" i="47" s="1"/>
  <c r="I351" i="47"/>
  <c r="F351" i="47"/>
  <c r="E351" i="47"/>
  <c r="D351" i="47"/>
  <c r="I350" i="47"/>
  <c r="F350" i="47"/>
  <c r="E350" i="47"/>
  <c r="D350" i="47"/>
  <c r="I349" i="47"/>
  <c r="F349" i="47"/>
  <c r="E349" i="47"/>
  <c r="D349" i="47"/>
  <c r="I348" i="47"/>
  <c r="F348" i="47"/>
  <c r="E348" i="47"/>
  <c r="D348" i="47"/>
  <c r="C348" i="47"/>
  <c r="I347" i="47"/>
  <c r="F347" i="47"/>
  <c r="E347" i="47"/>
  <c r="D347" i="47"/>
  <c r="C347" i="47" s="1"/>
  <c r="I346" i="47"/>
  <c r="F346" i="47"/>
  <c r="E346" i="47"/>
  <c r="D346" i="47"/>
  <c r="C346" i="47" s="1"/>
  <c r="I345" i="47"/>
  <c r="F345" i="47"/>
  <c r="E345" i="47"/>
  <c r="D345" i="47"/>
  <c r="C345" i="47" s="1"/>
  <c r="I344" i="47"/>
  <c r="F344" i="47"/>
  <c r="E344" i="47"/>
  <c r="D344" i="47"/>
  <c r="C344" i="47" s="1"/>
  <c r="I343" i="47"/>
  <c r="F343" i="47"/>
  <c r="E343" i="47"/>
  <c r="D343" i="47"/>
  <c r="C343" i="47" s="1"/>
  <c r="I342" i="47"/>
  <c r="F342" i="47"/>
  <c r="E342" i="47"/>
  <c r="D342" i="47"/>
  <c r="C342" i="47" s="1"/>
  <c r="I341" i="47"/>
  <c r="F341" i="47"/>
  <c r="E341" i="47"/>
  <c r="D341" i="47"/>
  <c r="I340" i="47"/>
  <c r="F340" i="47"/>
  <c r="E340" i="47"/>
  <c r="D340" i="47"/>
  <c r="I339" i="47"/>
  <c r="F339" i="47"/>
  <c r="E339" i="47"/>
  <c r="D339" i="47"/>
  <c r="I338" i="47"/>
  <c r="F338" i="47"/>
  <c r="E338" i="47"/>
  <c r="D338" i="47"/>
  <c r="C338" i="47"/>
  <c r="I337" i="47"/>
  <c r="F337" i="47"/>
  <c r="E337" i="47"/>
  <c r="D337" i="47"/>
  <c r="C337" i="47" s="1"/>
  <c r="I336" i="47"/>
  <c r="F336" i="47"/>
  <c r="E336" i="47"/>
  <c r="D336" i="47"/>
  <c r="C336" i="47" s="1"/>
  <c r="I335" i="47"/>
  <c r="F335" i="47"/>
  <c r="E335" i="47"/>
  <c r="D335" i="47"/>
  <c r="C335" i="47" s="1"/>
  <c r="I334" i="47"/>
  <c r="F334" i="47"/>
  <c r="E334" i="47"/>
  <c r="D334" i="47"/>
  <c r="C334" i="47" s="1"/>
  <c r="I333" i="47"/>
  <c r="F333" i="47"/>
  <c r="E333" i="47"/>
  <c r="D333" i="47"/>
  <c r="I332" i="47"/>
  <c r="F332" i="47"/>
  <c r="E332" i="47"/>
  <c r="D332" i="47"/>
  <c r="I331" i="47"/>
  <c r="F331" i="47"/>
  <c r="E331" i="47"/>
  <c r="D331" i="47"/>
  <c r="I330" i="47"/>
  <c r="F330" i="47"/>
  <c r="E330" i="47"/>
  <c r="D330" i="47"/>
  <c r="I329" i="47"/>
  <c r="F329" i="47"/>
  <c r="E329" i="47"/>
  <c r="D329" i="47"/>
  <c r="I328" i="47"/>
  <c r="F328" i="47"/>
  <c r="E328" i="47"/>
  <c r="D328" i="47"/>
  <c r="C328" i="47"/>
  <c r="I327" i="47"/>
  <c r="F327" i="47"/>
  <c r="E327" i="47"/>
  <c r="D327" i="47"/>
  <c r="C327" i="47" s="1"/>
  <c r="I326" i="47"/>
  <c r="F326" i="47"/>
  <c r="E326" i="47"/>
  <c r="D326" i="47"/>
  <c r="C326" i="47" s="1"/>
  <c r="I325" i="47"/>
  <c r="F325" i="47"/>
  <c r="E325" i="47"/>
  <c r="D325" i="47"/>
  <c r="C325" i="47" s="1"/>
  <c r="I324" i="47"/>
  <c r="F324" i="47"/>
  <c r="E324" i="47"/>
  <c r="D324" i="47"/>
  <c r="C324" i="47" s="1"/>
  <c r="I323" i="47"/>
  <c r="F323" i="47"/>
  <c r="E323" i="47"/>
  <c r="D323" i="47"/>
  <c r="I322" i="47"/>
  <c r="F322" i="47"/>
  <c r="E322" i="47"/>
  <c r="D322" i="47"/>
  <c r="I321" i="47"/>
  <c r="F321" i="47"/>
  <c r="E321" i="47"/>
  <c r="D321" i="47"/>
  <c r="I320" i="47"/>
  <c r="F320" i="47"/>
  <c r="E320" i="47"/>
  <c r="D320" i="47"/>
  <c r="C320" i="47"/>
  <c r="I319" i="47"/>
  <c r="F319" i="47"/>
  <c r="E319" i="47"/>
  <c r="D319" i="47"/>
  <c r="C319" i="47" s="1"/>
  <c r="I318" i="47"/>
  <c r="F318" i="47"/>
  <c r="E318" i="47"/>
  <c r="D318" i="47"/>
  <c r="C318" i="47" s="1"/>
  <c r="I317" i="47"/>
  <c r="F317" i="47"/>
  <c r="E317" i="47"/>
  <c r="D317" i="47"/>
  <c r="C317" i="47" s="1"/>
  <c r="I316" i="47"/>
  <c r="F316" i="47"/>
  <c r="E316" i="47"/>
  <c r="D316" i="47"/>
  <c r="C316" i="47" s="1"/>
  <c r="I315" i="47"/>
  <c r="F315" i="47"/>
  <c r="E315" i="47"/>
  <c r="D315" i="47"/>
  <c r="C315" i="47" s="1"/>
  <c r="I314" i="47"/>
  <c r="F314" i="47"/>
  <c r="E314" i="47"/>
  <c r="D314" i="47"/>
  <c r="C314" i="47" s="1"/>
  <c r="I313" i="47"/>
  <c r="I357" i="47" s="1"/>
  <c r="F313" i="47"/>
  <c r="F357" i="47" s="1"/>
  <c r="E313" i="47"/>
  <c r="E357" i="47" s="1"/>
  <c r="D313" i="47"/>
  <c r="C313" i="47" s="1"/>
  <c r="K309" i="47"/>
  <c r="J309" i="47"/>
  <c r="H309" i="47"/>
  <c r="G309" i="47"/>
  <c r="I308" i="47"/>
  <c r="F308" i="47"/>
  <c r="E308" i="47"/>
  <c r="D308" i="47"/>
  <c r="I307" i="47"/>
  <c r="F307" i="47"/>
  <c r="E307" i="47"/>
  <c r="D307" i="47"/>
  <c r="C307" i="47" s="1"/>
  <c r="I306" i="47"/>
  <c r="F306" i="47"/>
  <c r="E306" i="47"/>
  <c r="D306" i="47"/>
  <c r="I305" i="47"/>
  <c r="F305" i="47"/>
  <c r="E305" i="47"/>
  <c r="D305" i="47"/>
  <c r="I304" i="47"/>
  <c r="I309" i="47" s="1"/>
  <c r="F304" i="47"/>
  <c r="F309" i="47" s="1"/>
  <c r="E304" i="47"/>
  <c r="E309" i="47" s="1"/>
  <c r="D304" i="47"/>
  <c r="D309" i="47" s="1"/>
  <c r="K300" i="47"/>
  <c r="J300" i="47"/>
  <c r="H300" i="47"/>
  <c r="G300" i="47"/>
  <c r="I299" i="47"/>
  <c r="F299" i="47"/>
  <c r="E299" i="47"/>
  <c r="D299" i="47"/>
  <c r="I298" i="47"/>
  <c r="F298" i="47"/>
  <c r="E298" i="47"/>
  <c r="D298" i="47"/>
  <c r="C298" i="47"/>
  <c r="I297" i="47"/>
  <c r="F297" i="47"/>
  <c r="E297" i="47"/>
  <c r="D297" i="47"/>
  <c r="C297" i="47" s="1"/>
  <c r="I296" i="47"/>
  <c r="F296" i="47"/>
  <c r="E296" i="47"/>
  <c r="D296" i="47"/>
  <c r="C296" i="47" s="1"/>
  <c r="I295" i="47"/>
  <c r="F295" i="47"/>
  <c r="E295" i="47"/>
  <c r="D295" i="47"/>
  <c r="C295" i="47" s="1"/>
  <c r="I294" i="47"/>
  <c r="F294" i="47"/>
  <c r="E294" i="47"/>
  <c r="D294" i="47"/>
  <c r="C294" i="47" s="1"/>
  <c r="I293" i="47"/>
  <c r="I300" i="47" s="1"/>
  <c r="F293" i="47"/>
  <c r="E293" i="47"/>
  <c r="E300" i="47" s="1"/>
  <c r="D293" i="47"/>
  <c r="K289" i="47"/>
  <c r="J289" i="47"/>
  <c r="H289" i="47"/>
  <c r="G289" i="47"/>
  <c r="I288" i="47"/>
  <c r="F288" i="47"/>
  <c r="E288" i="47"/>
  <c r="D288" i="47"/>
  <c r="I287" i="47"/>
  <c r="F287" i="47"/>
  <c r="E287" i="47"/>
  <c r="D287" i="47"/>
  <c r="C287" i="47"/>
  <c r="I286" i="47"/>
  <c r="F286" i="47"/>
  <c r="E286" i="47"/>
  <c r="D286" i="47"/>
  <c r="C286" i="47" s="1"/>
  <c r="I285" i="47"/>
  <c r="F285" i="47"/>
  <c r="E285" i="47"/>
  <c r="D285" i="47"/>
  <c r="C285" i="47" s="1"/>
  <c r="I284" i="47"/>
  <c r="F284" i="47"/>
  <c r="E284" i="47"/>
  <c r="D284" i="47"/>
  <c r="I283" i="47"/>
  <c r="F283" i="47"/>
  <c r="E283" i="47"/>
  <c r="D283" i="47"/>
  <c r="C283" i="47" s="1"/>
  <c r="I282" i="47"/>
  <c r="F282" i="47"/>
  <c r="E282" i="47"/>
  <c r="D282" i="47"/>
  <c r="I281" i="47"/>
  <c r="I289" i="47" s="1"/>
  <c r="F281" i="47"/>
  <c r="F289" i="47" s="1"/>
  <c r="E281" i="47"/>
  <c r="E289" i="47" s="1"/>
  <c r="D281" i="47"/>
  <c r="D289" i="47" s="1"/>
  <c r="C281" i="47"/>
  <c r="K277" i="47"/>
  <c r="J277" i="47"/>
  <c r="H277" i="47"/>
  <c r="G277" i="47"/>
  <c r="I276" i="47"/>
  <c r="F276" i="47"/>
  <c r="E276" i="47"/>
  <c r="D276" i="47"/>
  <c r="C276" i="47" s="1"/>
  <c r="I275" i="47"/>
  <c r="F275" i="47"/>
  <c r="E275" i="47"/>
  <c r="D275" i="47"/>
  <c r="C275" i="47" s="1"/>
  <c r="I274" i="47"/>
  <c r="F274" i="47"/>
  <c r="E274" i="47"/>
  <c r="D274" i="47"/>
  <c r="C274" i="47" s="1"/>
  <c r="I273" i="47"/>
  <c r="F273" i="47"/>
  <c r="E273" i="47"/>
  <c r="D273" i="47"/>
  <c r="I272" i="47"/>
  <c r="F272" i="47"/>
  <c r="E272" i="47"/>
  <c r="D272" i="47"/>
  <c r="C272" i="47"/>
  <c r="I271" i="47"/>
  <c r="F271" i="47"/>
  <c r="E271" i="47"/>
  <c r="D271" i="47"/>
  <c r="C271" i="47" s="1"/>
  <c r="I270" i="47"/>
  <c r="F270" i="47"/>
  <c r="F277" i="47" s="1"/>
  <c r="E270" i="47"/>
  <c r="D270" i="47"/>
  <c r="D277" i="47" s="1"/>
  <c r="K266" i="47"/>
  <c r="J266" i="47"/>
  <c r="H266" i="47"/>
  <c r="G266" i="47"/>
  <c r="I265" i="47"/>
  <c r="F265" i="47"/>
  <c r="E265" i="47"/>
  <c r="D265" i="47"/>
  <c r="C265" i="47" s="1"/>
  <c r="I264" i="47"/>
  <c r="F264" i="47"/>
  <c r="E264" i="47"/>
  <c r="D264" i="47"/>
  <c r="I263" i="47"/>
  <c r="F263" i="47"/>
  <c r="E263" i="47"/>
  <c r="D263" i="47"/>
  <c r="I262" i="47"/>
  <c r="F262" i="47"/>
  <c r="E262" i="47"/>
  <c r="D262" i="47"/>
  <c r="I261" i="47"/>
  <c r="F261" i="47"/>
  <c r="E261" i="47"/>
  <c r="D261" i="47"/>
  <c r="C261" i="47"/>
  <c r="I260" i="47"/>
  <c r="F260" i="47"/>
  <c r="E260" i="47"/>
  <c r="D260" i="47"/>
  <c r="C260" i="47" s="1"/>
  <c r="I259" i="47"/>
  <c r="F259" i="47"/>
  <c r="E259" i="47"/>
  <c r="D259" i="47"/>
  <c r="C259" i="47" s="1"/>
  <c r="I258" i="47"/>
  <c r="I266" i="47" s="1"/>
  <c r="F258" i="47"/>
  <c r="E258" i="47"/>
  <c r="E266" i="47" s="1"/>
  <c r="D258" i="47"/>
  <c r="K254" i="47"/>
  <c r="J254" i="47"/>
  <c r="H254" i="47"/>
  <c r="G254" i="47"/>
  <c r="I253" i="47"/>
  <c r="F253" i="47"/>
  <c r="E253" i="47"/>
  <c r="D253" i="47"/>
  <c r="I252" i="47"/>
  <c r="F252" i="47"/>
  <c r="E252" i="47"/>
  <c r="D252" i="47"/>
  <c r="C252" i="47"/>
  <c r="I251" i="47"/>
  <c r="F251" i="47"/>
  <c r="E251" i="47"/>
  <c r="D251" i="47"/>
  <c r="C251" i="47" s="1"/>
  <c r="I250" i="47"/>
  <c r="F250" i="47"/>
  <c r="E250" i="47"/>
  <c r="D250" i="47"/>
  <c r="C250" i="47" s="1"/>
  <c r="I249" i="47"/>
  <c r="F249" i="47"/>
  <c r="E249" i="47"/>
  <c r="D249" i="47"/>
  <c r="I248" i="47"/>
  <c r="F248" i="47"/>
  <c r="E248" i="47"/>
  <c r="D248" i="47"/>
  <c r="C248" i="47" s="1"/>
  <c r="I247" i="47"/>
  <c r="F247" i="47"/>
  <c r="E247" i="47"/>
  <c r="D247" i="47"/>
  <c r="I246" i="47"/>
  <c r="F246" i="47"/>
  <c r="E246" i="47"/>
  <c r="D246" i="47"/>
  <c r="I245" i="47"/>
  <c r="F245" i="47"/>
  <c r="E245" i="47"/>
  <c r="D245" i="47"/>
  <c r="I244" i="47"/>
  <c r="I254" i="47" s="1"/>
  <c r="F244" i="47"/>
  <c r="E244" i="47"/>
  <c r="E254" i="47" s="1"/>
  <c r="D244" i="47"/>
  <c r="K240" i="47"/>
  <c r="J240" i="47"/>
  <c r="H240" i="47"/>
  <c r="G240" i="47"/>
  <c r="I239" i="47"/>
  <c r="F239" i="47"/>
  <c r="E239" i="47"/>
  <c r="D239" i="47"/>
  <c r="C239" i="47"/>
  <c r="I238" i="47"/>
  <c r="F238" i="47"/>
  <c r="E238" i="47"/>
  <c r="D238" i="47"/>
  <c r="C238" i="47" s="1"/>
  <c r="I237" i="47"/>
  <c r="F237" i="47"/>
  <c r="E237" i="47"/>
  <c r="D237" i="47"/>
  <c r="C237" i="47" s="1"/>
  <c r="I236" i="47"/>
  <c r="F236" i="47"/>
  <c r="E236" i="47"/>
  <c r="D236" i="47"/>
  <c r="I235" i="47"/>
  <c r="F235" i="47"/>
  <c r="E235" i="47"/>
  <c r="D235" i="47"/>
  <c r="C235" i="47"/>
  <c r="I234" i="47"/>
  <c r="F234" i="47"/>
  <c r="E234" i="47"/>
  <c r="D234" i="47"/>
  <c r="C234" i="47" s="1"/>
  <c r="I233" i="47"/>
  <c r="F233" i="47"/>
  <c r="F240" i="47" s="1"/>
  <c r="E233" i="47"/>
  <c r="D233" i="47"/>
  <c r="D240" i="47" s="1"/>
  <c r="C232" i="47"/>
  <c r="K229" i="47"/>
  <c r="J229" i="47"/>
  <c r="H229" i="47"/>
  <c r="G229" i="47"/>
  <c r="I228" i="47"/>
  <c r="F228" i="47"/>
  <c r="E228" i="47"/>
  <c r="D228" i="47"/>
  <c r="I227" i="47"/>
  <c r="F227" i="47"/>
  <c r="E227" i="47"/>
  <c r="D227" i="47"/>
  <c r="I226" i="47"/>
  <c r="F226" i="47"/>
  <c r="E226" i="47"/>
  <c r="D226" i="47"/>
  <c r="I225" i="47"/>
  <c r="F225" i="47"/>
  <c r="E225" i="47"/>
  <c r="D225" i="47"/>
  <c r="C225" i="47"/>
  <c r="I224" i="47"/>
  <c r="F224" i="47"/>
  <c r="E224" i="47"/>
  <c r="D224" i="47"/>
  <c r="C224" i="47" s="1"/>
  <c r="I223" i="47"/>
  <c r="F223" i="47"/>
  <c r="E223" i="47"/>
  <c r="D223" i="47"/>
  <c r="C223" i="47" s="1"/>
  <c r="I222" i="47"/>
  <c r="F222" i="47"/>
  <c r="E222" i="47"/>
  <c r="D222" i="47"/>
  <c r="I221" i="47"/>
  <c r="F221" i="47"/>
  <c r="E221" i="47"/>
  <c r="D221" i="47"/>
  <c r="C221" i="47" s="1"/>
  <c r="I220" i="47"/>
  <c r="F220" i="47"/>
  <c r="E220" i="47"/>
  <c r="D220" i="47"/>
  <c r="I219" i="47"/>
  <c r="F219" i="47"/>
  <c r="E219" i="47"/>
  <c r="D219" i="47"/>
  <c r="I218" i="47"/>
  <c r="F218" i="47"/>
  <c r="E218" i="47"/>
  <c r="D218" i="47"/>
  <c r="I217" i="47"/>
  <c r="F217" i="47"/>
  <c r="E217" i="47"/>
  <c r="D217" i="47"/>
  <c r="C217" i="47"/>
  <c r="I216" i="47"/>
  <c r="F216" i="47"/>
  <c r="E216" i="47"/>
  <c r="D216" i="47"/>
  <c r="C216" i="47" s="1"/>
  <c r="I215" i="47"/>
  <c r="F215" i="47"/>
  <c r="E215" i="47"/>
  <c r="D215" i="47"/>
  <c r="C215" i="47" s="1"/>
  <c r="I214" i="47"/>
  <c r="I229" i="47" s="1"/>
  <c r="F214" i="47"/>
  <c r="E214" i="47"/>
  <c r="E229" i="47" s="1"/>
  <c r="D214" i="47"/>
  <c r="K210" i="47"/>
  <c r="J210" i="47"/>
  <c r="H210" i="47"/>
  <c r="G210" i="47"/>
  <c r="I209" i="47"/>
  <c r="F209" i="47"/>
  <c r="E209" i="47"/>
  <c r="D209" i="47"/>
  <c r="I208" i="47"/>
  <c r="F208" i="47"/>
  <c r="E208" i="47"/>
  <c r="D208" i="47"/>
  <c r="C208" i="47"/>
  <c r="I207" i="47"/>
  <c r="F207" i="47"/>
  <c r="E207" i="47"/>
  <c r="D207" i="47"/>
  <c r="C207" i="47" s="1"/>
  <c r="I206" i="47"/>
  <c r="F206" i="47"/>
  <c r="F210" i="47" s="1"/>
  <c r="E206" i="47"/>
  <c r="D206" i="47"/>
  <c r="D210" i="47" s="1"/>
  <c r="K202" i="47"/>
  <c r="J202" i="47"/>
  <c r="H202" i="47"/>
  <c r="G202" i="47"/>
  <c r="I201" i="47"/>
  <c r="I202" i="47" s="1"/>
  <c r="F201" i="47"/>
  <c r="F202" i="47" s="1"/>
  <c r="E201" i="47"/>
  <c r="E202" i="47" s="1"/>
  <c r="D201" i="47"/>
  <c r="D202" i="47" s="1"/>
  <c r="I196" i="47"/>
  <c r="F196" i="47"/>
  <c r="E196" i="47"/>
  <c r="D196" i="47"/>
  <c r="C196" i="47" s="1"/>
  <c r="I195" i="47"/>
  <c r="F195" i="47"/>
  <c r="E195" i="47"/>
  <c r="D195" i="47"/>
  <c r="C195" i="47" s="1"/>
  <c r="I194" i="47"/>
  <c r="F194" i="47"/>
  <c r="E194" i="47"/>
  <c r="D194" i="47"/>
  <c r="I193" i="47"/>
  <c r="F193" i="47"/>
  <c r="E193" i="47"/>
  <c r="D193" i="47"/>
  <c r="C193" i="47" s="1"/>
  <c r="I192" i="47"/>
  <c r="F192" i="47"/>
  <c r="E192" i="47"/>
  <c r="D192" i="47"/>
  <c r="C192" i="47" s="1"/>
  <c r="I191" i="47"/>
  <c r="F191" i="47"/>
  <c r="E191" i="47"/>
  <c r="D191" i="47"/>
  <c r="C191" i="47" s="1"/>
  <c r="I190" i="47"/>
  <c r="F190" i="47"/>
  <c r="E190" i="47"/>
  <c r="D190" i="47"/>
  <c r="K186" i="47"/>
  <c r="J186" i="47"/>
  <c r="H186" i="47"/>
  <c r="G186" i="47"/>
  <c r="I185" i="47"/>
  <c r="F185" i="47"/>
  <c r="E185" i="47"/>
  <c r="D185" i="47"/>
  <c r="I184" i="47"/>
  <c r="F184" i="47"/>
  <c r="E184" i="47"/>
  <c r="D184" i="47"/>
  <c r="C184" i="47" s="1"/>
  <c r="I183" i="47"/>
  <c r="F183" i="47"/>
  <c r="E183" i="47"/>
  <c r="D183" i="47"/>
  <c r="C183" i="47" s="1"/>
  <c r="I182" i="47"/>
  <c r="F182" i="47"/>
  <c r="E182" i="47"/>
  <c r="D182" i="47"/>
  <c r="C182" i="47" s="1"/>
  <c r="I181" i="47"/>
  <c r="F181" i="47"/>
  <c r="E181" i="47"/>
  <c r="D181" i="47"/>
  <c r="I180" i="47"/>
  <c r="F180" i="47"/>
  <c r="E180" i="47"/>
  <c r="D180" i="47"/>
  <c r="C180" i="47" s="1"/>
  <c r="I179" i="47"/>
  <c r="F179" i="47"/>
  <c r="E179" i="47"/>
  <c r="D179" i="47"/>
  <c r="I178" i="47"/>
  <c r="F178" i="47"/>
  <c r="E178" i="47"/>
  <c r="D178" i="47"/>
  <c r="C178" i="47" s="1"/>
  <c r="I177" i="47"/>
  <c r="F177" i="47"/>
  <c r="E177" i="47"/>
  <c r="D177" i="47"/>
  <c r="I176" i="47"/>
  <c r="F176" i="47"/>
  <c r="E176" i="47"/>
  <c r="D176" i="47"/>
  <c r="C176" i="47"/>
  <c r="I175" i="47"/>
  <c r="F175" i="47"/>
  <c r="E175" i="47"/>
  <c r="D175" i="47"/>
  <c r="C175" i="47" s="1"/>
  <c r="I174" i="47"/>
  <c r="F174" i="47"/>
  <c r="E174" i="47"/>
  <c r="D174" i="47"/>
  <c r="C174" i="47" s="1"/>
  <c r="I173" i="47"/>
  <c r="F173" i="47"/>
  <c r="E173" i="47"/>
  <c r="D173" i="47"/>
  <c r="I172" i="47"/>
  <c r="F172" i="47"/>
  <c r="E172" i="47"/>
  <c r="D172" i="47"/>
  <c r="C172" i="47" s="1"/>
  <c r="I171" i="47"/>
  <c r="F171" i="47"/>
  <c r="E171" i="47"/>
  <c r="D171" i="47"/>
  <c r="I170" i="47"/>
  <c r="F170" i="47"/>
  <c r="E170" i="47"/>
  <c r="D170" i="47"/>
  <c r="I169" i="47"/>
  <c r="F169" i="47"/>
  <c r="E169" i="47"/>
  <c r="D169" i="47"/>
  <c r="I168" i="47"/>
  <c r="F168" i="47"/>
  <c r="E168" i="47"/>
  <c r="D168" i="47"/>
  <c r="C168" i="47"/>
  <c r="I167" i="47"/>
  <c r="F167" i="47"/>
  <c r="E167" i="47"/>
  <c r="D167" i="47"/>
  <c r="C167" i="47" s="1"/>
  <c r="I166" i="47"/>
  <c r="F166" i="47"/>
  <c r="E166" i="47"/>
  <c r="D166" i="47"/>
  <c r="C166" i="47" s="1"/>
  <c r="I165" i="47"/>
  <c r="F165" i="47"/>
  <c r="E165" i="47"/>
  <c r="D165" i="47"/>
  <c r="I164" i="47"/>
  <c r="F164" i="47"/>
  <c r="E164" i="47"/>
  <c r="D164" i="47"/>
  <c r="C164" i="47" s="1"/>
  <c r="I163" i="47"/>
  <c r="F163" i="47"/>
  <c r="E163" i="47"/>
  <c r="D163" i="47"/>
  <c r="I162" i="47"/>
  <c r="F162" i="47"/>
  <c r="E162" i="47"/>
  <c r="D162" i="47"/>
  <c r="I161" i="47"/>
  <c r="I186" i="47" s="1"/>
  <c r="F161" i="47"/>
  <c r="E161" i="47"/>
  <c r="E186" i="47" s="1"/>
  <c r="D161" i="47"/>
  <c r="K157" i="47"/>
  <c r="J157" i="47"/>
  <c r="H157" i="47"/>
  <c r="G157" i="47"/>
  <c r="I156" i="47"/>
  <c r="F156" i="47"/>
  <c r="E156" i="47"/>
  <c r="D156" i="47"/>
  <c r="I155" i="47"/>
  <c r="F155" i="47"/>
  <c r="E155" i="47"/>
  <c r="D155" i="47"/>
  <c r="C155" i="47"/>
  <c r="I154" i="47"/>
  <c r="F154" i="47"/>
  <c r="E154" i="47"/>
  <c r="D154" i="47"/>
  <c r="C154" i="47" s="1"/>
  <c r="I153" i="47"/>
  <c r="F153" i="47"/>
  <c r="E153" i="47"/>
  <c r="D153" i="47"/>
  <c r="C153" i="47" s="1"/>
  <c r="I152" i="47"/>
  <c r="F152" i="47"/>
  <c r="E152" i="47"/>
  <c r="D152" i="47"/>
  <c r="I151" i="47"/>
  <c r="F151" i="47"/>
  <c r="E151" i="47"/>
  <c r="D151" i="47"/>
  <c r="C151" i="47" s="1"/>
  <c r="I150" i="47"/>
  <c r="F150" i="47"/>
  <c r="E150" i="47"/>
  <c r="D150" i="47"/>
  <c r="I149" i="47"/>
  <c r="F149" i="47"/>
  <c r="E149" i="47"/>
  <c r="D149" i="47"/>
  <c r="I148" i="47"/>
  <c r="F148" i="47"/>
  <c r="E148" i="47"/>
  <c r="D148" i="47"/>
  <c r="I147" i="47"/>
  <c r="F147" i="47"/>
  <c r="E147" i="47"/>
  <c r="D147" i="47"/>
  <c r="C147" i="47"/>
  <c r="I146" i="47"/>
  <c r="F146" i="47"/>
  <c r="E146" i="47"/>
  <c r="D146" i="47"/>
  <c r="C146" i="47" s="1"/>
  <c r="I145" i="47"/>
  <c r="F145" i="47"/>
  <c r="E145" i="47"/>
  <c r="D145" i="47"/>
  <c r="C145" i="47" s="1"/>
  <c r="I144" i="47"/>
  <c r="F144" i="47"/>
  <c r="E144" i="47"/>
  <c r="D144" i="47"/>
  <c r="I143" i="47"/>
  <c r="F143" i="47"/>
  <c r="E143" i="47"/>
  <c r="D143" i="47"/>
  <c r="C143" i="47" s="1"/>
  <c r="I142" i="47"/>
  <c r="F142" i="47"/>
  <c r="E142" i="47"/>
  <c r="D142" i="47"/>
  <c r="K138" i="47"/>
  <c r="J138" i="47"/>
  <c r="H138" i="47"/>
  <c r="G138" i="47"/>
  <c r="I137" i="47"/>
  <c r="F137" i="47"/>
  <c r="E137" i="47"/>
  <c r="D137" i="47"/>
  <c r="C137" i="47" s="1"/>
  <c r="I136" i="47"/>
  <c r="F136" i="47"/>
  <c r="E136" i="47"/>
  <c r="D136" i="47"/>
  <c r="C136" i="47" s="1"/>
  <c r="I135" i="47"/>
  <c r="F135" i="47"/>
  <c r="E135" i="47"/>
  <c r="D135" i="47"/>
  <c r="I134" i="47"/>
  <c r="F134" i="47"/>
  <c r="E134" i="47"/>
  <c r="D134" i="47"/>
  <c r="C134" i="47" s="1"/>
  <c r="I133" i="47"/>
  <c r="F133" i="47"/>
  <c r="E133" i="47"/>
  <c r="D133" i="47"/>
  <c r="I132" i="47"/>
  <c r="F132" i="47"/>
  <c r="E132" i="47"/>
  <c r="D132" i="47"/>
  <c r="C132" i="47" s="1"/>
  <c r="I131" i="47"/>
  <c r="F131" i="47"/>
  <c r="E131" i="47"/>
  <c r="D131" i="47"/>
  <c r="I130" i="47"/>
  <c r="F130" i="47"/>
  <c r="E130" i="47"/>
  <c r="D130" i="47"/>
  <c r="C130" i="47" s="1"/>
  <c r="I129" i="47"/>
  <c r="F129" i="47"/>
  <c r="E129" i="47"/>
  <c r="D129" i="47"/>
  <c r="I128" i="47"/>
  <c r="F128" i="47"/>
  <c r="E128" i="47"/>
  <c r="D128" i="47"/>
  <c r="C128" i="47" s="1"/>
  <c r="I127" i="47"/>
  <c r="F127" i="47"/>
  <c r="E127" i="47"/>
  <c r="D127" i="47"/>
  <c r="I126" i="47"/>
  <c r="F126" i="47"/>
  <c r="E126" i="47"/>
  <c r="D126" i="47"/>
  <c r="C126" i="47" s="1"/>
  <c r="I125" i="47"/>
  <c r="F125" i="47"/>
  <c r="E125" i="47"/>
  <c r="D125" i="47"/>
  <c r="C125" i="47" s="1"/>
  <c r="I124" i="47"/>
  <c r="F124" i="47"/>
  <c r="E124" i="47"/>
  <c r="D124" i="47"/>
  <c r="C124" i="47" s="1"/>
  <c r="I123" i="47"/>
  <c r="F123" i="47"/>
  <c r="E123" i="47"/>
  <c r="D123" i="47"/>
  <c r="I122" i="47"/>
  <c r="F122" i="47"/>
  <c r="E122" i="47"/>
  <c r="D122" i="47"/>
  <c r="C122" i="47" s="1"/>
  <c r="I121" i="47"/>
  <c r="F121" i="47"/>
  <c r="E121" i="47"/>
  <c r="D121" i="47"/>
  <c r="I120" i="47"/>
  <c r="F120" i="47"/>
  <c r="E120" i="47"/>
  <c r="D120" i="47"/>
  <c r="I119" i="47"/>
  <c r="F119" i="47"/>
  <c r="E119" i="47"/>
  <c r="D119" i="47"/>
  <c r="I118" i="47"/>
  <c r="F118" i="47"/>
  <c r="E118" i="47"/>
  <c r="D118" i="47"/>
  <c r="C118" i="47"/>
  <c r="I117" i="47"/>
  <c r="F117" i="47"/>
  <c r="E117" i="47"/>
  <c r="D117" i="47"/>
  <c r="C117" i="47" s="1"/>
  <c r="I116" i="47"/>
  <c r="F116" i="47"/>
  <c r="E116" i="47"/>
  <c r="D116" i="47"/>
  <c r="C116" i="47" s="1"/>
  <c r="I115" i="47"/>
  <c r="F115" i="47"/>
  <c r="E115" i="47"/>
  <c r="D115" i="47"/>
  <c r="I114" i="47"/>
  <c r="F114" i="47"/>
  <c r="E114" i="47"/>
  <c r="D114" i="47"/>
  <c r="C114" i="47" s="1"/>
  <c r="I113" i="47"/>
  <c r="F113" i="47"/>
  <c r="E113" i="47"/>
  <c r="D113" i="47"/>
  <c r="I112" i="47"/>
  <c r="F112" i="47"/>
  <c r="E112" i="47"/>
  <c r="D112" i="47"/>
  <c r="I111" i="47"/>
  <c r="F111" i="47"/>
  <c r="E111" i="47"/>
  <c r="D111" i="47"/>
  <c r="I110" i="47"/>
  <c r="F110" i="47"/>
  <c r="E110" i="47"/>
  <c r="D110" i="47"/>
  <c r="C110" i="47"/>
  <c r="I109" i="47"/>
  <c r="F109" i="47"/>
  <c r="E109" i="47"/>
  <c r="D109" i="47"/>
  <c r="C109" i="47" s="1"/>
  <c r="I108" i="47"/>
  <c r="F108" i="47"/>
  <c r="E108" i="47"/>
  <c r="D108" i="47"/>
  <c r="C108" i="47" s="1"/>
  <c r="I107" i="47"/>
  <c r="I138" i="47" s="1"/>
  <c r="F107" i="47"/>
  <c r="E107" i="47"/>
  <c r="E138" i="47" s="1"/>
  <c r="D107" i="47"/>
  <c r="K103" i="47"/>
  <c r="J103" i="47"/>
  <c r="H103" i="47"/>
  <c r="G103" i="47"/>
  <c r="I102" i="47"/>
  <c r="F102" i="47"/>
  <c r="E102" i="47"/>
  <c r="D102" i="47"/>
  <c r="I101" i="47"/>
  <c r="F101" i="47"/>
  <c r="E101" i="47"/>
  <c r="D101" i="47"/>
  <c r="C101" i="47"/>
  <c r="I100" i="47"/>
  <c r="F100" i="47"/>
  <c r="E100" i="47"/>
  <c r="D100" i="47"/>
  <c r="C100" i="47" s="1"/>
  <c r="I99" i="47"/>
  <c r="F99" i="47"/>
  <c r="E99" i="47"/>
  <c r="D99" i="47"/>
  <c r="C99" i="47" s="1"/>
  <c r="I98" i="47"/>
  <c r="F98" i="47"/>
  <c r="E98" i="47"/>
  <c r="D98" i="47"/>
  <c r="I97" i="47"/>
  <c r="F97" i="47"/>
  <c r="E97" i="47"/>
  <c r="D97" i="47"/>
  <c r="C97" i="47" s="1"/>
  <c r="I96" i="47"/>
  <c r="F96" i="47"/>
  <c r="E96" i="47"/>
  <c r="D96" i="47"/>
  <c r="I95" i="47"/>
  <c r="F95" i="47"/>
  <c r="E95" i="47"/>
  <c r="D95" i="47"/>
  <c r="I94" i="47"/>
  <c r="F94" i="47"/>
  <c r="E94" i="47"/>
  <c r="D94" i="47"/>
  <c r="I93" i="47"/>
  <c r="I103" i="47" s="1"/>
  <c r="F93" i="47"/>
  <c r="E93" i="47"/>
  <c r="E103" i="47" s="1"/>
  <c r="D93" i="47"/>
  <c r="C93" i="47"/>
  <c r="K89" i="47"/>
  <c r="J89" i="47"/>
  <c r="H89" i="47"/>
  <c r="G89" i="47"/>
  <c r="I88" i="47"/>
  <c r="F88" i="47"/>
  <c r="E88" i="47"/>
  <c r="D88" i="47"/>
  <c r="C88" i="47" s="1"/>
  <c r="I87" i="47"/>
  <c r="F87" i="47"/>
  <c r="E87" i="47"/>
  <c r="D87" i="47"/>
  <c r="C87" i="47" s="1"/>
  <c r="I86" i="47"/>
  <c r="F86" i="47"/>
  <c r="E86" i="47"/>
  <c r="D86" i="47"/>
  <c r="I85" i="47"/>
  <c r="F85" i="47"/>
  <c r="E85" i="47"/>
  <c r="D85" i="47"/>
  <c r="I84" i="47"/>
  <c r="F84" i="47"/>
  <c r="E84" i="47"/>
  <c r="D84" i="47"/>
  <c r="C84" i="47"/>
  <c r="I83" i="47"/>
  <c r="F83" i="47"/>
  <c r="E83" i="47"/>
  <c r="D83" i="47"/>
  <c r="C83" i="47" s="1"/>
  <c r="I82" i="47"/>
  <c r="F82" i="47"/>
  <c r="E82" i="47"/>
  <c r="D82" i="47"/>
  <c r="C82" i="47" s="1"/>
  <c r="I81" i="47"/>
  <c r="F81" i="47"/>
  <c r="E81" i="47"/>
  <c r="D81" i="47"/>
  <c r="I80" i="47"/>
  <c r="F80" i="47"/>
  <c r="E80" i="47"/>
  <c r="D80" i="47"/>
  <c r="C80" i="47" s="1"/>
  <c r="I79" i="47"/>
  <c r="F79" i="47"/>
  <c r="E79" i="47"/>
  <c r="D79" i="47"/>
  <c r="I78" i="47"/>
  <c r="F78" i="47"/>
  <c r="E78" i="47"/>
  <c r="D78" i="47"/>
  <c r="C78" i="47"/>
  <c r="I77" i="47"/>
  <c r="F77" i="47"/>
  <c r="E77" i="47"/>
  <c r="D77" i="47"/>
  <c r="C77" i="47" s="1"/>
  <c r="I76" i="47"/>
  <c r="F76" i="47"/>
  <c r="E76" i="47"/>
  <c r="D76" i="47"/>
  <c r="C76" i="47" s="1"/>
  <c r="I75" i="47"/>
  <c r="F75" i="47"/>
  <c r="E75" i="47"/>
  <c r="D75" i="47"/>
  <c r="I74" i="47"/>
  <c r="F74" i="47"/>
  <c r="E74" i="47"/>
  <c r="D74" i="47"/>
  <c r="C74" i="47" s="1"/>
  <c r="I73" i="47"/>
  <c r="F73" i="47"/>
  <c r="E73" i="47"/>
  <c r="D73" i="47"/>
  <c r="I72" i="47"/>
  <c r="F72" i="47"/>
  <c r="E72" i="47"/>
  <c r="D72" i="47"/>
  <c r="C72" i="47"/>
  <c r="I71" i="47"/>
  <c r="F71" i="47"/>
  <c r="E71" i="47"/>
  <c r="D71" i="47"/>
  <c r="C71" i="47" s="1"/>
  <c r="I70" i="47"/>
  <c r="F70" i="47"/>
  <c r="E70" i="47"/>
  <c r="D70" i="47"/>
  <c r="C70" i="47" s="1"/>
  <c r="I69" i="47"/>
  <c r="F69" i="47"/>
  <c r="E69" i="47"/>
  <c r="D69" i="47"/>
  <c r="I68" i="47"/>
  <c r="F68" i="47"/>
  <c r="E68" i="47"/>
  <c r="D68" i="47"/>
  <c r="C68" i="47" s="1"/>
  <c r="I67" i="47"/>
  <c r="F67" i="47"/>
  <c r="E67" i="47"/>
  <c r="D67" i="47"/>
  <c r="I66" i="47"/>
  <c r="F66" i="47"/>
  <c r="E66" i="47"/>
  <c r="D66" i="47"/>
  <c r="I65" i="47"/>
  <c r="I89" i="47" s="1"/>
  <c r="F65" i="47"/>
  <c r="E65" i="47"/>
  <c r="E89" i="47" s="1"/>
  <c r="D65" i="47"/>
  <c r="K61" i="47"/>
  <c r="J61" i="47"/>
  <c r="H61" i="47"/>
  <c r="G61" i="47"/>
  <c r="I60" i="47"/>
  <c r="F60" i="47"/>
  <c r="E60" i="47"/>
  <c r="D60" i="47"/>
  <c r="I59" i="47"/>
  <c r="F59" i="47"/>
  <c r="E59" i="47"/>
  <c r="D59" i="47"/>
  <c r="C59" i="47"/>
  <c r="I58" i="47"/>
  <c r="F58" i="47"/>
  <c r="E58" i="47"/>
  <c r="D58" i="47"/>
  <c r="C58" i="47" s="1"/>
  <c r="I57" i="47"/>
  <c r="F57" i="47"/>
  <c r="E57" i="47"/>
  <c r="D57" i="47"/>
  <c r="C57" i="47" s="1"/>
  <c r="I56" i="47"/>
  <c r="F56" i="47"/>
  <c r="E56" i="47"/>
  <c r="D56" i="47"/>
  <c r="I55" i="47"/>
  <c r="F55" i="47"/>
  <c r="E55" i="47"/>
  <c r="D55" i="47"/>
  <c r="C55" i="47" s="1"/>
  <c r="I54" i="47"/>
  <c r="F54" i="47"/>
  <c r="E54" i="47"/>
  <c r="D54" i="47"/>
  <c r="I53" i="47"/>
  <c r="F53" i="47"/>
  <c r="E53" i="47"/>
  <c r="D53" i="47"/>
  <c r="I52" i="47"/>
  <c r="F52" i="47"/>
  <c r="E52" i="47"/>
  <c r="D52" i="47"/>
  <c r="I51" i="47"/>
  <c r="F51" i="47"/>
  <c r="E51" i="47"/>
  <c r="D51" i="47"/>
  <c r="C51" i="47"/>
  <c r="I50" i="47"/>
  <c r="F50" i="47"/>
  <c r="E50" i="47"/>
  <c r="D50" i="47"/>
  <c r="C50" i="47" s="1"/>
  <c r="I49" i="47"/>
  <c r="F49" i="47"/>
  <c r="E49" i="47"/>
  <c r="D49" i="47"/>
  <c r="C49" i="47" s="1"/>
  <c r="I48" i="47"/>
  <c r="F48" i="47"/>
  <c r="E48" i="47"/>
  <c r="D48" i="47"/>
  <c r="I47" i="47"/>
  <c r="F47" i="47"/>
  <c r="E47" i="47"/>
  <c r="D47" i="47"/>
  <c r="C47" i="47" s="1"/>
  <c r="I46" i="47"/>
  <c r="F46" i="47"/>
  <c r="E46" i="47"/>
  <c r="D46" i="47"/>
  <c r="I45" i="47"/>
  <c r="F45" i="47"/>
  <c r="E45" i="47"/>
  <c r="D45" i="47"/>
  <c r="I44" i="47"/>
  <c r="F44" i="47"/>
  <c r="E44" i="47"/>
  <c r="D44" i="47"/>
  <c r="I43" i="47"/>
  <c r="F43" i="47"/>
  <c r="E43" i="47"/>
  <c r="D43" i="47"/>
  <c r="C43" i="47"/>
  <c r="I42" i="47"/>
  <c r="F42" i="47"/>
  <c r="E42" i="47"/>
  <c r="D42" i="47"/>
  <c r="C42" i="47" s="1"/>
  <c r="I41" i="47"/>
  <c r="F41" i="47"/>
  <c r="E41" i="47"/>
  <c r="D41" i="47"/>
  <c r="C41" i="47" s="1"/>
  <c r="I40" i="47"/>
  <c r="F40" i="47"/>
  <c r="E40" i="47"/>
  <c r="D40" i="47"/>
  <c r="I39" i="47"/>
  <c r="F39" i="47"/>
  <c r="E39" i="47"/>
  <c r="D39" i="47"/>
  <c r="C39" i="47" s="1"/>
  <c r="I38" i="47"/>
  <c r="F38" i="47"/>
  <c r="E38" i="47"/>
  <c r="D38" i="47"/>
  <c r="I37" i="47"/>
  <c r="F37" i="47"/>
  <c r="E37" i="47"/>
  <c r="D37" i="47"/>
  <c r="I36" i="47"/>
  <c r="F36" i="47"/>
  <c r="E36" i="47"/>
  <c r="D36" i="47"/>
  <c r="I35" i="47"/>
  <c r="F35" i="47"/>
  <c r="E35" i="47"/>
  <c r="D35" i="47"/>
  <c r="C35" i="47"/>
  <c r="I34" i="47"/>
  <c r="F34" i="47"/>
  <c r="F61" i="47" s="1"/>
  <c r="E34" i="47"/>
  <c r="D34" i="47"/>
  <c r="D61" i="47" s="1"/>
  <c r="K30" i="47"/>
  <c r="J30" i="47"/>
  <c r="H30" i="47"/>
  <c r="G30" i="47"/>
  <c r="I29" i="47"/>
  <c r="F29" i="47"/>
  <c r="E29" i="47"/>
  <c r="D29" i="47"/>
  <c r="C29" i="47" s="1"/>
  <c r="I28" i="47"/>
  <c r="F28" i="47"/>
  <c r="E28" i="47"/>
  <c r="D28" i="47"/>
  <c r="C28" i="47" s="1"/>
  <c r="I27" i="47"/>
  <c r="F27" i="47"/>
  <c r="E27" i="47"/>
  <c r="D27" i="47"/>
  <c r="I26" i="47"/>
  <c r="F26" i="47"/>
  <c r="E26" i="47"/>
  <c r="D26" i="47"/>
  <c r="C26" i="47" s="1"/>
  <c r="I25" i="47"/>
  <c r="F25" i="47"/>
  <c r="E25" i="47"/>
  <c r="D25" i="47"/>
  <c r="I24" i="47"/>
  <c r="F24" i="47"/>
  <c r="E24" i="47"/>
  <c r="D24" i="47"/>
  <c r="I23" i="47"/>
  <c r="F23" i="47"/>
  <c r="E23" i="47"/>
  <c r="D23" i="47"/>
  <c r="I22" i="47"/>
  <c r="F22" i="47"/>
  <c r="E22" i="47"/>
  <c r="C22" i="47" s="1"/>
  <c r="D22" i="47"/>
  <c r="I21" i="47"/>
  <c r="F21" i="47"/>
  <c r="E21" i="47"/>
  <c r="D21" i="47"/>
  <c r="I20" i="47"/>
  <c r="F20" i="47"/>
  <c r="E20" i="47"/>
  <c r="D20" i="47"/>
  <c r="I19" i="47"/>
  <c r="F19" i="47"/>
  <c r="E19" i="47"/>
  <c r="D19" i="47"/>
  <c r="I18" i="47"/>
  <c r="F18" i="47"/>
  <c r="E18" i="47"/>
  <c r="D18" i="47"/>
  <c r="C18" i="47"/>
  <c r="I17" i="47"/>
  <c r="F17" i="47"/>
  <c r="E17" i="47"/>
  <c r="D17" i="47"/>
  <c r="C17" i="47" s="1"/>
  <c r="I16" i="47"/>
  <c r="F16" i="47"/>
  <c r="E16" i="47"/>
  <c r="D16" i="47"/>
  <c r="C16" i="47" s="1"/>
  <c r="I15" i="47"/>
  <c r="I30" i="47" s="1"/>
  <c r="F15" i="47"/>
  <c r="E15" i="47"/>
  <c r="E30" i="47" s="1"/>
  <c r="D15" i="47"/>
  <c r="K11" i="47"/>
  <c r="J11" i="47"/>
  <c r="H11" i="47"/>
  <c r="G11" i="47"/>
  <c r="I10" i="47"/>
  <c r="I11" i="47" s="1"/>
  <c r="F10" i="47"/>
  <c r="F11" i="47" s="1"/>
  <c r="E10" i="47"/>
  <c r="E11" i="47" s="1"/>
  <c r="D10" i="47"/>
  <c r="D11" i="47" s="1"/>
  <c r="K6" i="47"/>
  <c r="J6" i="47"/>
  <c r="H6" i="47"/>
  <c r="G6" i="47"/>
  <c r="I5" i="47"/>
  <c r="I6" i="47" s="1"/>
  <c r="F5" i="47"/>
  <c r="F6" i="47" s="1"/>
  <c r="E5" i="47"/>
  <c r="E6" i="47" s="1"/>
  <c r="D5" i="47"/>
  <c r="D6" i="47" s="1"/>
  <c r="L30" i="46"/>
  <c r="K30" i="46"/>
  <c r="I30" i="46"/>
  <c r="H30" i="46"/>
  <c r="J29" i="46"/>
  <c r="G29" i="46"/>
  <c r="F29" i="46"/>
  <c r="E29" i="46"/>
  <c r="D29" i="46"/>
  <c r="J28" i="46"/>
  <c r="G28" i="46"/>
  <c r="F28" i="46"/>
  <c r="E28" i="46"/>
  <c r="D28" i="46" s="1"/>
  <c r="J27" i="46"/>
  <c r="G27" i="46"/>
  <c r="F27" i="46"/>
  <c r="E27" i="46"/>
  <c r="D27" i="46" s="1"/>
  <c r="J26" i="46"/>
  <c r="G26" i="46"/>
  <c r="F26" i="46"/>
  <c r="E26" i="46"/>
  <c r="D26" i="46" s="1"/>
  <c r="J25" i="46"/>
  <c r="G25" i="46"/>
  <c r="F25" i="46"/>
  <c r="E25" i="46"/>
  <c r="D25" i="46" s="1"/>
  <c r="J24" i="46"/>
  <c r="G24" i="46"/>
  <c r="F24" i="46"/>
  <c r="E24" i="46"/>
  <c r="D24" i="46" s="1"/>
  <c r="J23" i="46"/>
  <c r="G23" i="46"/>
  <c r="F23" i="46"/>
  <c r="E23" i="46"/>
  <c r="D23" i="46" s="1"/>
  <c r="J22" i="46"/>
  <c r="G22" i="46"/>
  <c r="F22" i="46"/>
  <c r="E22" i="46"/>
  <c r="J21" i="46"/>
  <c r="G21" i="46"/>
  <c r="F21" i="46"/>
  <c r="E21" i="46"/>
  <c r="J20" i="46"/>
  <c r="G20" i="46"/>
  <c r="F20" i="46"/>
  <c r="E20" i="46"/>
  <c r="J19" i="46"/>
  <c r="G19" i="46"/>
  <c r="F19" i="46"/>
  <c r="E19" i="46"/>
  <c r="D19" i="46"/>
  <c r="J18" i="46"/>
  <c r="G18" i="46"/>
  <c r="F18" i="46"/>
  <c r="E18" i="46"/>
  <c r="D18" i="46" s="1"/>
  <c r="J17" i="46"/>
  <c r="G17" i="46"/>
  <c r="F17" i="46"/>
  <c r="E17" i="46"/>
  <c r="D17" i="46" s="1"/>
  <c r="J16" i="46"/>
  <c r="G16" i="46"/>
  <c r="F16" i="46"/>
  <c r="E16" i="46"/>
  <c r="J15" i="46"/>
  <c r="G15" i="46"/>
  <c r="F15" i="46"/>
  <c r="E15" i="46"/>
  <c r="D15" i="46" s="1"/>
  <c r="J14" i="46"/>
  <c r="G14" i="46"/>
  <c r="F14" i="46"/>
  <c r="E14" i="46"/>
  <c r="J13" i="46"/>
  <c r="G13" i="46"/>
  <c r="F13" i="46"/>
  <c r="E13" i="46"/>
  <c r="J12" i="46"/>
  <c r="G12" i="46"/>
  <c r="F12" i="46"/>
  <c r="E12" i="46"/>
  <c r="J11" i="46"/>
  <c r="G11" i="46"/>
  <c r="F11" i="46"/>
  <c r="E11" i="46"/>
  <c r="D11" i="46"/>
  <c r="J10" i="46"/>
  <c r="G10" i="46"/>
  <c r="F10" i="46"/>
  <c r="E10" i="46"/>
  <c r="D10" i="46" s="1"/>
  <c r="J9" i="46"/>
  <c r="G9" i="46"/>
  <c r="F9" i="46"/>
  <c r="E9" i="46"/>
  <c r="D9" i="46" s="1"/>
  <c r="J8" i="46"/>
  <c r="G8" i="46"/>
  <c r="F8" i="46"/>
  <c r="E8" i="46"/>
  <c r="D8" i="46" s="1"/>
  <c r="J7" i="46"/>
  <c r="G7" i="46"/>
  <c r="F7" i="46"/>
  <c r="E7" i="46"/>
  <c r="J6" i="46"/>
  <c r="G6" i="46"/>
  <c r="F6" i="46"/>
  <c r="E6" i="46"/>
  <c r="D6" i="46"/>
  <c r="J5" i="46"/>
  <c r="G5" i="46"/>
  <c r="G30" i="46" s="1"/>
  <c r="F5" i="46"/>
  <c r="E5" i="46"/>
  <c r="E30" i="46" s="1"/>
  <c r="C20" i="47" l="1"/>
  <c r="C21" i="47"/>
  <c r="C24" i="47"/>
  <c r="C25" i="47"/>
  <c r="C37" i="47"/>
  <c r="C38" i="47"/>
  <c r="C45" i="47"/>
  <c r="C46" i="47"/>
  <c r="C53" i="47"/>
  <c r="C54" i="47"/>
  <c r="C66" i="47"/>
  <c r="C67" i="47"/>
  <c r="C73" i="47"/>
  <c r="C79" i="47"/>
  <c r="C85" i="47"/>
  <c r="C86" i="47"/>
  <c r="C95" i="47"/>
  <c r="C96" i="47"/>
  <c r="C133" i="47"/>
  <c r="C201" i="47"/>
  <c r="C202" i="47" s="1"/>
  <c r="C263" i="47"/>
  <c r="C264" i="47"/>
  <c r="C273" i="47"/>
  <c r="C282" i="47"/>
  <c r="F30" i="46"/>
  <c r="J30" i="46"/>
  <c r="D7" i="46"/>
  <c r="D13" i="46"/>
  <c r="D14" i="46"/>
  <c r="D20" i="46"/>
  <c r="D21" i="46"/>
  <c r="D22" i="46"/>
  <c r="C112" i="47"/>
  <c r="C113" i="47"/>
  <c r="C120" i="47"/>
  <c r="C121" i="47"/>
  <c r="C129" i="47"/>
  <c r="D157" i="47"/>
  <c r="F157" i="47"/>
  <c r="C149" i="47"/>
  <c r="C150" i="47"/>
  <c r="C162" i="47"/>
  <c r="C163" i="47"/>
  <c r="C170" i="47"/>
  <c r="C171" i="47"/>
  <c r="C179" i="47"/>
  <c r="C219" i="47"/>
  <c r="C220" i="47"/>
  <c r="C227" i="47"/>
  <c r="C228" i="47"/>
  <c r="C236" i="47"/>
  <c r="C245" i="47"/>
  <c r="C246" i="47"/>
  <c r="C247" i="47"/>
  <c r="C288" i="47"/>
  <c r="D300" i="47"/>
  <c r="F300" i="47"/>
  <c r="C299" i="47"/>
  <c r="C305" i="47"/>
  <c r="C306" i="47"/>
  <c r="C321" i="47"/>
  <c r="C322" i="47"/>
  <c r="C323" i="47"/>
  <c r="C329" i="47"/>
  <c r="C330" i="47"/>
  <c r="C331" i="47"/>
  <c r="C332" i="47"/>
  <c r="C333" i="47"/>
  <c r="C339" i="47"/>
  <c r="C340" i="47"/>
  <c r="C341" i="47"/>
  <c r="C349" i="47"/>
  <c r="C350" i="47"/>
  <c r="C351" i="47"/>
  <c r="C366" i="47"/>
  <c r="E370" i="47"/>
  <c r="I370" i="47"/>
  <c r="C368" i="47"/>
  <c r="C379" i="47"/>
  <c r="E398" i="47"/>
  <c r="I398" i="47"/>
  <c r="C382" i="47"/>
  <c r="C389" i="47"/>
  <c r="C390" i="47"/>
  <c r="B7" i="48"/>
  <c r="D11" i="48"/>
  <c r="H11" i="48"/>
  <c r="N11" i="48"/>
  <c r="B10" i="48"/>
  <c r="D14" i="48"/>
  <c r="H14" i="48"/>
  <c r="N14" i="48"/>
  <c r="B13" i="48"/>
  <c r="D17" i="48"/>
  <c r="H17" i="48"/>
  <c r="N17" i="48"/>
  <c r="B16" i="48"/>
  <c r="D20" i="48"/>
  <c r="H20" i="48"/>
  <c r="N20" i="48"/>
  <c r="B19" i="48"/>
  <c r="D23" i="48"/>
  <c r="H23" i="48"/>
  <c r="N23" i="48"/>
  <c r="B22" i="48"/>
  <c r="D26" i="48"/>
  <c r="H26" i="48"/>
  <c r="N26" i="48"/>
  <c r="B25" i="48"/>
  <c r="D29" i="48"/>
  <c r="H29" i="48"/>
  <c r="N29" i="48"/>
  <c r="B28" i="48"/>
  <c r="D32" i="48"/>
  <c r="H32" i="48"/>
  <c r="N32" i="48"/>
  <c r="B31" i="48"/>
  <c r="D35" i="48"/>
  <c r="H35" i="48"/>
  <c r="N35" i="48"/>
  <c r="B34" i="48"/>
  <c r="D38" i="48"/>
  <c r="H38" i="48"/>
  <c r="N38" i="48"/>
  <c r="B37" i="48"/>
  <c r="D41" i="48"/>
  <c r="H41" i="48"/>
  <c r="N41" i="48"/>
  <c r="B40" i="48"/>
  <c r="B11" i="48"/>
  <c r="B14" i="48"/>
  <c r="B17" i="48"/>
  <c r="B20" i="48"/>
  <c r="B23" i="48"/>
  <c r="B26" i="48"/>
  <c r="B29" i="48"/>
  <c r="B32" i="48"/>
  <c r="B35" i="48"/>
  <c r="B38" i="48"/>
  <c r="B41" i="48"/>
  <c r="B68" i="49"/>
  <c r="B157" i="49"/>
  <c r="B134" i="49"/>
  <c r="B135" i="49"/>
  <c r="B137" i="49" s="1"/>
  <c r="B138" i="49"/>
  <c r="B140" i="49" s="1"/>
  <c r="B141" i="49"/>
  <c r="B143" i="49" s="1"/>
  <c r="B144" i="49"/>
  <c r="B146" i="49" s="1"/>
  <c r="B147" i="49"/>
  <c r="B149" i="49" s="1"/>
  <c r="B150" i="49"/>
  <c r="B152" i="49" s="1"/>
  <c r="B153" i="49"/>
  <c r="B155" i="49" s="1"/>
  <c r="Q260" i="49"/>
  <c r="E266" i="49"/>
  <c r="K266" i="49"/>
  <c r="Q266" i="49"/>
  <c r="E269" i="49"/>
  <c r="K269" i="49"/>
  <c r="Q269" i="49"/>
  <c r="B276" i="49"/>
  <c r="B277" i="49"/>
  <c r="B279" i="49"/>
  <c r="B281" i="49" s="1"/>
  <c r="B282" i="49"/>
  <c r="B284" i="49" s="1"/>
  <c r="B285" i="49"/>
  <c r="B287" i="49" s="1"/>
  <c r="B288" i="49"/>
  <c r="B290" i="49" s="1"/>
  <c r="B291" i="49"/>
  <c r="B293" i="49" s="1"/>
  <c r="B294" i="49"/>
  <c r="B296" i="49" s="1"/>
  <c r="B347" i="49"/>
  <c r="B426" i="49"/>
  <c r="B427" i="49"/>
  <c r="B529" i="49"/>
  <c r="B1035" i="49"/>
  <c r="D44" i="48"/>
  <c r="H44" i="48"/>
  <c r="N44" i="48"/>
  <c r="B43" i="48"/>
  <c r="B44" i="48" s="1"/>
  <c r="D47" i="48"/>
  <c r="H47" i="48"/>
  <c r="N47" i="48"/>
  <c r="B46" i="48"/>
  <c r="B47" i="48" s="1"/>
  <c r="D50" i="48"/>
  <c r="H50" i="48"/>
  <c r="N50" i="48"/>
  <c r="B49" i="48"/>
  <c r="B50" i="48" s="1"/>
  <c r="D53" i="48"/>
  <c r="H53" i="48"/>
  <c r="N53" i="48"/>
  <c r="B52" i="48"/>
  <c r="B53" i="48" s="1"/>
  <c r="D56" i="48"/>
  <c r="H56" i="48"/>
  <c r="N56" i="48"/>
  <c r="B55" i="48"/>
  <c r="B56" i="48" s="1"/>
  <c r="D59" i="48"/>
  <c r="H59" i="48"/>
  <c r="N59" i="48"/>
  <c r="B58" i="48"/>
  <c r="B59" i="48" s="1"/>
  <c r="D62" i="48"/>
  <c r="H62" i="48"/>
  <c r="N62" i="48"/>
  <c r="B61" i="48"/>
  <c r="B62" i="48" s="1"/>
  <c r="D65" i="48"/>
  <c r="H65" i="48"/>
  <c r="N65" i="48"/>
  <c r="B64" i="48"/>
  <c r="B65" i="48" s="1"/>
  <c r="D68" i="48"/>
  <c r="H68" i="48"/>
  <c r="N68" i="48"/>
  <c r="B67" i="48"/>
  <c r="B68" i="48" s="1"/>
  <c r="D71" i="48"/>
  <c r="H71" i="48"/>
  <c r="N71" i="48"/>
  <c r="B70" i="48"/>
  <c r="B71" i="48" s="1"/>
  <c r="D74" i="48"/>
  <c r="H74" i="48"/>
  <c r="N74" i="48"/>
  <c r="B73" i="48"/>
  <c r="B74" i="48" s="1"/>
  <c r="D77" i="48"/>
  <c r="H77" i="48"/>
  <c r="N77" i="48"/>
  <c r="B76" i="48"/>
  <c r="B77" i="48" s="1"/>
  <c r="D80" i="48"/>
  <c r="H80" i="48"/>
  <c r="N80" i="48"/>
  <c r="B79" i="48"/>
  <c r="B80" i="48" s="1"/>
  <c r="B229" i="49"/>
  <c r="B235" i="49" s="1"/>
  <c r="B313" i="49"/>
  <c r="B319" i="49"/>
  <c r="B343" i="49"/>
  <c r="B379" i="49"/>
  <c r="B382" i="49"/>
  <c r="B385" i="49"/>
  <c r="B481" i="49"/>
  <c r="B497" i="49"/>
  <c r="B510" i="49"/>
  <c r="B512" i="49" s="1"/>
  <c r="B513" i="49"/>
  <c r="B515" i="49" s="1"/>
  <c r="B516" i="49"/>
  <c r="B518" i="49" s="1"/>
  <c r="B519" i="49"/>
  <c r="B521" i="49" s="1"/>
  <c r="B522" i="49"/>
  <c r="B524" i="49" s="1"/>
  <c r="B525" i="49"/>
  <c r="B527" i="49" s="1"/>
  <c r="B534" i="49"/>
  <c r="B561" i="49"/>
  <c r="B607" i="49"/>
  <c r="B564" i="49"/>
  <c r="B566" i="49" s="1"/>
  <c r="B567" i="49"/>
  <c r="B569" i="49" s="1"/>
  <c r="B570" i="49"/>
  <c r="B572" i="49" s="1"/>
  <c r="B573" i="49"/>
  <c r="B575" i="49" s="1"/>
  <c r="B576" i="49"/>
  <c r="B578" i="49" s="1"/>
  <c r="B579" i="49"/>
  <c r="B581" i="49" s="1"/>
  <c r="B582" i="49"/>
  <c r="B584" i="49" s="1"/>
  <c r="B597" i="49"/>
  <c r="B599" i="49" s="1"/>
  <c r="B600" i="49"/>
  <c r="B602" i="49" s="1"/>
  <c r="B615" i="49"/>
  <c r="B617" i="49" s="1"/>
  <c r="B618" i="49"/>
  <c r="B620" i="49" s="1"/>
  <c r="B621" i="49"/>
  <c r="B623" i="49" s="1"/>
  <c r="B624" i="49"/>
  <c r="B626" i="49" s="1"/>
  <c r="B627" i="49"/>
  <c r="B629" i="49" s="1"/>
  <c r="B642" i="49"/>
  <c r="B644" i="49" s="1"/>
  <c r="B645" i="49"/>
  <c r="B647" i="49" s="1"/>
  <c r="B648" i="49"/>
  <c r="B650" i="49" s="1"/>
  <c r="B651" i="49"/>
  <c r="B653" i="49" s="1"/>
  <c r="B654" i="49"/>
  <c r="B656" i="49" s="1"/>
  <c r="B657" i="49"/>
  <c r="B659" i="49" s="1"/>
  <c r="B660" i="49"/>
  <c r="B662" i="49" s="1"/>
  <c r="B663" i="49"/>
  <c r="B665" i="49" s="1"/>
  <c r="B666" i="49"/>
  <c r="B668" i="49" s="1"/>
  <c r="B675" i="49"/>
  <c r="B678" i="49"/>
  <c r="B680" i="49" s="1"/>
  <c r="B708" i="49"/>
  <c r="B711" i="49"/>
  <c r="B714" i="49"/>
  <c r="B717" i="49"/>
  <c r="B732" i="49"/>
  <c r="B733" i="49"/>
  <c r="B735" i="49"/>
  <c r="N737" i="49"/>
  <c r="B739" i="49"/>
  <c r="B740" i="49" s="1"/>
  <c r="B742" i="49"/>
  <c r="B743" i="49" s="1"/>
  <c r="B745" i="49"/>
  <c r="B746" i="49" s="1"/>
  <c r="B748" i="49"/>
  <c r="B749" i="49" s="1"/>
  <c r="B766" i="49"/>
  <c r="B767" i="49" s="1"/>
  <c r="B769" i="49"/>
  <c r="B770" i="49" s="1"/>
  <c r="B772" i="49"/>
  <c r="B773" i="49" s="1"/>
  <c r="B775" i="49"/>
  <c r="B776" i="49" s="1"/>
  <c r="B814" i="49"/>
  <c r="B817" i="49"/>
  <c r="B820" i="49"/>
  <c r="B823" i="49"/>
  <c r="H827" i="49"/>
  <c r="N827" i="49"/>
  <c r="B826" i="49"/>
  <c r="H830" i="49"/>
  <c r="N830" i="49"/>
  <c r="B829" i="49"/>
  <c r="D833" i="49"/>
  <c r="H833" i="49"/>
  <c r="N833" i="49"/>
  <c r="B832" i="49"/>
  <c r="D836" i="49"/>
  <c r="H836" i="49"/>
  <c r="N836" i="49"/>
  <c r="B835" i="49"/>
  <c r="D839" i="49"/>
  <c r="H839" i="49"/>
  <c r="N839" i="49"/>
  <c r="B838" i="49"/>
  <c r="D842" i="49"/>
  <c r="H842" i="49"/>
  <c r="N842" i="49"/>
  <c r="B841" i="49"/>
  <c r="D845" i="49"/>
  <c r="H845" i="49"/>
  <c r="N845" i="49"/>
  <c r="B844" i="49"/>
  <c r="D848" i="49"/>
  <c r="H848" i="49"/>
  <c r="N848" i="49"/>
  <c r="B847" i="49"/>
  <c r="B961" i="49"/>
  <c r="B962" i="49" s="1"/>
  <c r="B964" i="49"/>
  <c r="B965" i="49" s="1"/>
  <c r="H989" i="49"/>
  <c r="N989" i="49"/>
  <c r="B988" i="49"/>
  <c r="B989" i="49" s="1"/>
  <c r="N992" i="49"/>
  <c r="B991" i="49"/>
  <c r="B992" i="49" s="1"/>
  <c r="N995" i="49"/>
  <c r="B994" i="49"/>
  <c r="B995" i="49" s="1"/>
  <c r="B997" i="49"/>
  <c r="B998" i="49" s="1"/>
  <c r="B1000" i="49"/>
  <c r="B1001" i="49" s="1"/>
  <c r="B1003" i="49"/>
  <c r="B1004" i="49" s="1"/>
  <c r="B1006" i="49"/>
  <c r="B1007" i="49" s="1"/>
  <c r="B1009" i="49"/>
  <c r="B1010" i="49" s="1"/>
  <c r="B1012" i="49"/>
  <c r="B1013" i="49" s="1"/>
  <c r="B1018" i="49"/>
  <c r="B1019" i="49" s="1"/>
  <c r="B1021" i="49"/>
  <c r="B1022" i="49" s="1"/>
  <c r="D30" i="47"/>
  <c r="F30" i="47"/>
  <c r="C19" i="47"/>
  <c r="C23" i="47"/>
  <c r="C27" i="47"/>
  <c r="E61" i="47"/>
  <c r="I61" i="47"/>
  <c r="C36" i="47"/>
  <c r="C40" i="47"/>
  <c r="C44" i="47"/>
  <c r="C48" i="47"/>
  <c r="C52" i="47"/>
  <c r="C56" i="47"/>
  <c r="C60" i="47"/>
  <c r="C65" i="47"/>
  <c r="F89" i="47"/>
  <c r="C69" i="47"/>
  <c r="C75" i="47"/>
  <c r="C81" i="47"/>
  <c r="D103" i="47"/>
  <c r="F103" i="47"/>
  <c r="C94" i="47"/>
  <c r="C98" i="47"/>
  <c r="C102" i="47"/>
  <c r="D138" i="47"/>
  <c r="F138" i="47"/>
  <c r="C111" i="47"/>
  <c r="C115" i="47"/>
  <c r="C119" i="47"/>
  <c r="C123" i="47"/>
  <c r="C127" i="47"/>
  <c r="C131" i="47"/>
  <c r="C135" i="47"/>
  <c r="E157" i="47"/>
  <c r="I157" i="47"/>
  <c r="C144" i="47"/>
  <c r="C148" i="47"/>
  <c r="C152" i="47"/>
  <c r="C156" i="47"/>
  <c r="D186" i="47"/>
  <c r="F186" i="47"/>
  <c r="C165" i="47"/>
  <c r="C169" i="47"/>
  <c r="C173" i="47"/>
  <c r="C177" i="47"/>
  <c r="C181" i="47"/>
  <c r="C185" i="47"/>
  <c r="C190" i="47"/>
  <c r="C194" i="47"/>
  <c r="C206" i="47"/>
  <c r="E210" i="47"/>
  <c r="I210" i="47"/>
  <c r="C209" i="47"/>
  <c r="D229" i="47"/>
  <c r="F229" i="47"/>
  <c r="C218" i="47"/>
  <c r="C222" i="47"/>
  <c r="C226" i="47"/>
  <c r="C233" i="47"/>
  <c r="C240" i="47" s="1"/>
  <c r="E240" i="47"/>
  <c r="I240" i="47"/>
  <c r="D254" i="47"/>
  <c r="F254" i="47"/>
  <c r="C249" i="47"/>
  <c r="C253" i="47"/>
  <c r="C258" i="47"/>
  <c r="F266" i="47"/>
  <c r="C262" i="47"/>
  <c r="C270" i="47"/>
  <c r="C277" i="47" s="1"/>
  <c r="E277" i="47"/>
  <c r="I277" i="47"/>
  <c r="C284" i="47"/>
  <c r="C289" i="47" s="1"/>
  <c r="C370" i="47"/>
  <c r="C384" i="47"/>
  <c r="C388" i="47"/>
  <c r="C392" i="47"/>
  <c r="C308" i="47"/>
  <c r="C353" i="47"/>
  <c r="C357" i="47" s="1"/>
  <c r="C361" i="47"/>
  <c r="C362" i="47" s="1"/>
  <c r="D12" i="46"/>
  <c r="D16" i="46"/>
  <c r="C103" i="47"/>
  <c r="C398" i="47"/>
  <c r="B81" i="48"/>
  <c r="B8" i="48"/>
  <c r="D5" i="46"/>
  <c r="D89" i="47"/>
  <c r="C244" i="47"/>
  <c r="C254" i="47" s="1"/>
  <c r="D266" i="47"/>
  <c r="D357" i="47"/>
  <c r="C8" i="48"/>
  <c r="E8" i="48"/>
  <c r="E83" i="48" s="1"/>
  <c r="K8" i="48"/>
  <c r="K83" i="48" s="1"/>
  <c r="Q8" i="48"/>
  <c r="Q83" i="48" s="1"/>
  <c r="C11" i="48"/>
  <c r="C14" i="48"/>
  <c r="C17" i="48"/>
  <c r="C20" i="48"/>
  <c r="C23" i="48"/>
  <c r="C26" i="48"/>
  <c r="C29" i="48"/>
  <c r="C32" i="48"/>
  <c r="C35" i="48"/>
  <c r="C38" i="48"/>
  <c r="C41" i="48"/>
  <c r="C44" i="48"/>
  <c r="C47" i="48"/>
  <c r="C50" i="48"/>
  <c r="C53" i="48"/>
  <c r="C56" i="48"/>
  <c r="C59" i="48"/>
  <c r="C62" i="48"/>
  <c r="C65" i="48"/>
  <c r="C68" i="48"/>
  <c r="C71" i="48"/>
  <c r="C74" i="48"/>
  <c r="C77" i="48"/>
  <c r="C80" i="48"/>
  <c r="C81" i="48"/>
  <c r="C82" i="48"/>
  <c r="B8" i="49"/>
  <c r="B11" i="49" s="1"/>
  <c r="D8" i="49"/>
  <c r="D11" i="49" s="1"/>
  <c r="H8" i="49"/>
  <c r="H11" i="49" s="1"/>
  <c r="N8" i="49"/>
  <c r="N11" i="49" s="1"/>
  <c r="B17" i="49"/>
  <c r="B20" i="49" s="1"/>
  <c r="D17" i="49"/>
  <c r="D20" i="49" s="1"/>
  <c r="H17" i="49"/>
  <c r="H20" i="49" s="1"/>
  <c r="N17" i="49"/>
  <c r="N20" i="49" s="1"/>
  <c r="B26" i="49"/>
  <c r="B71" i="49" s="1"/>
  <c r="D26" i="49"/>
  <c r="D71" i="49" s="1"/>
  <c r="H26" i="49"/>
  <c r="H71" i="49" s="1"/>
  <c r="N26" i="49"/>
  <c r="N71" i="49" s="1"/>
  <c r="B77" i="49"/>
  <c r="B158" i="49" s="1"/>
  <c r="D77" i="49"/>
  <c r="D158" i="49" s="1"/>
  <c r="H77" i="49"/>
  <c r="H158" i="49" s="1"/>
  <c r="N77" i="49"/>
  <c r="N158" i="49" s="1"/>
  <c r="B164" i="49"/>
  <c r="D164" i="49"/>
  <c r="D236" i="49" s="1"/>
  <c r="H164" i="49"/>
  <c r="H236" i="49" s="1"/>
  <c r="N164" i="49"/>
  <c r="N236" i="49" s="1"/>
  <c r="B228" i="49"/>
  <c r="B230" i="49" s="1"/>
  <c r="B231" i="49"/>
  <c r="B233" i="49" s="1"/>
  <c r="B240" i="49"/>
  <c r="B241" i="49"/>
  <c r="B271" i="49" s="1"/>
  <c r="D242" i="49"/>
  <c r="D272" i="49" s="1"/>
  <c r="H242" i="49"/>
  <c r="H272" i="49" s="1"/>
  <c r="N242" i="49"/>
  <c r="N272" i="49" s="1"/>
  <c r="B243" i="49"/>
  <c r="B245" i="49" s="1"/>
  <c r="B246" i="49"/>
  <c r="B248" i="49" s="1"/>
  <c r="C5" i="47"/>
  <c r="C6" i="47" s="1"/>
  <c r="C10" i="47"/>
  <c r="C11" i="47" s="1"/>
  <c r="C15" i="47"/>
  <c r="C30" i="47" s="1"/>
  <c r="C34" i="47"/>
  <c r="C61" i="47" s="1"/>
  <c r="C107" i="47"/>
  <c r="C138" i="47" s="1"/>
  <c r="C142" i="47"/>
  <c r="C157" i="47" s="1"/>
  <c r="C161" i="47"/>
  <c r="C186" i="47" s="1"/>
  <c r="C214" i="47"/>
  <c r="C229" i="47" s="1"/>
  <c r="C293" i="47"/>
  <c r="C300" i="47" s="1"/>
  <c r="C304" i="47"/>
  <c r="C309" i="47" s="1"/>
  <c r="D8" i="48"/>
  <c r="D83" i="48" s="1"/>
  <c r="H8" i="48"/>
  <c r="H83" i="48" s="1"/>
  <c r="N8" i="48"/>
  <c r="N83" i="48" s="1"/>
  <c r="C8" i="49"/>
  <c r="C11" i="49" s="1"/>
  <c r="E8" i="49"/>
  <c r="E11" i="49" s="1"/>
  <c r="K8" i="49"/>
  <c r="K11" i="49" s="1"/>
  <c r="Q8" i="49"/>
  <c r="Q11" i="49" s="1"/>
  <c r="C17" i="49"/>
  <c r="C20" i="49" s="1"/>
  <c r="E17" i="49"/>
  <c r="E20" i="49" s="1"/>
  <c r="K17" i="49"/>
  <c r="K20" i="49" s="1"/>
  <c r="Q17" i="49"/>
  <c r="Q20" i="49" s="1"/>
  <c r="C26" i="49"/>
  <c r="C71" i="49" s="1"/>
  <c r="E26" i="49"/>
  <c r="E71" i="49" s="1"/>
  <c r="K26" i="49"/>
  <c r="K71" i="49" s="1"/>
  <c r="Q26" i="49"/>
  <c r="Q71" i="49" s="1"/>
  <c r="C77" i="49"/>
  <c r="C158" i="49" s="1"/>
  <c r="E77" i="49"/>
  <c r="E158" i="49" s="1"/>
  <c r="K77" i="49"/>
  <c r="K158" i="49" s="1"/>
  <c r="Q77" i="49"/>
  <c r="Q158" i="49" s="1"/>
  <c r="C164" i="49"/>
  <c r="C236" i="49" s="1"/>
  <c r="E164" i="49"/>
  <c r="E236" i="49" s="1"/>
  <c r="K164" i="49"/>
  <c r="K236" i="49" s="1"/>
  <c r="Q164" i="49"/>
  <c r="Q236" i="49" s="1"/>
  <c r="C242" i="49"/>
  <c r="C272" i="49" s="1"/>
  <c r="E242" i="49"/>
  <c r="E272" i="49" s="1"/>
  <c r="K242" i="49"/>
  <c r="K272" i="49" s="1"/>
  <c r="Q242" i="49"/>
  <c r="Q272" i="49" s="1"/>
  <c r="B528" i="49"/>
  <c r="B509" i="49"/>
  <c r="B530" i="49" s="1"/>
  <c r="B537" i="49"/>
  <c r="B536" i="49"/>
  <c r="B539" i="49" s="1"/>
  <c r="B633" i="49"/>
  <c r="B614" i="49"/>
  <c r="B635" i="49" s="1"/>
  <c r="B669" i="49"/>
  <c r="B641" i="49"/>
  <c r="B671" i="49" s="1"/>
  <c r="B699" i="49"/>
  <c r="B677" i="49"/>
  <c r="B701" i="49" s="1"/>
  <c r="B726" i="49"/>
  <c r="B707" i="49"/>
  <c r="B249" i="49"/>
  <c r="B251" i="49" s="1"/>
  <c r="B252" i="49"/>
  <c r="B254" i="49" s="1"/>
  <c r="B255" i="49"/>
  <c r="B257" i="49" s="1"/>
  <c r="B258" i="49"/>
  <c r="B260" i="49" s="1"/>
  <c r="B261" i="49"/>
  <c r="B263" i="49" s="1"/>
  <c r="B264" i="49"/>
  <c r="B266" i="49" s="1"/>
  <c r="B267" i="49"/>
  <c r="B269" i="49" s="1"/>
  <c r="B278" i="49"/>
  <c r="D278" i="49"/>
  <c r="D371" i="49" s="1"/>
  <c r="H278" i="49"/>
  <c r="H371" i="49" s="1"/>
  <c r="N278" i="49"/>
  <c r="N371" i="49" s="1"/>
  <c r="B297" i="49"/>
  <c r="B299" i="49" s="1"/>
  <c r="B300" i="49"/>
  <c r="B302" i="49" s="1"/>
  <c r="B303" i="49"/>
  <c r="B305" i="49" s="1"/>
  <c r="B306" i="49"/>
  <c r="B308" i="49" s="1"/>
  <c r="B309" i="49"/>
  <c r="B311" i="49" s="1"/>
  <c r="B312" i="49"/>
  <c r="B314" i="49" s="1"/>
  <c r="B315" i="49"/>
  <c r="B317" i="49" s="1"/>
  <c r="B318" i="49"/>
  <c r="B320" i="49" s="1"/>
  <c r="B321" i="49"/>
  <c r="B323" i="49" s="1"/>
  <c r="B324" i="49"/>
  <c r="B326" i="49" s="1"/>
  <c r="B327" i="49"/>
  <c r="B329" i="49" s="1"/>
  <c r="B330" i="49"/>
  <c r="B332" i="49" s="1"/>
  <c r="B333" i="49"/>
  <c r="B335" i="49" s="1"/>
  <c r="B336" i="49"/>
  <c r="B338" i="49" s="1"/>
  <c r="B339" i="49"/>
  <c r="B341" i="49" s="1"/>
  <c r="B342" i="49"/>
  <c r="B344" i="49" s="1"/>
  <c r="B348" i="49"/>
  <c r="B350" i="49" s="1"/>
  <c r="B351" i="49"/>
  <c r="B353" i="49" s="1"/>
  <c r="B354" i="49"/>
  <c r="B356" i="49" s="1"/>
  <c r="B357" i="49"/>
  <c r="B359" i="49" s="1"/>
  <c r="B360" i="49"/>
  <c r="B362" i="49" s="1"/>
  <c r="B363" i="49"/>
  <c r="B365" i="49" s="1"/>
  <c r="B366" i="49"/>
  <c r="B368" i="49" s="1"/>
  <c r="B375" i="49"/>
  <c r="B376" i="49"/>
  <c r="B421" i="49" s="1"/>
  <c r="D377" i="49"/>
  <c r="D422" i="49" s="1"/>
  <c r="H377" i="49"/>
  <c r="H422" i="49" s="1"/>
  <c r="N377" i="49"/>
  <c r="N422" i="49" s="1"/>
  <c r="B378" i="49"/>
  <c r="B380" i="49" s="1"/>
  <c r="B381" i="49"/>
  <c r="B383" i="49" s="1"/>
  <c r="B384" i="49"/>
  <c r="B386" i="49" s="1"/>
  <c r="B387" i="49"/>
  <c r="B389" i="49" s="1"/>
  <c r="B390" i="49"/>
  <c r="B392" i="49" s="1"/>
  <c r="B393" i="49"/>
  <c r="B395" i="49" s="1"/>
  <c r="B396" i="49"/>
  <c r="B398" i="49" s="1"/>
  <c r="B399" i="49"/>
  <c r="B401" i="49" s="1"/>
  <c r="B402" i="49"/>
  <c r="B404" i="49" s="1"/>
  <c r="B405" i="49"/>
  <c r="B407" i="49" s="1"/>
  <c r="B408" i="49"/>
  <c r="B410" i="49" s="1"/>
  <c r="B411" i="49"/>
  <c r="B413" i="49" s="1"/>
  <c r="B414" i="49"/>
  <c r="B416" i="49" s="1"/>
  <c r="B417" i="49"/>
  <c r="B419" i="49" s="1"/>
  <c r="B428" i="49"/>
  <c r="D428" i="49"/>
  <c r="D503" i="49" s="1"/>
  <c r="H428" i="49"/>
  <c r="H503" i="49" s="1"/>
  <c r="N428" i="49"/>
  <c r="N503" i="49" s="1"/>
  <c r="B429" i="49"/>
  <c r="B431" i="49" s="1"/>
  <c r="B432" i="49"/>
  <c r="B434" i="49" s="1"/>
  <c r="B435" i="49"/>
  <c r="B437" i="49" s="1"/>
  <c r="B438" i="49"/>
  <c r="B440" i="49" s="1"/>
  <c r="B441" i="49"/>
  <c r="B443" i="49" s="1"/>
  <c r="B444" i="49"/>
  <c r="B446" i="49" s="1"/>
  <c r="B447" i="49"/>
  <c r="B449" i="49" s="1"/>
  <c r="B450" i="49"/>
  <c r="B452" i="49" s="1"/>
  <c r="B453" i="49"/>
  <c r="B455" i="49" s="1"/>
  <c r="B456" i="49"/>
  <c r="B458" i="49" s="1"/>
  <c r="B459" i="49"/>
  <c r="B461" i="49" s="1"/>
  <c r="B462" i="49"/>
  <c r="B464" i="49" s="1"/>
  <c r="B465" i="49"/>
  <c r="B467" i="49" s="1"/>
  <c r="B468" i="49"/>
  <c r="B470" i="49" s="1"/>
  <c r="B471" i="49"/>
  <c r="B473" i="49" s="1"/>
  <c r="B474" i="49"/>
  <c r="B476" i="49" s="1"/>
  <c r="B477" i="49"/>
  <c r="B479" i="49" s="1"/>
  <c r="B480" i="49"/>
  <c r="B482" i="49" s="1"/>
  <c r="B710" i="49"/>
  <c r="B713" i="49"/>
  <c r="B716" i="49"/>
  <c r="B719" i="49"/>
  <c r="B722" i="49"/>
  <c r="B725" i="49"/>
  <c r="B737" i="49"/>
  <c r="C278" i="49"/>
  <c r="C371" i="49" s="1"/>
  <c r="E278" i="49"/>
  <c r="E371" i="49" s="1"/>
  <c r="K278" i="49"/>
  <c r="K371" i="49" s="1"/>
  <c r="Q278" i="49"/>
  <c r="Q371" i="49" s="1"/>
  <c r="C377" i="49"/>
  <c r="C422" i="49" s="1"/>
  <c r="E377" i="49"/>
  <c r="E422" i="49" s="1"/>
  <c r="K377" i="49"/>
  <c r="K422" i="49" s="1"/>
  <c r="Q377" i="49"/>
  <c r="Q422" i="49" s="1"/>
  <c r="C428" i="49"/>
  <c r="C503" i="49" s="1"/>
  <c r="E428" i="49"/>
  <c r="E503" i="49" s="1"/>
  <c r="K428" i="49"/>
  <c r="K503" i="49" s="1"/>
  <c r="Q428" i="49"/>
  <c r="Q503" i="49" s="1"/>
  <c r="C509" i="49"/>
  <c r="E509" i="49"/>
  <c r="E530" i="49" s="1"/>
  <c r="K509" i="49"/>
  <c r="K530" i="49" s="1"/>
  <c r="Q509" i="49"/>
  <c r="Q530" i="49" s="1"/>
  <c r="C512" i="49"/>
  <c r="C515" i="49"/>
  <c r="C518" i="49"/>
  <c r="C521" i="49"/>
  <c r="C524" i="49"/>
  <c r="C528" i="49"/>
  <c r="C529" i="49"/>
  <c r="C536" i="49"/>
  <c r="C539" i="49" s="1"/>
  <c r="E536" i="49"/>
  <c r="E539" i="49" s="1"/>
  <c r="K536" i="49"/>
  <c r="K539" i="49" s="1"/>
  <c r="Q536" i="49"/>
  <c r="Q539" i="49" s="1"/>
  <c r="C537" i="49"/>
  <c r="C538" i="49"/>
  <c r="C563" i="49"/>
  <c r="E563" i="49"/>
  <c r="E608" i="49" s="1"/>
  <c r="K563" i="49"/>
  <c r="K608" i="49" s="1"/>
  <c r="Q563" i="49"/>
  <c r="Q608" i="49" s="1"/>
  <c r="C569" i="49"/>
  <c r="C572" i="49"/>
  <c r="C575" i="49"/>
  <c r="C578" i="49"/>
  <c r="C581" i="49"/>
  <c r="C584" i="49"/>
  <c r="C587" i="49"/>
  <c r="C590" i="49"/>
  <c r="C593" i="49"/>
  <c r="C596" i="49"/>
  <c r="C599" i="49"/>
  <c r="C602" i="49"/>
  <c r="C605" i="49"/>
  <c r="C614" i="49"/>
  <c r="E614" i="49"/>
  <c r="E635" i="49" s="1"/>
  <c r="K614" i="49"/>
  <c r="K635" i="49" s="1"/>
  <c r="Q614" i="49"/>
  <c r="Q635" i="49" s="1"/>
  <c r="C617" i="49"/>
  <c r="C620" i="49"/>
  <c r="C623" i="49"/>
  <c r="C626" i="49"/>
  <c r="C629" i="49"/>
  <c r="C632" i="49"/>
  <c r="C633" i="49"/>
  <c r="C634" i="49"/>
  <c r="C641" i="49"/>
  <c r="E641" i="49"/>
  <c r="E671" i="49" s="1"/>
  <c r="K641" i="49"/>
  <c r="K671" i="49" s="1"/>
  <c r="Q641" i="49"/>
  <c r="Q671" i="49" s="1"/>
  <c r="C644" i="49"/>
  <c r="C647" i="49"/>
  <c r="C650" i="49"/>
  <c r="C653" i="49"/>
  <c r="C656" i="49"/>
  <c r="C659" i="49"/>
  <c r="C662" i="49"/>
  <c r="C665" i="49"/>
  <c r="C668" i="49"/>
  <c r="C669" i="49"/>
  <c r="C670" i="49"/>
  <c r="C677" i="49"/>
  <c r="E677" i="49"/>
  <c r="E701" i="49" s="1"/>
  <c r="K677" i="49"/>
  <c r="K701" i="49" s="1"/>
  <c r="Q677" i="49"/>
  <c r="Q701" i="49" s="1"/>
  <c r="C680" i="49"/>
  <c r="C683" i="49"/>
  <c r="C686" i="49"/>
  <c r="C689" i="49"/>
  <c r="C692" i="49"/>
  <c r="C695" i="49"/>
  <c r="C698" i="49"/>
  <c r="C699" i="49"/>
  <c r="C700" i="49"/>
  <c r="C707" i="49"/>
  <c r="E707" i="49"/>
  <c r="E728" i="49" s="1"/>
  <c r="K707" i="49"/>
  <c r="K728" i="49" s="1"/>
  <c r="Q707" i="49"/>
  <c r="Q728" i="49" s="1"/>
  <c r="C710" i="49"/>
  <c r="C713" i="49"/>
  <c r="C716" i="49"/>
  <c r="C719" i="49"/>
  <c r="C722" i="49"/>
  <c r="C725" i="49"/>
  <c r="C726" i="49"/>
  <c r="C727" i="49"/>
  <c r="C734" i="49"/>
  <c r="E734" i="49"/>
  <c r="E758" i="49" s="1"/>
  <c r="K734" i="49"/>
  <c r="K758" i="49" s="1"/>
  <c r="Q734" i="49"/>
  <c r="Q758" i="49" s="1"/>
  <c r="C737" i="49"/>
  <c r="C740" i="49"/>
  <c r="C743" i="49"/>
  <c r="C746" i="49"/>
  <c r="C749" i="49"/>
  <c r="C752" i="49"/>
  <c r="C755" i="49"/>
  <c r="B783" i="49"/>
  <c r="B764" i="49"/>
  <c r="B804" i="49"/>
  <c r="B791" i="49"/>
  <c r="D509" i="49"/>
  <c r="D530" i="49" s="1"/>
  <c r="H509" i="49"/>
  <c r="H530" i="49" s="1"/>
  <c r="N509" i="49"/>
  <c r="N530" i="49" s="1"/>
  <c r="D536" i="49"/>
  <c r="D539" i="49" s="1"/>
  <c r="H536" i="49"/>
  <c r="H539" i="49" s="1"/>
  <c r="N536" i="49"/>
  <c r="N539" i="49" s="1"/>
  <c r="B563" i="49"/>
  <c r="B608" i="49" s="1"/>
  <c r="D563" i="49"/>
  <c r="D608" i="49" s="1"/>
  <c r="H563" i="49"/>
  <c r="H608" i="49" s="1"/>
  <c r="N563" i="49"/>
  <c r="N608" i="49" s="1"/>
  <c r="D614" i="49"/>
  <c r="D635" i="49" s="1"/>
  <c r="H614" i="49"/>
  <c r="H635" i="49" s="1"/>
  <c r="N614" i="49"/>
  <c r="N635" i="49" s="1"/>
  <c r="D641" i="49"/>
  <c r="D671" i="49" s="1"/>
  <c r="H641" i="49"/>
  <c r="H671" i="49" s="1"/>
  <c r="N641" i="49"/>
  <c r="N671" i="49" s="1"/>
  <c r="D677" i="49"/>
  <c r="D701" i="49" s="1"/>
  <c r="H677" i="49"/>
  <c r="H701" i="49" s="1"/>
  <c r="N677" i="49"/>
  <c r="N701" i="49" s="1"/>
  <c r="D707" i="49"/>
  <c r="D728" i="49" s="1"/>
  <c r="H707" i="49"/>
  <c r="H728" i="49" s="1"/>
  <c r="N707" i="49"/>
  <c r="N728" i="49" s="1"/>
  <c r="B757" i="49"/>
  <c r="B734" i="49"/>
  <c r="D734" i="49"/>
  <c r="D758" i="49" s="1"/>
  <c r="H734" i="49"/>
  <c r="H758" i="49" s="1"/>
  <c r="N734" i="49"/>
  <c r="N758" i="49" s="1"/>
  <c r="B797" i="49"/>
  <c r="B800" i="49"/>
  <c r="B803" i="49"/>
  <c r="B815" i="49"/>
  <c r="B818" i="49"/>
  <c r="B821" i="49"/>
  <c r="B824" i="49"/>
  <c r="B827" i="49"/>
  <c r="B830" i="49"/>
  <c r="B833" i="49"/>
  <c r="B836" i="49"/>
  <c r="B839" i="49"/>
  <c r="B842" i="49"/>
  <c r="B845" i="49"/>
  <c r="B848" i="49"/>
  <c r="C764" i="49"/>
  <c r="E764" i="49"/>
  <c r="E785" i="49" s="1"/>
  <c r="K764" i="49"/>
  <c r="K785" i="49" s="1"/>
  <c r="Q764" i="49"/>
  <c r="Q785" i="49" s="1"/>
  <c r="C767" i="49"/>
  <c r="C770" i="49"/>
  <c r="C773" i="49"/>
  <c r="C776" i="49"/>
  <c r="C779" i="49"/>
  <c r="C782" i="49"/>
  <c r="C783" i="49"/>
  <c r="C784" i="49"/>
  <c r="C791" i="49"/>
  <c r="E791" i="49"/>
  <c r="E806" i="49" s="1"/>
  <c r="K791" i="49"/>
  <c r="K806" i="49" s="1"/>
  <c r="Q791" i="49"/>
  <c r="Q806" i="49" s="1"/>
  <c r="C794" i="49"/>
  <c r="C797" i="49"/>
  <c r="C800" i="49"/>
  <c r="C803" i="49"/>
  <c r="C804" i="49"/>
  <c r="C805" i="49"/>
  <c r="C812" i="49"/>
  <c r="E812" i="49"/>
  <c r="E944" i="49" s="1"/>
  <c r="K812" i="49"/>
  <c r="K944" i="49" s="1"/>
  <c r="Q812" i="49"/>
  <c r="Q944" i="49" s="1"/>
  <c r="C815" i="49"/>
  <c r="C818" i="49"/>
  <c r="C821" i="49"/>
  <c r="C824" i="49"/>
  <c r="C827" i="49"/>
  <c r="C830" i="49"/>
  <c r="C833" i="49"/>
  <c r="C836" i="49"/>
  <c r="C839" i="49"/>
  <c r="C842" i="49"/>
  <c r="C845" i="49"/>
  <c r="C848" i="49"/>
  <c r="B951" i="49"/>
  <c r="B950" i="49"/>
  <c r="B953" i="49" s="1"/>
  <c r="B969" i="49"/>
  <c r="B959" i="49"/>
  <c r="B978" i="49"/>
  <c r="B977" i="49"/>
  <c r="B980" i="49" s="1"/>
  <c r="B1041" i="49"/>
  <c r="B986" i="49"/>
  <c r="D764" i="49"/>
  <c r="D785" i="49" s="1"/>
  <c r="H764" i="49"/>
  <c r="H785" i="49" s="1"/>
  <c r="N764" i="49"/>
  <c r="N785" i="49" s="1"/>
  <c r="D791" i="49"/>
  <c r="D806" i="49" s="1"/>
  <c r="H791" i="49"/>
  <c r="H806" i="49" s="1"/>
  <c r="N791" i="49"/>
  <c r="N806" i="49" s="1"/>
  <c r="B810" i="49"/>
  <c r="B811" i="49"/>
  <c r="B943" i="49" s="1"/>
  <c r="D812" i="49"/>
  <c r="D944" i="49" s="1"/>
  <c r="H812" i="49"/>
  <c r="H944" i="49" s="1"/>
  <c r="N812" i="49"/>
  <c r="N944" i="49" s="1"/>
  <c r="B1031" i="49"/>
  <c r="B1034" i="49"/>
  <c r="B1037" i="49"/>
  <c r="B1040" i="49"/>
  <c r="C935" i="49"/>
  <c r="C938" i="49"/>
  <c r="C941" i="49"/>
  <c r="C950" i="49"/>
  <c r="C953" i="49" s="1"/>
  <c r="E950" i="49"/>
  <c r="E953" i="49" s="1"/>
  <c r="K950" i="49"/>
  <c r="K953" i="49" s="1"/>
  <c r="Q950" i="49"/>
  <c r="Q953" i="49" s="1"/>
  <c r="C951" i="49"/>
  <c r="C952" i="49"/>
  <c r="C959" i="49"/>
  <c r="E959" i="49"/>
  <c r="E971" i="49" s="1"/>
  <c r="K959" i="49"/>
  <c r="K971" i="49" s="1"/>
  <c r="Q959" i="49"/>
  <c r="Q971" i="49" s="1"/>
  <c r="C962" i="49"/>
  <c r="C965" i="49"/>
  <c r="C968" i="49"/>
  <c r="C969" i="49"/>
  <c r="C970" i="49"/>
  <c r="C977" i="49"/>
  <c r="C980" i="49" s="1"/>
  <c r="E977" i="49"/>
  <c r="E980" i="49" s="1"/>
  <c r="K977" i="49"/>
  <c r="K980" i="49" s="1"/>
  <c r="Q977" i="49"/>
  <c r="Q980" i="49" s="1"/>
  <c r="C978" i="49"/>
  <c r="C979" i="49"/>
  <c r="C986" i="49"/>
  <c r="E986" i="49"/>
  <c r="E1043" i="49" s="1"/>
  <c r="K986" i="49"/>
  <c r="K1043" i="49" s="1"/>
  <c r="Q986" i="49"/>
  <c r="Q1043" i="49" s="1"/>
  <c r="C989" i="49"/>
  <c r="C992" i="49"/>
  <c r="C995" i="49"/>
  <c r="C998" i="49"/>
  <c r="C1001" i="49"/>
  <c r="C1004" i="49"/>
  <c r="C1007" i="49"/>
  <c r="C1010" i="49"/>
  <c r="C1013" i="49"/>
  <c r="C1016" i="49"/>
  <c r="C1019" i="49"/>
  <c r="C1022" i="49"/>
  <c r="C1025" i="49"/>
  <c r="C1028" i="49"/>
  <c r="C1031" i="49"/>
  <c r="C1034" i="49"/>
  <c r="C1037" i="49"/>
  <c r="C1040" i="49"/>
  <c r="C1041" i="49"/>
  <c r="C1042" i="49"/>
  <c r="D950" i="49"/>
  <c r="D953" i="49" s="1"/>
  <c r="H950" i="49"/>
  <c r="H953" i="49" s="1"/>
  <c r="N950" i="49"/>
  <c r="N953" i="49" s="1"/>
  <c r="D959" i="49"/>
  <c r="D971" i="49" s="1"/>
  <c r="H959" i="49"/>
  <c r="H971" i="49" s="1"/>
  <c r="N959" i="49"/>
  <c r="N971" i="49" s="1"/>
  <c r="D977" i="49"/>
  <c r="D980" i="49" s="1"/>
  <c r="H977" i="49"/>
  <c r="H980" i="49" s="1"/>
  <c r="N977" i="49"/>
  <c r="N980" i="49" s="1"/>
  <c r="D986" i="49"/>
  <c r="D1043" i="49" s="1"/>
  <c r="H986" i="49"/>
  <c r="H1043" i="49" s="1"/>
  <c r="N986" i="49"/>
  <c r="N1043" i="49" s="1"/>
  <c r="B971" i="49" l="1"/>
  <c r="B758" i="49"/>
  <c r="B785" i="49"/>
  <c r="B83" i="48"/>
  <c r="B1042" i="49"/>
  <c r="B784" i="49"/>
  <c r="B756" i="49"/>
  <c r="B370" i="49"/>
  <c r="B970" i="49"/>
  <c r="B606" i="49"/>
  <c r="B502" i="49"/>
  <c r="B156" i="49"/>
  <c r="B82" i="48"/>
  <c r="C89" i="47"/>
  <c r="C266" i="47"/>
  <c r="C210" i="47"/>
  <c r="D30" i="46"/>
  <c r="B420" i="49"/>
  <c r="B377" i="49"/>
  <c r="B422" i="49" s="1"/>
  <c r="B270" i="49"/>
  <c r="B242" i="49"/>
  <c r="B272" i="49" s="1"/>
  <c r="C1043" i="49"/>
  <c r="B1043" i="49"/>
  <c r="B806" i="49"/>
  <c r="C758" i="49"/>
  <c r="C728" i="49"/>
  <c r="C671" i="49"/>
  <c r="C635" i="49"/>
  <c r="C530" i="49"/>
  <c r="B369" i="49"/>
  <c r="B236" i="49"/>
  <c r="C83" i="48"/>
  <c r="B234" i="49"/>
  <c r="B942" i="49"/>
  <c r="B812" i="49"/>
  <c r="B944" i="49" s="1"/>
  <c r="C971" i="49"/>
  <c r="C944" i="49"/>
  <c r="C806" i="49"/>
  <c r="C785" i="49"/>
  <c r="C701" i="49"/>
  <c r="C608" i="49"/>
  <c r="B503" i="49"/>
  <c r="B371" i="49"/>
  <c r="B728" i="49"/>
  <c r="B501" i="49"/>
  <c r="M1260" i="45" l="1"/>
  <c r="L1260" i="45"/>
  <c r="J1260" i="45"/>
  <c r="I1260" i="45"/>
  <c r="G1260" i="45"/>
  <c r="F1260" i="45"/>
  <c r="M1259" i="45"/>
  <c r="L1259" i="45"/>
  <c r="J1259" i="45"/>
  <c r="I1259" i="45"/>
  <c r="G1259" i="45"/>
  <c r="F1259" i="45"/>
  <c r="M1258" i="45"/>
  <c r="L1258" i="45"/>
  <c r="J1258" i="45"/>
  <c r="I1258" i="45"/>
  <c r="H1258" i="45"/>
  <c r="G1258" i="45"/>
  <c r="F1258" i="45"/>
  <c r="E1258" i="45" s="1"/>
  <c r="K1257" i="45"/>
  <c r="H1257" i="45"/>
  <c r="E1257" i="45"/>
  <c r="D1257" i="45"/>
  <c r="C1257" i="45"/>
  <c r="B1257" i="45" s="1"/>
  <c r="K1256" i="45"/>
  <c r="H1256" i="45"/>
  <c r="E1256" i="45"/>
  <c r="D1256" i="45"/>
  <c r="D1258" i="45" s="1"/>
  <c r="C1256" i="45"/>
  <c r="M1255" i="45"/>
  <c r="L1255" i="45"/>
  <c r="J1255" i="45"/>
  <c r="I1255" i="45"/>
  <c r="H1255" i="45"/>
  <c r="G1255" i="45"/>
  <c r="F1255" i="45"/>
  <c r="E1255" i="45" s="1"/>
  <c r="K1254" i="45"/>
  <c r="H1254" i="45"/>
  <c r="E1254" i="45"/>
  <c r="D1254" i="45"/>
  <c r="C1254" i="45"/>
  <c r="B1254" i="45"/>
  <c r="K1253" i="45"/>
  <c r="H1253" i="45"/>
  <c r="E1253" i="45"/>
  <c r="D1253" i="45"/>
  <c r="D1255" i="45" s="1"/>
  <c r="B1255" i="45" s="1"/>
  <c r="C1253" i="45"/>
  <c r="C1255" i="45" s="1"/>
  <c r="B1253" i="45"/>
  <c r="M1252" i="45"/>
  <c r="L1252" i="45"/>
  <c r="K1252" i="45" s="1"/>
  <c r="J1252" i="45"/>
  <c r="I1252" i="45"/>
  <c r="H1252" i="45" s="1"/>
  <c r="G1252" i="45"/>
  <c r="F1252" i="45"/>
  <c r="K1251" i="45"/>
  <c r="H1251" i="45"/>
  <c r="E1251" i="45"/>
  <c r="D1251" i="45"/>
  <c r="C1251" i="45"/>
  <c r="B1251" i="45"/>
  <c r="K1250" i="45"/>
  <c r="H1250" i="45"/>
  <c r="E1250" i="45"/>
  <c r="D1250" i="45"/>
  <c r="D1252" i="45" s="1"/>
  <c r="C1250" i="45"/>
  <c r="C1252" i="45" s="1"/>
  <c r="B1250" i="45"/>
  <c r="M1249" i="45"/>
  <c r="L1249" i="45"/>
  <c r="K1249" i="45" s="1"/>
  <c r="J1249" i="45"/>
  <c r="I1249" i="45"/>
  <c r="H1249" i="45" s="1"/>
  <c r="G1249" i="45"/>
  <c r="F1249" i="45"/>
  <c r="K1248" i="45"/>
  <c r="H1248" i="45"/>
  <c r="E1248" i="45"/>
  <c r="D1248" i="45"/>
  <c r="C1248" i="45"/>
  <c r="B1248" i="45" s="1"/>
  <c r="K1247" i="45"/>
  <c r="H1247" i="45"/>
  <c r="E1247" i="45"/>
  <c r="D1247" i="45"/>
  <c r="D1249" i="45" s="1"/>
  <c r="C1247" i="45"/>
  <c r="M1246" i="45"/>
  <c r="L1246" i="45"/>
  <c r="J1246" i="45"/>
  <c r="I1246" i="45"/>
  <c r="H1246" i="45"/>
  <c r="G1246" i="45"/>
  <c r="F1246" i="45"/>
  <c r="E1246" i="45" s="1"/>
  <c r="K1245" i="45"/>
  <c r="H1245" i="45"/>
  <c r="E1245" i="45"/>
  <c r="D1245" i="45"/>
  <c r="C1245" i="45"/>
  <c r="B1245" i="45" s="1"/>
  <c r="K1244" i="45"/>
  <c r="H1244" i="45"/>
  <c r="E1244" i="45"/>
  <c r="D1244" i="45"/>
  <c r="D1246" i="45" s="1"/>
  <c r="C1244" i="45"/>
  <c r="M1243" i="45"/>
  <c r="L1243" i="45"/>
  <c r="J1243" i="45"/>
  <c r="I1243" i="45"/>
  <c r="H1243" i="45"/>
  <c r="G1243" i="45"/>
  <c r="F1243" i="45"/>
  <c r="E1243" i="45" s="1"/>
  <c r="K1242" i="45"/>
  <c r="H1242" i="45"/>
  <c r="E1242" i="45"/>
  <c r="D1242" i="45"/>
  <c r="C1242" i="45"/>
  <c r="B1242" i="45"/>
  <c r="K1241" i="45"/>
  <c r="H1241" i="45"/>
  <c r="E1241" i="45"/>
  <c r="D1241" i="45"/>
  <c r="D1243" i="45" s="1"/>
  <c r="B1243" i="45" s="1"/>
  <c r="C1241" i="45"/>
  <c r="C1243" i="45" s="1"/>
  <c r="B1241" i="45"/>
  <c r="M1240" i="45"/>
  <c r="L1240" i="45"/>
  <c r="K1240" i="45" s="1"/>
  <c r="J1240" i="45"/>
  <c r="I1240" i="45"/>
  <c r="H1240" i="45" s="1"/>
  <c r="G1240" i="45"/>
  <c r="F1240" i="45"/>
  <c r="K1239" i="45"/>
  <c r="H1239" i="45"/>
  <c r="E1239" i="45"/>
  <c r="D1239" i="45"/>
  <c r="C1239" i="45"/>
  <c r="B1239" i="45"/>
  <c r="K1238" i="45"/>
  <c r="H1238" i="45"/>
  <c r="E1238" i="45"/>
  <c r="D1238" i="45"/>
  <c r="D1240" i="45" s="1"/>
  <c r="C1238" i="45"/>
  <c r="C1240" i="45" s="1"/>
  <c r="B1238" i="45"/>
  <c r="M1237" i="45"/>
  <c r="L1237" i="45"/>
  <c r="K1237" i="45" s="1"/>
  <c r="J1237" i="45"/>
  <c r="I1237" i="45"/>
  <c r="H1237" i="45" s="1"/>
  <c r="G1237" i="45"/>
  <c r="F1237" i="45"/>
  <c r="K1236" i="45"/>
  <c r="H1236" i="45"/>
  <c r="E1236" i="45"/>
  <c r="D1236" i="45"/>
  <c r="C1236" i="45"/>
  <c r="B1236" i="45" s="1"/>
  <c r="K1235" i="45"/>
  <c r="H1235" i="45"/>
  <c r="E1235" i="45"/>
  <c r="D1235" i="45"/>
  <c r="D1237" i="45" s="1"/>
  <c r="C1235" i="45"/>
  <c r="M1234" i="45"/>
  <c r="L1234" i="45"/>
  <c r="J1234" i="45"/>
  <c r="I1234" i="45"/>
  <c r="H1234" i="45"/>
  <c r="G1234" i="45"/>
  <c r="F1234" i="45"/>
  <c r="E1234" i="45" s="1"/>
  <c r="K1233" i="45"/>
  <c r="H1233" i="45"/>
  <c r="E1233" i="45"/>
  <c r="D1233" i="45"/>
  <c r="C1233" i="45"/>
  <c r="B1233" i="45" s="1"/>
  <c r="K1232" i="45"/>
  <c r="H1232" i="45"/>
  <c r="E1232" i="45"/>
  <c r="D1232" i="45"/>
  <c r="D1234" i="45" s="1"/>
  <c r="C1232" i="45"/>
  <c r="M1231" i="45"/>
  <c r="L1231" i="45"/>
  <c r="J1231" i="45"/>
  <c r="I1231" i="45"/>
  <c r="H1231" i="45"/>
  <c r="G1231" i="45"/>
  <c r="F1231" i="45"/>
  <c r="E1231" i="45" s="1"/>
  <c r="K1230" i="45"/>
  <c r="H1230" i="45"/>
  <c r="E1230" i="45"/>
  <c r="D1230" i="45"/>
  <c r="C1230" i="45"/>
  <c r="B1230" i="45"/>
  <c r="K1229" i="45"/>
  <c r="H1229" i="45"/>
  <c r="E1229" i="45"/>
  <c r="D1229" i="45"/>
  <c r="D1231" i="45" s="1"/>
  <c r="B1231" i="45" s="1"/>
  <c r="C1229" i="45"/>
  <c r="C1231" i="45" s="1"/>
  <c r="B1229" i="45"/>
  <c r="M1228" i="45"/>
  <c r="L1228" i="45"/>
  <c r="K1228" i="45" s="1"/>
  <c r="J1228" i="45"/>
  <c r="I1228" i="45"/>
  <c r="H1228" i="45" s="1"/>
  <c r="G1228" i="45"/>
  <c r="F1228" i="45"/>
  <c r="K1227" i="45"/>
  <c r="H1227" i="45"/>
  <c r="E1227" i="45"/>
  <c r="D1227" i="45"/>
  <c r="C1227" i="45"/>
  <c r="B1227" i="45"/>
  <c r="K1226" i="45"/>
  <c r="H1226" i="45"/>
  <c r="E1226" i="45"/>
  <c r="D1226" i="45"/>
  <c r="D1228" i="45" s="1"/>
  <c r="C1226" i="45"/>
  <c r="C1228" i="45" s="1"/>
  <c r="B1226" i="45"/>
  <c r="M1225" i="45"/>
  <c r="L1225" i="45"/>
  <c r="K1225" i="45" s="1"/>
  <c r="J1225" i="45"/>
  <c r="I1225" i="45"/>
  <c r="H1225" i="45" s="1"/>
  <c r="G1225" i="45"/>
  <c r="F1225" i="45"/>
  <c r="K1224" i="45"/>
  <c r="H1224" i="45"/>
  <c r="E1224" i="45"/>
  <c r="D1224" i="45"/>
  <c r="C1224" i="45"/>
  <c r="B1224" i="45" s="1"/>
  <c r="K1223" i="45"/>
  <c r="H1223" i="45"/>
  <c r="E1223" i="45"/>
  <c r="D1223" i="45"/>
  <c r="D1225" i="45" s="1"/>
  <c r="C1223" i="45"/>
  <c r="M1222" i="45"/>
  <c r="L1222" i="45"/>
  <c r="J1222" i="45"/>
  <c r="I1222" i="45"/>
  <c r="H1222" i="45"/>
  <c r="G1222" i="45"/>
  <c r="F1222" i="45"/>
  <c r="E1222" i="45" s="1"/>
  <c r="K1221" i="45"/>
  <c r="H1221" i="45"/>
  <c r="E1221" i="45"/>
  <c r="D1221" i="45"/>
  <c r="C1221" i="45"/>
  <c r="B1221" i="45" s="1"/>
  <c r="K1220" i="45"/>
  <c r="H1220" i="45"/>
  <c r="E1220" i="45"/>
  <c r="D1220" i="45"/>
  <c r="D1222" i="45" s="1"/>
  <c r="C1220" i="45"/>
  <c r="M1219" i="45"/>
  <c r="L1219" i="45"/>
  <c r="J1219" i="45"/>
  <c r="I1219" i="45"/>
  <c r="H1219" i="45"/>
  <c r="G1219" i="45"/>
  <c r="F1219" i="45"/>
  <c r="E1219" i="45" s="1"/>
  <c r="K1218" i="45"/>
  <c r="H1218" i="45"/>
  <c r="E1218" i="45"/>
  <c r="D1218" i="45"/>
  <c r="C1218" i="45"/>
  <c r="B1218" i="45"/>
  <c r="K1217" i="45"/>
  <c r="H1217" i="45"/>
  <c r="E1217" i="45"/>
  <c r="D1217" i="45"/>
  <c r="D1219" i="45" s="1"/>
  <c r="B1219" i="45" s="1"/>
  <c r="C1217" i="45"/>
  <c r="C1219" i="45" s="1"/>
  <c r="B1217" i="45"/>
  <c r="M1216" i="45"/>
  <c r="L1216" i="45"/>
  <c r="K1216" i="45" s="1"/>
  <c r="J1216" i="45"/>
  <c r="I1216" i="45"/>
  <c r="H1216" i="45" s="1"/>
  <c r="G1216" i="45"/>
  <c r="F1216" i="45"/>
  <c r="K1215" i="45"/>
  <c r="H1215" i="45"/>
  <c r="E1215" i="45"/>
  <c r="D1215" i="45"/>
  <c r="C1215" i="45"/>
  <c r="B1215" i="45"/>
  <c r="K1214" i="45"/>
  <c r="H1214" i="45"/>
  <c r="E1214" i="45"/>
  <c r="D1214" i="45"/>
  <c r="D1216" i="45" s="1"/>
  <c r="C1214" i="45"/>
  <c r="C1216" i="45" s="1"/>
  <c r="B1214" i="45"/>
  <c r="M1213" i="45"/>
  <c r="L1213" i="45"/>
  <c r="K1213" i="45" s="1"/>
  <c r="J1213" i="45"/>
  <c r="I1213" i="45"/>
  <c r="H1213" i="45" s="1"/>
  <c r="G1213" i="45"/>
  <c r="F1213" i="45"/>
  <c r="K1212" i="45"/>
  <c r="H1212" i="45"/>
  <c r="E1212" i="45"/>
  <c r="D1212" i="45"/>
  <c r="C1212" i="45"/>
  <c r="B1212" i="45" s="1"/>
  <c r="K1211" i="45"/>
  <c r="H1211" i="45"/>
  <c r="E1211" i="45"/>
  <c r="D1211" i="45"/>
  <c r="D1213" i="45" s="1"/>
  <c r="C1211" i="45"/>
  <c r="M1210" i="45"/>
  <c r="L1210" i="45"/>
  <c r="J1210" i="45"/>
  <c r="I1210" i="45"/>
  <c r="H1210" i="45"/>
  <c r="G1210" i="45"/>
  <c r="F1210" i="45"/>
  <c r="E1210" i="45" s="1"/>
  <c r="K1209" i="45"/>
  <c r="H1209" i="45"/>
  <c r="E1209" i="45"/>
  <c r="D1209" i="45"/>
  <c r="C1209" i="45"/>
  <c r="B1209" i="45" s="1"/>
  <c r="K1208" i="45"/>
  <c r="H1208" i="45"/>
  <c r="E1208" i="45"/>
  <c r="D1208" i="45"/>
  <c r="D1210" i="45" s="1"/>
  <c r="C1208" i="45"/>
  <c r="M1207" i="45"/>
  <c r="L1207" i="45"/>
  <c r="J1207" i="45"/>
  <c r="I1207" i="45"/>
  <c r="H1207" i="45"/>
  <c r="G1207" i="45"/>
  <c r="F1207" i="45"/>
  <c r="E1207" i="45" s="1"/>
  <c r="K1206" i="45"/>
  <c r="H1206" i="45"/>
  <c r="E1206" i="45"/>
  <c r="D1206" i="45"/>
  <c r="C1206" i="45"/>
  <c r="B1206" i="45"/>
  <c r="K1205" i="45"/>
  <c r="H1205" i="45"/>
  <c r="E1205" i="45"/>
  <c r="D1205" i="45"/>
  <c r="D1207" i="45" s="1"/>
  <c r="B1207" i="45" s="1"/>
  <c r="C1205" i="45"/>
  <c r="C1207" i="45" s="1"/>
  <c r="B1205" i="45"/>
  <c r="M1204" i="45"/>
  <c r="L1204" i="45"/>
  <c r="K1204" i="45" s="1"/>
  <c r="J1204" i="45"/>
  <c r="I1204" i="45"/>
  <c r="H1204" i="45" s="1"/>
  <c r="G1204" i="45"/>
  <c r="F1204" i="45"/>
  <c r="K1203" i="45"/>
  <c r="H1203" i="45"/>
  <c r="E1203" i="45"/>
  <c r="D1203" i="45"/>
  <c r="C1203" i="45"/>
  <c r="B1203" i="45"/>
  <c r="K1202" i="45"/>
  <c r="H1202" i="45"/>
  <c r="E1202" i="45"/>
  <c r="D1202" i="45"/>
  <c r="D1204" i="45" s="1"/>
  <c r="C1202" i="45"/>
  <c r="C1204" i="45" s="1"/>
  <c r="B1202" i="45"/>
  <c r="M1201" i="45"/>
  <c r="L1201" i="45"/>
  <c r="L1261" i="45" s="1"/>
  <c r="J1201" i="45"/>
  <c r="I1201" i="45"/>
  <c r="I1261" i="45" s="1"/>
  <c r="G1201" i="45"/>
  <c r="F1201" i="45"/>
  <c r="F1261" i="45" s="1"/>
  <c r="K1200" i="45"/>
  <c r="H1200" i="45"/>
  <c r="H1260" i="45" s="1"/>
  <c r="E1200" i="45"/>
  <c r="D1200" i="45"/>
  <c r="D1260" i="45" s="1"/>
  <c r="C1200" i="45"/>
  <c r="B1200" i="45"/>
  <c r="B1260" i="45" s="1"/>
  <c r="K1199" i="45"/>
  <c r="H1199" i="45"/>
  <c r="H1259" i="45" s="1"/>
  <c r="E1199" i="45"/>
  <c r="D1199" i="45"/>
  <c r="C1199" i="45"/>
  <c r="B1199" i="45"/>
  <c r="F1195" i="45"/>
  <c r="M1194" i="45"/>
  <c r="L1194" i="45"/>
  <c r="J1194" i="45"/>
  <c r="I1194" i="45"/>
  <c r="G1194" i="45"/>
  <c r="F1194" i="45"/>
  <c r="M1193" i="45"/>
  <c r="L1193" i="45"/>
  <c r="J1193" i="45"/>
  <c r="I1193" i="45"/>
  <c r="H1193" i="45"/>
  <c r="G1193" i="45"/>
  <c r="F1193" i="45"/>
  <c r="M1192" i="45"/>
  <c r="M1195" i="45" s="1"/>
  <c r="L1192" i="45"/>
  <c r="L1195" i="45" s="1"/>
  <c r="J1192" i="45"/>
  <c r="J1195" i="45" s="1"/>
  <c r="I1192" i="45"/>
  <c r="I1195" i="45" s="1"/>
  <c r="G1192" i="45"/>
  <c r="G1195" i="45" s="1"/>
  <c r="F1192" i="45"/>
  <c r="K1191" i="45"/>
  <c r="K1194" i="45" s="1"/>
  <c r="H1191" i="45"/>
  <c r="H1194" i="45" s="1"/>
  <c r="E1191" i="45"/>
  <c r="E1194" i="45" s="1"/>
  <c r="D1191" i="45"/>
  <c r="D1194" i="45" s="1"/>
  <c r="C1191" i="45"/>
  <c r="C1194" i="45" s="1"/>
  <c r="B1191" i="45"/>
  <c r="B1194" i="45" s="1"/>
  <c r="K1190" i="45"/>
  <c r="K1193" i="45" s="1"/>
  <c r="H1190" i="45"/>
  <c r="H1192" i="45" s="1"/>
  <c r="H1195" i="45" s="1"/>
  <c r="E1190" i="45"/>
  <c r="E1193" i="45" s="1"/>
  <c r="D1190" i="45"/>
  <c r="D1193" i="45" s="1"/>
  <c r="C1190" i="45"/>
  <c r="C1193" i="45" s="1"/>
  <c r="B1190" i="45"/>
  <c r="M1185" i="45"/>
  <c r="L1185" i="45"/>
  <c r="J1185" i="45"/>
  <c r="I1185" i="45"/>
  <c r="G1185" i="45"/>
  <c r="F1185" i="45"/>
  <c r="M1184" i="45"/>
  <c r="L1184" i="45"/>
  <c r="J1184" i="45"/>
  <c r="I1184" i="45"/>
  <c r="G1184" i="45"/>
  <c r="F1184" i="45"/>
  <c r="M1183" i="45"/>
  <c r="L1183" i="45"/>
  <c r="J1183" i="45"/>
  <c r="I1183" i="45"/>
  <c r="G1183" i="45"/>
  <c r="F1183" i="45"/>
  <c r="K1182" i="45"/>
  <c r="H1182" i="45"/>
  <c r="E1182" i="45"/>
  <c r="D1182" i="45"/>
  <c r="C1182" i="45"/>
  <c r="B1182" i="45"/>
  <c r="K1181" i="45"/>
  <c r="K1183" i="45" s="1"/>
  <c r="H1181" i="45"/>
  <c r="H1183" i="45" s="1"/>
  <c r="E1181" i="45"/>
  <c r="E1183" i="45" s="1"/>
  <c r="D1181" i="45"/>
  <c r="D1183" i="45" s="1"/>
  <c r="C1181" i="45"/>
  <c r="C1183" i="45" s="1"/>
  <c r="B1181" i="45"/>
  <c r="B1183" i="45" s="1"/>
  <c r="M1180" i="45"/>
  <c r="L1180" i="45"/>
  <c r="J1180" i="45"/>
  <c r="I1180" i="45"/>
  <c r="G1180" i="45"/>
  <c r="F1180" i="45"/>
  <c r="K1179" i="45"/>
  <c r="H1179" i="45"/>
  <c r="E1179" i="45"/>
  <c r="D1179" i="45"/>
  <c r="C1179" i="45"/>
  <c r="B1179" i="45" s="1"/>
  <c r="K1178" i="45"/>
  <c r="K1180" i="45" s="1"/>
  <c r="H1178" i="45"/>
  <c r="H1180" i="45" s="1"/>
  <c r="E1178" i="45"/>
  <c r="E1180" i="45" s="1"/>
  <c r="D1178" i="45"/>
  <c r="D1180" i="45" s="1"/>
  <c r="C1178" i="45"/>
  <c r="M1177" i="45"/>
  <c r="L1177" i="45"/>
  <c r="L1186" i="45" s="1"/>
  <c r="J1177" i="45"/>
  <c r="I1177" i="45"/>
  <c r="G1177" i="45"/>
  <c r="G1186" i="45" s="1"/>
  <c r="F1177" i="45"/>
  <c r="K1176" i="45"/>
  <c r="K1185" i="45" s="1"/>
  <c r="H1176" i="45"/>
  <c r="E1176" i="45"/>
  <c r="E1185" i="45" s="1"/>
  <c r="D1176" i="45"/>
  <c r="C1176" i="45"/>
  <c r="K1175" i="45"/>
  <c r="K1184" i="45" s="1"/>
  <c r="H1175" i="45"/>
  <c r="E1175" i="45"/>
  <c r="E1184" i="45" s="1"/>
  <c r="D1175" i="45"/>
  <c r="D1177" i="45" s="1"/>
  <c r="C1175" i="45"/>
  <c r="J1171" i="45"/>
  <c r="M1170" i="45"/>
  <c r="L1170" i="45"/>
  <c r="J1170" i="45"/>
  <c r="I1170" i="45"/>
  <c r="G1170" i="45"/>
  <c r="F1170" i="45"/>
  <c r="D1170" i="45"/>
  <c r="M1169" i="45"/>
  <c r="L1169" i="45"/>
  <c r="J1169" i="45"/>
  <c r="I1169" i="45"/>
  <c r="G1169" i="45"/>
  <c r="F1169" i="45"/>
  <c r="M1168" i="45"/>
  <c r="M1171" i="45" s="1"/>
  <c r="L1168" i="45"/>
  <c r="L1171" i="45" s="1"/>
  <c r="J1168" i="45"/>
  <c r="I1168" i="45"/>
  <c r="I1171" i="45" s="1"/>
  <c r="G1168" i="45"/>
  <c r="G1171" i="45" s="1"/>
  <c r="F1168" i="45"/>
  <c r="F1171" i="45" s="1"/>
  <c r="K1167" i="45"/>
  <c r="K1170" i="45" s="1"/>
  <c r="H1167" i="45"/>
  <c r="H1170" i="45" s="1"/>
  <c r="E1167" i="45"/>
  <c r="E1170" i="45" s="1"/>
  <c r="D1167" i="45"/>
  <c r="C1167" i="45"/>
  <c r="K1166" i="45"/>
  <c r="K1169" i="45" s="1"/>
  <c r="H1166" i="45"/>
  <c r="H1168" i="45" s="1"/>
  <c r="H1171" i="45" s="1"/>
  <c r="E1166" i="45"/>
  <c r="E1169" i="45" s="1"/>
  <c r="D1166" i="45"/>
  <c r="D1169" i="45" s="1"/>
  <c r="C1166" i="45"/>
  <c r="M1161" i="45"/>
  <c r="L1161" i="45"/>
  <c r="J1161" i="45"/>
  <c r="I1161" i="45"/>
  <c r="G1161" i="45"/>
  <c r="F1161" i="45"/>
  <c r="M1160" i="45"/>
  <c r="L1160" i="45"/>
  <c r="J1160" i="45"/>
  <c r="I1160" i="45"/>
  <c r="G1160" i="45"/>
  <c r="F1160" i="45"/>
  <c r="M1159" i="45"/>
  <c r="L1159" i="45"/>
  <c r="J1159" i="45"/>
  <c r="I1159" i="45"/>
  <c r="G1159" i="45"/>
  <c r="F1159" i="45"/>
  <c r="K1158" i="45"/>
  <c r="H1158" i="45"/>
  <c r="E1158" i="45"/>
  <c r="D1158" i="45"/>
  <c r="C1158" i="45"/>
  <c r="B1158" i="45"/>
  <c r="K1157" i="45"/>
  <c r="K1159" i="45" s="1"/>
  <c r="H1157" i="45"/>
  <c r="H1159" i="45" s="1"/>
  <c r="E1157" i="45"/>
  <c r="E1159" i="45" s="1"/>
  <c r="D1157" i="45"/>
  <c r="D1159" i="45" s="1"/>
  <c r="C1157" i="45"/>
  <c r="C1159" i="45" s="1"/>
  <c r="B1157" i="45"/>
  <c r="B1159" i="45" s="1"/>
  <c r="M1156" i="45"/>
  <c r="L1156" i="45"/>
  <c r="J1156" i="45"/>
  <c r="I1156" i="45"/>
  <c r="G1156" i="45"/>
  <c r="F1156" i="45"/>
  <c r="K1155" i="45"/>
  <c r="H1155" i="45"/>
  <c r="E1155" i="45"/>
  <c r="D1155" i="45"/>
  <c r="C1155" i="45"/>
  <c r="B1155" i="45" s="1"/>
  <c r="K1154" i="45"/>
  <c r="K1156" i="45" s="1"/>
  <c r="H1154" i="45"/>
  <c r="H1156" i="45" s="1"/>
  <c r="E1154" i="45"/>
  <c r="E1156" i="45" s="1"/>
  <c r="D1154" i="45"/>
  <c r="D1156" i="45" s="1"/>
  <c r="C1154" i="45"/>
  <c r="M1153" i="45"/>
  <c r="L1153" i="45"/>
  <c r="J1153" i="45"/>
  <c r="I1153" i="45"/>
  <c r="G1153" i="45"/>
  <c r="F1153" i="45"/>
  <c r="K1152" i="45"/>
  <c r="H1152" i="45"/>
  <c r="E1152" i="45"/>
  <c r="D1152" i="45"/>
  <c r="C1152" i="45"/>
  <c r="B1152" i="45" s="1"/>
  <c r="K1151" i="45"/>
  <c r="K1153" i="45" s="1"/>
  <c r="H1151" i="45"/>
  <c r="H1153" i="45" s="1"/>
  <c r="E1151" i="45"/>
  <c r="E1153" i="45" s="1"/>
  <c r="D1151" i="45"/>
  <c r="D1153" i="45" s="1"/>
  <c r="C1151" i="45"/>
  <c r="M1150" i="45"/>
  <c r="L1150" i="45"/>
  <c r="J1150" i="45"/>
  <c r="I1150" i="45"/>
  <c r="G1150" i="45"/>
  <c r="F1150" i="45"/>
  <c r="K1149" i="45"/>
  <c r="H1149" i="45"/>
  <c r="E1149" i="45"/>
  <c r="D1149" i="45"/>
  <c r="C1149" i="45"/>
  <c r="B1149" i="45"/>
  <c r="K1148" i="45"/>
  <c r="K1150" i="45" s="1"/>
  <c r="H1148" i="45"/>
  <c r="H1150" i="45" s="1"/>
  <c r="E1148" i="45"/>
  <c r="E1150" i="45" s="1"/>
  <c r="D1148" i="45"/>
  <c r="D1150" i="45" s="1"/>
  <c r="C1148" i="45"/>
  <c r="C1150" i="45" s="1"/>
  <c r="B1148" i="45"/>
  <c r="B1150" i="45" s="1"/>
  <c r="M1147" i="45"/>
  <c r="L1147" i="45"/>
  <c r="J1147" i="45"/>
  <c r="I1147" i="45"/>
  <c r="G1147" i="45"/>
  <c r="F1147" i="45"/>
  <c r="K1146" i="45"/>
  <c r="H1146" i="45"/>
  <c r="E1146" i="45"/>
  <c r="D1146" i="45"/>
  <c r="C1146" i="45"/>
  <c r="B1146" i="45" s="1"/>
  <c r="K1145" i="45"/>
  <c r="H1145" i="45"/>
  <c r="H1147" i="45" s="1"/>
  <c r="E1145" i="45"/>
  <c r="D1145" i="45"/>
  <c r="D1147" i="45" s="1"/>
  <c r="C1145" i="45"/>
  <c r="M1144" i="45"/>
  <c r="L1144" i="45"/>
  <c r="J1144" i="45"/>
  <c r="I1144" i="45"/>
  <c r="G1144" i="45"/>
  <c r="F1144" i="45"/>
  <c r="K1143" i="45"/>
  <c r="H1143" i="45"/>
  <c r="E1143" i="45"/>
  <c r="D1143" i="45"/>
  <c r="C1143" i="45"/>
  <c r="B1143" i="45"/>
  <c r="K1142" i="45"/>
  <c r="K1144" i="45" s="1"/>
  <c r="H1142" i="45"/>
  <c r="H1144" i="45" s="1"/>
  <c r="E1142" i="45"/>
  <c r="E1144" i="45" s="1"/>
  <c r="D1142" i="45"/>
  <c r="D1144" i="45" s="1"/>
  <c r="C1142" i="45"/>
  <c r="C1144" i="45" s="1"/>
  <c r="B1142" i="45"/>
  <c r="B1144" i="45" s="1"/>
  <c r="M1141" i="45"/>
  <c r="L1141" i="45"/>
  <c r="J1141" i="45"/>
  <c r="I1141" i="45"/>
  <c r="G1141" i="45"/>
  <c r="F1141" i="45"/>
  <c r="K1140" i="45"/>
  <c r="H1140" i="45"/>
  <c r="E1140" i="45"/>
  <c r="D1140" i="45"/>
  <c r="C1140" i="45"/>
  <c r="B1140" i="45"/>
  <c r="K1139" i="45"/>
  <c r="K1141" i="45" s="1"/>
  <c r="H1139" i="45"/>
  <c r="H1141" i="45" s="1"/>
  <c r="E1139" i="45"/>
  <c r="E1141" i="45" s="1"/>
  <c r="D1139" i="45"/>
  <c r="D1141" i="45" s="1"/>
  <c r="C1139" i="45"/>
  <c r="C1141" i="45" s="1"/>
  <c r="B1139" i="45"/>
  <c r="B1141" i="45" s="1"/>
  <c r="M1138" i="45"/>
  <c r="L1138" i="45"/>
  <c r="J1138" i="45"/>
  <c r="I1138" i="45"/>
  <c r="G1138" i="45"/>
  <c r="F1138" i="45"/>
  <c r="K1137" i="45"/>
  <c r="H1137" i="45"/>
  <c r="E1137" i="45"/>
  <c r="D1137" i="45"/>
  <c r="C1137" i="45"/>
  <c r="B1137" i="45" s="1"/>
  <c r="K1136" i="45"/>
  <c r="K1138" i="45" s="1"/>
  <c r="H1136" i="45"/>
  <c r="H1138" i="45" s="1"/>
  <c r="E1136" i="45"/>
  <c r="E1138" i="45" s="1"/>
  <c r="D1136" i="45"/>
  <c r="D1138" i="45" s="1"/>
  <c r="C1136" i="45"/>
  <c r="M1135" i="45"/>
  <c r="L1135" i="45"/>
  <c r="J1135" i="45"/>
  <c r="I1135" i="45"/>
  <c r="G1135" i="45"/>
  <c r="F1135" i="45"/>
  <c r="K1134" i="45"/>
  <c r="H1134" i="45"/>
  <c r="E1134" i="45"/>
  <c r="D1134" i="45"/>
  <c r="C1134" i="45"/>
  <c r="B1134" i="45"/>
  <c r="K1133" i="45"/>
  <c r="K1135" i="45" s="1"/>
  <c r="H1133" i="45"/>
  <c r="H1135" i="45" s="1"/>
  <c r="E1133" i="45"/>
  <c r="E1135" i="45" s="1"/>
  <c r="D1133" i="45"/>
  <c r="D1135" i="45" s="1"/>
  <c r="C1133" i="45"/>
  <c r="C1135" i="45" s="1"/>
  <c r="B1133" i="45"/>
  <c r="B1135" i="45" s="1"/>
  <c r="M1132" i="45"/>
  <c r="L1132" i="45"/>
  <c r="J1132" i="45"/>
  <c r="I1132" i="45"/>
  <c r="G1132" i="45"/>
  <c r="F1132" i="45"/>
  <c r="K1131" i="45"/>
  <c r="H1131" i="45"/>
  <c r="E1131" i="45"/>
  <c r="D1131" i="45"/>
  <c r="C1131" i="45"/>
  <c r="B1131" i="45" s="1"/>
  <c r="K1130" i="45"/>
  <c r="H1130" i="45"/>
  <c r="H1132" i="45" s="1"/>
  <c r="E1130" i="45"/>
  <c r="D1130" i="45"/>
  <c r="D1132" i="45" s="1"/>
  <c r="C1130" i="45"/>
  <c r="M1129" i="45"/>
  <c r="L1129" i="45"/>
  <c r="J1129" i="45"/>
  <c r="I1129" i="45"/>
  <c r="G1129" i="45"/>
  <c r="F1129" i="45"/>
  <c r="K1128" i="45"/>
  <c r="H1128" i="45"/>
  <c r="E1128" i="45"/>
  <c r="D1128" i="45"/>
  <c r="C1128" i="45"/>
  <c r="B1128" i="45" s="1"/>
  <c r="K1127" i="45"/>
  <c r="H1127" i="45"/>
  <c r="H1129" i="45" s="1"/>
  <c r="E1127" i="45"/>
  <c r="D1127" i="45"/>
  <c r="D1129" i="45" s="1"/>
  <c r="C1127" i="45"/>
  <c r="M1126" i="45"/>
  <c r="L1126" i="45"/>
  <c r="J1126" i="45"/>
  <c r="I1126" i="45"/>
  <c r="G1126" i="45"/>
  <c r="F1126" i="45"/>
  <c r="K1125" i="45"/>
  <c r="H1125" i="45"/>
  <c r="E1125" i="45"/>
  <c r="D1125" i="45"/>
  <c r="C1125" i="45"/>
  <c r="B1125" i="45"/>
  <c r="K1124" i="45"/>
  <c r="K1126" i="45" s="1"/>
  <c r="H1124" i="45"/>
  <c r="H1126" i="45" s="1"/>
  <c r="E1124" i="45"/>
  <c r="E1126" i="45" s="1"/>
  <c r="D1124" i="45"/>
  <c r="D1126" i="45" s="1"/>
  <c r="C1124" i="45"/>
  <c r="C1126" i="45" s="1"/>
  <c r="B1124" i="45"/>
  <c r="B1126" i="45" s="1"/>
  <c r="M1123" i="45"/>
  <c r="L1123" i="45"/>
  <c r="J1123" i="45"/>
  <c r="I1123" i="45"/>
  <c r="G1123" i="45"/>
  <c r="F1123" i="45"/>
  <c r="K1122" i="45"/>
  <c r="H1122" i="45"/>
  <c r="E1122" i="45"/>
  <c r="D1122" i="45"/>
  <c r="C1122" i="45"/>
  <c r="B1122" i="45" s="1"/>
  <c r="K1121" i="45"/>
  <c r="K1123" i="45" s="1"/>
  <c r="H1121" i="45"/>
  <c r="H1123" i="45" s="1"/>
  <c r="E1121" i="45"/>
  <c r="E1123" i="45" s="1"/>
  <c r="D1121" i="45"/>
  <c r="D1123" i="45" s="1"/>
  <c r="C1121" i="45"/>
  <c r="M1120" i="45"/>
  <c r="L1120" i="45"/>
  <c r="J1120" i="45"/>
  <c r="I1120" i="45"/>
  <c r="G1120" i="45"/>
  <c r="F1120" i="45"/>
  <c r="K1119" i="45"/>
  <c r="H1119" i="45"/>
  <c r="E1119" i="45"/>
  <c r="D1119" i="45"/>
  <c r="C1119" i="45"/>
  <c r="B1119" i="45"/>
  <c r="K1118" i="45"/>
  <c r="K1120" i="45" s="1"/>
  <c r="H1118" i="45"/>
  <c r="H1120" i="45" s="1"/>
  <c r="E1118" i="45"/>
  <c r="E1120" i="45" s="1"/>
  <c r="D1118" i="45"/>
  <c r="D1120" i="45" s="1"/>
  <c r="C1118" i="45"/>
  <c r="C1120" i="45" s="1"/>
  <c r="B1118" i="45"/>
  <c r="B1120" i="45" s="1"/>
  <c r="M1117" i="45"/>
  <c r="L1117" i="45"/>
  <c r="J1117" i="45"/>
  <c r="I1117" i="45"/>
  <c r="G1117" i="45"/>
  <c r="F1117" i="45"/>
  <c r="K1116" i="45"/>
  <c r="H1116" i="45"/>
  <c r="E1116" i="45"/>
  <c r="D1116" i="45"/>
  <c r="C1116" i="45"/>
  <c r="B1116" i="45"/>
  <c r="K1115" i="45"/>
  <c r="K1117" i="45" s="1"/>
  <c r="H1115" i="45"/>
  <c r="H1117" i="45" s="1"/>
  <c r="E1115" i="45"/>
  <c r="E1117" i="45" s="1"/>
  <c r="D1115" i="45"/>
  <c r="D1117" i="45" s="1"/>
  <c r="C1115" i="45"/>
  <c r="C1117" i="45" s="1"/>
  <c r="B1115" i="45"/>
  <c r="B1117" i="45" s="1"/>
  <c r="M1114" i="45"/>
  <c r="L1114" i="45"/>
  <c r="J1114" i="45"/>
  <c r="I1114" i="45"/>
  <c r="G1114" i="45"/>
  <c r="F1114" i="45"/>
  <c r="K1113" i="45"/>
  <c r="H1113" i="45"/>
  <c r="E1113" i="45"/>
  <c r="D1113" i="45"/>
  <c r="C1113" i="45"/>
  <c r="B1113" i="45" s="1"/>
  <c r="K1112" i="45"/>
  <c r="H1112" i="45"/>
  <c r="H1114" i="45" s="1"/>
  <c r="E1112" i="45"/>
  <c r="D1112" i="45"/>
  <c r="D1114" i="45" s="1"/>
  <c r="C1112" i="45"/>
  <c r="M1111" i="45"/>
  <c r="L1111" i="45"/>
  <c r="J1111" i="45"/>
  <c r="I1111" i="45"/>
  <c r="G1111" i="45"/>
  <c r="F1111" i="45"/>
  <c r="K1110" i="45"/>
  <c r="H1110" i="45"/>
  <c r="E1110" i="45"/>
  <c r="D1110" i="45"/>
  <c r="C1110" i="45"/>
  <c r="B1110" i="45"/>
  <c r="K1109" i="45"/>
  <c r="K1111" i="45" s="1"/>
  <c r="H1109" i="45"/>
  <c r="H1111" i="45" s="1"/>
  <c r="E1109" i="45"/>
  <c r="E1111" i="45" s="1"/>
  <c r="D1109" i="45"/>
  <c r="D1111" i="45" s="1"/>
  <c r="C1109" i="45"/>
  <c r="C1111" i="45" s="1"/>
  <c r="B1109" i="45"/>
  <c r="B1111" i="45" s="1"/>
  <c r="M1108" i="45"/>
  <c r="L1108" i="45"/>
  <c r="J1108" i="45"/>
  <c r="I1108" i="45"/>
  <c r="G1108" i="45"/>
  <c r="F1108" i="45"/>
  <c r="K1107" i="45"/>
  <c r="H1107" i="45"/>
  <c r="E1107" i="45"/>
  <c r="D1107" i="45"/>
  <c r="C1107" i="45"/>
  <c r="B1107" i="45" s="1"/>
  <c r="K1106" i="45"/>
  <c r="K1108" i="45" s="1"/>
  <c r="H1106" i="45"/>
  <c r="H1108" i="45" s="1"/>
  <c r="E1106" i="45"/>
  <c r="E1108" i="45" s="1"/>
  <c r="D1106" i="45"/>
  <c r="D1108" i="45" s="1"/>
  <c r="C1106" i="45"/>
  <c r="M1105" i="45"/>
  <c r="L1105" i="45"/>
  <c r="J1105" i="45"/>
  <c r="I1105" i="45"/>
  <c r="G1105" i="45"/>
  <c r="F1105" i="45"/>
  <c r="K1104" i="45"/>
  <c r="H1104" i="45"/>
  <c r="E1104" i="45"/>
  <c r="D1104" i="45"/>
  <c r="C1104" i="45"/>
  <c r="B1104" i="45" s="1"/>
  <c r="K1103" i="45"/>
  <c r="K1105" i="45" s="1"/>
  <c r="H1103" i="45"/>
  <c r="H1105" i="45" s="1"/>
  <c r="E1103" i="45"/>
  <c r="E1105" i="45" s="1"/>
  <c r="D1103" i="45"/>
  <c r="D1105" i="45" s="1"/>
  <c r="C1103" i="45"/>
  <c r="M1102" i="45"/>
  <c r="L1102" i="45"/>
  <c r="J1102" i="45"/>
  <c r="I1102" i="45"/>
  <c r="G1102" i="45"/>
  <c r="F1102" i="45"/>
  <c r="K1101" i="45"/>
  <c r="H1101" i="45"/>
  <c r="E1101" i="45"/>
  <c r="D1101" i="45"/>
  <c r="C1101" i="45"/>
  <c r="B1101" i="45"/>
  <c r="K1100" i="45"/>
  <c r="K1102" i="45" s="1"/>
  <c r="H1100" i="45"/>
  <c r="H1102" i="45" s="1"/>
  <c r="E1100" i="45"/>
  <c r="E1102" i="45" s="1"/>
  <c r="D1100" i="45"/>
  <c r="D1102" i="45" s="1"/>
  <c r="C1100" i="45"/>
  <c r="C1102" i="45" s="1"/>
  <c r="B1100" i="45"/>
  <c r="B1102" i="45" s="1"/>
  <c r="M1099" i="45"/>
  <c r="L1099" i="45"/>
  <c r="J1099" i="45"/>
  <c r="I1099" i="45"/>
  <c r="G1099" i="45"/>
  <c r="F1099" i="45"/>
  <c r="K1098" i="45"/>
  <c r="H1098" i="45"/>
  <c r="E1098" i="45"/>
  <c r="D1098" i="45"/>
  <c r="C1098" i="45"/>
  <c r="B1098" i="45" s="1"/>
  <c r="K1097" i="45"/>
  <c r="H1097" i="45"/>
  <c r="H1099" i="45" s="1"/>
  <c r="E1097" i="45"/>
  <c r="D1097" i="45"/>
  <c r="D1099" i="45" s="1"/>
  <c r="C1097" i="45"/>
  <c r="M1096" i="45"/>
  <c r="L1096" i="45"/>
  <c r="J1096" i="45"/>
  <c r="I1096" i="45"/>
  <c r="G1096" i="45"/>
  <c r="F1096" i="45"/>
  <c r="K1095" i="45"/>
  <c r="H1095" i="45"/>
  <c r="E1095" i="45"/>
  <c r="D1095" i="45"/>
  <c r="C1095" i="45"/>
  <c r="B1095" i="45"/>
  <c r="K1094" i="45"/>
  <c r="K1096" i="45" s="1"/>
  <c r="H1094" i="45"/>
  <c r="H1096" i="45" s="1"/>
  <c r="E1094" i="45"/>
  <c r="E1096" i="45" s="1"/>
  <c r="D1094" i="45"/>
  <c r="D1096" i="45" s="1"/>
  <c r="C1094" i="45"/>
  <c r="C1096" i="45" s="1"/>
  <c r="B1094" i="45"/>
  <c r="B1096" i="45" s="1"/>
  <c r="M1093" i="45"/>
  <c r="L1093" i="45"/>
  <c r="J1093" i="45"/>
  <c r="I1093" i="45"/>
  <c r="G1093" i="45"/>
  <c r="F1093" i="45"/>
  <c r="K1092" i="45"/>
  <c r="H1092" i="45"/>
  <c r="E1092" i="45"/>
  <c r="D1092" i="45"/>
  <c r="C1092" i="45"/>
  <c r="B1092" i="45"/>
  <c r="K1091" i="45"/>
  <c r="K1093" i="45" s="1"/>
  <c r="H1091" i="45"/>
  <c r="H1093" i="45" s="1"/>
  <c r="E1091" i="45"/>
  <c r="E1093" i="45" s="1"/>
  <c r="D1091" i="45"/>
  <c r="D1093" i="45" s="1"/>
  <c r="C1091" i="45"/>
  <c r="C1093" i="45" s="1"/>
  <c r="B1091" i="45"/>
  <c r="B1093" i="45" s="1"/>
  <c r="M1090" i="45"/>
  <c r="L1090" i="45"/>
  <c r="J1090" i="45"/>
  <c r="I1090" i="45"/>
  <c r="G1090" i="45"/>
  <c r="F1090" i="45"/>
  <c r="K1089" i="45"/>
  <c r="H1089" i="45"/>
  <c r="E1089" i="45"/>
  <c r="D1089" i="45"/>
  <c r="C1089" i="45"/>
  <c r="B1089" i="45" s="1"/>
  <c r="K1088" i="45"/>
  <c r="K1090" i="45" s="1"/>
  <c r="H1088" i="45"/>
  <c r="H1090" i="45" s="1"/>
  <c r="E1088" i="45"/>
  <c r="E1090" i="45" s="1"/>
  <c r="D1088" i="45"/>
  <c r="D1090" i="45" s="1"/>
  <c r="C1088" i="45"/>
  <c r="M1087" i="45"/>
  <c r="L1087" i="45"/>
  <c r="J1087" i="45"/>
  <c r="I1087" i="45"/>
  <c r="G1087" i="45"/>
  <c r="F1087" i="45"/>
  <c r="K1086" i="45"/>
  <c r="H1086" i="45"/>
  <c r="E1086" i="45"/>
  <c r="D1086" i="45"/>
  <c r="C1086" i="45"/>
  <c r="B1086" i="45"/>
  <c r="K1085" i="45"/>
  <c r="K1087" i="45" s="1"/>
  <c r="H1085" i="45"/>
  <c r="H1087" i="45" s="1"/>
  <c r="E1085" i="45"/>
  <c r="E1087" i="45" s="1"/>
  <c r="D1085" i="45"/>
  <c r="D1087" i="45" s="1"/>
  <c r="C1085" i="45"/>
  <c r="C1087" i="45" s="1"/>
  <c r="B1085" i="45"/>
  <c r="B1087" i="45" s="1"/>
  <c r="M1084" i="45"/>
  <c r="L1084" i="45"/>
  <c r="J1084" i="45"/>
  <c r="I1084" i="45"/>
  <c r="G1084" i="45"/>
  <c r="F1084" i="45"/>
  <c r="K1083" i="45"/>
  <c r="H1083" i="45"/>
  <c r="E1083" i="45"/>
  <c r="D1083" i="45"/>
  <c r="C1083" i="45"/>
  <c r="B1083" i="45" s="1"/>
  <c r="K1082" i="45"/>
  <c r="H1082" i="45"/>
  <c r="H1084" i="45" s="1"/>
  <c r="E1082" i="45"/>
  <c r="D1082" i="45"/>
  <c r="D1084" i="45" s="1"/>
  <c r="C1082" i="45"/>
  <c r="M1081" i="45"/>
  <c r="L1081" i="45"/>
  <c r="J1081" i="45"/>
  <c r="I1081" i="45"/>
  <c r="G1081" i="45"/>
  <c r="F1081" i="45"/>
  <c r="K1080" i="45"/>
  <c r="H1080" i="45"/>
  <c r="E1080" i="45"/>
  <c r="D1080" i="45"/>
  <c r="C1080" i="45"/>
  <c r="B1080" i="45" s="1"/>
  <c r="K1079" i="45"/>
  <c r="H1079" i="45"/>
  <c r="H1081" i="45" s="1"/>
  <c r="E1079" i="45"/>
  <c r="D1079" i="45"/>
  <c r="D1081" i="45" s="1"/>
  <c r="C1079" i="45"/>
  <c r="M1078" i="45"/>
  <c r="L1078" i="45"/>
  <c r="J1078" i="45"/>
  <c r="I1078" i="45"/>
  <c r="G1078" i="45"/>
  <c r="F1078" i="45"/>
  <c r="K1077" i="45"/>
  <c r="H1077" i="45"/>
  <c r="E1077" i="45"/>
  <c r="D1077" i="45"/>
  <c r="C1077" i="45"/>
  <c r="B1077" i="45"/>
  <c r="K1076" i="45"/>
  <c r="K1078" i="45" s="1"/>
  <c r="H1076" i="45"/>
  <c r="H1078" i="45" s="1"/>
  <c r="E1076" i="45"/>
  <c r="E1078" i="45" s="1"/>
  <c r="D1076" i="45"/>
  <c r="D1078" i="45" s="1"/>
  <c r="C1076" i="45"/>
  <c r="C1078" i="45" s="1"/>
  <c r="B1076" i="45"/>
  <c r="B1078" i="45" s="1"/>
  <c r="M1075" i="45"/>
  <c r="L1075" i="45"/>
  <c r="J1075" i="45"/>
  <c r="I1075" i="45"/>
  <c r="G1075" i="45"/>
  <c r="F1075" i="45"/>
  <c r="K1074" i="45"/>
  <c r="H1074" i="45"/>
  <c r="E1074" i="45"/>
  <c r="D1074" i="45"/>
  <c r="C1074" i="45"/>
  <c r="B1074" i="45" s="1"/>
  <c r="K1073" i="45"/>
  <c r="K1075" i="45" s="1"/>
  <c r="H1073" i="45"/>
  <c r="H1075" i="45" s="1"/>
  <c r="E1073" i="45"/>
  <c r="E1075" i="45" s="1"/>
  <c r="D1073" i="45"/>
  <c r="D1075" i="45" s="1"/>
  <c r="C1073" i="45"/>
  <c r="M1072" i="45"/>
  <c r="L1072" i="45"/>
  <c r="J1072" i="45"/>
  <c r="I1072" i="45"/>
  <c r="G1072" i="45"/>
  <c r="F1072" i="45"/>
  <c r="K1071" i="45"/>
  <c r="H1071" i="45"/>
  <c r="E1071" i="45"/>
  <c r="D1071" i="45"/>
  <c r="C1071" i="45"/>
  <c r="B1071" i="45"/>
  <c r="K1070" i="45"/>
  <c r="K1072" i="45" s="1"/>
  <c r="H1070" i="45"/>
  <c r="H1072" i="45" s="1"/>
  <c r="E1070" i="45"/>
  <c r="E1072" i="45" s="1"/>
  <c r="D1070" i="45"/>
  <c r="D1072" i="45" s="1"/>
  <c r="C1070" i="45"/>
  <c r="C1072" i="45" s="1"/>
  <c r="B1070" i="45"/>
  <c r="B1072" i="45" s="1"/>
  <c r="M1069" i="45"/>
  <c r="L1069" i="45"/>
  <c r="J1069" i="45"/>
  <c r="I1069" i="45"/>
  <c r="G1069" i="45"/>
  <c r="F1069" i="45"/>
  <c r="K1068" i="45"/>
  <c r="H1068" i="45"/>
  <c r="E1068" i="45"/>
  <c r="D1068" i="45"/>
  <c r="C1068" i="45"/>
  <c r="B1068" i="45"/>
  <c r="K1067" i="45"/>
  <c r="K1069" i="45" s="1"/>
  <c r="H1067" i="45"/>
  <c r="H1069" i="45" s="1"/>
  <c r="E1067" i="45"/>
  <c r="E1069" i="45" s="1"/>
  <c r="D1067" i="45"/>
  <c r="D1069" i="45" s="1"/>
  <c r="C1067" i="45"/>
  <c r="C1069" i="45" s="1"/>
  <c r="B1067" i="45"/>
  <c r="B1069" i="45" s="1"/>
  <c r="M1066" i="45"/>
  <c r="L1066" i="45"/>
  <c r="J1066" i="45"/>
  <c r="I1066" i="45"/>
  <c r="G1066" i="45"/>
  <c r="F1066" i="45"/>
  <c r="K1065" i="45"/>
  <c r="H1065" i="45"/>
  <c r="E1065" i="45"/>
  <c r="D1065" i="45"/>
  <c r="C1065" i="45"/>
  <c r="B1065" i="45" s="1"/>
  <c r="K1064" i="45"/>
  <c r="H1064" i="45"/>
  <c r="H1066" i="45" s="1"/>
  <c r="E1064" i="45"/>
  <c r="D1064" i="45"/>
  <c r="D1066" i="45" s="1"/>
  <c r="C1064" i="45"/>
  <c r="M1063" i="45"/>
  <c r="L1063" i="45"/>
  <c r="J1063" i="45"/>
  <c r="I1063" i="45"/>
  <c r="G1063" i="45"/>
  <c r="F1063" i="45"/>
  <c r="K1062" i="45"/>
  <c r="H1062" i="45"/>
  <c r="E1062" i="45"/>
  <c r="D1062" i="45"/>
  <c r="C1062" i="45"/>
  <c r="B1062" i="45"/>
  <c r="K1061" i="45"/>
  <c r="K1063" i="45" s="1"/>
  <c r="H1061" i="45"/>
  <c r="H1063" i="45" s="1"/>
  <c r="E1061" i="45"/>
  <c r="E1063" i="45" s="1"/>
  <c r="D1061" i="45"/>
  <c r="D1063" i="45" s="1"/>
  <c r="C1061" i="45"/>
  <c r="C1063" i="45" s="1"/>
  <c r="B1061" i="45"/>
  <c r="B1063" i="45" s="1"/>
  <c r="M1060" i="45"/>
  <c r="L1060" i="45"/>
  <c r="J1060" i="45"/>
  <c r="I1060" i="45"/>
  <c r="G1060" i="45"/>
  <c r="F1060" i="45"/>
  <c r="K1059" i="45"/>
  <c r="H1059" i="45"/>
  <c r="E1059" i="45"/>
  <c r="D1059" i="45"/>
  <c r="C1059" i="45"/>
  <c r="B1059" i="45" s="1"/>
  <c r="K1058" i="45"/>
  <c r="K1060" i="45" s="1"/>
  <c r="H1058" i="45"/>
  <c r="H1060" i="45" s="1"/>
  <c r="E1058" i="45"/>
  <c r="E1060" i="45" s="1"/>
  <c r="D1058" i="45"/>
  <c r="D1060" i="45" s="1"/>
  <c r="C1058" i="45"/>
  <c r="M1057" i="45"/>
  <c r="L1057" i="45"/>
  <c r="J1057" i="45"/>
  <c r="I1057" i="45"/>
  <c r="G1057" i="45"/>
  <c r="F1057" i="45"/>
  <c r="K1056" i="45"/>
  <c r="H1056" i="45"/>
  <c r="E1056" i="45"/>
  <c r="D1056" i="45"/>
  <c r="C1056" i="45"/>
  <c r="B1056" i="45" s="1"/>
  <c r="K1055" i="45"/>
  <c r="K1057" i="45" s="1"/>
  <c r="H1055" i="45"/>
  <c r="H1057" i="45" s="1"/>
  <c r="E1055" i="45"/>
  <c r="E1057" i="45" s="1"/>
  <c r="D1055" i="45"/>
  <c r="D1057" i="45" s="1"/>
  <c r="C1055" i="45"/>
  <c r="M1054" i="45"/>
  <c r="L1054" i="45"/>
  <c r="J1054" i="45"/>
  <c r="I1054" i="45"/>
  <c r="G1054" i="45"/>
  <c r="F1054" i="45"/>
  <c r="K1053" i="45"/>
  <c r="H1053" i="45"/>
  <c r="E1053" i="45"/>
  <c r="D1053" i="45"/>
  <c r="C1053" i="45"/>
  <c r="B1053" i="45"/>
  <c r="K1052" i="45"/>
  <c r="K1054" i="45" s="1"/>
  <c r="H1052" i="45"/>
  <c r="H1054" i="45" s="1"/>
  <c r="E1052" i="45"/>
  <c r="E1054" i="45" s="1"/>
  <c r="D1052" i="45"/>
  <c r="D1054" i="45" s="1"/>
  <c r="C1052" i="45"/>
  <c r="C1054" i="45" s="1"/>
  <c r="B1052" i="45"/>
  <c r="B1054" i="45" s="1"/>
  <c r="M1051" i="45"/>
  <c r="L1051" i="45"/>
  <c r="J1051" i="45"/>
  <c r="I1051" i="45"/>
  <c r="G1051" i="45"/>
  <c r="F1051" i="45"/>
  <c r="K1050" i="45"/>
  <c r="H1050" i="45"/>
  <c r="E1050" i="45"/>
  <c r="D1050" i="45"/>
  <c r="C1050" i="45"/>
  <c r="B1050" i="45" s="1"/>
  <c r="K1049" i="45"/>
  <c r="H1049" i="45"/>
  <c r="H1051" i="45" s="1"/>
  <c r="E1049" i="45"/>
  <c r="D1049" i="45"/>
  <c r="D1051" i="45" s="1"/>
  <c r="C1049" i="45"/>
  <c r="M1048" i="45"/>
  <c r="L1048" i="45"/>
  <c r="J1048" i="45"/>
  <c r="I1048" i="45"/>
  <c r="G1048" i="45"/>
  <c r="F1048" i="45"/>
  <c r="K1047" i="45"/>
  <c r="H1047" i="45"/>
  <c r="E1047" i="45"/>
  <c r="D1047" i="45"/>
  <c r="C1047" i="45"/>
  <c r="B1047" i="45"/>
  <c r="K1046" i="45"/>
  <c r="K1048" i="45" s="1"/>
  <c r="H1046" i="45"/>
  <c r="H1048" i="45" s="1"/>
  <c r="E1046" i="45"/>
  <c r="E1048" i="45" s="1"/>
  <c r="D1046" i="45"/>
  <c r="D1048" i="45" s="1"/>
  <c r="C1046" i="45"/>
  <c r="C1048" i="45" s="1"/>
  <c r="B1046" i="45"/>
  <c r="B1048" i="45" s="1"/>
  <c r="M1045" i="45"/>
  <c r="L1045" i="45"/>
  <c r="J1045" i="45"/>
  <c r="I1045" i="45"/>
  <c r="G1045" i="45"/>
  <c r="F1045" i="45"/>
  <c r="K1044" i="45"/>
  <c r="H1044" i="45"/>
  <c r="E1044" i="45"/>
  <c r="D1044" i="45"/>
  <c r="C1044" i="45"/>
  <c r="B1044" i="45"/>
  <c r="K1043" i="45"/>
  <c r="K1045" i="45" s="1"/>
  <c r="H1043" i="45"/>
  <c r="H1045" i="45" s="1"/>
  <c r="E1043" i="45"/>
  <c r="E1045" i="45" s="1"/>
  <c r="D1043" i="45"/>
  <c r="D1045" i="45" s="1"/>
  <c r="C1043" i="45"/>
  <c r="C1045" i="45" s="1"/>
  <c r="B1043" i="45"/>
  <c r="B1045" i="45" s="1"/>
  <c r="M1042" i="45"/>
  <c r="L1042" i="45"/>
  <c r="J1042" i="45"/>
  <c r="I1042" i="45"/>
  <c r="G1042" i="45"/>
  <c r="F1042" i="45"/>
  <c r="K1041" i="45"/>
  <c r="H1041" i="45"/>
  <c r="E1041" i="45"/>
  <c r="D1041" i="45"/>
  <c r="C1041" i="45"/>
  <c r="B1041" i="45" s="1"/>
  <c r="K1040" i="45"/>
  <c r="K1042" i="45" s="1"/>
  <c r="H1040" i="45"/>
  <c r="H1042" i="45" s="1"/>
  <c r="E1040" i="45"/>
  <c r="E1042" i="45" s="1"/>
  <c r="D1040" i="45"/>
  <c r="D1042" i="45" s="1"/>
  <c r="C1040" i="45"/>
  <c r="M1039" i="45"/>
  <c r="L1039" i="45"/>
  <c r="J1039" i="45"/>
  <c r="I1039" i="45"/>
  <c r="G1039" i="45"/>
  <c r="F1039" i="45"/>
  <c r="K1038" i="45"/>
  <c r="H1038" i="45"/>
  <c r="E1038" i="45"/>
  <c r="D1038" i="45"/>
  <c r="C1038" i="45"/>
  <c r="B1038" i="45" s="1"/>
  <c r="K1037" i="45"/>
  <c r="K1039" i="45" s="1"/>
  <c r="H1037" i="45"/>
  <c r="H1039" i="45" s="1"/>
  <c r="E1037" i="45"/>
  <c r="E1039" i="45" s="1"/>
  <c r="D1037" i="45"/>
  <c r="D1039" i="45" s="1"/>
  <c r="C1037" i="45"/>
  <c r="M1036" i="45"/>
  <c r="L1036" i="45"/>
  <c r="J1036" i="45"/>
  <c r="I1036" i="45"/>
  <c r="G1036" i="45"/>
  <c r="F1036" i="45"/>
  <c r="K1035" i="45"/>
  <c r="H1035" i="45"/>
  <c r="E1035" i="45"/>
  <c r="D1035" i="45"/>
  <c r="C1035" i="45"/>
  <c r="B1035" i="45"/>
  <c r="K1034" i="45"/>
  <c r="K1036" i="45" s="1"/>
  <c r="H1034" i="45"/>
  <c r="H1036" i="45" s="1"/>
  <c r="E1034" i="45"/>
  <c r="E1036" i="45" s="1"/>
  <c r="D1034" i="45"/>
  <c r="D1036" i="45" s="1"/>
  <c r="C1034" i="45"/>
  <c r="C1036" i="45" s="1"/>
  <c r="B1034" i="45"/>
  <c r="B1036" i="45" s="1"/>
  <c r="M1033" i="45"/>
  <c r="L1033" i="45"/>
  <c r="J1033" i="45"/>
  <c r="I1033" i="45"/>
  <c r="G1033" i="45"/>
  <c r="F1033" i="45"/>
  <c r="K1032" i="45"/>
  <c r="H1032" i="45"/>
  <c r="E1032" i="45"/>
  <c r="D1032" i="45"/>
  <c r="C1032" i="45"/>
  <c r="B1032" i="45"/>
  <c r="K1031" i="45"/>
  <c r="K1033" i="45" s="1"/>
  <c r="H1031" i="45"/>
  <c r="H1033" i="45" s="1"/>
  <c r="E1031" i="45"/>
  <c r="E1033" i="45" s="1"/>
  <c r="D1031" i="45"/>
  <c r="D1033" i="45" s="1"/>
  <c r="C1031" i="45"/>
  <c r="C1033" i="45" s="1"/>
  <c r="B1031" i="45"/>
  <c r="B1033" i="45" s="1"/>
  <c r="M1030" i="45"/>
  <c r="L1030" i="45"/>
  <c r="J1030" i="45"/>
  <c r="I1030" i="45"/>
  <c r="G1030" i="45"/>
  <c r="F1030" i="45"/>
  <c r="K1029" i="45"/>
  <c r="K1161" i="45" s="1"/>
  <c r="H1029" i="45"/>
  <c r="E1029" i="45"/>
  <c r="E1161" i="45" s="1"/>
  <c r="D1029" i="45"/>
  <c r="C1029" i="45"/>
  <c r="K1028" i="45"/>
  <c r="H1028" i="45"/>
  <c r="E1028" i="45"/>
  <c r="D1028" i="45"/>
  <c r="C1028" i="45"/>
  <c r="M1023" i="45"/>
  <c r="L1023" i="45"/>
  <c r="J1023" i="45"/>
  <c r="I1023" i="45"/>
  <c r="G1023" i="45"/>
  <c r="F1023" i="45"/>
  <c r="M1022" i="45"/>
  <c r="L1022" i="45"/>
  <c r="J1022" i="45"/>
  <c r="I1022" i="45"/>
  <c r="G1022" i="45"/>
  <c r="F1022" i="45"/>
  <c r="M1021" i="45"/>
  <c r="L1021" i="45"/>
  <c r="J1021" i="45"/>
  <c r="I1021" i="45"/>
  <c r="G1021" i="45"/>
  <c r="F1021" i="45"/>
  <c r="K1020" i="45"/>
  <c r="H1020" i="45"/>
  <c r="E1020" i="45"/>
  <c r="D1020" i="45"/>
  <c r="C1020" i="45"/>
  <c r="B1020" i="45" s="1"/>
  <c r="K1019" i="45"/>
  <c r="H1019" i="45"/>
  <c r="H1021" i="45" s="1"/>
  <c r="E1019" i="45"/>
  <c r="D1019" i="45"/>
  <c r="D1021" i="45" s="1"/>
  <c r="C1019" i="45"/>
  <c r="M1018" i="45"/>
  <c r="L1018" i="45"/>
  <c r="J1018" i="45"/>
  <c r="I1018" i="45"/>
  <c r="G1018" i="45"/>
  <c r="F1018" i="45"/>
  <c r="K1017" i="45"/>
  <c r="H1017" i="45"/>
  <c r="E1017" i="45"/>
  <c r="D1017" i="45"/>
  <c r="C1017" i="45"/>
  <c r="B1017" i="45"/>
  <c r="K1016" i="45"/>
  <c r="K1018" i="45" s="1"/>
  <c r="H1016" i="45"/>
  <c r="H1018" i="45" s="1"/>
  <c r="E1016" i="45"/>
  <c r="E1018" i="45" s="1"/>
  <c r="D1016" i="45"/>
  <c r="D1018" i="45" s="1"/>
  <c r="C1016" i="45"/>
  <c r="C1018" i="45" s="1"/>
  <c r="B1016" i="45"/>
  <c r="B1018" i="45" s="1"/>
  <c r="M1015" i="45"/>
  <c r="L1015" i="45"/>
  <c r="J1015" i="45"/>
  <c r="I1015" i="45"/>
  <c r="G1015" i="45"/>
  <c r="F1015" i="45"/>
  <c r="K1014" i="45"/>
  <c r="H1014" i="45"/>
  <c r="E1014" i="45"/>
  <c r="D1014" i="45"/>
  <c r="C1014" i="45"/>
  <c r="B1014" i="45"/>
  <c r="K1013" i="45"/>
  <c r="K1015" i="45" s="1"/>
  <c r="H1013" i="45"/>
  <c r="H1015" i="45" s="1"/>
  <c r="E1013" i="45"/>
  <c r="E1015" i="45" s="1"/>
  <c r="D1013" i="45"/>
  <c r="D1015" i="45" s="1"/>
  <c r="C1013" i="45"/>
  <c r="C1015" i="45" s="1"/>
  <c r="B1013" i="45"/>
  <c r="B1015" i="45" s="1"/>
  <c r="M1012" i="45"/>
  <c r="L1012" i="45"/>
  <c r="J1012" i="45"/>
  <c r="I1012" i="45"/>
  <c r="G1012" i="45"/>
  <c r="F1012" i="45"/>
  <c r="K1011" i="45"/>
  <c r="H1011" i="45"/>
  <c r="E1011" i="45"/>
  <c r="D1011" i="45"/>
  <c r="C1011" i="45"/>
  <c r="B1011" i="45" s="1"/>
  <c r="K1010" i="45"/>
  <c r="K1012" i="45" s="1"/>
  <c r="H1010" i="45"/>
  <c r="H1012" i="45" s="1"/>
  <c r="E1010" i="45"/>
  <c r="E1012" i="45" s="1"/>
  <c r="D1010" i="45"/>
  <c r="D1012" i="45" s="1"/>
  <c r="C1010" i="45"/>
  <c r="M1009" i="45"/>
  <c r="L1009" i="45"/>
  <c r="J1009" i="45"/>
  <c r="I1009" i="45"/>
  <c r="G1009" i="45"/>
  <c r="F1009" i="45"/>
  <c r="K1008" i="45"/>
  <c r="H1008" i="45"/>
  <c r="E1008" i="45"/>
  <c r="D1008" i="45"/>
  <c r="C1008" i="45"/>
  <c r="B1008" i="45" s="1"/>
  <c r="K1007" i="45"/>
  <c r="K1009" i="45" s="1"/>
  <c r="H1007" i="45"/>
  <c r="H1009" i="45" s="1"/>
  <c r="E1007" i="45"/>
  <c r="E1009" i="45" s="1"/>
  <c r="D1007" i="45"/>
  <c r="D1009" i="45" s="1"/>
  <c r="C1007" i="45"/>
  <c r="M1006" i="45"/>
  <c r="L1006" i="45"/>
  <c r="J1006" i="45"/>
  <c r="I1006" i="45"/>
  <c r="G1006" i="45"/>
  <c r="F1006" i="45"/>
  <c r="K1005" i="45"/>
  <c r="H1005" i="45"/>
  <c r="E1005" i="45"/>
  <c r="D1005" i="45"/>
  <c r="C1005" i="45"/>
  <c r="B1005" i="45"/>
  <c r="K1004" i="45"/>
  <c r="H1004" i="45"/>
  <c r="E1004" i="45"/>
  <c r="D1004" i="45"/>
  <c r="C1004" i="45"/>
  <c r="B1004" i="45"/>
  <c r="M999" i="45"/>
  <c r="L999" i="45"/>
  <c r="J999" i="45"/>
  <c r="I999" i="45"/>
  <c r="G999" i="45"/>
  <c r="F999" i="45"/>
  <c r="M998" i="45"/>
  <c r="L998" i="45"/>
  <c r="J998" i="45"/>
  <c r="I998" i="45"/>
  <c r="G998" i="45"/>
  <c r="F998" i="45"/>
  <c r="M997" i="45"/>
  <c r="L997" i="45"/>
  <c r="J997" i="45"/>
  <c r="I997" i="45"/>
  <c r="G997" i="45"/>
  <c r="F997" i="45"/>
  <c r="K996" i="45"/>
  <c r="H996" i="45"/>
  <c r="E996" i="45"/>
  <c r="D996" i="45"/>
  <c r="C996" i="45"/>
  <c r="B996" i="45"/>
  <c r="K995" i="45"/>
  <c r="K997" i="45" s="1"/>
  <c r="H995" i="45"/>
  <c r="H997" i="45" s="1"/>
  <c r="E995" i="45"/>
  <c r="E997" i="45" s="1"/>
  <c r="D995" i="45"/>
  <c r="D997" i="45" s="1"/>
  <c r="C995" i="45"/>
  <c r="C997" i="45" s="1"/>
  <c r="B995" i="45"/>
  <c r="B997" i="45" s="1"/>
  <c r="M994" i="45"/>
  <c r="L994" i="45"/>
  <c r="J994" i="45"/>
  <c r="I994" i="45"/>
  <c r="G994" i="45"/>
  <c r="F994" i="45"/>
  <c r="K993" i="45"/>
  <c r="H993" i="45"/>
  <c r="E993" i="45"/>
  <c r="D993" i="45"/>
  <c r="C993" i="45"/>
  <c r="B993" i="45" s="1"/>
  <c r="K992" i="45"/>
  <c r="H992" i="45"/>
  <c r="H994" i="45" s="1"/>
  <c r="E992" i="45"/>
  <c r="D992" i="45"/>
  <c r="D994" i="45" s="1"/>
  <c r="C992" i="45"/>
  <c r="M991" i="45"/>
  <c r="L991" i="45"/>
  <c r="J991" i="45"/>
  <c r="I991" i="45"/>
  <c r="G991" i="45"/>
  <c r="F991" i="45"/>
  <c r="K990" i="45"/>
  <c r="H990" i="45"/>
  <c r="E990" i="45"/>
  <c r="D990" i="45"/>
  <c r="C990" i="45"/>
  <c r="B990" i="45" s="1"/>
  <c r="K989" i="45"/>
  <c r="H989" i="45"/>
  <c r="H991" i="45" s="1"/>
  <c r="E989" i="45"/>
  <c r="D989" i="45"/>
  <c r="D991" i="45" s="1"/>
  <c r="C989" i="45"/>
  <c r="M988" i="45"/>
  <c r="L988" i="45"/>
  <c r="J988" i="45"/>
  <c r="I988" i="45"/>
  <c r="G988" i="45"/>
  <c r="F988" i="45"/>
  <c r="K987" i="45"/>
  <c r="H987" i="45"/>
  <c r="E987" i="45"/>
  <c r="D987" i="45"/>
  <c r="C987" i="45"/>
  <c r="B987" i="45"/>
  <c r="K986" i="45"/>
  <c r="K988" i="45" s="1"/>
  <c r="H986" i="45"/>
  <c r="H988" i="45" s="1"/>
  <c r="E986" i="45"/>
  <c r="E988" i="45" s="1"/>
  <c r="D986" i="45"/>
  <c r="D988" i="45" s="1"/>
  <c r="C986" i="45"/>
  <c r="C988" i="45" s="1"/>
  <c r="B986" i="45"/>
  <c r="B988" i="45" s="1"/>
  <c r="M985" i="45"/>
  <c r="L985" i="45"/>
  <c r="J985" i="45"/>
  <c r="I985" i="45"/>
  <c r="G985" i="45"/>
  <c r="F985" i="45"/>
  <c r="K984" i="45"/>
  <c r="H984" i="45"/>
  <c r="E984" i="45"/>
  <c r="D984" i="45"/>
  <c r="C984" i="45"/>
  <c r="B984" i="45"/>
  <c r="K983" i="45"/>
  <c r="K985" i="45" s="1"/>
  <c r="H983" i="45"/>
  <c r="H985" i="45" s="1"/>
  <c r="E983" i="45"/>
  <c r="E985" i="45" s="1"/>
  <c r="D983" i="45"/>
  <c r="D985" i="45" s="1"/>
  <c r="C983" i="45"/>
  <c r="C985" i="45" s="1"/>
  <c r="B983" i="45"/>
  <c r="B985" i="45" s="1"/>
  <c r="M982" i="45"/>
  <c r="L982" i="45"/>
  <c r="J982" i="45"/>
  <c r="I982" i="45"/>
  <c r="G982" i="45"/>
  <c r="F982" i="45"/>
  <c r="K981" i="45"/>
  <c r="H981" i="45"/>
  <c r="E981" i="45"/>
  <c r="D981" i="45"/>
  <c r="C981" i="45"/>
  <c r="B981" i="45" s="1"/>
  <c r="K980" i="45"/>
  <c r="K982" i="45" s="1"/>
  <c r="H980" i="45"/>
  <c r="H982" i="45" s="1"/>
  <c r="E980" i="45"/>
  <c r="E982" i="45" s="1"/>
  <c r="D980" i="45"/>
  <c r="D982" i="45" s="1"/>
  <c r="C980" i="45"/>
  <c r="C982" i="45" s="1"/>
  <c r="M979" i="45"/>
  <c r="L979" i="45"/>
  <c r="J979" i="45"/>
  <c r="I979" i="45"/>
  <c r="G979" i="45"/>
  <c r="F979" i="45"/>
  <c r="K978" i="45"/>
  <c r="H978" i="45"/>
  <c r="E978" i="45"/>
  <c r="D978" i="45"/>
  <c r="C978" i="45"/>
  <c r="B978" i="45" s="1"/>
  <c r="K977" i="45"/>
  <c r="K979" i="45" s="1"/>
  <c r="H977" i="45"/>
  <c r="H979" i="45" s="1"/>
  <c r="E977" i="45"/>
  <c r="E979" i="45" s="1"/>
  <c r="D977" i="45"/>
  <c r="D979" i="45" s="1"/>
  <c r="C977" i="45"/>
  <c r="C979" i="45" s="1"/>
  <c r="M976" i="45"/>
  <c r="L976" i="45"/>
  <c r="J976" i="45"/>
  <c r="I976" i="45"/>
  <c r="G976" i="45"/>
  <c r="F976" i="45"/>
  <c r="K975" i="45"/>
  <c r="H975" i="45"/>
  <c r="E975" i="45"/>
  <c r="D975" i="45"/>
  <c r="C975" i="45"/>
  <c r="B975" i="45"/>
  <c r="K974" i="45"/>
  <c r="K976" i="45" s="1"/>
  <c r="H974" i="45"/>
  <c r="H976" i="45" s="1"/>
  <c r="E974" i="45"/>
  <c r="E976" i="45" s="1"/>
  <c r="D974" i="45"/>
  <c r="D976" i="45" s="1"/>
  <c r="C974" i="45"/>
  <c r="C976" i="45" s="1"/>
  <c r="B974" i="45"/>
  <c r="B976" i="45" s="1"/>
  <c r="M973" i="45"/>
  <c r="L973" i="45"/>
  <c r="J973" i="45"/>
  <c r="I973" i="45"/>
  <c r="G973" i="45"/>
  <c r="F973" i="45"/>
  <c r="K972" i="45"/>
  <c r="H972" i="45"/>
  <c r="E972" i="45"/>
  <c r="D972" i="45"/>
  <c r="C972" i="45"/>
  <c r="B972" i="45"/>
  <c r="K971" i="45"/>
  <c r="K973" i="45" s="1"/>
  <c r="H971" i="45"/>
  <c r="H973" i="45" s="1"/>
  <c r="E971" i="45"/>
  <c r="E973" i="45" s="1"/>
  <c r="D971" i="45"/>
  <c r="D973" i="45" s="1"/>
  <c r="C971" i="45"/>
  <c r="C973" i="45" s="1"/>
  <c r="B971" i="45"/>
  <c r="B973" i="45" s="1"/>
  <c r="M970" i="45"/>
  <c r="L970" i="45"/>
  <c r="J970" i="45"/>
  <c r="I970" i="45"/>
  <c r="G970" i="45"/>
  <c r="F970" i="45"/>
  <c r="K969" i="45"/>
  <c r="H969" i="45"/>
  <c r="E969" i="45"/>
  <c r="D969" i="45"/>
  <c r="C969" i="45"/>
  <c r="B969" i="45" s="1"/>
  <c r="K968" i="45"/>
  <c r="K970" i="45" s="1"/>
  <c r="H968" i="45"/>
  <c r="H970" i="45" s="1"/>
  <c r="E968" i="45"/>
  <c r="E970" i="45" s="1"/>
  <c r="D968" i="45"/>
  <c r="D970" i="45" s="1"/>
  <c r="C968" i="45"/>
  <c r="C970" i="45" s="1"/>
  <c r="M967" i="45"/>
  <c r="L967" i="45"/>
  <c r="J967" i="45"/>
  <c r="I967" i="45"/>
  <c r="G967" i="45"/>
  <c r="F967" i="45"/>
  <c r="K966" i="45"/>
  <c r="H966" i="45"/>
  <c r="E966" i="45"/>
  <c r="D966" i="45"/>
  <c r="C966" i="45"/>
  <c r="B966" i="45" s="1"/>
  <c r="K965" i="45"/>
  <c r="K967" i="45" s="1"/>
  <c r="H965" i="45"/>
  <c r="H967" i="45" s="1"/>
  <c r="E965" i="45"/>
  <c r="E967" i="45" s="1"/>
  <c r="D965" i="45"/>
  <c r="D967" i="45" s="1"/>
  <c r="C965" i="45"/>
  <c r="C967" i="45" s="1"/>
  <c r="M964" i="45"/>
  <c r="L964" i="45"/>
  <c r="J964" i="45"/>
  <c r="I964" i="45"/>
  <c r="G964" i="45"/>
  <c r="F964" i="45"/>
  <c r="K963" i="45"/>
  <c r="H963" i="45"/>
  <c r="E963" i="45"/>
  <c r="D963" i="45"/>
  <c r="C963" i="45"/>
  <c r="B963" i="45"/>
  <c r="K962" i="45"/>
  <c r="K964" i="45" s="1"/>
  <c r="H962" i="45"/>
  <c r="H964" i="45" s="1"/>
  <c r="E962" i="45"/>
  <c r="E964" i="45" s="1"/>
  <c r="D962" i="45"/>
  <c r="D964" i="45" s="1"/>
  <c r="C962" i="45"/>
  <c r="C964" i="45" s="1"/>
  <c r="B962" i="45"/>
  <c r="B964" i="45" s="1"/>
  <c r="M961" i="45"/>
  <c r="L961" i="45"/>
  <c r="J961" i="45"/>
  <c r="I961" i="45"/>
  <c r="G961" i="45"/>
  <c r="F961" i="45"/>
  <c r="K960" i="45"/>
  <c r="H960" i="45"/>
  <c r="E960" i="45"/>
  <c r="D960" i="45"/>
  <c r="C960" i="45"/>
  <c r="B960" i="45"/>
  <c r="K959" i="45"/>
  <c r="K961" i="45" s="1"/>
  <c r="H959" i="45"/>
  <c r="H961" i="45" s="1"/>
  <c r="E959" i="45"/>
  <c r="E961" i="45" s="1"/>
  <c r="D959" i="45"/>
  <c r="D961" i="45" s="1"/>
  <c r="C959" i="45"/>
  <c r="C961" i="45" s="1"/>
  <c r="B959" i="45"/>
  <c r="B961" i="45" s="1"/>
  <c r="M958" i="45"/>
  <c r="L958" i="45"/>
  <c r="J958" i="45"/>
  <c r="I958" i="45"/>
  <c r="G958" i="45"/>
  <c r="F958" i="45"/>
  <c r="K957" i="45"/>
  <c r="H957" i="45"/>
  <c r="E957" i="45"/>
  <c r="D957" i="45"/>
  <c r="C957" i="45"/>
  <c r="B957" i="45" s="1"/>
  <c r="K956" i="45"/>
  <c r="K958" i="45" s="1"/>
  <c r="H956" i="45"/>
  <c r="H958" i="45" s="1"/>
  <c r="E956" i="45"/>
  <c r="E958" i="45" s="1"/>
  <c r="D956" i="45"/>
  <c r="D958" i="45" s="1"/>
  <c r="C956" i="45"/>
  <c r="C958" i="45" s="1"/>
  <c r="M955" i="45"/>
  <c r="L955" i="45"/>
  <c r="J955" i="45"/>
  <c r="I955" i="45"/>
  <c r="G955" i="45"/>
  <c r="F955" i="45"/>
  <c r="K954" i="45"/>
  <c r="H954" i="45"/>
  <c r="E954" i="45"/>
  <c r="D954" i="45"/>
  <c r="C954" i="45"/>
  <c r="B954" i="45" s="1"/>
  <c r="K953" i="45"/>
  <c r="K955" i="45" s="1"/>
  <c r="H953" i="45"/>
  <c r="H955" i="45" s="1"/>
  <c r="E953" i="45"/>
  <c r="E955" i="45" s="1"/>
  <c r="D953" i="45"/>
  <c r="D955" i="45" s="1"/>
  <c r="C953" i="45"/>
  <c r="C955" i="45" s="1"/>
  <c r="M952" i="45"/>
  <c r="L952" i="45"/>
  <c r="J952" i="45"/>
  <c r="I952" i="45"/>
  <c r="G952" i="45"/>
  <c r="F952" i="45"/>
  <c r="K951" i="45"/>
  <c r="H951" i="45"/>
  <c r="E951" i="45"/>
  <c r="D951" i="45"/>
  <c r="C951" i="45"/>
  <c r="B951" i="45"/>
  <c r="K950" i="45"/>
  <c r="K952" i="45" s="1"/>
  <c r="H950" i="45"/>
  <c r="H952" i="45" s="1"/>
  <c r="E950" i="45"/>
  <c r="E952" i="45" s="1"/>
  <c r="D950" i="45"/>
  <c r="D952" i="45" s="1"/>
  <c r="C950" i="45"/>
  <c r="C952" i="45" s="1"/>
  <c r="B950" i="45"/>
  <c r="B952" i="45" s="1"/>
  <c r="M949" i="45"/>
  <c r="L949" i="45"/>
  <c r="J949" i="45"/>
  <c r="I949" i="45"/>
  <c r="G949" i="45"/>
  <c r="F949" i="45"/>
  <c r="K948" i="45"/>
  <c r="H948" i="45"/>
  <c r="E948" i="45"/>
  <c r="D948" i="45"/>
  <c r="C948" i="45"/>
  <c r="B948" i="45"/>
  <c r="K947" i="45"/>
  <c r="K949" i="45" s="1"/>
  <c r="H947" i="45"/>
  <c r="H949" i="45" s="1"/>
  <c r="E947" i="45"/>
  <c r="E949" i="45" s="1"/>
  <c r="D947" i="45"/>
  <c r="D949" i="45" s="1"/>
  <c r="C947" i="45"/>
  <c r="C949" i="45" s="1"/>
  <c r="B947" i="45"/>
  <c r="B949" i="45" s="1"/>
  <c r="M946" i="45"/>
  <c r="L946" i="45"/>
  <c r="J946" i="45"/>
  <c r="I946" i="45"/>
  <c r="G946" i="45"/>
  <c r="F946" i="45"/>
  <c r="K945" i="45"/>
  <c r="H945" i="45"/>
  <c r="E945" i="45"/>
  <c r="D945" i="45"/>
  <c r="C945" i="45"/>
  <c r="B945" i="45" s="1"/>
  <c r="K944" i="45"/>
  <c r="K946" i="45" s="1"/>
  <c r="H944" i="45"/>
  <c r="H946" i="45" s="1"/>
  <c r="E944" i="45"/>
  <c r="E946" i="45" s="1"/>
  <c r="D944" i="45"/>
  <c r="D946" i="45" s="1"/>
  <c r="C944" i="45"/>
  <c r="C946" i="45" s="1"/>
  <c r="M943" i="45"/>
  <c r="L943" i="45"/>
  <c r="J943" i="45"/>
  <c r="I943" i="45"/>
  <c r="G943" i="45"/>
  <c r="F943" i="45"/>
  <c r="K942" i="45"/>
  <c r="H942" i="45"/>
  <c r="E942" i="45"/>
  <c r="D942" i="45"/>
  <c r="C942" i="45"/>
  <c r="B942" i="45" s="1"/>
  <c r="K941" i="45"/>
  <c r="K943" i="45" s="1"/>
  <c r="H941" i="45"/>
  <c r="H943" i="45" s="1"/>
  <c r="E941" i="45"/>
  <c r="E943" i="45" s="1"/>
  <c r="D941" i="45"/>
  <c r="D943" i="45" s="1"/>
  <c r="C941" i="45"/>
  <c r="C943" i="45" s="1"/>
  <c r="M940" i="45"/>
  <c r="L940" i="45"/>
  <c r="J940" i="45"/>
  <c r="I940" i="45"/>
  <c r="G940" i="45"/>
  <c r="F940" i="45"/>
  <c r="K939" i="45"/>
  <c r="H939" i="45"/>
  <c r="E939" i="45"/>
  <c r="D939" i="45"/>
  <c r="C939" i="45"/>
  <c r="B939" i="45"/>
  <c r="K938" i="45"/>
  <c r="K940" i="45" s="1"/>
  <c r="H938" i="45"/>
  <c r="H940" i="45" s="1"/>
  <c r="E938" i="45"/>
  <c r="E940" i="45" s="1"/>
  <c r="D938" i="45"/>
  <c r="D940" i="45" s="1"/>
  <c r="C938" i="45"/>
  <c r="C940" i="45" s="1"/>
  <c r="B938" i="45"/>
  <c r="B940" i="45" s="1"/>
  <c r="M937" i="45"/>
  <c r="L937" i="45"/>
  <c r="J937" i="45"/>
  <c r="I937" i="45"/>
  <c r="G937" i="45"/>
  <c r="F937" i="45"/>
  <c r="K936" i="45"/>
  <c r="H936" i="45"/>
  <c r="E936" i="45"/>
  <c r="D936" i="45"/>
  <c r="C936" i="45"/>
  <c r="B936" i="45"/>
  <c r="K935" i="45"/>
  <c r="K937" i="45" s="1"/>
  <c r="H935" i="45"/>
  <c r="H937" i="45" s="1"/>
  <c r="E935" i="45"/>
  <c r="E937" i="45" s="1"/>
  <c r="D935" i="45"/>
  <c r="D937" i="45" s="1"/>
  <c r="C935" i="45"/>
  <c r="C937" i="45" s="1"/>
  <c r="B935" i="45"/>
  <c r="B937" i="45" s="1"/>
  <c r="M934" i="45"/>
  <c r="L934" i="45"/>
  <c r="J934" i="45"/>
  <c r="I934" i="45"/>
  <c r="G934" i="45"/>
  <c r="F934" i="45"/>
  <c r="K933" i="45"/>
  <c r="H933" i="45"/>
  <c r="E933" i="45"/>
  <c r="D933" i="45"/>
  <c r="C933" i="45"/>
  <c r="B933" i="45" s="1"/>
  <c r="K932" i="45"/>
  <c r="K934" i="45" s="1"/>
  <c r="H932" i="45"/>
  <c r="H934" i="45" s="1"/>
  <c r="E932" i="45"/>
  <c r="E934" i="45" s="1"/>
  <c r="D932" i="45"/>
  <c r="D934" i="45" s="1"/>
  <c r="C932" i="45"/>
  <c r="C934" i="45" s="1"/>
  <c r="M931" i="45"/>
  <c r="M1000" i="45" s="1"/>
  <c r="L931" i="45"/>
  <c r="J931" i="45"/>
  <c r="J1000" i="45" s="1"/>
  <c r="I931" i="45"/>
  <c r="G931" i="45"/>
  <c r="G1000" i="45" s="1"/>
  <c r="F931" i="45"/>
  <c r="K930" i="45"/>
  <c r="K999" i="45" s="1"/>
  <c r="H930" i="45"/>
  <c r="E930" i="45"/>
  <c r="E999" i="45" s="1"/>
  <c r="D930" i="45"/>
  <c r="C930" i="45"/>
  <c r="C999" i="45" s="1"/>
  <c r="K929" i="45"/>
  <c r="K998" i="45" s="1"/>
  <c r="H929" i="45"/>
  <c r="E929" i="45"/>
  <c r="E998" i="45" s="1"/>
  <c r="D929" i="45"/>
  <c r="D931" i="45" s="1"/>
  <c r="C929" i="45"/>
  <c r="C998" i="45" s="1"/>
  <c r="M924" i="45"/>
  <c r="L924" i="45"/>
  <c r="J924" i="45"/>
  <c r="I924" i="45"/>
  <c r="G924" i="45"/>
  <c r="F924" i="45"/>
  <c r="M923" i="45"/>
  <c r="L923" i="45"/>
  <c r="J923" i="45"/>
  <c r="I923" i="45"/>
  <c r="G923" i="45"/>
  <c r="F923" i="45"/>
  <c r="M922" i="45"/>
  <c r="L922" i="45"/>
  <c r="J922" i="45"/>
  <c r="I922" i="45"/>
  <c r="G922" i="45"/>
  <c r="F922" i="45"/>
  <c r="K921" i="45"/>
  <c r="H921" i="45"/>
  <c r="E921" i="45"/>
  <c r="D921" i="45"/>
  <c r="C921" i="45"/>
  <c r="B921" i="45"/>
  <c r="K920" i="45"/>
  <c r="K922" i="45" s="1"/>
  <c r="H920" i="45"/>
  <c r="H922" i="45" s="1"/>
  <c r="E920" i="45"/>
  <c r="E922" i="45" s="1"/>
  <c r="D920" i="45"/>
  <c r="D922" i="45" s="1"/>
  <c r="C920" i="45"/>
  <c r="C922" i="45" s="1"/>
  <c r="B920" i="45"/>
  <c r="B922" i="45" s="1"/>
  <c r="M919" i="45"/>
  <c r="L919" i="45"/>
  <c r="J919" i="45"/>
  <c r="I919" i="45"/>
  <c r="G919" i="45"/>
  <c r="F919" i="45"/>
  <c r="K918" i="45"/>
  <c r="H918" i="45"/>
  <c r="E918" i="45"/>
  <c r="D918" i="45"/>
  <c r="C918" i="45"/>
  <c r="B918" i="45"/>
  <c r="K917" i="45"/>
  <c r="K919" i="45" s="1"/>
  <c r="H917" i="45"/>
  <c r="H919" i="45" s="1"/>
  <c r="E917" i="45"/>
  <c r="E919" i="45" s="1"/>
  <c r="D917" i="45"/>
  <c r="D919" i="45" s="1"/>
  <c r="C917" i="45"/>
  <c r="C919" i="45" s="1"/>
  <c r="B917" i="45"/>
  <c r="B919" i="45" s="1"/>
  <c r="M916" i="45"/>
  <c r="L916" i="45"/>
  <c r="J916" i="45"/>
  <c r="I916" i="45"/>
  <c r="G916" i="45"/>
  <c r="F916" i="45"/>
  <c r="K915" i="45"/>
  <c r="H915" i="45"/>
  <c r="E915" i="45"/>
  <c r="D915" i="45"/>
  <c r="C915" i="45"/>
  <c r="B915" i="45" s="1"/>
  <c r="K914" i="45"/>
  <c r="K916" i="45" s="1"/>
  <c r="H914" i="45"/>
  <c r="H916" i="45" s="1"/>
  <c r="E914" i="45"/>
  <c r="E916" i="45" s="1"/>
  <c r="D914" i="45"/>
  <c r="D916" i="45" s="1"/>
  <c r="C914" i="45"/>
  <c r="C916" i="45" s="1"/>
  <c r="M913" i="45"/>
  <c r="M925" i="45" s="1"/>
  <c r="L913" i="45"/>
  <c r="J913" i="45"/>
  <c r="J925" i="45" s="1"/>
  <c r="I913" i="45"/>
  <c r="G913" i="45"/>
  <c r="G925" i="45" s="1"/>
  <c r="F913" i="45"/>
  <c r="K912" i="45"/>
  <c r="K924" i="45" s="1"/>
  <c r="H912" i="45"/>
  <c r="E912" i="45"/>
  <c r="E924" i="45" s="1"/>
  <c r="D912" i="45"/>
  <c r="C912" i="45"/>
  <c r="C924" i="45" s="1"/>
  <c r="K911" i="45"/>
  <c r="K923" i="45" s="1"/>
  <c r="H911" i="45"/>
  <c r="E911" i="45"/>
  <c r="E923" i="45" s="1"/>
  <c r="D911" i="45"/>
  <c r="C911" i="45"/>
  <c r="C923" i="45" s="1"/>
  <c r="M906" i="45"/>
  <c r="L906" i="45"/>
  <c r="J906" i="45"/>
  <c r="I906" i="45"/>
  <c r="G906" i="45"/>
  <c r="F906" i="45"/>
  <c r="M905" i="45"/>
  <c r="L905" i="45"/>
  <c r="J905" i="45"/>
  <c r="I905" i="45"/>
  <c r="G905" i="45"/>
  <c r="F905" i="45"/>
  <c r="M904" i="45"/>
  <c r="L904" i="45"/>
  <c r="J904" i="45"/>
  <c r="I904" i="45"/>
  <c r="G904" i="45"/>
  <c r="F904" i="45"/>
  <c r="K903" i="45"/>
  <c r="H903" i="45"/>
  <c r="E903" i="45"/>
  <c r="D903" i="45"/>
  <c r="C903" i="45"/>
  <c r="B903" i="45"/>
  <c r="K902" i="45"/>
  <c r="K904" i="45" s="1"/>
  <c r="H902" i="45"/>
  <c r="H904" i="45" s="1"/>
  <c r="E902" i="45"/>
  <c r="E904" i="45" s="1"/>
  <c r="D902" i="45"/>
  <c r="D904" i="45" s="1"/>
  <c r="C902" i="45"/>
  <c r="C904" i="45" s="1"/>
  <c r="B902" i="45"/>
  <c r="B904" i="45" s="1"/>
  <c r="M901" i="45"/>
  <c r="L901" i="45"/>
  <c r="J901" i="45"/>
  <c r="I901" i="45"/>
  <c r="G901" i="45"/>
  <c r="F901" i="45"/>
  <c r="K900" i="45"/>
  <c r="H900" i="45"/>
  <c r="E900" i="45"/>
  <c r="D900" i="45"/>
  <c r="C900" i="45"/>
  <c r="B900" i="45"/>
  <c r="K899" i="45"/>
  <c r="K901" i="45" s="1"/>
  <c r="H899" i="45"/>
  <c r="H901" i="45" s="1"/>
  <c r="E899" i="45"/>
  <c r="E901" i="45" s="1"/>
  <c r="D899" i="45"/>
  <c r="D901" i="45" s="1"/>
  <c r="C899" i="45"/>
  <c r="C901" i="45" s="1"/>
  <c r="B899" i="45"/>
  <c r="B901" i="45" s="1"/>
  <c r="M898" i="45"/>
  <c r="L898" i="45"/>
  <c r="J898" i="45"/>
  <c r="I898" i="45"/>
  <c r="G898" i="45"/>
  <c r="F898" i="45"/>
  <c r="K897" i="45"/>
  <c r="H897" i="45"/>
  <c r="E897" i="45"/>
  <c r="D897" i="45"/>
  <c r="C897" i="45"/>
  <c r="B897" i="45" s="1"/>
  <c r="K896" i="45"/>
  <c r="K898" i="45" s="1"/>
  <c r="H896" i="45"/>
  <c r="H898" i="45" s="1"/>
  <c r="E896" i="45"/>
  <c r="E898" i="45" s="1"/>
  <c r="D896" i="45"/>
  <c r="D898" i="45" s="1"/>
  <c r="C896" i="45"/>
  <c r="C898" i="45" s="1"/>
  <c r="M895" i="45"/>
  <c r="L895" i="45"/>
  <c r="J895" i="45"/>
  <c r="I895" i="45"/>
  <c r="G895" i="45"/>
  <c r="F895" i="45"/>
  <c r="K894" i="45"/>
  <c r="H894" i="45"/>
  <c r="E894" i="45"/>
  <c r="D894" i="45"/>
  <c r="C894" i="45"/>
  <c r="B894" i="45" s="1"/>
  <c r="K893" i="45"/>
  <c r="K895" i="45" s="1"/>
  <c r="H893" i="45"/>
  <c r="H895" i="45" s="1"/>
  <c r="E893" i="45"/>
  <c r="E895" i="45" s="1"/>
  <c r="D893" i="45"/>
  <c r="D895" i="45" s="1"/>
  <c r="C893" i="45"/>
  <c r="C895" i="45" s="1"/>
  <c r="M892" i="45"/>
  <c r="L892" i="45"/>
  <c r="J892" i="45"/>
  <c r="I892" i="45"/>
  <c r="G892" i="45"/>
  <c r="F892" i="45"/>
  <c r="K891" i="45"/>
  <c r="H891" i="45"/>
  <c r="E891" i="45"/>
  <c r="D891" i="45"/>
  <c r="C891" i="45"/>
  <c r="B891" i="45"/>
  <c r="K890" i="45"/>
  <c r="K892" i="45" s="1"/>
  <c r="H890" i="45"/>
  <c r="H892" i="45" s="1"/>
  <c r="E890" i="45"/>
  <c r="E892" i="45" s="1"/>
  <c r="D890" i="45"/>
  <c r="D892" i="45" s="1"/>
  <c r="C890" i="45"/>
  <c r="C892" i="45" s="1"/>
  <c r="B890" i="45"/>
  <c r="B892" i="45" s="1"/>
  <c r="M889" i="45"/>
  <c r="L889" i="45"/>
  <c r="J889" i="45"/>
  <c r="I889" i="45"/>
  <c r="G889" i="45"/>
  <c r="F889" i="45"/>
  <c r="K888" i="45"/>
  <c r="H888" i="45"/>
  <c r="E888" i="45"/>
  <c r="D888" i="45"/>
  <c r="C888" i="45"/>
  <c r="B888" i="45"/>
  <c r="K887" i="45"/>
  <c r="K889" i="45" s="1"/>
  <c r="H887" i="45"/>
  <c r="H889" i="45" s="1"/>
  <c r="E887" i="45"/>
  <c r="E889" i="45" s="1"/>
  <c r="D887" i="45"/>
  <c r="D889" i="45" s="1"/>
  <c r="C887" i="45"/>
  <c r="C889" i="45" s="1"/>
  <c r="B887" i="45"/>
  <c r="B889" i="45" s="1"/>
  <c r="M886" i="45"/>
  <c r="L886" i="45"/>
  <c r="J886" i="45"/>
  <c r="I886" i="45"/>
  <c r="G886" i="45"/>
  <c r="F886" i="45"/>
  <c r="K885" i="45"/>
  <c r="H885" i="45"/>
  <c r="E885" i="45"/>
  <c r="D885" i="45"/>
  <c r="C885" i="45"/>
  <c r="B885" i="45" s="1"/>
  <c r="K884" i="45"/>
  <c r="K886" i="45" s="1"/>
  <c r="H884" i="45"/>
  <c r="H886" i="45" s="1"/>
  <c r="E884" i="45"/>
  <c r="E886" i="45" s="1"/>
  <c r="D884" i="45"/>
  <c r="D886" i="45" s="1"/>
  <c r="C884" i="45"/>
  <c r="C886" i="45" s="1"/>
  <c r="M883" i="45"/>
  <c r="L883" i="45"/>
  <c r="J883" i="45"/>
  <c r="I883" i="45"/>
  <c r="G883" i="45"/>
  <c r="F883" i="45"/>
  <c r="K882" i="45"/>
  <c r="H882" i="45"/>
  <c r="E882" i="45"/>
  <c r="D882" i="45"/>
  <c r="C882" i="45"/>
  <c r="B882" i="45" s="1"/>
  <c r="K881" i="45"/>
  <c r="K883" i="45" s="1"/>
  <c r="H881" i="45"/>
  <c r="H883" i="45" s="1"/>
  <c r="E881" i="45"/>
  <c r="E883" i="45" s="1"/>
  <c r="D881" i="45"/>
  <c r="D883" i="45" s="1"/>
  <c r="C881" i="45"/>
  <c r="C883" i="45" s="1"/>
  <c r="M880" i="45"/>
  <c r="L880" i="45"/>
  <c r="J880" i="45"/>
  <c r="I880" i="45"/>
  <c r="G880" i="45"/>
  <c r="F880" i="45"/>
  <c r="K879" i="45"/>
  <c r="H879" i="45"/>
  <c r="E879" i="45"/>
  <c r="D879" i="45"/>
  <c r="C879" i="45"/>
  <c r="B879" i="45"/>
  <c r="K878" i="45"/>
  <c r="K880" i="45" s="1"/>
  <c r="H878" i="45"/>
  <c r="H880" i="45" s="1"/>
  <c r="E878" i="45"/>
  <c r="E880" i="45" s="1"/>
  <c r="D878" i="45"/>
  <c r="D880" i="45" s="1"/>
  <c r="C878" i="45"/>
  <c r="C880" i="45" s="1"/>
  <c r="B878" i="45"/>
  <c r="B880" i="45" s="1"/>
  <c r="M877" i="45"/>
  <c r="L877" i="45"/>
  <c r="L907" i="45" s="1"/>
  <c r="J877" i="45"/>
  <c r="I877" i="45"/>
  <c r="I907" i="45" s="1"/>
  <c r="G877" i="45"/>
  <c r="F877" i="45"/>
  <c r="F907" i="45" s="1"/>
  <c r="K876" i="45"/>
  <c r="H876" i="45"/>
  <c r="H906" i="45" s="1"/>
  <c r="E876" i="45"/>
  <c r="D876" i="45"/>
  <c r="D906" i="45" s="1"/>
  <c r="C876" i="45"/>
  <c r="B876" i="45"/>
  <c r="K875" i="45"/>
  <c r="H875" i="45"/>
  <c r="H905" i="45" s="1"/>
  <c r="E875" i="45"/>
  <c r="D875" i="45"/>
  <c r="D905" i="45" s="1"/>
  <c r="C875" i="45"/>
  <c r="B875" i="45"/>
  <c r="M870" i="45"/>
  <c r="L870" i="45"/>
  <c r="J870" i="45"/>
  <c r="I870" i="45"/>
  <c r="G870" i="45"/>
  <c r="F870" i="45"/>
  <c r="M869" i="45"/>
  <c r="L869" i="45"/>
  <c r="J869" i="45"/>
  <c r="I869" i="45"/>
  <c r="G869" i="45"/>
  <c r="F869" i="45"/>
  <c r="M868" i="45"/>
  <c r="L868" i="45"/>
  <c r="J868" i="45"/>
  <c r="I868" i="45"/>
  <c r="G868" i="45"/>
  <c r="F868" i="45"/>
  <c r="K867" i="45"/>
  <c r="H867" i="45"/>
  <c r="E867" i="45"/>
  <c r="D867" i="45"/>
  <c r="C867" i="45"/>
  <c r="B867" i="45" s="1"/>
  <c r="K866" i="45"/>
  <c r="K868" i="45" s="1"/>
  <c r="H866" i="45"/>
  <c r="H868" i="45" s="1"/>
  <c r="E866" i="45"/>
  <c r="E868" i="45" s="1"/>
  <c r="D866" i="45"/>
  <c r="D868" i="45" s="1"/>
  <c r="C866" i="45"/>
  <c r="C868" i="45" s="1"/>
  <c r="M865" i="45"/>
  <c r="L865" i="45"/>
  <c r="J865" i="45"/>
  <c r="I865" i="45"/>
  <c r="G865" i="45"/>
  <c r="F865" i="45"/>
  <c r="K864" i="45"/>
  <c r="H864" i="45"/>
  <c r="E864" i="45"/>
  <c r="D864" i="45"/>
  <c r="C864" i="45"/>
  <c r="B864" i="45" s="1"/>
  <c r="K863" i="45"/>
  <c r="K865" i="45" s="1"/>
  <c r="H863" i="45"/>
  <c r="H865" i="45" s="1"/>
  <c r="E863" i="45"/>
  <c r="E865" i="45" s="1"/>
  <c r="D863" i="45"/>
  <c r="D865" i="45" s="1"/>
  <c r="C863" i="45"/>
  <c r="C865" i="45" s="1"/>
  <c r="M862" i="45"/>
  <c r="L862" i="45"/>
  <c r="J862" i="45"/>
  <c r="I862" i="45"/>
  <c r="G862" i="45"/>
  <c r="F862" i="45"/>
  <c r="K861" i="45"/>
  <c r="H861" i="45"/>
  <c r="E861" i="45"/>
  <c r="D861" i="45"/>
  <c r="C861" i="45"/>
  <c r="B861" i="45"/>
  <c r="K860" i="45"/>
  <c r="K862" i="45" s="1"/>
  <c r="H860" i="45"/>
  <c r="H862" i="45" s="1"/>
  <c r="E860" i="45"/>
  <c r="E862" i="45" s="1"/>
  <c r="D860" i="45"/>
  <c r="D862" i="45" s="1"/>
  <c r="C860" i="45"/>
  <c r="C862" i="45" s="1"/>
  <c r="B860" i="45"/>
  <c r="B862" i="45" s="1"/>
  <c r="M859" i="45"/>
  <c r="L859" i="45"/>
  <c r="J859" i="45"/>
  <c r="I859" i="45"/>
  <c r="G859" i="45"/>
  <c r="F859" i="45"/>
  <c r="K858" i="45"/>
  <c r="H858" i="45"/>
  <c r="E858" i="45"/>
  <c r="D858" i="45"/>
  <c r="C858" i="45"/>
  <c r="B858" i="45"/>
  <c r="K857" i="45"/>
  <c r="K859" i="45" s="1"/>
  <c r="H857" i="45"/>
  <c r="H859" i="45" s="1"/>
  <c r="E857" i="45"/>
  <c r="E859" i="45" s="1"/>
  <c r="D857" i="45"/>
  <c r="D859" i="45" s="1"/>
  <c r="C857" i="45"/>
  <c r="C859" i="45" s="1"/>
  <c r="B857" i="45"/>
  <c r="B859" i="45" s="1"/>
  <c r="M856" i="45"/>
  <c r="L856" i="45"/>
  <c r="J856" i="45"/>
  <c r="I856" i="45"/>
  <c r="G856" i="45"/>
  <c r="F856" i="45"/>
  <c r="K855" i="45"/>
  <c r="H855" i="45"/>
  <c r="E855" i="45"/>
  <c r="D855" i="45"/>
  <c r="C855" i="45"/>
  <c r="B855" i="45" s="1"/>
  <c r="K854" i="45"/>
  <c r="K856" i="45" s="1"/>
  <c r="H854" i="45"/>
  <c r="H856" i="45" s="1"/>
  <c r="E854" i="45"/>
  <c r="E856" i="45" s="1"/>
  <c r="D854" i="45"/>
  <c r="D856" i="45" s="1"/>
  <c r="C854" i="45"/>
  <c r="C856" i="45" s="1"/>
  <c r="M853" i="45"/>
  <c r="L853" i="45"/>
  <c r="J853" i="45"/>
  <c r="I853" i="45"/>
  <c r="G853" i="45"/>
  <c r="F853" i="45"/>
  <c r="K852" i="45"/>
  <c r="H852" i="45"/>
  <c r="E852" i="45"/>
  <c r="D852" i="45"/>
  <c r="C852" i="45"/>
  <c r="B852" i="45" s="1"/>
  <c r="K851" i="45"/>
  <c r="K853" i="45" s="1"/>
  <c r="H851" i="45"/>
  <c r="H853" i="45" s="1"/>
  <c r="E851" i="45"/>
  <c r="E853" i="45" s="1"/>
  <c r="D851" i="45"/>
  <c r="D853" i="45" s="1"/>
  <c r="C851" i="45"/>
  <c r="C853" i="45" s="1"/>
  <c r="M850" i="45"/>
  <c r="L850" i="45"/>
  <c r="J850" i="45"/>
  <c r="I850" i="45"/>
  <c r="G850" i="45"/>
  <c r="F850" i="45"/>
  <c r="K849" i="45"/>
  <c r="H849" i="45"/>
  <c r="E849" i="45"/>
  <c r="D849" i="45"/>
  <c r="C849" i="45"/>
  <c r="B849" i="45"/>
  <c r="K848" i="45"/>
  <c r="K850" i="45" s="1"/>
  <c r="H848" i="45"/>
  <c r="H850" i="45" s="1"/>
  <c r="E848" i="45"/>
  <c r="E850" i="45" s="1"/>
  <c r="D848" i="45"/>
  <c r="D850" i="45" s="1"/>
  <c r="C848" i="45"/>
  <c r="C850" i="45" s="1"/>
  <c r="B848" i="45"/>
  <c r="B850" i="45" s="1"/>
  <c r="M847" i="45"/>
  <c r="L847" i="45"/>
  <c r="L871" i="45" s="1"/>
  <c r="J847" i="45"/>
  <c r="I847" i="45"/>
  <c r="I871" i="45" s="1"/>
  <c r="G847" i="45"/>
  <c r="F847" i="45"/>
  <c r="F871" i="45" s="1"/>
  <c r="K846" i="45"/>
  <c r="H846" i="45"/>
  <c r="H870" i="45" s="1"/>
  <c r="E846" i="45"/>
  <c r="D846" i="45"/>
  <c r="D870" i="45" s="1"/>
  <c r="C846" i="45"/>
  <c r="B846" i="45"/>
  <c r="K845" i="45"/>
  <c r="H845" i="45"/>
  <c r="H869" i="45" s="1"/>
  <c r="E845" i="45"/>
  <c r="D845" i="45"/>
  <c r="D869" i="45" s="1"/>
  <c r="C845" i="45"/>
  <c r="B845" i="45"/>
  <c r="M840" i="45"/>
  <c r="L840" i="45"/>
  <c r="J840" i="45"/>
  <c r="I840" i="45"/>
  <c r="G840" i="45"/>
  <c r="F840" i="45"/>
  <c r="M839" i="45"/>
  <c r="L839" i="45"/>
  <c r="J839" i="45"/>
  <c r="I839" i="45"/>
  <c r="G839" i="45"/>
  <c r="F839" i="45"/>
  <c r="M838" i="45"/>
  <c r="L838" i="45"/>
  <c r="J838" i="45"/>
  <c r="I838" i="45"/>
  <c r="G838" i="45"/>
  <c r="F838" i="45"/>
  <c r="K837" i="45"/>
  <c r="H837" i="45"/>
  <c r="E837" i="45"/>
  <c r="D837" i="45"/>
  <c r="C837" i="45"/>
  <c r="B837" i="45"/>
  <c r="K836" i="45"/>
  <c r="K838" i="45" s="1"/>
  <c r="H836" i="45"/>
  <c r="H838" i="45" s="1"/>
  <c r="E836" i="45"/>
  <c r="E838" i="45" s="1"/>
  <c r="D836" i="45"/>
  <c r="D838" i="45" s="1"/>
  <c r="C836" i="45"/>
  <c r="C838" i="45" s="1"/>
  <c r="B836" i="45"/>
  <c r="B838" i="45" s="1"/>
  <c r="M835" i="45"/>
  <c r="L835" i="45"/>
  <c r="J835" i="45"/>
  <c r="I835" i="45"/>
  <c r="G835" i="45"/>
  <c r="F835" i="45"/>
  <c r="K834" i="45"/>
  <c r="H834" i="45"/>
  <c r="E834" i="45"/>
  <c r="D834" i="45"/>
  <c r="C834" i="45"/>
  <c r="B834" i="45"/>
  <c r="K833" i="45"/>
  <c r="K835" i="45" s="1"/>
  <c r="H833" i="45"/>
  <c r="H835" i="45" s="1"/>
  <c r="E833" i="45"/>
  <c r="E835" i="45" s="1"/>
  <c r="D833" i="45"/>
  <c r="D835" i="45" s="1"/>
  <c r="C833" i="45"/>
  <c r="C835" i="45" s="1"/>
  <c r="B833" i="45"/>
  <c r="B835" i="45" s="1"/>
  <c r="M832" i="45"/>
  <c r="L832" i="45"/>
  <c r="J832" i="45"/>
  <c r="I832" i="45"/>
  <c r="G832" i="45"/>
  <c r="F832" i="45"/>
  <c r="K831" i="45"/>
  <c r="H831" i="45"/>
  <c r="E831" i="45"/>
  <c r="D831" i="45"/>
  <c r="C831" i="45"/>
  <c r="B831" i="45"/>
  <c r="K830" i="45"/>
  <c r="K832" i="45" s="1"/>
  <c r="H830" i="45"/>
  <c r="H832" i="45" s="1"/>
  <c r="E830" i="45"/>
  <c r="E832" i="45" s="1"/>
  <c r="D830" i="45"/>
  <c r="D832" i="45" s="1"/>
  <c r="C830" i="45"/>
  <c r="C832" i="45" s="1"/>
  <c r="B830" i="45"/>
  <c r="B832" i="45" s="1"/>
  <c r="M829" i="45"/>
  <c r="L829" i="45"/>
  <c r="J829" i="45"/>
  <c r="I829" i="45"/>
  <c r="G829" i="45"/>
  <c r="F829" i="45"/>
  <c r="K828" i="45"/>
  <c r="H828" i="45"/>
  <c r="E828" i="45"/>
  <c r="D828" i="45"/>
  <c r="C828" i="45"/>
  <c r="B828" i="45"/>
  <c r="K827" i="45"/>
  <c r="K829" i="45" s="1"/>
  <c r="H827" i="45"/>
  <c r="H829" i="45" s="1"/>
  <c r="E827" i="45"/>
  <c r="E829" i="45" s="1"/>
  <c r="D827" i="45"/>
  <c r="D829" i="45" s="1"/>
  <c r="C827" i="45"/>
  <c r="C829" i="45" s="1"/>
  <c r="B827" i="45"/>
  <c r="B829" i="45" s="1"/>
  <c r="M826" i="45"/>
  <c r="L826" i="45"/>
  <c r="J826" i="45"/>
  <c r="I826" i="45"/>
  <c r="G826" i="45"/>
  <c r="F826" i="45"/>
  <c r="K825" i="45"/>
  <c r="H825" i="45"/>
  <c r="E825" i="45"/>
  <c r="D825" i="45"/>
  <c r="C825" i="45"/>
  <c r="B825" i="45"/>
  <c r="K824" i="45"/>
  <c r="K826" i="45" s="1"/>
  <c r="H824" i="45"/>
  <c r="H826" i="45" s="1"/>
  <c r="E824" i="45"/>
  <c r="E826" i="45" s="1"/>
  <c r="D824" i="45"/>
  <c r="D826" i="45" s="1"/>
  <c r="C824" i="45"/>
  <c r="C826" i="45" s="1"/>
  <c r="B824" i="45"/>
  <c r="B826" i="45" s="1"/>
  <c r="M823" i="45"/>
  <c r="L823" i="45"/>
  <c r="J823" i="45"/>
  <c r="I823" i="45"/>
  <c r="G823" i="45"/>
  <c r="F823" i="45"/>
  <c r="K822" i="45"/>
  <c r="H822" i="45"/>
  <c r="E822" i="45"/>
  <c r="D822" i="45"/>
  <c r="C822" i="45"/>
  <c r="B822" i="45"/>
  <c r="K821" i="45"/>
  <c r="K823" i="45" s="1"/>
  <c r="H821" i="45"/>
  <c r="H823" i="45" s="1"/>
  <c r="E821" i="45"/>
  <c r="E823" i="45" s="1"/>
  <c r="D821" i="45"/>
  <c r="D823" i="45" s="1"/>
  <c r="C821" i="45"/>
  <c r="C823" i="45" s="1"/>
  <c r="B821" i="45"/>
  <c r="B823" i="45" s="1"/>
  <c r="M820" i="45"/>
  <c r="L820" i="45"/>
  <c r="J820" i="45"/>
  <c r="I820" i="45"/>
  <c r="G820" i="45"/>
  <c r="F820" i="45"/>
  <c r="K819" i="45"/>
  <c r="H819" i="45"/>
  <c r="E819" i="45"/>
  <c r="D819" i="45"/>
  <c r="C819" i="45"/>
  <c r="B819" i="45"/>
  <c r="K818" i="45"/>
  <c r="K820" i="45" s="1"/>
  <c r="H818" i="45"/>
  <c r="H820" i="45" s="1"/>
  <c r="E818" i="45"/>
  <c r="E820" i="45" s="1"/>
  <c r="D818" i="45"/>
  <c r="D820" i="45" s="1"/>
  <c r="C818" i="45"/>
  <c r="C820" i="45" s="1"/>
  <c r="B818" i="45"/>
  <c r="B820" i="45" s="1"/>
  <c r="M817" i="45"/>
  <c r="L817" i="45"/>
  <c r="J817" i="45"/>
  <c r="I817" i="45"/>
  <c r="G817" i="45"/>
  <c r="F817" i="45"/>
  <c r="K816" i="45"/>
  <c r="H816" i="45"/>
  <c r="E816" i="45"/>
  <c r="D816" i="45"/>
  <c r="C816" i="45"/>
  <c r="B816" i="45"/>
  <c r="K815" i="45"/>
  <c r="K817" i="45" s="1"/>
  <c r="H815" i="45"/>
  <c r="H817" i="45" s="1"/>
  <c r="E815" i="45"/>
  <c r="E817" i="45" s="1"/>
  <c r="D815" i="45"/>
  <c r="D817" i="45" s="1"/>
  <c r="C815" i="45"/>
  <c r="C817" i="45" s="1"/>
  <c r="B815" i="45"/>
  <c r="B817" i="45" s="1"/>
  <c r="M814" i="45"/>
  <c r="L814" i="45"/>
  <c r="J814" i="45"/>
  <c r="I814" i="45"/>
  <c r="G814" i="45"/>
  <c r="F814" i="45"/>
  <c r="K813" i="45"/>
  <c r="H813" i="45"/>
  <c r="E813" i="45"/>
  <c r="D813" i="45"/>
  <c r="C813" i="45"/>
  <c r="B813" i="45"/>
  <c r="K812" i="45"/>
  <c r="K814" i="45" s="1"/>
  <c r="H812" i="45"/>
  <c r="H814" i="45" s="1"/>
  <c r="E812" i="45"/>
  <c r="E814" i="45" s="1"/>
  <c r="D812" i="45"/>
  <c r="D814" i="45" s="1"/>
  <c r="C812" i="45"/>
  <c r="C814" i="45" s="1"/>
  <c r="B812" i="45"/>
  <c r="B814" i="45" s="1"/>
  <c r="M811" i="45"/>
  <c r="L811" i="45"/>
  <c r="J811" i="45"/>
  <c r="I811" i="45"/>
  <c r="G811" i="45"/>
  <c r="F811" i="45"/>
  <c r="K810" i="45"/>
  <c r="H810" i="45"/>
  <c r="E810" i="45"/>
  <c r="D810" i="45"/>
  <c r="C810" i="45"/>
  <c r="B810" i="45"/>
  <c r="K809" i="45"/>
  <c r="K811" i="45" s="1"/>
  <c r="H809" i="45"/>
  <c r="H811" i="45" s="1"/>
  <c r="E809" i="45"/>
  <c r="E811" i="45" s="1"/>
  <c r="D809" i="45"/>
  <c r="D811" i="45" s="1"/>
  <c r="C809" i="45"/>
  <c r="C811" i="45" s="1"/>
  <c r="B809" i="45"/>
  <c r="B811" i="45" s="1"/>
  <c r="M808" i="45"/>
  <c r="L808" i="45"/>
  <c r="J808" i="45"/>
  <c r="I808" i="45"/>
  <c r="G808" i="45"/>
  <c r="F808" i="45"/>
  <c r="K807" i="45"/>
  <c r="H807" i="45"/>
  <c r="E807" i="45"/>
  <c r="D807" i="45"/>
  <c r="C807" i="45"/>
  <c r="B807" i="45" s="1"/>
  <c r="K806" i="45"/>
  <c r="K808" i="45" s="1"/>
  <c r="H806" i="45"/>
  <c r="H808" i="45" s="1"/>
  <c r="E806" i="45"/>
  <c r="E808" i="45" s="1"/>
  <c r="D806" i="45"/>
  <c r="D808" i="45" s="1"/>
  <c r="C806" i="45"/>
  <c r="C808" i="45" s="1"/>
  <c r="M805" i="45"/>
  <c r="L805" i="45"/>
  <c r="J805" i="45"/>
  <c r="I805" i="45"/>
  <c r="G805" i="45"/>
  <c r="F805" i="45"/>
  <c r="K804" i="45"/>
  <c r="H804" i="45"/>
  <c r="E804" i="45"/>
  <c r="D804" i="45"/>
  <c r="C804" i="45"/>
  <c r="B804" i="45" s="1"/>
  <c r="K803" i="45"/>
  <c r="K805" i="45" s="1"/>
  <c r="H803" i="45"/>
  <c r="H805" i="45" s="1"/>
  <c r="E803" i="45"/>
  <c r="E805" i="45" s="1"/>
  <c r="D803" i="45"/>
  <c r="D805" i="45" s="1"/>
  <c r="C803" i="45"/>
  <c r="C805" i="45" s="1"/>
  <c r="M802" i="45"/>
  <c r="L802" i="45"/>
  <c r="J802" i="45"/>
  <c r="I802" i="45"/>
  <c r="G802" i="45"/>
  <c r="F802" i="45"/>
  <c r="K801" i="45"/>
  <c r="H801" i="45"/>
  <c r="E801" i="45"/>
  <c r="D801" i="45"/>
  <c r="C801" i="45"/>
  <c r="B801" i="45"/>
  <c r="K800" i="45"/>
  <c r="K802" i="45" s="1"/>
  <c r="H800" i="45"/>
  <c r="H802" i="45" s="1"/>
  <c r="E800" i="45"/>
  <c r="E802" i="45" s="1"/>
  <c r="D800" i="45"/>
  <c r="D802" i="45" s="1"/>
  <c r="C800" i="45"/>
  <c r="C802" i="45" s="1"/>
  <c r="B800" i="45"/>
  <c r="B802" i="45" s="1"/>
  <c r="M799" i="45"/>
  <c r="L799" i="45"/>
  <c r="L841" i="45" s="1"/>
  <c r="J799" i="45"/>
  <c r="I799" i="45"/>
  <c r="I841" i="45" s="1"/>
  <c r="G799" i="45"/>
  <c r="F799" i="45"/>
  <c r="F841" i="45" s="1"/>
  <c r="K798" i="45"/>
  <c r="H798" i="45"/>
  <c r="H840" i="45" s="1"/>
  <c r="E798" i="45"/>
  <c r="D798" i="45"/>
  <c r="D840" i="45" s="1"/>
  <c r="C798" i="45"/>
  <c r="B798" i="45"/>
  <c r="K797" i="45"/>
  <c r="H797" i="45"/>
  <c r="H839" i="45" s="1"/>
  <c r="E797" i="45"/>
  <c r="D797" i="45"/>
  <c r="D839" i="45" s="1"/>
  <c r="C797" i="45"/>
  <c r="B797" i="45"/>
  <c r="M792" i="45"/>
  <c r="L792" i="45"/>
  <c r="J792" i="45"/>
  <c r="I792" i="45"/>
  <c r="G792" i="45"/>
  <c r="F792" i="45"/>
  <c r="M791" i="45"/>
  <c r="L791" i="45"/>
  <c r="J791" i="45"/>
  <c r="I791" i="45"/>
  <c r="G791" i="45"/>
  <c r="F791" i="45"/>
  <c r="M790" i="45"/>
  <c r="L790" i="45"/>
  <c r="J790" i="45"/>
  <c r="I790" i="45"/>
  <c r="G790" i="45"/>
  <c r="F790" i="45"/>
  <c r="K789" i="45"/>
  <c r="H789" i="45"/>
  <c r="E789" i="45"/>
  <c r="D789" i="45"/>
  <c r="C789" i="45"/>
  <c r="B789" i="45"/>
  <c r="K788" i="45"/>
  <c r="K790" i="45" s="1"/>
  <c r="H788" i="45"/>
  <c r="H790" i="45" s="1"/>
  <c r="E788" i="45"/>
  <c r="E790" i="45" s="1"/>
  <c r="D788" i="45"/>
  <c r="D790" i="45" s="1"/>
  <c r="C788" i="45"/>
  <c r="C790" i="45" s="1"/>
  <c r="B788" i="45"/>
  <c r="B790" i="45" s="1"/>
  <c r="M787" i="45"/>
  <c r="L787" i="45"/>
  <c r="J787" i="45"/>
  <c r="I787" i="45"/>
  <c r="G787" i="45"/>
  <c r="F787" i="45"/>
  <c r="K786" i="45"/>
  <c r="H786" i="45"/>
  <c r="E786" i="45"/>
  <c r="D786" i="45"/>
  <c r="C786" i="45"/>
  <c r="B786" i="45" s="1"/>
  <c r="K785" i="45"/>
  <c r="K787" i="45" s="1"/>
  <c r="H785" i="45"/>
  <c r="H787" i="45" s="1"/>
  <c r="E785" i="45"/>
  <c r="E787" i="45" s="1"/>
  <c r="D785" i="45"/>
  <c r="D787" i="45" s="1"/>
  <c r="C785" i="45"/>
  <c r="C787" i="45" s="1"/>
  <c r="M784" i="45"/>
  <c r="L784" i="45"/>
  <c r="J784" i="45"/>
  <c r="I784" i="45"/>
  <c r="G784" i="45"/>
  <c r="F784" i="45"/>
  <c r="K783" i="45"/>
  <c r="H783" i="45"/>
  <c r="E783" i="45"/>
  <c r="D783" i="45"/>
  <c r="C783" i="45"/>
  <c r="B783" i="45" s="1"/>
  <c r="K782" i="45"/>
  <c r="K784" i="45" s="1"/>
  <c r="H782" i="45"/>
  <c r="H784" i="45" s="1"/>
  <c r="E782" i="45"/>
  <c r="E784" i="45" s="1"/>
  <c r="D782" i="45"/>
  <c r="D784" i="45" s="1"/>
  <c r="C782" i="45"/>
  <c r="C784" i="45" s="1"/>
  <c r="M781" i="45"/>
  <c r="L781" i="45"/>
  <c r="J781" i="45"/>
  <c r="I781" i="45"/>
  <c r="G781" i="45"/>
  <c r="F781" i="45"/>
  <c r="K780" i="45"/>
  <c r="H780" i="45"/>
  <c r="E780" i="45"/>
  <c r="D780" i="45"/>
  <c r="C780" i="45"/>
  <c r="B780" i="45"/>
  <c r="K779" i="45"/>
  <c r="K781" i="45" s="1"/>
  <c r="H779" i="45"/>
  <c r="H781" i="45" s="1"/>
  <c r="E779" i="45"/>
  <c r="E781" i="45" s="1"/>
  <c r="D779" i="45"/>
  <c r="D781" i="45" s="1"/>
  <c r="C779" i="45"/>
  <c r="C781" i="45" s="1"/>
  <c r="B779" i="45"/>
  <c r="B781" i="45" s="1"/>
  <c r="M778" i="45"/>
  <c r="L778" i="45"/>
  <c r="J778" i="45"/>
  <c r="I778" i="45"/>
  <c r="G778" i="45"/>
  <c r="F778" i="45"/>
  <c r="K777" i="45"/>
  <c r="H777" i="45"/>
  <c r="E777" i="45"/>
  <c r="D777" i="45"/>
  <c r="C777" i="45"/>
  <c r="B777" i="45"/>
  <c r="K776" i="45"/>
  <c r="K778" i="45" s="1"/>
  <c r="H776" i="45"/>
  <c r="H778" i="45" s="1"/>
  <c r="E776" i="45"/>
  <c r="E778" i="45" s="1"/>
  <c r="D776" i="45"/>
  <c r="D778" i="45" s="1"/>
  <c r="C776" i="45"/>
  <c r="C778" i="45" s="1"/>
  <c r="B776" i="45"/>
  <c r="B778" i="45" s="1"/>
  <c r="M775" i="45"/>
  <c r="L775" i="45"/>
  <c r="J775" i="45"/>
  <c r="I775" i="45"/>
  <c r="G775" i="45"/>
  <c r="F775" i="45"/>
  <c r="K774" i="45"/>
  <c r="H774" i="45"/>
  <c r="E774" i="45"/>
  <c r="D774" i="45"/>
  <c r="C774" i="45"/>
  <c r="B774" i="45" s="1"/>
  <c r="K773" i="45"/>
  <c r="K775" i="45" s="1"/>
  <c r="H773" i="45"/>
  <c r="H775" i="45" s="1"/>
  <c r="E773" i="45"/>
  <c r="E775" i="45" s="1"/>
  <c r="D773" i="45"/>
  <c r="D775" i="45" s="1"/>
  <c r="C773" i="45"/>
  <c r="C775" i="45" s="1"/>
  <c r="M772" i="45"/>
  <c r="L772" i="45"/>
  <c r="J772" i="45"/>
  <c r="I772" i="45"/>
  <c r="G772" i="45"/>
  <c r="F772" i="45"/>
  <c r="K771" i="45"/>
  <c r="H771" i="45"/>
  <c r="E771" i="45"/>
  <c r="D771" i="45"/>
  <c r="C771" i="45"/>
  <c r="B771" i="45" s="1"/>
  <c r="K770" i="45"/>
  <c r="K772" i="45" s="1"/>
  <c r="H770" i="45"/>
  <c r="H772" i="45" s="1"/>
  <c r="E770" i="45"/>
  <c r="E772" i="45" s="1"/>
  <c r="D770" i="45"/>
  <c r="D772" i="45" s="1"/>
  <c r="C770" i="45"/>
  <c r="C772" i="45" s="1"/>
  <c r="M769" i="45"/>
  <c r="M793" i="45" s="1"/>
  <c r="L769" i="45"/>
  <c r="J769" i="45"/>
  <c r="J793" i="45" s="1"/>
  <c r="I769" i="45"/>
  <c r="G769" i="45"/>
  <c r="G793" i="45" s="1"/>
  <c r="F769" i="45"/>
  <c r="K768" i="45"/>
  <c r="H768" i="45"/>
  <c r="H792" i="45" s="1"/>
  <c r="E768" i="45"/>
  <c r="D768" i="45"/>
  <c r="D792" i="45" s="1"/>
  <c r="C768" i="45"/>
  <c r="B768" i="45"/>
  <c r="K767" i="45"/>
  <c r="H767" i="45"/>
  <c r="H791" i="45" s="1"/>
  <c r="E767" i="45"/>
  <c r="D767" i="45"/>
  <c r="D791" i="45" s="1"/>
  <c r="C767" i="45"/>
  <c r="B767" i="45"/>
  <c r="M762" i="45"/>
  <c r="L762" i="45"/>
  <c r="J762" i="45"/>
  <c r="I762" i="45"/>
  <c r="G762" i="45"/>
  <c r="F762" i="45"/>
  <c r="M761" i="45"/>
  <c r="L761" i="45"/>
  <c r="J761" i="45"/>
  <c r="I761" i="45"/>
  <c r="G761" i="45"/>
  <c r="F761" i="45"/>
  <c r="M760" i="45"/>
  <c r="L760" i="45"/>
  <c r="J760" i="45"/>
  <c r="I760" i="45"/>
  <c r="G760" i="45"/>
  <c r="F760" i="45"/>
  <c r="K759" i="45"/>
  <c r="H759" i="45"/>
  <c r="E759" i="45"/>
  <c r="D759" i="45"/>
  <c r="C759" i="45"/>
  <c r="B759" i="45"/>
  <c r="K758" i="45"/>
  <c r="K760" i="45" s="1"/>
  <c r="H758" i="45"/>
  <c r="H760" i="45" s="1"/>
  <c r="E758" i="45"/>
  <c r="E760" i="45" s="1"/>
  <c r="D758" i="45"/>
  <c r="D760" i="45" s="1"/>
  <c r="C758" i="45"/>
  <c r="C760" i="45" s="1"/>
  <c r="B758" i="45"/>
  <c r="B760" i="45" s="1"/>
  <c r="M757" i="45"/>
  <c r="L757" i="45"/>
  <c r="J757" i="45"/>
  <c r="I757" i="45"/>
  <c r="G757" i="45"/>
  <c r="F757" i="45"/>
  <c r="K756" i="45"/>
  <c r="H756" i="45"/>
  <c r="E756" i="45"/>
  <c r="D756" i="45"/>
  <c r="C756" i="45"/>
  <c r="B756" i="45" s="1"/>
  <c r="K755" i="45"/>
  <c r="K757" i="45" s="1"/>
  <c r="H755" i="45"/>
  <c r="H757" i="45" s="1"/>
  <c r="E755" i="45"/>
  <c r="E757" i="45" s="1"/>
  <c r="D755" i="45"/>
  <c r="D757" i="45" s="1"/>
  <c r="C755" i="45"/>
  <c r="C757" i="45" s="1"/>
  <c r="M754" i="45"/>
  <c r="L754" i="45"/>
  <c r="J754" i="45"/>
  <c r="I754" i="45"/>
  <c r="G754" i="45"/>
  <c r="F754" i="45"/>
  <c r="K753" i="45"/>
  <c r="H753" i="45"/>
  <c r="E753" i="45"/>
  <c r="D753" i="45"/>
  <c r="C753" i="45"/>
  <c r="B753" i="45" s="1"/>
  <c r="K752" i="45"/>
  <c r="K754" i="45" s="1"/>
  <c r="H752" i="45"/>
  <c r="H754" i="45" s="1"/>
  <c r="E752" i="45"/>
  <c r="E754" i="45" s="1"/>
  <c r="D752" i="45"/>
  <c r="D754" i="45" s="1"/>
  <c r="C752" i="45"/>
  <c r="C754" i="45" s="1"/>
  <c r="M751" i="45"/>
  <c r="L751" i="45"/>
  <c r="J751" i="45"/>
  <c r="I751" i="45"/>
  <c r="G751" i="45"/>
  <c r="F751" i="45"/>
  <c r="K750" i="45"/>
  <c r="H750" i="45"/>
  <c r="E750" i="45"/>
  <c r="D750" i="45"/>
  <c r="C750" i="45"/>
  <c r="B750" i="45"/>
  <c r="K749" i="45"/>
  <c r="K751" i="45" s="1"/>
  <c r="H749" i="45"/>
  <c r="H751" i="45" s="1"/>
  <c r="E749" i="45"/>
  <c r="E751" i="45" s="1"/>
  <c r="D749" i="45"/>
  <c r="D751" i="45" s="1"/>
  <c r="C749" i="45"/>
  <c r="C751" i="45" s="1"/>
  <c r="B749" i="45"/>
  <c r="B751" i="45" s="1"/>
  <c r="M748" i="45"/>
  <c r="L748" i="45"/>
  <c r="J748" i="45"/>
  <c r="I748" i="45"/>
  <c r="G748" i="45"/>
  <c r="F748" i="45"/>
  <c r="K747" i="45"/>
  <c r="H747" i="45"/>
  <c r="E747" i="45"/>
  <c r="D747" i="45"/>
  <c r="C747" i="45"/>
  <c r="B747" i="45"/>
  <c r="K746" i="45"/>
  <c r="K748" i="45" s="1"/>
  <c r="H746" i="45"/>
  <c r="H748" i="45" s="1"/>
  <c r="E746" i="45"/>
  <c r="E748" i="45" s="1"/>
  <c r="D746" i="45"/>
  <c r="D748" i="45" s="1"/>
  <c r="C746" i="45"/>
  <c r="C748" i="45" s="1"/>
  <c r="B746" i="45"/>
  <c r="B748" i="45" s="1"/>
  <c r="M745" i="45"/>
  <c r="L745" i="45"/>
  <c r="J745" i="45"/>
  <c r="I745" i="45"/>
  <c r="G745" i="45"/>
  <c r="F745" i="45"/>
  <c r="K744" i="45"/>
  <c r="H744" i="45"/>
  <c r="E744" i="45"/>
  <c r="D744" i="45"/>
  <c r="C744" i="45"/>
  <c r="B744" i="45" s="1"/>
  <c r="K743" i="45"/>
  <c r="K745" i="45" s="1"/>
  <c r="H743" i="45"/>
  <c r="H745" i="45" s="1"/>
  <c r="E743" i="45"/>
  <c r="E745" i="45" s="1"/>
  <c r="D743" i="45"/>
  <c r="D745" i="45" s="1"/>
  <c r="C743" i="45"/>
  <c r="C745" i="45" s="1"/>
  <c r="M742" i="45"/>
  <c r="L742" i="45"/>
  <c r="J742" i="45"/>
  <c r="I742" i="45"/>
  <c r="G742" i="45"/>
  <c r="F742" i="45"/>
  <c r="K741" i="45"/>
  <c r="H741" i="45"/>
  <c r="E741" i="45"/>
  <c r="D741" i="45"/>
  <c r="C741" i="45"/>
  <c r="B741" i="45" s="1"/>
  <c r="K740" i="45"/>
  <c r="K742" i="45" s="1"/>
  <c r="H740" i="45"/>
  <c r="H742" i="45" s="1"/>
  <c r="E740" i="45"/>
  <c r="E742" i="45" s="1"/>
  <c r="D740" i="45"/>
  <c r="D742" i="45" s="1"/>
  <c r="C740" i="45"/>
  <c r="C742" i="45" s="1"/>
  <c r="M739" i="45"/>
  <c r="L739" i="45"/>
  <c r="J739" i="45"/>
  <c r="I739" i="45"/>
  <c r="G739" i="45"/>
  <c r="F739" i="45"/>
  <c r="K738" i="45"/>
  <c r="H738" i="45"/>
  <c r="E738" i="45"/>
  <c r="D738" i="45"/>
  <c r="C738" i="45"/>
  <c r="B738" i="45"/>
  <c r="K737" i="45"/>
  <c r="K739" i="45" s="1"/>
  <c r="H737" i="45"/>
  <c r="H739" i="45" s="1"/>
  <c r="E737" i="45"/>
  <c r="E739" i="45" s="1"/>
  <c r="D737" i="45"/>
  <c r="D739" i="45" s="1"/>
  <c r="C737" i="45"/>
  <c r="C739" i="45" s="1"/>
  <c r="B737" i="45"/>
  <c r="B739" i="45" s="1"/>
  <c r="M736" i="45"/>
  <c r="L736" i="45"/>
  <c r="J736" i="45"/>
  <c r="I736" i="45"/>
  <c r="G736" i="45"/>
  <c r="F736" i="45"/>
  <c r="K735" i="45"/>
  <c r="H735" i="45"/>
  <c r="E735" i="45"/>
  <c r="D735" i="45"/>
  <c r="C735" i="45"/>
  <c r="B735" i="45"/>
  <c r="K734" i="45"/>
  <c r="K736" i="45" s="1"/>
  <c r="H734" i="45"/>
  <c r="H736" i="45" s="1"/>
  <c r="E734" i="45"/>
  <c r="E736" i="45" s="1"/>
  <c r="D734" i="45"/>
  <c r="D736" i="45" s="1"/>
  <c r="C734" i="45"/>
  <c r="C736" i="45" s="1"/>
  <c r="B734" i="45"/>
  <c r="B736" i="45" s="1"/>
  <c r="M733" i="45"/>
  <c r="L733" i="45"/>
  <c r="J733" i="45"/>
  <c r="I733" i="45"/>
  <c r="G733" i="45"/>
  <c r="F733" i="45"/>
  <c r="K732" i="45"/>
  <c r="H732" i="45"/>
  <c r="E732" i="45"/>
  <c r="D732" i="45"/>
  <c r="C732" i="45"/>
  <c r="B732" i="45" s="1"/>
  <c r="K731" i="45"/>
  <c r="K733" i="45" s="1"/>
  <c r="H731" i="45"/>
  <c r="H733" i="45" s="1"/>
  <c r="E731" i="45"/>
  <c r="E733" i="45" s="1"/>
  <c r="D731" i="45"/>
  <c r="D733" i="45" s="1"/>
  <c r="C731" i="45"/>
  <c r="C733" i="45" s="1"/>
  <c r="M730" i="45"/>
  <c r="L730" i="45"/>
  <c r="J730" i="45"/>
  <c r="I730" i="45"/>
  <c r="G730" i="45"/>
  <c r="F730" i="45"/>
  <c r="K729" i="45"/>
  <c r="H729" i="45"/>
  <c r="E729" i="45"/>
  <c r="D729" i="45"/>
  <c r="C729" i="45"/>
  <c r="B729" i="45" s="1"/>
  <c r="K728" i="45"/>
  <c r="K730" i="45" s="1"/>
  <c r="H728" i="45"/>
  <c r="H730" i="45" s="1"/>
  <c r="E728" i="45"/>
  <c r="E730" i="45" s="1"/>
  <c r="D728" i="45"/>
  <c r="D730" i="45" s="1"/>
  <c r="C728" i="45"/>
  <c r="C730" i="45" s="1"/>
  <c r="M727" i="45"/>
  <c r="L727" i="45"/>
  <c r="J727" i="45"/>
  <c r="I727" i="45"/>
  <c r="G727" i="45"/>
  <c r="F727" i="45"/>
  <c r="K726" i="45"/>
  <c r="H726" i="45"/>
  <c r="E726" i="45"/>
  <c r="D726" i="45"/>
  <c r="C726" i="45"/>
  <c r="B726" i="45"/>
  <c r="K725" i="45"/>
  <c r="K727" i="45" s="1"/>
  <c r="H725" i="45"/>
  <c r="H727" i="45" s="1"/>
  <c r="E725" i="45"/>
  <c r="E727" i="45" s="1"/>
  <c r="D725" i="45"/>
  <c r="D727" i="45" s="1"/>
  <c r="C725" i="45"/>
  <c r="C727" i="45" s="1"/>
  <c r="B725" i="45"/>
  <c r="B727" i="45" s="1"/>
  <c r="M724" i="45"/>
  <c r="L724" i="45"/>
  <c r="J724" i="45"/>
  <c r="I724" i="45"/>
  <c r="G724" i="45"/>
  <c r="F724" i="45"/>
  <c r="K723" i="45"/>
  <c r="H723" i="45"/>
  <c r="E723" i="45"/>
  <c r="D723" i="45"/>
  <c r="C723" i="45"/>
  <c r="B723" i="45"/>
  <c r="K722" i="45"/>
  <c r="K724" i="45" s="1"/>
  <c r="H722" i="45"/>
  <c r="H724" i="45" s="1"/>
  <c r="E722" i="45"/>
  <c r="E724" i="45" s="1"/>
  <c r="D722" i="45"/>
  <c r="D724" i="45" s="1"/>
  <c r="C722" i="45"/>
  <c r="C724" i="45" s="1"/>
  <c r="B722" i="45"/>
  <c r="B724" i="45" s="1"/>
  <c r="M721" i="45"/>
  <c r="L721" i="45"/>
  <c r="L763" i="45" s="1"/>
  <c r="J721" i="45"/>
  <c r="I721" i="45"/>
  <c r="I763" i="45" s="1"/>
  <c r="G721" i="45"/>
  <c r="F721" i="45"/>
  <c r="F763" i="45" s="1"/>
  <c r="K720" i="45"/>
  <c r="K762" i="45" s="1"/>
  <c r="H720" i="45"/>
  <c r="E720" i="45"/>
  <c r="E762" i="45" s="1"/>
  <c r="D720" i="45"/>
  <c r="C720" i="45"/>
  <c r="C762" i="45" s="1"/>
  <c r="K719" i="45"/>
  <c r="K761" i="45" s="1"/>
  <c r="H719" i="45"/>
  <c r="E719" i="45"/>
  <c r="E761" i="45" s="1"/>
  <c r="D719" i="45"/>
  <c r="C719" i="45"/>
  <c r="C761" i="45" s="1"/>
  <c r="M714" i="45"/>
  <c r="L714" i="45"/>
  <c r="J714" i="45"/>
  <c r="I714" i="45"/>
  <c r="G714" i="45"/>
  <c r="F714" i="45"/>
  <c r="M713" i="45"/>
  <c r="L713" i="45"/>
  <c r="J713" i="45"/>
  <c r="I713" i="45"/>
  <c r="G713" i="45"/>
  <c r="F713" i="45"/>
  <c r="M712" i="45"/>
  <c r="L712" i="45"/>
  <c r="J712" i="45"/>
  <c r="I712" i="45"/>
  <c r="G712" i="45"/>
  <c r="F712" i="45"/>
  <c r="K711" i="45"/>
  <c r="H711" i="45"/>
  <c r="E711" i="45"/>
  <c r="D711" i="45"/>
  <c r="C711" i="45"/>
  <c r="B711" i="45" s="1"/>
  <c r="K710" i="45"/>
  <c r="K712" i="45" s="1"/>
  <c r="H710" i="45"/>
  <c r="H712" i="45" s="1"/>
  <c r="E710" i="45"/>
  <c r="E712" i="45" s="1"/>
  <c r="D710" i="45"/>
  <c r="D712" i="45" s="1"/>
  <c r="C710" i="45"/>
  <c r="C712" i="45" s="1"/>
  <c r="M709" i="45"/>
  <c r="L709" i="45"/>
  <c r="J709" i="45"/>
  <c r="I709" i="45"/>
  <c r="G709" i="45"/>
  <c r="F709" i="45"/>
  <c r="K708" i="45"/>
  <c r="H708" i="45"/>
  <c r="E708" i="45"/>
  <c r="D708" i="45"/>
  <c r="C708" i="45"/>
  <c r="B708" i="45"/>
  <c r="K707" i="45"/>
  <c r="K709" i="45" s="1"/>
  <c r="H707" i="45"/>
  <c r="H709" i="45" s="1"/>
  <c r="E707" i="45"/>
  <c r="E709" i="45" s="1"/>
  <c r="D707" i="45"/>
  <c r="D709" i="45" s="1"/>
  <c r="C707" i="45"/>
  <c r="C709" i="45" s="1"/>
  <c r="B707" i="45"/>
  <c r="B709" i="45" s="1"/>
  <c r="M706" i="45"/>
  <c r="L706" i="45"/>
  <c r="J706" i="45"/>
  <c r="I706" i="45"/>
  <c r="G706" i="45"/>
  <c r="F706" i="45"/>
  <c r="K705" i="45"/>
  <c r="H705" i="45"/>
  <c r="E705" i="45"/>
  <c r="D705" i="45"/>
  <c r="C705" i="45"/>
  <c r="B705" i="45"/>
  <c r="K704" i="45"/>
  <c r="K706" i="45" s="1"/>
  <c r="H704" i="45"/>
  <c r="H706" i="45" s="1"/>
  <c r="E704" i="45"/>
  <c r="E706" i="45" s="1"/>
  <c r="D704" i="45"/>
  <c r="D706" i="45" s="1"/>
  <c r="C704" i="45"/>
  <c r="C706" i="45" s="1"/>
  <c r="B704" i="45"/>
  <c r="B706" i="45" s="1"/>
  <c r="M703" i="45"/>
  <c r="L703" i="45"/>
  <c r="L715" i="45" s="1"/>
  <c r="J703" i="45"/>
  <c r="I703" i="45"/>
  <c r="I715" i="45" s="1"/>
  <c r="G703" i="45"/>
  <c r="F703" i="45"/>
  <c r="F715" i="45" s="1"/>
  <c r="K702" i="45"/>
  <c r="K714" i="45" s="1"/>
  <c r="H702" i="45"/>
  <c r="E702" i="45"/>
  <c r="E714" i="45" s="1"/>
  <c r="D702" i="45"/>
  <c r="C702" i="45"/>
  <c r="C714" i="45" s="1"/>
  <c r="K701" i="45"/>
  <c r="K713" i="45" s="1"/>
  <c r="H701" i="45"/>
  <c r="E701" i="45"/>
  <c r="E713" i="45" s="1"/>
  <c r="D701" i="45"/>
  <c r="C701" i="45"/>
  <c r="C713" i="45" s="1"/>
  <c r="M696" i="45"/>
  <c r="L696" i="45"/>
  <c r="J696" i="45"/>
  <c r="I696" i="45"/>
  <c r="G696" i="45"/>
  <c r="F696" i="45"/>
  <c r="M695" i="45"/>
  <c r="L695" i="45"/>
  <c r="J695" i="45"/>
  <c r="I695" i="45"/>
  <c r="G695" i="45"/>
  <c r="F695" i="45"/>
  <c r="M694" i="45"/>
  <c r="L694" i="45"/>
  <c r="J694" i="45"/>
  <c r="I694" i="45"/>
  <c r="G694" i="45"/>
  <c r="F694" i="45"/>
  <c r="K693" i="45"/>
  <c r="H693" i="45"/>
  <c r="E693" i="45"/>
  <c r="D693" i="45"/>
  <c r="C693" i="45"/>
  <c r="B693" i="45" s="1"/>
  <c r="K692" i="45"/>
  <c r="H692" i="45"/>
  <c r="H694" i="45" s="1"/>
  <c r="E692" i="45"/>
  <c r="D692" i="45"/>
  <c r="D694" i="45" s="1"/>
  <c r="C692" i="45"/>
  <c r="M691" i="45"/>
  <c r="L691" i="45"/>
  <c r="J691" i="45"/>
  <c r="I691" i="45"/>
  <c r="G691" i="45"/>
  <c r="F691" i="45"/>
  <c r="K690" i="45"/>
  <c r="H690" i="45"/>
  <c r="E690" i="45"/>
  <c r="D690" i="45"/>
  <c r="C690" i="45"/>
  <c r="B690" i="45" s="1"/>
  <c r="K689" i="45"/>
  <c r="H689" i="45"/>
  <c r="H691" i="45" s="1"/>
  <c r="E689" i="45"/>
  <c r="D689" i="45"/>
  <c r="D691" i="45" s="1"/>
  <c r="C689" i="45"/>
  <c r="M688" i="45"/>
  <c r="L688" i="45"/>
  <c r="J688" i="45"/>
  <c r="I688" i="45"/>
  <c r="G688" i="45"/>
  <c r="F688" i="45"/>
  <c r="K687" i="45"/>
  <c r="H687" i="45"/>
  <c r="E687" i="45"/>
  <c r="D687" i="45"/>
  <c r="C687" i="45"/>
  <c r="B687" i="45" s="1"/>
  <c r="K686" i="45"/>
  <c r="H686" i="45"/>
  <c r="H688" i="45" s="1"/>
  <c r="E686" i="45"/>
  <c r="D686" i="45"/>
  <c r="D688" i="45" s="1"/>
  <c r="C686" i="45"/>
  <c r="M685" i="45"/>
  <c r="L685" i="45"/>
  <c r="J685" i="45"/>
  <c r="I685" i="45"/>
  <c r="G685" i="45"/>
  <c r="F685" i="45"/>
  <c r="K684" i="45"/>
  <c r="H684" i="45"/>
  <c r="E684" i="45"/>
  <c r="D684" i="45"/>
  <c r="C684" i="45"/>
  <c r="B684" i="45" s="1"/>
  <c r="K683" i="45"/>
  <c r="H683" i="45"/>
  <c r="H685" i="45" s="1"/>
  <c r="E683" i="45"/>
  <c r="D683" i="45"/>
  <c r="D685" i="45" s="1"/>
  <c r="C683" i="45"/>
  <c r="M682" i="45"/>
  <c r="L682" i="45"/>
  <c r="J682" i="45"/>
  <c r="I682" i="45"/>
  <c r="G682" i="45"/>
  <c r="F682" i="45"/>
  <c r="K681" i="45"/>
  <c r="H681" i="45"/>
  <c r="E681" i="45"/>
  <c r="D681" i="45"/>
  <c r="C681" i="45"/>
  <c r="B681" i="45" s="1"/>
  <c r="K680" i="45"/>
  <c r="H680" i="45"/>
  <c r="H682" i="45" s="1"/>
  <c r="E680" i="45"/>
  <c r="D680" i="45"/>
  <c r="D682" i="45" s="1"/>
  <c r="C680" i="45"/>
  <c r="M679" i="45"/>
  <c r="L679" i="45"/>
  <c r="J679" i="45"/>
  <c r="I679" i="45"/>
  <c r="G679" i="45"/>
  <c r="F679" i="45"/>
  <c r="K678" i="45"/>
  <c r="H678" i="45"/>
  <c r="E678" i="45"/>
  <c r="D678" i="45"/>
  <c r="C678" i="45"/>
  <c r="B678" i="45" s="1"/>
  <c r="K677" i="45"/>
  <c r="H677" i="45"/>
  <c r="H679" i="45" s="1"/>
  <c r="E677" i="45"/>
  <c r="D677" i="45"/>
  <c r="D679" i="45" s="1"/>
  <c r="C677" i="45"/>
  <c r="M676" i="45"/>
  <c r="L676" i="45"/>
  <c r="J676" i="45"/>
  <c r="I676" i="45"/>
  <c r="G676" i="45"/>
  <c r="F676" i="45"/>
  <c r="E676" i="45"/>
  <c r="K675" i="45"/>
  <c r="H675" i="45"/>
  <c r="E675" i="45"/>
  <c r="D675" i="45"/>
  <c r="C675" i="45"/>
  <c r="B675" i="45"/>
  <c r="K674" i="45"/>
  <c r="K676" i="45" s="1"/>
  <c r="H674" i="45"/>
  <c r="H676" i="45" s="1"/>
  <c r="E674" i="45"/>
  <c r="D674" i="45"/>
  <c r="D676" i="45" s="1"/>
  <c r="C674" i="45"/>
  <c r="C676" i="45" s="1"/>
  <c r="B674" i="45"/>
  <c r="B676" i="45" s="1"/>
  <c r="M673" i="45"/>
  <c r="L673" i="45"/>
  <c r="J673" i="45"/>
  <c r="I673" i="45"/>
  <c r="G673" i="45"/>
  <c r="F673" i="45"/>
  <c r="K672" i="45"/>
  <c r="H672" i="45"/>
  <c r="E672" i="45"/>
  <c r="D672" i="45"/>
  <c r="C672" i="45"/>
  <c r="B672" i="45"/>
  <c r="K671" i="45"/>
  <c r="K673" i="45" s="1"/>
  <c r="H671" i="45"/>
  <c r="H673" i="45" s="1"/>
  <c r="E671" i="45"/>
  <c r="E673" i="45" s="1"/>
  <c r="D671" i="45"/>
  <c r="D673" i="45" s="1"/>
  <c r="C671" i="45"/>
  <c r="C673" i="45" s="1"/>
  <c r="B671" i="45"/>
  <c r="B673" i="45" s="1"/>
  <c r="M670" i="45"/>
  <c r="L670" i="45"/>
  <c r="J670" i="45"/>
  <c r="I670" i="45"/>
  <c r="G670" i="45"/>
  <c r="F670" i="45"/>
  <c r="K669" i="45"/>
  <c r="H669" i="45"/>
  <c r="E669" i="45"/>
  <c r="D669" i="45"/>
  <c r="C669" i="45"/>
  <c r="B669" i="45"/>
  <c r="K668" i="45"/>
  <c r="K670" i="45" s="1"/>
  <c r="H668" i="45"/>
  <c r="H670" i="45" s="1"/>
  <c r="E668" i="45"/>
  <c r="E670" i="45" s="1"/>
  <c r="D668" i="45"/>
  <c r="D670" i="45" s="1"/>
  <c r="C668" i="45"/>
  <c r="C670" i="45" s="1"/>
  <c r="B668" i="45"/>
  <c r="B670" i="45" s="1"/>
  <c r="M667" i="45"/>
  <c r="L667" i="45"/>
  <c r="J667" i="45"/>
  <c r="I667" i="45"/>
  <c r="G667" i="45"/>
  <c r="F667" i="45"/>
  <c r="K666" i="45"/>
  <c r="H666" i="45"/>
  <c r="E666" i="45"/>
  <c r="D666" i="45"/>
  <c r="C666" i="45"/>
  <c r="B666" i="45"/>
  <c r="K665" i="45"/>
  <c r="K667" i="45" s="1"/>
  <c r="H665" i="45"/>
  <c r="H667" i="45" s="1"/>
  <c r="E665" i="45"/>
  <c r="E667" i="45" s="1"/>
  <c r="D665" i="45"/>
  <c r="D667" i="45" s="1"/>
  <c r="C665" i="45"/>
  <c r="C667" i="45" s="1"/>
  <c r="B665" i="45"/>
  <c r="B667" i="45" s="1"/>
  <c r="M664" i="45"/>
  <c r="L664" i="45"/>
  <c r="L697" i="45" s="1"/>
  <c r="J664" i="45"/>
  <c r="I664" i="45"/>
  <c r="I697" i="45" s="1"/>
  <c r="G664" i="45"/>
  <c r="F664" i="45"/>
  <c r="F697" i="45" s="1"/>
  <c r="K663" i="45"/>
  <c r="H663" i="45"/>
  <c r="H696" i="45" s="1"/>
  <c r="E663" i="45"/>
  <c r="D663" i="45"/>
  <c r="D696" i="45" s="1"/>
  <c r="C663" i="45"/>
  <c r="B663" i="45"/>
  <c r="B696" i="45" s="1"/>
  <c r="K662" i="45"/>
  <c r="K695" i="45" s="1"/>
  <c r="H662" i="45"/>
  <c r="H695" i="45" s="1"/>
  <c r="E662" i="45"/>
  <c r="E695" i="45" s="1"/>
  <c r="D662" i="45"/>
  <c r="D695" i="45" s="1"/>
  <c r="C662" i="45"/>
  <c r="C695" i="45" s="1"/>
  <c r="B662" i="45"/>
  <c r="M657" i="45"/>
  <c r="L657" i="45"/>
  <c r="J657" i="45"/>
  <c r="I657" i="45"/>
  <c r="G657" i="45"/>
  <c r="F657" i="45"/>
  <c r="M656" i="45"/>
  <c r="L656" i="45"/>
  <c r="J656" i="45"/>
  <c r="I656" i="45"/>
  <c r="G656" i="45"/>
  <c r="F656" i="45"/>
  <c r="M655" i="45"/>
  <c r="L655" i="45"/>
  <c r="J655" i="45"/>
  <c r="I655" i="45"/>
  <c r="G655" i="45"/>
  <c r="F655" i="45"/>
  <c r="K654" i="45"/>
  <c r="H654" i="45"/>
  <c r="E654" i="45"/>
  <c r="D654" i="45"/>
  <c r="C654" i="45"/>
  <c r="B654" i="45"/>
  <c r="K653" i="45"/>
  <c r="K655" i="45" s="1"/>
  <c r="H653" i="45"/>
  <c r="H655" i="45" s="1"/>
  <c r="E653" i="45"/>
  <c r="E655" i="45" s="1"/>
  <c r="D653" i="45"/>
  <c r="D655" i="45" s="1"/>
  <c r="C653" i="45"/>
  <c r="C655" i="45" s="1"/>
  <c r="B653" i="45"/>
  <c r="B655" i="45" s="1"/>
  <c r="M652" i="45"/>
  <c r="L652" i="45"/>
  <c r="J652" i="45"/>
  <c r="I652" i="45"/>
  <c r="G652" i="45"/>
  <c r="F652" i="45"/>
  <c r="K651" i="45"/>
  <c r="H651" i="45"/>
  <c r="E651" i="45"/>
  <c r="D651" i="45"/>
  <c r="C651" i="45"/>
  <c r="B651" i="45"/>
  <c r="K650" i="45"/>
  <c r="K652" i="45" s="1"/>
  <c r="H650" i="45"/>
  <c r="H652" i="45" s="1"/>
  <c r="E650" i="45"/>
  <c r="E652" i="45" s="1"/>
  <c r="D650" i="45"/>
  <c r="D652" i="45" s="1"/>
  <c r="C650" i="45"/>
  <c r="C652" i="45" s="1"/>
  <c r="B650" i="45"/>
  <c r="B652" i="45" s="1"/>
  <c r="M649" i="45"/>
  <c r="L649" i="45"/>
  <c r="J649" i="45"/>
  <c r="I649" i="45"/>
  <c r="G649" i="45"/>
  <c r="F649" i="45"/>
  <c r="K648" i="45"/>
  <c r="H648" i="45"/>
  <c r="E648" i="45"/>
  <c r="D648" i="45"/>
  <c r="C648" i="45"/>
  <c r="B648" i="45"/>
  <c r="K647" i="45"/>
  <c r="K649" i="45" s="1"/>
  <c r="H647" i="45"/>
  <c r="H649" i="45" s="1"/>
  <c r="E647" i="45"/>
  <c r="E649" i="45" s="1"/>
  <c r="D647" i="45"/>
  <c r="D649" i="45" s="1"/>
  <c r="C647" i="45"/>
  <c r="C649" i="45" s="1"/>
  <c r="B647" i="45"/>
  <c r="B649" i="45" s="1"/>
  <c r="M646" i="45"/>
  <c r="L646" i="45"/>
  <c r="J646" i="45"/>
  <c r="I646" i="45"/>
  <c r="G646" i="45"/>
  <c r="F646" i="45"/>
  <c r="K645" i="45"/>
  <c r="H645" i="45"/>
  <c r="E645" i="45"/>
  <c r="D645" i="45"/>
  <c r="C645" i="45"/>
  <c r="B645" i="45"/>
  <c r="K644" i="45"/>
  <c r="K646" i="45" s="1"/>
  <c r="H644" i="45"/>
  <c r="H646" i="45" s="1"/>
  <c r="E644" i="45"/>
  <c r="E646" i="45" s="1"/>
  <c r="D644" i="45"/>
  <c r="D646" i="45" s="1"/>
  <c r="C644" i="45"/>
  <c r="C646" i="45" s="1"/>
  <c r="B644" i="45"/>
  <c r="B646" i="45" s="1"/>
  <c r="M643" i="45"/>
  <c r="L643" i="45"/>
  <c r="J643" i="45"/>
  <c r="I643" i="45"/>
  <c r="G643" i="45"/>
  <c r="F643" i="45"/>
  <c r="K642" i="45"/>
  <c r="H642" i="45"/>
  <c r="E642" i="45"/>
  <c r="D642" i="45"/>
  <c r="C642" i="45"/>
  <c r="B642" i="45"/>
  <c r="K641" i="45"/>
  <c r="K643" i="45" s="1"/>
  <c r="H641" i="45"/>
  <c r="H643" i="45" s="1"/>
  <c r="E641" i="45"/>
  <c r="E643" i="45" s="1"/>
  <c r="D641" i="45"/>
  <c r="D643" i="45" s="1"/>
  <c r="C641" i="45"/>
  <c r="C643" i="45" s="1"/>
  <c r="B641" i="45"/>
  <c r="B643" i="45" s="1"/>
  <c r="M640" i="45"/>
  <c r="L640" i="45"/>
  <c r="J640" i="45"/>
  <c r="I640" i="45"/>
  <c r="G640" i="45"/>
  <c r="F640" i="45"/>
  <c r="K639" i="45"/>
  <c r="H639" i="45"/>
  <c r="E639" i="45"/>
  <c r="D639" i="45"/>
  <c r="C639" i="45"/>
  <c r="B639" i="45"/>
  <c r="K638" i="45"/>
  <c r="K640" i="45" s="1"/>
  <c r="H638" i="45"/>
  <c r="H640" i="45" s="1"/>
  <c r="E638" i="45"/>
  <c r="E640" i="45" s="1"/>
  <c r="D638" i="45"/>
  <c r="D640" i="45" s="1"/>
  <c r="C638" i="45"/>
  <c r="C640" i="45" s="1"/>
  <c r="B638" i="45"/>
  <c r="B640" i="45" s="1"/>
  <c r="M637" i="45"/>
  <c r="M658" i="45" s="1"/>
  <c r="L637" i="45"/>
  <c r="L658" i="45" s="1"/>
  <c r="J637" i="45"/>
  <c r="J658" i="45" s="1"/>
  <c r="I637" i="45"/>
  <c r="I658" i="45" s="1"/>
  <c r="G637" i="45"/>
  <c r="G658" i="45" s="1"/>
  <c r="F637" i="45"/>
  <c r="F658" i="45" s="1"/>
  <c r="K636" i="45"/>
  <c r="K657" i="45" s="1"/>
  <c r="H636" i="45"/>
  <c r="H657" i="45" s="1"/>
  <c r="E636" i="45"/>
  <c r="E657" i="45" s="1"/>
  <c r="D636" i="45"/>
  <c r="D657" i="45" s="1"/>
  <c r="C636" i="45"/>
  <c r="C657" i="45" s="1"/>
  <c r="B636" i="45"/>
  <c r="B657" i="45" s="1"/>
  <c r="K635" i="45"/>
  <c r="K656" i="45" s="1"/>
  <c r="H635" i="45"/>
  <c r="H656" i="45" s="1"/>
  <c r="E635" i="45"/>
  <c r="E656" i="45" s="1"/>
  <c r="D635" i="45"/>
  <c r="D656" i="45" s="1"/>
  <c r="C635" i="45"/>
  <c r="C656" i="45" s="1"/>
  <c r="B635" i="45"/>
  <c r="B656" i="45" s="1"/>
  <c r="M630" i="45"/>
  <c r="L630" i="45"/>
  <c r="J630" i="45"/>
  <c r="I630" i="45"/>
  <c r="G630" i="45"/>
  <c r="F630" i="45"/>
  <c r="M629" i="45"/>
  <c r="L629" i="45"/>
  <c r="J629" i="45"/>
  <c r="I629" i="45"/>
  <c r="G629" i="45"/>
  <c r="F629" i="45"/>
  <c r="M628" i="45"/>
  <c r="L628" i="45"/>
  <c r="J628" i="45"/>
  <c r="I628" i="45"/>
  <c r="G628" i="45"/>
  <c r="F628" i="45"/>
  <c r="K627" i="45"/>
  <c r="H627" i="45"/>
  <c r="E627" i="45"/>
  <c r="D627" i="45"/>
  <c r="C627" i="45"/>
  <c r="K626" i="45"/>
  <c r="K628" i="45" s="1"/>
  <c r="H626" i="45"/>
  <c r="E626" i="45"/>
  <c r="E628" i="45" s="1"/>
  <c r="D626" i="45"/>
  <c r="C626" i="45"/>
  <c r="B626" i="45" s="1"/>
  <c r="M625" i="45"/>
  <c r="L625" i="45"/>
  <c r="J625" i="45"/>
  <c r="I625" i="45"/>
  <c r="G625" i="45"/>
  <c r="F625" i="45"/>
  <c r="K624" i="45"/>
  <c r="H624" i="45"/>
  <c r="E624" i="45"/>
  <c r="D624" i="45"/>
  <c r="C624" i="45"/>
  <c r="B624" i="45"/>
  <c r="K623" i="45"/>
  <c r="K625" i="45" s="1"/>
  <c r="H623" i="45"/>
  <c r="H625" i="45" s="1"/>
  <c r="E623" i="45"/>
  <c r="E625" i="45" s="1"/>
  <c r="D623" i="45"/>
  <c r="D625" i="45" s="1"/>
  <c r="C623" i="45"/>
  <c r="C625" i="45" s="1"/>
  <c r="B623" i="45"/>
  <c r="B625" i="45" s="1"/>
  <c r="M622" i="45"/>
  <c r="L622" i="45"/>
  <c r="J622" i="45"/>
  <c r="I622" i="45"/>
  <c r="G622" i="45"/>
  <c r="F622" i="45"/>
  <c r="K621" i="45"/>
  <c r="H621" i="45"/>
  <c r="E621" i="45"/>
  <c r="D621" i="45"/>
  <c r="C621" i="45"/>
  <c r="K620" i="45"/>
  <c r="K622" i="45" s="1"/>
  <c r="H620" i="45"/>
  <c r="E620" i="45"/>
  <c r="E622" i="45" s="1"/>
  <c r="D620" i="45"/>
  <c r="C620" i="45"/>
  <c r="B620" i="45" s="1"/>
  <c r="M619" i="45"/>
  <c r="L619" i="45"/>
  <c r="J619" i="45"/>
  <c r="I619" i="45"/>
  <c r="G619" i="45"/>
  <c r="F619" i="45"/>
  <c r="K618" i="45"/>
  <c r="H618" i="45"/>
  <c r="E618" i="45"/>
  <c r="D618" i="45"/>
  <c r="C618" i="45"/>
  <c r="K617" i="45"/>
  <c r="K619" i="45" s="1"/>
  <c r="H617" i="45"/>
  <c r="E617" i="45"/>
  <c r="E619" i="45" s="1"/>
  <c r="D617" i="45"/>
  <c r="C617" i="45"/>
  <c r="B617" i="45" s="1"/>
  <c r="M616" i="45"/>
  <c r="L616" i="45"/>
  <c r="J616" i="45"/>
  <c r="I616" i="45"/>
  <c r="G616" i="45"/>
  <c r="F616" i="45"/>
  <c r="K615" i="45"/>
  <c r="H615" i="45"/>
  <c r="E615" i="45"/>
  <c r="D615" i="45"/>
  <c r="C615" i="45"/>
  <c r="K614" i="45"/>
  <c r="K616" i="45" s="1"/>
  <c r="H614" i="45"/>
  <c r="E614" i="45"/>
  <c r="E616" i="45" s="1"/>
  <c r="D614" i="45"/>
  <c r="C614" i="45"/>
  <c r="B614" i="45" s="1"/>
  <c r="M613" i="45"/>
  <c r="L613" i="45"/>
  <c r="J613" i="45"/>
  <c r="I613" i="45"/>
  <c r="G613" i="45"/>
  <c r="F613" i="45"/>
  <c r="K612" i="45"/>
  <c r="H612" i="45"/>
  <c r="E612" i="45"/>
  <c r="D612" i="45"/>
  <c r="C612" i="45"/>
  <c r="K611" i="45"/>
  <c r="K613" i="45" s="1"/>
  <c r="H611" i="45"/>
  <c r="E611" i="45"/>
  <c r="E613" i="45" s="1"/>
  <c r="D611" i="45"/>
  <c r="C611" i="45"/>
  <c r="B611" i="45" s="1"/>
  <c r="M610" i="45"/>
  <c r="L610" i="45"/>
  <c r="J610" i="45"/>
  <c r="I610" i="45"/>
  <c r="G610" i="45"/>
  <c r="F610" i="45"/>
  <c r="K609" i="45"/>
  <c r="H609" i="45"/>
  <c r="E609" i="45"/>
  <c r="D609" i="45"/>
  <c r="C609" i="45"/>
  <c r="K608" i="45"/>
  <c r="K610" i="45" s="1"/>
  <c r="H608" i="45"/>
  <c r="E608" i="45"/>
  <c r="E610" i="45" s="1"/>
  <c r="D608" i="45"/>
  <c r="C608" i="45"/>
  <c r="B608" i="45" s="1"/>
  <c r="M607" i="45"/>
  <c r="L607" i="45"/>
  <c r="J607" i="45"/>
  <c r="I607" i="45"/>
  <c r="G607" i="45"/>
  <c r="F607" i="45"/>
  <c r="K606" i="45"/>
  <c r="H606" i="45"/>
  <c r="E606" i="45"/>
  <c r="D606" i="45"/>
  <c r="C606" i="45"/>
  <c r="K605" i="45"/>
  <c r="K607" i="45" s="1"/>
  <c r="H605" i="45"/>
  <c r="E605" i="45"/>
  <c r="E607" i="45" s="1"/>
  <c r="D605" i="45"/>
  <c r="C605" i="45"/>
  <c r="B605" i="45" s="1"/>
  <c r="M604" i="45"/>
  <c r="L604" i="45"/>
  <c r="J604" i="45"/>
  <c r="I604" i="45"/>
  <c r="G604" i="45"/>
  <c r="F604" i="45"/>
  <c r="K603" i="45"/>
  <c r="H603" i="45"/>
  <c r="E603" i="45"/>
  <c r="D603" i="45"/>
  <c r="C603" i="45"/>
  <c r="K602" i="45"/>
  <c r="K604" i="45" s="1"/>
  <c r="H602" i="45"/>
  <c r="E602" i="45"/>
  <c r="E604" i="45" s="1"/>
  <c r="D602" i="45"/>
  <c r="C602" i="45"/>
  <c r="B602" i="45" s="1"/>
  <c r="M601" i="45"/>
  <c r="L601" i="45"/>
  <c r="J601" i="45"/>
  <c r="I601" i="45"/>
  <c r="G601" i="45"/>
  <c r="F601" i="45"/>
  <c r="K600" i="45"/>
  <c r="H600" i="45"/>
  <c r="E600" i="45"/>
  <c r="D600" i="45"/>
  <c r="C600" i="45"/>
  <c r="K599" i="45"/>
  <c r="K601" i="45" s="1"/>
  <c r="H599" i="45"/>
  <c r="E599" i="45"/>
  <c r="E601" i="45" s="1"/>
  <c r="D599" i="45"/>
  <c r="C599" i="45"/>
  <c r="B599" i="45" s="1"/>
  <c r="M598" i="45"/>
  <c r="L598" i="45"/>
  <c r="J598" i="45"/>
  <c r="I598" i="45"/>
  <c r="G598" i="45"/>
  <c r="F598" i="45"/>
  <c r="K597" i="45"/>
  <c r="H597" i="45"/>
  <c r="E597" i="45"/>
  <c r="D597" i="45"/>
  <c r="C597" i="45"/>
  <c r="K596" i="45"/>
  <c r="K598" i="45" s="1"/>
  <c r="H596" i="45"/>
  <c r="E596" i="45"/>
  <c r="E598" i="45" s="1"/>
  <c r="D596" i="45"/>
  <c r="C596" i="45"/>
  <c r="B596" i="45" s="1"/>
  <c r="M595" i="45"/>
  <c r="L595" i="45"/>
  <c r="J595" i="45"/>
  <c r="I595" i="45"/>
  <c r="G595" i="45"/>
  <c r="F595" i="45"/>
  <c r="K594" i="45"/>
  <c r="H594" i="45"/>
  <c r="E594" i="45"/>
  <c r="D594" i="45"/>
  <c r="C594" i="45"/>
  <c r="B594" i="45"/>
  <c r="K593" i="45"/>
  <c r="K595" i="45" s="1"/>
  <c r="H593" i="45"/>
  <c r="H595" i="45" s="1"/>
  <c r="E593" i="45"/>
  <c r="E595" i="45" s="1"/>
  <c r="D593" i="45"/>
  <c r="D595" i="45" s="1"/>
  <c r="C593" i="45"/>
  <c r="C595" i="45" s="1"/>
  <c r="B593" i="45"/>
  <c r="B595" i="45" s="1"/>
  <c r="M592" i="45"/>
  <c r="L592" i="45"/>
  <c r="J592" i="45"/>
  <c r="I592" i="45"/>
  <c r="G592" i="45"/>
  <c r="F592" i="45"/>
  <c r="K591" i="45"/>
  <c r="H591" i="45"/>
  <c r="E591" i="45"/>
  <c r="D591" i="45"/>
  <c r="C591" i="45"/>
  <c r="B591" i="45"/>
  <c r="K590" i="45"/>
  <c r="K592" i="45" s="1"/>
  <c r="H590" i="45"/>
  <c r="H592" i="45" s="1"/>
  <c r="E590" i="45"/>
  <c r="E592" i="45" s="1"/>
  <c r="D590" i="45"/>
  <c r="D592" i="45" s="1"/>
  <c r="C590" i="45"/>
  <c r="C592" i="45" s="1"/>
  <c r="B590" i="45"/>
  <c r="B592" i="45" s="1"/>
  <c r="M589" i="45"/>
  <c r="L589" i="45"/>
  <c r="J589" i="45"/>
  <c r="I589" i="45"/>
  <c r="G589" i="45"/>
  <c r="F589" i="45"/>
  <c r="K588" i="45"/>
  <c r="H588" i="45"/>
  <c r="E588" i="45"/>
  <c r="D588" i="45"/>
  <c r="C588" i="45"/>
  <c r="B588" i="45"/>
  <c r="K587" i="45"/>
  <c r="K589" i="45" s="1"/>
  <c r="H587" i="45"/>
  <c r="H589" i="45" s="1"/>
  <c r="E587" i="45"/>
  <c r="E589" i="45" s="1"/>
  <c r="D587" i="45"/>
  <c r="D589" i="45" s="1"/>
  <c r="C587" i="45"/>
  <c r="C589" i="45" s="1"/>
  <c r="B587" i="45"/>
  <c r="B589" i="45" s="1"/>
  <c r="M586" i="45"/>
  <c r="L586" i="45"/>
  <c r="J586" i="45"/>
  <c r="I586" i="45"/>
  <c r="G586" i="45"/>
  <c r="F586" i="45"/>
  <c r="K585" i="45"/>
  <c r="H585" i="45"/>
  <c r="E585" i="45"/>
  <c r="D585" i="45"/>
  <c r="C585" i="45"/>
  <c r="B585" i="45"/>
  <c r="K584" i="45"/>
  <c r="K586" i="45" s="1"/>
  <c r="H584" i="45"/>
  <c r="H586" i="45" s="1"/>
  <c r="E584" i="45"/>
  <c r="E586" i="45" s="1"/>
  <c r="D584" i="45"/>
  <c r="D586" i="45" s="1"/>
  <c r="C584" i="45"/>
  <c r="C586" i="45" s="1"/>
  <c r="B584" i="45"/>
  <c r="B586" i="45" s="1"/>
  <c r="M583" i="45"/>
  <c r="L583" i="45"/>
  <c r="J583" i="45"/>
  <c r="I583" i="45"/>
  <c r="G583" i="45"/>
  <c r="F583" i="45"/>
  <c r="K582" i="45"/>
  <c r="H582" i="45"/>
  <c r="E582" i="45"/>
  <c r="D582" i="45"/>
  <c r="C582" i="45"/>
  <c r="B582" i="45"/>
  <c r="K581" i="45"/>
  <c r="K583" i="45" s="1"/>
  <c r="H581" i="45"/>
  <c r="H583" i="45" s="1"/>
  <c r="E581" i="45"/>
  <c r="E583" i="45" s="1"/>
  <c r="D581" i="45"/>
  <c r="D583" i="45" s="1"/>
  <c r="C581" i="45"/>
  <c r="C583" i="45" s="1"/>
  <c r="B581" i="45"/>
  <c r="B583" i="45" s="1"/>
  <c r="M580" i="45"/>
  <c r="L580" i="45"/>
  <c r="J580" i="45"/>
  <c r="I580" i="45"/>
  <c r="G580" i="45"/>
  <c r="F580" i="45"/>
  <c r="K579" i="45"/>
  <c r="H579" i="45"/>
  <c r="E579" i="45"/>
  <c r="D579" i="45"/>
  <c r="C579" i="45"/>
  <c r="B579" i="45"/>
  <c r="K578" i="45"/>
  <c r="K580" i="45" s="1"/>
  <c r="H578" i="45"/>
  <c r="H580" i="45" s="1"/>
  <c r="E578" i="45"/>
  <c r="E580" i="45" s="1"/>
  <c r="D578" i="45"/>
  <c r="D580" i="45" s="1"/>
  <c r="C578" i="45"/>
  <c r="C580" i="45" s="1"/>
  <c r="B578" i="45"/>
  <c r="B580" i="45" s="1"/>
  <c r="M577" i="45"/>
  <c r="L577" i="45"/>
  <c r="J577" i="45"/>
  <c r="I577" i="45"/>
  <c r="G577" i="45"/>
  <c r="F577" i="45"/>
  <c r="K576" i="45"/>
  <c r="H576" i="45"/>
  <c r="E576" i="45"/>
  <c r="D576" i="45"/>
  <c r="C576" i="45"/>
  <c r="B576" i="45"/>
  <c r="K575" i="45"/>
  <c r="K577" i="45" s="1"/>
  <c r="H575" i="45"/>
  <c r="H577" i="45" s="1"/>
  <c r="E575" i="45"/>
  <c r="E577" i="45" s="1"/>
  <c r="D575" i="45"/>
  <c r="D577" i="45" s="1"/>
  <c r="C575" i="45"/>
  <c r="C577" i="45" s="1"/>
  <c r="B575" i="45"/>
  <c r="B577" i="45" s="1"/>
  <c r="M574" i="45"/>
  <c r="L574" i="45"/>
  <c r="J574" i="45"/>
  <c r="I574" i="45"/>
  <c r="G574" i="45"/>
  <c r="F574" i="45"/>
  <c r="K573" i="45"/>
  <c r="H573" i="45"/>
  <c r="E573" i="45"/>
  <c r="D573" i="45"/>
  <c r="C573" i="45"/>
  <c r="B573" i="45"/>
  <c r="K572" i="45"/>
  <c r="K574" i="45" s="1"/>
  <c r="H572" i="45"/>
  <c r="H574" i="45" s="1"/>
  <c r="E572" i="45"/>
  <c r="E574" i="45" s="1"/>
  <c r="D572" i="45"/>
  <c r="D574" i="45" s="1"/>
  <c r="C572" i="45"/>
  <c r="C574" i="45" s="1"/>
  <c r="B572" i="45"/>
  <c r="B574" i="45" s="1"/>
  <c r="M571" i="45"/>
  <c r="L571" i="45"/>
  <c r="J571" i="45"/>
  <c r="I571" i="45"/>
  <c r="G571" i="45"/>
  <c r="F571" i="45"/>
  <c r="K570" i="45"/>
  <c r="H570" i="45"/>
  <c r="E570" i="45"/>
  <c r="D570" i="45"/>
  <c r="C570" i="45"/>
  <c r="B570" i="45"/>
  <c r="K569" i="45"/>
  <c r="K571" i="45" s="1"/>
  <c r="H569" i="45"/>
  <c r="H571" i="45" s="1"/>
  <c r="E569" i="45"/>
  <c r="E571" i="45" s="1"/>
  <c r="D569" i="45"/>
  <c r="D571" i="45" s="1"/>
  <c r="C569" i="45"/>
  <c r="C571" i="45" s="1"/>
  <c r="B569" i="45"/>
  <c r="B571" i="45" s="1"/>
  <c r="M568" i="45"/>
  <c r="M631" i="45" s="1"/>
  <c r="L568" i="45"/>
  <c r="L631" i="45" s="1"/>
  <c r="J568" i="45"/>
  <c r="J631" i="45" s="1"/>
  <c r="I568" i="45"/>
  <c r="I631" i="45" s="1"/>
  <c r="G568" i="45"/>
  <c r="G631" i="45" s="1"/>
  <c r="F568" i="45"/>
  <c r="F631" i="45" s="1"/>
  <c r="K567" i="45"/>
  <c r="K630" i="45" s="1"/>
  <c r="H567" i="45"/>
  <c r="H630" i="45" s="1"/>
  <c r="E567" i="45"/>
  <c r="E630" i="45" s="1"/>
  <c r="D567" i="45"/>
  <c r="D630" i="45" s="1"/>
  <c r="C567" i="45"/>
  <c r="C630" i="45" s="1"/>
  <c r="B567" i="45"/>
  <c r="K566" i="45"/>
  <c r="K629" i="45" s="1"/>
  <c r="H566" i="45"/>
  <c r="H629" i="45" s="1"/>
  <c r="E566" i="45"/>
  <c r="E629" i="45" s="1"/>
  <c r="D566" i="45"/>
  <c r="D629" i="45" s="1"/>
  <c r="C566" i="45"/>
  <c r="C629" i="45" s="1"/>
  <c r="B566" i="45"/>
  <c r="B629" i="45" s="1"/>
  <c r="M561" i="45"/>
  <c r="L561" i="45"/>
  <c r="J561" i="45"/>
  <c r="I561" i="45"/>
  <c r="G561" i="45"/>
  <c r="F561" i="45"/>
  <c r="M560" i="45"/>
  <c r="L560" i="45"/>
  <c r="J560" i="45"/>
  <c r="I560" i="45"/>
  <c r="G560" i="45"/>
  <c r="F560" i="45"/>
  <c r="M559" i="45"/>
  <c r="L559" i="45"/>
  <c r="J559" i="45"/>
  <c r="I559" i="45"/>
  <c r="G559" i="45"/>
  <c r="F559" i="45"/>
  <c r="K558" i="45"/>
  <c r="H558" i="45"/>
  <c r="E558" i="45"/>
  <c r="D558" i="45"/>
  <c r="C558" i="45"/>
  <c r="K557" i="45"/>
  <c r="K559" i="45" s="1"/>
  <c r="H557" i="45"/>
  <c r="E557" i="45"/>
  <c r="E559" i="45" s="1"/>
  <c r="D557" i="45"/>
  <c r="C557" i="45"/>
  <c r="B557" i="45" s="1"/>
  <c r="M556" i="45"/>
  <c r="L556" i="45"/>
  <c r="J556" i="45"/>
  <c r="I556" i="45"/>
  <c r="G556" i="45"/>
  <c r="F556" i="45"/>
  <c r="K555" i="45"/>
  <c r="H555" i="45"/>
  <c r="E555" i="45"/>
  <c r="D555" i="45"/>
  <c r="C555" i="45"/>
  <c r="K554" i="45"/>
  <c r="K556" i="45" s="1"/>
  <c r="H554" i="45"/>
  <c r="E554" i="45"/>
  <c r="E556" i="45" s="1"/>
  <c r="D554" i="45"/>
  <c r="C554" i="45"/>
  <c r="B554" i="45" s="1"/>
  <c r="M553" i="45"/>
  <c r="L553" i="45"/>
  <c r="J553" i="45"/>
  <c r="I553" i="45"/>
  <c r="G553" i="45"/>
  <c r="F553" i="45"/>
  <c r="K552" i="45"/>
  <c r="H552" i="45"/>
  <c r="E552" i="45"/>
  <c r="D552" i="45"/>
  <c r="C552" i="45"/>
  <c r="K551" i="45"/>
  <c r="K553" i="45" s="1"/>
  <c r="H551" i="45"/>
  <c r="E551" i="45"/>
  <c r="E553" i="45" s="1"/>
  <c r="D551" i="45"/>
  <c r="C551" i="45"/>
  <c r="B551" i="45" s="1"/>
  <c r="M550" i="45"/>
  <c r="L550" i="45"/>
  <c r="J550" i="45"/>
  <c r="I550" i="45"/>
  <c r="G550" i="45"/>
  <c r="F550" i="45"/>
  <c r="K549" i="45"/>
  <c r="H549" i="45"/>
  <c r="E549" i="45"/>
  <c r="D549" i="45"/>
  <c r="C549" i="45"/>
  <c r="K548" i="45"/>
  <c r="K550" i="45" s="1"/>
  <c r="H548" i="45"/>
  <c r="E548" i="45"/>
  <c r="E550" i="45" s="1"/>
  <c r="D548" i="45"/>
  <c r="C548" i="45"/>
  <c r="B548" i="45" s="1"/>
  <c r="M547" i="45"/>
  <c r="L547" i="45"/>
  <c r="J547" i="45"/>
  <c r="I547" i="45"/>
  <c r="G547" i="45"/>
  <c r="F547" i="45"/>
  <c r="K546" i="45"/>
  <c r="H546" i="45"/>
  <c r="E546" i="45"/>
  <c r="D546" i="45"/>
  <c r="C546" i="45"/>
  <c r="K545" i="45"/>
  <c r="K547" i="45" s="1"/>
  <c r="H545" i="45"/>
  <c r="E545" i="45"/>
  <c r="E547" i="45" s="1"/>
  <c r="D545" i="45"/>
  <c r="C545" i="45"/>
  <c r="B545" i="45" s="1"/>
  <c r="M544" i="45"/>
  <c r="L544" i="45"/>
  <c r="J544" i="45"/>
  <c r="I544" i="45"/>
  <c r="G544" i="45"/>
  <c r="F544" i="45"/>
  <c r="K543" i="45"/>
  <c r="H543" i="45"/>
  <c r="E543" i="45"/>
  <c r="D543" i="45"/>
  <c r="C543" i="45"/>
  <c r="K542" i="45"/>
  <c r="K544" i="45" s="1"/>
  <c r="H542" i="45"/>
  <c r="E542" i="45"/>
  <c r="E544" i="45" s="1"/>
  <c r="D542" i="45"/>
  <c r="C542" i="45"/>
  <c r="B542" i="45" s="1"/>
  <c r="M541" i="45"/>
  <c r="L541" i="45"/>
  <c r="J541" i="45"/>
  <c r="I541" i="45"/>
  <c r="G541" i="45"/>
  <c r="F541" i="45"/>
  <c r="K540" i="45"/>
  <c r="H540" i="45"/>
  <c r="E540" i="45"/>
  <c r="D540" i="45"/>
  <c r="C540" i="45"/>
  <c r="K539" i="45"/>
  <c r="K541" i="45" s="1"/>
  <c r="H539" i="45"/>
  <c r="E539" i="45"/>
  <c r="E541" i="45" s="1"/>
  <c r="D539" i="45"/>
  <c r="C539" i="45"/>
  <c r="B539" i="45" s="1"/>
  <c r="M538" i="45"/>
  <c r="L538" i="45"/>
  <c r="J538" i="45"/>
  <c r="I538" i="45"/>
  <c r="G538" i="45"/>
  <c r="F538" i="45"/>
  <c r="K537" i="45"/>
  <c r="H537" i="45"/>
  <c r="E537" i="45"/>
  <c r="D537" i="45"/>
  <c r="C537" i="45"/>
  <c r="K536" i="45"/>
  <c r="K538" i="45" s="1"/>
  <c r="H536" i="45"/>
  <c r="E536" i="45"/>
  <c r="E538" i="45" s="1"/>
  <c r="D536" i="45"/>
  <c r="C536" i="45"/>
  <c r="C538" i="45" s="1"/>
  <c r="M535" i="45"/>
  <c r="L535" i="45"/>
  <c r="J535" i="45"/>
  <c r="I535" i="45"/>
  <c r="G535" i="45"/>
  <c r="F535" i="45"/>
  <c r="K534" i="45"/>
  <c r="H534" i="45"/>
  <c r="E534" i="45"/>
  <c r="D534" i="45"/>
  <c r="C534" i="45"/>
  <c r="B534" i="45" s="1"/>
  <c r="K533" i="45"/>
  <c r="H533" i="45"/>
  <c r="H535" i="45" s="1"/>
  <c r="E533" i="45"/>
  <c r="D533" i="45"/>
  <c r="D535" i="45" s="1"/>
  <c r="C533" i="45"/>
  <c r="M532" i="45"/>
  <c r="L532" i="45"/>
  <c r="J532" i="45"/>
  <c r="I532" i="45"/>
  <c r="G532" i="45"/>
  <c r="F532" i="45"/>
  <c r="K531" i="45"/>
  <c r="H531" i="45"/>
  <c r="E531" i="45"/>
  <c r="D531" i="45"/>
  <c r="C531" i="45"/>
  <c r="B531" i="45" s="1"/>
  <c r="K530" i="45"/>
  <c r="H530" i="45"/>
  <c r="H532" i="45" s="1"/>
  <c r="E530" i="45"/>
  <c r="D530" i="45"/>
  <c r="D532" i="45" s="1"/>
  <c r="C530" i="45"/>
  <c r="M529" i="45"/>
  <c r="L529" i="45"/>
  <c r="J529" i="45"/>
  <c r="I529" i="45"/>
  <c r="G529" i="45"/>
  <c r="F529" i="45"/>
  <c r="K528" i="45"/>
  <c r="H528" i="45"/>
  <c r="E528" i="45"/>
  <c r="D528" i="45"/>
  <c r="C528" i="45"/>
  <c r="B528" i="45" s="1"/>
  <c r="K527" i="45"/>
  <c r="H527" i="45"/>
  <c r="H529" i="45" s="1"/>
  <c r="E527" i="45"/>
  <c r="D527" i="45"/>
  <c r="D529" i="45" s="1"/>
  <c r="C527" i="45"/>
  <c r="M526" i="45"/>
  <c r="L526" i="45"/>
  <c r="J526" i="45"/>
  <c r="I526" i="45"/>
  <c r="G526" i="45"/>
  <c r="F526" i="45"/>
  <c r="K525" i="45"/>
  <c r="H525" i="45"/>
  <c r="E525" i="45"/>
  <c r="D525" i="45"/>
  <c r="C525" i="45"/>
  <c r="B525" i="45" s="1"/>
  <c r="K524" i="45"/>
  <c r="H524" i="45"/>
  <c r="H526" i="45" s="1"/>
  <c r="E524" i="45"/>
  <c r="D524" i="45"/>
  <c r="D526" i="45" s="1"/>
  <c r="C524" i="45"/>
  <c r="M523" i="45"/>
  <c r="L523" i="45"/>
  <c r="J523" i="45"/>
  <c r="I523" i="45"/>
  <c r="G523" i="45"/>
  <c r="F523" i="45"/>
  <c r="K522" i="45"/>
  <c r="H522" i="45"/>
  <c r="E522" i="45"/>
  <c r="D522" i="45"/>
  <c r="C522" i="45"/>
  <c r="B522" i="45" s="1"/>
  <c r="K521" i="45"/>
  <c r="H521" i="45"/>
  <c r="H523" i="45" s="1"/>
  <c r="E521" i="45"/>
  <c r="D521" i="45"/>
  <c r="D523" i="45" s="1"/>
  <c r="C521" i="45"/>
  <c r="M520" i="45"/>
  <c r="L520" i="45"/>
  <c r="J520" i="45"/>
  <c r="I520" i="45"/>
  <c r="G520" i="45"/>
  <c r="F520" i="45"/>
  <c r="K519" i="45"/>
  <c r="H519" i="45"/>
  <c r="E519" i="45"/>
  <c r="D519" i="45"/>
  <c r="C519" i="45"/>
  <c r="B519" i="45" s="1"/>
  <c r="K518" i="45"/>
  <c r="H518" i="45"/>
  <c r="H520" i="45" s="1"/>
  <c r="E518" i="45"/>
  <c r="D518" i="45"/>
  <c r="D520" i="45" s="1"/>
  <c r="C518" i="45"/>
  <c r="M517" i="45"/>
  <c r="L517" i="45"/>
  <c r="J517" i="45"/>
  <c r="I517" i="45"/>
  <c r="G517" i="45"/>
  <c r="F517" i="45"/>
  <c r="K516" i="45"/>
  <c r="H516" i="45"/>
  <c r="E516" i="45"/>
  <c r="D516" i="45"/>
  <c r="C516" i="45"/>
  <c r="B516" i="45" s="1"/>
  <c r="K515" i="45"/>
  <c r="H515" i="45"/>
  <c r="H517" i="45" s="1"/>
  <c r="E515" i="45"/>
  <c r="D515" i="45"/>
  <c r="D517" i="45" s="1"/>
  <c r="C515" i="45"/>
  <c r="M514" i="45"/>
  <c r="L514" i="45"/>
  <c r="J514" i="45"/>
  <c r="I514" i="45"/>
  <c r="G514" i="45"/>
  <c r="F514" i="45"/>
  <c r="K513" i="45"/>
  <c r="H513" i="45"/>
  <c r="E513" i="45"/>
  <c r="D513" i="45"/>
  <c r="C513" i="45"/>
  <c r="B513" i="45" s="1"/>
  <c r="K512" i="45"/>
  <c r="H512" i="45"/>
  <c r="H514" i="45" s="1"/>
  <c r="E512" i="45"/>
  <c r="D512" i="45"/>
  <c r="D514" i="45" s="1"/>
  <c r="C512" i="45"/>
  <c r="M511" i="45"/>
  <c r="L511" i="45"/>
  <c r="J511" i="45"/>
  <c r="I511" i="45"/>
  <c r="G511" i="45"/>
  <c r="F511" i="45"/>
  <c r="K510" i="45"/>
  <c r="H510" i="45"/>
  <c r="E510" i="45"/>
  <c r="D510" i="45"/>
  <c r="C510" i="45"/>
  <c r="B510" i="45" s="1"/>
  <c r="K509" i="45"/>
  <c r="H509" i="45"/>
  <c r="H511" i="45" s="1"/>
  <c r="E509" i="45"/>
  <c r="D509" i="45"/>
  <c r="D511" i="45" s="1"/>
  <c r="C509" i="45"/>
  <c r="M508" i="45"/>
  <c r="L508" i="45"/>
  <c r="J508" i="45"/>
  <c r="I508" i="45"/>
  <c r="G508" i="45"/>
  <c r="F508" i="45"/>
  <c r="K507" i="45"/>
  <c r="H507" i="45"/>
  <c r="E507" i="45"/>
  <c r="D507" i="45"/>
  <c r="C507" i="45"/>
  <c r="B507" i="45" s="1"/>
  <c r="K506" i="45"/>
  <c r="K508" i="45" s="1"/>
  <c r="H506" i="45"/>
  <c r="H508" i="45" s="1"/>
  <c r="E506" i="45"/>
  <c r="E508" i="45" s="1"/>
  <c r="D506" i="45"/>
  <c r="D508" i="45" s="1"/>
  <c r="C506" i="45"/>
  <c r="C508" i="45" s="1"/>
  <c r="M505" i="45"/>
  <c r="L505" i="45"/>
  <c r="J505" i="45"/>
  <c r="I505" i="45"/>
  <c r="G505" i="45"/>
  <c r="F505" i="45"/>
  <c r="K504" i="45"/>
  <c r="H504" i="45"/>
  <c r="E504" i="45"/>
  <c r="D504" i="45"/>
  <c r="C504" i="45"/>
  <c r="B504" i="45" s="1"/>
  <c r="K503" i="45"/>
  <c r="H503" i="45"/>
  <c r="H505" i="45" s="1"/>
  <c r="E503" i="45"/>
  <c r="D503" i="45"/>
  <c r="D505" i="45" s="1"/>
  <c r="C503" i="45"/>
  <c r="M502" i="45"/>
  <c r="L502" i="45"/>
  <c r="J502" i="45"/>
  <c r="I502" i="45"/>
  <c r="G502" i="45"/>
  <c r="F502" i="45"/>
  <c r="K501" i="45"/>
  <c r="H501" i="45"/>
  <c r="E501" i="45"/>
  <c r="D501" i="45"/>
  <c r="C501" i="45"/>
  <c r="B501" i="45" s="1"/>
  <c r="K500" i="45"/>
  <c r="H500" i="45"/>
  <c r="H502" i="45" s="1"/>
  <c r="E500" i="45"/>
  <c r="D500" i="45"/>
  <c r="D502" i="45" s="1"/>
  <c r="C500" i="45"/>
  <c r="M499" i="45"/>
  <c r="L499" i="45"/>
  <c r="J499" i="45"/>
  <c r="I499" i="45"/>
  <c r="G499" i="45"/>
  <c r="F499" i="45"/>
  <c r="K498" i="45"/>
  <c r="H498" i="45"/>
  <c r="E498" i="45"/>
  <c r="D498" i="45"/>
  <c r="C498" i="45"/>
  <c r="B498" i="45" s="1"/>
  <c r="K497" i="45"/>
  <c r="H497" i="45"/>
  <c r="H499" i="45" s="1"/>
  <c r="E497" i="45"/>
  <c r="D497" i="45"/>
  <c r="D499" i="45" s="1"/>
  <c r="C497" i="45"/>
  <c r="M496" i="45"/>
  <c r="L496" i="45"/>
  <c r="J496" i="45"/>
  <c r="I496" i="45"/>
  <c r="G496" i="45"/>
  <c r="F496" i="45"/>
  <c r="K495" i="45"/>
  <c r="H495" i="45"/>
  <c r="E495" i="45"/>
  <c r="D495" i="45"/>
  <c r="C495" i="45"/>
  <c r="B495" i="45" s="1"/>
  <c r="K494" i="45"/>
  <c r="H494" i="45"/>
  <c r="H496" i="45" s="1"/>
  <c r="E494" i="45"/>
  <c r="D494" i="45"/>
  <c r="D496" i="45" s="1"/>
  <c r="C494" i="45"/>
  <c r="M493" i="45"/>
  <c r="L493" i="45"/>
  <c r="J493" i="45"/>
  <c r="I493" i="45"/>
  <c r="G493" i="45"/>
  <c r="F493" i="45"/>
  <c r="K492" i="45"/>
  <c r="H492" i="45"/>
  <c r="E492" i="45"/>
  <c r="D492" i="45"/>
  <c r="C492" i="45"/>
  <c r="B492" i="45" s="1"/>
  <c r="K491" i="45"/>
  <c r="H491" i="45"/>
  <c r="H493" i="45" s="1"/>
  <c r="E491" i="45"/>
  <c r="D491" i="45"/>
  <c r="D493" i="45" s="1"/>
  <c r="C491" i="45"/>
  <c r="M490" i="45"/>
  <c r="L490" i="45"/>
  <c r="J490" i="45"/>
  <c r="I490" i="45"/>
  <c r="G490" i="45"/>
  <c r="F490" i="45"/>
  <c r="K489" i="45"/>
  <c r="H489" i="45"/>
  <c r="E489" i="45"/>
  <c r="D489" i="45"/>
  <c r="C489" i="45"/>
  <c r="B489" i="45" s="1"/>
  <c r="K488" i="45"/>
  <c r="H488" i="45"/>
  <c r="H490" i="45" s="1"/>
  <c r="E488" i="45"/>
  <c r="D488" i="45"/>
  <c r="D490" i="45" s="1"/>
  <c r="C488" i="45"/>
  <c r="M487" i="45"/>
  <c r="L487" i="45"/>
  <c r="J487" i="45"/>
  <c r="I487" i="45"/>
  <c r="G487" i="45"/>
  <c r="F487" i="45"/>
  <c r="K486" i="45"/>
  <c r="H486" i="45"/>
  <c r="E486" i="45"/>
  <c r="D486" i="45"/>
  <c r="C486" i="45"/>
  <c r="B486" i="45" s="1"/>
  <c r="K485" i="45"/>
  <c r="H485" i="45"/>
  <c r="H487" i="45" s="1"/>
  <c r="E485" i="45"/>
  <c r="D485" i="45"/>
  <c r="D487" i="45" s="1"/>
  <c r="C485" i="45"/>
  <c r="M484" i="45"/>
  <c r="L484" i="45"/>
  <c r="J484" i="45"/>
  <c r="I484" i="45"/>
  <c r="G484" i="45"/>
  <c r="F484" i="45"/>
  <c r="K483" i="45"/>
  <c r="H483" i="45"/>
  <c r="E483" i="45"/>
  <c r="D483" i="45"/>
  <c r="C483" i="45"/>
  <c r="B483" i="45" s="1"/>
  <c r="K482" i="45"/>
  <c r="H482" i="45"/>
  <c r="H484" i="45" s="1"/>
  <c r="E482" i="45"/>
  <c r="D482" i="45"/>
  <c r="D484" i="45" s="1"/>
  <c r="C482" i="45"/>
  <c r="M481" i="45"/>
  <c r="L481" i="45"/>
  <c r="J481" i="45"/>
  <c r="I481" i="45"/>
  <c r="G481" i="45"/>
  <c r="F481" i="45"/>
  <c r="K480" i="45"/>
  <c r="H480" i="45"/>
  <c r="E480" i="45"/>
  <c r="D480" i="45"/>
  <c r="C480" i="45"/>
  <c r="B480" i="45" s="1"/>
  <c r="K479" i="45"/>
  <c r="H479" i="45"/>
  <c r="H481" i="45" s="1"/>
  <c r="E479" i="45"/>
  <c r="D479" i="45"/>
  <c r="D481" i="45" s="1"/>
  <c r="C479" i="45"/>
  <c r="M478" i="45"/>
  <c r="L478" i="45"/>
  <c r="J478" i="45"/>
  <c r="I478" i="45"/>
  <c r="G478" i="45"/>
  <c r="F478" i="45"/>
  <c r="K477" i="45"/>
  <c r="H477" i="45"/>
  <c r="E477" i="45"/>
  <c r="D477" i="45"/>
  <c r="C477" i="45"/>
  <c r="B477" i="45" s="1"/>
  <c r="K476" i="45"/>
  <c r="H476" i="45"/>
  <c r="H478" i="45" s="1"/>
  <c r="E476" i="45"/>
  <c r="D476" i="45"/>
  <c r="D478" i="45" s="1"/>
  <c r="C476" i="45"/>
  <c r="M475" i="45"/>
  <c r="L475" i="45"/>
  <c r="J475" i="45"/>
  <c r="I475" i="45"/>
  <c r="G475" i="45"/>
  <c r="F475" i="45"/>
  <c r="K474" i="45"/>
  <c r="H474" i="45"/>
  <c r="E474" i="45"/>
  <c r="D474" i="45"/>
  <c r="C474" i="45"/>
  <c r="B474" i="45" s="1"/>
  <c r="K473" i="45"/>
  <c r="H473" i="45"/>
  <c r="H475" i="45" s="1"/>
  <c r="E473" i="45"/>
  <c r="D473" i="45"/>
  <c r="D475" i="45" s="1"/>
  <c r="C473" i="45"/>
  <c r="M472" i="45"/>
  <c r="L472" i="45"/>
  <c r="J472" i="45"/>
  <c r="I472" i="45"/>
  <c r="G472" i="45"/>
  <c r="F472" i="45"/>
  <c r="K471" i="45"/>
  <c r="H471" i="45"/>
  <c r="E471" i="45"/>
  <c r="D471" i="45"/>
  <c r="C471" i="45"/>
  <c r="B471" i="45" s="1"/>
  <c r="K470" i="45"/>
  <c r="H470" i="45"/>
  <c r="H472" i="45" s="1"/>
  <c r="E470" i="45"/>
  <c r="D470" i="45"/>
  <c r="D472" i="45" s="1"/>
  <c r="C470" i="45"/>
  <c r="M469" i="45"/>
  <c r="L469" i="45"/>
  <c r="J469" i="45"/>
  <c r="I469" i="45"/>
  <c r="G469" i="45"/>
  <c r="F469" i="45"/>
  <c r="K468" i="45"/>
  <c r="H468" i="45"/>
  <c r="E468" i="45"/>
  <c r="D468" i="45"/>
  <c r="C468" i="45"/>
  <c r="B468" i="45" s="1"/>
  <c r="K467" i="45"/>
  <c r="H467" i="45"/>
  <c r="H469" i="45" s="1"/>
  <c r="E467" i="45"/>
  <c r="D467" i="45"/>
  <c r="D469" i="45" s="1"/>
  <c r="C467" i="45"/>
  <c r="M466" i="45"/>
  <c r="L466" i="45"/>
  <c r="J466" i="45"/>
  <c r="I466" i="45"/>
  <c r="G466" i="45"/>
  <c r="F466" i="45"/>
  <c r="K465" i="45"/>
  <c r="H465" i="45"/>
  <c r="E465" i="45"/>
  <c r="D465" i="45"/>
  <c r="C465" i="45"/>
  <c r="B465" i="45" s="1"/>
  <c r="K464" i="45"/>
  <c r="H464" i="45"/>
  <c r="H466" i="45" s="1"/>
  <c r="E464" i="45"/>
  <c r="D464" i="45"/>
  <c r="D466" i="45" s="1"/>
  <c r="C464" i="45"/>
  <c r="M463" i="45"/>
  <c r="M562" i="45" s="1"/>
  <c r="L463" i="45"/>
  <c r="L562" i="45" s="1"/>
  <c r="J463" i="45"/>
  <c r="J562" i="45" s="1"/>
  <c r="I463" i="45"/>
  <c r="I562" i="45" s="1"/>
  <c r="G463" i="45"/>
  <c r="G562" i="45" s="1"/>
  <c r="F463" i="45"/>
  <c r="F562" i="45" s="1"/>
  <c r="K462" i="45"/>
  <c r="K561" i="45" s="1"/>
  <c r="H462" i="45"/>
  <c r="H561" i="45" s="1"/>
  <c r="E462" i="45"/>
  <c r="E561" i="45" s="1"/>
  <c r="D462" i="45"/>
  <c r="D561" i="45" s="1"/>
  <c r="C462" i="45"/>
  <c r="B462" i="45" s="1"/>
  <c r="K461" i="45"/>
  <c r="K560" i="45" s="1"/>
  <c r="H461" i="45"/>
  <c r="H560" i="45" s="1"/>
  <c r="E461" i="45"/>
  <c r="E560" i="45" s="1"/>
  <c r="D461" i="45"/>
  <c r="D560" i="45" s="1"/>
  <c r="C461" i="45"/>
  <c r="M456" i="45"/>
  <c r="L456" i="45"/>
  <c r="J456" i="45"/>
  <c r="I456" i="45"/>
  <c r="G456" i="45"/>
  <c r="F456" i="45"/>
  <c r="M455" i="45"/>
  <c r="L455" i="45"/>
  <c r="J455" i="45"/>
  <c r="I455" i="45"/>
  <c r="G455" i="45"/>
  <c r="F455" i="45"/>
  <c r="M454" i="45"/>
  <c r="L454" i="45"/>
  <c r="J454" i="45"/>
  <c r="I454" i="45"/>
  <c r="G454" i="45"/>
  <c r="F454" i="45"/>
  <c r="K453" i="45"/>
  <c r="H453" i="45"/>
  <c r="E453" i="45"/>
  <c r="D453" i="45"/>
  <c r="C453" i="45"/>
  <c r="B453" i="45" s="1"/>
  <c r="K452" i="45"/>
  <c r="K454" i="45" s="1"/>
  <c r="H452" i="45"/>
  <c r="H454" i="45" s="1"/>
  <c r="E452" i="45"/>
  <c r="E454" i="45" s="1"/>
  <c r="D452" i="45"/>
  <c r="D454" i="45" s="1"/>
  <c r="C452" i="45"/>
  <c r="B452" i="45" s="1"/>
  <c r="B454" i="45" s="1"/>
  <c r="M451" i="45"/>
  <c r="L451" i="45"/>
  <c r="J451" i="45"/>
  <c r="I451" i="45"/>
  <c r="G451" i="45"/>
  <c r="F451" i="45"/>
  <c r="K450" i="45"/>
  <c r="H450" i="45"/>
  <c r="E450" i="45"/>
  <c r="D450" i="45"/>
  <c r="C450" i="45"/>
  <c r="B450" i="45" s="1"/>
  <c r="K449" i="45"/>
  <c r="K451" i="45" s="1"/>
  <c r="H449" i="45"/>
  <c r="H451" i="45" s="1"/>
  <c r="E449" i="45"/>
  <c r="E451" i="45" s="1"/>
  <c r="D449" i="45"/>
  <c r="D451" i="45" s="1"/>
  <c r="C449" i="45"/>
  <c r="B449" i="45" s="1"/>
  <c r="B451" i="45" s="1"/>
  <c r="M448" i="45"/>
  <c r="L448" i="45"/>
  <c r="J448" i="45"/>
  <c r="I448" i="45"/>
  <c r="G448" i="45"/>
  <c r="F448" i="45"/>
  <c r="K447" i="45"/>
  <c r="H447" i="45"/>
  <c r="E447" i="45"/>
  <c r="D447" i="45"/>
  <c r="C447" i="45"/>
  <c r="B447" i="45" s="1"/>
  <c r="K446" i="45"/>
  <c r="K448" i="45" s="1"/>
  <c r="H446" i="45"/>
  <c r="H448" i="45" s="1"/>
  <c r="E446" i="45"/>
  <c r="E448" i="45" s="1"/>
  <c r="D446" i="45"/>
  <c r="D448" i="45" s="1"/>
  <c r="C446" i="45"/>
  <c r="B446" i="45" s="1"/>
  <c r="B448" i="45" s="1"/>
  <c r="M445" i="45"/>
  <c r="L445" i="45"/>
  <c r="J445" i="45"/>
  <c r="I445" i="45"/>
  <c r="G445" i="45"/>
  <c r="F445" i="45"/>
  <c r="K444" i="45"/>
  <c r="H444" i="45"/>
  <c r="E444" i="45"/>
  <c r="D444" i="45"/>
  <c r="C444" i="45"/>
  <c r="B444" i="45" s="1"/>
  <c r="K443" i="45"/>
  <c r="K445" i="45" s="1"/>
  <c r="H443" i="45"/>
  <c r="H445" i="45" s="1"/>
  <c r="E443" i="45"/>
  <c r="E445" i="45" s="1"/>
  <c r="D443" i="45"/>
  <c r="D445" i="45" s="1"/>
  <c r="C443" i="45"/>
  <c r="B443" i="45" s="1"/>
  <c r="B445" i="45" s="1"/>
  <c r="M442" i="45"/>
  <c r="L442" i="45"/>
  <c r="J442" i="45"/>
  <c r="I442" i="45"/>
  <c r="G442" i="45"/>
  <c r="F442" i="45"/>
  <c r="K441" i="45"/>
  <c r="H441" i="45"/>
  <c r="E441" i="45"/>
  <c r="D441" i="45"/>
  <c r="C441" i="45"/>
  <c r="B441" i="45" s="1"/>
  <c r="K440" i="45"/>
  <c r="K442" i="45" s="1"/>
  <c r="H440" i="45"/>
  <c r="H442" i="45" s="1"/>
  <c r="E440" i="45"/>
  <c r="E442" i="45" s="1"/>
  <c r="D440" i="45"/>
  <c r="D442" i="45" s="1"/>
  <c r="C440" i="45"/>
  <c r="B440" i="45" s="1"/>
  <c r="B442" i="45" s="1"/>
  <c r="M439" i="45"/>
  <c r="L439" i="45"/>
  <c r="J439" i="45"/>
  <c r="I439" i="45"/>
  <c r="G439" i="45"/>
  <c r="F439" i="45"/>
  <c r="K438" i="45"/>
  <c r="H438" i="45"/>
  <c r="E438" i="45"/>
  <c r="D438" i="45"/>
  <c r="C438" i="45"/>
  <c r="B438" i="45" s="1"/>
  <c r="K437" i="45"/>
  <c r="K439" i="45" s="1"/>
  <c r="H437" i="45"/>
  <c r="H439" i="45" s="1"/>
  <c r="E437" i="45"/>
  <c r="E439" i="45" s="1"/>
  <c r="D437" i="45"/>
  <c r="D439" i="45" s="1"/>
  <c r="C437" i="45"/>
  <c r="B437" i="45" s="1"/>
  <c r="B439" i="45" s="1"/>
  <c r="M436" i="45"/>
  <c r="L436" i="45"/>
  <c r="J436" i="45"/>
  <c r="I436" i="45"/>
  <c r="G436" i="45"/>
  <c r="F436" i="45"/>
  <c r="K435" i="45"/>
  <c r="H435" i="45"/>
  <c r="E435" i="45"/>
  <c r="D435" i="45"/>
  <c r="C435" i="45"/>
  <c r="B435" i="45" s="1"/>
  <c r="K434" i="45"/>
  <c r="K436" i="45" s="1"/>
  <c r="H434" i="45"/>
  <c r="H436" i="45" s="1"/>
  <c r="E434" i="45"/>
  <c r="E436" i="45" s="1"/>
  <c r="D434" i="45"/>
  <c r="D436" i="45" s="1"/>
  <c r="C434" i="45"/>
  <c r="B434" i="45" s="1"/>
  <c r="B436" i="45" s="1"/>
  <c r="M433" i="45"/>
  <c r="L433" i="45"/>
  <c r="J433" i="45"/>
  <c r="I433" i="45"/>
  <c r="G433" i="45"/>
  <c r="F433" i="45"/>
  <c r="K432" i="45"/>
  <c r="H432" i="45"/>
  <c r="E432" i="45"/>
  <c r="D432" i="45"/>
  <c r="C432" i="45"/>
  <c r="B432" i="45" s="1"/>
  <c r="K431" i="45"/>
  <c r="K433" i="45" s="1"/>
  <c r="H431" i="45"/>
  <c r="H433" i="45" s="1"/>
  <c r="E431" i="45"/>
  <c r="E433" i="45" s="1"/>
  <c r="D431" i="45"/>
  <c r="D433" i="45" s="1"/>
  <c r="C431" i="45"/>
  <c r="B431" i="45" s="1"/>
  <c r="B433" i="45" s="1"/>
  <c r="M430" i="45"/>
  <c r="L430" i="45"/>
  <c r="J430" i="45"/>
  <c r="I430" i="45"/>
  <c r="G430" i="45"/>
  <c r="F430" i="45"/>
  <c r="K429" i="45"/>
  <c r="H429" i="45"/>
  <c r="E429" i="45"/>
  <c r="D429" i="45"/>
  <c r="C429" i="45"/>
  <c r="B429" i="45" s="1"/>
  <c r="K428" i="45"/>
  <c r="K430" i="45" s="1"/>
  <c r="H428" i="45"/>
  <c r="H430" i="45" s="1"/>
  <c r="E428" i="45"/>
  <c r="E430" i="45" s="1"/>
  <c r="D428" i="45"/>
  <c r="D430" i="45" s="1"/>
  <c r="C428" i="45"/>
  <c r="B428" i="45" s="1"/>
  <c r="B430" i="45" s="1"/>
  <c r="M427" i="45"/>
  <c r="L427" i="45"/>
  <c r="J427" i="45"/>
  <c r="I427" i="45"/>
  <c r="G427" i="45"/>
  <c r="F427" i="45"/>
  <c r="K426" i="45"/>
  <c r="H426" i="45"/>
  <c r="E426" i="45"/>
  <c r="D426" i="45"/>
  <c r="C426" i="45"/>
  <c r="B426" i="45" s="1"/>
  <c r="K425" i="45"/>
  <c r="K427" i="45" s="1"/>
  <c r="H425" i="45"/>
  <c r="H427" i="45" s="1"/>
  <c r="E425" i="45"/>
  <c r="E427" i="45" s="1"/>
  <c r="D425" i="45"/>
  <c r="D427" i="45" s="1"/>
  <c r="C425" i="45"/>
  <c r="B425" i="45" s="1"/>
  <c r="B427" i="45" s="1"/>
  <c r="M424" i="45"/>
  <c r="L424" i="45"/>
  <c r="J424" i="45"/>
  <c r="I424" i="45"/>
  <c r="G424" i="45"/>
  <c r="F424" i="45"/>
  <c r="K423" i="45"/>
  <c r="H423" i="45"/>
  <c r="E423" i="45"/>
  <c r="D423" i="45"/>
  <c r="C423" i="45"/>
  <c r="B423" i="45" s="1"/>
  <c r="K422" i="45"/>
  <c r="K424" i="45" s="1"/>
  <c r="H422" i="45"/>
  <c r="H424" i="45" s="1"/>
  <c r="E422" i="45"/>
  <c r="E424" i="45" s="1"/>
  <c r="D422" i="45"/>
  <c r="D424" i="45" s="1"/>
  <c r="C422" i="45"/>
  <c r="B422" i="45" s="1"/>
  <c r="B424" i="45" s="1"/>
  <c r="M421" i="45"/>
  <c r="L421" i="45"/>
  <c r="J421" i="45"/>
  <c r="I421" i="45"/>
  <c r="G421" i="45"/>
  <c r="F421" i="45"/>
  <c r="K420" i="45"/>
  <c r="H420" i="45"/>
  <c r="E420" i="45"/>
  <c r="D420" i="45"/>
  <c r="C420" i="45"/>
  <c r="B420" i="45" s="1"/>
  <c r="K419" i="45"/>
  <c r="K421" i="45" s="1"/>
  <c r="H419" i="45"/>
  <c r="H421" i="45" s="1"/>
  <c r="E419" i="45"/>
  <c r="E421" i="45" s="1"/>
  <c r="D419" i="45"/>
  <c r="D421" i="45" s="1"/>
  <c r="C419" i="45"/>
  <c r="B419" i="45" s="1"/>
  <c r="B421" i="45" s="1"/>
  <c r="M418" i="45"/>
  <c r="L418" i="45"/>
  <c r="J418" i="45"/>
  <c r="I418" i="45"/>
  <c r="G418" i="45"/>
  <c r="F418" i="45"/>
  <c r="K417" i="45"/>
  <c r="H417" i="45"/>
  <c r="E417" i="45"/>
  <c r="D417" i="45"/>
  <c r="C417" i="45"/>
  <c r="B417" i="45" s="1"/>
  <c r="K416" i="45"/>
  <c r="K418" i="45" s="1"/>
  <c r="H416" i="45"/>
  <c r="H418" i="45" s="1"/>
  <c r="E416" i="45"/>
  <c r="E418" i="45" s="1"/>
  <c r="D416" i="45"/>
  <c r="D418" i="45" s="1"/>
  <c r="C416" i="45"/>
  <c r="B416" i="45" s="1"/>
  <c r="B418" i="45" s="1"/>
  <c r="M415" i="45"/>
  <c r="L415" i="45"/>
  <c r="J415" i="45"/>
  <c r="I415" i="45"/>
  <c r="G415" i="45"/>
  <c r="F415" i="45"/>
  <c r="K414" i="45"/>
  <c r="H414" i="45"/>
  <c r="E414" i="45"/>
  <c r="D414" i="45"/>
  <c r="C414" i="45"/>
  <c r="B414" i="45" s="1"/>
  <c r="K413" i="45"/>
  <c r="K415" i="45" s="1"/>
  <c r="H413" i="45"/>
  <c r="H415" i="45" s="1"/>
  <c r="E413" i="45"/>
  <c r="E415" i="45" s="1"/>
  <c r="D413" i="45"/>
  <c r="D415" i="45" s="1"/>
  <c r="C413" i="45"/>
  <c r="B413" i="45" s="1"/>
  <c r="B415" i="45" s="1"/>
  <c r="M412" i="45"/>
  <c r="L412" i="45"/>
  <c r="J412" i="45"/>
  <c r="I412" i="45"/>
  <c r="G412" i="45"/>
  <c r="F412" i="45"/>
  <c r="K411" i="45"/>
  <c r="H411" i="45"/>
  <c r="E411" i="45"/>
  <c r="D411" i="45"/>
  <c r="C411" i="45"/>
  <c r="B411" i="45" s="1"/>
  <c r="K410" i="45"/>
  <c r="K412" i="45" s="1"/>
  <c r="H410" i="45"/>
  <c r="H412" i="45" s="1"/>
  <c r="E410" i="45"/>
  <c r="E412" i="45" s="1"/>
  <c r="D410" i="45"/>
  <c r="D412" i="45" s="1"/>
  <c r="C410" i="45"/>
  <c r="B410" i="45" s="1"/>
  <c r="B412" i="45" s="1"/>
  <c r="M409" i="45"/>
  <c r="L409" i="45"/>
  <c r="J409" i="45"/>
  <c r="I409" i="45"/>
  <c r="G409" i="45"/>
  <c r="F409" i="45"/>
  <c r="K408" i="45"/>
  <c r="H408" i="45"/>
  <c r="E408" i="45"/>
  <c r="D408" i="45"/>
  <c r="C408" i="45"/>
  <c r="B408" i="45"/>
  <c r="K407" i="45"/>
  <c r="K409" i="45" s="1"/>
  <c r="H407" i="45"/>
  <c r="H409" i="45" s="1"/>
  <c r="E407" i="45"/>
  <c r="E409" i="45" s="1"/>
  <c r="D407" i="45"/>
  <c r="D409" i="45" s="1"/>
  <c r="C407" i="45"/>
  <c r="C409" i="45" s="1"/>
  <c r="B407" i="45"/>
  <c r="B409" i="45" s="1"/>
  <c r="M406" i="45"/>
  <c r="L406" i="45"/>
  <c r="J406" i="45"/>
  <c r="I406" i="45"/>
  <c r="G406" i="45"/>
  <c r="F406" i="45"/>
  <c r="K405" i="45"/>
  <c r="H405" i="45"/>
  <c r="E405" i="45"/>
  <c r="D405" i="45"/>
  <c r="C405" i="45"/>
  <c r="B405" i="45"/>
  <c r="K404" i="45"/>
  <c r="K406" i="45" s="1"/>
  <c r="H404" i="45"/>
  <c r="H406" i="45" s="1"/>
  <c r="E404" i="45"/>
  <c r="E406" i="45" s="1"/>
  <c r="D404" i="45"/>
  <c r="D406" i="45" s="1"/>
  <c r="C404" i="45"/>
  <c r="C406" i="45" s="1"/>
  <c r="B404" i="45"/>
  <c r="B406" i="45" s="1"/>
  <c r="M403" i="45"/>
  <c r="L403" i="45"/>
  <c r="J403" i="45"/>
  <c r="I403" i="45"/>
  <c r="G403" i="45"/>
  <c r="F403" i="45"/>
  <c r="K402" i="45"/>
  <c r="H402" i="45"/>
  <c r="E402" i="45"/>
  <c r="D402" i="45"/>
  <c r="C402" i="45"/>
  <c r="B402" i="45" s="1"/>
  <c r="K401" i="45"/>
  <c r="K403" i="45" s="1"/>
  <c r="H401" i="45"/>
  <c r="H403" i="45" s="1"/>
  <c r="E401" i="45"/>
  <c r="E403" i="45" s="1"/>
  <c r="D401" i="45"/>
  <c r="D403" i="45" s="1"/>
  <c r="C401" i="45"/>
  <c r="B401" i="45" s="1"/>
  <c r="B403" i="45" s="1"/>
  <c r="M400" i="45"/>
  <c r="L400" i="45"/>
  <c r="J400" i="45"/>
  <c r="I400" i="45"/>
  <c r="G400" i="45"/>
  <c r="F400" i="45"/>
  <c r="K399" i="45"/>
  <c r="H399" i="45"/>
  <c r="E399" i="45"/>
  <c r="D399" i="45"/>
  <c r="C399" i="45"/>
  <c r="K398" i="45"/>
  <c r="K400" i="45" s="1"/>
  <c r="H398" i="45"/>
  <c r="H400" i="45" s="1"/>
  <c r="E398" i="45"/>
  <c r="E400" i="45" s="1"/>
  <c r="D398" i="45"/>
  <c r="D400" i="45" s="1"/>
  <c r="C398" i="45"/>
  <c r="B398" i="45" s="1"/>
  <c r="M397" i="45"/>
  <c r="L397" i="45"/>
  <c r="J397" i="45"/>
  <c r="I397" i="45"/>
  <c r="G397" i="45"/>
  <c r="F397" i="45"/>
  <c r="K396" i="45"/>
  <c r="H396" i="45"/>
  <c r="E396" i="45"/>
  <c r="D396" i="45"/>
  <c r="C396" i="45"/>
  <c r="B396" i="45" s="1"/>
  <c r="K395" i="45"/>
  <c r="K397" i="45" s="1"/>
  <c r="H395" i="45"/>
  <c r="H397" i="45" s="1"/>
  <c r="E395" i="45"/>
  <c r="E397" i="45" s="1"/>
  <c r="D395" i="45"/>
  <c r="D397" i="45" s="1"/>
  <c r="C395" i="45"/>
  <c r="B395" i="45" s="1"/>
  <c r="B397" i="45" s="1"/>
  <c r="M394" i="45"/>
  <c r="L394" i="45"/>
  <c r="J394" i="45"/>
  <c r="I394" i="45"/>
  <c r="G394" i="45"/>
  <c r="F394" i="45"/>
  <c r="K393" i="45"/>
  <c r="H393" i="45"/>
  <c r="E393" i="45"/>
  <c r="D393" i="45"/>
  <c r="C393" i="45"/>
  <c r="B393" i="45" s="1"/>
  <c r="K392" i="45"/>
  <c r="K394" i="45" s="1"/>
  <c r="H392" i="45"/>
  <c r="H394" i="45" s="1"/>
  <c r="E392" i="45"/>
  <c r="E394" i="45" s="1"/>
  <c r="D392" i="45"/>
  <c r="D394" i="45" s="1"/>
  <c r="C392" i="45"/>
  <c r="B392" i="45" s="1"/>
  <c r="B394" i="45" s="1"/>
  <c r="M391" i="45"/>
  <c r="L391" i="45"/>
  <c r="J391" i="45"/>
  <c r="I391" i="45"/>
  <c r="G391" i="45"/>
  <c r="F391" i="45"/>
  <c r="K390" i="45"/>
  <c r="H390" i="45"/>
  <c r="E390" i="45"/>
  <c r="D390" i="45"/>
  <c r="C390" i="45"/>
  <c r="B390" i="45" s="1"/>
  <c r="K389" i="45"/>
  <c r="K391" i="45" s="1"/>
  <c r="H389" i="45"/>
  <c r="H391" i="45" s="1"/>
  <c r="E389" i="45"/>
  <c r="E391" i="45" s="1"/>
  <c r="D389" i="45"/>
  <c r="D391" i="45" s="1"/>
  <c r="C389" i="45"/>
  <c r="B389" i="45" s="1"/>
  <c r="B391" i="45" s="1"/>
  <c r="M388" i="45"/>
  <c r="L388" i="45"/>
  <c r="J388" i="45"/>
  <c r="I388" i="45"/>
  <c r="G388" i="45"/>
  <c r="F388" i="45"/>
  <c r="K387" i="45"/>
  <c r="H387" i="45"/>
  <c r="E387" i="45"/>
  <c r="D387" i="45"/>
  <c r="C387" i="45"/>
  <c r="B387" i="45" s="1"/>
  <c r="K386" i="45"/>
  <c r="K388" i="45" s="1"/>
  <c r="H386" i="45"/>
  <c r="H388" i="45" s="1"/>
  <c r="E386" i="45"/>
  <c r="E388" i="45" s="1"/>
  <c r="D386" i="45"/>
  <c r="D388" i="45" s="1"/>
  <c r="C386" i="45"/>
  <c r="B386" i="45" s="1"/>
  <c r="B388" i="45" s="1"/>
  <c r="M385" i="45"/>
  <c r="L385" i="45"/>
  <c r="J385" i="45"/>
  <c r="I385" i="45"/>
  <c r="G385" i="45"/>
  <c r="F385" i="45"/>
  <c r="K384" i="45"/>
  <c r="H384" i="45"/>
  <c r="E384" i="45"/>
  <c r="D384" i="45"/>
  <c r="C384" i="45"/>
  <c r="B384" i="45" s="1"/>
  <c r="K383" i="45"/>
  <c r="K385" i="45" s="1"/>
  <c r="H383" i="45"/>
  <c r="H385" i="45" s="1"/>
  <c r="E383" i="45"/>
  <c r="E385" i="45" s="1"/>
  <c r="D383" i="45"/>
  <c r="D385" i="45" s="1"/>
  <c r="C383" i="45"/>
  <c r="B383" i="45" s="1"/>
  <c r="B385" i="45" s="1"/>
  <c r="M382" i="45"/>
  <c r="L382" i="45"/>
  <c r="J382" i="45"/>
  <c r="I382" i="45"/>
  <c r="G382" i="45"/>
  <c r="F382" i="45"/>
  <c r="K381" i="45"/>
  <c r="H381" i="45"/>
  <c r="E381" i="45"/>
  <c r="D381" i="45"/>
  <c r="C381" i="45"/>
  <c r="K380" i="45"/>
  <c r="K382" i="45" s="1"/>
  <c r="H380" i="45"/>
  <c r="H382" i="45" s="1"/>
  <c r="E380" i="45"/>
  <c r="E382" i="45" s="1"/>
  <c r="D380" i="45"/>
  <c r="D382" i="45" s="1"/>
  <c r="C380" i="45"/>
  <c r="B380" i="45" s="1"/>
  <c r="M379" i="45"/>
  <c r="L379" i="45"/>
  <c r="J379" i="45"/>
  <c r="I379" i="45"/>
  <c r="G379" i="45"/>
  <c r="F379" i="45"/>
  <c r="K378" i="45"/>
  <c r="H378" i="45"/>
  <c r="E378" i="45"/>
  <c r="D378" i="45"/>
  <c r="C378" i="45"/>
  <c r="K377" i="45"/>
  <c r="K379" i="45" s="1"/>
  <c r="H377" i="45"/>
  <c r="H379" i="45" s="1"/>
  <c r="E377" i="45"/>
  <c r="E379" i="45" s="1"/>
  <c r="D377" i="45"/>
  <c r="D379" i="45" s="1"/>
  <c r="C377" i="45"/>
  <c r="B377" i="45" s="1"/>
  <c r="M376" i="45"/>
  <c r="L376" i="45"/>
  <c r="J376" i="45"/>
  <c r="I376" i="45"/>
  <c r="G376" i="45"/>
  <c r="F376" i="45"/>
  <c r="K375" i="45"/>
  <c r="H375" i="45"/>
  <c r="E375" i="45"/>
  <c r="D375" i="45"/>
  <c r="C375" i="45"/>
  <c r="K374" i="45"/>
  <c r="K376" i="45" s="1"/>
  <c r="H374" i="45"/>
  <c r="H376" i="45" s="1"/>
  <c r="E374" i="45"/>
  <c r="E376" i="45" s="1"/>
  <c r="D374" i="45"/>
  <c r="D376" i="45" s="1"/>
  <c r="C374" i="45"/>
  <c r="B374" i="45" s="1"/>
  <c r="M373" i="45"/>
  <c r="L373" i="45"/>
  <c r="J373" i="45"/>
  <c r="I373" i="45"/>
  <c r="G373" i="45"/>
  <c r="F373" i="45"/>
  <c r="K372" i="45"/>
  <c r="H372" i="45"/>
  <c r="E372" i="45"/>
  <c r="D372" i="45"/>
  <c r="C372" i="45"/>
  <c r="K371" i="45"/>
  <c r="K373" i="45" s="1"/>
  <c r="H371" i="45"/>
  <c r="H373" i="45" s="1"/>
  <c r="E371" i="45"/>
  <c r="E373" i="45" s="1"/>
  <c r="D371" i="45"/>
  <c r="D373" i="45" s="1"/>
  <c r="C371" i="45"/>
  <c r="B371" i="45" s="1"/>
  <c r="M370" i="45"/>
  <c r="L370" i="45"/>
  <c r="J370" i="45"/>
  <c r="I370" i="45"/>
  <c r="G370" i="45"/>
  <c r="F370" i="45"/>
  <c r="K369" i="45"/>
  <c r="H369" i="45"/>
  <c r="E369" i="45"/>
  <c r="D369" i="45"/>
  <c r="C369" i="45"/>
  <c r="B369" i="45"/>
  <c r="K368" i="45"/>
  <c r="K370" i="45" s="1"/>
  <c r="H368" i="45"/>
  <c r="H370" i="45" s="1"/>
  <c r="E368" i="45"/>
  <c r="E370" i="45" s="1"/>
  <c r="D368" i="45"/>
  <c r="D370" i="45" s="1"/>
  <c r="C368" i="45"/>
  <c r="C370" i="45" s="1"/>
  <c r="B368" i="45"/>
  <c r="B370" i="45" s="1"/>
  <c r="M367" i="45"/>
  <c r="M457" i="45" s="1"/>
  <c r="L367" i="45"/>
  <c r="L457" i="45" s="1"/>
  <c r="J367" i="45"/>
  <c r="J457" i="45" s="1"/>
  <c r="I367" i="45"/>
  <c r="I457" i="45" s="1"/>
  <c r="G367" i="45"/>
  <c r="G457" i="45" s="1"/>
  <c r="F367" i="45"/>
  <c r="F457" i="45" s="1"/>
  <c r="K366" i="45"/>
  <c r="K456" i="45" s="1"/>
  <c r="H366" i="45"/>
  <c r="H456" i="45" s="1"/>
  <c r="E366" i="45"/>
  <c r="E456" i="45" s="1"/>
  <c r="D366" i="45"/>
  <c r="D456" i="45" s="1"/>
  <c r="C366" i="45"/>
  <c r="C456" i="45" s="1"/>
  <c r="K365" i="45"/>
  <c r="K455" i="45" s="1"/>
  <c r="H365" i="45"/>
  <c r="H455" i="45" s="1"/>
  <c r="E365" i="45"/>
  <c r="E455" i="45" s="1"/>
  <c r="D365" i="45"/>
  <c r="D455" i="45" s="1"/>
  <c r="C365" i="45"/>
  <c r="C455" i="45" s="1"/>
  <c r="M360" i="45"/>
  <c r="L360" i="45"/>
  <c r="J360" i="45"/>
  <c r="I360" i="45"/>
  <c r="G360" i="45"/>
  <c r="F360" i="45"/>
  <c r="M359" i="45"/>
  <c r="L359" i="45"/>
  <c r="J359" i="45"/>
  <c r="I359" i="45"/>
  <c r="G359" i="45"/>
  <c r="F359" i="45"/>
  <c r="M358" i="45"/>
  <c r="L358" i="45"/>
  <c r="J358" i="45"/>
  <c r="I358" i="45"/>
  <c r="G358" i="45"/>
  <c r="F358" i="45"/>
  <c r="K357" i="45"/>
  <c r="H357" i="45"/>
  <c r="E357" i="45"/>
  <c r="D357" i="45"/>
  <c r="C357" i="45"/>
  <c r="B357" i="45" s="1"/>
  <c r="K356" i="45"/>
  <c r="K358" i="45" s="1"/>
  <c r="H356" i="45"/>
  <c r="H358" i="45" s="1"/>
  <c r="E356" i="45"/>
  <c r="E358" i="45" s="1"/>
  <c r="D356" i="45"/>
  <c r="D358" i="45" s="1"/>
  <c r="C356" i="45"/>
  <c r="B356" i="45" s="1"/>
  <c r="B358" i="45" s="1"/>
  <c r="M355" i="45"/>
  <c r="L355" i="45"/>
  <c r="J355" i="45"/>
  <c r="I355" i="45"/>
  <c r="G355" i="45"/>
  <c r="F355" i="45"/>
  <c r="K354" i="45"/>
  <c r="H354" i="45"/>
  <c r="E354" i="45"/>
  <c r="D354" i="45"/>
  <c r="C354" i="45"/>
  <c r="K353" i="45"/>
  <c r="K355" i="45" s="1"/>
  <c r="H353" i="45"/>
  <c r="H355" i="45" s="1"/>
  <c r="E353" i="45"/>
  <c r="E355" i="45" s="1"/>
  <c r="D353" i="45"/>
  <c r="D355" i="45" s="1"/>
  <c r="C353" i="45"/>
  <c r="B353" i="45" s="1"/>
  <c r="M352" i="45"/>
  <c r="L352" i="45"/>
  <c r="J352" i="45"/>
  <c r="I352" i="45"/>
  <c r="G352" i="45"/>
  <c r="F352" i="45"/>
  <c r="K351" i="45"/>
  <c r="H351" i="45"/>
  <c r="E351" i="45"/>
  <c r="D351" i="45"/>
  <c r="C351" i="45"/>
  <c r="K350" i="45"/>
  <c r="K352" i="45" s="1"/>
  <c r="H350" i="45"/>
  <c r="H352" i="45" s="1"/>
  <c r="E350" i="45"/>
  <c r="E352" i="45" s="1"/>
  <c r="D350" i="45"/>
  <c r="D352" i="45" s="1"/>
  <c r="C350" i="45"/>
  <c r="B350" i="45" s="1"/>
  <c r="M349" i="45"/>
  <c r="L349" i="45"/>
  <c r="J349" i="45"/>
  <c r="I349" i="45"/>
  <c r="G349" i="45"/>
  <c r="F349" i="45"/>
  <c r="K348" i="45"/>
  <c r="H348" i="45"/>
  <c r="E348" i="45"/>
  <c r="D348" i="45"/>
  <c r="C348" i="45"/>
  <c r="K347" i="45"/>
  <c r="K349" i="45" s="1"/>
  <c r="H347" i="45"/>
  <c r="H349" i="45" s="1"/>
  <c r="E347" i="45"/>
  <c r="E349" i="45" s="1"/>
  <c r="D347" i="45"/>
  <c r="D349" i="45" s="1"/>
  <c r="C347" i="45"/>
  <c r="B347" i="45" s="1"/>
  <c r="M346" i="45"/>
  <c r="L346" i="45"/>
  <c r="J346" i="45"/>
  <c r="I346" i="45"/>
  <c r="G346" i="45"/>
  <c r="F346" i="45"/>
  <c r="K345" i="45"/>
  <c r="H345" i="45"/>
  <c r="E345" i="45"/>
  <c r="D345" i="45"/>
  <c r="C345" i="45"/>
  <c r="K344" i="45"/>
  <c r="K346" i="45" s="1"/>
  <c r="H344" i="45"/>
  <c r="H346" i="45" s="1"/>
  <c r="E344" i="45"/>
  <c r="E346" i="45" s="1"/>
  <c r="D344" i="45"/>
  <c r="D346" i="45" s="1"/>
  <c r="C344" i="45"/>
  <c r="B344" i="45" s="1"/>
  <c r="M343" i="45"/>
  <c r="L343" i="45"/>
  <c r="J343" i="45"/>
  <c r="I343" i="45"/>
  <c r="G343" i="45"/>
  <c r="F343" i="45"/>
  <c r="K342" i="45"/>
  <c r="H342" i="45"/>
  <c r="E342" i="45"/>
  <c r="D342" i="45"/>
  <c r="C342" i="45"/>
  <c r="K341" i="45"/>
  <c r="K343" i="45" s="1"/>
  <c r="H341" i="45"/>
  <c r="H343" i="45" s="1"/>
  <c r="E341" i="45"/>
  <c r="E343" i="45" s="1"/>
  <c r="D341" i="45"/>
  <c r="D343" i="45" s="1"/>
  <c r="C341" i="45"/>
  <c r="C343" i="45" s="1"/>
  <c r="M340" i="45"/>
  <c r="L340" i="45"/>
  <c r="J340" i="45"/>
  <c r="I340" i="45"/>
  <c r="G340" i="45"/>
  <c r="F340" i="45"/>
  <c r="K339" i="45"/>
  <c r="H339" i="45"/>
  <c r="E339" i="45"/>
  <c r="D339" i="45"/>
  <c r="C339" i="45"/>
  <c r="B339" i="45" s="1"/>
  <c r="K338" i="45"/>
  <c r="K340" i="45" s="1"/>
  <c r="H338" i="45"/>
  <c r="H340" i="45" s="1"/>
  <c r="E338" i="45"/>
  <c r="E340" i="45" s="1"/>
  <c r="D338" i="45"/>
  <c r="D340" i="45" s="1"/>
  <c r="C338" i="45"/>
  <c r="C340" i="45" s="1"/>
  <c r="M337" i="45"/>
  <c r="L337" i="45"/>
  <c r="J337" i="45"/>
  <c r="I337" i="45"/>
  <c r="G337" i="45"/>
  <c r="F337" i="45"/>
  <c r="K336" i="45"/>
  <c r="H336" i="45"/>
  <c r="E336" i="45"/>
  <c r="D336" i="45"/>
  <c r="C336" i="45"/>
  <c r="B336" i="45" s="1"/>
  <c r="K335" i="45"/>
  <c r="K337" i="45" s="1"/>
  <c r="H335" i="45"/>
  <c r="H337" i="45" s="1"/>
  <c r="E335" i="45"/>
  <c r="E337" i="45" s="1"/>
  <c r="D335" i="45"/>
  <c r="D337" i="45" s="1"/>
  <c r="C335" i="45"/>
  <c r="C337" i="45" s="1"/>
  <c r="M334" i="45"/>
  <c r="L334" i="45"/>
  <c r="J334" i="45"/>
  <c r="I334" i="45"/>
  <c r="G334" i="45"/>
  <c r="F334" i="45"/>
  <c r="K333" i="45"/>
  <c r="H333" i="45"/>
  <c r="E333" i="45"/>
  <c r="D333" i="45"/>
  <c r="C333" i="45"/>
  <c r="B333" i="45" s="1"/>
  <c r="K332" i="45"/>
  <c r="K334" i="45" s="1"/>
  <c r="H332" i="45"/>
  <c r="H334" i="45" s="1"/>
  <c r="E332" i="45"/>
  <c r="E334" i="45" s="1"/>
  <c r="D332" i="45"/>
  <c r="D334" i="45" s="1"/>
  <c r="C332" i="45"/>
  <c r="C334" i="45" s="1"/>
  <c r="M331" i="45"/>
  <c r="M361" i="45" s="1"/>
  <c r="L331" i="45"/>
  <c r="L361" i="45" s="1"/>
  <c r="J331" i="45"/>
  <c r="J361" i="45" s="1"/>
  <c r="I331" i="45"/>
  <c r="I361" i="45" s="1"/>
  <c r="G331" i="45"/>
  <c r="G361" i="45" s="1"/>
  <c r="F331" i="45"/>
  <c r="F361" i="45" s="1"/>
  <c r="K330" i="45"/>
  <c r="K360" i="45" s="1"/>
  <c r="H330" i="45"/>
  <c r="H360" i="45" s="1"/>
  <c r="E330" i="45"/>
  <c r="E360" i="45" s="1"/>
  <c r="D330" i="45"/>
  <c r="D360" i="45" s="1"/>
  <c r="C330" i="45"/>
  <c r="C360" i="45" s="1"/>
  <c r="K329" i="45"/>
  <c r="K359" i="45" s="1"/>
  <c r="H329" i="45"/>
  <c r="H359" i="45" s="1"/>
  <c r="E329" i="45"/>
  <c r="E359" i="45" s="1"/>
  <c r="D329" i="45"/>
  <c r="D359" i="45" s="1"/>
  <c r="C329" i="45"/>
  <c r="C359" i="45" s="1"/>
  <c r="M324" i="45"/>
  <c r="L324" i="45"/>
  <c r="J324" i="45"/>
  <c r="I324" i="45"/>
  <c r="G324" i="45"/>
  <c r="F324" i="45"/>
  <c r="M323" i="45"/>
  <c r="L323" i="45"/>
  <c r="J323" i="45"/>
  <c r="I323" i="45"/>
  <c r="G323" i="45"/>
  <c r="F323" i="45"/>
  <c r="M322" i="45"/>
  <c r="L322" i="45"/>
  <c r="J322" i="45"/>
  <c r="I322" i="45"/>
  <c r="G322" i="45"/>
  <c r="F322" i="45"/>
  <c r="K321" i="45"/>
  <c r="H321" i="45"/>
  <c r="E321" i="45"/>
  <c r="D321" i="45"/>
  <c r="C321" i="45"/>
  <c r="B321" i="45" s="1"/>
  <c r="K320" i="45"/>
  <c r="K322" i="45" s="1"/>
  <c r="H320" i="45"/>
  <c r="H322" i="45" s="1"/>
  <c r="E320" i="45"/>
  <c r="E322" i="45" s="1"/>
  <c r="D320" i="45"/>
  <c r="D322" i="45" s="1"/>
  <c r="C320" i="45"/>
  <c r="C322" i="45" s="1"/>
  <c r="M319" i="45"/>
  <c r="L319" i="45"/>
  <c r="J319" i="45"/>
  <c r="I319" i="45"/>
  <c r="G319" i="45"/>
  <c r="F319" i="45"/>
  <c r="K318" i="45"/>
  <c r="H318" i="45"/>
  <c r="E318" i="45"/>
  <c r="D318" i="45"/>
  <c r="C318" i="45"/>
  <c r="B318" i="45" s="1"/>
  <c r="K317" i="45"/>
  <c r="K319" i="45" s="1"/>
  <c r="H317" i="45"/>
  <c r="H319" i="45" s="1"/>
  <c r="E317" i="45"/>
  <c r="E319" i="45" s="1"/>
  <c r="D317" i="45"/>
  <c r="D319" i="45" s="1"/>
  <c r="C317" i="45"/>
  <c r="C319" i="45" s="1"/>
  <c r="M316" i="45"/>
  <c r="L316" i="45"/>
  <c r="J316" i="45"/>
  <c r="I316" i="45"/>
  <c r="G316" i="45"/>
  <c r="F316" i="45"/>
  <c r="K315" i="45"/>
  <c r="H315" i="45"/>
  <c r="E315" i="45"/>
  <c r="D315" i="45"/>
  <c r="C315" i="45"/>
  <c r="B315" i="45" s="1"/>
  <c r="K314" i="45"/>
  <c r="K316" i="45" s="1"/>
  <c r="H314" i="45"/>
  <c r="H316" i="45" s="1"/>
  <c r="E314" i="45"/>
  <c r="E316" i="45" s="1"/>
  <c r="D314" i="45"/>
  <c r="D316" i="45" s="1"/>
  <c r="C314" i="45"/>
  <c r="C316" i="45" s="1"/>
  <c r="M313" i="45"/>
  <c r="L313" i="45"/>
  <c r="J313" i="45"/>
  <c r="I313" i="45"/>
  <c r="G313" i="45"/>
  <c r="F313" i="45"/>
  <c r="K312" i="45"/>
  <c r="H312" i="45"/>
  <c r="E312" i="45"/>
  <c r="D312" i="45"/>
  <c r="C312" i="45"/>
  <c r="B312" i="45" s="1"/>
  <c r="K311" i="45"/>
  <c r="K313" i="45" s="1"/>
  <c r="H311" i="45"/>
  <c r="H313" i="45" s="1"/>
  <c r="E311" i="45"/>
  <c r="E313" i="45" s="1"/>
  <c r="D311" i="45"/>
  <c r="D313" i="45" s="1"/>
  <c r="C311" i="45"/>
  <c r="C313" i="45" s="1"/>
  <c r="M310" i="45"/>
  <c r="L310" i="45"/>
  <c r="J310" i="45"/>
  <c r="I310" i="45"/>
  <c r="G310" i="45"/>
  <c r="F310" i="45"/>
  <c r="K309" i="45"/>
  <c r="H309" i="45"/>
  <c r="E309" i="45"/>
  <c r="D309" i="45"/>
  <c r="C309" i="45"/>
  <c r="B309" i="45" s="1"/>
  <c r="K308" i="45"/>
  <c r="K310" i="45" s="1"/>
  <c r="H308" i="45"/>
  <c r="H310" i="45" s="1"/>
  <c r="E308" i="45"/>
  <c r="E310" i="45" s="1"/>
  <c r="D308" i="45"/>
  <c r="D310" i="45" s="1"/>
  <c r="C308" i="45"/>
  <c r="C310" i="45" s="1"/>
  <c r="M307" i="45"/>
  <c r="L307" i="45"/>
  <c r="J307" i="45"/>
  <c r="I307" i="45"/>
  <c r="G307" i="45"/>
  <c r="F307" i="45"/>
  <c r="K306" i="45"/>
  <c r="H306" i="45"/>
  <c r="E306" i="45"/>
  <c r="D306" i="45"/>
  <c r="C306" i="45"/>
  <c r="B306" i="45" s="1"/>
  <c r="K305" i="45"/>
  <c r="K307" i="45" s="1"/>
  <c r="H305" i="45"/>
  <c r="H307" i="45" s="1"/>
  <c r="E305" i="45"/>
  <c r="E307" i="45" s="1"/>
  <c r="D305" i="45"/>
  <c r="D307" i="45" s="1"/>
  <c r="C305" i="45"/>
  <c r="C307" i="45" s="1"/>
  <c r="M304" i="45"/>
  <c r="L304" i="45"/>
  <c r="J304" i="45"/>
  <c r="I304" i="45"/>
  <c r="G304" i="45"/>
  <c r="F304" i="45"/>
  <c r="K303" i="45"/>
  <c r="H303" i="45"/>
  <c r="E303" i="45"/>
  <c r="D303" i="45"/>
  <c r="C303" i="45"/>
  <c r="B303" i="45" s="1"/>
  <c r="K302" i="45"/>
  <c r="K304" i="45" s="1"/>
  <c r="H302" i="45"/>
  <c r="H304" i="45" s="1"/>
  <c r="E302" i="45"/>
  <c r="E304" i="45" s="1"/>
  <c r="D302" i="45"/>
  <c r="D304" i="45" s="1"/>
  <c r="C302" i="45"/>
  <c r="C304" i="45" s="1"/>
  <c r="M301" i="45"/>
  <c r="L301" i="45"/>
  <c r="J301" i="45"/>
  <c r="I301" i="45"/>
  <c r="G301" i="45"/>
  <c r="F301" i="45"/>
  <c r="K300" i="45"/>
  <c r="H300" i="45"/>
  <c r="E300" i="45"/>
  <c r="D300" i="45"/>
  <c r="C300" i="45"/>
  <c r="B300" i="45" s="1"/>
  <c r="K299" i="45"/>
  <c r="K301" i="45" s="1"/>
  <c r="H299" i="45"/>
  <c r="H301" i="45" s="1"/>
  <c r="E299" i="45"/>
  <c r="E301" i="45" s="1"/>
  <c r="D299" i="45"/>
  <c r="D301" i="45" s="1"/>
  <c r="C299" i="45"/>
  <c r="C301" i="45" s="1"/>
  <c r="M298" i="45"/>
  <c r="L298" i="45"/>
  <c r="J298" i="45"/>
  <c r="I298" i="45"/>
  <c r="G298" i="45"/>
  <c r="F298" i="45"/>
  <c r="K297" i="45"/>
  <c r="H297" i="45"/>
  <c r="E297" i="45"/>
  <c r="D297" i="45"/>
  <c r="C297" i="45"/>
  <c r="B297" i="45" s="1"/>
  <c r="K296" i="45"/>
  <c r="K298" i="45" s="1"/>
  <c r="H296" i="45"/>
  <c r="H298" i="45" s="1"/>
  <c r="E296" i="45"/>
  <c r="E298" i="45" s="1"/>
  <c r="D296" i="45"/>
  <c r="D298" i="45" s="1"/>
  <c r="C296" i="45"/>
  <c r="C298" i="45" s="1"/>
  <c r="M295" i="45"/>
  <c r="L295" i="45"/>
  <c r="J295" i="45"/>
  <c r="I295" i="45"/>
  <c r="G295" i="45"/>
  <c r="F295" i="45"/>
  <c r="K294" i="45"/>
  <c r="H294" i="45"/>
  <c r="E294" i="45"/>
  <c r="D294" i="45"/>
  <c r="C294" i="45"/>
  <c r="B294" i="45" s="1"/>
  <c r="K293" i="45"/>
  <c r="K295" i="45" s="1"/>
  <c r="H293" i="45"/>
  <c r="H295" i="45" s="1"/>
  <c r="E293" i="45"/>
  <c r="E295" i="45" s="1"/>
  <c r="D293" i="45"/>
  <c r="D295" i="45" s="1"/>
  <c r="C293" i="45"/>
  <c r="C295" i="45" s="1"/>
  <c r="M292" i="45"/>
  <c r="L292" i="45"/>
  <c r="J292" i="45"/>
  <c r="I292" i="45"/>
  <c r="G292" i="45"/>
  <c r="F292" i="45"/>
  <c r="K291" i="45"/>
  <c r="H291" i="45"/>
  <c r="E291" i="45"/>
  <c r="D291" i="45"/>
  <c r="C291" i="45"/>
  <c r="B291" i="45" s="1"/>
  <c r="K290" i="45"/>
  <c r="K292" i="45" s="1"/>
  <c r="H290" i="45"/>
  <c r="H292" i="45" s="1"/>
  <c r="E290" i="45"/>
  <c r="E292" i="45" s="1"/>
  <c r="D290" i="45"/>
  <c r="D292" i="45" s="1"/>
  <c r="C290" i="45"/>
  <c r="C292" i="45" s="1"/>
  <c r="M289" i="45"/>
  <c r="L289" i="45"/>
  <c r="J289" i="45"/>
  <c r="I289" i="45"/>
  <c r="G289" i="45"/>
  <c r="F289" i="45"/>
  <c r="K288" i="45"/>
  <c r="H288" i="45"/>
  <c r="E288" i="45"/>
  <c r="D288" i="45"/>
  <c r="C288" i="45"/>
  <c r="B288" i="45" s="1"/>
  <c r="K287" i="45"/>
  <c r="K289" i="45" s="1"/>
  <c r="H287" i="45"/>
  <c r="H289" i="45" s="1"/>
  <c r="E287" i="45"/>
  <c r="E289" i="45" s="1"/>
  <c r="D287" i="45"/>
  <c r="D289" i="45" s="1"/>
  <c r="C287" i="45"/>
  <c r="C289" i="45" s="1"/>
  <c r="M286" i="45"/>
  <c r="L286" i="45"/>
  <c r="J286" i="45"/>
  <c r="I286" i="45"/>
  <c r="G286" i="45"/>
  <c r="F286" i="45"/>
  <c r="K285" i="45"/>
  <c r="H285" i="45"/>
  <c r="E285" i="45"/>
  <c r="D285" i="45"/>
  <c r="C285" i="45"/>
  <c r="B285" i="45" s="1"/>
  <c r="K284" i="45"/>
  <c r="K286" i="45" s="1"/>
  <c r="H284" i="45"/>
  <c r="H286" i="45" s="1"/>
  <c r="E284" i="45"/>
  <c r="E286" i="45" s="1"/>
  <c r="D284" i="45"/>
  <c r="D286" i="45" s="1"/>
  <c r="C284" i="45"/>
  <c r="C286" i="45" s="1"/>
  <c r="M283" i="45"/>
  <c r="L283" i="45"/>
  <c r="J283" i="45"/>
  <c r="I283" i="45"/>
  <c r="G283" i="45"/>
  <c r="F283" i="45"/>
  <c r="K282" i="45"/>
  <c r="H282" i="45"/>
  <c r="E282" i="45"/>
  <c r="D282" i="45"/>
  <c r="C282" i="45"/>
  <c r="B282" i="45" s="1"/>
  <c r="K281" i="45"/>
  <c r="K283" i="45" s="1"/>
  <c r="H281" i="45"/>
  <c r="H283" i="45" s="1"/>
  <c r="E281" i="45"/>
  <c r="E283" i="45" s="1"/>
  <c r="D281" i="45"/>
  <c r="D283" i="45" s="1"/>
  <c r="C281" i="45"/>
  <c r="C283" i="45" s="1"/>
  <c r="M280" i="45"/>
  <c r="L280" i="45"/>
  <c r="J280" i="45"/>
  <c r="I280" i="45"/>
  <c r="G280" i="45"/>
  <c r="F280" i="45"/>
  <c r="K279" i="45"/>
  <c r="H279" i="45"/>
  <c r="E279" i="45"/>
  <c r="D279" i="45"/>
  <c r="C279" i="45"/>
  <c r="B279" i="45" s="1"/>
  <c r="K278" i="45"/>
  <c r="K280" i="45" s="1"/>
  <c r="H278" i="45"/>
  <c r="H280" i="45" s="1"/>
  <c r="E278" i="45"/>
  <c r="E280" i="45" s="1"/>
  <c r="D278" i="45"/>
  <c r="D280" i="45" s="1"/>
  <c r="C278" i="45"/>
  <c r="C280" i="45" s="1"/>
  <c r="M277" i="45"/>
  <c r="L277" i="45"/>
  <c r="J277" i="45"/>
  <c r="I277" i="45"/>
  <c r="G277" i="45"/>
  <c r="F277" i="45"/>
  <c r="K276" i="45"/>
  <c r="H276" i="45"/>
  <c r="E276" i="45"/>
  <c r="D276" i="45"/>
  <c r="C276" i="45"/>
  <c r="B276" i="45" s="1"/>
  <c r="K275" i="45"/>
  <c r="K277" i="45" s="1"/>
  <c r="H275" i="45"/>
  <c r="H277" i="45" s="1"/>
  <c r="E275" i="45"/>
  <c r="E277" i="45" s="1"/>
  <c r="D275" i="45"/>
  <c r="D277" i="45" s="1"/>
  <c r="C275" i="45"/>
  <c r="C277" i="45" s="1"/>
  <c r="M274" i="45"/>
  <c r="L274" i="45"/>
  <c r="J274" i="45"/>
  <c r="I274" i="45"/>
  <c r="G274" i="45"/>
  <c r="F274" i="45"/>
  <c r="K273" i="45"/>
  <c r="H273" i="45"/>
  <c r="E273" i="45"/>
  <c r="D273" i="45"/>
  <c r="C273" i="45"/>
  <c r="B273" i="45" s="1"/>
  <c r="K272" i="45"/>
  <c r="K274" i="45" s="1"/>
  <c r="H272" i="45"/>
  <c r="H274" i="45" s="1"/>
  <c r="E272" i="45"/>
  <c r="E274" i="45" s="1"/>
  <c r="D272" i="45"/>
  <c r="D274" i="45" s="1"/>
  <c r="C272" i="45"/>
  <c r="C274" i="45" s="1"/>
  <c r="M271" i="45"/>
  <c r="L271" i="45"/>
  <c r="J271" i="45"/>
  <c r="I271" i="45"/>
  <c r="G271" i="45"/>
  <c r="F271" i="45"/>
  <c r="K270" i="45"/>
  <c r="H270" i="45"/>
  <c r="E270" i="45"/>
  <c r="D270" i="45"/>
  <c r="C270" i="45"/>
  <c r="B270" i="45" s="1"/>
  <c r="K269" i="45"/>
  <c r="K271" i="45" s="1"/>
  <c r="H269" i="45"/>
  <c r="H271" i="45" s="1"/>
  <c r="E269" i="45"/>
  <c r="E271" i="45" s="1"/>
  <c r="D269" i="45"/>
  <c r="D271" i="45" s="1"/>
  <c r="C269" i="45"/>
  <c r="C271" i="45" s="1"/>
  <c r="M268" i="45"/>
  <c r="L268" i="45"/>
  <c r="J268" i="45"/>
  <c r="I268" i="45"/>
  <c r="G268" i="45"/>
  <c r="F268" i="45"/>
  <c r="K267" i="45"/>
  <c r="H267" i="45"/>
  <c r="E267" i="45"/>
  <c r="D267" i="45"/>
  <c r="C267" i="45"/>
  <c r="B267" i="45" s="1"/>
  <c r="K266" i="45"/>
  <c r="K268" i="45" s="1"/>
  <c r="H266" i="45"/>
  <c r="H268" i="45" s="1"/>
  <c r="E266" i="45"/>
  <c r="E268" i="45" s="1"/>
  <c r="D266" i="45"/>
  <c r="D268" i="45" s="1"/>
  <c r="C266" i="45"/>
  <c r="C268" i="45" s="1"/>
  <c r="M265" i="45"/>
  <c r="L265" i="45"/>
  <c r="J265" i="45"/>
  <c r="I265" i="45"/>
  <c r="G265" i="45"/>
  <c r="F265" i="45"/>
  <c r="K264" i="45"/>
  <c r="H264" i="45"/>
  <c r="E264" i="45"/>
  <c r="D264" i="45"/>
  <c r="C264" i="45"/>
  <c r="B264" i="45" s="1"/>
  <c r="K263" i="45"/>
  <c r="K265" i="45" s="1"/>
  <c r="H263" i="45"/>
  <c r="H265" i="45" s="1"/>
  <c r="E263" i="45"/>
  <c r="E265" i="45" s="1"/>
  <c r="D263" i="45"/>
  <c r="D265" i="45" s="1"/>
  <c r="C263" i="45"/>
  <c r="C265" i="45" s="1"/>
  <c r="M262" i="45"/>
  <c r="L262" i="45"/>
  <c r="J262" i="45"/>
  <c r="I262" i="45"/>
  <c r="G262" i="45"/>
  <c r="F262" i="45"/>
  <c r="K261" i="45"/>
  <c r="H261" i="45"/>
  <c r="E261" i="45"/>
  <c r="D261" i="45"/>
  <c r="C261" i="45"/>
  <c r="B261" i="45" s="1"/>
  <c r="K260" i="45"/>
  <c r="K262" i="45" s="1"/>
  <c r="H260" i="45"/>
  <c r="H262" i="45" s="1"/>
  <c r="E260" i="45"/>
  <c r="E262" i="45" s="1"/>
  <c r="D260" i="45"/>
  <c r="D262" i="45" s="1"/>
  <c r="C260" i="45"/>
  <c r="C262" i="45" s="1"/>
  <c r="M259" i="45"/>
  <c r="M325" i="45" s="1"/>
  <c r="L259" i="45"/>
  <c r="L325" i="45" s="1"/>
  <c r="J259" i="45"/>
  <c r="J325" i="45" s="1"/>
  <c r="I259" i="45"/>
  <c r="I325" i="45" s="1"/>
  <c r="G259" i="45"/>
  <c r="G325" i="45" s="1"/>
  <c r="F259" i="45"/>
  <c r="F325" i="45" s="1"/>
  <c r="K258" i="45"/>
  <c r="K324" i="45" s="1"/>
  <c r="H258" i="45"/>
  <c r="H324" i="45" s="1"/>
  <c r="E258" i="45"/>
  <c r="E324" i="45" s="1"/>
  <c r="D258" i="45"/>
  <c r="D324" i="45" s="1"/>
  <c r="C258" i="45"/>
  <c r="C324" i="45" s="1"/>
  <c r="K257" i="45"/>
  <c r="K323" i="45" s="1"/>
  <c r="H257" i="45"/>
  <c r="H323" i="45" s="1"/>
  <c r="E257" i="45"/>
  <c r="E323" i="45" s="1"/>
  <c r="D257" i="45"/>
  <c r="D323" i="45" s="1"/>
  <c r="C257" i="45"/>
  <c r="C323" i="45" s="1"/>
  <c r="M252" i="45"/>
  <c r="L252" i="45"/>
  <c r="J252" i="45"/>
  <c r="I252" i="45"/>
  <c r="G252" i="45"/>
  <c r="F252" i="45"/>
  <c r="M251" i="45"/>
  <c r="L251" i="45"/>
  <c r="J251" i="45"/>
  <c r="I251" i="45"/>
  <c r="G251" i="45"/>
  <c r="F251" i="45"/>
  <c r="M250" i="45"/>
  <c r="L250" i="45"/>
  <c r="J250" i="45"/>
  <c r="I250" i="45"/>
  <c r="G250" i="45"/>
  <c r="F250" i="45"/>
  <c r="K249" i="45"/>
  <c r="H249" i="45"/>
  <c r="E249" i="45"/>
  <c r="D249" i="45"/>
  <c r="C249" i="45"/>
  <c r="B249" i="45" s="1"/>
  <c r="K248" i="45"/>
  <c r="K250" i="45" s="1"/>
  <c r="H248" i="45"/>
  <c r="H250" i="45" s="1"/>
  <c r="E248" i="45"/>
  <c r="E250" i="45" s="1"/>
  <c r="D248" i="45"/>
  <c r="D250" i="45" s="1"/>
  <c r="C248" i="45"/>
  <c r="C250" i="45" s="1"/>
  <c r="M247" i="45"/>
  <c r="L247" i="45"/>
  <c r="J247" i="45"/>
  <c r="I247" i="45"/>
  <c r="G247" i="45"/>
  <c r="F247" i="45"/>
  <c r="K246" i="45"/>
  <c r="H246" i="45"/>
  <c r="E246" i="45"/>
  <c r="D246" i="45"/>
  <c r="C246" i="45"/>
  <c r="B246" i="45" s="1"/>
  <c r="K245" i="45"/>
  <c r="K247" i="45" s="1"/>
  <c r="H245" i="45"/>
  <c r="H247" i="45" s="1"/>
  <c r="E245" i="45"/>
  <c r="E247" i="45" s="1"/>
  <c r="D245" i="45"/>
  <c r="D247" i="45" s="1"/>
  <c r="C245" i="45"/>
  <c r="C247" i="45" s="1"/>
  <c r="M244" i="45"/>
  <c r="L244" i="45"/>
  <c r="J244" i="45"/>
  <c r="I244" i="45"/>
  <c r="G244" i="45"/>
  <c r="F244" i="45"/>
  <c r="K243" i="45"/>
  <c r="H243" i="45"/>
  <c r="E243" i="45"/>
  <c r="D243" i="45"/>
  <c r="C243" i="45"/>
  <c r="B243" i="45" s="1"/>
  <c r="K242" i="45"/>
  <c r="K244" i="45" s="1"/>
  <c r="H242" i="45"/>
  <c r="H244" i="45" s="1"/>
  <c r="E242" i="45"/>
  <c r="E244" i="45" s="1"/>
  <c r="D242" i="45"/>
  <c r="D244" i="45" s="1"/>
  <c r="C242" i="45"/>
  <c r="C244" i="45" s="1"/>
  <c r="M241" i="45"/>
  <c r="L241" i="45"/>
  <c r="J241" i="45"/>
  <c r="I241" i="45"/>
  <c r="G241" i="45"/>
  <c r="F241" i="45"/>
  <c r="K240" i="45"/>
  <c r="H240" i="45"/>
  <c r="E240" i="45"/>
  <c r="D240" i="45"/>
  <c r="C240" i="45"/>
  <c r="B240" i="45" s="1"/>
  <c r="K239" i="45"/>
  <c r="K241" i="45" s="1"/>
  <c r="H239" i="45"/>
  <c r="H241" i="45" s="1"/>
  <c r="E239" i="45"/>
  <c r="E241" i="45" s="1"/>
  <c r="D239" i="45"/>
  <c r="D241" i="45" s="1"/>
  <c r="C239" i="45"/>
  <c r="C241" i="45" s="1"/>
  <c r="M238" i="45"/>
  <c r="L238" i="45"/>
  <c r="J238" i="45"/>
  <c r="I238" i="45"/>
  <c r="G238" i="45"/>
  <c r="F238" i="45"/>
  <c r="K237" i="45"/>
  <c r="H237" i="45"/>
  <c r="E237" i="45"/>
  <c r="D237" i="45"/>
  <c r="C237" i="45"/>
  <c r="B237" i="45" s="1"/>
  <c r="K236" i="45"/>
  <c r="K238" i="45" s="1"/>
  <c r="H236" i="45"/>
  <c r="H238" i="45" s="1"/>
  <c r="E236" i="45"/>
  <c r="E238" i="45" s="1"/>
  <c r="D236" i="45"/>
  <c r="D238" i="45" s="1"/>
  <c r="C236" i="45"/>
  <c r="C238" i="45" s="1"/>
  <c r="M235" i="45"/>
  <c r="L235" i="45"/>
  <c r="J235" i="45"/>
  <c r="I235" i="45"/>
  <c r="G235" i="45"/>
  <c r="F235" i="45"/>
  <c r="K234" i="45"/>
  <c r="H234" i="45"/>
  <c r="E234" i="45"/>
  <c r="D234" i="45"/>
  <c r="C234" i="45"/>
  <c r="B234" i="45" s="1"/>
  <c r="K233" i="45"/>
  <c r="K235" i="45" s="1"/>
  <c r="H233" i="45"/>
  <c r="H235" i="45" s="1"/>
  <c r="E233" i="45"/>
  <c r="E235" i="45" s="1"/>
  <c r="D233" i="45"/>
  <c r="D235" i="45" s="1"/>
  <c r="C233" i="45"/>
  <c r="C235" i="45" s="1"/>
  <c r="M232" i="45"/>
  <c r="L232" i="45"/>
  <c r="J232" i="45"/>
  <c r="I232" i="45"/>
  <c r="G232" i="45"/>
  <c r="F232" i="45"/>
  <c r="K231" i="45"/>
  <c r="H231" i="45"/>
  <c r="E231" i="45"/>
  <c r="D231" i="45"/>
  <c r="C231" i="45"/>
  <c r="B231" i="45" s="1"/>
  <c r="K230" i="45"/>
  <c r="K232" i="45" s="1"/>
  <c r="H230" i="45"/>
  <c r="H232" i="45" s="1"/>
  <c r="E230" i="45"/>
  <c r="E232" i="45" s="1"/>
  <c r="D230" i="45"/>
  <c r="D232" i="45" s="1"/>
  <c r="C230" i="45"/>
  <c r="C232" i="45" s="1"/>
  <c r="M229" i="45"/>
  <c r="L229" i="45"/>
  <c r="J229" i="45"/>
  <c r="I229" i="45"/>
  <c r="G229" i="45"/>
  <c r="F229" i="45"/>
  <c r="K228" i="45"/>
  <c r="H228" i="45"/>
  <c r="E228" i="45"/>
  <c r="D228" i="45"/>
  <c r="C228" i="45"/>
  <c r="B228" i="45" s="1"/>
  <c r="K227" i="45"/>
  <c r="K229" i="45" s="1"/>
  <c r="H227" i="45"/>
  <c r="H229" i="45" s="1"/>
  <c r="E227" i="45"/>
  <c r="E229" i="45" s="1"/>
  <c r="D227" i="45"/>
  <c r="D229" i="45" s="1"/>
  <c r="C227" i="45"/>
  <c r="C229" i="45" s="1"/>
  <c r="M226" i="45"/>
  <c r="L226" i="45"/>
  <c r="J226" i="45"/>
  <c r="I226" i="45"/>
  <c r="G226" i="45"/>
  <c r="F226" i="45"/>
  <c r="K225" i="45"/>
  <c r="H225" i="45"/>
  <c r="E225" i="45"/>
  <c r="D225" i="45"/>
  <c r="C225" i="45"/>
  <c r="B225" i="45" s="1"/>
  <c r="K224" i="45"/>
  <c r="K226" i="45" s="1"/>
  <c r="H224" i="45"/>
  <c r="H226" i="45" s="1"/>
  <c r="E224" i="45"/>
  <c r="E226" i="45" s="1"/>
  <c r="D224" i="45"/>
  <c r="D226" i="45" s="1"/>
  <c r="C224" i="45"/>
  <c r="C226" i="45" s="1"/>
  <c r="M223" i="45"/>
  <c r="L223" i="45"/>
  <c r="J223" i="45"/>
  <c r="I223" i="45"/>
  <c r="G223" i="45"/>
  <c r="F223" i="45"/>
  <c r="K222" i="45"/>
  <c r="H222" i="45"/>
  <c r="E222" i="45"/>
  <c r="D222" i="45"/>
  <c r="C222" i="45"/>
  <c r="B222" i="45" s="1"/>
  <c r="K221" i="45"/>
  <c r="K223" i="45" s="1"/>
  <c r="H221" i="45"/>
  <c r="H223" i="45" s="1"/>
  <c r="E221" i="45"/>
  <c r="E223" i="45" s="1"/>
  <c r="D221" i="45"/>
  <c r="D223" i="45" s="1"/>
  <c r="C221" i="45"/>
  <c r="C223" i="45" s="1"/>
  <c r="M220" i="45"/>
  <c r="L220" i="45"/>
  <c r="J220" i="45"/>
  <c r="I220" i="45"/>
  <c r="G220" i="45"/>
  <c r="F220" i="45"/>
  <c r="K219" i="45"/>
  <c r="H219" i="45"/>
  <c r="E219" i="45"/>
  <c r="D219" i="45"/>
  <c r="C219" i="45"/>
  <c r="B219" i="45" s="1"/>
  <c r="K218" i="45"/>
  <c r="K220" i="45" s="1"/>
  <c r="H218" i="45"/>
  <c r="H220" i="45" s="1"/>
  <c r="E218" i="45"/>
  <c r="E220" i="45" s="1"/>
  <c r="D218" i="45"/>
  <c r="D220" i="45" s="1"/>
  <c r="C218" i="45"/>
  <c r="C220" i="45" s="1"/>
  <c r="M217" i="45"/>
  <c r="L217" i="45"/>
  <c r="J217" i="45"/>
  <c r="I217" i="45"/>
  <c r="G217" i="45"/>
  <c r="F217" i="45"/>
  <c r="K216" i="45"/>
  <c r="H216" i="45"/>
  <c r="E216" i="45"/>
  <c r="D216" i="45"/>
  <c r="C216" i="45"/>
  <c r="B216" i="45" s="1"/>
  <c r="K215" i="45"/>
  <c r="K217" i="45" s="1"/>
  <c r="H215" i="45"/>
  <c r="H217" i="45" s="1"/>
  <c r="E215" i="45"/>
  <c r="E217" i="45" s="1"/>
  <c r="D215" i="45"/>
  <c r="D217" i="45" s="1"/>
  <c r="C215" i="45"/>
  <c r="C217" i="45" s="1"/>
  <c r="M214" i="45"/>
  <c r="L214" i="45"/>
  <c r="J214" i="45"/>
  <c r="I214" i="45"/>
  <c r="G214" i="45"/>
  <c r="F214" i="45"/>
  <c r="K213" i="45"/>
  <c r="H213" i="45"/>
  <c r="E213" i="45"/>
  <c r="D213" i="45"/>
  <c r="C213" i="45"/>
  <c r="B213" i="45" s="1"/>
  <c r="K212" i="45"/>
  <c r="K214" i="45" s="1"/>
  <c r="H212" i="45"/>
  <c r="H214" i="45" s="1"/>
  <c r="E212" i="45"/>
  <c r="E214" i="45" s="1"/>
  <c r="D212" i="45"/>
  <c r="D214" i="45" s="1"/>
  <c r="C212" i="45"/>
  <c r="C214" i="45" s="1"/>
  <c r="M211" i="45"/>
  <c r="L211" i="45"/>
  <c r="J211" i="45"/>
  <c r="I211" i="45"/>
  <c r="G211" i="45"/>
  <c r="F211" i="45"/>
  <c r="K210" i="45"/>
  <c r="H210" i="45"/>
  <c r="E210" i="45"/>
  <c r="D210" i="45"/>
  <c r="C210" i="45"/>
  <c r="B210" i="45" s="1"/>
  <c r="K209" i="45"/>
  <c r="K211" i="45" s="1"/>
  <c r="H209" i="45"/>
  <c r="H211" i="45" s="1"/>
  <c r="E209" i="45"/>
  <c r="E211" i="45" s="1"/>
  <c r="D209" i="45"/>
  <c r="D211" i="45" s="1"/>
  <c r="C209" i="45"/>
  <c r="C211" i="45" s="1"/>
  <c r="M208" i="45"/>
  <c r="L208" i="45"/>
  <c r="J208" i="45"/>
  <c r="I208" i="45"/>
  <c r="G208" i="45"/>
  <c r="F208" i="45"/>
  <c r="K207" i="45"/>
  <c r="H207" i="45"/>
  <c r="E207" i="45"/>
  <c r="D207" i="45"/>
  <c r="C207" i="45"/>
  <c r="B207" i="45" s="1"/>
  <c r="K206" i="45"/>
  <c r="K208" i="45" s="1"/>
  <c r="H206" i="45"/>
  <c r="H208" i="45" s="1"/>
  <c r="E206" i="45"/>
  <c r="E208" i="45" s="1"/>
  <c r="D206" i="45"/>
  <c r="D208" i="45" s="1"/>
  <c r="C206" i="45"/>
  <c r="C208" i="45" s="1"/>
  <c r="M205" i="45"/>
  <c r="L205" i="45"/>
  <c r="J205" i="45"/>
  <c r="I205" i="45"/>
  <c r="G205" i="45"/>
  <c r="F205" i="45"/>
  <c r="K204" i="45"/>
  <c r="H204" i="45"/>
  <c r="E204" i="45"/>
  <c r="D204" i="45"/>
  <c r="C204" i="45"/>
  <c r="B204" i="45" s="1"/>
  <c r="K203" i="45"/>
  <c r="K205" i="45" s="1"/>
  <c r="H203" i="45"/>
  <c r="H205" i="45" s="1"/>
  <c r="E203" i="45"/>
  <c r="E205" i="45" s="1"/>
  <c r="D203" i="45"/>
  <c r="D205" i="45" s="1"/>
  <c r="C203" i="45"/>
  <c r="C205" i="45" s="1"/>
  <c r="M202" i="45"/>
  <c r="L202" i="45"/>
  <c r="J202" i="45"/>
  <c r="I202" i="45"/>
  <c r="G202" i="45"/>
  <c r="F202" i="45"/>
  <c r="K201" i="45"/>
  <c r="H201" i="45"/>
  <c r="E201" i="45"/>
  <c r="D201" i="45"/>
  <c r="C201" i="45"/>
  <c r="B201" i="45" s="1"/>
  <c r="K200" i="45"/>
  <c r="K202" i="45" s="1"/>
  <c r="H200" i="45"/>
  <c r="H202" i="45" s="1"/>
  <c r="E200" i="45"/>
  <c r="E202" i="45" s="1"/>
  <c r="D200" i="45"/>
  <c r="D202" i="45" s="1"/>
  <c r="C200" i="45"/>
  <c r="C202" i="45" s="1"/>
  <c r="M199" i="45"/>
  <c r="L199" i="45"/>
  <c r="J199" i="45"/>
  <c r="I199" i="45"/>
  <c r="G199" i="45"/>
  <c r="F199" i="45"/>
  <c r="K198" i="45"/>
  <c r="H198" i="45"/>
  <c r="E198" i="45"/>
  <c r="D198" i="45"/>
  <c r="C198" i="45"/>
  <c r="B198" i="45" s="1"/>
  <c r="K197" i="45"/>
  <c r="K199" i="45" s="1"/>
  <c r="H197" i="45"/>
  <c r="H199" i="45" s="1"/>
  <c r="E197" i="45"/>
  <c r="E199" i="45" s="1"/>
  <c r="D197" i="45"/>
  <c r="D199" i="45" s="1"/>
  <c r="C197" i="45"/>
  <c r="C199" i="45" s="1"/>
  <c r="M196" i="45"/>
  <c r="L196" i="45"/>
  <c r="J196" i="45"/>
  <c r="I196" i="45"/>
  <c r="G196" i="45"/>
  <c r="F196" i="45"/>
  <c r="K195" i="45"/>
  <c r="H195" i="45"/>
  <c r="E195" i="45"/>
  <c r="D195" i="45"/>
  <c r="C195" i="45"/>
  <c r="B195" i="45" s="1"/>
  <c r="K194" i="45"/>
  <c r="K196" i="45" s="1"/>
  <c r="H194" i="45"/>
  <c r="H196" i="45" s="1"/>
  <c r="E194" i="45"/>
  <c r="E196" i="45" s="1"/>
  <c r="D194" i="45"/>
  <c r="D196" i="45" s="1"/>
  <c r="C194" i="45"/>
  <c r="C196" i="45" s="1"/>
  <c r="M193" i="45"/>
  <c r="L193" i="45"/>
  <c r="J193" i="45"/>
  <c r="I193" i="45"/>
  <c r="G193" i="45"/>
  <c r="F193" i="45"/>
  <c r="K192" i="45"/>
  <c r="H192" i="45"/>
  <c r="E192" i="45"/>
  <c r="D192" i="45"/>
  <c r="C192" i="45"/>
  <c r="B192" i="45" s="1"/>
  <c r="K191" i="45"/>
  <c r="K193" i="45" s="1"/>
  <c r="H191" i="45"/>
  <c r="H193" i="45" s="1"/>
  <c r="E191" i="45"/>
  <c r="E193" i="45" s="1"/>
  <c r="D191" i="45"/>
  <c r="D193" i="45" s="1"/>
  <c r="C191" i="45"/>
  <c r="C193" i="45" s="1"/>
  <c r="M190" i="45"/>
  <c r="L190" i="45"/>
  <c r="J190" i="45"/>
  <c r="I190" i="45"/>
  <c r="G190" i="45"/>
  <c r="F190" i="45"/>
  <c r="K189" i="45"/>
  <c r="H189" i="45"/>
  <c r="E189" i="45"/>
  <c r="D189" i="45"/>
  <c r="C189" i="45"/>
  <c r="B189" i="45" s="1"/>
  <c r="K188" i="45"/>
  <c r="K190" i="45" s="1"/>
  <c r="H188" i="45"/>
  <c r="H190" i="45" s="1"/>
  <c r="E188" i="45"/>
  <c r="E190" i="45" s="1"/>
  <c r="D188" i="45"/>
  <c r="D190" i="45" s="1"/>
  <c r="C188" i="45"/>
  <c r="C190" i="45" s="1"/>
  <c r="M187" i="45"/>
  <c r="L187" i="45"/>
  <c r="J187" i="45"/>
  <c r="I187" i="45"/>
  <c r="G187" i="45"/>
  <c r="F187" i="45"/>
  <c r="K186" i="45"/>
  <c r="H186" i="45"/>
  <c r="E186" i="45"/>
  <c r="D186" i="45"/>
  <c r="C186" i="45"/>
  <c r="B186" i="45" s="1"/>
  <c r="K185" i="45"/>
  <c r="K187" i="45" s="1"/>
  <c r="H185" i="45"/>
  <c r="H187" i="45" s="1"/>
  <c r="E185" i="45"/>
  <c r="E187" i="45" s="1"/>
  <c r="D185" i="45"/>
  <c r="D187" i="45" s="1"/>
  <c r="C185" i="45"/>
  <c r="C187" i="45" s="1"/>
  <c r="M184" i="45"/>
  <c r="L184" i="45"/>
  <c r="J184" i="45"/>
  <c r="I184" i="45"/>
  <c r="G184" i="45"/>
  <c r="F184" i="45"/>
  <c r="K183" i="45"/>
  <c r="H183" i="45"/>
  <c r="E183" i="45"/>
  <c r="D183" i="45"/>
  <c r="C183" i="45"/>
  <c r="B183" i="45" s="1"/>
  <c r="K182" i="45"/>
  <c r="K184" i="45" s="1"/>
  <c r="H182" i="45"/>
  <c r="H184" i="45" s="1"/>
  <c r="E182" i="45"/>
  <c r="E184" i="45" s="1"/>
  <c r="D182" i="45"/>
  <c r="D184" i="45" s="1"/>
  <c r="C182" i="45"/>
  <c r="C184" i="45" s="1"/>
  <c r="M181" i="45"/>
  <c r="L181" i="45"/>
  <c r="J181" i="45"/>
  <c r="I181" i="45"/>
  <c r="G181" i="45"/>
  <c r="F181" i="45"/>
  <c r="K180" i="45"/>
  <c r="H180" i="45"/>
  <c r="E180" i="45"/>
  <c r="D180" i="45"/>
  <c r="C180" i="45"/>
  <c r="B180" i="45" s="1"/>
  <c r="K179" i="45"/>
  <c r="K181" i="45" s="1"/>
  <c r="H179" i="45"/>
  <c r="H181" i="45" s="1"/>
  <c r="E179" i="45"/>
  <c r="E181" i="45" s="1"/>
  <c r="D179" i="45"/>
  <c r="D181" i="45" s="1"/>
  <c r="C179" i="45"/>
  <c r="C181" i="45" s="1"/>
  <c r="M178" i="45"/>
  <c r="L178" i="45"/>
  <c r="J178" i="45"/>
  <c r="I178" i="45"/>
  <c r="G178" i="45"/>
  <c r="F178" i="45"/>
  <c r="K177" i="45"/>
  <c r="H177" i="45"/>
  <c r="E177" i="45"/>
  <c r="D177" i="45"/>
  <c r="C177" i="45"/>
  <c r="B177" i="45" s="1"/>
  <c r="K176" i="45"/>
  <c r="K178" i="45" s="1"/>
  <c r="H176" i="45"/>
  <c r="H178" i="45" s="1"/>
  <c r="E176" i="45"/>
  <c r="E178" i="45" s="1"/>
  <c r="D176" i="45"/>
  <c r="D178" i="45" s="1"/>
  <c r="C176" i="45"/>
  <c r="C178" i="45" s="1"/>
  <c r="M175" i="45"/>
  <c r="L175" i="45"/>
  <c r="J175" i="45"/>
  <c r="I175" i="45"/>
  <c r="G175" i="45"/>
  <c r="F175" i="45"/>
  <c r="K174" i="45"/>
  <c r="H174" i="45"/>
  <c r="E174" i="45"/>
  <c r="D174" i="45"/>
  <c r="C174" i="45"/>
  <c r="B174" i="45" s="1"/>
  <c r="K173" i="45"/>
  <c r="K175" i="45" s="1"/>
  <c r="H173" i="45"/>
  <c r="H175" i="45" s="1"/>
  <c r="E173" i="45"/>
  <c r="E175" i="45" s="1"/>
  <c r="D173" i="45"/>
  <c r="D175" i="45" s="1"/>
  <c r="C173" i="45"/>
  <c r="C175" i="45" s="1"/>
  <c r="M172" i="45"/>
  <c r="L172" i="45"/>
  <c r="J172" i="45"/>
  <c r="I172" i="45"/>
  <c r="G172" i="45"/>
  <c r="F172" i="45"/>
  <c r="K171" i="45"/>
  <c r="H171" i="45"/>
  <c r="E171" i="45"/>
  <c r="D171" i="45"/>
  <c r="C171" i="45"/>
  <c r="B171" i="45" s="1"/>
  <c r="K170" i="45"/>
  <c r="K172" i="45" s="1"/>
  <c r="H170" i="45"/>
  <c r="H172" i="45" s="1"/>
  <c r="E170" i="45"/>
  <c r="E172" i="45" s="1"/>
  <c r="D170" i="45"/>
  <c r="D172" i="45" s="1"/>
  <c r="C170" i="45"/>
  <c r="C172" i="45" s="1"/>
  <c r="M169" i="45"/>
  <c r="L169" i="45"/>
  <c r="J169" i="45"/>
  <c r="I169" i="45"/>
  <c r="G169" i="45"/>
  <c r="F169" i="45"/>
  <c r="K168" i="45"/>
  <c r="H168" i="45"/>
  <c r="E168" i="45"/>
  <c r="D168" i="45"/>
  <c r="C168" i="45"/>
  <c r="B168" i="45" s="1"/>
  <c r="K167" i="45"/>
  <c r="K169" i="45" s="1"/>
  <c r="H167" i="45"/>
  <c r="H169" i="45" s="1"/>
  <c r="E167" i="45"/>
  <c r="E169" i="45" s="1"/>
  <c r="D167" i="45"/>
  <c r="D169" i="45" s="1"/>
  <c r="C167" i="45"/>
  <c r="C169" i="45" s="1"/>
  <c r="M166" i="45"/>
  <c r="M253" i="45" s="1"/>
  <c r="L166" i="45"/>
  <c r="L253" i="45" s="1"/>
  <c r="J166" i="45"/>
  <c r="J253" i="45" s="1"/>
  <c r="I166" i="45"/>
  <c r="I253" i="45" s="1"/>
  <c r="G166" i="45"/>
  <c r="G253" i="45" s="1"/>
  <c r="F166" i="45"/>
  <c r="F253" i="45" s="1"/>
  <c r="K165" i="45"/>
  <c r="K252" i="45" s="1"/>
  <c r="H165" i="45"/>
  <c r="H252" i="45" s="1"/>
  <c r="E165" i="45"/>
  <c r="E252" i="45" s="1"/>
  <c r="D165" i="45"/>
  <c r="D252" i="45" s="1"/>
  <c r="C165" i="45"/>
  <c r="C252" i="45" s="1"/>
  <c r="K164" i="45"/>
  <c r="K251" i="45" s="1"/>
  <c r="H164" i="45"/>
  <c r="H251" i="45" s="1"/>
  <c r="E164" i="45"/>
  <c r="E251" i="45" s="1"/>
  <c r="D164" i="45"/>
  <c r="D251" i="45" s="1"/>
  <c r="C164" i="45"/>
  <c r="C251" i="45" s="1"/>
  <c r="M159" i="45"/>
  <c r="L159" i="45"/>
  <c r="J159" i="45"/>
  <c r="I159" i="45"/>
  <c r="G159" i="45"/>
  <c r="F159" i="45"/>
  <c r="M158" i="45"/>
  <c r="L158" i="45"/>
  <c r="J158" i="45"/>
  <c r="I158" i="45"/>
  <c r="G158" i="45"/>
  <c r="F158" i="45"/>
  <c r="M157" i="45"/>
  <c r="L157" i="45"/>
  <c r="J157" i="45"/>
  <c r="I157" i="45"/>
  <c r="G157" i="45"/>
  <c r="F157" i="45"/>
  <c r="K156" i="45"/>
  <c r="H156" i="45"/>
  <c r="E156" i="45"/>
  <c r="D156" i="45"/>
  <c r="C156" i="45"/>
  <c r="B156" i="45" s="1"/>
  <c r="K155" i="45"/>
  <c r="K157" i="45" s="1"/>
  <c r="H155" i="45"/>
  <c r="H157" i="45" s="1"/>
  <c r="E155" i="45"/>
  <c r="E157" i="45" s="1"/>
  <c r="D155" i="45"/>
  <c r="D157" i="45" s="1"/>
  <c r="C155" i="45"/>
  <c r="C157" i="45" s="1"/>
  <c r="M154" i="45"/>
  <c r="L154" i="45"/>
  <c r="J154" i="45"/>
  <c r="I154" i="45"/>
  <c r="G154" i="45"/>
  <c r="F154" i="45"/>
  <c r="K153" i="45"/>
  <c r="H153" i="45"/>
  <c r="E153" i="45"/>
  <c r="D153" i="45"/>
  <c r="C153" i="45"/>
  <c r="B153" i="45" s="1"/>
  <c r="K152" i="45"/>
  <c r="K154" i="45" s="1"/>
  <c r="H152" i="45"/>
  <c r="H154" i="45" s="1"/>
  <c r="E152" i="45"/>
  <c r="E154" i="45" s="1"/>
  <c r="D152" i="45"/>
  <c r="D154" i="45" s="1"/>
  <c r="C152" i="45"/>
  <c r="C154" i="45" s="1"/>
  <c r="M151" i="45"/>
  <c r="L151" i="45"/>
  <c r="J151" i="45"/>
  <c r="I151" i="45"/>
  <c r="G151" i="45"/>
  <c r="F151" i="45"/>
  <c r="K150" i="45"/>
  <c r="H150" i="45"/>
  <c r="E150" i="45"/>
  <c r="D150" i="45"/>
  <c r="C150" i="45"/>
  <c r="B150" i="45" s="1"/>
  <c r="K149" i="45"/>
  <c r="K151" i="45" s="1"/>
  <c r="H149" i="45"/>
  <c r="H151" i="45" s="1"/>
  <c r="E149" i="45"/>
  <c r="E151" i="45" s="1"/>
  <c r="D149" i="45"/>
  <c r="D151" i="45" s="1"/>
  <c r="C149" i="45"/>
  <c r="C151" i="45" s="1"/>
  <c r="M148" i="45"/>
  <c r="L148" i="45"/>
  <c r="J148" i="45"/>
  <c r="I148" i="45"/>
  <c r="G148" i="45"/>
  <c r="F148" i="45"/>
  <c r="K147" i="45"/>
  <c r="H147" i="45"/>
  <c r="E147" i="45"/>
  <c r="D147" i="45"/>
  <c r="C147" i="45"/>
  <c r="B147" i="45" s="1"/>
  <c r="K146" i="45"/>
  <c r="K148" i="45" s="1"/>
  <c r="H146" i="45"/>
  <c r="H148" i="45" s="1"/>
  <c r="E146" i="45"/>
  <c r="E148" i="45" s="1"/>
  <c r="D146" i="45"/>
  <c r="D148" i="45" s="1"/>
  <c r="C146" i="45"/>
  <c r="C148" i="45" s="1"/>
  <c r="M145" i="45"/>
  <c r="L145" i="45"/>
  <c r="J145" i="45"/>
  <c r="I145" i="45"/>
  <c r="G145" i="45"/>
  <c r="F145" i="45"/>
  <c r="K144" i="45"/>
  <c r="H144" i="45"/>
  <c r="E144" i="45"/>
  <c r="D144" i="45"/>
  <c r="C144" i="45"/>
  <c r="B144" i="45" s="1"/>
  <c r="K143" i="45"/>
  <c r="K145" i="45" s="1"/>
  <c r="H143" i="45"/>
  <c r="H145" i="45" s="1"/>
  <c r="E143" i="45"/>
  <c r="E145" i="45" s="1"/>
  <c r="D143" i="45"/>
  <c r="D145" i="45" s="1"/>
  <c r="C143" i="45"/>
  <c r="C145" i="45" s="1"/>
  <c r="M142" i="45"/>
  <c r="L142" i="45"/>
  <c r="J142" i="45"/>
  <c r="I142" i="45"/>
  <c r="G142" i="45"/>
  <c r="F142" i="45"/>
  <c r="K141" i="45"/>
  <c r="H141" i="45"/>
  <c r="E141" i="45"/>
  <c r="D141" i="45"/>
  <c r="C141" i="45"/>
  <c r="B141" i="45" s="1"/>
  <c r="K140" i="45"/>
  <c r="K142" i="45" s="1"/>
  <c r="H140" i="45"/>
  <c r="H142" i="45" s="1"/>
  <c r="E140" i="45"/>
  <c r="E142" i="45" s="1"/>
  <c r="D140" i="45"/>
  <c r="D142" i="45" s="1"/>
  <c r="C140" i="45"/>
  <c r="C142" i="45" s="1"/>
  <c r="M139" i="45"/>
  <c r="L139" i="45"/>
  <c r="J139" i="45"/>
  <c r="I139" i="45"/>
  <c r="G139" i="45"/>
  <c r="F139" i="45"/>
  <c r="K138" i="45"/>
  <c r="H138" i="45"/>
  <c r="E138" i="45"/>
  <c r="D138" i="45"/>
  <c r="C138" i="45"/>
  <c r="B138" i="45" s="1"/>
  <c r="K137" i="45"/>
  <c r="K139" i="45" s="1"/>
  <c r="H137" i="45"/>
  <c r="H139" i="45" s="1"/>
  <c r="E137" i="45"/>
  <c r="E139" i="45" s="1"/>
  <c r="D137" i="45"/>
  <c r="D139" i="45" s="1"/>
  <c r="C137" i="45"/>
  <c r="C139" i="45" s="1"/>
  <c r="M136" i="45"/>
  <c r="L136" i="45"/>
  <c r="J136" i="45"/>
  <c r="I136" i="45"/>
  <c r="G136" i="45"/>
  <c r="F136" i="45"/>
  <c r="K135" i="45"/>
  <c r="H135" i="45"/>
  <c r="E135" i="45"/>
  <c r="D135" i="45"/>
  <c r="C135" i="45"/>
  <c r="B135" i="45" s="1"/>
  <c r="K134" i="45"/>
  <c r="K136" i="45" s="1"/>
  <c r="H134" i="45"/>
  <c r="H136" i="45" s="1"/>
  <c r="E134" i="45"/>
  <c r="E136" i="45" s="1"/>
  <c r="D134" i="45"/>
  <c r="D136" i="45" s="1"/>
  <c r="C134" i="45"/>
  <c r="C136" i="45" s="1"/>
  <c r="M133" i="45"/>
  <c r="L133" i="45"/>
  <c r="J133" i="45"/>
  <c r="I133" i="45"/>
  <c r="G133" i="45"/>
  <c r="F133" i="45"/>
  <c r="K132" i="45"/>
  <c r="H132" i="45"/>
  <c r="E132" i="45"/>
  <c r="D132" i="45"/>
  <c r="C132" i="45"/>
  <c r="B132" i="45" s="1"/>
  <c r="K131" i="45"/>
  <c r="K133" i="45" s="1"/>
  <c r="H131" i="45"/>
  <c r="H133" i="45" s="1"/>
  <c r="E131" i="45"/>
  <c r="E133" i="45" s="1"/>
  <c r="D131" i="45"/>
  <c r="D133" i="45" s="1"/>
  <c r="C131" i="45"/>
  <c r="C133" i="45" s="1"/>
  <c r="M130" i="45"/>
  <c r="L130" i="45"/>
  <c r="J130" i="45"/>
  <c r="I130" i="45"/>
  <c r="G130" i="45"/>
  <c r="F130" i="45"/>
  <c r="K129" i="45"/>
  <c r="H129" i="45"/>
  <c r="E129" i="45"/>
  <c r="D129" i="45"/>
  <c r="C129" i="45"/>
  <c r="B129" i="45" s="1"/>
  <c r="K128" i="45"/>
  <c r="K130" i="45" s="1"/>
  <c r="H128" i="45"/>
  <c r="H130" i="45" s="1"/>
  <c r="E128" i="45"/>
  <c r="E130" i="45" s="1"/>
  <c r="D128" i="45"/>
  <c r="D130" i="45" s="1"/>
  <c r="C128" i="45"/>
  <c r="C130" i="45" s="1"/>
  <c r="M127" i="45"/>
  <c r="L127" i="45"/>
  <c r="J127" i="45"/>
  <c r="I127" i="45"/>
  <c r="G127" i="45"/>
  <c r="F127" i="45"/>
  <c r="K126" i="45"/>
  <c r="H126" i="45"/>
  <c r="E126" i="45"/>
  <c r="D126" i="45"/>
  <c r="C126" i="45"/>
  <c r="B126" i="45" s="1"/>
  <c r="K125" i="45"/>
  <c r="K127" i="45" s="1"/>
  <c r="H125" i="45"/>
  <c r="H127" i="45" s="1"/>
  <c r="E125" i="45"/>
  <c r="E127" i="45" s="1"/>
  <c r="D125" i="45"/>
  <c r="D127" i="45" s="1"/>
  <c r="C125" i="45"/>
  <c r="C127" i="45" s="1"/>
  <c r="M124" i="45"/>
  <c r="L124" i="45"/>
  <c r="J124" i="45"/>
  <c r="I124" i="45"/>
  <c r="G124" i="45"/>
  <c r="F124" i="45"/>
  <c r="K123" i="45"/>
  <c r="H123" i="45"/>
  <c r="E123" i="45"/>
  <c r="D123" i="45"/>
  <c r="C123" i="45"/>
  <c r="B123" i="45" s="1"/>
  <c r="K122" i="45"/>
  <c r="K124" i="45" s="1"/>
  <c r="H122" i="45"/>
  <c r="H124" i="45" s="1"/>
  <c r="E122" i="45"/>
  <c r="E124" i="45" s="1"/>
  <c r="D122" i="45"/>
  <c r="D124" i="45" s="1"/>
  <c r="C122" i="45"/>
  <c r="C124" i="45" s="1"/>
  <c r="M121" i="45"/>
  <c r="L121" i="45"/>
  <c r="J121" i="45"/>
  <c r="I121" i="45"/>
  <c r="G121" i="45"/>
  <c r="F121" i="45"/>
  <c r="K120" i="45"/>
  <c r="H120" i="45"/>
  <c r="E120" i="45"/>
  <c r="D120" i="45"/>
  <c r="C120" i="45"/>
  <c r="B120" i="45" s="1"/>
  <c r="K119" i="45"/>
  <c r="K121" i="45" s="1"/>
  <c r="H119" i="45"/>
  <c r="H121" i="45" s="1"/>
  <c r="E119" i="45"/>
  <c r="E121" i="45" s="1"/>
  <c r="D119" i="45"/>
  <c r="D121" i="45" s="1"/>
  <c r="C119" i="45"/>
  <c r="C121" i="45" s="1"/>
  <c r="M118" i="45"/>
  <c r="M160" i="45" s="1"/>
  <c r="L118" i="45"/>
  <c r="L160" i="45" s="1"/>
  <c r="J118" i="45"/>
  <c r="J160" i="45" s="1"/>
  <c r="I118" i="45"/>
  <c r="I160" i="45" s="1"/>
  <c r="G118" i="45"/>
  <c r="G160" i="45" s="1"/>
  <c r="F118" i="45"/>
  <c r="F160" i="45" s="1"/>
  <c r="K117" i="45"/>
  <c r="K159" i="45" s="1"/>
  <c r="H117" i="45"/>
  <c r="H159" i="45" s="1"/>
  <c r="E117" i="45"/>
  <c r="E159" i="45" s="1"/>
  <c r="D117" i="45"/>
  <c r="D159" i="45" s="1"/>
  <c r="C117" i="45"/>
  <c r="C159" i="45" s="1"/>
  <c r="K116" i="45"/>
  <c r="K158" i="45" s="1"/>
  <c r="H116" i="45"/>
  <c r="H158" i="45" s="1"/>
  <c r="E116" i="45"/>
  <c r="E158" i="45" s="1"/>
  <c r="D116" i="45"/>
  <c r="D158" i="45" s="1"/>
  <c r="C116" i="45"/>
  <c r="C158" i="45" s="1"/>
  <c r="M111" i="45"/>
  <c r="L111" i="45"/>
  <c r="J111" i="45"/>
  <c r="I111" i="45"/>
  <c r="G111" i="45"/>
  <c r="F111" i="45"/>
  <c r="M110" i="45"/>
  <c r="L110" i="45"/>
  <c r="J110" i="45"/>
  <c r="I110" i="45"/>
  <c r="G110" i="45"/>
  <c r="F110" i="45"/>
  <c r="M109" i="45"/>
  <c r="L109" i="45"/>
  <c r="J109" i="45"/>
  <c r="I109" i="45"/>
  <c r="G109" i="45"/>
  <c r="F109" i="45"/>
  <c r="K108" i="45"/>
  <c r="H108" i="45"/>
  <c r="E108" i="45"/>
  <c r="D108" i="45"/>
  <c r="C108" i="45"/>
  <c r="B108" i="45" s="1"/>
  <c r="K107" i="45"/>
  <c r="K109" i="45" s="1"/>
  <c r="H107" i="45"/>
  <c r="H109" i="45" s="1"/>
  <c r="E107" i="45"/>
  <c r="E109" i="45" s="1"/>
  <c r="D107" i="45"/>
  <c r="D109" i="45" s="1"/>
  <c r="C107" i="45"/>
  <c r="C109" i="45" s="1"/>
  <c r="M106" i="45"/>
  <c r="L106" i="45"/>
  <c r="J106" i="45"/>
  <c r="I106" i="45"/>
  <c r="G106" i="45"/>
  <c r="F106" i="45"/>
  <c r="K105" i="45"/>
  <c r="H105" i="45"/>
  <c r="E105" i="45"/>
  <c r="D105" i="45"/>
  <c r="C105" i="45"/>
  <c r="B105" i="45" s="1"/>
  <c r="K104" i="45"/>
  <c r="K106" i="45" s="1"/>
  <c r="H104" i="45"/>
  <c r="H106" i="45" s="1"/>
  <c r="E104" i="45"/>
  <c r="E106" i="45" s="1"/>
  <c r="D104" i="45"/>
  <c r="D106" i="45" s="1"/>
  <c r="C104" i="45"/>
  <c r="C106" i="45" s="1"/>
  <c r="M103" i="45"/>
  <c r="L103" i="45"/>
  <c r="J103" i="45"/>
  <c r="I103" i="45"/>
  <c r="G103" i="45"/>
  <c r="F103" i="45"/>
  <c r="K102" i="45"/>
  <c r="H102" i="45"/>
  <c r="E102" i="45"/>
  <c r="D102" i="45"/>
  <c r="C102" i="45"/>
  <c r="B102" i="45" s="1"/>
  <c r="K101" i="45"/>
  <c r="K103" i="45" s="1"/>
  <c r="H101" i="45"/>
  <c r="H103" i="45" s="1"/>
  <c r="E101" i="45"/>
  <c r="E103" i="45" s="1"/>
  <c r="D101" i="45"/>
  <c r="D103" i="45" s="1"/>
  <c r="C101" i="45"/>
  <c r="C103" i="45" s="1"/>
  <c r="M100" i="45"/>
  <c r="L100" i="45"/>
  <c r="J100" i="45"/>
  <c r="I100" i="45"/>
  <c r="G100" i="45"/>
  <c r="F100" i="45"/>
  <c r="K99" i="45"/>
  <c r="H99" i="45"/>
  <c r="E99" i="45"/>
  <c r="D99" i="45"/>
  <c r="C99" i="45"/>
  <c r="B99" i="45" s="1"/>
  <c r="K98" i="45"/>
  <c r="K100" i="45" s="1"/>
  <c r="H98" i="45"/>
  <c r="H100" i="45" s="1"/>
  <c r="E98" i="45"/>
  <c r="E100" i="45" s="1"/>
  <c r="D98" i="45"/>
  <c r="D100" i="45" s="1"/>
  <c r="C98" i="45"/>
  <c r="C100" i="45" s="1"/>
  <c r="M97" i="45"/>
  <c r="L97" i="45"/>
  <c r="J97" i="45"/>
  <c r="I97" i="45"/>
  <c r="G97" i="45"/>
  <c r="F97" i="45"/>
  <c r="K96" i="45"/>
  <c r="H96" i="45"/>
  <c r="E96" i="45"/>
  <c r="D96" i="45"/>
  <c r="C96" i="45"/>
  <c r="B96" i="45" s="1"/>
  <c r="K95" i="45"/>
  <c r="K97" i="45" s="1"/>
  <c r="H95" i="45"/>
  <c r="H97" i="45" s="1"/>
  <c r="E95" i="45"/>
  <c r="E97" i="45" s="1"/>
  <c r="D95" i="45"/>
  <c r="D97" i="45" s="1"/>
  <c r="C95" i="45"/>
  <c r="C97" i="45" s="1"/>
  <c r="M94" i="45"/>
  <c r="M112" i="45" s="1"/>
  <c r="L94" i="45"/>
  <c r="L112" i="45" s="1"/>
  <c r="J94" i="45"/>
  <c r="J112" i="45" s="1"/>
  <c r="I94" i="45"/>
  <c r="I112" i="45" s="1"/>
  <c r="G94" i="45"/>
  <c r="G112" i="45" s="1"/>
  <c r="F94" i="45"/>
  <c r="F112" i="45" s="1"/>
  <c r="K93" i="45"/>
  <c r="K111" i="45" s="1"/>
  <c r="H93" i="45"/>
  <c r="H111" i="45" s="1"/>
  <c r="E93" i="45"/>
  <c r="E111" i="45" s="1"/>
  <c r="D93" i="45"/>
  <c r="D111" i="45" s="1"/>
  <c r="C93" i="45"/>
  <c r="C111" i="45" s="1"/>
  <c r="K92" i="45"/>
  <c r="K110" i="45" s="1"/>
  <c r="H92" i="45"/>
  <c r="H110" i="45" s="1"/>
  <c r="E92" i="45"/>
  <c r="E110" i="45" s="1"/>
  <c r="D92" i="45"/>
  <c r="D110" i="45" s="1"/>
  <c r="C92" i="45"/>
  <c r="C110" i="45" s="1"/>
  <c r="M87" i="45"/>
  <c r="L87" i="45"/>
  <c r="J87" i="45"/>
  <c r="I87" i="45"/>
  <c r="G87" i="45"/>
  <c r="F87" i="45"/>
  <c r="M86" i="45"/>
  <c r="L86" i="45"/>
  <c r="J86" i="45"/>
  <c r="I86" i="45"/>
  <c r="G86" i="45"/>
  <c r="F86" i="45"/>
  <c r="M85" i="45"/>
  <c r="L85" i="45"/>
  <c r="J85" i="45"/>
  <c r="I85" i="45"/>
  <c r="G85" i="45"/>
  <c r="F85" i="45"/>
  <c r="K84" i="45"/>
  <c r="H84" i="45"/>
  <c r="E84" i="45"/>
  <c r="D84" i="45"/>
  <c r="C84" i="45"/>
  <c r="B84" i="45" s="1"/>
  <c r="K83" i="45"/>
  <c r="K85" i="45" s="1"/>
  <c r="H83" i="45"/>
  <c r="H85" i="45" s="1"/>
  <c r="E83" i="45"/>
  <c r="E85" i="45" s="1"/>
  <c r="D83" i="45"/>
  <c r="D85" i="45" s="1"/>
  <c r="C83" i="45"/>
  <c r="C85" i="45" s="1"/>
  <c r="M82" i="45"/>
  <c r="L82" i="45"/>
  <c r="J82" i="45"/>
  <c r="I82" i="45"/>
  <c r="G82" i="45"/>
  <c r="F82" i="45"/>
  <c r="K81" i="45"/>
  <c r="H81" i="45"/>
  <c r="E81" i="45"/>
  <c r="D81" i="45"/>
  <c r="C81" i="45"/>
  <c r="B81" i="45" s="1"/>
  <c r="K80" i="45"/>
  <c r="K82" i="45" s="1"/>
  <c r="H80" i="45"/>
  <c r="H82" i="45" s="1"/>
  <c r="E80" i="45"/>
  <c r="E82" i="45" s="1"/>
  <c r="D80" i="45"/>
  <c r="D82" i="45" s="1"/>
  <c r="C80" i="45"/>
  <c r="C82" i="45" s="1"/>
  <c r="B80" i="45"/>
  <c r="B82" i="45" s="1"/>
  <c r="M79" i="45"/>
  <c r="L79" i="45"/>
  <c r="J79" i="45"/>
  <c r="I79" i="45"/>
  <c r="G79" i="45"/>
  <c r="F79" i="45"/>
  <c r="K78" i="45"/>
  <c r="H78" i="45"/>
  <c r="E78" i="45"/>
  <c r="D78" i="45"/>
  <c r="C78" i="45"/>
  <c r="B78" i="45"/>
  <c r="K77" i="45"/>
  <c r="K79" i="45" s="1"/>
  <c r="H77" i="45"/>
  <c r="H79" i="45" s="1"/>
  <c r="E77" i="45"/>
  <c r="E79" i="45" s="1"/>
  <c r="D77" i="45"/>
  <c r="D79" i="45" s="1"/>
  <c r="C77" i="45"/>
  <c r="C79" i="45" s="1"/>
  <c r="B77" i="45"/>
  <c r="B79" i="45" s="1"/>
  <c r="M76" i="45"/>
  <c r="L76" i="45"/>
  <c r="J76" i="45"/>
  <c r="I76" i="45"/>
  <c r="G76" i="45"/>
  <c r="F76" i="45"/>
  <c r="K75" i="45"/>
  <c r="H75" i="45"/>
  <c r="E75" i="45"/>
  <c r="D75" i="45"/>
  <c r="C75" i="45"/>
  <c r="B75" i="45" s="1"/>
  <c r="K74" i="45"/>
  <c r="K76" i="45" s="1"/>
  <c r="H74" i="45"/>
  <c r="H76" i="45" s="1"/>
  <c r="E74" i="45"/>
  <c r="E76" i="45" s="1"/>
  <c r="D74" i="45"/>
  <c r="D76" i="45" s="1"/>
  <c r="C74" i="45"/>
  <c r="C76" i="45" s="1"/>
  <c r="M73" i="45"/>
  <c r="L73" i="45"/>
  <c r="J73" i="45"/>
  <c r="I73" i="45"/>
  <c r="G73" i="45"/>
  <c r="F73" i="45"/>
  <c r="K72" i="45"/>
  <c r="H72" i="45"/>
  <c r="E72" i="45"/>
  <c r="D72" i="45"/>
  <c r="C72" i="45"/>
  <c r="B72" i="45"/>
  <c r="K71" i="45"/>
  <c r="K73" i="45" s="1"/>
  <c r="H71" i="45"/>
  <c r="H73" i="45" s="1"/>
  <c r="E71" i="45"/>
  <c r="E73" i="45" s="1"/>
  <c r="D71" i="45"/>
  <c r="D73" i="45" s="1"/>
  <c r="C71" i="45"/>
  <c r="C73" i="45" s="1"/>
  <c r="B71" i="45"/>
  <c r="B73" i="45" s="1"/>
  <c r="M70" i="45"/>
  <c r="L70" i="45"/>
  <c r="J70" i="45"/>
  <c r="I70" i="45"/>
  <c r="G70" i="45"/>
  <c r="F70" i="45"/>
  <c r="K69" i="45"/>
  <c r="H69" i="45"/>
  <c r="E69" i="45"/>
  <c r="D69" i="45"/>
  <c r="C69" i="45"/>
  <c r="B69" i="45"/>
  <c r="K68" i="45"/>
  <c r="K70" i="45" s="1"/>
  <c r="H68" i="45"/>
  <c r="H70" i="45" s="1"/>
  <c r="E68" i="45"/>
  <c r="E70" i="45" s="1"/>
  <c r="D68" i="45"/>
  <c r="D70" i="45" s="1"/>
  <c r="C68" i="45"/>
  <c r="C70" i="45" s="1"/>
  <c r="B68" i="45"/>
  <c r="B70" i="45" s="1"/>
  <c r="M67" i="45"/>
  <c r="L67" i="45"/>
  <c r="J67" i="45"/>
  <c r="I67" i="45"/>
  <c r="G67" i="45"/>
  <c r="F67" i="45"/>
  <c r="K66" i="45"/>
  <c r="H66" i="45"/>
  <c r="E66" i="45"/>
  <c r="D66" i="45"/>
  <c r="C66" i="45"/>
  <c r="B66" i="45" s="1"/>
  <c r="K65" i="45"/>
  <c r="K67" i="45" s="1"/>
  <c r="H65" i="45"/>
  <c r="H67" i="45" s="1"/>
  <c r="E65" i="45"/>
  <c r="E67" i="45" s="1"/>
  <c r="D65" i="45"/>
  <c r="D67" i="45" s="1"/>
  <c r="C65" i="45"/>
  <c r="C67" i="45" s="1"/>
  <c r="B65" i="45"/>
  <c r="M64" i="45"/>
  <c r="L64" i="45"/>
  <c r="J64" i="45"/>
  <c r="I64" i="45"/>
  <c r="G64" i="45"/>
  <c r="F64" i="45"/>
  <c r="K63" i="45"/>
  <c r="H63" i="45"/>
  <c r="E63" i="45"/>
  <c r="D63" i="45"/>
  <c r="C63" i="45"/>
  <c r="B63" i="45" s="1"/>
  <c r="K62" i="45"/>
  <c r="K64" i="45" s="1"/>
  <c r="H62" i="45"/>
  <c r="H64" i="45" s="1"/>
  <c r="E62" i="45"/>
  <c r="E64" i="45" s="1"/>
  <c r="D62" i="45"/>
  <c r="D64" i="45" s="1"/>
  <c r="C62" i="45"/>
  <c r="C64" i="45" s="1"/>
  <c r="M61" i="45"/>
  <c r="L61" i="45"/>
  <c r="J61" i="45"/>
  <c r="I61" i="45"/>
  <c r="G61" i="45"/>
  <c r="F61" i="45"/>
  <c r="K60" i="45"/>
  <c r="H60" i="45"/>
  <c r="E60" i="45"/>
  <c r="D60" i="45"/>
  <c r="C60" i="45"/>
  <c r="B60" i="45" s="1"/>
  <c r="K59" i="45"/>
  <c r="K61" i="45" s="1"/>
  <c r="H59" i="45"/>
  <c r="H61" i="45" s="1"/>
  <c r="E59" i="45"/>
  <c r="E61" i="45" s="1"/>
  <c r="D59" i="45"/>
  <c r="D61" i="45" s="1"/>
  <c r="C59" i="45"/>
  <c r="C61" i="45" s="1"/>
  <c r="M58" i="45"/>
  <c r="L58" i="45"/>
  <c r="J58" i="45"/>
  <c r="I58" i="45"/>
  <c r="G58" i="45"/>
  <c r="F58" i="45"/>
  <c r="K57" i="45"/>
  <c r="H57" i="45"/>
  <c r="E57" i="45"/>
  <c r="D57" i="45"/>
  <c r="C57" i="45"/>
  <c r="B57" i="45" s="1"/>
  <c r="K56" i="45"/>
  <c r="K58" i="45" s="1"/>
  <c r="H56" i="45"/>
  <c r="H58" i="45" s="1"/>
  <c r="E56" i="45"/>
  <c r="E58" i="45" s="1"/>
  <c r="D56" i="45"/>
  <c r="D58" i="45" s="1"/>
  <c r="C56" i="45"/>
  <c r="C58" i="45" s="1"/>
  <c r="M55" i="45"/>
  <c r="L55" i="45"/>
  <c r="J55" i="45"/>
  <c r="I55" i="45"/>
  <c r="G55" i="45"/>
  <c r="F55" i="45"/>
  <c r="K54" i="45"/>
  <c r="H54" i="45"/>
  <c r="E54" i="45"/>
  <c r="D54" i="45"/>
  <c r="C54" i="45"/>
  <c r="B54" i="45" s="1"/>
  <c r="K53" i="45"/>
  <c r="K55" i="45" s="1"/>
  <c r="H53" i="45"/>
  <c r="H55" i="45" s="1"/>
  <c r="E53" i="45"/>
  <c r="E55" i="45" s="1"/>
  <c r="D53" i="45"/>
  <c r="D55" i="45" s="1"/>
  <c r="C53" i="45"/>
  <c r="C55" i="45" s="1"/>
  <c r="M52" i="45"/>
  <c r="L52" i="45"/>
  <c r="J52" i="45"/>
  <c r="I52" i="45"/>
  <c r="G52" i="45"/>
  <c r="F52" i="45"/>
  <c r="K51" i="45"/>
  <c r="H51" i="45"/>
  <c r="E51" i="45"/>
  <c r="D51" i="45"/>
  <c r="C51" i="45"/>
  <c r="B51" i="45" s="1"/>
  <c r="K50" i="45"/>
  <c r="K52" i="45" s="1"/>
  <c r="H50" i="45"/>
  <c r="H52" i="45" s="1"/>
  <c r="E50" i="45"/>
  <c r="E52" i="45" s="1"/>
  <c r="D50" i="45"/>
  <c r="D52" i="45" s="1"/>
  <c r="C50" i="45"/>
  <c r="C52" i="45" s="1"/>
  <c r="M49" i="45"/>
  <c r="L49" i="45"/>
  <c r="J49" i="45"/>
  <c r="I49" i="45"/>
  <c r="G49" i="45"/>
  <c r="F49" i="45"/>
  <c r="K48" i="45"/>
  <c r="H48" i="45"/>
  <c r="E48" i="45"/>
  <c r="D48" i="45"/>
  <c r="C48" i="45"/>
  <c r="B48" i="45" s="1"/>
  <c r="K47" i="45"/>
  <c r="K49" i="45" s="1"/>
  <c r="H47" i="45"/>
  <c r="H49" i="45" s="1"/>
  <c r="E47" i="45"/>
  <c r="E49" i="45" s="1"/>
  <c r="D47" i="45"/>
  <c r="D49" i="45" s="1"/>
  <c r="C47" i="45"/>
  <c r="C49" i="45" s="1"/>
  <c r="M46" i="45"/>
  <c r="L46" i="45"/>
  <c r="J46" i="45"/>
  <c r="I46" i="45"/>
  <c r="G46" i="45"/>
  <c r="F46" i="45"/>
  <c r="K45" i="45"/>
  <c r="H45" i="45"/>
  <c r="E45" i="45"/>
  <c r="D45" i="45"/>
  <c r="C45" i="45"/>
  <c r="B45" i="45" s="1"/>
  <c r="K44" i="45"/>
  <c r="K46" i="45" s="1"/>
  <c r="H44" i="45"/>
  <c r="H46" i="45" s="1"/>
  <c r="E44" i="45"/>
  <c r="E46" i="45" s="1"/>
  <c r="D44" i="45"/>
  <c r="D46" i="45" s="1"/>
  <c r="C44" i="45"/>
  <c r="C46" i="45" s="1"/>
  <c r="M43" i="45"/>
  <c r="L43" i="45"/>
  <c r="J43" i="45"/>
  <c r="I43" i="45"/>
  <c r="G43" i="45"/>
  <c r="F43" i="45"/>
  <c r="K42" i="45"/>
  <c r="H42" i="45"/>
  <c r="E42" i="45"/>
  <c r="D42" i="45"/>
  <c r="C42" i="45"/>
  <c r="B42" i="45" s="1"/>
  <c r="K41" i="45"/>
  <c r="K43" i="45" s="1"/>
  <c r="H41" i="45"/>
  <c r="H43" i="45" s="1"/>
  <c r="E41" i="45"/>
  <c r="E43" i="45" s="1"/>
  <c r="D41" i="45"/>
  <c r="D43" i="45" s="1"/>
  <c r="C41" i="45"/>
  <c r="C43" i="45" s="1"/>
  <c r="M40" i="45"/>
  <c r="L40" i="45"/>
  <c r="J40" i="45"/>
  <c r="I40" i="45"/>
  <c r="G40" i="45"/>
  <c r="F40" i="45"/>
  <c r="K39" i="45"/>
  <c r="H39" i="45"/>
  <c r="E39" i="45"/>
  <c r="D39" i="45"/>
  <c r="C39" i="45"/>
  <c r="B39" i="45" s="1"/>
  <c r="K38" i="45"/>
  <c r="K40" i="45" s="1"/>
  <c r="H38" i="45"/>
  <c r="H40" i="45" s="1"/>
  <c r="E38" i="45"/>
  <c r="E40" i="45" s="1"/>
  <c r="D38" i="45"/>
  <c r="D40" i="45" s="1"/>
  <c r="C38" i="45"/>
  <c r="C40" i="45" s="1"/>
  <c r="M37" i="45"/>
  <c r="L37" i="45"/>
  <c r="J37" i="45"/>
  <c r="I37" i="45"/>
  <c r="G37" i="45"/>
  <c r="F37" i="45"/>
  <c r="K36" i="45"/>
  <c r="H36" i="45"/>
  <c r="E36" i="45"/>
  <c r="D36" i="45"/>
  <c r="C36" i="45"/>
  <c r="B36" i="45" s="1"/>
  <c r="K35" i="45"/>
  <c r="K37" i="45" s="1"/>
  <c r="H35" i="45"/>
  <c r="H37" i="45" s="1"/>
  <c r="E35" i="45"/>
  <c r="E37" i="45" s="1"/>
  <c r="D35" i="45"/>
  <c r="D37" i="45" s="1"/>
  <c r="C35" i="45"/>
  <c r="C37" i="45" s="1"/>
  <c r="M34" i="45"/>
  <c r="L34" i="45"/>
  <c r="J34" i="45"/>
  <c r="I34" i="45"/>
  <c r="G34" i="45"/>
  <c r="F34" i="45"/>
  <c r="K33" i="45"/>
  <c r="H33" i="45"/>
  <c r="E33" i="45"/>
  <c r="D33" i="45"/>
  <c r="C33" i="45"/>
  <c r="B33" i="45" s="1"/>
  <c r="K32" i="45"/>
  <c r="K34" i="45" s="1"/>
  <c r="H32" i="45"/>
  <c r="H34" i="45" s="1"/>
  <c r="E32" i="45"/>
  <c r="E34" i="45" s="1"/>
  <c r="D32" i="45"/>
  <c r="D34" i="45" s="1"/>
  <c r="C32" i="45"/>
  <c r="C34" i="45" s="1"/>
  <c r="M31" i="45"/>
  <c r="L31" i="45"/>
  <c r="J31" i="45"/>
  <c r="I31" i="45"/>
  <c r="G31" i="45"/>
  <c r="F31" i="45"/>
  <c r="K30" i="45"/>
  <c r="H30" i="45"/>
  <c r="E30" i="45"/>
  <c r="D30" i="45"/>
  <c r="C30" i="45"/>
  <c r="B30" i="45" s="1"/>
  <c r="K29" i="45"/>
  <c r="K31" i="45" s="1"/>
  <c r="H29" i="45"/>
  <c r="H31" i="45" s="1"/>
  <c r="E29" i="45"/>
  <c r="E31" i="45" s="1"/>
  <c r="D29" i="45"/>
  <c r="D31" i="45" s="1"/>
  <c r="C29" i="45"/>
  <c r="C31" i="45" s="1"/>
  <c r="M28" i="45"/>
  <c r="L28" i="45"/>
  <c r="J28" i="45"/>
  <c r="I28" i="45"/>
  <c r="G28" i="45"/>
  <c r="F28" i="45"/>
  <c r="K27" i="45"/>
  <c r="H27" i="45"/>
  <c r="E27" i="45"/>
  <c r="D27" i="45"/>
  <c r="C27" i="45"/>
  <c r="B27" i="45" s="1"/>
  <c r="K26" i="45"/>
  <c r="K28" i="45" s="1"/>
  <c r="H26" i="45"/>
  <c r="H28" i="45" s="1"/>
  <c r="E26" i="45"/>
  <c r="E28" i="45" s="1"/>
  <c r="D26" i="45"/>
  <c r="D28" i="45" s="1"/>
  <c r="C26" i="45"/>
  <c r="C28" i="45" s="1"/>
  <c r="M25" i="45"/>
  <c r="L25" i="45"/>
  <c r="J25" i="45"/>
  <c r="I25" i="45"/>
  <c r="G25" i="45"/>
  <c r="F25" i="45"/>
  <c r="K24" i="45"/>
  <c r="H24" i="45"/>
  <c r="E24" i="45"/>
  <c r="D24" i="45"/>
  <c r="C24" i="45"/>
  <c r="B24" i="45"/>
  <c r="K23" i="45"/>
  <c r="K25" i="45" s="1"/>
  <c r="H23" i="45"/>
  <c r="H25" i="45" s="1"/>
  <c r="E23" i="45"/>
  <c r="E25" i="45" s="1"/>
  <c r="D23" i="45"/>
  <c r="D25" i="45" s="1"/>
  <c r="C23" i="45"/>
  <c r="C25" i="45" s="1"/>
  <c r="B23" i="45"/>
  <c r="B25" i="45" s="1"/>
  <c r="M22" i="45"/>
  <c r="L22" i="45"/>
  <c r="J22" i="45"/>
  <c r="I22" i="45"/>
  <c r="G22" i="45"/>
  <c r="F22" i="45"/>
  <c r="K21" i="45"/>
  <c r="H21" i="45"/>
  <c r="E21" i="45"/>
  <c r="D21" i="45"/>
  <c r="C21" i="45"/>
  <c r="B21" i="45"/>
  <c r="K20" i="45"/>
  <c r="K22" i="45" s="1"/>
  <c r="H20" i="45"/>
  <c r="H22" i="45" s="1"/>
  <c r="E20" i="45"/>
  <c r="E22" i="45" s="1"/>
  <c r="D20" i="45"/>
  <c r="D22" i="45" s="1"/>
  <c r="C20" i="45"/>
  <c r="C22" i="45" s="1"/>
  <c r="B20" i="45"/>
  <c r="B22" i="45" s="1"/>
  <c r="M19" i="45"/>
  <c r="L19" i="45"/>
  <c r="J19" i="45"/>
  <c r="I19" i="45"/>
  <c r="G19" i="45"/>
  <c r="F19" i="45"/>
  <c r="K18" i="45"/>
  <c r="H18" i="45"/>
  <c r="E18" i="45"/>
  <c r="D18" i="45"/>
  <c r="C18" i="45"/>
  <c r="B18" i="45"/>
  <c r="K17" i="45"/>
  <c r="K19" i="45" s="1"/>
  <c r="H17" i="45"/>
  <c r="H19" i="45" s="1"/>
  <c r="E17" i="45"/>
  <c r="E19" i="45" s="1"/>
  <c r="D17" i="45"/>
  <c r="D19" i="45" s="1"/>
  <c r="C17" i="45"/>
  <c r="C19" i="45" s="1"/>
  <c r="B17" i="45"/>
  <c r="B19" i="45" s="1"/>
  <c r="M16" i="45"/>
  <c r="L16" i="45"/>
  <c r="J16" i="45"/>
  <c r="I16" i="45"/>
  <c r="G16" i="45"/>
  <c r="F16" i="45"/>
  <c r="K15" i="45"/>
  <c r="H15" i="45"/>
  <c r="E15" i="45"/>
  <c r="D15" i="45"/>
  <c r="C15" i="45"/>
  <c r="B15" i="45"/>
  <c r="K14" i="45"/>
  <c r="K16" i="45" s="1"/>
  <c r="H14" i="45"/>
  <c r="H16" i="45" s="1"/>
  <c r="E14" i="45"/>
  <c r="E16" i="45" s="1"/>
  <c r="D14" i="45"/>
  <c r="D16" i="45" s="1"/>
  <c r="C14" i="45"/>
  <c r="C16" i="45" s="1"/>
  <c r="B14" i="45"/>
  <c r="B16" i="45" s="1"/>
  <c r="M13" i="45"/>
  <c r="L13" i="45"/>
  <c r="J13" i="45"/>
  <c r="I13" i="45"/>
  <c r="G13" i="45"/>
  <c r="F13" i="45"/>
  <c r="K12" i="45"/>
  <c r="H12" i="45"/>
  <c r="E12" i="45"/>
  <c r="D12" i="45"/>
  <c r="C12" i="45"/>
  <c r="B12" i="45"/>
  <c r="K11" i="45"/>
  <c r="K13" i="45" s="1"/>
  <c r="H11" i="45"/>
  <c r="H13" i="45" s="1"/>
  <c r="E11" i="45"/>
  <c r="E13" i="45" s="1"/>
  <c r="D11" i="45"/>
  <c r="D13" i="45" s="1"/>
  <c r="C11" i="45"/>
  <c r="C13" i="45" s="1"/>
  <c r="B11" i="45"/>
  <c r="B13" i="45" s="1"/>
  <c r="M10" i="45"/>
  <c r="L10" i="45"/>
  <c r="J10" i="45"/>
  <c r="I10" i="45"/>
  <c r="G10" i="45"/>
  <c r="F10" i="45"/>
  <c r="K9" i="45"/>
  <c r="H9" i="45"/>
  <c r="E9" i="45"/>
  <c r="D9" i="45"/>
  <c r="C9" i="45"/>
  <c r="B9" i="45"/>
  <c r="K8" i="45"/>
  <c r="K10" i="45" s="1"/>
  <c r="H8" i="45"/>
  <c r="H10" i="45" s="1"/>
  <c r="E8" i="45"/>
  <c r="E10" i="45" s="1"/>
  <c r="D8" i="45"/>
  <c r="D10" i="45" s="1"/>
  <c r="C8" i="45"/>
  <c r="C10" i="45" s="1"/>
  <c r="M7" i="45"/>
  <c r="M88" i="45" s="1"/>
  <c r="L7" i="45"/>
  <c r="L88" i="45" s="1"/>
  <c r="J7" i="45"/>
  <c r="J88" i="45" s="1"/>
  <c r="I7" i="45"/>
  <c r="I88" i="45" s="1"/>
  <c r="G7" i="45"/>
  <c r="G88" i="45" s="1"/>
  <c r="F7" i="45"/>
  <c r="F88" i="45" s="1"/>
  <c r="K6" i="45"/>
  <c r="K87" i="45" s="1"/>
  <c r="H6" i="45"/>
  <c r="H87" i="45" s="1"/>
  <c r="E6" i="45"/>
  <c r="E87" i="45" s="1"/>
  <c r="D6" i="45"/>
  <c r="D87" i="45" s="1"/>
  <c r="C6" i="45"/>
  <c r="C87" i="45" s="1"/>
  <c r="B6" i="45"/>
  <c r="K5" i="45"/>
  <c r="K86" i="45" s="1"/>
  <c r="H5" i="45"/>
  <c r="H86" i="45" s="1"/>
  <c r="E5" i="45"/>
  <c r="E86" i="45" s="1"/>
  <c r="D5" i="45"/>
  <c r="D86" i="45" s="1"/>
  <c r="C5" i="45"/>
  <c r="C86" i="45" s="1"/>
  <c r="O81" i="44"/>
  <c r="N81" i="44"/>
  <c r="L81" i="44"/>
  <c r="K81" i="44"/>
  <c r="I81" i="44"/>
  <c r="H81" i="44"/>
  <c r="O80" i="44"/>
  <c r="N80" i="44"/>
  <c r="L80" i="44"/>
  <c r="K80" i="44"/>
  <c r="I80" i="44"/>
  <c r="H80" i="44"/>
  <c r="O79" i="44"/>
  <c r="N79" i="44"/>
  <c r="L79" i="44"/>
  <c r="K79" i="44"/>
  <c r="I79" i="44"/>
  <c r="H79" i="44"/>
  <c r="M78" i="44"/>
  <c r="J78" i="44"/>
  <c r="G78" i="44"/>
  <c r="F78" i="44"/>
  <c r="E78" i="44"/>
  <c r="D78" i="44" s="1"/>
  <c r="M77" i="44"/>
  <c r="M79" i="44" s="1"/>
  <c r="J77" i="44"/>
  <c r="J79" i="44" s="1"/>
  <c r="G77" i="44"/>
  <c r="G79" i="44" s="1"/>
  <c r="F77" i="44"/>
  <c r="F79" i="44" s="1"/>
  <c r="E77" i="44"/>
  <c r="E79" i="44" s="1"/>
  <c r="D77" i="44"/>
  <c r="D79" i="44" s="1"/>
  <c r="O76" i="44"/>
  <c r="N76" i="44"/>
  <c r="L76" i="44"/>
  <c r="K76" i="44"/>
  <c r="I76" i="44"/>
  <c r="H76" i="44"/>
  <c r="M75" i="44"/>
  <c r="J75" i="44"/>
  <c r="G75" i="44"/>
  <c r="F75" i="44"/>
  <c r="E75" i="44"/>
  <c r="D75" i="44"/>
  <c r="M74" i="44"/>
  <c r="M76" i="44" s="1"/>
  <c r="J74" i="44"/>
  <c r="J76" i="44" s="1"/>
  <c r="G74" i="44"/>
  <c r="G76" i="44" s="1"/>
  <c r="F74" i="44"/>
  <c r="F76" i="44" s="1"/>
  <c r="E74" i="44"/>
  <c r="E76" i="44" s="1"/>
  <c r="D74" i="44"/>
  <c r="D76" i="44" s="1"/>
  <c r="O73" i="44"/>
  <c r="N73" i="44"/>
  <c r="L73" i="44"/>
  <c r="K73" i="44"/>
  <c r="I73" i="44"/>
  <c r="H73" i="44"/>
  <c r="M72" i="44"/>
  <c r="J72" i="44"/>
  <c r="G72" i="44"/>
  <c r="F72" i="44"/>
  <c r="E72" i="44"/>
  <c r="D72" i="44" s="1"/>
  <c r="M71" i="44"/>
  <c r="M73" i="44" s="1"/>
  <c r="J71" i="44"/>
  <c r="J73" i="44" s="1"/>
  <c r="G71" i="44"/>
  <c r="G73" i="44" s="1"/>
  <c r="F71" i="44"/>
  <c r="F73" i="44" s="1"/>
  <c r="E71" i="44"/>
  <c r="D71" i="44" s="1"/>
  <c r="O70" i="44"/>
  <c r="N70" i="44"/>
  <c r="L70" i="44"/>
  <c r="K70" i="44"/>
  <c r="I70" i="44"/>
  <c r="H70" i="44"/>
  <c r="M69" i="44"/>
  <c r="J69" i="44"/>
  <c r="G69" i="44"/>
  <c r="F69" i="44"/>
  <c r="E69" i="44"/>
  <c r="D69" i="44" s="1"/>
  <c r="M68" i="44"/>
  <c r="M70" i="44" s="1"/>
  <c r="J68" i="44"/>
  <c r="J70" i="44" s="1"/>
  <c r="G68" i="44"/>
  <c r="G70" i="44" s="1"/>
  <c r="F68" i="44"/>
  <c r="F70" i="44" s="1"/>
  <c r="E68" i="44"/>
  <c r="O67" i="44"/>
  <c r="N67" i="44"/>
  <c r="L67" i="44"/>
  <c r="K67" i="44"/>
  <c r="I67" i="44"/>
  <c r="H67" i="44"/>
  <c r="M66" i="44"/>
  <c r="J66" i="44"/>
  <c r="G66" i="44"/>
  <c r="F66" i="44"/>
  <c r="E66" i="44"/>
  <c r="D66" i="44" s="1"/>
  <c r="M65" i="44"/>
  <c r="M67" i="44" s="1"/>
  <c r="J65" i="44"/>
  <c r="J67" i="44" s="1"/>
  <c r="G65" i="44"/>
  <c r="G67" i="44" s="1"/>
  <c r="F65" i="44"/>
  <c r="F67" i="44" s="1"/>
  <c r="E65" i="44"/>
  <c r="O64" i="44"/>
  <c r="N64" i="44"/>
  <c r="L64" i="44"/>
  <c r="K64" i="44"/>
  <c r="I64" i="44"/>
  <c r="H64" i="44"/>
  <c r="M63" i="44"/>
  <c r="J63" i="44"/>
  <c r="G63" i="44"/>
  <c r="F63" i="44"/>
  <c r="E63" i="44"/>
  <c r="D63" i="44" s="1"/>
  <c r="M62" i="44"/>
  <c r="M64" i="44" s="1"/>
  <c r="J62" i="44"/>
  <c r="J64" i="44" s="1"/>
  <c r="G62" i="44"/>
  <c r="G64" i="44" s="1"/>
  <c r="F62" i="44"/>
  <c r="F64" i="44" s="1"/>
  <c r="E62" i="44"/>
  <c r="O61" i="44"/>
  <c r="N61" i="44"/>
  <c r="L61" i="44"/>
  <c r="K61" i="44"/>
  <c r="I61" i="44"/>
  <c r="H61" i="44"/>
  <c r="M60" i="44"/>
  <c r="J60" i="44"/>
  <c r="G60" i="44"/>
  <c r="F60" i="44"/>
  <c r="E60" i="44"/>
  <c r="D60" i="44" s="1"/>
  <c r="M59" i="44"/>
  <c r="M61" i="44" s="1"/>
  <c r="J59" i="44"/>
  <c r="J61" i="44" s="1"/>
  <c r="G59" i="44"/>
  <c r="G61" i="44" s="1"/>
  <c r="F59" i="44"/>
  <c r="F61" i="44" s="1"/>
  <c r="E59" i="44"/>
  <c r="O58" i="44"/>
  <c r="N58" i="44"/>
  <c r="L58" i="44"/>
  <c r="K58" i="44"/>
  <c r="I58" i="44"/>
  <c r="H58" i="44"/>
  <c r="M57" i="44"/>
  <c r="J57" i="44"/>
  <c r="G57" i="44"/>
  <c r="F57" i="44"/>
  <c r="E57" i="44"/>
  <c r="D57" i="44" s="1"/>
  <c r="M56" i="44"/>
  <c r="M58" i="44" s="1"/>
  <c r="J56" i="44"/>
  <c r="J58" i="44" s="1"/>
  <c r="G56" i="44"/>
  <c r="G58" i="44" s="1"/>
  <c r="F56" i="44"/>
  <c r="F58" i="44" s="1"/>
  <c r="E56" i="44"/>
  <c r="O55" i="44"/>
  <c r="N55" i="44"/>
  <c r="L55" i="44"/>
  <c r="K55" i="44"/>
  <c r="I55" i="44"/>
  <c r="H55" i="44"/>
  <c r="M54" i="44"/>
  <c r="J54" i="44"/>
  <c r="G54" i="44"/>
  <c r="F54" i="44"/>
  <c r="E54" i="44"/>
  <c r="D54" i="44" s="1"/>
  <c r="M53" i="44"/>
  <c r="M55" i="44" s="1"/>
  <c r="J53" i="44"/>
  <c r="J55" i="44" s="1"/>
  <c r="G53" i="44"/>
  <c r="G55" i="44" s="1"/>
  <c r="F53" i="44"/>
  <c r="F55" i="44" s="1"/>
  <c r="E53" i="44"/>
  <c r="O52" i="44"/>
  <c r="N52" i="44"/>
  <c r="L52" i="44"/>
  <c r="K52" i="44"/>
  <c r="I52" i="44"/>
  <c r="H52" i="44"/>
  <c r="M51" i="44"/>
  <c r="J51" i="44"/>
  <c r="G51" i="44"/>
  <c r="F51" i="44"/>
  <c r="E51" i="44"/>
  <c r="D51" i="44" s="1"/>
  <c r="M50" i="44"/>
  <c r="M52" i="44" s="1"/>
  <c r="J50" i="44"/>
  <c r="J52" i="44" s="1"/>
  <c r="G50" i="44"/>
  <c r="G52" i="44" s="1"/>
  <c r="F50" i="44"/>
  <c r="F52" i="44" s="1"/>
  <c r="E50" i="44"/>
  <c r="O49" i="44"/>
  <c r="N49" i="44"/>
  <c r="L49" i="44"/>
  <c r="K49" i="44"/>
  <c r="I49" i="44"/>
  <c r="H49" i="44"/>
  <c r="M48" i="44"/>
  <c r="J48" i="44"/>
  <c r="G48" i="44"/>
  <c r="F48" i="44"/>
  <c r="E48" i="44"/>
  <c r="D48" i="44" s="1"/>
  <c r="M47" i="44"/>
  <c r="M49" i="44" s="1"/>
  <c r="J47" i="44"/>
  <c r="J49" i="44" s="1"/>
  <c r="G47" i="44"/>
  <c r="G49" i="44" s="1"/>
  <c r="F47" i="44"/>
  <c r="F49" i="44" s="1"/>
  <c r="E47" i="44"/>
  <c r="D47" i="44" s="1"/>
  <c r="O46" i="44"/>
  <c r="N46" i="44"/>
  <c r="L46" i="44"/>
  <c r="K46" i="44"/>
  <c r="I46" i="44"/>
  <c r="H46" i="44"/>
  <c r="M45" i="44"/>
  <c r="J45" i="44"/>
  <c r="G45" i="44"/>
  <c r="F45" i="44"/>
  <c r="E45" i="44"/>
  <c r="D45" i="44" s="1"/>
  <c r="M44" i="44"/>
  <c r="M46" i="44" s="1"/>
  <c r="J44" i="44"/>
  <c r="J46" i="44" s="1"/>
  <c r="G44" i="44"/>
  <c r="G46" i="44" s="1"/>
  <c r="F44" i="44"/>
  <c r="F46" i="44" s="1"/>
  <c r="E44" i="44"/>
  <c r="O43" i="44"/>
  <c r="N43" i="44"/>
  <c r="L43" i="44"/>
  <c r="K43" i="44"/>
  <c r="I43" i="44"/>
  <c r="H43" i="44"/>
  <c r="M42" i="44"/>
  <c r="J42" i="44"/>
  <c r="G42" i="44"/>
  <c r="F42" i="44"/>
  <c r="E42" i="44"/>
  <c r="D42" i="44" s="1"/>
  <c r="M41" i="44"/>
  <c r="M43" i="44" s="1"/>
  <c r="J41" i="44"/>
  <c r="J43" i="44" s="1"/>
  <c r="G41" i="44"/>
  <c r="G43" i="44" s="1"/>
  <c r="F41" i="44"/>
  <c r="F43" i="44" s="1"/>
  <c r="E41" i="44"/>
  <c r="D41" i="44" s="1"/>
  <c r="O40" i="44"/>
  <c r="N40" i="44"/>
  <c r="L40" i="44"/>
  <c r="K40" i="44"/>
  <c r="I40" i="44"/>
  <c r="H40" i="44"/>
  <c r="M39" i="44"/>
  <c r="J39" i="44"/>
  <c r="G39" i="44"/>
  <c r="F39" i="44"/>
  <c r="E39" i="44"/>
  <c r="D39" i="44" s="1"/>
  <c r="M38" i="44"/>
  <c r="M40" i="44" s="1"/>
  <c r="J38" i="44"/>
  <c r="J40" i="44" s="1"/>
  <c r="G38" i="44"/>
  <c r="G40" i="44" s="1"/>
  <c r="F38" i="44"/>
  <c r="F40" i="44" s="1"/>
  <c r="E38" i="44"/>
  <c r="D38" i="44" s="1"/>
  <c r="O37" i="44"/>
  <c r="N37" i="44"/>
  <c r="L37" i="44"/>
  <c r="K37" i="44"/>
  <c r="I37" i="44"/>
  <c r="H37" i="44"/>
  <c r="M36" i="44"/>
  <c r="J36" i="44"/>
  <c r="G36" i="44"/>
  <c r="F36" i="44"/>
  <c r="E36" i="44"/>
  <c r="D36" i="44" s="1"/>
  <c r="M35" i="44"/>
  <c r="M37" i="44" s="1"/>
  <c r="J35" i="44"/>
  <c r="J37" i="44" s="1"/>
  <c r="G35" i="44"/>
  <c r="G37" i="44" s="1"/>
  <c r="F35" i="44"/>
  <c r="F37" i="44" s="1"/>
  <c r="E35" i="44"/>
  <c r="D35" i="44" s="1"/>
  <c r="O34" i="44"/>
  <c r="N34" i="44"/>
  <c r="L34" i="44"/>
  <c r="K34" i="44"/>
  <c r="I34" i="44"/>
  <c r="H34" i="44"/>
  <c r="M33" i="44"/>
  <c r="J33" i="44"/>
  <c r="G33" i="44"/>
  <c r="F33" i="44"/>
  <c r="E33" i="44"/>
  <c r="D33" i="44" s="1"/>
  <c r="M32" i="44"/>
  <c r="M34" i="44" s="1"/>
  <c r="J32" i="44"/>
  <c r="J34" i="44" s="1"/>
  <c r="G32" i="44"/>
  <c r="G34" i="44" s="1"/>
  <c r="F32" i="44"/>
  <c r="F34" i="44" s="1"/>
  <c r="E32" i="44"/>
  <c r="D32" i="44" s="1"/>
  <c r="O31" i="44"/>
  <c r="N31" i="44"/>
  <c r="L31" i="44"/>
  <c r="K31" i="44"/>
  <c r="I31" i="44"/>
  <c r="H31" i="44"/>
  <c r="M30" i="44"/>
  <c r="J30" i="44"/>
  <c r="G30" i="44"/>
  <c r="F30" i="44"/>
  <c r="E30" i="44"/>
  <c r="M29" i="44"/>
  <c r="M31" i="44" s="1"/>
  <c r="J29" i="44"/>
  <c r="G29" i="44"/>
  <c r="G31" i="44" s="1"/>
  <c r="F29" i="44"/>
  <c r="E29" i="44"/>
  <c r="D29" i="44" s="1"/>
  <c r="O28" i="44"/>
  <c r="N28" i="44"/>
  <c r="L28" i="44"/>
  <c r="K28" i="44"/>
  <c r="I28" i="44"/>
  <c r="H28" i="44"/>
  <c r="M27" i="44"/>
  <c r="J27" i="44"/>
  <c r="G27" i="44"/>
  <c r="F27" i="44"/>
  <c r="E27" i="44"/>
  <c r="D27" i="44"/>
  <c r="M26" i="44"/>
  <c r="M28" i="44" s="1"/>
  <c r="J26" i="44"/>
  <c r="J28" i="44" s="1"/>
  <c r="G26" i="44"/>
  <c r="G28" i="44" s="1"/>
  <c r="F26" i="44"/>
  <c r="F28" i="44" s="1"/>
  <c r="E26" i="44"/>
  <c r="E28" i="44" s="1"/>
  <c r="D26" i="44"/>
  <c r="D28" i="44" s="1"/>
  <c r="O25" i="44"/>
  <c r="N25" i="44"/>
  <c r="L25" i="44"/>
  <c r="K25" i="44"/>
  <c r="I25" i="44"/>
  <c r="H25" i="44"/>
  <c r="M24" i="44"/>
  <c r="J24" i="44"/>
  <c r="G24" i="44"/>
  <c r="F24" i="44"/>
  <c r="E24" i="44"/>
  <c r="D24" i="44"/>
  <c r="M23" i="44"/>
  <c r="M25" i="44" s="1"/>
  <c r="J23" i="44"/>
  <c r="J25" i="44" s="1"/>
  <c r="G23" i="44"/>
  <c r="G25" i="44" s="1"/>
  <c r="F23" i="44"/>
  <c r="F25" i="44" s="1"/>
  <c r="E23" i="44"/>
  <c r="E25" i="44" s="1"/>
  <c r="D23" i="44"/>
  <c r="D25" i="44" s="1"/>
  <c r="O22" i="44"/>
  <c r="N22" i="44"/>
  <c r="L22" i="44"/>
  <c r="K22" i="44"/>
  <c r="I22" i="44"/>
  <c r="H22" i="44"/>
  <c r="M21" i="44"/>
  <c r="J21" i="44"/>
  <c r="G21" i="44"/>
  <c r="F21" i="44"/>
  <c r="E21" i="44"/>
  <c r="D21" i="44"/>
  <c r="M20" i="44"/>
  <c r="M22" i="44" s="1"/>
  <c r="J20" i="44"/>
  <c r="J22" i="44" s="1"/>
  <c r="G20" i="44"/>
  <c r="G22" i="44" s="1"/>
  <c r="F20" i="44"/>
  <c r="F22" i="44" s="1"/>
  <c r="E20" i="44"/>
  <c r="E22" i="44" s="1"/>
  <c r="D20" i="44"/>
  <c r="D22" i="44" s="1"/>
  <c r="O19" i="44"/>
  <c r="N19" i="44"/>
  <c r="L19" i="44"/>
  <c r="K19" i="44"/>
  <c r="I19" i="44"/>
  <c r="H19" i="44"/>
  <c r="M18" i="44"/>
  <c r="J18" i="44"/>
  <c r="G18" i="44"/>
  <c r="F18" i="44"/>
  <c r="E18" i="44"/>
  <c r="D18" i="44"/>
  <c r="M17" i="44"/>
  <c r="M19" i="44" s="1"/>
  <c r="J17" i="44"/>
  <c r="J19" i="44" s="1"/>
  <c r="G17" i="44"/>
  <c r="G19" i="44" s="1"/>
  <c r="F17" i="44"/>
  <c r="F19" i="44" s="1"/>
  <c r="E17" i="44"/>
  <c r="E19" i="44" s="1"/>
  <c r="D17" i="44"/>
  <c r="D19" i="44" s="1"/>
  <c r="O16" i="44"/>
  <c r="N16" i="44"/>
  <c r="L16" i="44"/>
  <c r="K16" i="44"/>
  <c r="I16" i="44"/>
  <c r="H16" i="44"/>
  <c r="M15" i="44"/>
  <c r="J15" i="44"/>
  <c r="G15" i="44"/>
  <c r="F15" i="44"/>
  <c r="E15" i="44"/>
  <c r="D15" i="44"/>
  <c r="M14" i="44"/>
  <c r="M16" i="44" s="1"/>
  <c r="J14" i="44"/>
  <c r="J16" i="44" s="1"/>
  <c r="G14" i="44"/>
  <c r="G16" i="44" s="1"/>
  <c r="F14" i="44"/>
  <c r="F16" i="44" s="1"/>
  <c r="E14" i="44"/>
  <c r="E16" i="44" s="1"/>
  <c r="D14" i="44"/>
  <c r="D16" i="44" s="1"/>
  <c r="O13" i="44"/>
  <c r="N13" i="44"/>
  <c r="L13" i="44"/>
  <c r="K13" i="44"/>
  <c r="I13" i="44"/>
  <c r="H13" i="44"/>
  <c r="M12" i="44"/>
  <c r="J12" i="44"/>
  <c r="G12" i="44"/>
  <c r="F12" i="44"/>
  <c r="E12" i="44"/>
  <c r="D12" i="44"/>
  <c r="M11" i="44"/>
  <c r="M13" i="44" s="1"/>
  <c r="J11" i="44"/>
  <c r="J13" i="44" s="1"/>
  <c r="G11" i="44"/>
  <c r="G13" i="44" s="1"/>
  <c r="F11" i="44"/>
  <c r="F13" i="44" s="1"/>
  <c r="E11" i="44"/>
  <c r="E13" i="44" s="1"/>
  <c r="D11" i="44"/>
  <c r="D13" i="44" s="1"/>
  <c r="O10" i="44"/>
  <c r="N10" i="44"/>
  <c r="L10" i="44"/>
  <c r="K10" i="44"/>
  <c r="I10" i="44"/>
  <c r="H10" i="44"/>
  <c r="M9" i="44"/>
  <c r="J9" i="44"/>
  <c r="G9" i="44"/>
  <c r="F9" i="44"/>
  <c r="E9" i="44"/>
  <c r="D9" i="44"/>
  <c r="M8" i="44"/>
  <c r="M10" i="44" s="1"/>
  <c r="J8" i="44"/>
  <c r="J10" i="44" s="1"/>
  <c r="G8" i="44"/>
  <c r="G10" i="44" s="1"/>
  <c r="F8" i="44"/>
  <c r="F10" i="44" s="1"/>
  <c r="E8" i="44"/>
  <c r="E10" i="44" s="1"/>
  <c r="D8" i="44"/>
  <c r="D10" i="44" s="1"/>
  <c r="O7" i="44"/>
  <c r="O82" i="44" s="1"/>
  <c r="N7" i="44"/>
  <c r="N82" i="44" s="1"/>
  <c r="L7" i="44"/>
  <c r="L82" i="44" s="1"/>
  <c r="K7" i="44"/>
  <c r="K82" i="44" s="1"/>
  <c r="I7" i="44"/>
  <c r="I82" i="44" s="1"/>
  <c r="H7" i="44"/>
  <c r="H82" i="44" s="1"/>
  <c r="M6" i="44"/>
  <c r="M81" i="44" s="1"/>
  <c r="J6" i="44"/>
  <c r="J81" i="44" s="1"/>
  <c r="G6" i="44"/>
  <c r="G81" i="44" s="1"/>
  <c r="F6" i="44"/>
  <c r="F81" i="44" s="1"/>
  <c r="E6" i="44"/>
  <c r="E81" i="44" s="1"/>
  <c r="D6" i="44"/>
  <c r="M5" i="44"/>
  <c r="M80" i="44" s="1"/>
  <c r="J5" i="44"/>
  <c r="J80" i="44" s="1"/>
  <c r="G5" i="44"/>
  <c r="G80" i="44" s="1"/>
  <c r="F5" i="44"/>
  <c r="F80" i="44" s="1"/>
  <c r="E5" i="44"/>
  <c r="E80" i="44" s="1"/>
  <c r="D5" i="44"/>
  <c r="P1260" i="43"/>
  <c r="O1260" i="43"/>
  <c r="N1260" i="43"/>
  <c r="M1260" i="43"/>
  <c r="L1260" i="43"/>
  <c r="K1260" i="43"/>
  <c r="J1260" i="43"/>
  <c r="I1260" i="43"/>
  <c r="H1260" i="43"/>
  <c r="G1260" i="43"/>
  <c r="F1260" i="43"/>
  <c r="E1260" i="43"/>
  <c r="P1259" i="43"/>
  <c r="O1259" i="43"/>
  <c r="N1259" i="43"/>
  <c r="M1259" i="43"/>
  <c r="L1259" i="43"/>
  <c r="K1259" i="43"/>
  <c r="J1259" i="43"/>
  <c r="I1259" i="43"/>
  <c r="H1259" i="43"/>
  <c r="G1259" i="43"/>
  <c r="F1259" i="43"/>
  <c r="E1259" i="43"/>
  <c r="P1258" i="43"/>
  <c r="O1258" i="43"/>
  <c r="N1258" i="43"/>
  <c r="M1258" i="43"/>
  <c r="L1258" i="43"/>
  <c r="K1258" i="43"/>
  <c r="J1258" i="43"/>
  <c r="I1258" i="43"/>
  <c r="H1258" i="43"/>
  <c r="G1258" i="43"/>
  <c r="F1258" i="43"/>
  <c r="E1258" i="43"/>
  <c r="D1257" i="43"/>
  <c r="C1257" i="43"/>
  <c r="B1257" i="43" s="1"/>
  <c r="D1256" i="43"/>
  <c r="D1258" i="43" s="1"/>
  <c r="C1256" i="43"/>
  <c r="C1258" i="43" s="1"/>
  <c r="P1255" i="43"/>
  <c r="O1255" i="43"/>
  <c r="N1255" i="43"/>
  <c r="M1255" i="43"/>
  <c r="L1255" i="43"/>
  <c r="K1255" i="43"/>
  <c r="J1255" i="43"/>
  <c r="I1255" i="43"/>
  <c r="H1255" i="43"/>
  <c r="G1255" i="43"/>
  <c r="F1255" i="43"/>
  <c r="E1255" i="43"/>
  <c r="D1254" i="43"/>
  <c r="C1254" i="43"/>
  <c r="B1254" i="43" s="1"/>
  <c r="D1253" i="43"/>
  <c r="D1255" i="43" s="1"/>
  <c r="C1253" i="43"/>
  <c r="C1255" i="43" s="1"/>
  <c r="P1252" i="43"/>
  <c r="O1252" i="43"/>
  <c r="N1252" i="43"/>
  <c r="M1252" i="43"/>
  <c r="L1252" i="43"/>
  <c r="K1252" i="43"/>
  <c r="J1252" i="43"/>
  <c r="I1252" i="43"/>
  <c r="H1252" i="43"/>
  <c r="G1252" i="43"/>
  <c r="F1252" i="43"/>
  <c r="E1252" i="43"/>
  <c r="D1251" i="43"/>
  <c r="C1251" i="43"/>
  <c r="B1251" i="43" s="1"/>
  <c r="D1250" i="43"/>
  <c r="D1252" i="43" s="1"/>
  <c r="C1250" i="43"/>
  <c r="C1252" i="43" s="1"/>
  <c r="P1249" i="43"/>
  <c r="O1249" i="43"/>
  <c r="N1249" i="43"/>
  <c r="M1249" i="43"/>
  <c r="L1249" i="43"/>
  <c r="K1249" i="43"/>
  <c r="J1249" i="43"/>
  <c r="I1249" i="43"/>
  <c r="H1249" i="43"/>
  <c r="G1249" i="43"/>
  <c r="F1249" i="43"/>
  <c r="E1249" i="43"/>
  <c r="D1248" i="43"/>
  <c r="C1248" i="43"/>
  <c r="B1248" i="43" s="1"/>
  <c r="D1247" i="43"/>
  <c r="D1249" i="43" s="1"/>
  <c r="C1247" i="43"/>
  <c r="C1249" i="43" s="1"/>
  <c r="P1246" i="43"/>
  <c r="O1246" i="43"/>
  <c r="N1246" i="43"/>
  <c r="M1246" i="43"/>
  <c r="L1246" i="43"/>
  <c r="K1246" i="43"/>
  <c r="J1246" i="43"/>
  <c r="I1246" i="43"/>
  <c r="H1246" i="43"/>
  <c r="G1246" i="43"/>
  <c r="F1246" i="43"/>
  <c r="E1246" i="43"/>
  <c r="D1245" i="43"/>
  <c r="C1245" i="43"/>
  <c r="B1245" i="43" s="1"/>
  <c r="D1244" i="43"/>
  <c r="D1246" i="43" s="1"/>
  <c r="C1244" i="43"/>
  <c r="B1244" i="43" s="1"/>
  <c r="P1243" i="43"/>
  <c r="O1243" i="43"/>
  <c r="N1243" i="43"/>
  <c r="M1243" i="43"/>
  <c r="L1243" i="43"/>
  <c r="K1243" i="43"/>
  <c r="J1243" i="43"/>
  <c r="I1243" i="43"/>
  <c r="H1243" i="43"/>
  <c r="G1243" i="43"/>
  <c r="F1243" i="43"/>
  <c r="E1243" i="43"/>
  <c r="D1242" i="43"/>
  <c r="C1242" i="43"/>
  <c r="B1242" i="43" s="1"/>
  <c r="D1241" i="43"/>
  <c r="D1243" i="43" s="1"/>
  <c r="C1241" i="43"/>
  <c r="C1243" i="43" s="1"/>
  <c r="P1240" i="43"/>
  <c r="O1240" i="43"/>
  <c r="N1240" i="43"/>
  <c r="M1240" i="43"/>
  <c r="L1240" i="43"/>
  <c r="K1240" i="43"/>
  <c r="J1240" i="43"/>
  <c r="I1240" i="43"/>
  <c r="H1240" i="43"/>
  <c r="G1240" i="43"/>
  <c r="F1240" i="43"/>
  <c r="E1240" i="43"/>
  <c r="D1239" i="43"/>
  <c r="C1239" i="43"/>
  <c r="B1239" i="43" s="1"/>
  <c r="D1238" i="43"/>
  <c r="C1238" i="43"/>
  <c r="P1237" i="43"/>
  <c r="O1237" i="43"/>
  <c r="N1237" i="43"/>
  <c r="M1237" i="43"/>
  <c r="L1237" i="43"/>
  <c r="K1237" i="43"/>
  <c r="J1237" i="43"/>
  <c r="I1237" i="43"/>
  <c r="H1237" i="43"/>
  <c r="G1237" i="43"/>
  <c r="F1237" i="43"/>
  <c r="E1237" i="43"/>
  <c r="D1236" i="43"/>
  <c r="C1236" i="43"/>
  <c r="D1235" i="43"/>
  <c r="D1237" i="43" s="1"/>
  <c r="C1235" i="43"/>
  <c r="C1237" i="43" s="1"/>
  <c r="P1234" i="43"/>
  <c r="O1234" i="43"/>
  <c r="N1234" i="43"/>
  <c r="M1234" i="43"/>
  <c r="L1234" i="43"/>
  <c r="K1234" i="43"/>
  <c r="J1234" i="43"/>
  <c r="I1234" i="43"/>
  <c r="H1234" i="43"/>
  <c r="G1234" i="43"/>
  <c r="F1234" i="43"/>
  <c r="E1234" i="43"/>
  <c r="D1233" i="43"/>
  <c r="C1233" i="43"/>
  <c r="B1233" i="43" s="1"/>
  <c r="D1232" i="43"/>
  <c r="D1234" i="43" s="1"/>
  <c r="C1232" i="43"/>
  <c r="P1231" i="43"/>
  <c r="O1231" i="43"/>
  <c r="N1231" i="43"/>
  <c r="M1231" i="43"/>
  <c r="L1231" i="43"/>
  <c r="K1231" i="43"/>
  <c r="J1231" i="43"/>
  <c r="I1231" i="43"/>
  <c r="H1231" i="43"/>
  <c r="G1231" i="43"/>
  <c r="F1231" i="43"/>
  <c r="E1231" i="43"/>
  <c r="D1230" i="43"/>
  <c r="C1230" i="43"/>
  <c r="D1229" i="43"/>
  <c r="D1231" i="43" s="1"/>
  <c r="C1229" i="43"/>
  <c r="C1231" i="43" s="1"/>
  <c r="P1228" i="43"/>
  <c r="O1228" i="43"/>
  <c r="N1228" i="43"/>
  <c r="M1228" i="43"/>
  <c r="L1228" i="43"/>
  <c r="K1228" i="43"/>
  <c r="J1228" i="43"/>
  <c r="I1228" i="43"/>
  <c r="H1228" i="43"/>
  <c r="G1228" i="43"/>
  <c r="F1228" i="43"/>
  <c r="E1228" i="43"/>
  <c r="D1227" i="43"/>
  <c r="C1227" i="43"/>
  <c r="D1226" i="43"/>
  <c r="C1226" i="43"/>
  <c r="P1225" i="43"/>
  <c r="O1225" i="43"/>
  <c r="N1225" i="43"/>
  <c r="M1225" i="43"/>
  <c r="L1225" i="43"/>
  <c r="K1225" i="43"/>
  <c r="J1225" i="43"/>
  <c r="I1225" i="43"/>
  <c r="H1225" i="43"/>
  <c r="G1225" i="43"/>
  <c r="F1225" i="43"/>
  <c r="E1225" i="43"/>
  <c r="D1224" i="43"/>
  <c r="C1224" i="43"/>
  <c r="D1223" i="43"/>
  <c r="D1225" i="43" s="1"/>
  <c r="C1223" i="43"/>
  <c r="C1225" i="43" s="1"/>
  <c r="P1222" i="43"/>
  <c r="O1222" i="43"/>
  <c r="N1222" i="43"/>
  <c r="M1222" i="43"/>
  <c r="L1222" i="43"/>
  <c r="K1222" i="43"/>
  <c r="J1222" i="43"/>
  <c r="I1222" i="43"/>
  <c r="H1222" i="43"/>
  <c r="G1222" i="43"/>
  <c r="F1222" i="43"/>
  <c r="E1222" i="43"/>
  <c r="D1221" i="43"/>
  <c r="C1221" i="43"/>
  <c r="B1221" i="43"/>
  <c r="D1220" i="43"/>
  <c r="C1220" i="43"/>
  <c r="B1220" i="43" s="1"/>
  <c r="B1222" i="43" s="1"/>
  <c r="P1219" i="43"/>
  <c r="O1219" i="43"/>
  <c r="N1219" i="43"/>
  <c r="M1219" i="43"/>
  <c r="L1219" i="43"/>
  <c r="K1219" i="43"/>
  <c r="J1219" i="43"/>
  <c r="I1219" i="43"/>
  <c r="H1219" i="43"/>
  <c r="G1219" i="43"/>
  <c r="F1219" i="43"/>
  <c r="E1219" i="43"/>
  <c r="D1218" i="43"/>
  <c r="C1218" i="43"/>
  <c r="B1218" i="43" s="1"/>
  <c r="D1217" i="43"/>
  <c r="D1219" i="43" s="1"/>
  <c r="C1217" i="43"/>
  <c r="C1219" i="43" s="1"/>
  <c r="P1216" i="43"/>
  <c r="O1216" i="43"/>
  <c r="N1216" i="43"/>
  <c r="M1216" i="43"/>
  <c r="L1216" i="43"/>
  <c r="K1216" i="43"/>
  <c r="J1216" i="43"/>
  <c r="I1216" i="43"/>
  <c r="H1216" i="43"/>
  <c r="G1216" i="43"/>
  <c r="F1216" i="43"/>
  <c r="E1216" i="43"/>
  <c r="D1215" i="43"/>
  <c r="C1215" i="43"/>
  <c r="B1215" i="43" s="1"/>
  <c r="D1214" i="43"/>
  <c r="C1214" i="43"/>
  <c r="P1213" i="43"/>
  <c r="O1213" i="43"/>
  <c r="N1213" i="43"/>
  <c r="M1213" i="43"/>
  <c r="L1213" i="43"/>
  <c r="K1213" i="43"/>
  <c r="J1213" i="43"/>
  <c r="I1213" i="43"/>
  <c r="H1213" i="43"/>
  <c r="G1213" i="43"/>
  <c r="F1213" i="43"/>
  <c r="E1213" i="43"/>
  <c r="D1212" i="43"/>
  <c r="C1212" i="43"/>
  <c r="D1211" i="43"/>
  <c r="D1213" i="43" s="1"/>
  <c r="C1211" i="43"/>
  <c r="C1213" i="43" s="1"/>
  <c r="P1210" i="43"/>
  <c r="O1210" i="43"/>
  <c r="N1210" i="43"/>
  <c r="M1210" i="43"/>
  <c r="L1210" i="43"/>
  <c r="K1210" i="43"/>
  <c r="J1210" i="43"/>
  <c r="I1210" i="43"/>
  <c r="H1210" i="43"/>
  <c r="G1210" i="43"/>
  <c r="F1210" i="43"/>
  <c r="E1210" i="43"/>
  <c r="D1209" i="43"/>
  <c r="C1209" i="43"/>
  <c r="B1209" i="43" s="1"/>
  <c r="D1208" i="43"/>
  <c r="C1208" i="43"/>
  <c r="P1207" i="43"/>
  <c r="O1207" i="43"/>
  <c r="N1207" i="43"/>
  <c r="M1207" i="43"/>
  <c r="L1207" i="43"/>
  <c r="K1207" i="43"/>
  <c r="J1207" i="43"/>
  <c r="I1207" i="43"/>
  <c r="H1207" i="43"/>
  <c r="G1207" i="43"/>
  <c r="F1207" i="43"/>
  <c r="E1207" i="43"/>
  <c r="D1206" i="43"/>
  <c r="C1206" i="43"/>
  <c r="D1205" i="43"/>
  <c r="D1207" i="43" s="1"/>
  <c r="C1205" i="43"/>
  <c r="C1207" i="43" s="1"/>
  <c r="P1204" i="43"/>
  <c r="O1204" i="43"/>
  <c r="N1204" i="43"/>
  <c r="M1204" i="43"/>
  <c r="L1204" i="43"/>
  <c r="K1204" i="43"/>
  <c r="J1204" i="43"/>
  <c r="I1204" i="43"/>
  <c r="H1204" i="43"/>
  <c r="G1204" i="43"/>
  <c r="F1204" i="43"/>
  <c r="E1204" i="43"/>
  <c r="D1203" i="43"/>
  <c r="C1203" i="43"/>
  <c r="D1202" i="43"/>
  <c r="C1202" i="43"/>
  <c r="P1201" i="43"/>
  <c r="P1261" i="43" s="1"/>
  <c r="O1201" i="43"/>
  <c r="N1201" i="43"/>
  <c r="N1261" i="43" s="1"/>
  <c r="M1201" i="43"/>
  <c r="L1201" i="43"/>
  <c r="L1261" i="43" s="1"/>
  <c r="K1201" i="43"/>
  <c r="J1201" i="43"/>
  <c r="J1261" i="43" s="1"/>
  <c r="I1201" i="43"/>
  <c r="H1201" i="43"/>
  <c r="H1261" i="43" s="1"/>
  <c r="G1201" i="43"/>
  <c r="F1201" i="43"/>
  <c r="F1261" i="43" s="1"/>
  <c r="E1201" i="43"/>
  <c r="D1200" i="43"/>
  <c r="D1260" i="43" s="1"/>
  <c r="C1200" i="43"/>
  <c r="D1199" i="43"/>
  <c r="D1259" i="43" s="1"/>
  <c r="C1199" i="43"/>
  <c r="B1199" i="43"/>
  <c r="P1194" i="43"/>
  <c r="O1194" i="43"/>
  <c r="N1194" i="43"/>
  <c r="M1194" i="43"/>
  <c r="L1194" i="43"/>
  <c r="K1194" i="43"/>
  <c r="J1194" i="43"/>
  <c r="I1194" i="43"/>
  <c r="H1194" i="43"/>
  <c r="G1194" i="43"/>
  <c r="F1194" i="43"/>
  <c r="E1194" i="43"/>
  <c r="P1193" i="43"/>
  <c r="O1193" i="43"/>
  <c r="N1193" i="43"/>
  <c r="M1193" i="43"/>
  <c r="L1193" i="43"/>
  <c r="K1193" i="43"/>
  <c r="J1193" i="43"/>
  <c r="I1193" i="43"/>
  <c r="H1193" i="43"/>
  <c r="G1193" i="43"/>
  <c r="F1193" i="43"/>
  <c r="E1193" i="43"/>
  <c r="P1192" i="43"/>
  <c r="P1195" i="43" s="1"/>
  <c r="O1192" i="43"/>
  <c r="O1195" i="43" s="1"/>
  <c r="N1192" i="43"/>
  <c r="N1195" i="43" s="1"/>
  <c r="M1192" i="43"/>
  <c r="M1195" i="43" s="1"/>
  <c r="L1192" i="43"/>
  <c r="L1195" i="43" s="1"/>
  <c r="K1192" i="43"/>
  <c r="K1195" i="43" s="1"/>
  <c r="J1192" i="43"/>
  <c r="J1195" i="43" s="1"/>
  <c r="I1192" i="43"/>
  <c r="I1195" i="43" s="1"/>
  <c r="H1192" i="43"/>
  <c r="H1195" i="43" s="1"/>
  <c r="G1192" i="43"/>
  <c r="G1195" i="43" s="1"/>
  <c r="F1192" i="43"/>
  <c r="F1195" i="43" s="1"/>
  <c r="E1192" i="43"/>
  <c r="E1195" i="43" s="1"/>
  <c r="D1191" i="43"/>
  <c r="D1194" i="43" s="1"/>
  <c r="C1191" i="43"/>
  <c r="C1194" i="43" s="1"/>
  <c r="D1190" i="43"/>
  <c r="D1193" i="43" s="1"/>
  <c r="C1190" i="43"/>
  <c r="C1192" i="43" s="1"/>
  <c r="C1195" i="43" s="1"/>
  <c r="P1185" i="43"/>
  <c r="O1185" i="43"/>
  <c r="N1185" i="43"/>
  <c r="M1185" i="43"/>
  <c r="L1185" i="43"/>
  <c r="K1185" i="43"/>
  <c r="J1185" i="43"/>
  <c r="I1185" i="43"/>
  <c r="H1185" i="43"/>
  <c r="G1185" i="43"/>
  <c r="F1185" i="43"/>
  <c r="E1185" i="43"/>
  <c r="P1184" i="43"/>
  <c r="O1184" i="43"/>
  <c r="N1184" i="43"/>
  <c r="M1184" i="43"/>
  <c r="L1184" i="43"/>
  <c r="K1184" i="43"/>
  <c r="J1184" i="43"/>
  <c r="I1184" i="43"/>
  <c r="H1184" i="43"/>
  <c r="G1184" i="43"/>
  <c r="F1184" i="43"/>
  <c r="E1184" i="43"/>
  <c r="P1183" i="43"/>
  <c r="O1183" i="43"/>
  <c r="N1183" i="43"/>
  <c r="M1183" i="43"/>
  <c r="L1183" i="43"/>
  <c r="K1183" i="43"/>
  <c r="J1183" i="43"/>
  <c r="I1183" i="43"/>
  <c r="H1183" i="43"/>
  <c r="G1183" i="43"/>
  <c r="F1183" i="43"/>
  <c r="E1183" i="43"/>
  <c r="D1182" i="43"/>
  <c r="C1182" i="43"/>
  <c r="B1182" i="43" s="1"/>
  <c r="D1181" i="43"/>
  <c r="D1183" i="43" s="1"/>
  <c r="C1181" i="43"/>
  <c r="C1183" i="43" s="1"/>
  <c r="P1180" i="43"/>
  <c r="O1180" i="43"/>
  <c r="N1180" i="43"/>
  <c r="M1180" i="43"/>
  <c r="L1180" i="43"/>
  <c r="K1180" i="43"/>
  <c r="J1180" i="43"/>
  <c r="I1180" i="43"/>
  <c r="H1180" i="43"/>
  <c r="G1180" i="43"/>
  <c r="F1180" i="43"/>
  <c r="E1180" i="43"/>
  <c r="D1179" i="43"/>
  <c r="C1179" i="43"/>
  <c r="B1179" i="43" s="1"/>
  <c r="D1178" i="43"/>
  <c r="D1180" i="43" s="1"/>
  <c r="C1178" i="43"/>
  <c r="P1177" i="43"/>
  <c r="P1186" i="43" s="1"/>
  <c r="O1177" i="43"/>
  <c r="N1177" i="43"/>
  <c r="N1186" i="43" s="1"/>
  <c r="M1177" i="43"/>
  <c r="L1177" i="43"/>
  <c r="L1186" i="43" s="1"/>
  <c r="K1177" i="43"/>
  <c r="J1177" i="43"/>
  <c r="J1186" i="43" s="1"/>
  <c r="I1177" i="43"/>
  <c r="H1177" i="43"/>
  <c r="H1186" i="43" s="1"/>
  <c r="G1177" i="43"/>
  <c r="F1177" i="43"/>
  <c r="F1186" i="43" s="1"/>
  <c r="E1177" i="43"/>
  <c r="D1176" i="43"/>
  <c r="D1185" i="43" s="1"/>
  <c r="C1176" i="43"/>
  <c r="D1175" i="43"/>
  <c r="D1184" i="43" s="1"/>
  <c r="C1175" i="43"/>
  <c r="C1177" i="43" s="1"/>
  <c r="B1175" i="43"/>
  <c r="P1170" i="43"/>
  <c r="O1170" i="43"/>
  <c r="N1170" i="43"/>
  <c r="M1170" i="43"/>
  <c r="L1170" i="43"/>
  <c r="K1170" i="43"/>
  <c r="J1170" i="43"/>
  <c r="I1170" i="43"/>
  <c r="H1170" i="43"/>
  <c r="G1170" i="43"/>
  <c r="F1170" i="43"/>
  <c r="E1170" i="43"/>
  <c r="P1169" i="43"/>
  <c r="O1169" i="43"/>
  <c r="N1169" i="43"/>
  <c r="M1169" i="43"/>
  <c r="L1169" i="43"/>
  <c r="K1169" i="43"/>
  <c r="J1169" i="43"/>
  <c r="I1169" i="43"/>
  <c r="H1169" i="43"/>
  <c r="G1169" i="43"/>
  <c r="F1169" i="43"/>
  <c r="E1169" i="43"/>
  <c r="P1168" i="43"/>
  <c r="P1171" i="43" s="1"/>
  <c r="O1168" i="43"/>
  <c r="O1171" i="43" s="1"/>
  <c r="N1168" i="43"/>
  <c r="N1171" i="43" s="1"/>
  <c r="M1168" i="43"/>
  <c r="M1171" i="43" s="1"/>
  <c r="L1168" i="43"/>
  <c r="L1171" i="43" s="1"/>
  <c r="K1168" i="43"/>
  <c r="K1171" i="43" s="1"/>
  <c r="J1168" i="43"/>
  <c r="J1171" i="43" s="1"/>
  <c r="I1168" i="43"/>
  <c r="I1171" i="43" s="1"/>
  <c r="H1168" i="43"/>
  <c r="H1171" i="43" s="1"/>
  <c r="G1168" i="43"/>
  <c r="G1171" i="43" s="1"/>
  <c r="F1168" i="43"/>
  <c r="F1171" i="43" s="1"/>
  <c r="E1168" i="43"/>
  <c r="E1171" i="43" s="1"/>
  <c r="D1167" i="43"/>
  <c r="D1170" i="43" s="1"/>
  <c r="C1167" i="43"/>
  <c r="C1170" i="43" s="1"/>
  <c r="D1166" i="43"/>
  <c r="D1169" i="43" s="1"/>
  <c r="C1166" i="43"/>
  <c r="P1161" i="43"/>
  <c r="O1161" i="43"/>
  <c r="N1161" i="43"/>
  <c r="M1161" i="43"/>
  <c r="L1161" i="43"/>
  <c r="K1161" i="43"/>
  <c r="J1161" i="43"/>
  <c r="I1161" i="43"/>
  <c r="H1161" i="43"/>
  <c r="G1161" i="43"/>
  <c r="F1161" i="43"/>
  <c r="E1161" i="43"/>
  <c r="P1160" i="43"/>
  <c r="O1160" i="43"/>
  <c r="N1160" i="43"/>
  <c r="M1160" i="43"/>
  <c r="L1160" i="43"/>
  <c r="K1160" i="43"/>
  <c r="J1160" i="43"/>
  <c r="I1160" i="43"/>
  <c r="H1160" i="43"/>
  <c r="G1160" i="43"/>
  <c r="F1160" i="43"/>
  <c r="E1160" i="43"/>
  <c r="P1159" i="43"/>
  <c r="O1159" i="43"/>
  <c r="N1159" i="43"/>
  <c r="M1159" i="43"/>
  <c r="L1159" i="43"/>
  <c r="K1159" i="43"/>
  <c r="J1159" i="43"/>
  <c r="I1159" i="43"/>
  <c r="H1159" i="43"/>
  <c r="G1159" i="43"/>
  <c r="F1159" i="43"/>
  <c r="E1159" i="43"/>
  <c r="D1158" i="43"/>
  <c r="C1158" i="43"/>
  <c r="D1157" i="43"/>
  <c r="D1159" i="43" s="1"/>
  <c r="C1157" i="43"/>
  <c r="C1159" i="43" s="1"/>
  <c r="P1156" i="43"/>
  <c r="O1156" i="43"/>
  <c r="N1156" i="43"/>
  <c r="M1156" i="43"/>
  <c r="L1156" i="43"/>
  <c r="K1156" i="43"/>
  <c r="J1156" i="43"/>
  <c r="I1156" i="43"/>
  <c r="H1156" i="43"/>
  <c r="G1156" i="43"/>
  <c r="F1156" i="43"/>
  <c r="E1156" i="43"/>
  <c r="D1155" i="43"/>
  <c r="C1155" i="43"/>
  <c r="D1154" i="43"/>
  <c r="C1154" i="43"/>
  <c r="P1153" i="43"/>
  <c r="O1153" i="43"/>
  <c r="N1153" i="43"/>
  <c r="M1153" i="43"/>
  <c r="L1153" i="43"/>
  <c r="K1153" i="43"/>
  <c r="J1153" i="43"/>
  <c r="I1153" i="43"/>
  <c r="H1153" i="43"/>
  <c r="G1153" i="43"/>
  <c r="F1153" i="43"/>
  <c r="E1153" i="43"/>
  <c r="D1152" i="43"/>
  <c r="C1152" i="43"/>
  <c r="D1151" i="43"/>
  <c r="D1153" i="43" s="1"/>
  <c r="C1151" i="43"/>
  <c r="C1153" i="43" s="1"/>
  <c r="P1150" i="43"/>
  <c r="O1150" i="43"/>
  <c r="N1150" i="43"/>
  <c r="M1150" i="43"/>
  <c r="L1150" i="43"/>
  <c r="K1150" i="43"/>
  <c r="J1150" i="43"/>
  <c r="I1150" i="43"/>
  <c r="H1150" i="43"/>
  <c r="G1150" i="43"/>
  <c r="F1150" i="43"/>
  <c r="E1150" i="43"/>
  <c r="D1149" i="43"/>
  <c r="C1149" i="43"/>
  <c r="B1149" i="43"/>
  <c r="D1148" i="43"/>
  <c r="C1148" i="43"/>
  <c r="B1148" i="43" s="1"/>
  <c r="B1150" i="43" s="1"/>
  <c r="P1147" i="43"/>
  <c r="O1147" i="43"/>
  <c r="N1147" i="43"/>
  <c r="M1147" i="43"/>
  <c r="L1147" i="43"/>
  <c r="K1147" i="43"/>
  <c r="J1147" i="43"/>
  <c r="I1147" i="43"/>
  <c r="H1147" i="43"/>
  <c r="G1147" i="43"/>
  <c r="F1147" i="43"/>
  <c r="E1147" i="43"/>
  <c r="D1146" i="43"/>
  <c r="C1146" i="43"/>
  <c r="B1146" i="43" s="1"/>
  <c r="D1145" i="43"/>
  <c r="D1147" i="43" s="1"/>
  <c r="C1145" i="43"/>
  <c r="C1147" i="43" s="1"/>
  <c r="P1144" i="43"/>
  <c r="O1144" i="43"/>
  <c r="N1144" i="43"/>
  <c r="M1144" i="43"/>
  <c r="L1144" i="43"/>
  <c r="K1144" i="43"/>
  <c r="J1144" i="43"/>
  <c r="I1144" i="43"/>
  <c r="H1144" i="43"/>
  <c r="G1144" i="43"/>
  <c r="F1144" i="43"/>
  <c r="E1144" i="43"/>
  <c r="D1143" i="43"/>
  <c r="C1143" i="43"/>
  <c r="B1143" i="43" s="1"/>
  <c r="D1142" i="43"/>
  <c r="C1142" i="43"/>
  <c r="P1141" i="43"/>
  <c r="O1141" i="43"/>
  <c r="N1141" i="43"/>
  <c r="M1141" i="43"/>
  <c r="L1141" i="43"/>
  <c r="K1141" i="43"/>
  <c r="J1141" i="43"/>
  <c r="I1141" i="43"/>
  <c r="H1141" i="43"/>
  <c r="G1141" i="43"/>
  <c r="F1141" i="43"/>
  <c r="E1141" i="43"/>
  <c r="D1140" i="43"/>
  <c r="C1140" i="43"/>
  <c r="D1139" i="43"/>
  <c r="D1141" i="43" s="1"/>
  <c r="C1139" i="43"/>
  <c r="C1141" i="43" s="1"/>
  <c r="P1138" i="43"/>
  <c r="O1138" i="43"/>
  <c r="N1138" i="43"/>
  <c r="M1138" i="43"/>
  <c r="L1138" i="43"/>
  <c r="K1138" i="43"/>
  <c r="J1138" i="43"/>
  <c r="I1138" i="43"/>
  <c r="H1138" i="43"/>
  <c r="G1138" i="43"/>
  <c r="F1138" i="43"/>
  <c r="E1138" i="43"/>
  <c r="D1137" i="43"/>
  <c r="C1137" i="43"/>
  <c r="B1137" i="43" s="1"/>
  <c r="D1136" i="43"/>
  <c r="C1136" i="43"/>
  <c r="P1135" i="43"/>
  <c r="O1135" i="43"/>
  <c r="N1135" i="43"/>
  <c r="M1135" i="43"/>
  <c r="L1135" i="43"/>
  <c r="K1135" i="43"/>
  <c r="J1135" i="43"/>
  <c r="I1135" i="43"/>
  <c r="H1135" i="43"/>
  <c r="G1135" i="43"/>
  <c r="F1135" i="43"/>
  <c r="E1135" i="43"/>
  <c r="D1134" i="43"/>
  <c r="C1134" i="43"/>
  <c r="D1133" i="43"/>
  <c r="D1135" i="43" s="1"/>
  <c r="C1133" i="43"/>
  <c r="C1135" i="43" s="1"/>
  <c r="P1132" i="43"/>
  <c r="O1132" i="43"/>
  <c r="N1132" i="43"/>
  <c r="M1132" i="43"/>
  <c r="L1132" i="43"/>
  <c r="K1132" i="43"/>
  <c r="J1132" i="43"/>
  <c r="I1132" i="43"/>
  <c r="H1132" i="43"/>
  <c r="G1132" i="43"/>
  <c r="F1132" i="43"/>
  <c r="E1132" i="43"/>
  <c r="D1131" i="43"/>
  <c r="C1131" i="43"/>
  <c r="B1131" i="43"/>
  <c r="D1130" i="43"/>
  <c r="C1130" i="43"/>
  <c r="B1130" i="43" s="1"/>
  <c r="B1132" i="43" s="1"/>
  <c r="P1129" i="43"/>
  <c r="O1129" i="43"/>
  <c r="N1129" i="43"/>
  <c r="M1129" i="43"/>
  <c r="L1129" i="43"/>
  <c r="K1129" i="43"/>
  <c r="J1129" i="43"/>
  <c r="I1129" i="43"/>
  <c r="H1129" i="43"/>
  <c r="G1129" i="43"/>
  <c r="F1129" i="43"/>
  <c r="E1129" i="43"/>
  <c r="D1128" i="43"/>
  <c r="C1128" i="43"/>
  <c r="B1128" i="43" s="1"/>
  <c r="D1127" i="43"/>
  <c r="D1129" i="43" s="1"/>
  <c r="C1127" i="43"/>
  <c r="C1129" i="43" s="1"/>
  <c r="P1126" i="43"/>
  <c r="O1126" i="43"/>
  <c r="N1126" i="43"/>
  <c r="M1126" i="43"/>
  <c r="L1126" i="43"/>
  <c r="K1126" i="43"/>
  <c r="J1126" i="43"/>
  <c r="I1126" i="43"/>
  <c r="H1126" i="43"/>
  <c r="G1126" i="43"/>
  <c r="F1126" i="43"/>
  <c r="E1126" i="43"/>
  <c r="D1125" i="43"/>
  <c r="C1125" i="43"/>
  <c r="B1125" i="43" s="1"/>
  <c r="D1124" i="43"/>
  <c r="C1124" i="43"/>
  <c r="P1123" i="43"/>
  <c r="O1123" i="43"/>
  <c r="N1123" i="43"/>
  <c r="M1123" i="43"/>
  <c r="L1123" i="43"/>
  <c r="K1123" i="43"/>
  <c r="J1123" i="43"/>
  <c r="I1123" i="43"/>
  <c r="H1123" i="43"/>
  <c r="G1123" i="43"/>
  <c r="F1123" i="43"/>
  <c r="E1123" i="43"/>
  <c r="D1122" i="43"/>
  <c r="C1122" i="43"/>
  <c r="B1122" i="43" s="1"/>
  <c r="D1121" i="43"/>
  <c r="C1121" i="43"/>
  <c r="P1120" i="43"/>
  <c r="O1120" i="43"/>
  <c r="N1120" i="43"/>
  <c r="M1120" i="43"/>
  <c r="L1120" i="43"/>
  <c r="K1120" i="43"/>
  <c r="J1120" i="43"/>
  <c r="I1120" i="43"/>
  <c r="H1120" i="43"/>
  <c r="G1120" i="43"/>
  <c r="F1120" i="43"/>
  <c r="E1120" i="43"/>
  <c r="D1119" i="43"/>
  <c r="C1119" i="43"/>
  <c r="D1118" i="43"/>
  <c r="C1118" i="43"/>
  <c r="P1117" i="43"/>
  <c r="O1117" i="43"/>
  <c r="N1117" i="43"/>
  <c r="M1117" i="43"/>
  <c r="L1117" i="43"/>
  <c r="K1117" i="43"/>
  <c r="J1117" i="43"/>
  <c r="I1117" i="43"/>
  <c r="H1117" i="43"/>
  <c r="G1117" i="43"/>
  <c r="F1117" i="43"/>
  <c r="E1117" i="43"/>
  <c r="D1116" i="43"/>
  <c r="C1116" i="43"/>
  <c r="D1115" i="43"/>
  <c r="D1117" i="43" s="1"/>
  <c r="C1115" i="43"/>
  <c r="C1117" i="43" s="1"/>
  <c r="P1114" i="43"/>
  <c r="O1114" i="43"/>
  <c r="N1114" i="43"/>
  <c r="M1114" i="43"/>
  <c r="L1114" i="43"/>
  <c r="K1114" i="43"/>
  <c r="J1114" i="43"/>
  <c r="I1114" i="43"/>
  <c r="H1114" i="43"/>
  <c r="G1114" i="43"/>
  <c r="F1114" i="43"/>
  <c r="E1114" i="43"/>
  <c r="D1113" i="43"/>
  <c r="C1113" i="43"/>
  <c r="B1113" i="43"/>
  <c r="D1112" i="43"/>
  <c r="C1112" i="43"/>
  <c r="B1112" i="43" s="1"/>
  <c r="B1114" i="43" s="1"/>
  <c r="P1111" i="43"/>
  <c r="O1111" i="43"/>
  <c r="N1111" i="43"/>
  <c r="M1111" i="43"/>
  <c r="L1111" i="43"/>
  <c r="K1111" i="43"/>
  <c r="J1111" i="43"/>
  <c r="I1111" i="43"/>
  <c r="H1111" i="43"/>
  <c r="G1111" i="43"/>
  <c r="F1111" i="43"/>
  <c r="E1111" i="43"/>
  <c r="D1110" i="43"/>
  <c r="C1110" i="43"/>
  <c r="B1110" i="43" s="1"/>
  <c r="D1109" i="43"/>
  <c r="D1111" i="43" s="1"/>
  <c r="C1109" i="43"/>
  <c r="C1111" i="43" s="1"/>
  <c r="P1108" i="43"/>
  <c r="O1108" i="43"/>
  <c r="N1108" i="43"/>
  <c r="M1108" i="43"/>
  <c r="L1108" i="43"/>
  <c r="K1108" i="43"/>
  <c r="J1108" i="43"/>
  <c r="I1108" i="43"/>
  <c r="H1108" i="43"/>
  <c r="G1108" i="43"/>
  <c r="F1108" i="43"/>
  <c r="E1108" i="43"/>
  <c r="D1107" i="43"/>
  <c r="C1107" i="43"/>
  <c r="B1107" i="43" s="1"/>
  <c r="D1106" i="43"/>
  <c r="C1106" i="43"/>
  <c r="P1105" i="43"/>
  <c r="O1105" i="43"/>
  <c r="N1105" i="43"/>
  <c r="M1105" i="43"/>
  <c r="L1105" i="43"/>
  <c r="K1105" i="43"/>
  <c r="J1105" i="43"/>
  <c r="I1105" i="43"/>
  <c r="H1105" i="43"/>
  <c r="G1105" i="43"/>
  <c r="F1105" i="43"/>
  <c r="E1105" i="43"/>
  <c r="D1104" i="43"/>
  <c r="C1104" i="43"/>
  <c r="D1103" i="43"/>
  <c r="D1105" i="43" s="1"/>
  <c r="C1103" i="43"/>
  <c r="C1105" i="43" s="1"/>
  <c r="P1102" i="43"/>
  <c r="O1102" i="43"/>
  <c r="N1102" i="43"/>
  <c r="M1102" i="43"/>
  <c r="L1102" i="43"/>
  <c r="K1102" i="43"/>
  <c r="J1102" i="43"/>
  <c r="I1102" i="43"/>
  <c r="H1102" i="43"/>
  <c r="G1102" i="43"/>
  <c r="F1102" i="43"/>
  <c r="E1102" i="43"/>
  <c r="D1101" i="43"/>
  <c r="C1101" i="43"/>
  <c r="B1101" i="43" s="1"/>
  <c r="D1100" i="43"/>
  <c r="C1100" i="43"/>
  <c r="P1099" i="43"/>
  <c r="O1099" i="43"/>
  <c r="N1099" i="43"/>
  <c r="M1099" i="43"/>
  <c r="L1099" i="43"/>
  <c r="K1099" i="43"/>
  <c r="J1099" i="43"/>
  <c r="I1099" i="43"/>
  <c r="H1099" i="43"/>
  <c r="G1099" i="43"/>
  <c r="F1099" i="43"/>
  <c r="E1099" i="43"/>
  <c r="D1098" i="43"/>
  <c r="C1098" i="43"/>
  <c r="D1097" i="43"/>
  <c r="D1099" i="43" s="1"/>
  <c r="C1097" i="43"/>
  <c r="C1099" i="43" s="1"/>
  <c r="P1096" i="43"/>
  <c r="O1096" i="43"/>
  <c r="N1096" i="43"/>
  <c r="M1096" i="43"/>
  <c r="L1096" i="43"/>
  <c r="K1096" i="43"/>
  <c r="J1096" i="43"/>
  <c r="I1096" i="43"/>
  <c r="H1096" i="43"/>
  <c r="G1096" i="43"/>
  <c r="F1096" i="43"/>
  <c r="E1096" i="43"/>
  <c r="D1095" i="43"/>
  <c r="C1095" i="43"/>
  <c r="D1094" i="43"/>
  <c r="C1094" i="43"/>
  <c r="P1093" i="43"/>
  <c r="O1093" i="43"/>
  <c r="N1093" i="43"/>
  <c r="M1093" i="43"/>
  <c r="L1093" i="43"/>
  <c r="K1093" i="43"/>
  <c r="J1093" i="43"/>
  <c r="I1093" i="43"/>
  <c r="H1093" i="43"/>
  <c r="G1093" i="43"/>
  <c r="F1093" i="43"/>
  <c r="E1093" i="43"/>
  <c r="D1092" i="43"/>
  <c r="C1092" i="43"/>
  <c r="D1091" i="43"/>
  <c r="D1093" i="43" s="1"/>
  <c r="C1091" i="43"/>
  <c r="C1093" i="43" s="1"/>
  <c r="P1090" i="43"/>
  <c r="O1090" i="43"/>
  <c r="N1090" i="43"/>
  <c r="M1090" i="43"/>
  <c r="L1090" i="43"/>
  <c r="K1090" i="43"/>
  <c r="J1090" i="43"/>
  <c r="I1090" i="43"/>
  <c r="H1090" i="43"/>
  <c r="G1090" i="43"/>
  <c r="F1090" i="43"/>
  <c r="E1090" i="43"/>
  <c r="D1089" i="43"/>
  <c r="C1089" i="43"/>
  <c r="B1089" i="43"/>
  <c r="D1088" i="43"/>
  <c r="C1088" i="43"/>
  <c r="B1088" i="43" s="1"/>
  <c r="B1090" i="43" s="1"/>
  <c r="P1087" i="43"/>
  <c r="O1087" i="43"/>
  <c r="N1087" i="43"/>
  <c r="M1087" i="43"/>
  <c r="L1087" i="43"/>
  <c r="K1087" i="43"/>
  <c r="J1087" i="43"/>
  <c r="I1087" i="43"/>
  <c r="H1087" i="43"/>
  <c r="G1087" i="43"/>
  <c r="F1087" i="43"/>
  <c r="E1087" i="43"/>
  <c r="D1086" i="43"/>
  <c r="C1086" i="43"/>
  <c r="B1086" i="43" s="1"/>
  <c r="D1085" i="43"/>
  <c r="D1087" i="43" s="1"/>
  <c r="C1085" i="43"/>
  <c r="C1087" i="43" s="1"/>
  <c r="P1084" i="43"/>
  <c r="O1084" i="43"/>
  <c r="N1084" i="43"/>
  <c r="M1084" i="43"/>
  <c r="L1084" i="43"/>
  <c r="K1084" i="43"/>
  <c r="J1084" i="43"/>
  <c r="I1084" i="43"/>
  <c r="H1084" i="43"/>
  <c r="G1084" i="43"/>
  <c r="F1084" i="43"/>
  <c r="E1084" i="43"/>
  <c r="D1083" i="43"/>
  <c r="C1083" i="43"/>
  <c r="B1083" i="43" s="1"/>
  <c r="D1082" i="43"/>
  <c r="C1082" i="43"/>
  <c r="P1081" i="43"/>
  <c r="O1081" i="43"/>
  <c r="N1081" i="43"/>
  <c r="M1081" i="43"/>
  <c r="L1081" i="43"/>
  <c r="K1081" i="43"/>
  <c r="J1081" i="43"/>
  <c r="I1081" i="43"/>
  <c r="H1081" i="43"/>
  <c r="G1081" i="43"/>
  <c r="F1081" i="43"/>
  <c r="E1081" i="43"/>
  <c r="D1080" i="43"/>
  <c r="C1080" i="43"/>
  <c r="D1079" i="43"/>
  <c r="D1081" i="43" s="1"/>
  <c r="C1079" i="43"/>
  <c r="C1081" i="43" s="1"/>
  <c r="P1078" i="43"/>
  <c r="O1078" i="43"/>
  <c r="N1078" i="43"/>
  <c r="M1078" i="43"/>
  <c r="L1078" i="43"/>
  <c r="K1078" i="43"/>
  <c r="J1078" i="43"/>
  <c r="I1078" i="43"/>
  <c r="H1078" i="43"/>
  <c r="G1078" i="43"/>
  <c r="F1078" i="43"/>
  <c r="E1078" i="43"/>
  <c r="D1077" i="43"/>
  <c r="C1077" i="43"/>
  <c r="B1077" i="43" s="1"/>
  <c r="D1076" i="43"/>
  <c r="C1076" i="43"/>
  <c r="P1075" i="43"/>
  <c r="O1075" i="43"/>
  <c r="N1075" i="43"/>
  <c r="M1075" i="43"/>
  <c r="L1075" i="43"/>
  <c r="K1075" i="43"/>
  <c r="J1075" i="43"/>
  <c r="I1075" i="43"/>
  <c r="H1075" i="43"/>
  <c r="G1075" i="43"/>
  <c r="F1075" i="43"/>
  <c r="E1075" i="43"/>
  <c r="D1074" i="43"/>
  <c r="C1074" i="43"/>
  <c r="D1073" i="43"/>
  <c r="D1075" i="43" s="1"/>
  <c r="C1073" i="43"/>
  <c r="C1075" i="43" s="1"/>
  <c r="P1072" i="43"/>
  <c r="O1072" i="43"/>
  <c r="N1072" i="43"/>
  <c r="M1072" i="43"/>
  <c r="L1072" i="43"/>
  <c r="K1072" i="43"/>
  <c r="J1072" i="43"/>
  <c r="I1072" i="43"/>
  <c r="H1072" i="43"/>
  <c r="G1072" i="43"/>
  <c r="F1072" i="43"/>
  <c r="E1072" i="43"/>
  <c r="D1071" i="43"/>
  <c r="C1071" i="43"/>
  <c r="D1070" i="43"/>
  <c r="C1070" i="43"/>
  <c r="P1069" i="43"/>
  <c r="O1069" i="43"/>
  <c r="N1069" i="43"/>
  <c r="M1069" i="43"/>
  <c r="L1069" i="43"/>
  <c r="K1069" i="43"/>
  <c r="J1069" i="43"/>
  <c r="I1069" i="43"/>
  <c r="H1069" i="43"/>
  <c r="G1069" i="43"/>
  <c r="F1069" i="43"/>
  <c r="E1069" i="43"/>
  <c r="D1068" i="43"/>
  <c r="C1068" i="43"/>
  <c r="D1067" i="43"/>
  <c r="D1069" i="43" s="1"/>
  <c r="C1067" i="43"/>
  <c r="C1069" i="43" s="1"/>
  <c r="P1066" i="43"/>
  <c r="O1066" i="43"/>
  <c r="N1066" i="43"/>
  <c r="M1066" i="43"/>
  <c r="L1066" i="43"/>
  <c r="K1066" i="43"/>
  <c r="J1066" i="43"/>
  <c r="I1066" i="43"/>
  <c r="H1066" i="43"/>
  <c r="G1066" i="43"/>
  <c r="F1066" i="43"/>
  <c r="E1066" i="43"/>
  <c r="D1065" i="43"/>
  <c r="C1065" i="43"/>
  <c r="B1065" i="43"/>
  <c r="D1064" i="43"/>
  <c r="C1064" i="43"/>
  <c r="B1064" i="43" s="1"/>
  <c r="B1066" i="43" s="1"/>
  <c r="P1063" i="43"/>
  <c r="O1063" i="43"/>
  <c r="N1063" i="43"/>
  <c r="M1063" i="43"/>
  <c r="L1063" i="43"/>
  <c r="K1063" i="43"/>
  <c r="J1063" i="43"/>
  <c r="I1063" i="43"/>
  <c r="H1063" i="43"/>
  <c r="G1063" i="43"/>
  <c r="F1063" i="43"/>
  <c r="E1063" i="43"/>
  <c r="D1062" i="43"/>
  <c r="C1062" i="43"/>
  <c r="B1062" i="43" s="1"/>
  <c r="D1061" i="43"/>
  <c r="D1063" i="43" s="1"/>
  <c r="C1061" i="43"/>
  <c r="C1063" i="43" s="1"/>
  <c r="P1060" i="43"/>
  <c r="O1060" i="43"/>
  <c r="N1060" i="43"/>
  <c r="M1060" i="43"/>
  <c r="L1060" i="43"/>
  <c r="K1060" i="43"/>
  <c r="J1060" i="43"/>
  <c r="I1060" i="43"/>
  <c r="H1060" i="43"/>
  <c r="G1060" i="43"/>
  <c r="F1060" i="43"/>
  <c r="E1060" i="43"/>
  <c r="D1059" i="43"/>
  <c r="C1059" i="43"/>
  <c r="D1058" i="43"/>
  <c r="D1060" i="43" s="1"/>
  <c r="C1058" i="43"/>
  <c r="C1060" i="43" s="1"/>
  <c r="P1057" i="43"/>
  <c r="O1057" i="43"/>
  <c r="N1057" i="43"/>
  <c r="M1057" i="43"/>
  <c r="L1057" i="43"/>
  <c r="K1057" i="43"/>
  <c r="J1057" i="43"/>
  <c r="I1057" i="43"/>
  <c r="H1057" i="43"/>
  <c r="G1057" i="43"/>
  <c r="F1057" i="43"/>
  <c r="E1057" i="43"/>
  <c r="D1056" i="43"/>
  <c r="C1056" i="43"/>
  <c r="D1055" i="43"/>
  <c r="D1057" i="43" s="1"/>
  <c r="C1055" i="43"/>
  <c r="P1054" i="43"/>
  <c r="O1054" i="43"/>
  <c r="N1054" i="43"/>
  <c r="M1054" i="43"/>
  <c r="L1054" i="43"/>
  <c r="K1054" i="43"/>
  <c r="J1054" i="43"/>
  <c r="I1054" i="43"/>
  <c r="H1054" i="43"/>
  <c r="G1054" i="43"/>
  <c r="F1054" i="43"/>
  <c r="E1054" i="43"/>
  <c r="D1053" i="43"/>
  <c r="C1053" i="43"/>
  <c r="D1052" i="43"/>
  <c r="D1054" i="43" s="1"/>
  <c r="C1052" i="43"/>
  <c r="C1054" i="43" s="1"/>
  <c r="P1051" i="43"/>
  <c r="O1051" i="43"/>
  <c r="N1051" i="43"/>
  <c r="M1051" i="43"/>
  <c r="L1051" i="43"/>
  <c r="K1051" i="43"/>
  <c r="J1051" i="43"/>
  <c r="I1051" i="43"/>
  <c r="H1051" i="43"/>
  <c r="G1051" i="43"/>
  <c r="F1051" i="43"/>
  <c r="E1051" i="43"/>
  <c r="D1050" i="43"/>
  <c r="C1050" i="43"/>
  <c r="D1049" i="43"/>
  <c r="D1051" i="43" s="1"/>
  <c r="C1049" i="43"/>
  <c r="P1048" i="43"/>
  <c r="O1048" i="43"/>
  <c r="N1048" i="43"/>
  <c r="M1048" i="43"/>
  <c r="L1048" i="43"/>
  <c r="K1048" i="43"/>
  <c r="J1048" i="43"/>
  <c r="I1048" i="43"/>
  <c r="H1048" i="43"/>
  <c r="G1048" i="43"/>
  <c r="F1048" i="43"/>
  <c r="E1048" i="43"/>
  <c r="D1047" i="43"/>
  <c r="C1047" i="43"/>
  <c r="D1046" i="43"/>
  <c r="D1048" i="43" s="1"/>
  <c r="C1046" i="43"/>
  <c r="B1046" i="43"/>
  <c r="P1045" i="43"/>
  <c r="O1045" i="43"/>
  <c r="N1045" i="43"/>
  <c r="M1045" i="43"/>
  <c r="L1045" i="43"/>
  <c r="K1045" i="43"/>
  <c r="J1045" i="43"/>
  <c r="I1045" i="43"/>
  <c r="H1045" i="43"/>
  <c r="G1045" i="43"/>
  <c r="F1045" i="43"/>
  <c r="E1045" i="43"/>
  <c r="D1044" i="43"/>
  <c r="C1044" i="43"/>
  <c r="B1044" i="43" s="1"/>
  <c r="D1043" i="43"/>
  <c r="D1045" i="43" s="1"/>
  <c r="C1043" i="43"/>
  <c r="C1045" i="43" s="1"/>
  <c r="P1042" i="43"/>
  <c r="O1042" i="43"/>
  <c r="N1042" i="43"/>
  <c r="M1042" i="43"/>
  <c r="L1042" i="43"/>
  <c r="K1042" i="43"/>
  <c r="J1042" i="43"/>
  <c r="I1042" i="43"/>
  <c r="H1042" i="43"/>
  <c r="G1042" i="43"/>
  <c r="F1042" i="43"/>
  <c r="E1042" i="43"/>
  <c r="D1041" i="43"/>
  <c r="C1041" i="43"/>
  <c r="B1041" i="43" s="1"/>
  <c r="D1040" i="43"/>
  <c r="C1040" i="43"/>
  <c r="P1039" i="43"/>
  <c r="O1039" i="43"/>
  <c r="N1039" i="43"/>
  <c r="M1039" i="43"/>
  <c r="L1039" i="43"/>
  <c r="K1039" i="43"/>
  <c r="J1039" i="43"/>
  <c r="I1039" i="43"/>
  <c r="H1039" i="43"/>
  <c r="G1039" i="43"/>
  <c r="F1039" i="43"/>
  <c r="E1039" i="43"/>
  <c r="D1038" i="43"/>
  <c r="C1038" i="43"/>
  <c r="D1037" i="43"/>
  <c r="D1039" i="43" s="1"/>
  <c r="C1037" i="43"/>
  <c r="C1039" i="43" s="1"/>
  <c r="P1036" i="43"/>
  <c r="O1036" i="43"/>
  <c r="N1036" i="43"/>
  <c r="M1036" i="43"/>
  <c r="L1036" i="43"/>
  <c r="K1036" i="43"/>
  <c r="J1036" i="43"/>
  <c r="I1036" i="43"/>
  <c r="H1036" i="43"/>
  <c r="G1036" i="43"/>
  <c r="F1036" i="43"/>
  <c r="E1036" i="43"/>
  <c r="D1035" i="43"/>
  <c r="C1035" i="43"/>
  <c r="D1034" i="43"/>
  <c r="D1036" i="43" s="1"/>
  <c r="C1034" i="43"/>
  <c r="P1033" i="43"/>
  <c r="O1033" i="43"/>
  <c r="N1033" i="43"/>
  <c r="M1033" i="43"/>
  <c r="L1033" i="43"/>
  <c r="K1033" i="43"/>
  <c r="J1033" i="43"/>
  <c r="I1033" i="43"/>
  <c r="H1033" i="43"/>
  <c r="G1033" i="43"/>
  <c r="F1033" i="43"/>
  <c r="E1033" i="43"/>
  <c r="D1032" i="43"/>
  <c r="C1032" i="43"/>
  <c r="D1031" i="43"/>
  <c r="D1033" i="43" s="1"/>
  <c r="C1031" i="43"/>
  <c r="C1033" i="43" s="1"/>
  <c r="P1030" i="43"/>
  <c r="O1030" i="43"/>
  <c r="O1162" i="43" s="1"/>
  <c r="N1030" i="43"/>
  <c r="M1030" i="43"/>
  <c r="M1162" i="43" s="1"/>
  <c r="L1030" i="43"/>
  <c r="K1030" i="43"/>
  <c r="K1162" i="43" s="1"/>
  <c r="J1030" i="43"/>
  <c r="I1030" i="43"/>
  <c r="I1162" i="43" s="1"/>
  <c r="H1030" i="43"/>
  <c r="H1162" i="43" s="1"/>
  <c r="G1030" i="43"/>
  <c r="G1162" i="43" s="1"/>
  <c r="F1030" i="43"/>
  <c r="F1162" i="43" s="1"/>
  <c r="E1030" i="43"/>
  <c r="E1162" i="43" s="1"/>
  <c r="D1029" i="43"/>
  <c r="D1161" i="43" s="1"/>
  <c r="C1029" i="43"/>
  <c r="C1161" i="43" s="1"/>
  <c r="D1028" i="43"/>
  <c r="D1160" i="43" s="1"/>
  <c r="C1028" i="43"/>
  <c r="P1023" i="43"/>
  <c r="O1023" i="43"/>
  <c r="N1023" i="43"/>
  <c r="M1023" i="43"/>
  <c r="L1023" i="43"/>
  <c r="K1023" i="43"/>
  <c r="J1023" i="43"/>
  <c r="I1023" i="43"/>
  <c r="H1023" i="43"/>
  <c r="G1023" i="43"/>
  <c r="F1023" i="43"/>
  <c r="E1023" i="43"/>
  <c r="P1022" i="43"/>
  <c r="O1022" i="43"/>
  <c r="N1022" i="43"/>
  <c r="M1022" i="43"/>
  <c r="L1022" i="43"/>
  <c r="K1022" i="43"/>
  <c r="J1022" i="43"/>
  <c r="I1022" i="43"/>
  <c r="H1022" i="43"/>
  <c r="G1022" i="43"/>
  <c r="F1022" i="43"/>
  <c r="E1022" i="43"/>
  <c r="P1021" i="43"/>
  <c r="O1021" i="43"/>
  <c r="N1021" i="43"/>
  <c r="M1021" i="43"/>
  <c r="L1021" i="43"/>
  <c r="K1021" i="43"/>
  <c r="J1021" i="43"/>
  <c r="I1021" i="43"/>
  <c r="H1021" i="43"/>
  <c r="G1021" i="43"/>
  <c r="F1021" i="43"/>
  <c r="E1021" i="43"/>
  <c r="D1020" i="43"/>
  <c r="C1020" i="43"/>
  <c r="B1020" i="43" s="1"/>
  <c r="D1019" i="43"/>
  <c r="C1019" i="43"/>
  <c r="P1018" i="43"/>
  <c r="O1018" i="43"/>
  <c r="N1018" i="43"/>
  <c r="M1018" i="43"/>
  <c r="L1018" i="43"/>
  <c r="K1018" i="43"/>
  <c r="J1018" i="43"/>
  <c r="I1018" i="43"/>
  <c r="H1018" i="43"/>
  <c r="G1018" i="43"/>
  <c r="F1018" i="43"/>
  <c r="E1018" i="43"/>
  <c r="D1017" i="43"/>
  <c r="C1017" i="43"/>
  <c r="D1016" i="43"/>
  <c r="D1018" i="43" s="1"/>
  <c r="C1016" i="43"/>
  <c r="C1018" i="43" s="1"/>
  <c r="P1015" i="43"/>
  <c r="O1015" i="43"/>
  <c r="N1015" i="43"/>
  <c r="M1015" i="43"/>
  <c r="L1015" i="43"/>
  <c r="K1015" i="43"/>
  <c r="J1015" i="43"/>
  <c r="I1015" i="43"/>
  <c r="H1015" i="43"/>
  <c r="G1015" i="43"/>
  <c r="F1015" i="43"/>
  <c r="E1015" i="43"/>
  <c r="D1014" i="43"/>
  <c r="C1014" i="43"/>
  <c r="B1014" i="43" s="1"/>
  <c r="D1013" i="43"/>
  <c r="C1013" i="43"/>
  <c r="P1012" i="43"/>
  <c r="O1012" i="43"/>
  <c r="N1012" i="43"/>
  <c r="M1012" i="43"/>
  <c r="L1012" i="43"/>
  <c r="K1012" i="43"/>
  <c r="J1012" i="43"/>
  <c r="I1012" i="43"/>
  <c r="H1012" i="43"/>
  <c r="G1012" i="43"/>
  <c r="F1012" i="43"/>
  <c r="E1012" i="43"/>
  <c r="D1011" i="43"/>
  <c r="C1011" i="43"/>
  <c r="D1010" i="43"/>
  <c r="C1010" i="43"/>
  <c r="P1009" i="43"/>
  <c r="O1009" i="43"/>
  <c r="N1009" i="43"/>
  <c r="M1009" i="43"/>
  <c r="L1009" i="43"/>
  <c r="K1009" i="43"/>
  <c r="J1009" i="43"/>
  <c r="I1009" i="43"/>
  <c r="H1009" i="43"/>
  <c r="G1009" i="43"/>
  <c r="F1009" i="43"/>
  <c r="E1009" i="43"/>
  <c r="D1008" i="43"/>
  <c r="C1008" i="43"/>
  <c r="B1008" i="43"/>
  <c r="D1007" i="43"/>
  <c r="C1007" i="43"/>
  <c r="C1009" i="43" s="1"/>
  <c r="P1006" i="43"/>
  <c r="O1006" i="43"/>
  <c r="N1006" i="43"/>
  <c r="M1006" i="43"/>
  <c r="L1006" i="43"/>
  <c r="K1006" i="43"/>
  <c r="J1006" i="43"/>
  <c r="I1006" i="43"/>
  <c r="H1006" i="43"/>
  <c r="G1006" i="43"/>
  <c r="F1006" i="43"/>
  <c r="E1006" i="43"/>
  <c r="D1005" i="43"/>
  <c r="C1005" i="43"/>
  <c r="B1005" i="43" s="1"/>
  <c r="D1004" i="43"/>
  <c r="D1022" i="43" s="1"/>
  <c r="C1004" i="43"/>
  <c r="P999" i="43"/>
  <c r="O999" i="43"/>
  <c r="N999" i="43"/>
  <c r="M999" i="43"/>
  <c r="L999" i="43"/>
  <c r="K999" i="43"/>
  <c r="J999" i="43"/>
  <c r="I999" i="43"/>
  <c r="H999" i="43"/>
  <c r="G999" i="43"/>
  <c r="F999" i="43"/>
  <c r="E999" i="43"/>
  <c r="P998" i="43"/>
  <c r="O998" i="43"/>
  <c r="N998" i="43"/>
  <c r="M998" i="43"/>
  <c r="L998" i="43"/>
  <c r="K998" i="43"/>
  <c r="J998" i="43"/>
  <c r="I998" i="43"/>
  <c r="H998" i="43"/>
  <c r="G998" i="43"/>
  <c r="F998" i="43"/>
  <c r="E998" i="43"/>
  <c r="P997" i="43"/>
  <c r="O997" i="43"/>
  <c r="N997" i="43"/>
  <c r="M997" i="43"/>
  <c r="L997" i="43"/>
  <c r="K997" i="43"/>
  <c r="J997" i="43"/>
  <c r="I997" i="43"/>
  <c r="H997" i="43"/>
  <c r="G997" i="43"/>
  <c r="F997" i="43"/>
  <c r="E997" i="43"/>
  <c r="D996" i="43"/>
  <c r="C996" i="43"/>
  <c r="D995" i="43"/>
  <c r="D997" i="43" s="1"/>
  <c r="C995" i="43"/>
  <c r="C997" i="43" s="1"/>
  <c r="B995" i="43"/>
  <c r="P994" i="43"/>
  <c r="O994" i="43"/>
  <c r="N994" i="43"/>
  <c r="M994" i="43"/>
  <c r="L994" i="43"/>
  <c r="K994" i="43"/>
  <c r="J994" i="43"/>
  <c r="I994" i="43"/>
  <c r="H994" i="43"/>
  <c r="G994" i="43"/>
  <c r="F994" i="43"/>
  <c r="E994" i="43"/>
  <c r="D993" i="43"/>
  <c r="C993" i="43"/>
  <c r="B993" i="43" s="1"/>
  <c r="D992" i="43"/>
  <c r="D994" i="43" s="1"/>
  <c r="C992" i="43"/>
  <c r="P991" i="43"/>
  <c r="O991" i="43"/>
  <c r="N991" i="43"/>
  <c r="M991" i="43"/>
  <c r="L991" i="43"/>
  <c r="K991" i="43"/>
  <c r="J991" i="43"/>
  <c r="I991" i="43"/>
  <c r="H991" i="43"/>
  <c r="G991" i="43"/>
  <c r="F991" i="43"/>
  <c r="E991" i="43"/>
  <c r="D990" i="43"/>
  <c r="C990" i="43"/>
  <c r="D989" i="43"/>
  <c r="D991" i="43" s="1"/>
  <c r="C989" i="43"/>
  <c r="C991" i="43" s="1"/>
  <c r="B989" i="43"/>
  <c r="P988" i="43"/>
  <c r="O988" i="43"/>
  <c r="N988" i="43"/>
  <c r="M988" i="43"/>
  <c r="L988" i="43"/>
  <c r="K988" i="43"/>
  <c r="J988" i="43"/>
  <c r="I988" i="43"/>
  <c r="H988" i="43"/>
  <c r="G988" i="43"/>
  <c r="F988" i="43"/>
  <c r="E988" i="43"/>
  <c r="D987" i="43"/>
  <c r="C987" i="43"/>
  <c r="D986" i="43"/>
  <c r="D988" i="43" s="1"/>
  <c r="C986" i="43"/>
  <c r="P985" i="43"/>
  <c r="O985" i="43"/>
  <c r="N985" i="43"/>
  <c r="M985" i="43"/>
  <c r="L985" i="43"/>
  <c r="K985" i="43"/>
  <c r="J985" i="43"/>
  <c r="I985" i="43"/>
  <c r="H985" i="43"/>
  <c r="G985" i="43"/>
  <c r="F985" i="43"/>
  <c r="E985" i="43"/>
  <c r="D984" i="43"/>
  <c r="C984" i="43"/>
  <c r="D983" i="43"/>
  <c r="D985" i="43" s="1"/>
  <c r="C983" i="43"/>
  <c r="C985" i="43" s="1"/>
  <c r="P982" i="43"/>
  <c r="O982" i="43"/>
  <c r="N982" i="43"/>
  <c r="M982" i="43"/>
  <c r="L982" i="43"/>
  <c r="K982" i="43"/>
  <c r="J982" i="43"/>
  <c r="I982" i="43"/>
  <c r="H982" i="43"/>
  <c r="G982" i="43"/>
  <c r="F982" i="43"/>
  <c r="E982" i="43"/>
  <c r="D981" i="43"/>
  <c r="C981" i="43"/>
  <c r="D980" i="43"/>
  <c r="D982" i="43" s="1"/>
  <c r="C980" i="43"/>
  <c r="P979" i="43"/>
  <c r="O979" i="43"/>
  <c r="N979" i="43"/>
  <c r="M979" i="43"/>
  <c r="L979" i="43"/>
  <c r="K979" i="43"/>
  <c r="J979" i="43"/>
  <c r="I979" i="43"/>
  <c r="H979" i="43"/>
  <c r="G979" i="43"/>
  <c r="F979" i="43"/>
  <c r="E979" i="43"/>
  <c r="D978" i="43"/>
  <c r="C978" i="43"/>
  <c r="D977" i="43"/>
  <c r="D979" i="43" s="1"/>
  <c r="C977" i="43"/>
  <c r="C979" i="43" s="1"/>
  <c r="B977" i="43"/>
  <c r="P976" i="43"/>
  <c r="O976" i="43"/>
  <c r="N976" i="43"/>
  <c r="M976" i="43"/>
  <c r="L976" i="43"/>
  <c r="K976" i="43"/>
  <c r="J976" i="43"/>
  <c r="I976" i="43"/>
  <c r="H976" i="43"/>
  <c r="G976" i="43"/>
  <c r="F976" i="43"/>
  <c r="E976" i="43"/>
  <c r="D975" i="43"/>
  <c r="C975" i="43"/>
  <c r="B975" i="43" s="1"/>
  <c r="D974" i="43"/>
  <c r="D976" i="43" s="1"/>
  <c r="C974" i="43"/>
  <c r="P973" i="43"/>
  <c r="O973" i="43"/>
  <c r="N973" i="43"/>
  <c r="M973" i="43"/>
  <c r="L973" i="43"/>
  <c r="K973" i="43"/>
  <c r="J973" i="43"/>
  <c r="I973" i="43"/>
  <c r="H973" i="43"/>
  <c r="G973" i="43"/>
  <c r="F973" i="43"/>
  <c r="E973" i="43"/>
  <c r="D972" i="43"/>
  <c r="C972" i="43"/>
  <c r="D971" i="43"/>
  <c r="D973" i="43" s="1"/>
  <c r="C971" i="43"/>
  <c r="C973" i="43" s="1"/>
  <c r="P970" i="43"/>
  <c r="O970" i="43"/>
  <c r="N970" i="43"/>
  <c r="M970" i="43"/>
  <c r="L970" i="43"/>
  <c r="K970" i="43"/>
  <c r="J970" i="43"/>
  <c r="I970" i="43"/>
  <c r="H970" i="43"/>
  <c r="G970" i="43"/>
  <c r="F970" i="43"/>
  <c r="E970" i="43"/>
  <c r="D969" i="43"/>
  <c r="C969" i="43"/>
  <c r="D968" i="43"/>
  <c r="D970" i="43" s="1"/>
  <c r="C968" i="43"/>
  <c r="P967" i="43"/>
  <c r="O967" i="43"/>
  <c r="N967" i="43"/>
  <c r="M967" i="43"/>
  <c r="L967" i="43"/>
  <c r="K967" i="43"/>
  <c r="J967" i="43"/>
  <c r="I967" i="43"/>
  <c r="H967" i="43"/>
  <c r="G967" i="43"/>
  <c r="F967" i="43"/>
  <c r="E967" i="43"/>
  <c r="D966" i="43"/>
  <c r="C966" i="43"/>
  <c r="D965" i="43"/>
  <c r="D967" i="43" s="1"/>
  <c r="C965" i="43"/>
  <c r="C967" i="43" s="1"/>
  <c r="P964" i="43"/>
  <c r="O964" i="43"/>
  <c r="N964" i="43"/>
  <c r="M964" i="43"/>
  <c r="L964" i="43"/>
  <c r="K964" i="43"/>
  <c r="J964" i="43"/>
  <c r="I964" i="43"/>
  <c r="H964" i="43"/>
  <c r="G964" i="43"/>
  <c r="F964" i="43"/>
  <c r="E964" i="43"/>
  <c r="D963" i="43"/>
  <c r="C963" i="43"/>
  <c r="D962" i="43"/>
  <c r="D964" i="43" s="1"/>
  <c r="C962" i="43"/>
  <c r="P961" i="43"/>
  <c r="O961" i="43"/>
  <c r="N961" i="43"/>
  <c r="M961" i="43"/>
  <c r="L961" i="43"/>
  <c r="K961" i="43"/>
  <c r="J961" i="43"/>
  <c r="I961" i="43"/>
  <c r="H961" i="43"/>
  <c r="G961" i="43"/>
  <c r="F961" i="43"/>
  <c r="E961" i="43"/>
  <c r="D960" i="43"/>
  <c r="C960" i="43"/>
  <c r="D959" i="43"/>
  <c r="D961" i="43" s="1"/>
  <c r="C959" i="43"/>
  <c r="C961" i="43" s="1"/>
  <c r="P958" i="43"/>
  <c r="O958" i="43"/>
  <c r="N958" i="43"/>
  <c r="M958" i="43"/>
  <c r="L958" i="43"/>
  <c r="K958" i="43"/>
  <c r="J958" i="43"/>
  <c r="I958" i="43"/>
  <c r="H958" i="43"/>
  <c r="G958" i="43"/>
  <c r="F958" i="43"/>
  <c r="E958" i="43"/>
  <c r="D957" i="43"/>
  <c r="C957" i="43"/>
  <c r="D956" i="43"/>
  <c r="D958" i="43" s="1"/>
  <c r="C956" i="43"/>
  <c r="C958" i="43" s="1"/>
  <c r="P955" i="43"/>
  <c r="O955" i="43"/>
  <c r="N955" i="43"/>
  <c r="M955" i="43"/>
  <c r="L955" i="43"/>
  <c r="K955" i="43"/>
  <c r="J955" i="43"/>
  <c r="I955" i="43"/>
  <c r="H955" i="43"/>
  <c r="G955" i="43"/>
  <c r="F955" i="43"/>
  <c r="E955" i="43"/>
  <c r="D954" i="43"/>
  <c r="C954" i="43"/>
  <c r="B954" i="43"/>
  <c r="D953" i="43"/>
  <c r="C953" i="43"/>
  <c r="C955" i="43" s="1"/>
  <c r="P952" i="43"/>
  <c r="O952" i="43"/>
  <c r="N952" i="43"/>
  <c r="M952" i="43"/>
  <c r="L952" i="43"/>
  <c r="K952" i="43"/>
  <c r="J952" i="43"/>
  <c r="I952" i="43"/>
  <c r="H952" i="43"/>
  <c r="G952" i="43"/>
  <c r="F952" i="43"/>
  <c r="E952" i="43"/>
  <c r="D951" i="43"/>
  <c r="C951" i="43"/>
  <c r="B951" i="43" s="1"/>
  <c r="D950" i="43"/>
  <c r="D952" i="43" s="1"/>
  <c r="C950" i="43"/>
  <c r="C952" i="43" s="1"/>
  <c r="P949" i="43"/>
  <c r="O949" i="43"/>
  <c r="N949" i="43"/>
  <c r="M949" i="43"/>
  <c r="L949" i="43"/>
  <c r="K949" i="43"/>
  <c r="J949" i="43"/>
  <c r="I949" i="43"/>
  <c r="H949" i="43"/>
  <c r="G949" i="43"/>
  <c r="F949" i="43"/>
  <c r="E949" i="43"/>
  <c r="D948" i="43"/>
  <c r="C948" i="43"/>
  <c r="B948" i="43" s="1"/>
  <c r="D947" i="43"/>
  <c r="C947" i="43"/>
  <c r="P946" i="43"/>
  <c r="O946" i="43"/>
  <c r="N946" i="43"/>
  <c r="M946" i="43"/>
  <c r="L946" i="43"/>
  <c r="K946" i="43"/>
  <c r="J946" i="43"/>
  <c r="I946" i="43"/>
  <c r="H946" i="43"/>
  <c r="G946" i="43"/>
  <c r="F946" i="43"/>
  <c r="E946" i="43"/>
  <c r="D945" i="43"/>
  <c r="C945" i="43"/>
  <c r="D944" i="43"/>
  <c r="D946" i="43" s="1"/>
  <c r="C944" i="43"/>
  <c r="C946" i="43" s="1"/>
  <c r="P943" i="43"/>
  <c r="O943" i="43"/>
  <c r="N943" i="43"/>
  <c r="M943" i="43"/>
  <c r="L943" i="43"/>
  <c r="K943" i="43"/>
  <c r="J943" i="43"/>
  <c r="I943" i="43"/>
  <c r="H943" i="43"/>
  <c r="G943" i="43"/>
  <c r="F943" i="43"/>
  <c r="E943" i="43"/>
  <c r="D942" i="43"/>
  <c r="C942" i="43"/>
  <c r="B942" i="43" s="1"/>
  <c r="D941" i="43"/>
  <c r="C941" i="43"/>
  <c r="P940" i="43"/>
  <c r="O940" i="43"/>
  <c r="N940" i="43"/>
  <c r="M940" i="43"/>
  <c r="L940" i="43"/>
  <c r="K940" i="43"/>
  <c r="J940" i="43"/>
  <c r="I940" i="43"/>
  <c r="H940" i="43"/>
  <c r="G940" i="43"/>
  <c r="F940" i="43"/>
  <c r="E940" i="43"/>
  <c r="D939" i="43"/>
  <c r="C939" i="43"/>
  <c r="D938" i="43"/>
  <c r="D940" i="43" s="1"/>
  <c r="C938" i="43"/>
  <c r="C940" i="43" s="1"/>
  <c r="P937" i="43"/>
  <c r="O937" i="43"/>
  <c r="N937" i="43"/>
  <c r="M937" i="43"/>
  <c r="L937" i="43"/>
  <c r="K937" i="43"/>
  <c r="J937" i="43"/>
  <c r="I937" i="43"/>
  <c r="H937" i="43"/>
  <c r="G937" i="43"/>
  <c r="F937" i="43"/>
  <c r="E937" i="43"/>
  <c r="D936" i="43"/>
  <c r="C936" i="43"/>
  <c r="D935" i="43"/>
  <c r="C935" i="43"/>
  <c r="P934" i="43"/>
  <c r="O934" i="43"/>
  <c r="N934" i="43"/>
  <c r="M934" i="43"/>
  <c r="L934" i="43"/>
  <c r="K934" i="43"/>
  <c r="J934" i="43"/>
  <c r="I934" i="43"/>
  <c r="H934" i="43"/>
  <c r="G934" i="43"/>
  <c r="F934" i="43"/>
  <c r="E934" i="43"/>
  <c r="D933" i="43"/>
  <c r="C933" i="43"/>
  <c r="D932" i="43"/>
  <c r="D934" i="43" s="1"/>
  <c r="C932" i="43"/>
  <c r="C934" i="43" s="1"/>
  <c r="P931" i="43"/>
  <c r="P1000" i="43" s="1"/>
  <c r="O931" i="43"/>
  <c r="N931" i="43"/>
  <c r="N1000" i="43" s="1"/>
  <c r="M931" i="43"/>
  <c r="L931" i="43"/>
  <c r="L1000" i="43" s="1"/>
  <c r="K931" i="43"/>
  <c r="J931" i="43"/>
  <c r="J1000" i="43" s="1"/>
  <c r="I931" i="43"/>
  <c r="H931" i="43"/>
  <c r="H1000" i="43" s="1"/>
  <c r="G931" i="43"/>
  <c r="F931" i="43"/>
  <c r="F1000" i="43" s="1"/>
  <c r="E931" i="43"/>
  <c r="D930" i="43"/>
  <c r="D999" i="43" s="1"/>
  <c r="C930" i="43"/>
  <c r="B930" i="43"/>
  <c r="D929" i="43"/>
  <c r="D998" i="43" s="1"/>
  <c r="C929" i="43"/>
  <c r="C931" i="43" s="1"/>
  <c r="P924" i="43"/>
  <c r="O924" i="43"/>
  <c r="N924" i="43"/>
  <c r="M924" i="43"/>
  <c r="L924" i="43"/>
  <c r="K924" i="43"/>
  <c r="J924" i="43"/>
  <c r="I924" i="43"/>
  <c r="H924" i="43"/>
  <c r="G924" i="43"/>
  <c r="F924" i="43"/>
  <c r="E924" i="43"/>
  <c r="P923" i="43"/>
  <c r="O923" i="43"/>
  <c r="N923" i="43"/>
  <c r="M923" i="43"/>
  <c r="L923" i="43"/>
  <c r="K923" i="43"/>
  <c r="J923" i="43"/>
  <c r="I923" i="43"/>
  <c r="H923" i="43"/>
  <c r="G923" i="43"/>
  <c r="F923" i="43"/>
  <c r="E923" i="43"/>
  <c r="P922" i="43"/>
  <c r="O922" i="43"/>
  <c r="N922" i="43"/>
  <c r="M922" i="43"/>
  <c r="L922" i="43"/>
  <c r="K922" i="43"/>
  <c r="J922" i="43"/>
  <c r="I922" i="43"/>
  <c r="H922" i="43"/>
  <c r="G922" i="43"/>
  <c r="F922" i="43"/>
  <c r="E922" i="43"/>
  <c r="D921" i="43"/>
  <c r="C921" i="43"/>
  <c r="D920" i="43"/>
  <c r="C920" i="43"/>
  <c r="C922" i="43" s="1"/>
  <c r="P919" i="43"/>
  <c r="O919" i="43"/>
  <c r="N919" i="43"/>
  <c r="M919" i="43"/>
  <c r="L919" i="43"/>
  <c r="K919" i="43"/>
  <c r="J919" i="43"/>
  <c r="I919" i="43"/>
  <c r="H919" i="43"/>
  <c r="G919" i="43"/>
  <c r="F919" i="43"/>
  <c r="E919" i="43"/>
  <c r="D918" i="43"/>
  <c r="C918" i="43"/>
  <c r="B918" i="43" s="1"/>
  <c r="D917" i="43"/>
  <c r="C917" i="43"/>
  <c r="P916" i="43"/>
  <c r="O916" i="43"/>
  <c r="N916" i="43"/>
  <c r="M916" i="43"/>
  <c r="L916" i="43"/>
  <c r="K916" i="43"/>
  <c r="J916" i="43"/>
  <c r="I916" i="43"/>
  <c r="H916" i="43"/>
  <c r="G916" i="43"/>
  <c r="F916" i="43"/>
  <c r="E916" i="43"/>
  <c r="D915" i="43"/>
  <c r="C915" i="43"/>
  <c r="D914" i="43"/>
  <c r="D916" i="43" s="1"/>
  <c r="C914" i="43"/>
  <c r="C916" i="43" s="1"/>
  <c r="P913" i="43"/>
  <c r="O913" i="43"/>
  <c r="N913" i="43"/>
  <c r="M913" i="43"/>
  <c r="L913" i="43"/>
  <c r="K913" i="43"/>
  <c r="J913" i="43"/>
  <c r="I913" i="43"/>
  <c r="H913" i="43"/>
  <c r="G913" i="43"/>
  <c r="F913" i="43"/>
  <c r="E913" i="43"/>
  <c r="D913" i="43"/>
  <c r="C913" i="43"/>
  <c r="D912" i="43"/>
  <c r="C912" i="43"/>
  <c r="B912" i="43" s="1"/>
  <c r="D911" i="43"/>
  <c r="C911" i="43"/>
  <c r="P906" i="43"/>
  <c r="O906" i="43"/>
  <c r="N906" i="43"/>
  <c r="M906" i="43"/>
  <c r="L906" i="43"/>
  <c r="K906" i="43"/>
  <c r="J906" i="43"/>
  <c r="I906" i="43"/>
  <c r="H906" i="43"/>
  <c r="G906" i="43"/>
  <c r="F906" i="43"/>
  <c r="E906" i="43"/>
  <c r="P905" i="43"/>
  <c r="O905" i="43"/>
  <c r="N905" i="43"/>
  <c r="M905" i="43"/>
  <c r="L905" i="43"/>
  <c r="K905" i="43"/>
  <c r="J905" i="43"/>
  <c r="I905" i="43"/>
  <c r="H905" i="43"/>
  <c r="G905" i="43"/>
  <c r="F905" i="43"/>
  <c r="E905" i="43"/>
  <c r="P904" i="43"/>
  <c r="O904" i="43"/>
  <c r="N904" i="43"/>
  <c r="M904" i="43"/>
  <c r="L904" i="43"/>
  <c r="K904" i="43"/>
  <c r="J904" i="43"/>
  <c r="I904" i="43"/>
  <c r="H904" i="43"/>
  <c r="G904" i="43"/>
  <c r="F904" i="43"/>
  <c r="E904" i="43"/>
  <c r="D903" i="43"/>
  <c r="C903" i="43"/>
  <c r="D902" i="43"/>
  <c r="D904" i="43" s="1"/>
  <c r="C902" i="43"/>
  <c r="P901" i="43"/>
  <c r="O901" i="43"/>
  <c r="N901" i="43"/>
  <c r="M901" i="43"/>
  <c r="L901" i="43"/>
  <c r="K901" i="43"/>
  <c r="J901" i="43"/>
  <c r="I901" i="43"/>
  <c r="H901" i="43"/>
  <c r="G901" i="43"/>
  <c r="F901" i="43"/>
  <c r="E901" i="43"/>
  <c r="D900" i="43"/>
  <c r="C900" i="43"/>
  <c r="D899" i="43"/>
  <c r="D901" i="43" s="1"/>
  <c r="C899" i="43"/>
  <c r="C901" i="43" s="1"/>
  <c r="P898" i="43"/>
  <c r="O898" i="43"/>
  <c r="N898" i="43"/>
  <c r="M898" i="43"/>
  <c r="L898" i="43"/>
  <c r="K898" i="43"/>
  <c r="J898" i="43"/>
  <c r="I898" i="43"/>
  <c r="H898" i="43"/>
  <c r="G898" i="43"/>
  <c r="F898" i="43"/>
  <c r="E898" i="43"/>
  <c r="D897" i="43"/>
  <c r="C897" i="43"/>
  <c r="D896" i="43"/>
  <c r="D898" i="43" s="1"/>
  <c r="C896" i="43"/>
  <c r="P895" i="43"/>
  <c r="O895" i="43"/>
  <c r="N895" i="43"/>
  <c r="M895" i="43"/>
  <c r="L895" i="43"/>
  <c r="K895" i="43"/>
  <c r="J895" i="43"/>
  <c r="I895" i="43"/>
  <c r="H895" i="43"/>
  <c r="G895" i="43"/>
  <c r="F895" i="43"/>
  <c r="E895" i="43"/>
  <c r="D894" i="43"/>
  <c r="C894" i="43"/>
  <c r="D893" i="43"/>
  <c r="D895" i="43" s="1"/>
  <c r="C893" i="43"/>
  <c r="C895" i="43" s="1"/>
  <c r="B893" i="43"/>
  <c r="P892" i="43"/>
  <c r="O892" i="43"/>
  <c r="N892" i="43"/>
  <c r="M892" i="43"/>
  <c r="L892" i="43"/>
  <c r="K892" i="43"/>
  <c r="J892" i="43"/>
  <c r="I892" i="43"/>
  <c r="H892" i="43"/>
  <c r="G892" i="43"/>
  <c r="F892" i="43"/>
  <c r="E892" i="43"/>
  <c r="D891" i="43"/>
  <c r="C891" i="43"/>
  <c r="B891" i="43" s="1"/>
  <c r="D890" i="43"/>
  <c r="D892" i="43" s="1"/>
  <c r="C890" i="43"/>
  <c r="P889" i="43"/>
  <c r="O889" i="43"/>
  <c r="N889" i="43"/>
  <c r="M889" i="43"/>
  <c r="L889" i="43"/>
  <c r="K889" i="43"/>
  <c r="J889" i="43"/>
  <c r="I889" i="43"/>
  <c r="H889" i="43"/>
  <c r="G889" i="43"/>
  <c r="F889" i="43"/>
  <c r="E889" i="43"/>
  <c r="D888" i="43"/>
  <c r="C888" i="43"/>
  <c r="D887" i="43"/>
  <c r="D889" i="43" s="1"/>
  <c r="C887" i="43"/>
  <c r="C889" i="43" s="1"/>
  <c r="P886" i="43"/>
  <c r="O886" i="43"/>
  <c r="N886" i="43"/>
  <c r="M886" i="43"/>
  <c r="L886" i="43"/>
  <c r="K886" i="43"/>
  <c r="J886" i="43"/>
  <c r="I886" i="43"/>
  <c r="H886" i="43"/>
  <c r="G886" i="43"/>
  <c r="F886" i="43"/>
  <c r="E886" i="43"/>
  <c r="D885" i="43"/>
  <c r="C885" i="43"/>
  <c r="D884" i="43"/>
  <c r="D886" i="43" s="1"/>
  <c r="C884" i="43"/>
  <c r="B884" i="43" s="1"/>
  <c r="P883" i="43"/>
  <c r="O883" i="43"/>
  <c r="N883" i="43"/>
  <c r="M883" i="43"/>
  <c r="L883" i="43"/>
  <c r="K883" i="43"/>
  <c r="J883" i="43"/>
  <c r="I883" i="43"/>
  <c r="H883" i="43"/>
  <c r="G883" i="43"/>
  <c r="F883" i="43"/>
  <c r="E883" i="43"/>
  <c r="D882" i="43"/>
  <c r="C882" i="43"/>
  <c r="D881" i="43"/>
  <c r="D883" i="43" s="1"/>
  <c r="C881" i="43"/>
  <c r="C883" i="43" s="1"/>
  <c r="P880" i="43"/>
  <c r="O880" i="43"/>
  <c r="N880" i="43"/>
  <c r="M880" i="43"/>
  <c r="L880" i="43"/>
  <c r="K880" i="43"/>
  <c r="J880" i="43"/>
  <c r="I880" i="43"/>
  <c r="H880" i="43"/>
  <c r="G880" i="43"/>
  <c r="F880" i="43"/>
  <c r="E880" i="43"/>
  <c r="D879" i="43"/>
  <c r="C879" i="43"/>
  <c r="D878" i="43"/>
  <c r="C878" i="43"/>
  <c r="P877" i="43"/>
  <c r="O877" i="43"/>
  <c r="N877" i="43"/>
  <c r="M877" i="43"/>
  <c r="L877" i="43"/>
  <c r="K877" i="43"/>
  <c r="J877" i="43"/>
  <c r="I877" i="43"/>
  <c r="H877" i="43"/>
  <c r="G877" i="43"/>
  <c r="F877" i="43"/>
  <c r="E877" i="43"/>
  <c r="D877" i="43"/>
  <c r="C877" i="43"/>
  <c r="D876" i="43"/>
  <c r="C876" i="43"/>
  <c r="D875" i="43"/>
  <c r="C875" i="43"/>
  <c r="B875" i="43"/>
  <c r="P870" i="43"/>
  <c r="O870" i="43"/>
  <c r="N870" i="43"/>
  <c r="M870" i="43"/>
  <c r="L870" i="43"/>
  <c r="K870" i="43"/>
  <c r="J870" i="43"/>
  <c r="I870" i="43"/>
  <c r="H870" i="43"/>
  <c r="G870" i="43"/>
  <c r="F870" i="43"/>
  <c r="E870" i="43"/>
  <c r="P869" i="43"/>
  <c r="O869" i="43"/>
  <c r="N869" i="43"/>
  <c r="M869" i="43"/>
  <c r="L869" i="43"/>
  <c r="K869" i="43"/>
  <c r="J869" i="43"/>
  <c r="I869" i="43"/>
  <c r="H869" i="43"/>
  <c r="G869" i="43"/>
  <c r="F869" i="43"/>
  <c r="E869" i="43"/>
  <c r="P868" i="43"/>
  <c r="O868" i="43"/>
  <c r="N868" i="43"/>
  <c r="M868" i="43"/>
  <c r="L868" i="43"/>
  <c r="K868" i="43"/>
  <c r="J868" i="43"/>
  <c r="I868" i="43"/>
  <c r="H868" i="43"/>
  <c r="G868" i="43"/>
  <c r="F868" i="43"/>
  <c r="E868" i="43"/>
  <c r="D867" i="43"/>
  <c r="C867" i="43"/>
  <c r="D866" i="43"/>
  <c r="C866" i="43"/>
  <c r="P865" i="43"/>
  <c r="O865" i="43"/>
  <c r="N865" i="43"/>
  <c r="M865" i="43"/>
  <c r="L865" i="43"/>
  <c r="K865" i="43"/>
  <c r="J865" i="43"/>
  <c r="I865" i="43"/>
  <c r="H865" i="43"/>
  <c r="G865" i="43"/>
  <c r="F865" i="43"/>
  <c r="E865" i="43"/>
  <c r="D864" i="43"/>
  <c r="C864" i="43"/>
  <c r="D863" i="43"/>
  <c r="D865" i="43" s="1"/>
  <c r="C863" i="43"/>
  <c r="C865" i="43" s="1"/>
  <c r="P862" i="43"/>
  <c r="O862" i="43"/>
  <c r="N862" i="43"/>
  <c r="M862" i="43"/>
  <c r="L862" i="43"/>
  <c r="K862" i="43"/>
  <c r="J862" i="43"/>
  <c r="I862" i="43"/>
  <c r="H862" i="43"/>
  <c r="G862" i="43"/>
  <c r="F862" i="43"/>
  <c r="E862" i="43"/>
  <c r="D861" i="43"/>
  <c r="C861" i="43"/>
  <c r="B861" i="43" s="1"/>
  <c r="D860" i="43"/>
  <c r="D862" i="43" s="1"/>
  <c r="C860" i="43"/>
  <c r="P859" i="43"/>
  <c r="O859" i="43"/>
  <c r="N859" i="43"/>
  <c r="M859" i="43"/>
  <c r="L859" i="43"/>
  <c r="K859" i="43"/>
  <c r="J859" i="43"/>
  <c r="I859" i="43"/>
  <c r="H859" i="43"/>
  <c r="G859" i="43"/>
  <c r="F859" i="43"/>
  <c r="E859" i="43"/>
  <c r="D858" i="43"/>
  <c r="C858" i="43"/>
  <c r="D857" i="43"/>
  <c r="D859" i="43" s="1"/>
  <c r="C857" i="43"/>
  <c r="C859" i="43" s="1"/>
  <c r="P856" i="43"/>
  <c r="O856" i="43"/>
  <c r="N856" i="43"/>
  <c r="M856" i="43"/>
  <c r="L856" i="43"/>
  <c r="K856" i="43"/>
  <c r="J856" i="43"/>
  <c r="I856" i="43"/>
  <c r="H856" i="43"/>
  <c r="G856" i="43"/>
  <c r="F856" i="43"/>
  <c r="E856" i="43"/>
  <c r="D855" i="43"/>
  <c r="C855" i="43"/>
  <c r="D854" i="43"/>
  <c r="D856" i="43" s="1"/>
  <c r="C854" i="43"/>
  <c r="P853" i="43"/>
  <c r="O853" i="43"/>
  <c r="N853" i="43"/>
  <c r="M853" i="43"/>
  <c r="L853" i="43"/>
  <c r="K853" i="43"/>
  <c r="J853" i="43"/>
  <c r="I853" i="43"/>
  <c r="H853" i="43"/>
  <c r="G853" i="43"/>
  <c r="F853" i="43"/>
  <c r="E853" i="43"/>
  <c r="D852" i="43"/>
  <c r="C852" i="43"/>
  <c r="D851" i="43"/>
  <c r="D853" i="43" s="1"/>
  <c r="C851" i="43"/>
  <c r="C853" i="43" s="1"/>
  <c r="P850" i="43"/>
  <c r="O850" i="43"/>
  <c r="N850" i="43"/>
  <c r="M850" i="43"/>
  <c r="L850" i="43"/>
  <c r="K850" i="43"/>
  <c r="J850" i="43"/>
  <c r="I850" i="43"/>
  <c r="H850" i="43"/>
  <c r="G850" i="43"/>
  <c r="F850" i="43"/>
  <c r="E850" i="43"/>
  <c r="D849" i="43"/>
  <c r="C849" i="43"/>
  <c r="D848" i="43"/>
  <c r="D850" i="43" s="1"/>
  <c r="C848" i="43"/>
  <c r="P847" i="43"/>
  <c r="O847" i="43"/>
  <c r="N847" i="43"/>
  <c r="M847" i="43"/>
  <c r="L847" i="43"/>
  <c r="K847" i="43"/>
  <c r="J847" i="43"/>
  <c r="I847" i="43"/>
  <c r="H847" i="43"/>
  <c r="G847" i="43"/>
  <c r="F847" i="43"/>
  <c r="E847" i="43"/>
  <c r="D846" i="43"/>
  <c r="C846" i="43"/>
  <c r="D845" i="43"/>
  <c r="D847" i="43" s="1"/>
  <c r="C845" i="43"/>
  <c r="C847" i="43" s="1"/>
  <c r="B845" i="43"/>
  <c r="P840" i="43"/>
  <c r="O840" i="43"/>
  <c r="N840" i="43"/>
  <c r="M840" i="43"/>
  <c r="L840" i="43"/>
  <c r="K840" i="43"/>
  <c r="J840" i="43"/>
  <c r="I840" i="43"/>
  <c r="H840" i="43"/>
  <c r="G840" i="43"/>
  <c r="F840" i="43"/>
  <c r="E840" i="43"/>
  <c r="P839" i="43"/>
  <c r="O839" i="43"/>
  <c r="N839" i="43"/>
  <c r="M839" i="43"/>
  <c r="L839" i="43"/>
  <c r="K839" i="43"/>
  <c r="J839" i="43"/>
  <c r="I839" i="43"/>
  <c r="H839" i="43"/>
  <c r="G839" i="43"/>
  <c r="F839" i="43"/>
  <c r="E839" i="43"/>
  <c r="P838" i="43"/>
  <c r="O838" i="43"/>
  <c r="N838" i="43"/>
  <c r="M838" i="43"/>
  <c r="L838" i="43"/>
  <c r="K838" i="43"/>
  <c r="J838" i="43"/>
  <c r="I838" i="43"/>
  <c r="H838" i="43"/>
  <c r="G838" i="43"/>
  <c r="F838" i="43"/>
  <c r="E838" i="43"/>
  <c r="D837" i="43"/>
  <c r="C837" i="43"/>
  <c r="D836" i="43"/>
  <c r="D838" i="43" s="1"/>
  <c r="C836" i="43"/>
  <c r="B836" i="43" s="1"/>
  <c r="P835" i="43"/>
  <c r="O835" i="43"/>
  <c r="N835" i="43"/>
  <c r="M835" i="43"/>
  <c r="L835" i="43"/>
  <c r="K835" i="43"/>
  <c r="J835" i="43"/>
  <c r="I835" i="43"/>
  <c r="H835" i="43"/>
  <c r="G835" i="43"/>
  <c r="F835" i="43"/>
  <c r="E835" i="43"/>
  <c r="D834" i="43"/>
  <c r="C834" i="43"/>
  <c r="B834" i="43" s="1"/>
  <c r="D833" i="43"/>
  <c r="C833" i="43"/>
  <c r="C835" i="43" s="1"/>
  <c r="P832" i="43"/>
  <c r="O832" i="43"/>
  <c r="N832" i="43"/>
  <c r="M832" i="43"/>
  <c r="L832" i="43"/>
  <c r="K832" i="43"/>
  <c r="J832" i="43"/>
  <c r="I832" i="43"/>
  <c r="H832" i="43"/>
  <c r="G832" i="43"/>
  <c r="F832" i="43"/>
  <c r="E832" i="43"/>
  <c r="D831" i="43"/>
  <c r="C831" i="43"/>
  <c r="B831" i="43" s="1"/>
  <c r="D830" i="43"/>
  <c r="D832" i="43" s="1"/>
  <c r="C830" i="43"/>
  <c r="C832" i="43" s="1"/>
  <c r="P829" i="43"/>
  <c r="O829" i="43"/>
  <c r="N829" i="43"/>
  <c r="M829" i="43"/>
  <c r="L829" i="43"/>
  <c r="K829" i="43"/>
  <c r="J829" i="43"/>
  <c r="I829" i="43"/>
  <c r="H829" i="43"/>
  <c r="G829" i="43"/>
  <c r="F829" i="43"/>
  <c r="E829" i="43"/>
  <c r="D828" i="43"/>
  <c r="C828" i="43"/>
  <c r="B828" i="43" s="1"/>
  <c r="D827" i="43"/>
  <c r="C827" i="43"/>
  <c r="P826" i="43"/>
  <c r="O826" i="43"/>
  <c r="N826" i="43"/>
  <c r="M826" i="43"/>
  <c r="L826" i="43"/>
  <c r="K826" i="43"/>
  <c r="J826" i="43"/>
  <c r="I826" i="43"/>
  <c r="H826" i="43"/>
  <c r="G826" i="43"/>
  <c r="F826" i="43"/>
  <c r="E826" i="43"/>
  <c r="D825" i="43"/>
  <c r="C825" i="43"/>
  <c r="D824" i="43"/>
  <c r="D826" i="43" s="1"/>
  <c r="C824" i="43"/>
  <c r="C826" i="43" s="1"/>
  <c r="P823" i="43"/>
  <c r="O823" i="43"/>
  <c r="N823" i="43"/>
  <c r="M823" i="43"/>
  <c r="L823" i="43"/>
  <c r="K823" i="43"/>
  <c r="J823" i="43"/>
  <c r="I823" i="43"/>
  <c r="H823" i="43"/>
  <c r="G823" i="43"/>
  <c r="F823" i="43"/>
  <c r="E823" i="43"/>
  <c r="D822" i="43"/>
  <c r="C822" i="43"/>
  <c r="D821" i="43"/>
  <c r="C821" i="43"/>
  <c r="C823" i="43" s="1"/>
  <c r="P820" i="43"/>
  <c r="O820" i="43"/>
  <c r="N820" i="43"/>
  <c r="M820" i="43"/>
  <c r="L820" i="43"/>
  <c r="K820" i="43"/>
  <c r="J820" i="43"/>
  <c r="I820" i="43"/>
  <c r="H820" i="43"/>
  <c r="G820" i="43"/>
  <c r="F820" i="43"/>
  <c r="E820" i="43"/>
  <c r="D819" i="43"/>
  <c r="C819" i="43"/>
  <c r="D818" i="43"/>
  <c r="D820" i="43" s="1"/>
  <c r="C818" i="43"/>
  <c r="C820" i="43" s="1"/>
  <c r="P817" i="43"/>
  <c r="O817" i="43"/>
  <c r="N817" i="43"/>
  <c r="M817" i="43"/>
  <c r="L817" i="43"/>
  <c r="K817" i="43"/>
  <c r="J817" i="43"/>
  <c r="I817" i="43"/>
  <c r="H817" i="43"/>
  <c r="G817" i="43"/>
  <c r="F817" i="43"/>
  <c r="E817" i="43"/>
  <c r="D816" i="43"/>
  <c r="C816" i="43"/>
  <c r="B816" i="43"/>
  <c r="D815" i="43"/>
  <c r="C815" i="43"/>
  <c r="C817" i="43" s="1"/>
  <c r="P814" i="43"/>
  <c r="O814" i="43"/>
  <c r="N814" i="43"/>
  <c r="M814" i="43"/>
  <c r="L814" i="43"/>
  <c r="K814" i="43"/>
  <c r="J814" i="43"/>
  <c r="I814" i="43"/>
  <c r="H814" i="43"/>
  <c r="G814" i="43"/>
  <c r="F814" i="43"/>
  <c r="E814" i="43"/>
  <c r="D813" i="43"/>
  <c r="C813" i="43"/>
  <c r="B813" i="43" s="1"/>
  <c r="D812" i="43"/>
  <c r="D814" i="43" s="1"/>
  <c r="C812" i="43"/>
  <c r="B812" i="43" s="1"/>
  <c r="B814" i="43" s="1"/>
  <c r="P811" i="43"/>
  <c r="O811" i="43"/>
  <c r="N811" i="43"/>
  <c r="M811" i="43"/>
  <c r="L811" i="43"/>
  <c r="K811" i="43"/>
  <c r="J811" i="43"/>
  <c r="I811" i="43"/>
  <c r="H811" i="43"/>
  <c r="G811" i="43"/>
  <c r="F811" i="43"/>
  <c r="E811" i="43"/>
  <c r="D810" i="43"/>
  <c r="C810" i="43"/>
  <c r="B810" i="43" s="1"/>
  <c r="D809" i="43"/>
  <c r="D811" i="43" s="1"/>
  <c r="C809" i="43"/>
  <c r="P808" i="43"/>
  <c r="O808" i="43"/>
  <c r="N808" i="43"/>
  <c r="M808" i="43"/>
  <c r="L808" i="43"/>
  <c r="K808" i="43"/>
  <c r="J808" i="43"/>
  <c r="I808" i="43"/>
  <c r="H808" i="43"/>
  <c r="G808" i="43"/>
  <c r="F808" i="43"/>
  <c r="E808" i="43"/>
  <c r="D807" i="43"/>
  <c r="C807" i="43"/>
  <c r="D806" i="43"/>
  <c r="D808" i="43" s="1"/>
  <c r="C806" i="43"/>
  <c r="C808" i="43" s="1"/>
  <c r="P805" i="43"/>
  <c r="O805" i="43"/>
  <c r="N805" i="43"/>
  <c r="M805" i="43"/>
  <c r="L805" i="43"/>
  <c r="K805" i="43"/>
  <c r="J805" i="43"/>
  <c r="I805" i="43"/>
  <c r="H805" i="43"/>
  <c r="G805" i="43"/>
  <c r="F805" i="43"/>
  <c r="E805" i="43"/>
  <c r="D804" i="43"/>
  <c r="C804" i="43"/>
  <c r="D803" i="43"/>
  <c r="D805" i="43" s="1"/>
  <c r="C803" i="43"/>
  <c r="P802" i="43"/>
  <c r="O802" i="43"/>
  <c r="N802" i="43"/>
  <c r="M802" i="43"/>
  <c r="L802" i="43"/>
  <c r="K802" i="43"/>
  <c r="J802" i="43"/>
  <c r="I802" i="43"/>
  <c r="H802" i="43"/>
  <c r="G802" i="43"/>
  <c r="F802" i="43"/>
  <c r="E802" i="43"/>
  <c r="D801" i="43"/>
  <c r="C801" i="43"/>
  <c r="D800" i="43"/>
  <c r="D802" i="43" s="1"/>
  <c r="C800" i="43"/>
  <c r="C802" i="43" s="1"/>
  <c r="B800" i="43"/>
  <c r="P799" i="43"/>
  <c r="O799" i="43"/>
  <c r="N799" i="43"/>
  <c r="M799" i="43"/>
  <c r="L799" i="43"/>
  <c r="K799" i="43"/>
  <c r="J799" i="43"/>
  <c r="I799" i="43"/>
  <c r="H799" i="43"/>
  <c r="G799" i="43"/>
  <c r="F799" i="43"/>
  <c r="E799" i="43"/>
  <c r="D798" i="43"/>
  <c r="C798" i="43"/>
  <c r="B798" i="43" s="1"/>
  <c r="D797" i="43"/>
  <c r="D799" i="43" s="1"/>
  <c r="C797" i="43"/>
  <c r="P792" i="43"/>
  <c r="O792" i="43"/>
  <c r="N792" i="43"/>
  <c r="M792" i="43"/>
  <c r="L792" i="43"/>
  <c r="K792" i="43"/>
  <c r="J792" i="43"/>
  <c r="I792" i="43"/>
  <c r="H792" i="43"/>
  <c r="G792" i="43"/>
  <c r="F792" i="43"/>
  <c r="E792" i="43"/>
  <c r="D792" i="43"/>
  <c r="C792" i="43"/>
  <c r="B792" i="43" s="1"/>
  <c r="P791" i="43"/>
  <c r="O791" i="43"/>
  <c r="N791" i="43"/>
  <c r="M791" i="43"/>
  <c r="L791" i="43"/>
  <c r="K791" i="43"/>
  <c r="J791" i="43"/>
  <c r="I791" i="43"/>
  <c r="H791" i="43"/>
  <c r="G791" i="43"/>
  <c r="F791" i="43"/>
  <c r="E791" i="43"/>
  <c r="D791" i="43"/>
  <c r="C791" i="43"/>
  <c r="B791" i="43" s="1"/>
  <c r="P790" i="43"/>
  <c r="O790" i="43"/>
  <c r="N790" i="43"/>
  <c r="M790" i="43"/>
  <c r="L790" i="43"/>
  <c r="K790" i="43"/>
  <c r="J790" i="43"/>
  <c r="I790" i="43"/>
  <c r="H790" i="43"/>
  <c r="G790" i="43"/>
  <c r="F790" i="43"/>
  <c r="E790" i="43"/>
  <c r="D790" i="43"/>
  <c r="C790" i="43"/>
  <c r="B790" i="43" s="1"/>
  <c r="D789" i="43"/>
  <c r="C789" i="43"/>
  <c r="B789" i="43" s="1"/>
  <c r="D788" i="43"/>
  <c r="C788" i="43"/>
  <c r="B788" i="43" s="1"/>
  <c r="P787" i="43"/>
  <c r="O787" i="43"/>
  <c r="N787" i="43"/>
  <c r="M787" i="43"/>
  <c r="L787" i="43"/>
  <c r="K787" i="43"/>
  <c r="J787" i="43"/>
  <c r="I787" i="43"/>
  <c r="H787" i="43"/>
  <c r="G787" i="43"/>
  <c r="F787" i="43"/>
  <c r="E787" i="43"/>
  <c r="D787" i="43"/>
  <c r="C787" i="43"/>
  <c r="B787" i="43" s="1"/>
  <c r="D786" i="43"/>
  <c r="C786" i="43"/>
  <c r="D785" i="43"/>
  <c r="C785" i="43"/>
  <c r="B785" i="43" s="1"/>
  <c r="P784" i="43"/>
  <c r="O784" i="43"/>
  <c r="N784" i="43"/>
  <c r="M784" i="43"/>
  <c r="L784" i="43"/>
  <c r="K784" i="43"/>
  <c r="J784" i="43"/>
  <c r="I784" i="43"/>
  <c r="H784" i="43"/>
  <c r="G784" i="43"/>
  <c r="F784" i="43"/>
  <c r="E784" i="43"/>
  <c r="D784" i="43"/>
  <c r="C784" i="43"/>
  <c r="D783" i="43"/>
  <c r="C783" i="43"/>
  <c r="D782" i="43"/>
  <c r="C782" i="43"/>
  <c r="P781" i="43"/>
  <c r="O781" i="43"/>
  <c r="N781" i="43"/>
  <c r="M781" i="43"/>
  <c r="L781" i="43"/>
  <c r="K781" i="43"/>
  <c r="J781" i="43"/>
  <c r="I781" i="43"/>
  <c r="H781" i="43"/>
  <c r="G781" i="43"/>
  <c r="F781" i="43"/>
  <c r="E781" i="43"/>
  <c r="D781" i="43"/>
  <c r="C781" i="43"/>
  <c r="B781" i="43" s="1"/>
  <c r="D780" i="43"/>
  <c r="C780" i="43"/>
  <c r="B780" i="43" s="1"/>
  <c r="D779" i="43"/>
  <c r="C779" i="43"/>
  <c r="P778" i="43"/>
  <c r="O778" i="43"/>
  <c r="N778" i="43"/>
  <c r="M778" i="43"/>
  <c r="L778" i="43"/>
  <c r="K778" i="43"/>
  <c r="J778" i="43"/>
  <c r="I778" i="43"/>
  <c r="H778" i="43"/>
  <c r="G778" i="43"/>
  <c r="F778" i="43"/>
  <c r="E778" i="43"/>
  <c r="D778" i="43"/>
  <c r="C778" i="43"/>
  <c r="B778" i="43" s="1"/>
  <c r="D777" i="43"/>
  <c r="C777" i="43"/>
  <c r="D776" i="43"/>
  <c r="C776" i="43"/>
  <c r="P775" i="43"/>
  <c r="O775" i="43"/>
  <c r="N775" i="43"/>
  <c r="M775" i="43"/>
  <c r="L775" i="43"/>
  <c r="K775" i="43"/>
  <c r="J775" i="43"/>
  <c r="I775" i="43"/>
  <c r="H775" i="43"/>
  <c r="G775" i="43"/>
  <c r="F775" i="43"/>
  <c r="E775" i="43"/>
  <c r="D775" i="43"/>
  <c r="C775" i="43"/>
  <c r="B775" i="43"/>
  <c r="D774" i="43"/>
  <c r="C774" i="43"/>
  <c r="B774" i="43" s="1"/>
  <c r="D773" i="43"/>
  <c r="C773" i="43"/>
  <c r="B773" i="43" s="1"/>
  <c r="P772" i="43"/>
  <c r="O772" i="43"/>
  <c r="N772" i="43"/>
  <c r="M772" i="43"/>
  <c r="L772" i="43"/>
  <c r="K772" i="43"/>
  <c r="J772" i="43"/>
  <c r="I772" i="43"/>
  <c r="H772" i="43"/>
  <c r="G772" i="43"/>
  <c r="F772" i="43"/>
  <c r="E772" i="43"/>
  <c r="D772" i="43"/>
  <c r="C772" i="43"/>
  <c r="D771" i="43"/>
  <c r="C771" i="43"/>
  <c r="B771" i="43" s="1"/>
  <c r="D770" i="43"/>
  <c r="C770" i="43"/>
  <c r="B770" i="43" s="1"/>
  <c r="P769" i="43"/>
  <c r="O769" i="43"/>
  <c r="N769" i="43"/>
  <c r="M769" i="43"/>
  <c r="L769" i="43"/>
  <c r="K769" i="43"/>
  <c r="J769" i="43"/>
  <c r="I769" i="43"/>
  <c r="H769" i="43"/>
  <c r="G769" i="43"/>
  <c r="F769" i="43"/>
  <c r="E769" i="43"/>
  <c r="D769" i="43"/>
  <c r="C769" i="43"/>
  <c r="B769" i="43" s="1"/>
  <c r="D768" i="43"/>
  <c r="C768" i="43"/>
  <c r="B768" i="43" s="1"/>
  <c r="D767" i="43"/>
  <c r="C767" i="43"/>
  <c r="P762" i="43"/>
  <c r="O762" i="43"/>
  <c r="N762" i="43"/>
  <c r="M762" i="43"/>
  <c r="L762" i="43"/>
  <c r="K762" i="43"/>
  <c r="J762" i="43"/>
  <c r="I762" i="43"/>
  <c r="H762" i="43"/>
  <c r="G762" i="43"/>
  <c r="F762" i="43"/>
  <c r="E762" i="43"/>
  <c r="P761" i="43"/>
  <c r="O761" i="43"/>
  <c r="N761" i="43"/>
  <c r="M761" i="43"/>
  <c r="L761" i="43"/>
  <c r="K761" i="43"/>
  <c r="J761" i="43"/>
  <c r="I761" i="43"/>
  <c r="H761" i="43"/>
  <c r="G761" i="43"/>
  <c r="F761" i="43"/>
  <c r="E761" i="43"/>
  <c r="P760" i="43"/>
  <c r="O760" i="43"/>
  <c r="N760" i="43"/>
  <c r="M760" i="43"/>
  <c r="L760" i="43"/>
  <c r="K760" i="43"/>
  <c r="J760" i="43"/>
  <c r="I760" i="43"/>
  <c r="H760" i="43"/>
  <c r="G760" i="43"/>
  <c r="F760" i="43"/>
  <c r="E760" i="43"/>
  <c r="D759" i="43"/>
  <c r="C759" i="43"/>
  <c r="B759" i="43"/>
  <c r="D758" i="43"/>
  <c r="C758" i="43"/>
  <c r="P757" i="43"/>
  <c r="O757" i="43"/>
  <c r="N757" i="43"/>
  <c r="M757" i="43"/>
  <c r="L757" i="43"/>
  <c r="K757" i="43"/>
  <c r="J757" i="43"/>
  <c r="I757" i="43"/>
  <c r="H757" i="43"/>
  <c r="G757" i="43"/>
  <c r="F757" i="43"/>
  <c r="E757" i="43"/>
  <c r="D756" i="43"/>
  <c r="C756" i="43"/>
  <c r="B756" i="43" s="1"/>
  <c r="D755" i="43"/>
  <c r="D757" i="43" s="1"/>
  <c r="C755" i="43"/>
  <c r="C757" i="43" s="1"/>
  <c r="P754" i="43"/>
  <c r="O754" i="43"/>
  <c r="N754" i="43"/>
  <c r="M754" i="43"/>
  <c r="L754" i="43"/>
  <c r="K754" i="43"/>
  <c r="J754" i="43"/>
  <c r="I754" i="43"/>
  <c r="H754" i="43"/>
  <c r="G754" i="43"/>
  <c r="F754" i="43"/>
  <c r="E754" i="43"/>
  <c r="D753" i="43"/>
  <c r="C753" i="43"/>
  <c r="D752" i="43"/>
  <c r="D754" i="43" s="1"/>
  <c r="C752" i="43"/>
  <c r="C754" i="43" s="1"/>
  <c r="P751" i="43"/>
  <c r="O751" i="43"/>
  <c r="N751" i="43"/>
  <c r="M751" i="43"/>
  <c r="L751" i="43"/>
  <c r="K751" i="43"/>
  <c r="J751" i="43"/>
  <c r="I751" i="43"/>
  <c r="H751" i="43"/>
  <c r="G751" i="43"/>
  <c r="F751" i="43"/>
  <c r="E751" i="43"/>
  <c r="D750" i="43"/>
  <c r="C750" i="43"/>
  <c r="D749" i="43"/>
  <c r="D751" i="43" s="1"/>
  <c r="C749" i="43"/>
  <c r="B749" i="43" s="1"/>
  <c r="P748" i="43"/>
  <c r="O748" i="43"/>
  <c r="N748" i="43"/>
  <c r="M748" i="43"/>
  <c r="L748" i="43"/>
  <c r="K748" i="43"/>
  <c r="J748" i="43"/>
  <c r="I748" i="43"/>
  <c r="H748" i="43"/>
  <c r="G748" i="43"/>
  <c r="F748" i="43"/>
  <c r="E748" i="43"/>
  <c r="D747" i="43"/>
  <c r="C747" i="43"/>
  <c r="D746" i="43"/>
  <c r="D748" i="43" s="1"/>
  <c r="C746" i="43"/>
  <c r="B746" i="43" s="1"/>
  <c r="P745" i="43"/>
  <c r="O745" i="43"/>
  <c r="N745" i="43"/>
  <c r="M745" i="43"/>
  <c r="L745" i="43"/>
  <c r="K745" i="43"/>
  <c r="J745" i="43"/>
  <c r="I745" i="43"/>
  <c r="H745" i="43"/>
  <c r="G745" i="43"/>
  <c r="F745" i="43"/>
  <c r="E745" i="43"/>
  <c r="D744" i="43"/>
  <c r="C744" i="43"/>
  <c r="D743" i="43"/>
  <c r="D745" i="43" s="1"/>
  <c r="C743" i="43"/>
  <c r="C745" i="43" s="1"/>
  <c r="P742" i="43"/>
  <c r="O742" i="43"/>
  <c r="N742" i="43"/>
  <c r="M742" i="43"/>
  <c r="L742" i="43"/>
  <c r="K742" i="43"/>
  <c r="J742" i="43"/>
  <c r="I742" i="43"/>
  <c r="H742" i="43"/>
  <c r="G742" i="43"/>
  <c r="F742" i="43"/>
  <c r="E742" i="43"/>
  <c r="D741" i="43"/>
  <c r="C741" i="43"/>
  <c r="B741" i="43"/>
  <c r="D740" i="43"/>
  <c r="C740" i="43"/>
  <c r="B740" i="43" s="1"/>
  <c r="B742" i="43" s="1"/>
  <c r="P739" i="43"/>
  <c r="O739" i="43"/>
  <c r="N739" i="43"/>
  <c r="M739" i="43"/>
  <c r="L739" i="43"/>
  <c r="K739" i="43"/>
  <c r="J739" i="43"/>
  <c r="I739" i="43"/>
  <c r="H739" i="43"/>
  <c r="G739" i="43"/>
  <c r="F739" i="43"/>
  <c r="E739" i="43"/>
  <c r="D738" i="43"/>
  <c r="C738" i="43"/>
  <c r="B738" i="43" s="1"/>
  <c r="D737" i="43"/>
  <c r="D739" i="43" s="1"/>
  <c r="C737" i="43"/>
  <c r="C739" i="43" s="1"/>
  <c r="P736" i="43"/>
  <c r="O736" i="43"/>
  <c r="N736" i="43"/>
  <c r="M736" i="43"/>
  <c r="L736" i="43"/>
  <c r="K736" i="43"/>
  <c r="J736" i="43"/>
  <c r="I736" i="43"/>
  <c r="H736" i="43"/>
  <c r="G736" i="43"/>
  <c r="F736" i="43"/>
  <c r="E736" i="43"/>
  <c r="D735" i="43"/>
  <c r="C735" i="43"/>
  <c r="B735" i="43" s="1"/>
  <c r="D734" i="43"/>
  <c r="C734" i="43"/>
  <c r="P733" i="43"/>
  <c r="O733" i="43"/>
  <c r="N733" i="43"/>
  <c r="M733" i="43"/>
  <c r="L733" i="43"/>
  <c r="K733" i="43"/>
  <c r="J733" i="43"/>
  <c r="I733" i="43"/>
  <c r="H733" i="43"/>
  <c r="G733" i="43"/>
  <c r="F733" i="43"/>
  <c r="E733" i="43"/>
  <c r="D732" i="43"/>
  <c r="C732" i="43"/>
  <c r="D731" i="43"/>
  <c r="D733" i="43" s="1"/>
  <c r="C731" i="43"/>
  <c r="C733" i="43" s="1"/>
  <c r="P730" i="43"/>
  <c r="O730" i="43"/>
  <c r="N730" i="43"/>
  <c r="M730" i="43"/>
  <c r="L730" i="43"/>
  <c r="K730" i="43"/>
  <c r="J730" i="43"/>
  <c r="I730" i="43"/>
  <c r="H730" i="43"/>
  <c r="G730" i="43"/>
  <c r="F730" i="43"/>
  <c r="E730" i="43"/>
  <c r="D729" i="43"/>
  <c r="C729" i="43"/>
  <c r="B729" i="43"/>
  <c r="D728" i="43"/>
  <c r="C728" i="43"/>
  <c r="B728" i="43" s="1"/>
  <c r="B730" i="43" s="1"/>
  <c r="P727" i="43"/>
  <c r="O727" i="43"/>
  <c r="N727" i="43"/>
  <c r="M727" i="43"/>
  <c r="L727" i="43"/>
  <c r="K727" i="43"/>
  <c r="J727" i="43"/>
  <c r="I727" i="43"/>
  <c r="H727" i="43"/>
  <c r="G727" i="43"/>
  <c r="F727" i="43"/>
  <c r="E727" i="43"/>
  <c r="D726" i="43"/>
  <c r="C726" i="43"/>
  <c r="B726" i="43" s="1"/>
  <c r="D725" i="43"/>
  <c r="D727" i="43" s="1"/>
  <c r="C725" i="43"/>
  <c r="C727" i="43" s="1"/>
  <c r="P724" i="43"/>
  <c r="O724" i="43"/>
  <c r="N724" i="43"/>
  <c r="M724" i="43"/>
  <c r="L724" i="43"/>
  <c r="K724" i="43"/>
  <c r="J724" i="43"/>
  <c r="I724" i="43"/>
  <c r="H724" i="43"/>
  <c r="G724" i="43"/>
  <c r="F724" i="43"/>
  <c r="E724" i="43"/>
  <c r="D723" i="43"/>
  <c r="C723" i="43"/>
  <c r="B723" i="43" s="1"/>
  <c r="D722" i="43"/>
  <c r="C722" i="43"/>
  <c r="P721" i="43"/>
  <c r="O721" i="43"/>
  <c r="N721" i="43"/>
  <c r="M721" i="43"/>
  <c r="L721" i="43"/>
  <c r="K721" i="43"/>
  <c r="J721" i="43"/>
  <c r="I721" i="43"/>
  <c r="H721" i="43"/>
  <c r="G721" i="43"/>
  <c r="F721" i="43"/>
  <c r="E721" i="43"/>
  <c r="D721" i="43"/>
  <c r="C721" i="43"/>
  <c r="D720" i="43"/>
  <c r="C720" i="43"/>
  <c r="D719" i="43"/>
  <c r="C719" i="43"/>
  <c r="B719" i="43" s="1"/>
  <c r="P714" i="43"/>
  <c r="O714" i="43"/>
  <c r="N714" i="43"/>
  <c r="M714" i="43"/>
  <c r="L714" i="43"/>
  <c r="K714" i="43"/>
  <c r="J714" i="43"/>
  <c r="I714" i="43"/>
  <c r="H714" i="43"/>
  <c r="G714" i="43"/>
  <c r="F714" i="43"/>
  <c r="E714" i="43"/>
  <c r="P713" i="43"/>
  <c r="O713" i="43"/>
  <c r="N713" i="43"/>
  <c r="M713" i="43"/>
  <c r="L713" i="43"/>
  <c r="K713" i="43"/>
  <c r="J713" i="43"/>
  <c r="I713" i="43"/>
  <c r="H713" i="43"/>
  <c r="G713" i="43"/>
  <c r="F713" i="43"/>
  <c r="E713" i="43"/>
  <c r="P712" i="43"/>
  <c r="O712" i="43"/>
  <c r="N712" i="43"/>
  <c r="M712" i="43"/>
  <c r="L712" i="43"/>
  <c r="K712" i="43"/>
  <c r="J712" i="43"/>
  <c r="I712" i="43"/>
  <c r="H712" i="43"/>
  <c r="G712" i="43"/>
  <c r="F712" i="43"/>
  <c r="E712" i="43"/>
  <c r="D711" i="43"/>
  <c r="C711" i="43"/>
  <c r="D710" i="43"/>
  <c r="D712" i="43" s="1"/>
  <c r="C710" i="43"/>
  <c r="C712" i="43" s="1"/>
  <c r="P709" i="43"/>
  <c r="O709" i="43"/>
  <c r="N709" i="43"/>
  <c r="M709" i="43"/>
  <c r="L709" i="43"/>
  <c r="K709" i="43"/>
  <c r="J709" i="43"/>
  <c r="I709" i="43"/>
  <c r="H709" i="43"/>
  <c r="G709" i="43"/>
  <c r="F709" i="43"/>
  <c r="E709" i="43"/>
  <c r="D708" i="43"/>
  <c r="C708" i="43"/>
  <c r="D707" i="43"/>
  <c r="C707" i="43"/>
  <c r="P706" i="43"/>
  <c r="O706" i="43"/>
  <c r="N706" i="43"/>
  <c r="M706" i="43"/>
  <c r="L706" i="43"/>
  <c r="K706" i="43"/>
  <c r="J706" i="43"/>
  <c r="I706" i="43"/>
  <c r="H706" i="43"/>
  <c r="G706" i="43"/>
  <c r="F706" i="43"/>
  <c r="E706" i="43"/>
  <c r="D705" i="43"/>
  <c r="C705" i="43"/>
  <c r="D704" i="43"/>
  <c r="D706" i="43" s="1"/>
  <c r="C704" i="43"/>
  <c r="C706" i="43" s="1"/>
  <c r="P703" i="43"/>
  <c r="P715" i="43" s="1"/>
  <c r="O703" i="43"/>
  <c r="N703" i="43"/>
  <c r="N715" i="43" s="1"/>
  <c r="M703" i="43"/>
  <c r="L703" i="43"/>
  <c r="L715" i="43" s="1"/>
  <c r="K703" i="43"/>
  <c r="J703" i="43"/>
  <c r="J715" i="43" s="1"/>
  <c r="I703" i="43"/>
  <c r="H703" i="43"/>
  <c r="H715" i="43" s="1"/>
  <c r="G703" i="43"/>
  <c r="F703" i="43"/>
  <c r="F715" i="43" s="1"/>
  <c r="E703" i="43"/>
  <c r="D702" i="43"/>
  <c r="D714" i="43" s="1"/>
  <c r="C702" i="43"/>
  <c r="B702" i="43"/>
  <c r="D701" i="43"/>
  <c r="C701" i="43"/>
  <c r="B701" i="43" s="1"/>
  <c r="P696" i="43"/>
  <c r="O696" i="43"/>
  <c r="N696" i="43"/>
  <c r="M696" i="43"/>
  <c r="L696" i="43"/>
  <c r="K696" i="43"/>
  <c r="J696" i="43"/>
  <c r="I696" i="43"/>
  <c r="H696" i="43"/>
  <c r="G696" i="43"/>
  <c r="F696" i="43"/>
  <c r="E696" i="43"/>
  <c r="P695" i="43"/>
  <c r="O695" i="43"/>
  <c r="N695" i="43"/>
  <c r="M695" i="43"/>
  <c r="L695" i="43"/>
  <c r="K695" i="43"/>
  <c r="J695" i="43"/>
  <c r="I695" i="43"/>
  <c r="H695" i="43"/>
  <c r="G695" i="43"/>
  <c r="F695" i="43"/>
  <c r="E695" i="43"/>
  <c r="P694" i="43"/>
  <c r="O694" i="43"/>
  <c r="N694" i="43"/>
  <c r="M694" i="43"/>
  <c r="L694" i="43"/>
  <c r="K694" i="43"/>
  <c r="J694" i="43"/>
  <c r="I694" i="43"/>
  <c r="H694" i="43"/>
  <c r="G694" i="43"/>
  <c r="F694" i="43"/>
  <c r="E694" i="43"/>
  <c r="D693" i="43"/>
  <c r="C693" i="43"/>
  <c r="D692" i="43"/>
  <c r="D694" i="43" s="1"/>
  <c r="C692" i="43"/>
  <c r="P691" i="43"/>
  <c r="O691" i="43"/>
  <c r="N691" i="43"/>
  <c r="M691" i="43"/>
  <c r="L691" i="43"/>
  <c r="K691" i="43"/>
  <c r="J691" i="43"/>
  <c r="I691" i="43"/>
  <c r="H691" i="43"/>
  <c r="G691" i="43"/>
  <c r="F691" i="43"/>
  <c r="E691" i="43"/>
  <c r="D690" i="43"/>
  <c r="C690" i="43"/>
  <c r="B690" i="43" s="1"/>
  <c r="D689" i="43"/>
  <c r="C689" i="43"/>
  <c r="C691" i="43" s="1"/>
  <c r="P688" i="43"/>
  <c r="O688" i="43"/>
  <c r="N688" i="43"/>
  <c r="M688" i="43"/>
  <c r="L688" i="43"/>
  <c r="K688" i="43"/>
  <c r="J688" i="43"/>
  <c r="I688" i="43"/>
  <c r="H688" i="43"/>
  <c r="G688" i="43"/>
  <c r="F688" i="43"/>
  <c r="E688" i="43"/>
  <c r="D687" i="43"/>
  <c r="C687" i="43"/>
  <c r="B687" i="43" s="1"/>
  <c r="D686" i="43"/>
  <c r="D688" i="43" s="1"/>
  <c r="C686" i="43"/>
  <c r="C688" i="43" s="1"/>
  <c r="P685" i="43"/>
  <c r="O685" i="43"/>
  <c r="N685" i="43"/>
  <c r="M685" i="43"/>
  <c r="L685" i="43"/>
  <c r="K685" i="43"/>
  <c r="J685" i="43"/>
  <c r="I685" i="43"/>
  <c r="H685" i="43"/>
  <c r="G685" i="43"/>
  <c r="F685" i="43"/>
  <c r="E685" i="43"/>
  <c r="D684" i="43"/>
  <c r="C684" i="43"/>
  <c r="B684" i="43" s="1"/>
  <c r="D683" i="43"/>
  <c r="C683" i="43"/>
  <c r="P682" i="43"/>
  <c r="O682" i="43"/>
  <c r="N682" i="43"/>
  <c r="M682" i="43"/>
  <c r="L682" i="43"/>
  <c r="K682" i="43"/>
  <c r="J682" i="43"/>
  <c r="I682" i="43"/>
  <c r="H682" i="43"/>
  <c r="G682" i="43"/>
  <c r="F682" i="43"/>
  <c r="E682" i="43"/>
  <c r="D681" i="43"/>
  <c r="C681" i="43"/>
  <c r="D680" i="43"/>
  <c r="D682" i="43" s="1"/>
  <c r="C680" i="43"/>
  <c r="C682" i="43" s="1"/>
  <c r="P679" i="43"/>
  <c r="O679" i="43"/>
  <c r="N679" i="43"/>
  <c r="M679" i="43"/>
  <c r="L679" i="43"/>
  <c r="K679" i="43"/>
  <c r="J679" i="43"/>
  <c r="I679" i="43"/>
  <c r="H679" i="43"/>
  <c r="G679" i="43"/>
  <c r="F679" i="43"/>
  <c r="E679" i="43"/>
  <c r="D678" i="43"/>
  <c r="C678" i="43"/>
  <c r="B678" i="43" s="1"/>
  <c r="D677" i="43"/>
  <c r="C677" i="43"/>
  <c r="C679" i="43" s="1"/>
  <c r="P676" i="43"/>
  <c r="O676" i="43"/>
  <c r="N676" i="43"/>
  <c r="M676" i="43"/>
  <c r="L676" i="43"/>
  <c r="K676" i="43"/>
  <c r="J676" i="43"/>
  <c r="I676" i="43"/>
  <c r="H676" i="43"/>
  <c r="G676" i="43"/>
  <c r="F676" i="43"/>
  <c r="E676" i="43"/>
  <c r="D675" i="43"/>
  <c r="C675" i="43"/>
  <c r="B675" i="43" s="1"/>
  <c r="D674" i="43"/>
  <c r="D676" i="43" s="1"/>
  <c r="C674" i="43"/>
  <c r="C676" i="43" s="1"/>
  <c r="P673" i="43"/>
  <c r="O673" i="43"/>
  <c r="N673" i="43"/>
  <c r="M673" i="43"/>
  <c r="L673" i="43"/>
  <c r="K673" i="43"/>
  <c r="J673" i="43"/>
  <c r="I673" i="43"/>
  <c r="H673" i="43"/>
  <c r="G673" i="43"/>
  <c r="F673" i="43"/>
  <c r="E673" i="43"/>
  <c r="D672" i="43"/>
  <c r="C672" i="43"/>
  <c r="B672" i="43" s="1"/>
  <c r="D671" i="43"/>
  <c r="C671" i="43"/>
  <c r="C673" i="43" s="1"/>
  <c r="P670" i="43"/>
  <c r="O670" i="43"/>
  <c r="N670" i="43"/>
  <c r="M670" i="43"/>
  <c r="L670" i="43"/>
  <c r="K670" i="43"/>
  <c r="J670" i="43"/>
  <c r="I670" i="43"/>
  <c r="H670" i="43"/>
  <c r="G670" i="43"/>
  <c r="F670" i="43"/>
  <c r="E670" i="43"/>
  <c r="D669" i="43"/>
  <c r="C669" i="43"/>
  <c r="B669" i="43" s="1"/>
  <c r="D668" i="43"/>
  <c r="D670" i="43" s="1"/>
  <c r="C668" i="43"/>
  <c r="C670" i="43" s="1"/>
  <c r="P667" i="43"/>
  <c r="O667" i="43"/>
  <c r="N667" i="43"/>
  <c r="M667" i="43"/>
  <c r="L667" i="43"/>
  <c r="K667" i="43"/>
  <c r="J667" i="43"/>
  <c r="I667" i="43"/>
  <c r="H667" i="43"/>
  <c r="G667" i="43"/>
  <c r="F667" i="43"/>
  <c r="E667" i="43"/>
  <c r="D666" i="43"/>
  <c r="C666" i="43"/>
  <c r="D665" i="43"/>
  <c r="D667" i="43" s="1"/>
  <c r="C665" i="43"/>
  <c r="C667" i="43" s="1"/>
  <c r="P664" i="43"/>
  <c r="O664" i="43"/>
  <c r="N664" i="43"/>
  <c r="M664" i="43"/>
  <c r="L664" i="43"/>
  <c r="K664" i="43"/>
  <c r="J664" i="43"/>
  <c r="I664" i="43"/>
  <c r="H664" i="43"/>
  <c r="G664" i="43"/>
  <c r="F664" i="43"/>
  <c r="E664" i="43"/>
  <c r="D664" i="43"/>
  <c r="C664" i="43"/>
  <c r="D663" i="43"/>
  <c r="C663" i="43"/>
  <c r="D662" i="43"/>
  <c r="C662" i="43"/>
  <c r="P657" i="43"/>
  <c r="O657" i="43"/>
  <c r="N657" i="43"/>
  <c r="M657" i="43"/>
  <c r="L657" i="43"/>
  <c r="K657" i="43"/>
  <c r="J657" i="43"/>
  <c r="I657" i="43"/>
  <c r="H657" i="43"/>
  <c r="G657" i="43"/>
  <c r="F657" i="43"/>
  <c r="E657" i="43"/>
  <c r="P656" i="43"/>
  <c r="O656" i="43"/>
  <c r="N656" i="43"/>
  <c r="M656" i="43"/>
  <c r="L656" i="43"/>
  <c r="K656" i="43"/>
  <c r="J656" i="43"/>
  <c r="I656" i="43"/>
  <c r="H656" i="43"/>
  <c r="G656" i="43"/>
  <c r="F656" i="43"/>
  <c r="E656" i="43"/>
  <c r="P655" i="43"/>
  <c r="O655" i="43"/>
  <c r="N655" i="43"/>
  <c r="M655" i="43"/>
  <c r="L655" i="43"/>
  <c r="K655" i="43"/>
  <c r="J655" i="43"/>
  <c r="I655" i="43"/>
  <c r="H655" i="43"/>
  <c r="G655" i="43"/>
  <c r="F655" i="43"/>
  <c r="E655" i="43"/>
  <c r="D654" i="43"/>
  <c r="C654" i="43"/>
  <c r="D653" i="43"/>
  <c r="D655" i="43" s="1"/>
  <c r="C653" i="43"/>
  <c r="B653" i="43"/>
  <c r="P652" i="43"/>
  <c r="O652" i="43"/>
  <c r="N652" i="43"/>
  <c r="M652" i="43"/>
  <c r="L652" i="43"/>
  <c r="K652" i="43"/>
  <c r="J652" i="43"/>
  <c r="I652" i="43"/>
  <c r="H652" i="43"/>
  <c r="G652" i="43"/>
  <c r="F652" i="43"/>
  <c r="E652" i="43"/>
  <c r="D651" i="43"/>
  <c r="C651" i="43"/>
  <c r="B651" i="43" s="1"/>
  <c r="D650" i="43"/>
  <c r="D652" i="43" s="1"/>
  <c r="C650" i="43"/>
  <c r="P649" i="43"/>
  <c r="O649" i="43"/>
  <c r="N649" i="43"/>
  <c r="M649" i="43"/>
  <c r="L649" i="43"/>
  <c r="K649" i="43"/>
  <c r="J649" i="43"/>
  <c r="I649" i="43"/>
  <c r="H649" i="43"/>
  <c r="G649" i="43"/>
  <c r="F649" i="43"/>
  <c r="E649" i="43"/>
  <c r="D648" i="43"/>
  <c r="C648" i="43"/>
  <c r="D647" i="43"/>
  <c r="D649" i="43" s="1"/>
  <c r="C647" i="43"/>
  <c r="C649" i="43" s="1"/>
  <c r="P646" i="43"/>
  <c r="O646" i="43"/>
  <c r="N646" i="43"/>
  <c r="M646" i="43"/>
  <c r="L646" i="43"/>
  <c r="K646" i="43"/>
  <c r="J646" i="43"/>
  <c r="I646" i="43"/>
  <c r="H646" i="43"/>
  <c r="G646" i="43"/>
  <c r="F646" i="43"/>
  <c r="E646" i="43"/>
  <c r="D645" i="43"/>
  <c r="C645" i="43"/>
  <c r="D644" i="43"/>
  <c r="D646" i="43" s="1"/>
  <c r="C644" i="43"/>
  <c r="P643" i="43"/>
  <c r="O643" i="43"/>
  <c r="N643" i="43"/>
  <c r="M643" i="43"/>
  <c r="L643" i="43"/>
  <c r="K643" i="43"/>
  <c r="J643" i="43"/>
  <c r="I643" i="43"/>
  <c r="H643" i="43"/>
  <c r="G643" i="43"/>
  <c r="F643" i="43"/>
  <c r="E643" i="43"/>
  <c r="D642" i="43"/>
  <c r="C642" i="43"/>
  <c r="D641" i="43"/>
  <c r="D643" i="43" s="1"/>
  <c r="C641" i="43"/>
  <c r="C643" i="43" s="1"/>
  <c r="B641" i="43"/>
  <c r="P640" i="43"/>
  <c r="O640" i="43"/>
  <c r="N640" i="43"/>
  <c r="M640" i="43"/>
  <c r="L640" i="43"/>
  <c r="K640" i="43"/>
  <c r="J640" i="43"/>
  <c r="I640" i="43"/>
  <c r="H640" i="43"/>
  <c r="G640" i="43"/>
  <c r="F640" i="43"/>
  <c r="E640" i="43"/>
  <c r="D639" i="43"/>
  <c r="C639" i="43"/>
  <c r="B639" i="43" s="1"/>
  <c r="D638" i="43"/>
  <c r="D640" i="43" s="1"/>
  <c r="C638" i="43"/>
  <c r="P637" i="43"/>
  <c r="O637" i="43"/>
  <c r="N637" i="43"/>
  <c r="M637" i="43"/>
  <c r="L637" i="43"/>
  <c r="K637" i="43"/>
  <c r="J637" i="43"/>
  <c r="I637" i="43"/>
  <c r="H637" i="43"/>
  <c r="G637" i="43"/>
  <c r="F637" i="43"/>
  <c r="E637" i="43"/>
  <c r="D637" i="43"/>
  <c r="C637" i="43"/>
  <c r="B637" i="43" s="1"/>
  <c r="D636" i="43"/>
  <c r="C636" i="43"/>
  <c r="D635" i="43"/>
  <c r="C635" i="43"/>
  <c r="P630" i="43"/>
  <c r="O630" i="43"/>
  <c r="N630" i="43"/>
  <c r="M630" i="43"/>
  <c r="L630" i="43"/>
  <c r="K630" i="43"/>
  <c r="J630" i="43"/>
  <c r="I630" i="43"/>
  <c r="H630" i="43"/>
  <c r="G630" i="43"/>
  <c r="F630" i="43"/>
  <c r="E630" i="43"/>
  <c r="P629" i="43"/>
  <c r="O629" i="43"/>
  <c r="N629" i="43"/>
  <c r="M629" i="43"/>
  <c r="L629" i="43"/>
  <c r="K629" i="43"/>
  <c r="J629" i="43"/>
  <c r="I629" i="43"/>
  <c r="H629" i="43"/>
  <c r="G629" i="43"/>
  <c r="F629" i="43"/>
  <c r="E629" i="43"/>
  <c r="P628" i="43"/>
  <c r="O628" i="43"/>
  <c r="N628" i="43"/>
  <c r="M628" i="43"/>
  <c r="L628" i="43"/>
  <c r="K628" i="43"/>
  <c r="J628" i="43"/>
  <c r="I628" i="43"/>
  <c r="H628" i="43"/>
  <c r="G628" i="43"/>
  <c r="F628" i="43"/>
  <c r="E628" i="43"/>
  <c r="D627" i="43"/>
  <c r="C627" i="43"/>
  <c r="B627" i="43" s="1"/>
  <c r="D626" i="43"/>
  <c r="D628" i="43" s="1"/>
  <c r="C626" i="43"/>
  <c r="C628" i="43" s="1"/>
  <c r="B626" i="43"/>
  <c r="P625" i="43"/>
  <c r="O625" i="43"/>
  <c r="N625" i="43"/>
  <c r="M625" i="43"/>
  <c r="L625" i="43"/>
  <c r="K625" i="43"/>
  <c r="J625" i="43"/>
  <c r="I625" i="43"/>
  <c r="H625" i="43"/>
  <c r="G625" i="43"/>
  <c r="F625" i="43"/>
  <c r="E625" i="43"/>
  <c r="D624" i="43"/>
  <c r="C624" i="43"/>
  <c r="B624" i="43" s="1"/>
  <c r="D623" i="43"/>
  <c r="D625" i="43" s="1"/>
  <c r="C623" i="43"/>
  <c r="C625" i="43" s="1"/>
  <c r="P622" i="43"/>
  <c r="O622" i="43"/>
  <c r="N622" i="43"/>
  <c r="M622" i="43"/>
  <c r="L622" i="43"/>
  <c r="K622" i="43"/>
  <c r="J622" i="43"/>
  <c r="I622" i="43"/>
  <c r="H622" i="43"/>
  <c r="G622" i="43"/>
  <c r="F622" i="43"/>
  <c r="E622" i="43"/>
  <c r="D621" i="43"/>
  <c r="C621" i="43"/>
  <c r="D620" i="43"/>
  <c r="D622" i="43" s="1"/>
  <c r="C620" i="43"/>
  <c r="P619" i="43"/>
  <c r="O619" i="43"/>
  <c r="N619" i="43"/>
  <c r="M619" i="43"/>
  <c r="L619" i="43"/>
  <c r="K619" i="43"/>
  <c r="J619" i="43"/>
  <c r="I619" i="43"/>
  <c r="H619" i="43"/>
  <c r="G619" i="43"/>
  <c r="F619" i="43"/>
  <c r="E619" i="43"/>
  <c r="D618" i="43"/>
  <c r="C618" i="43"/>
  <c r="D617" i="43"/>
  <c r="D619" i="43" s="1"/>
  <c r="C617" i="43"/>
  <c r="C619" i="43" s="1"/>
  <c r="B617" i="43"/>
  <c r="P616" i="43"/>
  <c r="O616" i="43"/>
  <c r="N616" i="43"/>
  <c r="M616" i="43"/>
  <c r="L616" i="43"/>
  <c r="K616" i="43"/>
  <c r="J616" i="43"/>
  <c r="I616" i="43"/>
  <c r="H616" i="43"/>
  <c r="G616" i="43"/>
  <c r="F616" i="43"/>
  <c r="E616" i="43"/>
  <c r="D615" i="43"/>
  <c r="C615" i="43"/>
  <c r="B615" i="43" s="1"/>
  <c r="D614" i="43"/>
  <c r="D616" i="43" s="1"/>
  <c r="C614" i="43"/>
  <c r="P613" i="43"/>
  <c r="O613" i="43"/>
  <c r="N613" i="43"/>
  <c r="M613" i="43"/>
  <c r="L613" i="43"/>
  <c r="K613" i="43"/>
  <c r="J613" i="43"/>
  <c r="I613" i="43"/>
  <c r="H613" i="43"/>
  <c r="G613" i="43"/>
  <c r="F613" i="43"/>
  <c r="E613" i="43"/>
  <c r="D612" i="43"/>
  <c r="C612" i="43"/>
  <c r="D611" i="43"/>
  <c r="D613" i="43" s="1"/>
  <c r="C611" i="43"/>
  <c r="C613" i="43" s="1"/>
  <c r="P610" i="43"/>
  <c r="O610" i="43"/>
  <c r="N610" i="43"/>
  <c r="M610" i="43"/>
  <c r="L610" i="43"/>
  <c r="K610" i="43"/>
  <c r="J610" i="43"/>
  <c r="I610" i="43"/>
  <c r="H610" i="43"/>
  <c r="G610" i="43"/>
  <c r="F610" i="43"/>
  <c r="E610" i="43"/>
  <c r="D609" i="43"/>
  <c r="C609" i="43"/>
  <c r="D608" i="43"/>
  <c r="D610" i="43" s="1"/>
  <c r="C608" i="43"/>
  <c r="P607" i="43"/>
  <c r="O607" i="43"/>
  <c r="N607" i="43"/>
  <c r="M607" i="43"/>
  <c r="L607" i="43"/>
  <c r="K607" i="43"/>
  <c r="J607" i="43"/>
  <c r="I607" i="43"/>
  <c r="H607" i="43"/>
  <c r="G607" i="43"/>
  <c r="F607" i="43"/>
  <c r="E607" i="43"/>
  <c r="D606" i="43"/>
  <c r="C606" i="43"/>
  <c r="D605" i="43"/>
  <c r="D607" i="43" s="1"/>
  <c r="C605" i="43"/>
  <c r="C607" i="43" s="1"/>
  <c r="P604" i="43"/>
  <c r="O604" i="43"/>
  <c r="N604" i="43"/>
  <c r="M604" i="43"/>
  <c r="L604" i="43"/>
  <c r="K604" i="43"/>
  <c r="J604" i="43"/>
  <c r="I604" i="43"/>
  <c r="H604" i="43"/>
  <c r="G604" i="43"/>
  <c r="F604" i="43"/>
  <c r="E604" i="43"/>
  <c r="D603" i="43"/>
  <c r="C603" i="43"/>
  <c r="D602" i="43"/>
  <c r="D604" i="43" s="1"/>
  <c r="C602" i="43"/>
  <c r="P601" i="43"/>
  <c r="O601" i="43"/>
  <c r="N601" i="43"/>
  <c r="M601" i="43"/>
  <c r="L601" i="43"/>
  <c r="K601" i="43"/>
  <c r="J601" i="43"/>
  <c r="I601" i="43"/>
  <c r="H601" i="43"/>
  <c r="G601" i="43"/>
  <c r="F601" i="43"/>
  <c r="E601" i="43"/>
  <c r="D600" i="43"/>
  <c r="C600" i="43"/>
  <c r="D599" i="43"/>
  <c r="D601" i="43" s="1"/>
  <c r="C599" i="43"/>
  <c r="C601" i="43" s="1"/>
  <c r="P598" i="43"/>
  <c r="O598" i="43"/>
  <c r="N598" i="43"/>
  <c r="M598" i="43"/>
  <c r="L598" i="43"/>
  <c r="K598" i="43"/>
  <c r="J598" i="43"/>
  <c r="I598" i="43"/>
  <c r="H598" i="43"/>
  <c r="G598" i="43"/>
  <c r="F598" i="43"/>
  <c r="E598" i="43"/>
  <c r="D597" i="43"/>
  <c r="C597" i="43"/>
  <c r="B597" i="43"/>
  <c r="D596" i="43"/>
  <c r="D598" i="43" s="1"/>
  <c r="C596" i="43"/>
  <c r="B596" i="43" s="1"/>
  <c r="B598" i="43" s="1"/>
  <c r="P595" i="43"/>
  <c r="O595" i="43"/>
  <c r="N595" i="43"/>
  <c r="M595" i="43"/>
  <c r="L595" i="43"/>
  <c r="K595" i="43"/>
  <c r="J595" i="43"/>
  <c r="I595" i="43"/>
  <c r="H595" i="43"/>
  <c r="G595" i="43"/>
  <c r="F595" i="43"/>
  <c r="E595" i="43"/>
  <c r="D594" i="43"/>
  <c r="C594" i="43"/>
  <c r="B594" i="43" s="1"/>
  <c r="D593" i="43"/>
  <c r="D595" i="43" s="1"/>
  <c r="C593" i="43"/>
  <c r="C595" i="43" s="1"/>
  <c r="P592" i="43"/>
  <c r="O592" i="43"/>
  <c r="N592" i="43"/>
  <c r="M592" i="43"/>
  <c r="L592" i="43"/>
  <c r="K592" i="43"/>
  <c r="J592" i="43"/>
  <c r="I592" i="43"/>
  <c r="H592" i="43"/>
  <c r="G592" i="43"/>
  <c r="F592" i="43"/>
  <c r="E592" i="43"/>
  <c r="D591" i="43"/>
  <c r="C591" i="43"/>
  <c r="B591" i="43" s="1"/>
  <c r="D590" i="43"/>
  <c r="C590" i="43"/>
  <c r="P589" i="43"/>
  <c r="O589" i="43"/>
  <c r="N589" i="43"/>
  <c r="M589" i="43"/>
  <c r="L589" i="43"/>
  <c r="K589" i="43"/>
  <c r="J589" i="43"/>
  <c r="I589" i="43"/>
  <c r="H589" i="43"/>
  <c r="G589" i="43"/>
  <c r="F589" i="43"/>
  <c r="E589" i="43"/>
  <c r="D588" i="43"/>
  <c r="C588" i="43"/>
  <c r="D587" i="43"/>
  <c r="D589" i="43" s="1"/>
  <c r="C587" i="43"/>
  <c r="C589" i="43" s="1"/>
  <c r="P586" i="43"/>
  <c r="O586" i="43"/>
  <c r="N586" i="43"/>
  <c r="M586" i="43"/>
  <c r="L586" i="43"/>
  <c r="K586" i="43"/>
  <c r="J586" i="43"/>
  <c r="I586" i="43"/>
  <c r="H586" i="43"/>
  <c r="G586" i="43"/>
  <c r="F586" i="43"/>
  <c r="E586" i="43"/>
  <c r="D585" i="43"/>
  <c r="C585" i="43"/>
  <c r="B585" i="43" s="1"/>
  <c r="D584" i="43"/>
  <c r="C584" i="43"/>
  <c r="P583" i="43"/>
  <c r="O583" i="43"/>
  <c r="N583" i="43"/>
  <c r="M583" i="43"/>
  <c r="L583" i="43"/>
  <c r="K583" i="43"/>
  <c r="J583" i="43"/>
  <c r="I583" i="43"/>
  <c r="H583" i="43"/>
  <c r="G583" i="43"/>
  <c r="F583" i="43"/>
  <c r="E583" i="43"/>
  <c r="D582" i="43"/>
  <c r="C582" i="43"/>
  <c r="D581" i="43"/>
  <c r="D583" i="43" s="1"/>
  <c r="C581" i="43"/>
  <c r="C583" i="43" s="1"/>
  <c r="P580" i="43"/>
  <c r="O580" i="43"/>
  <c r="N580" i="43"/>
  <c r="M580" i="43"/>
  <c r="L580" i="43"/>
  <c r="K580" i="43"/>
  <c r="J580" i="43"/>
  <c r="I580" i="43"/>
  <c r="H580" i="43"/>
  <c r="G580" i="43"/>
  <c r="F580" i="43"/>
  <c r="E580" i="43"/>
  <c r="D579" i="43"/>
  <c r="C579" i="43"/>
  <c r="D578" i="43"/>
  <c r="C578" i="43"/>
  <c r="B578" i="43" s="1"/>
  <c r="P577" i="43"/>
  <c r="O577" i="43"/>
  <c r="N577" i="43"/>
  <c r="M577" i="43"/>
  <c r="L577" i="43"/>
  <c r="K577" i="43"/>
  <c r="J577" i="43"/>
  <c r="I577" i="43"/>
  <c r="H577" i="43"/>
  <c r="G577" i="43"/>
  <c r="F577" i="43"/>
  <c r="E577" i="43"/>
  <c r="D576" i="43"/>
  <c r="C576" i="43"/>
  <c r="B576" i="43" s="1"/>
  <c r="D575" i="43"/>
  <c r="D577" i="43" s="1"/>
  <c r="C575" i="43"/>
  <c r="C577" i="43" s="1"/>
  <c r="P574" i="43"/>
  <c r="O574" i="43"/>
  <c r="N574" i="43"/>
  <c r="M574" i="43"/>
  <c r="L574" i="43"/>
  <c r="K574" i="43"/>
  <c r="J574" i="43"/>
  <c r="I574" i="43"/>
  <c r="H574" i="43"/>
  <c r="G574" i="43"/>
  <c r="E574" i="43"/>
  <c r="D573" i="43"/>
  <c r="C573" i="43"/>
  <c r="D572" i="43"/>
  <c r="D574" i="43" s="1"/>
  <c r="C572" i="43"/>
  <c r="C574" i="43" s="1"/>
  <c r="P571" i="43"/>
  <c r="O571" i="43"/>
  <c r="N571" i="43"/>
  <c r="M571" i="43"/>
  <c r="L571" i="43"/>
  <c r="K571" i="43"/>
  <c r="J571" i="43"/>
  <c r="I571" i="43"/>
  <c r="H571" i="43"/>
  <c r="G571" i="43"/>
  <c r="F571" i="43"/>
  <c r="E571" i="43"/>
  <c r="D570" i="43"/>
  <c r="C570" i="43"/>
  <c r="B570" i="43"/>
  <c r="D569" i="43"/>
  <c r="C569" i="43"/>
  <c r="B569" i="43" s="1"/>
  <c r="B571" i="43" s="1"/>
  <c r="P568" i="43"/>
  <c r="O568" i="43"/>
  <c r="O631" i="43" s="1"/>
  <c r="N568" i="43"/>
  <c r="N631" i="43" s="1"/>
  <c r="M568" i="43"/>
  <c r="M631" i="43" s="1"/>
  <c r="L568" i="43"/>
  <c r="L631" i="43" s="1"/>
  <c r="K568" i="43"/>
  <c r="K631" i="43" s="1"/>
  <c r="J568" i="43"/>
  <c r="J631" i="43" s="1"/>
  <c r="I568" i="43"/>
  <c r="I631" i="43" s="1"/>
  <c r="H568" i="43"/>
  <c r="H631" i="43" s="1"/>
  <c r="G568" i="43"/>
  <c r="G631" i="43" s="1"/>
  <c r="F568" i="43"/>
  <c r="F631" i="43" s="1"/>
  <c r="E568" i="43"/>
  <c r="E631" i="43" s="1"/>
  <c r="D567" i="43"/>
  <c r="D630" i="43" s="1"/>
  <c r="C567" i="43"/>
  <c r="B567" i="43" s="1"/>
  <c r="D566" i="43"/>
  <c r="D629" i="43" s="1"/>
  <c r="C566" i="43"/>
  <c r="C629" i="43" s="1"/>
  <c r="P561" i="43"/>
  <c r="O561" i="43"/>
  <c r="N561" i="43"/>
  <c r="M561" i="43"/>
  <c r="L561" i="43"/>
  <c r="K561" i="43"/>
  <c r="J561" i="43"/>
  <c r="I561" i="43"/>
  <c r="H561" i="43"/>
  <c r="G561" i="43"/>
  <c r="F561" i="43"/>
  <c r="E561" i="43"/>
  <c r="P560" i="43"/>
  <c r="O560" i="43"/>
  <c r="N560" i="43"/>
  <c r="M560" i="43"/>
  <c r="L560" i="43"/>
  <c r="K560" i="43"/>
  <c r="J560" i="43"/>
  <c r="I560" i="43"/>
  <c r="H560" i="43"/>
  <c r="G560" i="43"/>
  <c r="F560" i="43"/>
  <c r="E560" i="43"/>
  <c r="P559" i="43"/>
  <c r="O559" i="43"/>
  <c r="N559" i="43"/>
  <c r="M559" i="43"/>
  <c r="L559" i="43"/>
  <c r="K559" i="43"/>
  <c r="J559" i="43"/>
  <c r="I559" i="43"/>
  <c r="H559" i="43"/>
  <c r="G559" i="43"/>
  <c r="F559" i="43"/>
  <c r="E559" i="43"/>
  <c r="D559" i="43"/>
  <c r="C559" i="43"/>
  <c r="D558" i="43"/>
  <c r="C558" i="43"/>
  <c r="D557" i="43"/>
  <c r="C557" i="43"/>
  <c r="B557" i="43" s="1"/>
  <c r="P556" i="43"/>
  <c r="O556" i="43"/>
  <c r="N556" i="43"/>
  <c r="M556" i="43"/>
  <c r="L556" i="43"/>
  <c r="K556" i="43"/>
  <c r="J556" i="43"/>
  <c r="I556" i="43"/>
  <c r="H556" i="43"/>
  <c r="G556" i="43"/>
  <c r="F556" i="43"/>
  <c r="E556" i="43"/>
  <c r="D556" i="43"/>
  <c r="C556" i="43"/>
  <c r="D555" i="43"/>
  <c r="C555" i="43"/>
  <c r="B555" i="43" s="1"/>
  <c r="D554" i="43"/>
  <c r="C554" i="43"/>
  <c r="B554" i="43" s="1"/>
  <c r="P553" i="43"/>
  <c r="O553" i="43"/>
  <c r="N553" i="43"/>
  <c r="M553" i="43"/>
  <c r="L553" i="43"/>
  <c r="K553" i="43"/>
  <c r="J553" i="43"/>
  <c r="I553" i="43"/>
  <c r="H553" i="43"/>
  <c r="G553" i="43"/>
  <c r="F553" i="43"/>
  <c r="E553" i="43"/>
  <c r="D553" i="43"/>
  <c r="C553" i="43"/>
  <c r="D552" i="43"/>
  <c r="C552" i="43"/>
  <c r="B552" i="43" s="1"/>
  <c r="D551" i="43"/>
  <c r="C551" i="43"/>
  <c r="B551" i="43" s="1"/>
  <c r="B553" i="43" s="1"/>
  <c r="P550" i="43"/>
  <c r="O550" i="43"/>
  <c r="N550" i="43"/>
  <c r="M550" i="43"/>
  <c r="L550" i="43"/>
  <c r="K550" i="43"/>
  <c r="J550" i="43"/>
  <c r="I550" i="43"/>
  <c r="H550" i="43"/>
  <c r="G550" i="43"/>
  <c r="F550" i="43"/>
  <c r="E550" i="43"/>
  <c r="D550" i="43"/>
  <c r="C550" i="43"/>
  <c r="D549" i="43"/>
  <c r="C549" i="43"/>
  <c r="B549" i="43" s="1"/>
  <c r="D548" i="43"/>
  <c r="C548" i="43"/>
  <c r="B548" i="43" s="1"/>
  <c r="P547" i="43"/>
  <c r="O547" i="43"/>
  <c r="N547" i="43"/>
  <c r="M547" i="43"/>
  <c r="L547" i="43"/>
  <c r="K547" i="43"/>
  <c r="J547" i="43"/>
  <c r="I547" i="43"/>
  <c r="H547" i="43"/>
  <c r="G547" i="43"/>
  <c r="F547" i="43"/>
  <c r="E547" i="43"/>
  <c r="D547" i="43"/>
  <c r="C547" i="43"/>
  <c r="D546" i="43"/>
  <c r="C546" i="43"/>
  <c r="B546" i="43" s="1"/>
  <c r="D545" i="43"/>
  <c r="C545" i="43"/>
  <c r="B545" i="43" s="1"/>
  <c r="B547" i="43" s="1"/>
  <c r="P544" i="43"/>
  <c r="O544" i="43"/>
  <c r="N544" i="43"/>
  <c r="M544" i="43"/>
  <c r="L544" i="43"/>
  <c r="K544" i="43"/>
  <c r="J544" i="43"/>
  <c r="I544" i="43"/>
  <c r="H544" i="43"/>
  <c r="G544" i="43"/>
  <c r="F544" i="43"/>
  <c r="E544" i="43"/>
  <c r="D544" i="43"/>
  <c r="C544" i="43"/>
  <c r="D543" i="43"/>
  <c r="C543" i="43"/>
  <c r="B543" i="43" s="1"/>
  <c r="D542" i="43"/>
  <c r="C542" i="43"/>
  <c r="P541" i="43"/>
  <c r="O541" i="43"/>
  <c r="N541" i="43"/>
  <c r="M541" i="43"/>
  <c r="L541" i="43"/>
  <c r="K541" i="43"/>
  <c r="J541" i="43"/>
  <c r="I541" i="43"/>
  <c r="H541" i="43"/>
  <c r="G541" i="43"/>
  <c r="F541" i="43"/>
  <c r="E541" i="43"/>
  <c r="D541" i="43"/>
  <c r="C541" i="43"/>
  <c r="D540" i="43"/>
  <c r="C540" i="43"/>
  <c r="B540" i="43" s="1"/>
  <c r="D539" i="43"/>
  <c r="C539" i="43"/>
  <c r="B539" i="43" s="1"/>
  <c r="B541" i="43" s="1"/>
  <c r="P538" i="43"/>
  <c r="O538" i="43"/>
  <c r="N538" i="43"/>
  <c r="M538" i="43"/>
  <c r="L538" i="43"/>
  <c r="K538" i="43"/>
  <c r="J538" i="43"/>
  <c r="I538" i="43"/>
  <c r="H538" i="43"/>
  <c r="G538" i="43"/>
  <c r="F538" i="43"/>
  <c r="E538" i="43"/>
  <c r="D538" i="43"/>
  <c r="C538" i="43"/>
  <c r="D537" i="43"/>
  <c r="C537" i="43"/>
  <c r="B537" i="43" s="1"/>
  <c r="D536" i="43"/>
  <c r="C536" i="43"/>
  <c r="B536" i="43" s="1"/>
  <c r="P535" i="43"/>
  <c r="O535" i="43"/>
  <c r="N535" i="43"/>
  <c r="M535" i="43"/>
  <c r="L535" i="43"/>
  <c r="K535" i="43"/>
  <c r="J535" i="43"/>
  <c r="I535" i="43"/>
  <c r="H535" i="43"/>
  <c r="G535" i="43"/>
  <c r="F535" i="43"/>
  <c r="E535" i="43"/>
  <c r="D535" i="43"/>
  <c r="C535" i="43"/>
  <c r="D534" i="43"/>
  <c r="C534" i="43"/>
  <c r="D533" i="43"/>
  <c r="C533" i="43"/>
  <c r="B533" i="43" s="1"/>
  <c r="P532" i="43"/>
  <c r="O532" i="43"/>
  <c r="N532" i="43"/>
  <c r="M532" i="43"/>
  <c r="L532" i="43"/>
  <c r="K532" i="43"/>
  <c r="J532" i="43"/>
  <c r="I532" i="43"/>
  <c r="H532" i="43"/>
  <c r="G532" i="43"/>
  <c r="F532" i="43"/>
  <c r="E532" i="43"/>
  <c r="D532" i="43"/>
  <c r="C532" i="43"/>
  <c r="D531" i="43"/>
  <c r="C531" i="43"/>
  <c r="B531" i="43" s="1"/>
  <c r="D530" i="43"/>
  <c r="C530" i="43"/>
  <c r="P529" i="43"/>
  <c r="O529" i="43"/>
  <c r="N529" i="43"/>
  <c r="M529" i="43"/>
  <c r="L529" i="43"/>
  <c r="K529" i="43"/>
  <c r="J529" i="43"/>
  <c r="I529" i="43"/>
  <c r="H529" i="43"/>
  <c r="G529" i="43"/>
  <c r="F529" i="43"/>
  <c r="E529" i="43"/>
  <c r="D529" i="43"/>
  <c r="C529" i="43"/>
  <c r="D528" i="43"/>
  <c r="C528" i="43"/>
  <c r="B528" i="43" s="1"/>
  <c r="D527" i="43"/>
  <c r="C527" i="43"/>
  <c r="B527" i="43" s="1"/>
  <c r="B529" i="43" s="1"/>
  <c r="P526" i="43"/>
  <c r="O526" i="43"/>
  <c r="N526" i="43"/>
  <c r="M526" i="43"/>
  <c r="L526" i="43"/>
  <c r="K526" i="43"/>
  <c r="J526" i="43"/>
  <c r="I526" i="43"/>
  <c r="H526" i="43"/>
  <c r="G526" i="43"/>
  <c r="F526" i="43"/>
  <c r="E526" i="43"/>
  <c r="D526" i="43"/>
  <c r="C526" i="43"/>
  <c r="D525" i="43"/>
  <c r="C525" i="43"/>
  <c r="B525" i="43" s="1"/>
  <c r="D524" i="43"/>
  <c r="C524" i="43"/>
  <c r="B524" i="43" s="1"/>
  <c r="P523" i="43"/>
  <c r="O523" i="43"/>
  <c r="N523" i="43"/>
  <c r="M523" i="43"/>
  <c r="L523" i="43"/>
  <c r="K523" i="43"/>
  <c r="J523" i="43"/>
  <c r="I523" i="43"/>
  <c r="H523" i="43"/>
  <c r="G523" i="43"/>
  <c r="F523" i="43"/>
  <c r="E523" i="43"/>
  <c r="D523" i="43"/>
  <c r="C523" i="43"/>
  <c r="D522" i="43"/>
  <c r="C522" i="43"/>
  <c r="D521" i="43"/>
  <c r="C521" i="43"/>
  <c r="B521" i="43" s="1"/>
  <c r="P520" i="43"/>
  <c r="O520" i="43"/>
  <c r="N520" i="43"/>
  <c r="M520" i="43"/>
  <c r="L520" i="43"/>
  <c r="K520" i="43"/>
  <c r="J520" i="43"/>
  <c r="I520" i="43"/>
  <c r="H520" i="43"/>
  <c r="G520" i="43"/>
  <c r="F520" i="43"/>
  <c r="E520" i="43"/>
  <c r="D520" i="43"/>
  <c r="C520" i="43"/>
  <c r="D519" i="43"/>
  <c r="C519" i="43"/>
  <c r="B519" i="43" s="1"/>
  <c r="D518" i="43"/>
  <c r="C518" i="43"/>
  <c r="B518" i="43" s="1"/>
  <c r="P517" i="43"/>
  <c r="O517" i="43"/>
  <c r="N517" i="43"/>
  <c r="M517" i="43"/>
  <c r="L517" i="43"/>
  <c r="K517" i="43"/>
  <c r="J517" i="43"/>
  <c r="I517" i="43"/>
  <c r="H517" i="43"/>
  <c r="G517" i="43"/>
  <c r="F517" i="43"/>
  <c r="E517" i="43"/>
  <c r="D517" i="43"/>
  <c r="C517" i="43"/>
  <c r="D516" i="43"/>
  <c r="C516" i="43"/>
  <c r="B516" i="43" s="1"/>
  <c r="D515" i="43"/>
  <c r="C515" i="43"/>
  <c r="B515" i="43" s="1"/>
  <c r="B517" i="43" s="1"/>
  <c r="P514" i="43"/>
  <c r="O514" i="43"/>
  <c r="N514" i="43"/>
  <c r="M514" i="43"/>
  <c r="L514" i="43"/>
  <c r="K514" i="43"/>
  <c r="J514" i="43"/>
  <c r="I514" i="43"/>
  <c r="H514" i="43"/>
  <c r="G514" i="43"/>
  <c r="F514" i="43"/>
  <c r="E514" i="43"/>
  <c r="D514" i="43"/>
  <c r="C514" i="43"/>
  <c r="D513" i="43"/>
  <c r="C513" i="43"/>
  <c r="B513" i="43" s="1"/>
  <c r="D512" i="43"/>
  <c r="C512" i="43"/>
  <c r="P511" i="43"/>
  <c r="O511" i="43"/>
  <c r="N511" i="43"/>
  <c r="M511" i="43"/>
  <c r="L511" i="43"/>
  <c r="K511" i="43"/>
  <c r="J511" i="43"/>
  <c r="I511" i="43"/>
  <c r="H511" i="43"/>
  <c r="G511" i="43"/>
  <c r="F511" i="43"/>
  <c r="E511" i="43"/>
  <c r="D511" i="43"/>
  <c r="C511" i="43"/>
  <c r="D510" i="43"/>
  <c r="C510" i="43"/>
  <c r="D509" i="43"/>
  <c r="C509" i="43"/>
  <c r="P508" i="43"/>
  <c r="O508" i="43"/>
  <c r="N508" i="43"/>
  <c r="M508" i="43"/>
  <c r="L508" i="43"/>
  <c r="K508" i="43"/>
  <c r="J508" i="43"/>
  <c r="I508" i="43"/>
  <c r="H508" i="43"/>
  <c r="G508" i="43"/>
  <c r="F508" i="43"/>
  <c r="E508" i="43"/>
  <c r="D508" i="43"/>
  <c r="C508" i="43"/>
  <c r="D507" i="43"/>
  <c r="C507" i="43"/>
  <c r="B507" i="43" s="1"/>
  <c r="D506" i="43"/>
  <c r="C506" i="43"/>
  <c r="P505" i="43"/>
  <c r="O505" i="43"/>
  <c r="N505" i="43"/>
  <c r="M505" i="43"/>
  <c r="L505" i="43"/>
  <c r="K505" i="43"/>
  <c r="J505" i="43"/>
  <c r="I505" i="43"/>
  <c r="H505" i="43"/>
  <c r="G505" i="43"/>
  <c r="F505" i="43"/>
  <c r="E505" i="43"/>
  <c r="D505" i="43"/>
  <c r="C505" i="43"/>
  <c r="D504" i="43"/>
  <c r="C504" i="43"/>
  <c r="D503" i="43"/>
  <c r="C503" i="43"/>
  <c r="P502" i="43"/>
  <c r="O502" i="43"/>
  <c r="N502" i="43"/>
  <c r="M502" i="43"/>
  <c r="L502" i="43"/>
  <c r="K502" i="43"/>
  <c r="J502" i="43"/>
  <c r="I502" i="43"/>
  <c r="H502" i="43"/>
  <c r="G502" i="43"/>
  <c r="F502" i="43"/>
  <c r="E502" i="43"/>
  <c r="D502" i="43"/>
  <c r="C502" i="43"/>
  <c r="D501" i="43"/>
  <c r="C501" i="43"/>
  <c r="B501" i="43"/>
  <c r="D500" i="43"/>
  <c r="C500" i="43"/>
  <c r="B500" i="43" s="1"/>
  <c r="B502" i="43" s="1"/>
  <c r="P499" i="43"/>
  <c r="O499" i="43"/>
  <c r="N499" i="43"/>
  <c r="M499" i="43"/>
  <c r="L499" i="43"/>
  <c r="K499" i="43"/>
  <c r="J499" i="43"/>
  <c r="I499" i="43"/>
  <c r="H499" i="43"/>
  <c r="G499" i="43"/>
  <c r="F499" i="43"/>
  <c r="E499" i="43"/>
  <c r="D499" i="43"/>
  <c r="C499" i="43"/>
  <c r="D498" i="43"/>
  <c r="C498" i="43"/>
  <c r="B498" i="43" s="1"/>
  <c r="D497" i="43"/>
  <c r="C497" i="43"/>
  <c r="B497" i="43" s="1"/>
  <c r="B499" i="43" s="1"/>
  <c r="P496" i="43"/>
  <c r="O496" i="43"/>
  <c r="N496" i="43"/>
  <c r="M496" i="43"/>
  <c r="L496" i="43"/>
  <c r="K496" i="43"/>
  <c r="J496" i="43"/>
  <c r="I496" i="43"/>
  <c r="H496" i="43"/>
  <c r="G496" i="43"/>
  <c r="F496" i="43"/>
  <c r="E496" i="43"/>
  <c r="D496" i="43"/>
  <c r="C496" i="43"/>
  <c r="D495" i="43"/>
  <c r="C495" i="43"/>
  <c r="B495" i="43" s="1"/>
  <c r="D494" i="43"/>
  <c r="C494" i="43"/>
  <c r="B494" i="43" s="1"/>
  <c r="P493" i="43"/>
  <c r="O493" i="43"/>
  <c r="N493" i="43"/>
  <c r="M493" i="43"/>
  <c r="L493" i="43"/>
  <c r="K493" i="43"/>
  <c r="J493" i="43"/>
  <c r="I493" i="43"/>
  <c r="H493" i="43"/>
  <c r="G493" i="43"/>
  <c r="F493" i="43"/>
  <c r="E493" i="43"/>
  <c r="D493" i="43"/>
  <c r="C493" i="43"/>
  <c r="D492" i="43"/>
  <c r="C492" i="43"/>
  <c r="B492" i="43" s="1"/>
  <c r="D491" i="43"/>
  <c r="C491" i="43"/>
  <c r="B491" i="43" s="1"/>
  <c r="B493" i="43" s="1"/>
  <c r="P490" i="43"/>
  <c r="O490" i="43"/>
  <c r="N490" i="43"/>
  <c r="M490" i="43"/>
  <c r="L490" i="43"/>
  <c r="K490" i="43"/>
  <c r="J490" i="43"/>
  <c r="I490" i="43"/>
  <c r="H490" i="43"/>
  <c r="G490" i="43"/>
  <c r="F490" i="43"/>
  <c r="E490" i="43"/>
  <c r="D490" i="43"/>
  <c r="C490" i="43"/>
  <c r="D489" i="43"/>
  <c r="C489" i="43"/>
  <c r="B489" i="43" s="1"/>
  <c r="D488" i="43"/>
  <c r="C488" i="43"/>
  <c r="B488" i="43" s="1"/>
  <c r="P487" i="43"/>
  <c r="O487" i="43"/>
  <c r="N487" i="43"/>
  <c r="M487" i="43"/>
  <c r="L487" i="43"/>
  <c r="K487" i="43"/>
  <c r="J487" i="43"/>
  <c r="I487" i="43"/>
  <c r="H487" i="43"/>
  <c r="G487" i="43"/>
  <c r="F487" i="43"/>
  <c r="E487" i="43"/>
  <c r="D487" i="43"/>
  <c r="C487" i="43"/>
  <c r="D486" i="43"/>
  <c r="C486" i="43"/>
  <c r="B486" i="43" s="1"/>
  <c r="D485" i="43"/>
  <c r="C485" i="43"/>
  <c r="B485" i="43" s="1"/>
  <c r="B487" i="43" s="1"/>
  <c r="P484" i="43"/>
  <c r="O484" i="43"/>
  <c r="N484" i="43"/>
  <c r="M484" i="43"/>
  <c r="L484" i="43"/>
  <c r="K484" i="43"/>
  <c r="J484" i="43"/>
  <c r="I484" i="43"/>
  <c r="H484" i="43"/>
  <c r="G484" i="43"/>
  <c r="F484" i="43"/>
  <c r="E484" i="43"/>
  <c r="D484" i="43"/>
  <c r="C484" i="43"/>
  <c r="D483" i="43"/>
  <c r="C483" i="43"/>
  <c r="B483" i="43" s="1"/>
  <c r="D482" i="43"/>
  <c r="C482" i="43"/>
  <c r="P481" i="43"/>
  <c r="O481" i="43"/>
  <c r="N481" i="43"/>
  <c r="M481" i="43"/>
  <c r="L481" i="43"/>
  <c r="K481" i="43"/>
  <c r="J481" i="43"/>
  <c r="I481" i="43"/>
  <c r="H481" i="43"/>
  <c r="G481" i="43"/>
  <c r="F481" i="43"/>
  <c r="E481" i="43"/>
  <c r="D481" i="43"/>
  <c r="C481" i="43"/>
  <c r="D480" i="43"/>
  <c r="C480" i="43"/>
  <c r="D479" i="43"/>
  <c r="C479" i="43"/>
  <c r="P478" i="43"/>
  <c r="O478" i="43"/>
  <c r="N478" i="43"/>
  <c r="M478" i="43"/>
  <c r="L478" i="43"/>
  <c r="K478" i="43"/>
  <c r="J478" i="43"/>
  <c r="I478" i="43"/>
  <c r="H478" i="43"/>
  <c r="G478" i="43"/>
  <c r="F478" i="43"/>
  <c r="E478" i="43"/>
  <c r="D478" i="43"/>
  <c r="C478" i="43"/>
  <c r="D477" i="43"/>
  <c r="C477" i="43"/>
  <c r="D476" i="43"/>
  <c r="C476" i="43"/>
  <c r="P475" i="43"/>
  <c r="O475" i="43"/>
  <c r="N475" i="43"/>
  <c r="M475" i="43"/>
  <c r="L475" i="43"/>
  <c r="K475" i="43"/>
  <c r="J475" i="43"/>
  <c r="I475" i="43"/>
  <c r="H475" i="43"/>
  <c r="G475" i="43"/>
  <c r="F475" i="43"/>
  <c r="E475" i="43"/>
  <c r="D475" i="43"/>
  <c r="C475" i="43"/>
  <c r="D474" i="43"/>
  <c r="C474" i="43"/>
  <c r="D473" i="43"/>
  <c r="C473" i="43"/>
  <c r="P472" i="43"/>
  <c r="O472" i="43"/>
  <c r="N472" i="43"/>
  <c r="M472" i="43"/>
  <c r="L472" i="43"/>
  <c r="K472" i="43"/>
  <c r="J472" i="43"/>
  <c r="I472" i="43"/>
  <c r="H472" i="43"/>
  <c r="G472" i="43"/>
  <c r="F472" i="43"/>
  <c r="E472" i="43"/>
  <c r="D472" i="43"/>
  <c r="C472" i="43"/>
  <c r="D471" i="43"/>
  <c r="C471" i="43"/>
  <c r="D470" i="43"/>
  <c r="C470" i="43"/>
  <c r="P469" i="43"/>
  <c r="O469" i="43"/>
  <c r="N469" i="43"/>
  <c r="M469" i="43"/>
  <c r="L469" i="43"/>
  <c r="K469" i="43"/>
  <c r="J469" i="43"/>
  <c r="I469" i="43"/>
  <c r="H469" i="43"/>
  <c r="G469" i="43"/>
  <c r="F469" i="43"/>
  <c r="E469" i="43"/>
  <c r="D469" i="43"/>
  <c r="C469" i="43"/>
  <c r="D468" i="43"/>
  <c r="C468" i="43"/>
  <c r="D467" i="43"/>
  <c r="C467" i="43"/>
  <c r="P466" i="43"/>
  <c r="O466" i="43"/>
  <c r="N466" i="43"/>
  <c r="M466" i="43"/>
  <c r="L466" i="43"/>
  <c r="K466" i="43"/>
  <c r="J466" i="43"/>
  <c r="I466" i="43"/>
  <c r="H466" i="43"/>
  <c r="G466" i="43"/>
  <c r="F466" i="43"/>
  <c r="E466" i="43"/>
  <c r="D466" i="43"/>
  <c r="C466" i="43"/>
  <c r="D465" i="43"/>
  <c r="C465" i="43"/>
  <c r="B465" i="43"/>
  <c r="D464" i="43"/>
  <c r="C464" i="43"/>
  <c r="B464" i="43" s="1"/>
  <c r="B466" i="43" s="1"/>
  <c r="P463" i="43"/>
  <c r="O463" i="43"/>
  <c r="N463" i="43"/>
  <c r="M463" i="43"/>
  <c r="L463" i="43"/>
  <c r="K463" i="43"/>
  <c r="J463" i="43"/>
  <c r="I463" i="43"/>
  <c r="H463" i="43"/>
  <c r="G463" i="43"/>
  <c r="F463" i="43"/>
  <c r="E463" i="43"/>
  <c r="D463" i="43"/>
  <c r="C463" i="43"/>
  <c r="B463" i="43" s="1"/>
  <c r="D462" i="43"/>
  <c r="C462" i="43"/>
  <c r="D461" i="43"/>
  <c r="C461" i="43"/>
  <c r="B461" i="43" s="1"/>
  <c r="P456" i="43"/>
  <c r="O456" i="43"/>
  <c r="N456" i="43"/>
  <c r="M456" i="43"/>
  <c r="L456" i="43"/>
  <c r="K456" i="43"/>
  <c r="J456" i="43"/>
  <c r="I456" i="43"/>
  <c r="H456" i="43"/>
  <c r="G456" i="43"/>
  <c r="F456" i="43"/>
  <c r="E456" i="43"/>
  <c r="P455" i="43"/>
  <c r="O455" i="43"/>
  <c r="N455" i="43"/>
  <c r="M455" i="43"/>
  <c r="L455" i="43"/>
  <c r="K455" i="43"/>
  <c r="J455" i="43"/>
  <c r="I455" i="43"/>
  <c r="H455" i="43"/>
  <c r="G455" i="43"/>
  <c r="F455" i="43"/>
  <c r="E455" i="43"/>
  <c r="P454" i="43"/>
  <c r="O454" i="43"/>
  <c r="N454" i="43"/>
  <c r="M454" i="43"/>
  <c r="L454" i="43"/>
  <c r="K454" i="43"/>
  <c r="J454" i="43"/>
  <c r="I454" i="43"/>
  <c r="H454" i="43"/>
  <c r="G454" i="43"/>
  <c r="F454" i="43"/>
  <c r="E454" i="43"/>
  <c r="D453" i="43"/>
  <c r="C453" i="43"/>
  <c r="B453" i="43" s="1"/>
  <c r="D452" i="43"/>
  <c r="D454" i="43" s="1"/>
  <c r="C452" i="43"/>
  <c r="C454" i="43" s="1"/>
  <c r="P451" i="43"/>
  <c r="O451" i="43"/>
  <c r="N451" i="43"/>
  <c r="M451" i="43"/>
  <c r="L451" i="43"/>
  <c r="K451" i="43"/>
  <c r="J451" i="43"/>
  <c r="I451" i="43"/>
  <c r="H451" i="43"/>
  <c r="G451" i="43"/>
  <c r="F451" i="43"/>
  <c r="E451" i="43"/>
  <c r="D450" i="43"/>
  <c r="C450" i="43"/>
  <c r="B450" i="43" s="1"/>
  <c r="D449" i="43"/>
  <c r="C449" i="43"/>
  <c r="B449" i="43" s="1"/>
  <c r="P448" i="43"/>
  <c r="O448" i="43"/>
  <c r="N448" i="43"/>
  <c r="M448" i="43"/>
  <c r="L448" i="43"/>
  <c r="K448" i="43"/>
  <c r="J448" i="43"/>
  <c r="I448" i="43"/>
  <c r="H448" i="43"/>
  <c r="G448" i="43"/>
  <c r="F448" i="43"/>
  <c r="E448" i="43"/>
  <c r="D447" i="43"/>
  <c r="C447" i="43"/>
  <c r="B447" i="43" s="1"/>
  <c r="D446" i="43"/>
  <c r="D448" i="43" s="1"/>
  <c r="C446" i="43"/>
  <c r="C448" i="43" s="1"/>
  <c r="P445" i="43"/>
  <c r="O445" i="43"/>
  <c r="N445" i="43"/>
  <c r="M445" i="43"/>
  <c r="L445" i="43"/>
  <c r="K445" i="43"/>
  <c r="J445" i="43"/>
  <c r="I445" i="43"/>
  <c r="H445" i="43"/>
  <c r="G445" i="43"/>
  <c r="F445" i="43"/>
  <c r="E445" i="43"/>
  <c r="D444" i="43"/>
  <c r="C444" i="43"/>
  <c r="B444" i="43" s="1"/>
  <c r="D443" i="43"/>
  <c r="C443" i="43"/>
  <c r="B443" i="43" s="1"/>
  <c r="P442" i="43"/>
  <c r="O442" i="43"/>
  <c r="N442" i="43"/>
  <c r="M442" i="43"/>
  <c r="L442" i="43"/>
  <c r="K442" i="43"/>
  <c r="J442" i="43"/>
  <c r="I442" i="43"/>
  <c r="H442" i="43"/>
  <c r="G442" i="43"/>
  <c r="F442" i="43"/>
  <c r="E442" i="43"/>
  <c r="D441" i="43"/>
  <c r="C441" i="43"/>
  <c r="B441" i="43" s="1"/>
  <c r="D440" i="43"/>
  <c r="D442" i="43" s="1"/>
  <c r="C440" i="43"/>
  <c r="C442" i="43" s="1"/>
  <c r="P439" i="43"/>
  <c r="O439" i="43"/>
  <c r="N439" i="43"/>
  <c r="M439" i="43"/>
  <c r="L439" i="43"/>
  <c r="K439" i="43"/>
  <c r="J439" i="43"/>
  <c r="I439" i="43"/>
  <c r="H439" i="43"/>
  <c r="G439" i="43"/>
  <c r="F439" i="43"/>
  <c r="E439" i="43"/>
  <c r="D438" i="43"/>
  <c r="C438" i="43"/>
  <c r="B438" i="43" s="1"/>
  <c r="D437" i="43"/>
  <c r="C437" i="43"/>
  <c r="P436" i="43"/>
  <c r="O436" i="43"/>
  <c r="N436" i="43"/>
  <c r="M436" i="43"/>
  <c r="L436" i="43"/>
  <c r="K436" i="43"/>
  <c r="J436" i="43"/>
  <c r="I436" i="43"/>
  <c r="H436" i="43"/>
  <c r="G436" i="43"/>
  <c r="F436" i="43"/>
  <c r="E436" i="43"/>
  <c r="D435" i="43"/>
  <c r="C435" i="43"/>
  <c r="B435" i="43" s="1"/>
  <c r="D434" i="43"/>
  <c r="D436" i="43" s="1"/>
  <c r="C434" i="43"/>
  <c r="C436" i="43" s="1"/>
  <c r="P433" i="43"/>
  <c r="O433" i="43"/>
  <c r="N433" i="43"/>
  <c r="M433" i="43"/>
  <c r="L433" i="43"/>
  <c r="K433" i="43"/>
  <c r="J433" i="43"/>
  <c r="I433" i="43"/>
  <c r="H433" i="43"/>
  <c r="G433" i="43"/>
  <c r="F433" i="43"/>
  <c r="E433" i="43"/>
  <c r="D432" i="43"/>
  <c r="C432" i="43"/>
  <c r="B432" i="43" s="1"/>
  <c r="D431" i="43"/>
  <c r="C431" i="43"/>
  <c r="P430" i="43"/>
  <c r="O430" i="43"/>
  <c r="N430" i="43"/>
  <c r="M430" i="43"/>
  <c r="L430" i="43"/>
  <c r="K430" i="43"/>
  <c r="J430" i="43"/>
  <c r="I430" i="43"/>
  <c r="H430" i="43"/>
  <c r="G430" i="43"/>
  <c r="F430" i="43"/>
  <c r="E430" i="43"/>
  <c r="D429" i="43"/>
  <c r="C429" i="43"/>
  <c r="D428" i="43"/>
  <c r="D430" i="43" s="1"/>
  <c r="C428" i="43"/>
  <c r="C430" i="43" s="1"/>
  <c r="P427" i="43"/>
  <c r="O427" i="43"/>
  <c r="N427" i="43"/>
  <c r="M427" i="43"/>
  <c r="L427" i="43"/>
  <c r="K427" i="43"/>
  <c r="J427" i="43"/>
  <c r="I427" i="43"/>
  <c r="H427" i="43"/>
  <c r="G427" i="43"/>
  <c r="F427" i="43"/>
  <c r="E427" i="43"/>
  <c r="D426" i="43"/>
  <c r="C426" i="43"/>
  <c r="D425" i="43"/>
  <c r="C425" i="43"/>
  <c r="P424" i="43"/>
  <c r="O424" i="43"/>
  <c r="N424" i="43"/>
  <c r="M424" i="43"/>
  <c r="L424" i="43"/>
  <c r="K424" i="43"/>
  <c r="J424" i="43"/>
  <c r="I424" i="43"/>
  <c r="H424" i="43"/>
  <c r="G424" i="43"/>
  <c r="F424" i="43"/>
  <c r="E424" i="43"/>
  <c r="D423" i="43"/>
  <c r="C423" i="43"/>
  <c r="D422" i="43"/>
  <c r="D424" i="43" s="1"/>
  <c r="C422" i="43"/>
  <c r="C424" i="43" s="1"/>
  <c r="P421" i="43"/>
  <c r="O421" i="43"/>
  <c r="N421" i="43"/>
  <c r="M421" i="43"/>
  <c r="L421" i="43"/>
  <c r="K421" i="43"/>
  <c r="J421" i="43"/>
  <c r="I421" i="43"/>
  <c r="H421" i="43"/>
  <c r="G421" i="43"/>
  <c r="F421" i="43"/>
  <c r="E421" i="43"/>
  <c r="D420" i="43"/>
  <c r="C420" i="43"/>
  <c r="B420" i="43"/>
  <c r="D419" i="43"/>
  <c r="C419" i="43"/>
  <c r="B419" i="43" s="1"/>
  <c r="B421" i="43" s="1"/>
  <c r="P418" i="43"/>
  <c r="O418" i="43"/>
  <c r="N418" i="43"/>
  <c r="M418" i="43"/>
  <c r="L418" i="43"/>
  <c r="K418" i="43"/>
  <c r="J418" i="43"/>
  <c r="I418" i="43"/>
  <c r="H418" i="43"/>
  <c r="G418" i="43"/>
  <c r="F418" i="43"/>
  <c r="E418" i="43"/>
  <c r="D417" i="43"/>
  <c r="C417" i="43"/>
  <c r="B417" i="43" s="1"/>
  <c r="D416" i="43"/>
  <c r="D418" i="43" s="1"/>
  <c r="C416" i="43"/>
  <c r="C418" i="43" s="1"/>
  <c r="P415" i="43"/>
  <c r="O415" i="43"/>
  <c r="N415" i="43"/>
  <c r="M415" i="43"/>
  <c r="L415" i="43"/>
  <c r="K415" i="43"/>
  <c r="J415" i="43"/>
  <c r="I415" i="43"/>
  <c r="H415" i="43"/>
  <c r="G415" i="43"/>
  <c r="F415" i="43"/>
  <c r="E415" i="43"/>
  <c r="D414" i="43"/>
  <c r="C414" i="43"/>
  <c r="B414" i="43" s="1"/>
  <c r="D413" i="43"/>
  <c r="C413" i="43"/>
  <c r="P412" i="43"/>
  <c r="O412" i="43"/>
  <c r="N412" i="43"/>
  <c r="M412" i="43"/>
  <c r="L412" i="43"/>
  <c r="K412" i="43"/>
  <c r="J412" i="43"/>
  <c r="I412" i="43"/>
  <c r="H412" i="43"/>
  <c r="G412" i="43"/>
  <c r="F412" i="43"/>
  <c r="E412" i="43"/>
  <c r="D411" i="43"/>
  <c r="C411" i="43"/>
  <c r="D410" i="43"/>
  <c r="D412" i="43" s="1"/>
  <c r="C410" i="43"/>
  <c r="C412" i="43" s="1"/>
  <c r="P409" i="43"/>
  <c r="O409" i="43"/>
  <c r="N409" i="43"/>
  <c r="M409" i="43"/>
  <c r="L409" i="43"/>
  <c r="K409" i="43"/>
  <c r="J409" i="43"/>
  <c r="I409" i="43"/>
  <c r="H409" i="43"/>
  <c r="G409" i="43"/>
  <c r="F409" i="43"/>
  <c r="E409" i="43"/>
  <c r="D408" i="43"/>
  <c r="C408" i="43"/>
  <c r="B408" i="43" s="1"/>
  <c r="D407" i="43"/>
  <c r="C407" i="43"/>
  <c r="P406" i="43"/>
  <c r="O406" i="43"/>
  <c r="N406" i="43"/>
  <c r="M406" i="43"/>
  <c r="L406" i="43"/>
  <c r="K406" i="43"/>
  <c r="J406" i="43"/>
  <c r="I406" i="43"/>
  <c r="H406" i="43"/>
  <c r="G406" i="43"/>
  <c r="F406" i="43"/>
  <c r="E406" i="43"/>
  <c r="D405" i="43"/>
  <c r="C405" i="43"/>
  <c r="D404" i="43"/>
  <c r="D406" i="43" s="1"/>
  <c r="C404" i="43"/>
  <c r="C406" i="43" s="1"/>
  <c r="P403" i="43"/>
  <c r="O403" i="43"/>
  <c r="N403" i="43"/>
  <c r="M403" i="43"/>
  <c r="L403" i="43"/>
  <c r="K403" i="43"/>
  <c r="J403" i="43"/>
  <c r="I403" i="43"/>
  <c r="H403" i="43"/>
  <c r="G403" i="43"/>
  <c r="F403" i="43"/>
  <c r="E403" i="43"/>
  <c r="D402" i="43"/>
  <c r="C402" i="43"/>
  <c r="D401" i="43"/>
  <c r="C401" i="43"/>
  <c r="P400" i="43"/>
  <c r="O400" i="43"/>
  <c r="N400" i="43"/>
  <c r="M400" i="43"/>
  <c r="L400" i="43"/>
  <c r="K400" i="43"/>
  <c r="J400" i="43"/>
  <c r="I400" i="43"/>
  <c r="H400" i="43"/>
  <c r="G400" i="43"/>
  <c r="F400" i="43"/>
  <c r="E400" i="43"/>
  <c r="D399" i="43"/>
  <c r="C399" i="43"/>
  <c r="D398" i="43"/>
  <c r="D400" i="43" s="1"/>
  <c r="C398" i="43"/>
  <c r="C400" i="43" s="1"/>
  <c r="P397" i="43"/>
  <c r="O397" i="43"/>
  <c r="N397" i="43"/>
  <c r="M397" i="43"/>
  <c r="L397" i="43"/>
  <c r="K397" i="43"/>
  <c r="J397" i="43"/>
  <c r="I397" i="43"/>
  <c r="H397" i="43"/>
  <c r="G397" i="43"/>
  <c r="F397" i="43"/>
  <c r="E397" i="43"/>
  <c r="D396" i="43"/>
  <c r="C396" i="43"/>
  <c r="D395" i="43"/>
  <c r="C395" i="43"/>
  <c r="P394" i="43"/>
  <c r="O394" i="43"/>
  <c r="N394" i="43"/>
  <c r="M394" i="43"/>
  <c r="L394" i="43"/>
  <c r="K394" i="43"/>
  <c r="J394" i="43"/>
  <c r="I394" i="43"/>
  <c r="H394" i="43"/>
  <c r="G394" i="43"/>
  <c r="F394" i="43"/>
  <c r="E394" i="43"/>
  <c r="D393" i="43"/>
  <c r="C393" i="43"/>
  <c r="D392" i="43"/>
  <c r="D394" i="43" s="1"/>
  <c r="C392" i="43"/>
  <c r="C394" i="43" s="1"/>
  <c r="P391" i="43"/>
  <c r="O391" i="43"/>
  <c r="N391" i="43"/>
  <c r="M391" i="43"/>
  <c r="L391" i="43"/>
  <c r="K391" i="43"/>
  <c r="J391" i="43"/>
  <c r="I391" i="43"/>
  <c r="H391" i="43"/>
  <c r="G391" i="43"/>
  <c r="F391" i="43"/>
  <c r="E391" i="43"/>
  <c r="D390" i="43"/>
  <c r="C390" i="43"/>
  <c r="D389" i="43"/>
  <c r="C389" i="43"/>
  <c r="P388" i="43"/>
  <c r="O388" i="43"/>
  <c r="N388" i="43"/>
  <c r="M388" i="43"/>
  <c r="L388" i="43"/>
  <c r="K388" i="43"/>
  <c r="J388" i="43"/>
  <c r="I388" i="43"/>
  <c r="H388" i="43"/>
  <c r="G388" i="43"/>
  <c r="F388" i="43"/>
  <c r="E388" i="43"/>
  <c r="D387" i="43"/>
  <c r="C387" i="43"/>
  <c r="D386" i="43"/>
  <c r="D388" i="43" s="1"/>
  <c r="C386" i="43"/>
  <c r="C388" i="43" s="1"/>
  <c r="P385" i="43"/>
  <c r="O385" i="43"/>
  <c r="N385" i="43"/>
  <c r="M385" i="43"/>
  <c r="L385" i="43"/>
  <c r="K385" i="43"/>
  <c r="J385" i="43"/>
  <c r="I385" i="43"/>
  <c r="H385" i="43"/>
  <c r="G385" i="43"/>
  <c r="F385" i="43"/>
  <c r="E385" i="43"/>
  <c r="D384" i="43"/>
  <c r="C384" i="43"/>
  <c r="B384" i="43"/>
  <c r="D383" i="43"/>
  <c r="C383" i="43"/>
  <c r="B383" i="43" s="1"/>
  <c r="B385" i="43" s="1"/>
  <c r="P382" i="43"/>
  <c r="O382" i="43"/>
  <c r="N382" i="43"/>
  <c r="M382" i="43"/>
  <c r="L382" i="43"/>
  <c r="K382" i="43"/>
  <c r="J382" i="43"/>
  <c r="I382" i="43"/>
  <c r="H382" i="43"/>
  <c r="G382" i="43"/>
  <c r="F382" i="43"/>
  <c r="E382" i="43"/>
  <c r="D381" i="43"/>
  <c r="C381" i="43"/>
  <c r="B381" i="43" s="1"/>
  <c r="D380" i="43"/>
  <c r="D382" i="43" s="1"/>
  <c r="C380" i="43"/>
  <c r="C382" i="43" s="1"/>
  <c r="P379" i="43"/>
  <c r="O379" i="43"/>
  <c r="N379" i="43"/>
  <c r="M379" i="43"/>
  <c r="L379" i="43"/>
  <c r="K379" i="43"/>
  <c r="J379" i="43"/>
  <c r="I379" i="43"/>
  <c r="H379" i="43"/>
  <c r="G379" i="43"/>
  <c r="F379" i="43"/>
  <c r="E379" i="43"/>
  <c r="D378" i="43"/>
  <c r="C378" i="43"/>
  <c r="B378" i="43" s="1"/>
  <c r="D377" i="43"/>
  <c r="C377" i="43"/>
  <c r="P376" i="43"/>
  <c r="O376" i="43"/>
  <c r="N376" i="43"/>
  <c r="M376" i="43"/>
  <c r="L376" i="43"/>
  <c r="K376" i="43"/>
  <c r="J376" i="43"/>
  <c r="I376" i="43"/>
  <c r="H376" i="43"/>
  <c r="G376" i="43"/>
  <c r="F376" i="43"/>
  <c r="E376" i="43"/>
  <c r="D375" i="43"/>
  <c r="C375" i="43"/>
  <c r="D374" i="43"/>
  <c r="D376" i="43" s="1"/>
  <c r="C374" i="43"/>
  <c r="C376" i="43" s="1"/>
  <c r="P373" i="43"/>
  <c r="O373" i="43"/>
  <c r="N373" i="43"/>
  <c r="M373" i="43"/>
  <c r="L373" i="43"/>
  <c r="K373" i="43"/>
  <c r="J373" i="43"/>
  <c r="I373" i="43"/>
  <c r="H373" i="43"/>
  <c r="G373" i="43"/>
  <c r="F373" i="43"/>
  <c r="E373" i="43"/>
  <c r="D372" i="43"/>
  <c r="C372" i="43"/>
  <c r="B372" i="43" s="1"/>
  <c r="D371" i="43"/>
  <c r="C371" i="43"/>
  <c r="P370" i="43"/>
  <c r="O370" i="43"/>
  <c r="N370" i="43"/>
  <c r="M370" i="43"/>
  <c r="L370" i="43"/>
  <c r="K370" i="43"/>
  <c r="J370" i="43"/>
  <c r="I370" i="43"/>
  <c r="H370" i="43"/>
  <c r="G370" i="43"/>
  <c r="F370" i="43"/>
  <c r="E370" i="43"/>
  <c r="D369" i="43"/>
  <c r="C369" i="43"/>
  <c r="D368" i="43"/>
  <c r="D370" i="43" s="1"/>
  <c r="C368" i="43"/>
  <c r="C370" i="43" s="1"/>
  <c r="P367" i="43"/>
  <c r="P457" i="43" s="1"/>
  <c r="O367" i="43"/>
  <c r="N367" i="43"/>
  <c r="N457" i="43" s="1"/>
  <c r="M367" i="43"/>
  <c r="L367" i="43"/>
  <c r="L457" i="43" s="1"/>
  <c r="K367" i="43"/>
  <c r="J367" i="43"/>
  <c r="J457" i="43" s="1"/>
  <c r="I367" i="43"/>
  <c r="H367" i="43"/>
  <c r="H457" i="43" s="1"/>
  <c r="G367" i="43"/>
  <c r="F367" i="43"/>
  <c r="F457" i="43" s="1"/>
  <c r="E367" i="43"/>
  <c r="D366" i="43"/>
  <c r="D456" i="43" s="1"/>
  <c r="C366" i="43"/>
  <c r="B366" i="43"/>
  <c r="D365" i="43"/>
  <c r="D455" i="43" s="1"/>
  <c r="C365" i="43"/>
  <c r="B365" i="43" s="1"/>
  <c r="P360" i="43"/>
  <c r="O360" i="43"/>
  <c r="N360" i="43"/>
  <c r="M360" i="43"/>
  <c r="L360" i="43"/>
  <c r="K360" i="43"/>
  <c r="J360" i="43"/>
  <c r="I360" i="43"/>
  <c r="H360" i="43"/>
  <c r="G360" i="43"/>
  <c r="E360" i="43"/>
  <c r="P359" i="43"/>
  <c r="P361" i="43" s="1"/>
  <c r="O359" i="43"/>
  <c r="N359" i="43"/>
  <c r="N361" i="43" s="1"/>
  <c r="M359" i="43"/>
  <c r="L359" i="43"/>
  <c r="L361" i="43" s="1"/>
  <c r="K359" i="43"/>
  <c r="J359" i="43"/>
  <c r="J361" i="43" s="1"/>
  <c r="I359" i="43"/>
  <c r="H359" i="43"/>
  <c r="H361" i="43" s="1"/>
  <c r="G359" i="43"/>
  <c r="F359" i="43"/>
  <c r="E359" i="43"/>
  <c r="E361" i="43" s="1"/>
  <c r="P358" i="43"/>
  <c r="O358" i="43"/>
  <c r="N358" i="43"/>
  <c r="M358" i="43"/>
  <c r="L358" i="43"/>
  <c r="K358" i="43"/>
  <c r="J358" i="43"/>
  <c r="I358" i="43"/>
  <c r="H358" i="43"/>
  <c r="G358" i="43"/>
  <c r="F358" i="43"/>
  <c r="E358" i="43"/>
  <c r="D357" i="43"/>
  <c r="C357" i="43"/>
  <c r="B357" i="43"/>
  <c r="D356" i="43"/>
  <c r="C356" i="43"/>
  <c r="B356" i="43" s="1"/>
  <c r="B358" i="43" s="1"/>
  <c r="P355" i="43"/>
  <c r="O355" i="43"/>
  <c r="N355" i="43"/>
  <c r="M355" i="43"/>
  <c r="L355" i="43"/>
  <c r="K355" i="43"/>
  <c r="J355" i="43"/>
  <c r="I355" i="43"/>
  <c r="H355" i="43"/>
  <c r="G355" i="43"/>
  <c r="F355" i="43"/>
  <c r="E355" i="43"/>
  <c r="D354" i="43"/>
  <c r="C354" i="43"/>
  <c r="B354" i="43" s="1"/>
  <c r="D353" i="43"/>
  <c r="D355" i="43" s="1"/>
  <c r="C353" i="43"/>
  <c r="C355" i="43" s="1"/>
  <c r="P352" i="43"/>
  <c r="O352" i="43"/>
  <c r="N352" i="43"/>
  <c r="M352" i="43"/>
  <c r="L352" i="43"/>
  <c r="K352" i="43"/>
  <c r="J352" i="43"/>
  <c r="I352" i="43"/>
  <c r="H352" i="43"/>
  <c r="G352" i="43"/>
  <c r="F352" i="43"/>
  <c r="E352" i="43"/>
  <c r="D351" i="43"/>
  <c r="C351" i="43"/>
  <c r="B351" i="43" s="1"/>
  <c r="D350" i="43"/>
  <c r="C350" i="43"/>
  <c r="P349" i="43"/>
  <c r="O349" i="43"/>
  <c r="N349" i="43"/>
  <c r="M349" i="43"/>
  <c r="L349" i="43"/>
  <c r="K349" i="43"/>
  <c r="J349" i="43"/>
  <c r="I349" i="43"/>
  <c r="H349" i="43"/>
  <c r="G349" i="43"/>
  <c r="E349" i="43"/>
  <c r="F348" i="43"/>
  <c r="F360" i="43" s="1"/>
  <c r="C348" i="43"/>
  <c r="D347" i="43"/>
  <c r="C347" i="43"/>
  <c r="P346" i="43"/>
  <c r="O346" i="43"/>
  <c r="N346" i="43"/>
  <c r="M346" i="43"/>
  <c r="L346" i="43"/>
  <c r="K346" i="43"/>
  <c r="J346" i="43"/>
  <c r="I346" i="43"/>
  <c r="H346" i="43"/>
  <c r="G346" i="43"/>
  <c r="F346" i="43"/>
  <c r="E346" i="43"/>
  <c r="D345" i="43"/>
  <c r="C345" i="43"/>
  <c r="D344" i="43"/>
  <c r="D346" i="43" s="1"/>
  <c r="C344" i="43"/>
  <c r="C346" i="43" s="1"/>
  <c r="P343" i="43"/>
  <c r="O343" i="43"/>
  <c r="N343" i="43"/>
  <c r="M343" i="43"/>
  <c r="L343" i="43"/>
  <c r="K343" i="43"/>
  <c r="J343" i="43"/>
  <c r="I343" i="43"/>
  <c r="H343" i="43"/>
  <c r="G343" i="43"/>
  <c r="F343" i="43"/>
  <c r="E343" i="43"/>
  <c r="D342" i="43"/>
  <c r="C342" i="43"/>
  <c r="D341" i="43"/>
  <c r="C341" i="43"/>
  <c r="P340" i="43"/>
  <c r="O340" i="43"/>
  <c r="N340" i="43"/>
  <c r="M340" i="43"/>
  <c r="L340" i="43"/>
  <c r="K340" i="43"/>
  <c r="J340" i="43"/>
  <c r="I340" i="43"/>
  <c r="H340" i="43"/>
  <c r="G340" i="43"/>
  <c r="F340" i="43"/>
  <c r="E340" i="43"/>
  <c r="D339" i="43"/>
  <c r="C339" i="43"/>
  <c r="D338" i="43"/>
  <c r="D340" i="43" s="1"/>
  <c r="C338" i="43"/>
  <c r="C340" i="43" s="1"/>
  <c r="P337" i="43"/>
  <c r="O337" i="43"/>
  <c r="N337" i="43"/>
  <c r="M337" i="43"/>
  <c r="L337" i="43"/>
  <c r="K337" i="43"/>
  <c r="J337" i="43"/>
  <c r="I337" i="43"/>
  <c r="H337" i="43"/>
  <c r="G337" i="43"/>
  <c r="F337" i="43"/>
  <c r="E337" i="43"/>
  <c r="D336" i="43"/>
  <c r="C336" i="43"/>
  <c r="B336" i="43"/>
  <c r="D335" i="43"/>
  <c r="C335" i="43"/>
  <c r="B335" i="43" s="1"/>
  <c r="B337" i="43" s="1"/>
  <c r="P334" i="43"/>
  <c r="O334" i="43"/>
  <c r="N334" i="43"/>
  <c r="M334" i="43"/>
  <c r="L334" i="43"/>
  <c r="K334" i="43"/>
  <c r="J334" i="43"/>
  <c r="I334" i="43"/>
  <c r="H334" i="43"/>
  <c r="G334" i="43"/>
  <c r="F334" i="43"/>
  <c r="E334" i="43"/>
  <c r="D333" i="43"/>
  <c r="C333" i="43"/>
  <c r="B333" i="43" s="1"/>
  <c r="D332" i="43"/>
  <c r="D334" i="43" s="1"/>
  <c r="C332" i="43"/>
  <c r="C334" i="43" s="1"/>
  <c r="P331" i="43"/>
  <c r="O331" i="43"/>
  <c r="N331" i="43"/>
  <c r="M331" i="43"/>
  <c r="L331" i="43"/>
  <c r="K331" i="43"/>
  <c r="J331" i="43"/>
  <c r="I331" i="43"/>
  <c r="H331" i="43"/>
  <c r="G331" i="43"/>
  <c r="F331" i="43"/>
  <c r="E331" i="43"/>
  <c r="D330" i="43"/>
  <c r="C330" i="43"/>
  <c r="B330" i="43" s="1"/>
  <c r="D329" i="43"/>
  <c r="C329" i="43"/>
  <c r="P324" i="43"/>
  <c r="O324" i="43"/>
  <c r="N324" i="43"/>
  <c r="M324" i="43"/>
  <c r="L324" i="43"/>
  <c r="K324" i="43"/>
  <c r="J324" i="43"/>
  <c r="I324" i="43"/>
  <c r="H324" i="43"/>
  <c r="G324" i="43"/>
  <c r="F324" i="43"/>
  <c r="E324" i="43"/>
  <c r="P323" i="43"/>
  <c r="O323" i="43"/>
  <c r="N323" i="43"/>
  <c r="M323" i="43"/>
  <c r="L323" i="43"/>
  <c r="K323" i="43"/>
  <c r="J323" i="43"/>
  <c r="I323" i="43"/>
  <c r="H323" i="43"/>
  <c r="G323" i="43"/>
  <c r="F323" i="43"/>
  <c r="E323" i="43"/>
  <c r="P322" i="43"/>
  <c r="O322" i="43"/>
  <c r="N322" i="43"/>
  <c r="M322" i="43"/>
  <c r="L322" i="43"/>
  <c r="K322" i="43"/>
  <c r="J322" i="43"/>
  <c r="I322" i="43"/>
  <c r="H322" i="43"/>
  <c r="G322" i="43"/>
  <c r="F322" i="43"/>
  <c r="E322" i="43"/>
  <c r="D321" i="43"/>
  <c r="C321" i="43"/>
  <c r="B321" i="43" s="1"/>
  <c r="D320" i="43"/>
  <c r="D322" i="43" s="1"/>
  <c r="C320" i="43"/>
  <c r="P319" i="43"/>
  <c r="O319" i="43"/>
  <c r="N319" i="43"/>
  <c r="M319" i="43"/>
  <c r="L319" i="43"/>
  <c r="K319" i="43"/>
  <c r="J319" i="43"/>
  <c r="I319" i="43"/>
  <c r="H319" i="43"/>
  <c r="G319" i="43"/>
  <c r="F319" i="43"/>
  <c r="E319" i="43"/>
  <c r="D318" i="43"/>
  <c r="C318" i="43"/>
  <c r="D317" i="43"/>
  <c r="D319" i="43" s="1"/>
  <c r="C317" i="43"/>
  <c r="C319" i="43" s="1"/>
  <c r="P316" i="43"/>
  <c r="O316" i="43"/>
  <c r="N316" i="43"/>
  <c r="M316" i="43"/>
  <c r="L316" i="43"/>
  <c r="K316" i="43"/>
  <c r="J316" i="43"/>
  <c r="I316" i="43"/>
  <c r="H316" i="43"/>
  <c r="G316" i="43"/>
  <c r="F316" i="43"/>
  <c r="E316" i="43"/>
  <c r="D315" i="43"/>
  <c r="C315" i="43"/>
  <c r="D314" i="43"/>
  <c r="D316" i="43" s="1"/>
  <c r="C314" i="43"/>
  <c r="P313" i="43"/>
  <c r="O313" i="43"/>
  <c r="N313" i="43"/>
  <c r="M313" i="43"/>
  <c r="L313" i="43"/>
  <c r="K313" i="43"/>
  <c r="J313" i="43"/>
  <c r="I313" i="43"/>
  <c r="H313" i="43"/>
  <c r="G313" i="43"/>
  <c r="F313" i="43"/>
  <c r="E313" i="43"/>
  <c r="D312" i="43"/>
  <c r="C312" i="43"/>
  <c r="D311" i="43"/>
  <c r="D313" i="43" s="1"/>
  <c r="C311" i="43"/>
  <c r="C313" i="43" s="1"/>
  <c r="B311" i="43"/>
  <c r="P310" i="43"/>
  <c r="O310" i="43"/>
  <c r="N310" i="43"/>
  <c r="M310" i="43"/>
  <c r="L310" i="43"/>
  <c r="K310" i="43"/>
  <c r="J310" i="43"/>
  <c r="I310" i="43"/>
  <c r="H310" i="43"/>
  <c r="G310" i="43"/>
  <c r="F310" i="43"/>
  <c r="E310" i="43"/>
  <c r="D309" i="43"/>
  <c r="C309" i="43"/>
  <c r="B309" i="43" s="1"/>
  <c r="D308" i="43"/>
  <c r="D310" i="43" s="1"/>
  <c r="C308" i="43"/>
  <c r="P307" i="43"/>
  <c r="O307" i="43"/>
  <c r="N307" i="43"/>
  <c r="M307" i="43"/>
  <c r="L307" i="43"/>
  <c r="K307" i="43"/>
  <c r="J307" i="43"/>
  <c r="I307" i="43"/>
  <c r="H307" i="43"/>
  <c r="G307" i="43"/>
  <c r="F307" i="43"/>
  <c r="E307" i="43"/>
  <c r="D306" i="43"/>
  <c r="C306" i="43"/>
  <c r="D305" i="43"/>
  <c r="D307" i="43" s="1"/>
  <c r="C305" i="43"/>
  <c r="C307" i="43" s="1"/>
  <c r="P304" i="43"/>
  <c r="O304" i="43"/>
  <c r="N304" i="43"/>
  <c r="M304" i="43"/>
  <c r="L304" i="43"/>
  <c r="K304" i="43"/>
  <c r="J304" i="43"/>
  <c r="I304" i="43"/>
  <c r="H304" i="43"/>
  <c r="G304" i="43"/>
  <c r="F304" i="43"/>
  <c r="E304" i="43"/>
  <c r="D303" i="43"/>
  <c r="C303" i="43"/>
  <c r="D302" i="43"/>
  <c r="D304" i="43" s="1"/>
  <c r="C302" i="43"/>
  <c r="P301" i="43"/>
  <c r="O301" i="43"/>
  <c r="N301" i="43"/>
  <c r="M301" i="43"/>
  <c r="L301" i="43"/>
  <c r="K301" i="43"/>
  <c r="J301" i="43"/>
  <c r="I301" i="43"/>
  <c r="H301" i="43"/>
  <c r="G301" i="43"/>
  <c r="F301" i="43"/>
  <c r="E301" i="43"/>
  <c r="D300" i="43"/>
  <c r="C300" i="43"/>
  <c r="D299" i="43"/>
  <c r="D301" i="43" s="1"/>
  <c r="C299" i="43"/>
  <c r="C301" i="43" s="1"/>
  <c r="B299" i="43"/>
  <c r="P298" i="43"/>
  <c r="O298" i="43"/>
  <c r="N298" i="43"/>
  <c r="M298" i="43"/>
  <c r="L298" i="43"/>
  <c r="K298" i="43"/>
  <c r="J298" i="43"/>
  <c r="I298" i="43"/>
  <c r="H298" i="43"/>
  <c r="G298" i="43"/>
  <c r="F298" i="43"/>
  <c r="E298" i="43"/>
  <c r="D297" i="43"/>
  <c r="C297" i="43"/>
  <c r="B297" i="43" s="1"/>
  <c r="D296" i="43"/>
  <c r="D298" i="43" s="1"/>
  <c r="C296" i="43"/>
  <c r="P295" i="43"/>
  <c r="O295" i="43"/>
  <c r="N295" i="43"/>
  <c r="M295" i="43"/>
  <c r="L295" i="43"/>
  <c r="K295" i="43"/>
  <c r="J295" i="43"/>
  <c r="I295" i="43"/>
  <c r="H295" i="43"/>
  <c r="G295" i="43"/>
  <c r="F295" i="43"/>
  <c r="E295" i="43"/>
  <c r="D294" i="43"/>
  <c r="C294" i="43"/>
  <c r="D293" i="43"/>
  <c r="D295" i="43" s="1"/>
  <c r="C293" i="43"/>
  <c r="C295" i="43" s="1"/>
  <c r="P292" i="43"/>
  <c r="O292" i="43"/>
  <c r="N292" i="43"/>
  <c r="M292" i="43"/>
  <c r="L292" i="43"/>
  <c r="K292" i="43"/>
  <c r="J292" i="43"/>
  <c r="I292" i="43"/>
  <c r="H292" i="43"/>
  <c r="G292" i="43"/>
  <c r="F292" i="43"/>
  <c r="E292" i="43"/>
  <c r="D291" i="43"/>
  <c r="C291" i="43"/>
  <c r="D290" i="43"/>
  <c r="D292" i="43" s="1"/>
  <c r="C290" i="43"/>
  <c r="P289" i="43"/>
  <c r="O289" i="43"/>
  <c r="N289" i="43"/>
  <c r="M289" i="43"/>
  <c r="L289" i="43"/>
  <c r="K289" i="43"/>
  <c r="J289" i="43"/>
  <c r="I289" i="43"/>
  <c r="H289" i="43"/>
  <c r="G289" i="43"/>
  <c r="F289" i="43"/>
  <c r="E289" i="43"/>
  <c r="D288" i="43"/>
  <c r="C288" i="43"/>
  <c r="D287" i="43"/>
  <c r="D289" i="43" s="1"/>
  <c r="C287" i="43"/>
  <c r="C289" i="43" s="1"/>
  <c r="P286" i="43"/>
  <c r="O286" i="43"/>
  <c r="N286" i="43"/>
  <c r="M286" i="43"/>
  <c r="L286" i="43"/>
  <c r="K286" i="43"/>
  <c r="J286" i="43"/>
  <c r="I286" i="43"/>
  <c r="H286" i="43"/>
  <c r="G286" i="43"/>
  <c r="F286" i="43"/>
  <c r="E286" i="43"/>
  <c r="D285" i="43"/>
  <c r="C285" i="43"/>
  <c r="D284" i="43"/>
  <c r="D286" i="43" s="1"/>
  <c r="C284" i="43"/>
  <c r="P283" i="43"/>
  <c r="O283" i="43"/>
  <c r="N283" i="43"/>
  <c r="M283" i="43"/>
  <c r="L283" i="43"/>
  <c r="K283" i="43"/>
  <c r="J283" i="43"/>
  <c r="I283" i="43"/>
  <c r="H283" i="43"/>
  <c r="G283" i="43"/>
  <c r="F283" i="43"/>
  <c r="E283" i="43"/>
  <c r="D282" i="43"/>
  <c r="C282" i="43"/>
  <c r="D281" i="43"/>
  <c r="D283" i="43" s="1"/>
  <c r="C281" i="43"/>
  <c r="C283" i="43" s="1"/>
  <c r="B281" i="43"/>
  <c r="P280" i="43"/>
  <c r="O280" i="43"/>
  <c r="N280" i="43"/>
  <c r="M280" i="43"/>
  <c r="L280" i="43"/>
  <c r="K280" i="43"/>
  <c r="J280" i="43"/>
  <c r="I280" i="43"/>
  <c r="H280" i="43"/>
  <c r="G280" i="43"/>
  <c r="F280" i="43"/>
  <c r="E280" i="43"/>
  <c r="D279" i="43"/>
  <c r="C279" i="43"/>
  <c r="B279" i="43" s="1"/>
  <c r="D278" i="43"/>
  <c r="D280" i="43" s="1"/>
  <c r="C278" i="43"/>
  <c r="P277" i="43"/>
  <c r="O277" i="43"/>
  <c r="N277" i="43"/>
  <c r="M277" i="43"/>
  <c r="L277" i="43"/>
  <c r="K277" i="43"/>
  <c r="J277" i="43"/>
  <c r="I277" i="43"/>
  <c r="H277" i="43"/>
  <c r="G277" i="43"/>
  <c r="F277" i="43"/>
  <c r="E277" i="43"/>
  <c r="D276" i="43"/>
  <c r="C276" i="43"/>
  <c r="D275" i="43"/>
  <c r="D277" i="43" s="1"/>
  <c r="C275" i="43"/>
  <c r="C277" i="43" s="1"/>
  <c r="P274" i="43"/>
  <c r="O274" i="43"/>
  <c r="N274" i="43"/>
  <c r="M274" i="43"/>
  <c r="L274" i="43"/>
  <c r="K274" i="43"/>
  <c r="J274" i="43"/>
  <c r="I274" i="43"/>
  <c r="H274" i="43"/>
  <c r="G274" i="43"/>
  <c r="F274" i="43"/>
  <c r="E274" i="43"/>
  <c r="D273" i="43"/>
  <c r="C273" i="43"/>
  <c r="D272" i="43"/>
  <c r="D274" i="43" s="1"/>
  <c r="C272" i="43"/>
  <c r="P271" i="43"/>
  <c r="O271" i="43"/>
  <c r="N271" i="43"/>
  <c r="M271" i="43"/>
  <c r="L271" i="43"/>
  <c r="K271" i="43"/>
  <c r="J271" i="43"/>
  <c r="I271" i="43"/>
  <c r="H271" i="43"/>
  <c r="G271" i="43"/>
  <c r="F271" i="43"/>
  <c r="E271" i="43"/>
  <c r="D270" i="43"/>
  <c r="C270" i="43"/>
  <c r="D269" i="43"/>
  <c r="D271" i="43" s="1"/>
  <c r="C269" i="43"/>
  <c r="C271" i="43" s="1"/>
  <c r="P268" i="43"/>
  <c r="O268" i="43"/>
  <c r="N268" i="43"/>
  <c r="M268" i="43"/>
  <c r="L268" i="43"/>
  <c r="K268" i="43"/>
  <c r="J268" i="43"/>
  <c r="I268" i="43"/>
  <c r="H268" i="43"/>
  <c r="G268" i="43"/>
  <c r="F268" i="43"/>
  <c r="E268" i="43"/>
  <c r="D267" i="43"/>
  <c r="C267" i="43"/>
  <c r="D266" i="43"/>
  <c r="D268" i="43" s="1"/>
  <c r="C266" i="43"/>
  <c r="P265" i="43"/>
  <c r="O265" i="43"/>
  <c r="N265" i="43"/>
  <c r="M265" i="43"/>
  <c r="L265" i="43"/>
  <c r="K265" i="43"/>
  <c r="J265" i="43"/>
  <c r="I265" i="43"/>
  <c r="H265" i="43"/>
  <c r="G265" i="43"/>
  <c r="F265" i="43"/>
  <c r="E265" i="43"/>
  <c r="D264" i="43"/>
  <c r="C264" i="43"/>
  <c r="D263" i="43"/>
  <c r="D265" i="43" s="1"/>
  <c r="C263" i="43"/>
  <c r="C265" i="43" s="1"/>
  <c r="B263" i="43"/>
  <c r="P262" i="43"/>
  <c r="O262" i="43"/>
  <c r="N262" i="43"/>
  <c r="M262" i="43"/>
  <c r="L262" i="43"/>
  <c r="K262" i="43"/>
  <c r="J262" i="43"/>
  <c r="I262" i="43"/>
  <c r="H262" i="43"/>
  <c r="G262" i="43"/>
  <c r="F262" i="43"/>
  <c r="E262" i="43"/>
  <c r="D261" i="43"/>
  <c r="C261" i="43"/>
  <c r="B261" i="43" s="1"/>
  <c r="D260" i="43"/>
  <c r="D262" i="43" s="1"/>
  <c r="C260" i="43"/>
  <c r="P259" i="43"/>
  <c r="O259" i="43"/>
  <c r="N259" i="43"/>
  <c r="M259" i="43"/>
  <c r="L259" i="43"/>
  <c r="K259" i="43"/>
  <c r="J259" i="43"/>
  <c r="I259" i="43"/>
  <c r="H259" i="43"/>
  <c r="G259" i="43"/>
  <c r="F259" i="43"/>
  <c r="E259" i="43"/>
  <c r="D258" i="43"/>
  <c r="C258" i="43"/>
  <c r="D257" i="43"/>
  <c r="C257" i="43"/>
  <c r="C323" i="43" s="1"/>
  <c r="P252" i="43"/>
  <c r="O252" i="43"/>
  <c r="N252" i="43"/>
  <c r="M252" i="43"/>
  <c r="L252" i="43"/>
  <c r="K252" i="43"/>
  <c r="J252" i="43"/>
  <c r="I252" i="43"/>
  <c r="H252" i="43"/>
  <c r="G252" i="43"/>
  <c r="F252" i="43"/>
  <c r="E252" i="43"/>
  <c r="P251" i="43"/>
  <c r="O251" i="43"/>
  <c r="N251" i="43"/>
  <c r="M251" i="43"/>
  <c r="L251" i="43"/>
  <c r="K251" i="43"/>
  <c r="J251" i="43"/>
  <c r="I251" i="43"/>
  <c r="H251" i="43"/>
  <c r="G251" i="43"/>
  <c r="F251" i="43"/>
  <c r="E251" i="43"/>
  <c r="P250" i="43"/>
  <c r="O250" i="43"/>
  <c r="N250" i="43"/>
  <c r="M250" i="43"/>
  <c r="L250" i="43"/>
  <c r="K250" i="43"/>
  <c r="J250" i="43"/>
  <c r="I250" i="43"/>
  <c r="H250" i="43"/>
  <c r="G250" i="43"/>
  <c r="F250" i="43"/>
  <c r="E250" i="43"/>
  <c r="D249" i="43"/>
  <c r="C249" i="43"/>
  <c r="D248" i="43"/>
  <c r="D250" i="43" s="1"/>
  <c r="C248" i="43"/>
  <c r="C250" i="43" s="1"/>
  <c r="P247" i="43"/>
  <c r="O247" i="43"/>
  <c r="N247" i="43"/>
  <c r="M247" i="43"/>
  <c r="L247" i="43"/>
  <c r="K247" i="43"/>
  <c r="J247" i="43"/>
  <c r="I247" i="43"/>
  <c r="H247" i="43"/>
  <c r="G247" i="43"/>
  <c r="F247" i="43"/>
  <c r="E247" i="43"/>
  <c r="D246" i="43"/>
  <c r="C246" i="43"/>
  <c r="D245" i="43"/>
  <c r="C245" i="43"/>
  <c r="P244" i="43"/>
  <c r="O244" i="43"/>
  <c r="N244" i="43"/>
  <c r="M244" i="43"/>
  <c r="L244" i="43"/>
  <c r="K244" i="43"/>
  <c r="J244" i="43"/>
  <c r="I244" i="43"/>
  <c r="H244" i="43"/>
  <c r="G244" i="43"/>
  <c r="F244" i="43"/>
  <c r="E244" i="43"/>
  <c r="D243" i="43"/>
  <c r="C243" i="43"/>
  <c r="D242" i="43"/>
  <c r="D244" i="43" s="1"/>
  <c r="C242" i="43"/>
  <c r="C244" i="43" s="1"/>
  <c r="P241" i="43"/>
  <c r="O241" i="43"/>
  <c r="N241" i="43"/>
  <c r="M241" i="43"/>
  <c r="L241" i="43"/>
  <c r="K241" i="43"/>
  <c r="J241" i="43"/>
  <c r="I241" i="43"/>
  <c r="H241" i="43"/>
  <c r="G241" i="43"/>
  <c r="F241" i="43"/>
  <c r="E241" i="43"/>
  <c r="D240" i="43"/>
  <c r="C240" i="43"/>
  <c r="B240" i="43"/>
  <c r="D239" i="43"/>
  <c r="C239" i="43"/>
  <c r="B239" i="43" s="1"/>
  <c r="B241" i="43" s="1"/>
  <c r="P238" i="43"/>
  <c r="O238" i="43"/>
  <c r="N238" i="43"/>
  <c r="M238" i="43"/>
  <c r="L238" i="43"/>
  <c r="K238" i="43"/>
  <c r="J238" i="43"/>
  <c r="I238" i="43"/>
  <c r="G238" i="43"/>
  <c r="F238" i="43"/>
  <c r="E238" i="43"/>
  <c r="D237" i="43"/>
  <c r="C237" i="43"/>
  <c r="B237" i="43"/>
  <c r="D236" i="43"/>
  <c r="C236" i="43"/>
  <c r="B236" i="43" s="1"/>
  <c r="B238" i="43" s="1"/>
  <c r="P235" i="43"/>
  <c r="O235" i="43"/>
  <c r="N235" i="43"/>
  <c r="M235" i="43"/>
  <c r="L235" i="43"/>
  <c r="K235" i="43"/>
  <c r="J235" i="43"/>
  <c r="I235" i="43"/>
  <c r="H235" i="43"/>
  <c r="G235" i="43"/>
  <c r="F235" i="43"/>
  <c r="E235" i="43"/>
  <c r="D234" i="43"/>
  <c r="C234" i="43"/>
  <c r="B234" i="43" s="1"/>
  <c r="D233" i="43"/>
  <c r="D235" i="43" s="1"/>
  <c r="C233" i="43"/>
  <c r="C235" i="43" s="1"/>
  <c r="P232" i="43"/>
  <c r="O232" i="43"/>
  <c r="M232" i="43"/>
  <c r="K232" i="43"/>
  <c r="I232" i="43"/>
  <c r="H232" i="43"/>
  <c r="G232" i="43"/>
  <c r="F232" i="43"/>
  <c r="E232" i="43"/>
  <c r="D231" i="43"/>
  <c r="C231" i="43"/>
  <c r="D230" i="43"/>
  <c r="D232" i="43" s="1"/>
  <c r="C230" i="43"/>
  <c r="C232" i="43" s="1"/>
  <c r="P229" i="43"/>
  <c r="O229" i="43"/>
  <c r="N229" i="43"/>
  <c r="M229" i="43"/>
  <c r="L229" i="43"/>
  <c r="K229" i="43"/>
  <c r="J229" i="43"/>
  <c r="I229" i="43"/>
  <c r="H229" i="43"/>
  <c r="G229" i="43"/>
  <c r="F229" i="43"/>
  <c r="E229" i="43"/>
  <c r="D228" i="43"/>
  <c r="C228" i="43"/>
  <c r="D227" i="43"/>
  <c r="C227" i="43"/>
  <c r="P226" i="43"/>
  <c r="O226" i="43"/>
  <c r="N226" i="43"/>
  <c r="M226" i="43"/>
  <c r="L226" i="43"/>
  <c r="K226" i="43"/>
  <c r="J226" i="43"/>
  <c r="I226" i="43"/>
  <c r="H226" i="43"/>
  <c r="G226" i="43"/>
  <c r="F226" i="43"/>
  <c r="E226" i="43"/>
  <c r="D225" i="43"/>
  <c r="C225" i="43"/>
  <c r="D224" i="43"/>
  <c r="D226" i="43" s="1"/>
  <c r="C224" i="43"/>
  <c r="C226" i="43" s="1"/>
  <c r="P223" i="43"/>
  <c r="O223" i="43"/>
  <c r="N223" i="43"/>
  <c r="M223" i="43"/>
  <c r="L223" i="43"/>
  <c r="K223" i="43"/>
  <c r="J223" i="43"/>
  <c r="I223" i="43"/>
  <c r="H223" i="43"/>
  <c r="G223" i="43"/>
  <c r="F223" i="43"/>
  <c r="E223" i="43"/>
  <c r="D222" i="43"/>
  <c r="C222" i="43"/>
  <c r="D221" i="43"/>
  <c r="C221" i="43"/>
  <c r="P220" i="43"/>
  <c r="O220" i="43"/>
  <c r="N220" i="43"/>
  <c r="M220" i="43"/>
  <c r="L220" i="43"/>
  <c r="K220" i="43"/>
  <c r="J220" i="43"/>
  <c r="I220" i="43"/>
  <c r="H220" i="43"/>
  <c r="G220" i="43"/>
  <c r="F220" i="43"/>
  <c r="E220" i="43"/>
  <c r="D219" i="43"/>
  <c r="C219" i="43"/>
  <c r="D218" i="43"/>
  <c r="D220" i="43" s="1"/>
  <c r="C218" i="43"/>
  <c r="C220" i="43" s="1"/>
  <c r="P217" i="43"/>
  <c r="O217" i="43"/>
  <c r="N217" i="43"/>
  <c r="M217" i="43"/>
  <c r="L217" i="43"/>
  <c r="K217" i="43"/>
  <c r="J217" i="43"/>
  <c r="I217" i="43"/>
  <c r="H217" i="43"/>
  <c r="G217" i="43"/>
  <c r="F217" i="43"/>
  <c r="E217" i="43"/>
  <c r="D216" i="43"/>
  <c r="C216" i="43"/>
  <c r="B216" i="43"/>
  <c r="D215" i="43"/>
  <c r="C215" i="43"/>
  <c r="B215" i="43" s="1"/>
  <c r="B217" i="43" s="1"/>
  <c r="P214" i="43"/>
  <c r="O214" i="43"/>
  <c r="N214" i="43"/>
  <c r="M214" i="43"/>
  <c r="L214" i="43"/>
  <c r="K214" i="43"/>
  <c r="J214" i="43"/>
  <c r="I214" i="43"/>
  <c r="H214" i="43"/>
  <c r="F214" i="43"/>
  <c r="D213" i="43"/>
  <c r="C213" i="43"/>
  <c r="B213" i="43" s="1"/>
  <c r="D212" i="43"/>
  <c r="D214" i="43" s="1"/>
  <c r="C212" i="43"/>
  <c r="C214" i="43" s="1"/>
  <c r="P211" i="43"/>
  <c r="O211" i="43"/>
  <c r="N211" i="43"/>
  <c r="M211" i="43"/>
  <c r="L211" i="43"/>
  <c r="K211" i="43"/>
  <c r="J211" i="43"/>
  <c r="I211" i="43"/>
  <c r="H211" i="43"/>
  <c r="G211" i="43"/>
  <c r="F211" i="43"/>
  <c r="E211" i="43"/>
  <c r="D210" i="43"/>
  <c r="C210" i="43"/>
  <c r="B210" i="43" s="1"/>
  <c r="D209" i="43"/>
  <c r="C209" i="43"/>
  <c r="P208" i="43"/>
  <c r="O208" i="43"/>
  <c r="N208" i="43"/>
  <c r="M208" i="43"/>
  <c r="L208" i="43"/>
  <c r="K208" i="43"/>
  <c r="J208" i="43"/>
  <c r="I208" i="43"/>
  <c r="H208" i="43"/>
  <c r="G208" i="43"/>
  <c r="F208" i="43"/>
  <c r="E208" i="43"/>
  <c r="D207" i="43"/>
  <c r="C207" i="43"/>
  <c r="D206" i="43"/>
  <c r="D208" i="43" s="1"/>
  <c r="C206" i="43"/>
  <c r="C208" i="43" s="1"/>
  <c r="P205" i="43"/>
  <c r="O205" i="43"/>
  <c r="N205" i="43"/>
  <c r="M205" i="43"/>
  <c r="L205" i="43"/>
  <c r="K205" i="43"/>
  <c r="J205" i="43"/>
  <c r="I205" i="43"/>
  <c r="H205" i="43"/>
  <c r="G205" i="43"/>
  <c r="F205" i="43"/>
  <c r="E205" i="43"/>
  <c r="D204" i="43"/>
  <c r="C204" i="43"/>
  <c r="B204" i="43" s="1"/>
  <c r="D203" i="43"/>
  <c r="C203" i="43"/>
  <c r="P202" i="43"/>
  <c r="O202" i="43"/>
  <c r="N202" i="43"/>
  <c r="M202" i="43"/>
  <c r="L202" i="43"/>
  <c r="K202" i="43"/>
  <c r="J202" i="43"/>
  <c r="I202" i="43"/>
  <c r="H202" i="43"/>
  <c r="G202" i="43"/>
  <c r="F202" i="43"/>
  <c r="E202" i="43"/>
  <c r="D201" i="43"/>
  <c r="C201" i="43"/>
  <c r="D200" i="43"/>
  <c r="D202" i="43" s="1"/>
  <c r="C200" i="43"/>
  <c r="C202" i="43" s="1"/>
  <c r="P199" i="43"/>
  <c r="O199" i="43"/>
  <c r="N199" i="43"/>
  <c r="M199" i="43"/>
  <c r="L199" i="43"/>
  <c r="K199" i="43"/>
  <c r="J199" i="43"/>
  <c r="I199" i="43"/>
  <c r="H199" i="43"/>
  <c r="G199" i="43"/>
  <c r="F199" i="43"/>
  <c r="E199" i="43"/>
  <c r="D198" i="43"/>
  <c r="C198" i="43"/>
  <c r="D197" i="43"/>
  <c r="C197" i="43"/>
  <c r="P196" i="43"/>
  <c r="O196" i="43"/>
  <c r="N196" i="43"/>
  <c r="M196" i="43"/>
  <c r="L196" i="43"/>
  <c r="K196" i="43"/>
  <c r="J196" i="43"/>
  <c r="I196" i="43"/>
  <c r="H196" i="43"/>
  <c r="G196" i="43"/>
  <c r="F196" i="43"/>
  <c r="E196" i="43"/>
  <c r="D195" i="43"/>
  <c r="C195" i="43"/>
  <c r="D194" i="43"/>
  <c r="D196" i="43" s="1"/>
  <c r="C194" i="43"/>
  <c r="C196" i="43" s="1"/>
  <c r="P193" i="43"/>
  <c r="O193" i="43"/>
  <c r="N193" i="43"/>
  <c r="M193" i="43"/>
  <c r="L193" i="43"/>
  <c r="K193" i="43"/>
  <c r="J193" i="43"/>
  <c r="I193" i="43"/>
  <c r="H193" i="43"/>
  <c r="G193" i="43"/>
  <c r="F193" i="43"/>
  <c r="E193" i="43"/>
  <c r="D192" i="43"/>
  <c r="C192" i="43"/>
  <c r="B192" i="43"/>
  <c r="D191" i="43"/>
  <c r="C191" i="43"/>
  <c r="B191" i="43" s="1"/>
  <c r="B193" i="43" s="1"/>
  <c r="P190" i="43"/>
  <c r="O190" i="43"/>
  <c r="N190" i="43"/>
  <c r="M190" i="43"/>
  <c r="L190" i="43"/>
  <c r="K190" i="43"/>
  <c r="J190" i="43"/>
  <c r="I190" i="43"/>
  <c r="H190" i="43"/>
  <c r="G190" i="43"/>
  <c r="F190" i="43"/>
  <c r="E190" i="43"/>
  <c r="D189" i="43"/>
  <c r="C189" i="43"/>
  <c r="B189" i="43" s="1"/>
  <c r="D188" i="43"/>
  <c r="D190" i="43" s="1"/>
  <c r="C188" i="43"/>
  <c r="C190" i="43" s="1"/>
  <c r="P187" i="43"/>
  <c r="O187" i="43"/>
  <c r="N187" i="43"/>
  <c r="M187" i="43"/>
  <c r="L187" i="43"/>
  <c r="K187" i="43"/>
  <c r="J187" i="43"/>
  <c r="I187" i="43"/>
  <c r="H187" i="43"/>
  <c r="G187" i="43"/>
  <c r="F187" i="43"/>
  <c r="E187" i="43"/>
  <c r="D186" i="43"/>
  <c r="C186" i="43"/>
  <c r="B186" i="43" s="1"/>
  <c r="D185" i="43"/>
  <c r="C185" i="43"/>
  <c r="P184" i="43"/>
  <c r="O184" i="43"/>
  <c r="N184" i="43"/>
  <c r="M184" i="43"/>
  <c r="L184" i="43"/>
  <c r="K184" i="43"/>
  <c r="J184" i="43"/>
  <c r="I184" i="43"/>
  <c r="H184" i="43"/>
  <c r="G184" i="43"/>
  <c r="F184" i="43"/>
  <c r="E184" i="43"/>
  <c r="D183" i="43"/>
  <c r="C183" i="43"/>
  <c r="D182" i="43"/>
  <c r="D184" i="43" s="1"/>
  <c r="C182" i="43"/>
  <c r="C184" i="43" s="1"/>
  <c r="P181" i="43"/>
  <c r="O181" i="43"/>
  <c r="N181" i="43"/>
  <c r="M181" i="43"/>
  <c r="L181" i="43"/>
  <c r="K181" i="43"/>
  <c r="J181" i="43"/>
  <c r="I181" i="43"/>
  <c r="H181" i="43"/>
  <c r="G181" i="43"/>
  <c r="F181" i="43"/>
  <c r="E181" i="43"/>
  <c r="D180" i="43"/>
  <c r="C180" i="43"/>
  <c r="B180" i="43" s="1"/>
  <c r="D179" i="43"/>
  <c r="C179" i="43"/>
  <c r="P178" i="43"/>
  <c r="O178" i="43"/>
  <c r="N178" i="43"/>
  <c r="M178" i="43"/>
  <c r="L178" i="43"/>
  <c r="K178" i="43"/>
  <c r="J178" i="43"/>
  <c r="I178" i="43"/>
  <c r="H178" i="43"/>
  <c r="G178" i="43"/>
  <c r="F178" i="43"/>
  <c r="E178" i="43"/>
  <c r="D177" i="43"/>
  <c r="C177" i="43"/>
  <c r="D176" i="43"/>
  <c r="D178" i="43" s="1"/>
  <c r="C176" i="43"/>
  <c r="C178" i="43" s="1"/>
  <c r="P175" i="43"/>
  <c r="O175" i="43"/>
  <c r="N175" i="43"/>
  <c r="M175" i="43"/>
  <c r="L175" i="43"/>
  <c r="K175" i="43"/>
  <c r="J175" i="43"/>
  <c r="I175" i="43"/>
  <c r="H175" i="43"/>
  <c r="G175" i="43"/>
  <c r="F175" i="43"/>
  <c r="E175" i="43"/>
  <c r="D174" i="43"/>
  <c r="C174" i="43"/>
  <c r="D173" i="43"/>
  <c r="C173" i="43"/>
  <c r="P172" i="43"/>
  <c r="O172" i="43"/>
  <c r="N172" i="43"/>
  <c r="M172" i="43"/>
  <c r="L172" i="43"/>
  <c r="K172" i="43"/>
  <c r="J172" i="43"/>
  <c r="I172" i="43"/>
  <c r="H172" i="43"/>
  <c r="G172" i="43"/>
  <c r="F172" i="43"/>
  <c r="E172" i="43"/>
  <c r="D171" i="43"/>
  <c r="C171" i="43"/>
  <c r="D170" i="43"/>
  <c r="D172" i="43" s="1"/>
  <c r="C170" i="43"/>
  <c r="C172" i="43" s="1"/>
  <c r="P169" i="43"/>
  <c r="O169" i="43"/>
  <c r="N169" i="43"/>
  <c r="M169" i="43"/>
  <c r="L169" i="43"/>
  <c r="K169" i="43"/>
  <c r="J169" i="43"/>
  <c r="I169" i="43"/>
  <c r="H169" i="43"/>
  <c r="G169" i="43"/>
  <c r="F169" i="43"/>
  <c r="E169" i="43"/>
  <c r="D168" i="43"/>
  <c r="C168" i="43"/>
  <c r="B168" i="43"/>
  <c r="D167" i="43"/>
  <c r="C167" i="43"/>
  <c r="B167" i="43" s="1"/>
  <c r="B169" i="43" s="1"/>
  <c r="P166" i="43"/>
  <c r="O166" i="43"/>
  <c r="O253" i="43" s="1"/>
  <c r="N166" i="43"/>
  <c r="M166" i="43"/>
  <c r="M253" i="43" s="1"/>
  <c r="L166" i="43"/>
  <c r="K166" i="43"/>
  <c r="K253" i="43" s="1"/>
  <c r="J166" i="43"/>
  <c r="I166" i="43"/>
  <c r="I253" i="43" s="1"/>
  <c r="H166" i="43"/>
  <c r="G166" i="43"/>
  <c r="G253" i="43" s="1"/>
  <c r="F166" i="43"/>
  <c r="E166" i="43"/>
  <c r="E253" i="43" s="1"/>
  <c r="D165" i="43"/>
  <c r="C165" i="43"/>
  <c r="C252" i="43" s="1"/>
  <c r="D164" i="43"/>
  <c r="D251" i="43" s="1"/>
  <c r="C164" i="43"/>
  <c r="C166" i="43" s="1"/>
  <c r="P159" i="43"/>
  <c r="O159" i="43"/>
  <c r="N159" i="43"/>
  <c r="M159" i="43"/>
  <c r="L159" i="43"/>
  <c r="K159" i="43"/>
  <c r="J159" i="43"/>
  <c r="I159" i="43"/>
  <c r="H159" i="43"/>
  <c r="G159" i="43"/>
  <c r="F159" i="43"/>
  <c r="E159" i="43"/>
  <c r="P158" i="43"/>
  <c r="O158" i="43"/>
  <c r="N158" i="43"/>
  <c r="M158" i="43"/>
  <c r="L158" i="43"/>
  <c r="K158" i="43"/>
  <c r="J158" i="43"/>
  <c r="I158" i="43"/>
  <c r="H158" i="43"/>
  <c r="G158" i="43"/>
  <c r="F158" i="43"/>
  <c r="E158" i="43"/>
  <c r="P157" i="43"/>
  <c r="O157" i="43"/>
  <c r="N157" i="43"/>
  <c r="M157" i="43"/>
  <c r="L157" i="43"/>
  <c r="K157" i="43"/>
  <c r="J157" i="43"/>
  <c r="I157" i="43"/>
  <c r="H157" i="43"/>
  <c r="G157" i="43"/>
  <c r="F157" i="43"/>
  <c r="E157" i="43"/>
  <c r="D157" i="43"/>
  <c r="C157" i="43"/>
  <c r="D156" i="43"/>
  <c r="C156" i="43"/>
  <c r="D155" i="43"/>
  <c r="C155" i="43"/>
  <c r="B155" i="43" s="1"/>
  <c r="P154" i="43"/>
  <c r="O154" i="43"/>
  <c r="N154" i="43"/>
  <c r="M154" i="43"/>
  <c r="L154" i="43"/>
  <c r="K154" i="43"/>
  <c r="J154" i="43"/>
  <c r="I154" i="43"/>
  <c r="H154" i="43"/>
  <c r="G154" i="43"/>
  <c r="F154" i="43"/>
  <c r="E154" i="43"/>
  <c r="D154" i="43"/>
  <c r="C154" i="43"/>
  <c r="D153" i="43"/>
  <c r="C153" i="43"/>
  <c r="D152" i="43"/>
  <c r="C152" i="43"/>
  <c r="P151" i="43"/>
  <c r="O151" i="43"/>
  <c r="N151" i="43"/>
  <c r="M151" i="43"/>
  <c r="L151" i="43"/>
  <c r="K151" i="43"/>
  <c r="J151" i="43"/>
  <c r="I151" i="43"/>
  <c r="H151" i="43"/>
  <c r="G151" i="43"/>
  <c r="F151" i="43"/>
  <c r="E151" i="43"/>
  <c r="D151" i="43"/>
  <c r="C151" i="43"/>
  <c r="D150" i="43"/>
  <c r="C150" i="43"/>
  <c r="D149" i="43"/>
  <c r="C149" i="43"/>
  <c r="B149" i="43" s="1"/>
  <c r="P148" i="43"/>
  <c r="O148" i="43"/>
  <c r="N148" i="43"/>
  <c r="M148" i="43"/>
  <c r="L148" i="43"/>
  <c r="K148" i="43"/>
  <c r="J148" i="43"/>
  <c r="I148" i="43"/>
  <c r="H148" i="43"/>
  <c r="G148" i="43"/>
  <c r="F148" i="43"/>
  <c r="E148" i="43"/>
  <c r="D148" i="43"/>
  <c r="C148" i="43"/>
  <c r="D147" i="43"/>
  <c r="C147" i="43"/>
  <c r="D146" i="43"/>
  <c r="C146" i="43"/>
  <c r="P145" i="43"/>
  <c r="O145" i="43"/>
  <c r="N145" i="43"/>
  <c r="M145" i="43"/>
  <c r="L145" i="43"/>
  <c r="K145" i="43"/>
  <c r="J145" i="43"/>
  <c r="I145" i="43"/>
  <c r="H145" i="43"/>
  <c r="G145" i="43"/>
  <c r="F145" i="43"/>
  <c r="E145" i="43"/>
  <c r="D145" i="43"/>
  <c r="C145" i="43"/>
  <c r="D144" i="43"/>
  <c r="C144" i="43"/>
  <c r="D143" i="43"/>
  <c r="C143" i="43"/>
  <c r="P142" i="43"/>
  <c r="O142" i="43"/>
  <c r="N142" i="43"/>
  <c r="M142" i="43"/>
  <c r="L142" i="43"/>
  <c r="K142" i="43"/>
  <c r="J142" i="43"/>
  <c r="I142" i="43"/>
  <c r="H142" i="43"/>
  <c r="G142" i="43"/>
  <c r="F142" i="43"/>
  <c r="E142" i="43"/>
  <c r="D142" i="43"/>
  <c r="C142" i="43"/>
  <c r="D141" i="43"/>
  <c r="C141" i="43"/>
  <c r="D140" i="43"/>
  <c r="C140" i="43"/>
  <c r="P139" i="43"/>
  <c r="O139" i="43"/>
  <c r="N139" i="43"/>
  <c r="M139" i="43"/>
  <c r="L139" i="43"/>
  <c r="K139" i="43"/>
  <c r="J139" i="43"/>
  <c r="I139" i="43"/>
  <c r="H139" i="43"/>
  <c r="G139" i="43"/>
  <c r="F139" i="43"/>
  <c r="E139" i="43"/>
  <c r="D139" i="43"/>
  <c r="C139" i="43"/>
  <c r="D138" i="43"/>
  <c r="C138" i="43"/>
  <c r="D137" i="43"/>
  <c r="C137" i="43"/>
  <c r="B137" i="43"/>
  <c r="P136" i="43"/>
  <c r="O136" i="43"/>
  <c r="N136" i="43"/>
  <c r="M136" i="43"/>
  <c r="L136" i="43"/>
  <c r="K136" i="43"/>
  <c r="J136" i="43"/>
  <c r="I136" i="43"/>
  <c r="H136" i="43"/>
  <c r="G136" i="43"/>
  <c r="F136" i="43"/>
  <c r="E136" i="43"/>
  <c r="D136" i="43"/>
  <c r="C136" i="43"/>
  <c r="D135" i="43"/>
  <c r="C135" i="43"/>
  <c r="B135" i="43" s="1"/>
  <c r="D134" i="43"/>
  <c r="C134" i="43"/>
  <c r="P133" i="43"/>
  <c r="O133" i="43"/>
  <c r="N133" i="43"/>
  <c r="M133" i="43"/>
  <c r="L133" i="43"/>
  <c r="K133" i="43"/>
  <c r="J133" i="43"/>
  <c r="I133" i="43"/>
  <c r="H133" i="43"/>
  <c r="G133" i="43"/>
  <c r="F133" i="43"/>
  <c r="E133" i="43"/>
  <c r="D133" i="43"/>
  <c r="C133" i="43"/>
  <c r="D132" i="43"/>
  <c r="C132" i="43"/>
  <c r="D131" i="43"/>
  <c r="C131" i="43"/>
  <c r="B131" i="43" s="1"/>
  <c r="P130" i="43"/>
  <c r="O130" i="43"/>
  <c r="N130" i="43"/>
  <c r="M130" i="43"/>
  <c r="L130" i="43"/>
  <c r="K130" i="43"/>
  <c r="J130" i="43"/>
  <c r="I130" i="43"/>
  <c r="H130" i="43"/>
  <c r="G130" i="43"/>
  <c r="F130" i="43"/>
  <c r="E130" i="43"/>
  <c r="D130" i="43"/>
  <c r="C130" i="43"/>
  <c r="D129" i="43"/>
  <c r="C129" i="43"/>
  <c r="D128" i="43"/>
  <c r="C128" i="43"/>
  <c r="P127" i="43"/>
  <c r="O127" i="43"/>
  <c r="N127" i="43"/>
  <c r="M127" i="43"/>
  <c r="L127" i="43"/>
  <c r="K127" i="43"/>
  <c r="J127" i="43"/>
  <c r="I127" i="43"/>
  <c r="H127" i="43"/>
  <c r="G127" i="43"/>
  <c r="F127" i="43"/>
  <c r="E127" i="43"/>
  <c r="D127" i="43"/>
  <c r="C127" i="43"/>
  <c r="D126" i="43"/>
  <c r="C126" i="43"/>
  <c r="D125" i="43"/>
  <c r="C125" i="43"/>
  <c r="B125" i="43" s="1"/>
  <c r="P124" i="43"/>
  <c r="O124" i="43"/>
  <c r="N124" i="43"/>
  <c r="M124" i="43"/>
  <c r="L124" i="43"/>
  <c r="K124" i="43"/>
  <c r="J124" i="43"/>
  <c r="I124" i="43"/>
  <c r="H124" i="43"/>
  <c r="G124" i="43"/>
  <c r="F124" i="43"/>
  <c r="E124" i="43"/>
  <c r="D124" i="43"/>
  <c r="C124" i="43"/>
  <c r="D123" i="43"/>
  <c r="C123" i="43"/>
  <c r="D122" i="43"/>
  <c r="C122" i="43"/>
  <c r="P121" i="43"/>
  <c r="O121" i="43"/>
  <c r="N121" i="43"/>
  <c r="M121" i="43"/>
  <c r="L121" i="43"/>
  <c r="K121" i="43"/>
  <c r="J121" i="43"/>
  <c r="I121" i="43"/>
  <c r="H121" i="43"/>
  <c r="G121" i="43"/>
  <c r="F121" i="43"/>
  <c r="E121" i="43"/>
  <c r="D121" i="43"/>
  <c r="C121" i="43"/>
  <c r="D120" i="43"/>
  <c r="C120" i="43"/>
  <c r="D119" i="43"/>
  <c r="C119" i="43"/>
  <c r="P118" i="43"/>
  <c r="O118" i="43"/>
  <c r="N118" i="43"/>
  <c r="M118" i="43"/>
  <c r="L118" i="43"/>
  <c r="K118" i="43"/>
  <c r="J118" i="43"/>
  <c r="I118" i="43"/>
  <c r="H118" i="43"/>
  <c r="G118" i="43"/>
  <c r="F118" i="43"/>
  <c r="E118" i="43"/>
  <c r="D118" i="43"/>
  <c r="C118" i="43"/>
  <c r="D117" i="43"/>
  <c r="C117" i="43"/>
  <c r="D116" i="43"/>
  <c r="D158" i="43" s="1"/>
  <c r="C116" i="43"/>
  <c r="P111" i="43"/>
  <c r="O111" i="43"/>
  <c r="N111" i="43"/>
  <c r="M111" i="43"/>
  <c r="L111" i="43"/>
  <c r="K111" i="43"/>
  <c r="J111" i="43"/>
  <c r="I111" i="43"/>
  <c r="H111" i="43"/>
  <c r="G111" i="43"/>
  <c r="F111" i="43"/>
  <c r="E111" i="43"/>
  <c r="P110" i="43"/>
  <c r="O110" i="43"/>
  <c r="N110" i="43"/>
  <c r="M110" i="43"/>
  <c r="L110" i="43"/>
  <c r="K110" i="43"/>
  <c r="J110" i="43"/>
  <c r="I110" i="43"/>
  <c r="H110" i="43"/>
  <c r="G110" i="43"/>
  <c r="F110" i="43"/>
  <c r="E110" i="43"/>
  <c r="P109" i="43"/>
  <c r="O109" i="43"/>
  <c r="N109" i="43"/>
  <c r="M109" i="43"/>
  <c r="L109" i="43"/>
  <c r="K109" i="43"/>
  <c r="J109" i="43"/>
  <c r="I109" i="43"/>
  <c r="H109" i="43"/>
  <c r="G109" i="43"/>
  <c r="F109" i="43"/>
  <c r="E109" i="43"/>
  <c r="D108" i="43"/>
  <c r="C108" i="43"/>
  <c r="B108" i="43"/>
  <c r="D107" i="43"/>
  <c r="C107" i="43"/>
  <c r="B107" i="43" s="1"/>
  <c r="B109" i="43" s="1"/>
  <c r="P106" i="43"/>
  <c r="O106" i="43"/>
  <c r="N106" i="43"/>
  <c r="M106" i="43"/>
  <c r="L106" i="43"/>
  <c r="K106" i="43"/>
  <c r="J106" i="43"/>
  <c r="I106" i="43"/>
  <c r="H106" i="43"/>
  <c r="G106" i="43"/>
  <c r="F106" i="43"/>
  <c r="E106" i="43"/>
  <c r="D105" i="43"/>
  <c r="C105" i="43"/>
  <c r="B105" i="43" s="1"/>
  <c r="D104" i="43"/>
  <c r="D106" i="43" s="1"/>
  <c r="C104" i="43"/>
  <c r="C106" i="43" s="1"/>
  <c r="P103" i="43"/>
  <c r="O103" i="43"/>
  <c r="N103" i="43"/>
  <c r="M103" i="43"/>
  <c r="L103" i="43"/>
  <c r="K103" i="43"/>
  <c r="J103" i="43"/>
  <c r="I103" i="43"/>
  <c r="H103" i="43"/>
  <c r="G103" i="43"/>
  <c r="F103" i="43"/>
  <c r="E103" i="43"/>
  <c r="D102" i="43"/>
  <c r="C102" i="43"/>
  <c r="B102" i="43" s="1"/>
  <c r="D101" i="43"/>
  <c r="C101" i="43"/>
  <c r="B101" i="43" s="1"/>
  <c r="P100" i="43"/>
  <c r="O100" i="43"/>
  <c r="N100" i="43"/>
  <c r="M100" i="43"/>
  <c r="L100" i="43"/>
  <c r="K100" i="43"/>
  <c r="J100" i="43"/>
  <c r="I100" i="43"/>
  <c r="H100" i="43"/>
  <c r="G100" i="43"/>
  <c r="F100" i="43"/>
  <c r="E100" i="43"/>
  <c r="D99" i="43"/>
  <c r="C99" i="43"/>
  <c r="B99" i="43" s="1"/>
  <c r="D98" i="43"/>
  <c r="D100" i="43" s="1"/>
  <c r="C98" i="43"/>
  <c r="C100" i="43" s="1"/>
  <c r="P97" i="43"/>
  <c r="O97" i="43"/>
  <c r="N97" i="43"/>
  <c r="M97" i="43"/>
  <c r="L97" i="43"/>
  <c r="K97" i="43"/>
  <c r="J97" i="43"/>
  <c r="I97" i="43"/>
  <c r="H97" i="43"/>
  <c r="G97" i="43"/>
  <c r="F97" i="43"/>
  <c r="E97" i="43"/>
  <c r="D96" i="43"/>
  <c r="C96" i="43"/>
  <c r="B96" i="43" s="1"/>
  <c r="D95" i="43"/>
  <c r="C95" i="43"/>
  <c r="P94" i="43"/>
  <c r="O94" i="43"/>
  <c r="O112" i="43" s="1"/>
  <c r="N94" i="43"/>
  <c r="M94" i="43"/>
  <c r="M112" i="43" s="1"/>
  <c r="L94" i="43"/>
  <c r="K94" i="43"/>
  <c r="K112" i="43" s="1"/>
  <c r="J94" i="43"/>
  <c r="I94" i="43"/>
  <c r="I112" i="43" s="1"/>
  <c r="H94" i="43"/>
  <c r="G94" i="43"/>
  <c r="G112" i="43" s="1"/>
  <c r="F94" i="43"/>
  <c r="E94" i="43"/>
  <c r="E112" i="43" s="1"/>
  <c r="D93" i="43"/>
  <c r="C93" i="43"/>
  <c r="B93" i="43" s="1"/>
  <c r="D92" i="43"/>
  <c r="D110" i="43" s="1"/>
  <c r="C92" i="43"/>
  <c r="C110" i="43" s="1"/>
  <c r="P87" i="43"/>
  <c r="O87" i="43"/>
  <c r="N87" i="43"/>
  <c r="M87" i="43"/>
  <c r="L87" i="43"/>
  <c r="K87" i="43"/>
  <c r="J87" i="43"/>
  <c r="I87" i="43"/>
  <c r="H87" i="43"/>
  <c r="G87" i="43"/>
  <c r="F87" i="43"/>
  <c r="E87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4" i="43"/>
  <c r="C84" i="43"/>
  <c r="D83" i="43"/>
  <c r="D85" i="43" s="1"/>
  <c r="C83" i="43"/>
  <c r="C85" i="43" s="1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D81" i="43"/>
  <c r="C81" i="43"/>
  <c r="D80" i="43"/>
  <c r="C80" i="43"/>
  <c r="P79" i="43"/>
  <c r="O79" i="43"/>
  <c r="N79" i="43"/>
  <c r="M79" i="43"/>
  <c r="L79" i="43"/>
  <c r="K79" i="43"/>
  <c r="J79" i="43"/>
  <c r="I79" i="43"/>
  <c r="H79" i="43"/>
  <c r="G79" i="43"/>
  <c r="F79" i="43"/>
  <c r="E79" i="43"/>
  <c r="D79" i="43"/>
  <c r="C79" i="43"/>
  <c r="D78" i="43"/>
  <c r="C78" i="43"/>
  <c r="D77" i="43"/>
  <c r="C77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D75" i="43"/>
  <c r="C75" i="43"/>
  <c r="D74" i="43"/>
  <c r="C74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D72" i="43"/>
  <c r="C72" i="43"/>
  <c r="D71" i="43"/>
  <c r="C71" i="43"/>
  <c r="B71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D69" i="43"/>
  <c r="C69" i="43"/>
  <c r="B69" i="43" s="1"/>
  <c r="D68" i="43"/>
  <c r="C68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D66" i="43"/>
  <c r="C66" i="43"/>
  <c r="D65" i="43"/>
  <c r="C65" i="43"/>
  <c r="B65" i="43" s="1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D63" i="43"/>
  <c r="C63" i="43"/>
  <c r="B63" i="43" s="1"/>
  <c r="D62" i="43"/>
  <c r="C62" i="43"/>
  <c r="P61" i="43"/>
  <c r="O61" i="43"/>
  <c r="N61" i="43"/>
  <c r="M61" i="43"/>
  <c r="L61" i="43"/>
  <c r="K61" i="43"/>
  <c r="J61" i="43"/>
  <c r="I61" i="43"/>
  <c r="H61" i="43"/>
  <c r="G61" i="43"/>
  <c r="F61" i="43"/>
  <c r="E61" i="43"/>
  <c r="D61" i="43"/>
  <c r="C61" i="43"/>
  <c r="D60" i="43"/>
  <c r="C60" i="43"/>
  <c r="D59" i="43"/>
  <c r="C59" i="43"/>
  <c r="B59" i="43" s="1"/>
  <c r="P58" i="43"/>
  <c r="O58" i="43"/>
  <c r="N58" i="43"/>
  <c r="M58" i="43"/>
  <c r="L58" i="43"/>
  <c r="K58" i="43"/>
  <c r="J58" i="43"/>
  <c r="I58" i="43"/>
  <c r="H58" i="43"/>
  <c r="G58" i="43"/>
  <c r="F58" i="43"/>
  <c r="E58" i="43"/>
  <c r="D58" i="43"/>
  <c r="C58" i="43"/>
  <c r="D57" i="43"/>
  <c r="C57" i="43"/>
  <c r="D56" i="43"/>
  <c r="C56" i="43"/>
  <c r="P55" i="43"/>
  <c r="O55" i="43"/>
  <c r="N55" i="43"/>
  <c r="M55" i="43"/>
  <c r="L55" i="43"/>
  <c r="K55" i="43"/>
  <c r="J55" i="43"/>
  <c r="I55" i="43"/>
  <c r="H55" i="43"/>
  <c r="G55" i="43"/>
  <c r="F55" i="43"/>
  <c r="E55" i="43"/>
  <c r="D55" i="43"/>
  <c r="C55" i="43"/>
  <c r="D54" i="43"/>
  <c r="C54" i="43"/>
  <c r="D53" i="43"/>
  <c r="C53" i="43"/>
  <c r="B53" i="43"/>
  <c r="P52" i="43"/>
  <c r="O52" i="43"/>
  <c r="N52" i="43"/>
  <c r="M52" i="43"/>
  <c r="L52" i="43"/>
  <c r="K52" i="43"/>
  <c r="J52" i="43"/>
  <c r="I52" i="43"/>
  <c r="H52" i="43"/>
  <c r="G52" i="43"/>
  <c r="F52" i="43"/>
  <c r="E52" i="43"/>
  <c r="D52" i="43"/>
  <c r="C52" i="43"/>
  <c r="D51" i="43"/>
  <c r="C51" i="43"/>
  <c r="B51" i="43" s="1"/>
  <c r="D50" i="43"/>
  <c r="C50" i="43"/>
  <c r="P49" i="43"/>
  <c r="O49" i="43"/>
  <c r="N49" i="43"/>
  <c r="M49" i="43"/>
  <c r="L49" i="43"/>
  <c r="K49" i="43"/>
  <c r="J49" i="43"/>
  <c r="I49" i="43"/>
  <c r="H49" i="43"/>
  <c r="G49" i="43"/>
  <c r="F49" i="43"/>
  <c r="E49" i="43"/>
  <c r="D49" i="43"/>
  <c r="C49" i="43"/>
  <c r="D48" i="43"/>
  <c r="C48" i="43"/>
  <c r="D47" i="43"/>
  <c r="C47" i="43"/>
  <c r="B47" i="43" s="1"/>
  <c r="P46" i="43"/>
  <c r="O46" i="43"/>
  <c r="N46" i="43"/>
  <c r="M46" i="43"/>
  <c r="L46" i="43"/>
  <c r="K46" i="43"/>
  <c r="J46" i="43"/>
  <c r="I46" i="43"/>
  <c r="H46" i="43"/>
  <c r="G46" i="43"/>
  <c r="F46" i="43"/>
  <c r="E46" i="43"/>
  <c r="D46" i="43"/>
  <c r="C46" i="43"/>
  <c r="D45" i="43"/>
  <c r="C45" i="43"/>
  <c r="D44" i="43"/>
  <c r="C44" i="43"/>
  <c r="P43" i="43"/>
  <c r="O43" i="43"/>
  <c r="N43" i="43"/>
  <c r="M43" i="43"/>
  <c r="L43" i="43"/>
  <c r="K43" i="43"/>
  <c r="J43" i="43"/>
  <c r="I43" i="43"/>
  <c r="H43" i="43"/>
  <c r="G43" i="43"/>
  <c r="F43" i="43"/>
  <c r="E43" i="43"/>
  <c r="D43" i="43"/>
  <c r="C43" i="43"/>
  <c r="D42" i="43"/>
  <c r="C42" i="43"/>
  <c r="D41" i="43"/>
  <c r="C41" i="43"/>
  <c r="P40" i="43"/>
  <c r="O40" i="43"/>
  <c r="N40" i="43"/>
  <c r="M40" i="43"/>
  <c r="L40" i="43"/>
  <c r="K40" i="43"/>
  <c r="J40" i="43"/>
  <c r="I40" i="43"/>
  <c r="H40" i="43"/>
  <c r="G40" i="43"/>
  <c r="F40" i="43"/>
  <c r="E40" i="43"/>
  <c r="D40" i="43"/>
  <c r="C40" i="43"/>
  <c r="D39" i="43"/>
  <c r="C39" i="43"/>
  <c r="D38" i="43"/>
  <c r="C38" i="43"/>
  <c r="P37" i="43"/>
  <c r="O37" i="43"/>
  <c r="N37" i="43"/>
  <c r="M37" i="43"/>
  <c r="L37" i="43"/>
  <c r="K37" i="43"/>
  <c r="J37" i="43"/>
  <c r="I37" i="43"/>
  <c r="H37" i="43"/>
  <c r="G37" i="43"/>
  <c r="F37" i="43"/>
  <c r="E37" i="43"/>
  <c r="D37" i="43"/>
  <c r="C37" i="43"/>
  <c r="D36" i="43"/>
  <c r="C36" i="43"/>
  <c r="D35" i="43"/>
  <c r="C35" i="43"/>
  <c r="B35" i="43"/>
  <c r="P34" i="43"/>
  <c r="O34" i="43"/>
  <c r="N34" i="43"/>
  <c r="M34" i="43"/>
  <c r="L34" i="43"/>
  <c r="K34" i="43"/>
  <c r="J34" i="43"/>
  <c r="I34" i="43"/>
  <c r="H34" i="43"/>
  <c r="G34" i="43"/>
  <c r="F34" i="43"/>
  <c r="E34" i="43"/>
  <c r="D34" i="43"/>
  <c r="C34" i="43"/>
  <c r="D33" i="43"/>
  <c r="C33" i="43"/>
  <c r="B33" i="43" s="1"/>
  <c r="D32" i="43"/>
  <c r="C32" i="43"/>
  <c r="P31" i="43"/>
  <c r="O31" i="43"/>
  <c r="N31" i="43"/>
  <c r="M31" i="43"/>
  <c r="L31" i="43"/>
  <c r="K31" i="43"/>
  <c r="J31" i="43"/>
  <c r="I31" i="43"/>
  <c r="H31" i="43"/>
  <c r="G31" i="43"/>
  <c r="F31" i="43"/>
  <c r="E31" i="43"/>
  <c r="D31" i="43"/>
  <c r="C31" i="43"/>
  <c r="D30" i="43"/>
  <c r="C30" i="43"/>
  <c r="D29" i="43"/>
  <c r="C29" i="43"/>
  <c r="B29" i="43" s="1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D27" i="43"/>
  <c r="C27" i="43"/>
  <c r="B27" i="43" s="1"/>
  <c r="D26" i="43"/>
  <c r="C26" i="43"/>
  <c r="P25" i="43"/>
  <c r="O25" i="43"/>
  <c r="N25" i="43"/>
  <c r="M25" i="43"/>
  <c r="L25" i="43"/>
  <c r="K25" i="43"/>
  <c r="J25" i="43"/>
  <c r="I25" i="43"/>
  <c r="H25" i="43"/>
  <c r="G25" i="43"/>
  <c r="F25" i="43"/>
  <c r="E25" i="43"/>
  <c r="D25" i="43"/>
  <c r="C25" i="43"/>
  <c r="D24" i="43"/>
  <c r="C24" i="43"/>
  <c r="D23" i="43"/>
  <c r="C23" i="43"/>
  <c r="B23" i="43" s="1"/>
  <c r="P22" i="43"/>
  <c r="O22" i="43"/>
  <c r="N22" i="43"/>
  <c r="M22" i="43"/>
  <c r="L22" i="43"/>
  <c r="K22" i="43"/>
  <c r="J22" i="43"/>
  <c r="I22" i="43"/>
  <c r="H22" i="43"/>
  <c r="G22" i="43"/>
  <c r="F22" i="43"/>
  <c r="E22" i="43"/>
  <c r="D22" i="43"/>
  <c r="C22" i="43"/>
  <c r="D21" i="43"/>
  <c r="C21" i="43"/>
  <c r="D20" i="43"/>
  <c r="C20" i="43"/>
  <c r="P19" i="43"/>
  <c r="O19" i="43"/>
  <c r="N19" i="43"/>
  <c r="M19" i="43"/>
  <c r="L19" i="43"/>
  <c r="K19" i="43"/>
  <c r="J19" i="43"/>
  <c r="I19" i="43"/>
  <c r="H19" i="43"/>
  <c r="G19" i="43"/>
  <c r="F19" i="43"/>
  <c r="E19" i="43"/>
  <c r="D19" i="43"/>
  <c r="C19" i="43"/>
  <c r="D18" i="43"/>
  <c r="C18" i="43"/>
  <c r="D17" i="43"/>
  <c r="C17" i="43"/>
  <c r="P16" i="43"/>
  <c r="O16" i="43"/>
  <c r="N16" i="43"/>
  <c r="M16" i="43"/>
  <c r="L16" i="43"/>
  <c r="K16" i="43"/>
  <c r="J16" i="43"/>
  <c r="I16" i="43"/>
  <c r="H16" i="43"/>
  <c r="G16" i="43"/>
  <c r="F16" i="43"/>
  <c r="E16" i="43"/>
  <c r="D16" i="43"/>
  <c r="C16" i="43"/>
  <c r="D15" i="43"/>
  <c r="C15" i="43"/>
  <c r="D14" i="43"/>
  <c r="C14" i="43"/>
  <c r="P13" i="43"/>
  <c r="O13" i="43"/>
  <c r="N13" i="43"/>
  <c r="M13" i="43"/>
  <c r="L13" i="43"/>
  <c r="K13" i="43"/>
  <c r="J13" i="43"/>
  <c r="I13" i="43"/>
  <c r="H13" i="43"/>
  <c r="G13" i="43"/>
  <c r="F13" i="43"/>
  <c r="E13" i="43"/>
  <c r="D13" i="43"/>
  <c r="C13" i="43"/>
  <c r="D12" i="43"/>
  <c r="C12" i="43"/>
  <c r="D11" i="43"/>
  <c r="C11" i="43"/>
  <c r="B11" i="43"/>
  <c r="P10" i="43"/>
  <c r="O10" i="43"/>
  <c r="N10" i="43"/>
  <c r="M10" i="43"/>
  <c r="L10" i="43"/>
  <c r="K10" i="43"/>
  <c r="J10" i="43"/>
  <c r="I10" i="43"/>
  <c r="H10" i="43"/>
  <c r="G10" i="43"/>
  <c r="F10" i="43"/>
  <c r="E10" i="43"/>
  <c r="D10" i="43"/>
  <c r="C10" i="43"/>
  <c r="D9" i="43"/>
  <c r="C9" i="43"/>
  <c r="B9" i="43" s="1"/>
  <c r="D8" i="43"/>
  <c r="C8" i="43"/>
  <c r="P7" i="43"/>
  <c r="O7" i="43"/>
  <c r="N7" i="43"/>
  <c r="M7" i="43"/>
  <c r="L7" i="43"/>
  <c r="K7" i="43"/>
  <c r="J7" i="43"/>
  <c r="I7" i="43"/>
  <c r="H7" i="43"/>
  <c r="G7" i="43"/>
  <c r="F7" i="43"/>
  <c r="E7" i="43"/>
  <c r="D7" i="43"/>
  <c r="C7" i="43"/>
  <c r="D6" i="43"/>
  <c r="C6" i="43"/>
  <c r="D5" i="43"/>
  <c r="C5" i="43"/>
  <c r="C86" i="43" s="1"/>
  <c r="Q81" i="42"/>
  <c r="P81" i="42"/>
  <c r="O81" i="42"/>
  <c r="N81" i="42"/>
  <c r="M81" i="42"/>
  <c r="L81" i="42"/>
  <c r="K81" i="42"/>
  <c r="J81" i="42"/>
  <c r="I81" i="42"/>
  <c r="H81" i="42"/>
  <c r="G81" i="42"/>
  <c r="F81" i="42"/>
  <c r="Q80" i="42"/>
  <c r="P80" i="42"/>
  <c r="O80" i="42"/>
  <c r="N80" i="42"/>
  <c r="M80" i="42"/>
  <c r="L80" i="42"/>
  <c r="K80" i="42"/>
  <c r="J80" i="42"/>
  <c r="I80" i="42"/>
  <c r="H80" i="42"/>
  <c r="G80" i="42"/>
  <c r="F80" i="42"/>
  <c r="Q79" i="42"/>
  <c r="P79" i="42"/>
  <c r="O79" i="42"/>
  <c r="N79" i="42"/>
  <c r="M79" i="42"/>
  <c r="L79" i="42"/>
  <c r="K79" i="42"/>
  <c r="J79" i="42"/>
  <c r="I79" i="42"/>
  <c r="H79" i="42"/>
  <c r="G79" i="42"/>
  <c r="F79" i="42"/>
  <c r="E78" i="42"/>
  <c r="D78" i="42"/>
  <c r="E77" i="42"/>
  <c r="E79" i="42" s="1"/>
  <c r="D77" i="42"/>
  <c r="D79" i="42" s="1"/>
  <c r="Q76" i="42"/>
  <c r="P76" i="42"/>
  <c r="O76" i="42"/>
  <c r="N76" i="42"/>
  <c r="M76" i="42"/>
  <c r="L76" i="42"/>
  <c r="K76" i="42"/>
  <c r="J76" i="42"/>
  <c r="I76" i="42"/>
  <c r="H76" i="42"/>
  <c r="G76" i="42"/>
  <c r="F76" i="42"/>
  <c r="E75" i="42"/>
  <c r="D75" i="42"/>
  <c r="E74" i="42"/>
  <c r="E76" i="42" s="1"/>
  <c r="D74" i="42"/>
  <c r="D76" i="42" s="1"/>
  <c r="Q73" i="42"/>
  <c r="P73" i="42"/>
  <c r="O73" i="42"/>
  <c r="N73" i="42"/>
  <c r="M73" i="42"/>
  <c r="L73" i="42"/>
  <c r="K73" i="42"/>
  <c r="J73" i="42"/>
  <c r="I73" i="42"/>
  <c r="H73" i="42"/>
  <c r="G73" i="42"/>
  <c r="F73" i="42"/>
  <c r="E72" i="42"/>
  <c r="D72" i="42"/>
  <c r="E71" i="42"/>
  <c r="E73" i="42" s="1"/>
  <c r="D71" i="42"/>
  <c r="D73" i="42" s="1"/>
  <c r="Q70" i="42"/>
  <c r="P70" i="42"/>
  <c r="O70" i="42"/>
  <c r="N70" i="42"/>
  <c r="M70" i="42"/>
  <c r="L70" i="42"/>
  <c r="K70" i="42"/>
  <c r="J70" i="42"/>
  <c r="I70" i="42"/>
  <c r="H70" i="42"/>
  <c r="G70" i="42"/>
  <c r="F70" i="42"/>
  <c r="E69" i="42"/>
  <c r="D69" i="42"/>
  <c r="C69" i="42"/>
  <c r="E68" i="42"/>
  <c r="D68" i="42"/>
  <c r="D70" i="42" s="1"/>
  <c r="Q67" i="42"/>
  <c r="P67" i="42"/>
  <c r="O67" i="42"/>
  <c r="N67" i="42"/>
  <c r="M67" i="42"/>
  <c r="L67" i="42"/>
  <c r="K67" i="42"/>
  <c r="J67" i="42"/>
  <c r="I67" i="42"/>
  <c r="H67" i="42"/>
  <c r="G67" i="42"/>
  <c r="F67" i="42"/>
  <c r="E66" i="42"/>
  <c r="D66" i="42"/>
  <c r="C66" i="42" s="1"/>
  <c r="E65" i="42"/>
  <c r="E67" i="42" s="1"/>
  <c r="D65" i="42"/>
  <c r="D67" i="42" s="1"/>
  <c r="Q64" i="42"/>
  <c r="P64" i="42"/>
  <c r="O64" i="42"/>
  <c r="N64" i="42"/>
  <c r="M64" i="42"/>
  <c r="L64" i="42"/>
  <c r="K64" i="42"/>
  <c r="J64" i="42"/>
  <c r="I64" i="42"/>
  <c r="H64" i="42"/>
  <c r="G64" i="42"/>
  <c r="F64" i="42"/>
  <c r="E63" i="42"/>
  <c r="D63" i="42"/>
  <c r="C63" i="42" s="1"/>
  <c r="E62" i="42"/>
  <c r="D62" i="42"/>
  <c r="Q61" i="42"/>
  <c r="P61" i="42"/>
  <c r="O61" i="42"/>
  <c r="N61" i="42"/>
  <c r="M61" i="42"/>
  <c r="L61" i="42"/>
  <c r="K61" i="42"/>
  <c r="J61" i="42"/>
  <c r="I61" i="42"/>
  <c r="H61" i="42"/>
  <c r="G61" i="42"/>
  <c r="F61" i="42"/>
  <c r="E60" i="42"/>
  <c r="D60" i="42"/>
  <c r="E59" i="42"/>
  <c r="E61" i="42" s="1"/>
  <c r="D59" i="42"/>
  <c r="D61" i="42" s="1"/>
  <c r="Q58" i="42"/>
  <c r="P58" i="42"/>
  <c r="O58" i="42"/>
  <c r="N58" i="42"/>
  <c r="M58" i="42"/>
  <c r="L58" i="42"/>
  <c r="K58" i="42"/>
  <c r="J58" i="42"/>
  <c r="I58" i="42"/>
  <c r="H58" i="42"/>
  <c r="G58" i="42"/>
  <c r="F58" i="42"/>
  <c r="E57" i="42"/>
  <c r="D57" i="42"/>
  <c r="C57" i="42"/>
  <c r="E56" i="42"/>
  <c r="D56" i="42"/>
  <c r="D58" i="42" s="1"/>
  <c r="Q55" i="42"/>
  <c r="P55" i="42"/>
  <c r="O55" i="42"/>
  <c r="N55" i="42"/>
  <c r="M55" i="42"/>
  <c r="L55" i="42"/>
  <c r="K55" i="42"/>
  <c r="J55" i="42"/>
  <c r="I55" i="42"/>
  <c r="H55" i="42"/>
  <c r="G55" i="42"/>
  <c r="F55" i="42"/>
  <c r="E54" i="42"/>
  <c r="D54" i="42"/>
  <c r="C54" i="42" s="1"/>
  <c r="E53" i="42"/>
  <c r="E55" i="42" s="1"/>
  <c r="D53" i="42"/>
  <c r="D55" i="42" s="1"/>
  <c r="Q52" i="42"/>
  <c r="P52" i="42"/>
  <c r="O52" i="42"/>
  <c r="N52" i="42"/>
  <c r="M52" i="42"/>
  <c r="L52" i="42"/>
  <c r="K52" i="42"/>
  <c r="J52" i="42"/>
  <c r="I52" i="42"/>
  <c r="H52" i="42"/>
  <c r="G52" i="42"/>
  <c r="F52" i="42"/>
  <c r="E51" i="42"/>
  <c r="D51" i="42"/>
  <c r="C51" i="42" s="1"/>
  <c r="E50" i="42"/>
  <c r="E52" i="42" s="1"/>
  <c r="D50" i="42"/>
  <c r="D52" i="42" s="1"/>
  <c r="Q49" i="42"/>
  <c r="P49" i="42"/>
  <c r="O49" i="42"/>
  <c r="N49" i="42"/>
  <c r="M49" i="42"/>
  <c r="L49" i="42"/>
  <c r="K49" i="42"/>
  <c r="J49" i="42"/>
  <c r="I49" i="42"/>
  <c r="H49" i="42"/>
  <c r="G49" i="42"/>
  <c r="F49" i="42"/>
  <c r="E48" i="42"/>
  <c r="D48" i="42"/>
  <c r="C48" i="42" s="1"/>
  <c r="E47" i="42"/>
  <c r="E49" i="42" s="1"/>
  <c r="D47" i="42"/>
  <c r="D49" i="42" s="1"/>
  <c r="Q46" i="42"/>
  <c r="P46" i="42"/>
  <c r="O46" i="42"/>
  <c r="N46" i="42"/>
  <c r="M46" i="42"/>
  <c r="L46" i="42"/>
  <c r="K46" i="42"/>
  <c r="J46" i="42"/>
  <c r="I46" i="42"/>
  <c r="H46" i="42"/>
  <c r="G46" i="42"/>
  <c r="F46" i="42"/>
  <c r="E45" i="42"/>
  <c r="D45" i="42"/>
  <c r="C45" i="42"/>
  <c r="E44" i="42"/>
  <c r="D44" i="42"/>
  <c r="D46" i="42" s="1"/>
  <c r="Q43" i="42"/>
  <c r="P43" i="42"/>
  <c r="O43" i="42"/>
  <c r="N43" i="42"/>
  <c r="M43" i="42"/>
  <c r="L43" i="42"/>
  <c r="K43" i="42"/>
  <c r="J43" i="42"/>
  <c r="I43" i="42"/>
  <c r="H43" i="42"/>
  <c r="G43" i="42"/>
  <c r="F43" i="42"/>
  <c r="E42" i="42"/>
  <c r="D42" i="42"/>
  <c r="C42" i="42" s="1"/>
  <c r="E41" i="42"/>
  <c r="E43" i="42" s="1"/>
  <c r="D41" i="42"/>
  <c r="D43" i="42" s="1"/>
  <c r="Q40" i="42"/>
  <c r="P40" i="42"/>
  <c r="O40" i="42"/>
  <c r="N40" i="42"/>
  <c r="M40" i="42"/>
  <c r="L40" i="42"/>
  <c r="K40" i="42"/>
  <c r="J40" i="42"/>
  <c r="I40" i="42"/>
  <c r="H40" i="42"/>
  <c r="G40" i="42"/>
  <c r="F40" i="42"/>
  <c r="E39" i="42"/>
  <c r="D39" i="42"/>
  <c r="E38" i="42"/>
  <c r="E40" i="42" s="1"/>
  <c r="D38" i="42"/>
  <c r="D40" i="42" s="1"/>
  <c r="Q37" i="42"/>
  <c r="P37" i="42"/>
  <c r="O37" i="42"/>
  <c r="N37" i="42"/>
  <c r="M37" i="42"/>
  <c r="L37" i="42"/>
  <c r="K37" i="42"/>
  <c r="J37" i="42"/>
  <c r="I37" i="42"/>
  <c r="H37" i="42"/>
  <c r="G37" i="42"/>
  <c r="F37" i="42"/>
  <c r="E36" i="42"/>
  <c r="D36" i="42"/>
  <c r="E35" i="42"/>
  <c r="E37" i="42" s="1"/>
  <c r="D35" i="42"/>
  <c r="D37" i="42" s="1"/>
  <c r="C35" i="42"/>
  <c r="Q34" i="42"/>
  <c r="P34" i="42"/>
  <c r="O34" i="42"/>
  <c r="N34" i="42"/>
  <c r="M34" i="42"/>
  <c r="L34" i="42"/>
  <c r="K34" i="42"/>
  <c r="J34" i="42"/>
  <c r="I34" i="42"/>
  <c r="H34" i="42"/>
  <c r="G34" i="42"/>
  <c r="F34" i="42"/>
  <c r="E33" i="42"/>
  <c r="D33" i="42"/>
  <c r="C33" i="42" s="1"/>
  <c r="E32" i="42"/>
  <c r="E34" i="42" s="1"/>
  <c r="D32" i="42"/>
  <c r="Q31" i="42"/>
  <c r="P31" i="42"/>
  <c r="O31" i="42"/>
  <c r="N31" i="42"/>
  <c r="M31" i="42"/>
  <c r="L31" i="42"/>
  <c r="K31" i="42"/>
  <c r="J31" i="42"/>
  <c r="I31" i="42"/>
  <c r="H31" i="42"/>
  <c r="G31" i="42"/>
  <c r="F31" i="42"/>
  <c r="E30" i="42"/>
  <c r="D30" i="42"/>
  <c r="E29" i="42"/>
  <c r="E31" i="42" s="1"/>
  <c r="D29" i="42"/>
  <c r="D31" i="42" s="1"/>
  <c r="Q28" i="42"/>
  <c r="P28" i="42"/>
  <c r="O28" i="42"/>
  <c r="N28" i="42"/>
  <c r="M28" i="42"/>
  <c r="L28" i="42"/>
  <c r="K28" i="42"/>
  <c r="J28" i="42"/>
  <c r="I28" i="42"/>
  <c r="H28" i="42"/>
  <c r="G28" i="42"/>
  <c r="F28" i="42"/>
  <c r="E27" i="42"/>
  <c r="D27" i="42"/>
  <c r="C27" i="42"/>
  <c r="E26" i="42"/>
  <c r="D26" i="42"/>
  <c r="D28" i="42" s="1"/>
  <c r="Q25" i="42"/>
  <c r="P25" i="42"/>
  <c r="O25" i="42"/>
  <c r="N25" i="42"/>
  <c r="M25" i="42"/>
  <c r="L25" i="42"/>
  <c r="K25" i="42"/>
  <c r="J25" i="42"/>
  <c r="I25" i="42"/>
  <c r="H25" i="42"/>
  <c r="G25" i="42"/>
  <c r="F25" i="42"/>
  <c r="E24" i="42"/>
  <c r="D24" i="42"/>
  <c r="C24" i="42" s="1"/>
  <c r="E23" i="42"/>
  <c r="E25" i="42" s="1"/>
  <c r="D23" i="42"/>
  <c r="Q22" i="42"/>
  <c r="P22" i="42"/>
  <c r="O22" i="42"/>
  <c r="N22" i="42"/>
  <c r="M22" i="42"/>
  <c r="L22" i="42"/>
  <c r="K22" i="42"/>
  <c r="J22" i="42"/>
  <c r="I22" i="42"/>
  <c r="H22" i="42"/>
  <c r="G22" i="42"/>
  <c r="F22" i="42"/>
  <c r="E21" i="42"/>
  <c r="D21" i="42"/>
  <c r="E20" i="42"/>
  <c r="E22" i="42" s="1"/>
  <c r="D20" i="42"/>
  <c r="D22" i="42" s="1"/>
  <c r="Q19" i="42"/>
  <c r="P19" i="42"/>
  <c r="O19" i="42"/>
  <c r="N19" i="42"/>
  <c r="M19" i="42"/>
  <c r="L19" i="42"/>
  <c r="K19" i="42"/>
  <c r="J19" i="42"/>
  <c r="I19" i="42"/>
  <c r="H19" i="42"/>
  <c r="G19" i="42"/>
  <c r="F19" i="42"/>
  <c r="E18" i="42"/>
  <c r="D18" i="42"/>
  <c r="C18" i="42"/>
  <c r="E17" i="42"/>
  <c r="D17" i="42"/>
  <c r="C17" i="42" s="1"/>
  <c r="C19" i="42" s="1"/>
  <c r="Q16" i="42"/>
  <c r="P16" i="42"/>
  <c r="O16" i="42"/>
  <c r="N16" i="42"/>
  <c r="M16" i="42"/>
  <c r="L16" i="42"/>
  <c r="K16" i="42"/>
  <c r="J16" i="42"/>
  <c r="I16" i="42"/>
  <c r="H16" i="42"/>
  <c r="G16" i="42"/>
  <c r="F16" i="42"/>
  <c r="E15" i="42"/>
  <c r="D15" i="42"/>
  <c r="C15" i="42" s="1"/>
  <c r="E14" i="42"/>
  <c r="E16" i="42" s="1"/>
  <c r="D14" i="42"/>
  <c r="D16" i="42" s="1"/>
  <c r="Q13" i="42"/>
  <c r="P13" i="42"/>
  <c r="O13" i="42"/>
  <c r="N13" i="42"/>
  <c r="M13" i="42"/>
  <c r="L13" i="42"/>
  <c r="K13" i="42"/>
  <c r="J13" i="42"/>
  <c r="I13" i="42"/>
  <c r="H13" i="42"/>
  <c r="G13" i="42"/>
  <c r="F13" i="42"/>
  <c r="E12" i="42"/>
  <c r="D12" i="42"/>
  <c r="C12" i="42" s="1"/>
  <c r="E11" i="42"/>
  <c r="D11" i="42"/>
  <c r="Q10" i="42"/>
  <c r="P10" i="42"/>
  <c r="O10" i="42"/>
  <c r="N10" i="42"/>
  <c r="M10" i="42"/>
  <c r="L10" i="42"/>
  <c r="K10" i="42"/>
  <c r="J10" i="42"/>
  <c r="I10" i="42"/>
  <c r="H10" i="42"/>
  <c r="G10" i="42"/>
  <c r="F10" i="42"/>
  <c r="E9" i="42"/>
  <c r="D9" i="42"/>
  <c r="E8" i="42"/>
  <c r="E10" i="42" s="1"/>
  <c r="D8" i="42"/>
  <c r="D10" i="42" s="1"/>
  <c r="Q7" i="42"/>
  <c r="Q82" i="42" s="1"/>
  <c r="P7" i="42"/>
  <c r="O7" i="42"/>
  <c r="O82" i="42" s="1"/>
  <c r="N7" i="42"/>
  <c r="M7" i="42"/>
  <c r="M82" i="42" s="1"/>
  <c r="L7" i="42"/>
  <c r="K7" i="42"/>
  <c r="K82" i="42" s="1"/>
  <c r="J7" i="42"/>
  <c r="I7" i="42"/>
  <c r="I82" i="42" s="1"/>
  <c r="H7" i="42"/>
  <c r="H82" i="42" s="1"/>
  <c r="G7" i="42"/>
  <c r="G82" i="42" s="1"/>
  <c r="F7" i="42"/>
  <c r="F82" i="42" s="1"/>
  <c r="E6" i="42"/>
  <c r="E81" i="42" s="1"/>
  <c r="D6" i="42"/>
  <c r="D81" i="42" s="1"/>
  <c r="C6" i="42"/>
  <c r="E5" i="42"/>
  <c r="D5" i="42"/>
  <c r="D80" i="42" s="1"/>
  <c r="B579" i="43" l="1"/>
  <c r="B582" i="43"/>
  <c r="B584" i="43"/>
  <c r="B586" i="43" s="1"/>
  <c r="B603" i="43"/>
  <c r="B605" i="43"/>
  <c r="B747" i="43"/>
  <c r="B767" i="43"/>
  <c r="B776" i="43"/>
  <c r="B777" i="43"/>
  <c r="B1035" i="43"/>
  <c r="B1037" i="43"/>
  <c r="B1049" i="43"/>
  <c r="B1050" i="43"/>
  <c r="B1052" i="43"/>
  <c r="B1071" i="43"/>
  <c r="B1074" i="43"/>
  <c r="B1076" i="43"/>
  <c r="B1078" i="43" s="1"/>
  <c r="B1095" i="43"/>
  <c r="B1098" i="43"/>
  <c r="B1100" i="43"/>
  <c r="B1102" i="43" s="1"/>
  <c r="B1119" i="43"/>
  <c r="C1123" i="43"/>
  <c r="B1134" i="43"/>
  <c r="B1136" i="43"/>
  <c r="B1138" i="43" s="1"/>
  <c r="D1150" i="43"/>
  <c r="B1155" i="43"/>
  <c r="B1158" i="43"/>
  <c r="C1168" i="43"/>
  <c r="C1171" i="43" s="1"/>
  <c r="B1167" i="43"/>
  <c r="B1170" i="43" s="1"/>
  <c r="C1185" i="43"/>
  <c r="E1186" i="43"/>
  <c r="G1186" i="43"/>
  <c r="I1186" i="43"/>
  <c r="K1186" i="43"/>
  <c r="M1186" i="43"/>
  <c r="O1186" i="43"/>
  <c r="B1178" i="43"/>
  <c r="B1180" i="43" s="1"/>
  <c r="C1259" i="43"/>
  <c r="B1200" i="43"/>
  <c r="E1261" i="43"/>
  <c r="G1261" i="43"/>
  <c r="I1261" i="43"/>
  <c r="K1261" i="43"/>
  <c r="M1261" i="43"/>
  <c r="O1261" i="43"/>
  <c r="B1203" i="43"/>
  <c r="B1206" i="43"/>
  <c r="B1208" i="43"/>
  <c r="B1210" i="43" s="1"/>
  <c r="B1227" i="43"/>
  <c r="B1230" i="43"/>
  <c r="B1232" i="43"/>
  <c r="B1234" i="43" s="1"/>
  <c r="F31" i="44"/>
  <c r="J31" i="44"/>
  <c r="D30" i="44"/>
  <c r="B5" i="45"/>
  <c r="B87" i="45"/>
  <c r="B8" i="45"/>
  <c r="B10" i="45" s="1"/>
  <c r="B67" i="45"/>
  <c r="B342" i="45"/>
  <c r="B345" i="45"/>
  <c r="B348" i="45"/>
  <c r="B351" i="45"/>
  <c r="B354" i="45"/>
  <c r="B372" i="45"/>
  <c r="B375" i="45"/>
  <c r="B378" i="45"/>
  <c r="B381" i="45"/>
  <c r="B399" i="45"/>
  <c r="E7" i="42"/>
  <c r="J82" i="42"/>
  <c r="L82" i="42"/>
  <c r="N82" i="42"/>
  <c r="P82" i="42"/>
  <c r="C9" i="42"/>
  <c r="C11" i="42"/>
  <c r="C13" i="42" s="1"/>
  <c r="C21" i="42"/>
  <c r="C23" i="42"/>
  <c r="C25" i="42" s="1"/>
  <c r="E28" i="42"/>
  <c r="C30" i="42"/>
  <c r="D34" i="42"/>
  <c r="C36" i="42"/>
  <c r="C37" i="42" s="1"/>
  <c r="C39" i="42"/>
  <c r="C41" i="42"/>
  <c r="C43" i="42" s="1"/>
  <c r="E46" i="42"/>
  <c r="C47" i="42"/>
  <c r="C49" i="42" s="1"/>
  <c r="C60" i="42"/>
  <c r="D64" i="42"/>
  <c r="E70" i="42"/>
  <c r="C72" i="42"/>
  <c r="C75" i="42"/>
  <c r="C78" i="42"/>
  <c r="B5" i="43"/>
  <c r="D86" i="43"/>
  <c r="D87" i="43"/>
  <c r="D88" i="43"/>
  <c r="F88" i="43"/>
  <c r="H88" i="43"/>
  <c r="J88" i="43"/>
  <c r="L88" i="43"/>
  <c r="N88" i="43"/>
  <c r="P88" i="43"/>
  <c r="B15" i="43"/>
  <c r="B17" i="43"/>
  <c r="B21" i="43"/>
  <c r="B39" i="43"/>
  <c r="B41" i="43"/>
  <c r="B45" i="43"/>
  <c r="B75" i="43"/>
  <c r="B77" i="43"/>
  <c r="B81" i="43"/>
  <c r="B83" i="43"/>
  <c r="C159" i="43"/>
  <c r="C160" i="43"/>
  <c r="E160" i="43"/>
  <c r="B119" i="43"/>
  <c r="B123" i="43"/>
  <c r="B143" i="43"/>
  <c r="B146" i="43"/>
  <c r="B147" i="43"/>
  <c r="B174" i="43"/>
  <c r="B177" i="43"/>
  <c r="B179" i="43"/>
  <c r="B181" i="43" s="1"/>
  <c r="B198" i="43"/>
  <c r="B201" i="43"/>
  <c r="B203" i="43"/>
  <c r="B205" i="43" s="1"/>
  <c r="B222" i="43"/>
  <c r="B225" i="43"/>
  <c r="B227" i="43"/>
  <c r="B228" i="43"/>
  <c r="B246" i="43"/>
  <c r="B249" i="43"/>
  <c r="B257" i="43"/>
  <c r="D323" i="43"/>
  <c r="D324" i="43"/>
  <c r="F325" i="43"/>
  <c r="H325" i="43"/>
  <c r="J325" i="43"/>
  <c r="L325" i="43"/>
  <c r="N325" i="43"/>
  <c r="P325" i="43"/>
  <c r="B273" i="43"/>
  <c r="B275" i="43"/>
  <c r="B287" i="43"/>
  <c r="B305" i="43"/>
  <c r="B315" i="43"/>
  <c r="B317" i="43"/>
  <c r="B342" i="43"/>
  <c r="B345" i="43"/>
  <c r="C349" i="43"/>
  <c r="D348" i="43"/>
  <c r="B348" i="43" s="1"/>
  <c r="B369" i="43"/>
  <c r="B371" i="43"/>
  <c r="B373" i="43" s="1"/>
  <c r="B390" i="43"/>
  <c r="B393" i="43"/>
  <c r="B395" i="43"/>
  <c r="B396" i="43"/>
  <c r="B399" i="43"/>
  <c r="B402" i="43"/>
  <c r="B405" i="43"/>
  <c r="B407" i="43"/>
  <c r="B409" i="43" s="1"/>
  <c r="B426" i="43"/>
  <c r="B429" i="43"/>
  <c r="B431" i="43"/>
  <c r="B433" i="43" s="1"/>
  <c r="B467" i="43"/>
  <c r="B468" i="43"/>
  <c r="B471" i="43"/>
  <c r="B473" i="43"/>
  <c r="B477" i="43"/>
  <c r="B479" i="43"/>
  <c r="B481" i="43" s="1"/>
  <c r="B480" i="43"/>
  <c r="B482" i="43"/>
  <c r="B484" i="43" s="1"/>
  <c r="B503" i="43"/>
  <c r="B504" i="43"/>
  <c r="B506" i="43"/>
  <c r="B508" i="43" s="1"/>
  <c r="B635" i="43"/>
  <c r="B636" i="43"/>
  <c r="B645" i="43"/>
  <c r="B647" i="43"/>
  <c r="B663" i="43"/>
  <c r="B664" i="43"/>
  <c r="B665" i="43"/>
  <c r="B708" i="43"/>
  <c r="B711" i="43"/>
  <c r="B782" i="43"/>
  <c r="B784" i="43"/>
  <c r="B806" i="43"/>
  <c r="B822" i="43"/>
  <c r="B825" i="43"/>
  <c r="C829" i="43"/>
  <c r="B855" i="43"/>
  <c r="B857" i="43"/>
  <c r="B879" i="43"/>
  <c r="B882" i="43"/>
  <c r="B903" i="43"/>
  <c r="B911" i="43"/>
  <c r="B936" i="43"/>
  <c r="B939" i="43"/>
  <c r="C943" i="43"/>
  <c r="B963" i="43"/>
  <c r="B965" i="43"/>
  <c r="B987" i="43"/>
  <c r="C1022" i="43"/>
  <c r="D1023" i="43"/>
  <c r="F1024" i="43"/>
  <c r="H1024" i="43"/>
  <c r="J1024" i="43"/>
  <c r="L1024" i="43"/>
  <c r="N1024" i="43"/>
  <c r="P1024" i="43"/>
  <c r="B1011" i="43"/>
  <c r="C1015" i="43"/>
  <c r="D81" i="44"/>
  <c r="D44" i="44"/>
  <c r="D80" i="44" s="1"/>
  <c r="D50" i="44"/>
  <c r="D53" i="44"/>
  <c r="D56" i="44"/>
  <c r="D59" i="44"/>
  <c r="D62" i="44"/>
  <c r="D65" i="44"/>
  <c r="D68" i="44"/>
  <c r="B92" i="45"/>
  <c r="B93" i="45"/>
  <c r="B111" i="45" s="1"/>
  <c r="B95" i="45"/>
  <c r="B97" i="45" s="1"/>
  <c r="B98" i="45"/>
  <c r="B100" i="45" s="1"/>
  <c r="B101" i="45"/>
  <c r="B103" i="45" s="1"/>
  <c r="B104" i="45"/>
  <c r="B106" i="45" s="1"/>
  <c r="B107" i="45"/>
  <c r="B109" i="45" s="1"/>
  <c r="B164" i="45"/>
  <c r="B165" i="45"/>
  <c r="B252" i="45" s="1"/>
  <c r="B167" i="45"/>
  <c r="B169" i="45" s="1"/>
  <c r="B170" i="45"/>
  <c r="B172" i="45" s="1"/>
  <c r="B173" i="45"/>
  <c r="B175" i="45" s="1"/>
  <c r="B176" i="45"/>
  <c r="B178" i="45" s="1"/>
  <c r="B179" i="45"/>
  <c r="B181" i="45" s="1"/>
  <c r="B182" i="45"/>
  <c r="B184" i="45" s="1"/>
  <c r="B185" i="45"/>
  <c r="B187" i="45" s="1"/>
  <c r="B188" i="45"/>
  <c r="B190" i="45" s="1"/>
  <c r="B191" i="45"/>
  <c r="B193" i="45" s="1"/>
  <c r="B194" i="45"/>
  <c r="B196" i="45" s="1"/>
  <c r="B197" i="45"/>
  <c r="B199" i="45" s="1"/>
  <c r="B200" i="45"/>
  <c r="B202" i="45" s="1"/>
  <c r="B203" i="45"/>
  <c r="B205" i="45" s="1"/>
  <c r="B206" i="45"/>
  <c r="B208" i="45" s="1"/>
  <c r="B209" i="45"/>
  <c r="B211" i="45" s="1"/>
  <c r="B212" i="45"/>
  <c r="B214" i="45" s="1"/>
  <c r="B215" i="45"/>
  <c r="B217" i="45" s="1"/>
  <c r="B218" i="45"/>
  <c r="B220" i="45" s="1"/>
  <c r="B221" i="45"/>
  <c r="B223" i="45" s="1"/>
  <c r="B224" i="45"/>
  <c r="B226" i="45" s="1"/>
  <c r="B227" i="45"/>
  <c r="B229" i="45" s="1"/>
  <c r="B230" i="45"/>
  <c r="B232" i="45" s="1"/>
  <c r="B233" i="45"/>
  <c r="B235" i="45" s="1"/>
  <c r="B236" i="45"/>
  <c r="B238" i="45" s="1"/>
  <c r="B239" i="45"/>
  <c r="B241" i="45" s="1"/>
  <c r="B346" i="45"/>
  <c r="B349" i="45"/>
  <c r="B352" i="45"/>
  <c r="B355" i="45"/>
  <c r="B365" i="45"/>
  <c r="B455" i="45" s="1"/>
  <c r="B366" i="45"/>
  <c r="B456" i="45" s="1"/>
  <c r="B373" i="45"/>
  <c r="B376" i="45"/>
  <c r="B379" i="45"/>
  <c r="B382" i="45"/>
  <c r="B400" i="45"/>
  <c r="B461" i="45"/>
  <c r="B464" i="45"/>
  <c r="B466" i="45" s="1"/>
  <c r="E466" i="45"/>
  <c r="K466" i="45"/>
  <c r="B467" i="45"/>
  <c r="B469" i="45" s="1"/>
  <c r="E469" i="45"/>
  <c r="K469" i="45"/>
  <c r="B470" i="45"/>
  <c r="B472" i="45" s="1"/>
  <c r="E472" i="45"/>
  <c r="K472" i="45"/>
  <c r="B473" i="45"/>
  <c r="B475" i="45" s="1"/>
  <c r="E475" i="45"/>
  <c r="K475" i="45"/>
  <c r="B476" i="45"/>
  <c r="B478" i="45" s="1"/>
  <c r="E478" i="45"/>
  <c r="K478" i="45"/>
  <c r="B479" i="45"/>
  <c r="B481" i="45" s="1"/>
  <c r="E481" i="45"/>
  <c r="K481" i="45"/>
  <c r="B482" i="45"/>
  <c r="B484" i="45" s="1"/>
  <c r="E484" i="45"/>
  <c r="K484" i="45"/>
  <c r="B485" i="45"/>
  <c r="B487" i="45" s="1"/>
  <c r="E487" i="45"/>
  <c r="K487" i="45"/>
  <c r="B488" i="45"/>
  <c r="B490" i="45" s="1"/>
  <c r="E490" i="45"/>
  <c r="K490" i="45"/>
  <c r="B491" i="45"/>
  <c r="B493" i="45" s="1"/>
  <c r="E493" i="45"/>
  <c r="K493" i="45"/>
  <c r="B494" i="45"/>
  <c r="B496" i="45" s="1"/>
  <c r="E496" i="45"/>
  <c r="K496" i="45"/>
  <c r="B497" i="45"/>
  <c r="B499" i="45" s="1"/>
  <c r="E499" i="45"/>
  <c r="K499" i="45"/>
  <c r="B500" i="45"/>
  <c r="B502" i="45" s="1"/>
  <c r="E502" i="45"/>
  <c r="K502" i="45"/>
  <c r="B503" i="45"/>
  <c r="B505" i="45" s="1"/>
  <c r="E505" i="45"/>
  <c r="K505" i="45"/>
  <c r="B506" i="45"/>
  <c r="B508" i="45" s="1"/>
  <c r="B509" i="45"/>
  <c r="B511" i="45" s="1"/>
  <c r="E511" i="45"/>
  <c r="K511" i="45"/>
  <c r="B512" i="45"/>
  <c r="B514" i="45" s="1"/>
  <c r="E514" i="45"/>
  <c r="K514" i="45"/>
  <c r="B515" i="45"/>
  <c r="B517" i="45" s="1"/>
  <c r="E517" i="45"/>
  <c r="K517" i="45"/>
  <c r="B518" i="45"/>
  <c r="B520" i="45" s="1"/>
  <c r="E520" i="45"/>
  <c r="K520" i="45"/>
  <c r="B521" i="45"/>
  <c r="B523" i="45" s="1"/>
  <c r="E523" i="45"/>
  <c r="K523" i="45"/>
  <c r="B524" i="45"/>
  <c r="B526" i="45" s="1"/>
  <c r="E526" i="45"/>
  <c r="K526" i="45"/>
  <c r="B527" i="45"/>
  <c r="B529" i="45" s="1"/>
  <c r="E529" i="45"/>
  <c r="K529" i="45"/>
  <c r="B530" i="45"/>
  <c r="B532" i="45" s="1"/>
  <c r="E532" i="45"/>
  <c r="K532" i="45"/>
  <c r="B533" i="45"/>
  <c r="E535" i="45"/>
  <c r="K535" i="45"/>
  <c r="B536" i="45"/>
  <c r="D538" i="45"/>
  <c r="H538" i="45"/>
  <c r="B537" i="45"/>
  <c r="B561" i="45" s="1"/>
  <c r="D541" i="45"/>
  <c r="H541" i="45"/>
  <c r="B540" i="45"/>
  <c r="D544" i="45"/>
  <c r="H544" i="45"/>
  <c r="B543" i="45"/>
  <c r="D547" i="45"/>
  <c r="H547" i="45"/>
  <c r="B546" i="45"/>
  <c r="D550" i="45"/>
  <c r="H550" i="45"/>
  <c r="B549" i="45"/>
  <c r="D553" i="45"/>
  <c r="H553" i="45"/>
  <c r="B552" i="45"/>
  <c r="D556" i="45"/>
  <c r="H556" i="45"/>
  <c r="B555" i="45"/>
  <c r="D559" i="45"/>
  <c r="H559" i="45"/>
  <c r="B558" i="45"/>
  <c r="D598" i="45"/>
  <c r="H598" i="45"/>
  <c r="B597" i="45"/>
  <c r="D601" i="45"/>
  <c r="H601" i="45"/>
  <c r="B600" i="45"/>
  <c r="D604" i="45"/>
  <c r="H604" i="45"/>
  <c r="B603" i="45"/>
  <c r="D607" i="45"/>
  <c r="H607" i="45"/>
  <c r="B606" i="45"/>
  <c r="D610" i="45"/>
  <c r="H610" i="45"/>
  <c r="B609" i="45"/>
  <c r="D613" i="45"/>
  <c r="H613" i="45"/>
  <c r="B612" i="45"/>
  <c r="D616" i="45"/>
  <c r="H616" i="45"/>
  <c r="B615" i="45"/>
  <c r="D619" i="45"/>
  <c r="H619" i="45"/>
  <c r="B618" i="45"/>
  <c r="D622" i="45"/>
  <c r="H622" i="45"/>
  <c r="B621" i="45"/>
  <c r="D628" i="45"/>
  <c r="H628" i="45"/>
  <c r="B627" i="45"/>
  <c r="C696" i="45"/>
  <c r="E696" i="45"/>
  <c r="K696" i="45"/>
  <c r="G697" i="45"/>
  <c r="J697" i="45"/>
  <c r="M697" i="45"/>
  <c r="E679" i="45"/>
  <c r="K679" i="45"/>
  <c r="C682" i="45"/>
  <c r="E682" i="45"/>
  <c r="K682" i="45"/>
  <c r="C685" i="45"/>
  <c r="E685" i="45"/>
  <c r="K685" i="45"/>
  <c r="C688" i="45"/>
  <c r="E688" i="45"/>
  <c r="K688" i="45"/>
  <c r="C691" i="45"/>
  <c r="E691" i="45"/>
  <c r="K691" i="45"/>
  <c r="C694" i="45"/>
  <c r="E694" i="45"/>
  <c r="K694" i="45"/>
  <c r="B701" i="45"/>
  <c r="D713" i="45"/>
  <c r="H713" i="45"/>
  <c r="B702" i="45"/>
  <c r="B714" i="45" s="1"/>
  <c r="D714" i="45"/>
  <c r="H714" i="45"/>
  <c r="D703" i="45"/>
  <c r="D715" i="45" s="1"/>
  <c r="G715" i="45"/>
  <c r="J715" i="45"/>
  <c r="M715" i="45"/>
  <c r="B710" i="45"/>
  <c r="B712" i="45" s="1"/>
  <c r="B719" i="45"/>
  <c r="D761" i="45"/>
  <c r="H761" i="45"/>
  <c r="B720" i="45"/>
  <c r="B762" i="45" s="1"/>
  <c r="D762" i="45"/>
  <c r="H762" i="45"/>
  <c r="D721" i="45"/>
  <c r="G763" i="45"/>
  <c r="J763" i="45"/>
  <c r="M763" i="45"/>
  <c r="B728" i="45"/>
  <c r="B730" i="45" s="1"/>
  <c r="B731" i="45"/>
  <c r="B733" i="45" s="1"/>
  <c r="B740" i="45"/>
  <c r="B742" i="45" s="1"/>
  <c r="B743" i="45"/>
  <c r="B745" i="45" s="1"/>
  <c r="B752" i="45"/>
  <c r="B754" i="45" s="1"/>
  <c r="B755" i="45"/>
  <c r="B757" i="45" s="1"/>
  <c r="C791" i="45"/>
  <c r="E791" i="45"/>
  <c r="K791" i="45"/>
  <c r="C792" i="45"/>
  <c r="E792" i="45"/>
  <c r="K792" i="45"/>
  <c r="F793" i="45"/>
  <c r="I793" i="45"/>
  <c r="L793" i="45"/>
  <c r="B770" i="45"/>
  <c r="B772" i="45" s="1"/>
  <c r="B773" i="45"/>
  <c r="B775" i="45" s="1"/>
  <c r="B782" i="45"/>
  <c r="B784" i="45" s="1"/>
  <c r="B785" i="45"/>
  <c r="B787" i="45" s="1"/>
  <c r="C839" i="45"/>
  <c r="E839" i="45"/>
  <c r="K839" i="45"/>
  <c r="C840" i="45"/>
  <c r="E840" i="45"/>
  <c r="K840" i="45"/>
  <c r="G841" i="45"/>
  <c r="J841" i="45"/>
  <c r="M841" i="45"/>
  <c r="B803" i="45"/>
  <c r="B805" i="45" s="1"/>
  <c r="B806" i="45"/>
  <c r="B808" i="45" s="1"/>
  <c r="C869" i="45"/>
  <c r="E869" i="45"/>
  <c r="K869" i="45"/>
  <c r="C870" i="45"/>
  <c r="E870" i="45"/>
  <c r="K870" i="45"/>
  <c r="G871" i="45"/>
  <c r="J871" i="45"/>
  <c r="M871" i="45"/>
  <c r="B851" i="45"/>
  <c r="B853" i="45" s="1"/>
  <c r="B854" i="45"/>
  <c r="B856" i="45" s="1"/>
  <c r="B863" i="45"/>
  <c r="B865" i="45" s="1"/>
  <c r="B866" i="45"/>
  <c r="B868" i="45" s="1"/>
  <c r="C905" i="45"/>
  <c r="E905" i="45"/>
  <c r="K905" i="45"/>
  <c r="C906" i="45"/>
  <c r="E906" i="45"/>
  <c r="K906" i="45"/>
  <c r="G907" i="45"/>
  <c r="J907" i="45"/>
  <c r="M907" i="45"/>
  <c r="B881" i="45"/>
  <c r="B883" i="45" s="1"/>
  <c r="B884" i="45"/>
  <c r="B886" i="45" s="1"/>
  <c r="B893" i="45"/>
  <c r="B895" i="45" s="1"/>
  <c r="B896" i="45"/>
  <c r="B898" i="45" s="1"/>
  <c r="B911" i="45"/>
  <c r="B923" i="45" s="1"/>
  <c r="D923" i="45"/>
  <c r="H923" i="45"/>
  <c r="B912" i="45"/>
  <c r="B924" i="45" s="1"/>
  <c r="D924" i="45"/>
  <c r="H924" i="45"/>
  <c r="F925" i="45"/>
  <c r="I925" i="45"/>
  <c r="L925" i="45"/>
  <c r="B914" i="45"/>
  <c r="B916" i="45" s="1"/>
  <c r="B929" i="45"/>
  <c r="D1000" i="45"/>
  <c r="H998" i="45"/>
  <c r="B930" i="45"/>
  <c r="B999" i="45" s="1"/>
  <c r="D999" i="45"/>
  <c r="H999" i="45"/>
  <c r="F1000" i="45"/>
  <c r="I1000" i="45"/>
  <c r="L1000" i="45"/>
  <c r="B932" i="45"/>
  <c r="B934" i="45" s="1"/>
  <c r="B941" i="45"/>
  <c r="B943" i="45" s="1"/>
  <c r="B944" i="45"/>
  <c r="B946" i="45" s="1"/>
  <c r="B953" i="45"/>
  <c r="B955" i="45" s="1"/>
  <c r="B956" i="45"/>
  <c r="B958" i="45" s="1"/>
  <c r="B965" i="45"/>
  <c r="B967" i="45" s="1"/>
  <c r="B968" i="45"/>
  <c r="B970" i="45" s="1"/>
  <c r="B977" i="45"/>
  <c r="B979" i="45" s="1"/>
  <c r="B980" i="45"/>
  <c r="B982" i="45" s="1"/>
  <c r="C991" i="45"/>
  <c r="B989" i="45"/>
  <c r="B991" i="45" s="1"/>
  <c r="E991" i="45"/>
  <c r="K991" i="45"/>
  <c r="C994" i="45"/>
  <c r="B992" i="45"/>
  <c r="B994" i="45" s="1"/>
  <c r="E994" i="45"/>
  <c r="K994" i="45"/>
  <c r="D1022" i="45"/>
  <c r="H1022" i="45"/>
  <c r="B1023" i="45"/>
  <c r="D1023" i="45"/>
  <c r="H1023" i="45"/>
  <c r="D1006" i="45"/>
  <c r="G1024" i="45"/>
  <c r="J1024" i="45"/>
  <c r="M1024" i="45"/>
  <c r="C1021" i="45"/>
  <c r="B1019" i="45"/>
  <c r="B1021" i="45" s="1"/>
  <c r="E1021" i="45"/>
  <c r="K1021" i="45"/>
  <c r="C1160" i="45"/>
  <c r="B1028" i="45"/>
  <c r="E1160" i="45"/>
  <c r="K1160" i="45"/>
  <c r="I1162" i="45"/>
  <c r="L1162" i="45"/>
  <c r="C1051" i="45"/>
  <c r="B1049" i="45"/>
  <c r="B1051" i="45" s="1"/>
  <c r="E1051" i="45"/>
  <c r="K1051" i="45"/>
  <c r="C1066" i="45"/>
  <c r="B1064" i="45"/>
  <c r="B1066" i="45" s="1"/>
  <c r="E1066" i="45"/>
  <c r="K1066" i="45"/>
  <c r="C1081" i="45"/>
  <c r="B1079" i="45"/>
  <c r="B1081" i="45" s="1"/>
  <c r="E1081" i="45"/>
  <c r="K1081" i="45"/>
  <c r="C1084" i="45"/>
  <c r="B1082" i="45"/>
  <c r="B1084" i="45" s="1"/>
  <c r="E1084" i="45"/>
  <c r="K1084" i="45"/>
  <c r="C1099" i="45"/>
  <c r="B1097" i="45"/>
  <c r="B1099" i="45" s="1"/>
  <c r="E1099" i="45"/>
  <c r="K1099" i="45"/>
  <c r="C1114" i="45"/>
  <c r="B1112" i="45"/>
  <c r="B1114" i="45" s="1"/>
  <c r="E1114" i="45"/>
  <c r="K1114" i="45"/>
  <c r="C1129" i="45"/>
  <c r="B1127" i="45"/>
  <c r="B1129" i="45" s="1"/>
  <c r="E1129" i="45"/>
  <c r="K1129" i="45"/>
  <c r="C1132" i="45"/>
  <c r="B1130" i="45"/>
  <c r="B1132" i="45" s="1"/>
  <c r="E1132" i="45"/>
  <c r="K1132" i="45"/>
  <c r="C1147" i="45"/>
  <c r="B1145" i="45"/>
  <c r="B1147" i="45" s="1"/>
  <c r="E1147" i="45"/>
  <c r="K1147" i="45"/>
  <c r="C1169" i="45"/>
  <c r="B1166" i="45"/>
  <c r="C1185" i="45"/>
  <c r="B1176" i="45"/>
  <c r="B1185" i="45" s="1"/>
  <c r="M1186" i="45"/>
  <c r="B1192" i="45"/>
  <c r="B1195" i="45" s="1"/>
  <c r="B1193" i="45"/>
  <c r="D1192" i="45"/>
  <c r="D1195" i="45" s="1"/>
  <c r="C1213" i="45"/>
  <c r="B1211" i="45"/>
  <c r="C1222" i="45"/>
  <c r="B1220" i="45"/>
  <c r="C1237" i="45"/>
  <c r="B1235" i="45"/>
  <c r="C1246" i="45"/>
  <c r="B1246" i="45" s="1"/>
  <c r="B1244" i="45"/>
  <c r="B541" i="45"/>
  <c r="B544" i="45"/>
  <c r="B547" i="45"/>
  <c r="B550" i="45"/>
  <c r="B553" i="45"/>
  <c r="B556" i="45"/>
  <c r="B559" i="45"/>
  <c r="B630" i="45"/>
  <c r="B598" i="45"/>
  <c r="B601" i="45"/>
  <c r="B604" i="45"/>
  <c r="B607" i="45"/>
  <c r="B610" i="45"/>
  <c r="B613" i="45"/>
  <c r="B616" i="45"/>
  <c r="B619" i="45"/>
  <c r="B622" i="45"/>
  <c r="B628" i="45"/>
  <c r="B791" i="45"/>
  <c r="B792" i="45"/>
  <c r="D769" i="45"/>
  <c r="B839" i="45"/>
  <c r="B840" i="45"/>
  <c r="B869" i="45"/>
  <c r="B870" i="45"/>
  <c r="B905" i="45"/>
  <c r="B906" i="45"/>
  <c r="C1009" i="45"/>
  <c r="B1007" i="45"/>
  <c r="B1009" i="45" s="1"/>
  <c r="C1012" i="45"/>
  <c r="B1010" i="45"/>
  <c r="B1012" i="45" s="1"/>
  <c r="C1161" i="45"/>
  <c r="B1029" i="45"/>
  <c r="B1161" i="45" s="1"/>
  <c r="C1039" i="45"/>
  <c r="B1037" i="45"/>
  <c r="B1039" i="45" s="1"/>
  <c r="C1042" i="45"/>
  <c r="B1040" i="45"/>
  <c r="B1042" i="45" s="1"/>
  <c r="C1057" i="45"/>
  <c r="B1055" i="45"/>
  <c r="B1057" i="45" s="1"/>
  <c r="C1060" i="45"/>
  <c r="B1058" i="45"/>
  <c r="B1060" i="45" s="1"/>
  <c r="C1075" i="45"/>
  <c r="B1073" i="45"/>
  <c r="B1075" i="45" s="1"/>
  <c r="C1090" i="45"/>
  <c r="B1088" i="45"/>
  <c r="B1090" i="45" s="1"/>
  <c r="C1105" i="45"/>
  <c r="B1103" i="45"/>
  <c r="B1105" i="45" s="1"/>
  <c r="C1108" i="45"/>
  <c r="B1106" i="45"/>
  <c r="B1108" i="45" s="1"/>
  <c r="C1123" i="45"/>
  <c r="B1121" i="45"/>
  <c r="B1123" i="45" s="1"/>
  <c r="C1138" i="45"/>
  <c r="B1136" i="45"/>
  <c r="B1138" i="45" s="1"/>
  <c r="C1153" i="45"/>
  <c r="B1151" i="45"/>
  <c r="B1153" i="45" s="1"/>
  <c r="C1156" i="45"/>
  <c r="B1154" i="45"/>
  <c r="B1156" i="45" s="1"/>
  <c r="C1170" i="45"/>
  <c r="B1167" i="45"/>
  <c r="B1170" i="45" s="1"/>
  <c r="C1184" i="45"/>
  <c r="B1175" i="45"/>
  <c r="C1180" i="45"/>
  <c r="B1178" i="45"/>
  <c r="B1180" i="45" s="1"/>
  <c r="C1210" i="45"/>
  <c r="B1208" i="45"/>
  <c r="B1259" i="45" s="1"/>
  <c r="C1225" i="45"/>
  <c r="B1223" i="45"/>
  <c r="C1234" i="45"/>
  <c r="B1232" i="45"/>
  <c r="C1249" i="45"/>
  <c r="B1247" i="45"/>
  <c r="C1258" i="45"/>
  <c r="B1258" i="45" s="1"/>
  <c r="B1256" i="45"/>
  <c r="C1022" i="45"/>
  <c r="E1022" i="45"/>
  <c r="K1022" i="45"/>
  <c r="C1023" i="45"/>
  <c r="E1023" i="45"/>
  <c r="K1023" i="45"/>
  <c r="F1024" i="45"/>
  <c r="I1024" i="45"/>
  <c r="L1024" i="45"/>
  <c r="D1160" i="45"/>
  <c r="H1161" i="45"/>
  <c r="D1030" i="45"/>
  <c r="D1162" i="45" s="1"/>
  <c r="G1162" i="45"/>
  <c r="M1162" i="45"/>
  <c r="D1168" i="45"/>
  <c r="D1171" i="45" s="1"/>
  <c r="H1169" i="45"/>
  <c r="D1186" i="45"/>
  <c r="H1184" i="45"/>
  <c r="D1185" i="45"/>
  <c r="H1185" i="45"/>
  <c r="I1186" i="45"/>
  <c r="C1259" i="45"/>
  <c r="E1259" i="45"/>
  <c r="K1259" i="45"/>
  <c r="C1260" i="45"/>
  <c r="E1260" i="45"/>
  <c r="K1260" i="45"/>
  <c r="G1261" i="45"/>
  <c r="J1261" i="45"/>
  <c r="M1261" i="45"/>
  <c r="E1204" i="45"/>
  <c r="K1207" i="45"/>
  <c r="K1210" i="45"/>
  <c r="B1213" i="45"/>
  <c r="E1213" i="45"/>
  <c r="E1216" i="45"/>
  <c r="K1219" i="45"/>
  <c r="K1222" i="45"/>
  <c r="B1225" i="45"/>
  <c r="E1225" i="45"/>
  <c r="E1228" i="45"/>
  <c r="K1231" i="45"/>
  <c r="K1234" i="45"/>
  <c r="B1237" i="45"/>
  <c r="E1237" i="45"/>
  <c r="B1240" i="45"/>
  <c r="E1240" i="45"/>
  <c r="K1243" i="45"/>
  <c r="K1246" i="45"/>
  <c r="B1249" i="45"/>
  <c r="E1249" i="45"/>
  <c r="B1252" i="45"/>
  <c r="E1252" i="45"/>
  <c r="K1255" i="45"/>
  <c r="K1258" i="45"/>
  <c r="B111" i="43"/>
  <c r="B95" i="43"/>
  <c r="B97" i="43" s="1"/>
  <c r="B229" i="43"/>
  <c r="B267" i="43"/>
  <c r="B269" i="43"/>
  <c r="B291" i="43"/>
  <c r="B293" i="43"/>
  <c r="B303" i="43"/>
  <c r="B375" i="43"/>
  <c r="B377" i="43"/>
  <c r="B379" i="43" s="1"/>
  <c r="B387" i="43"/>
  <c r="B389" i="43"/>
  <c r="B391" i="43" s="1"/>
  <c r="B401" i="43"/>
  <c r="B403" i="43" s="1"/>
  <c r="B411" i="43"/>
  <c r="B413" i="43"/>
  <c r="B415" i="43" s="1"/>
  <c r="B423" i="43"/>
  <c r="B425" i="43"/>
  <c r="B427" i="43" s="1"/>
  <c r="B437" i="43"/>
  <c r="B439" i="43" s="1"/>
  <c r="B451" i="43"/>
  <c r="B475" i="43"/>
  <c r="B474" i="43"/>
  <c r="B476" i="43"/>
  <c r="B478" i="43" s="1"/>
  <c r="B490" i="43"/>
  <c r="B509" i="43"/>
  <c r="B511" i="43" s="1"/>
  <c r="B510" i="43"/>
  <c r="B512" i="43"/>
  <c r="B514" i="43" s="1"/>
  <c r="B522" i="43"/>
  <c r="B523" i="43" s="1"/>
  <c r="B526" i="43"/>
  <c r="B534" i="43"/>
  <c r="B535" i="43" s="1"/>
  <c r="B538" i="43"/>
  <c r="B550" i="43"/>
  <c r="B580" i="43"/>
  <c r="B588" i="43"/>
  <c r="B590" i="43"/>
  <c r="B592" i="43" s="1"/>
  <c r="B600" i="43"/>
  <c r="B602" i="43"/>
  <c r="B604" i="43" s="1"/>
  <c r="B609" i="43"/>
  <c r="B611" i="43"/>
  <c r="B621" i="43"/>
  <c r="B623" i="43"/>
  <c r="B681" i="43"/>
  <c r="C685" i="43"/>
  <c r="B867" i="43"/>
  <c r="C1012" i="43"/>
  <c r="B1017" i="43"/>
  <c r="B1023" i="43" s="1"/>
  <c r="B1019" i="43"/>
  <c r="B1021" i="43" s="1"/>
  <c r="B1140" i="43"/>
  <c r="B1142" i="43"/>
  <c r="B1144" i="43" s="1"/>
  <c r="B1152" i="43"/>
  <c r="B1154" i="43"/>
  <c r="B1156" i="43" s="1"/>
  <c r="B1181" i="43"/>
  <c r="B1183" i="43" s="1"/>
  <c r="B1202" i="43"/>
  <c r="B1204" i="43" s="1"/>
  <c r="B1212" i="43"/>
  <c r="B1214" i="43"/>
  <c r="B1216" i="43" s="1"/>
  <c r="B1224" i="43"/>
  <c r="B1226" i="43"/>
  <c r="B1228" i="43" s="1"/>
  <c r="B1236" i="43"/>
  <c r="B1238" i="43"/>
  <c r="B1240" i="43" s="1"/>
  <c r="B57" i="43"/>
  <c r="B103" i="43"/>
  <c r="G160" i="43"/>
  <c r="I160" i="43"/>
  <c r="K160" i="43"/>
  <c r="M160" i="43"/>
  <c r="O160" i="43"/>
  <c r="B129" i="43"/>
  <c r="B141" i="43"/>
  <c r="B153" i="43"/>
  <c r="B171" i="43"/>
  <c r="B173" i="43"/>
  <c r="B175" i="43" s="1"/>
  <c r="B183" i="43"/>
  <c r="B185" i="43"/>
  <c r="B187" i="43" s="1"/>
  <c r="B195" i="43"/>
  <c r="B197" i="43"/>
  <c r="B199" i="43" s="1"/>
  <c r="B207" i="43"/>
  <c r="B209" i="43"/>
  <c r="B211" i="43" s="1"/>
  <c r="B219" i="43"/>
  <c r="B221" i="43"/>
  <c r="B223" i="43" s="1"/>
  <c r="B231" i="43"/>
  <c r="B243" i="43"/>
  <c r="B245" i="43"/>
  <c r="B247" i="43" s="1"/>
  <c r="B285" i="43"/>
  <c r="C359" i="43"/>
  <c r="D360" i="43"/>
  <c r="B339" i="43"/>
  <c r="B341" i="43"/>
  <c r="B343" i="43" s="1"/>
  <c r="B350" i="43"/>
  <c r="B352" i="43" s="1"/>
  <c r="B397" i="43"/>
  <c r="B445" i="43"/>
  <c r="B470" i="43"/>
  <c r="B472" i="43" s="1"/>
  <c r="B496" i="43"/>
  <c r="B520" i="43"/>
  <c r="B530" i="43"/>
  <c r="B532" i="43" s="1"/>
  <c r="B542" i="43"/>
  <c r="B544" i="43" s="1"/>
  <c r="B573" i="43"/>
  <c r="B628" i="43"/>
  <c r="D713" i="43"/>
  <c r="B705" i="43"/>
  <c r="B714" i="43" s="1"/>
  <c r="B707" i="43"/>
  <c r="B709" i="43" s="1"/>
  <c r="B721" i="43"/>
  <c r="B722" i="43"/>
  <c r="B724" i="43" s="1"/>
  <c r="B732" i="43"/>
  <c r="B734" i="43"/>
  <c r="B736" i="43" s="1"/>
  <c r="B744" i="43"/>
  <c r="B750" i="43"/>
  <c r="B752" i="43"/>
  <c r="B804" i="43"/>
  <c r="B819" i="43"/>
  <c r="B849" i="43"/>
  <c r="B851" i="43"/>
  <c r="B863" i="43"/>
  <c r="B877" i="43"/>
  <c r="B878" i="43"/>
  <c r="B880" i="43" s="1"/>
  <c r="B885" i="43"/>
  <c r="B887" i="43"/>
  <c r="B897" i="43"/>
  <c r="B899" i="43"/>
  <c r="B915" i="43"/>
  <c r="B917" i="43"/>
  <c r="B919" i="43" s="1"/>
  <c r="B933" i="43"/>
  <c r="C937" i="43"/>
  <c r="B945" i="43"/>
  <c r="C949" i="43"/>
  <c r="B957" i="43"/>
  <c r="B959" i="43"/>
  <c r="B969" i="43"/>
  <c r="B971" i="43"/>
  <c r="B981" i="43"/>
  <c r="B983" i="43"/>
  <c r="B1031" i="43"/>
  <c r="C1042" i="43"/>
  <c r="B1047" i="43"/>
  <c r="B1056" i="43"/>
  <c r="B1058" i="43"/>
  <c r="B1068" i="43"/>
  <c r="B1070" i="43"/>
  <c r="B1072" i="43" s="1"/>
  <c r="B1080" i="43"/>
  <c r="B1082" i="43"/>
  <c r="B1084" i="43" s="1"/>
  <c r="B1092" i="43"/>
  <c r="B1094" i="43"/>
  <c r="B1096" i="43" s="1"/>
  <c r="B1104" i="43"/>
  <c r="B1106" i="43"/>
  <c r="B1108" i="43" s="1"/>
  <c r="B1116" i="43"/>
  <c r="B1118" i="43"/>
  <c r="B1120" i="43" s="1"/>
  <c r="C1126" i="43"/>
  <c r="B1246" i="43"/>
  <c r="C87" i="43"/>
  <c r="C88" i="43"/>
  <c r="E88" i="43"/>
  <c r="G88" i="43"/>
  <c r="I88" i="43"/>
  <c r="K88" i="43"/>
  <c r="M88" i="43"/>
  <c r="O88" i="43"/>
  <c r="B8" i="43"/>
  <c r="B10" i="43" s="1"/>
  <c r="B12" i="43"/>
  <c r="B14" i="43"/>
  <c r="B16" i="43" s="1"/>
  <c r="B18" i="43"/>
  <c r="B20" i="43"/>
  <c r="B22" i="43" s="1"/>
  <c r="B24" i="43"/>
  <c r="B26" i="43"/>
  <c r="B28" i="43" s="1"/>
  <c r="B30" i="43"/>
  <c r="B32" i="43"/>
  <c r="B34" i="43" s="1"/>
  <c r="B36" i="43"/>
  <c r="B38" i="43"/>
  <c r="B40" i="43" s="1"/>
  <c r="B42" i="43"/>
  <c r="B44" i="43"/>
  <c r="B46" i="43" s="1"/>
  <c r="B48" i="43"/>
  <c r="B50" i="43"/>
  <c r="B52" i="43" s="1"/>
  <c r="B54" i="43"/>
  <c r="B56" i="43"/>
  <c r="B58" i="43" s="1"/>
  <c r="B60" i="43"/>
  <c r="B62" i="43"/>
  <c r="B64" i="43" s="1"/>
  <c r="B66" i="43"/>
  <c r="B68" i="43"/>
  <c r="B70" i="43" s="1"/>
  <c r="B72" i="43"/>
  <c r="B74" i="43"/>
  <c r="B76" i="43" s="1"/>
  <c r="B78" i="43"/>
  <c r="B80" i="43"/>
  <c r="B82" i="43" s="1"/>
  <c r="B84" i="43"/>
  <c r="B92" i="43"/>
  <c r="B110" i="43" s="1"/>
  <c r="D111" i="43"/>
  <c r="F112" i="43"/>
  <c r="H112" i="43"/>
  <c r="J112" i="43"/>
  <c r="L112" i="43"/>
  <c r="N112" i="43"/>
  <c r="P112" i="43"/>
  <c r="D97" i="43"/>
  <c r="B98" i="43"/>
  <c r="B100" i="43" s="1"/>
  <c r="D103" i="43"/>
  <c r="B104" i="43"/>
  <c r="B106" i="43" s="1"/>
  <c r="D109" i="43"/>
  <c r="B116" i="43"/>
  <c r="B117" i="43"/>
  <c r="D159" i="43"/>
  <c r="D160" i="43"/>
  <c r="F160" i="43"/>
  <c r="H160" i="43"/>
  <c r="J160" i="43"/>
  <c r="L160" i="43"/>
  <c r="N160" i="43"/>
  <c r="P160" i="43"/>
  <c r="B120" i="43"/>
  <c r="B122" i="43"/>
  <c r="B124" i="43" s="1"/>
  <c r="B126" i="43"/>
  <c r="B128" i="43"/>
  <c r="B130" i="43" s="1"/>
  <c r="B132" i="43"/>
  <c r="B134" i="43"/>
  <c r="B136" i="43" s="1"/>
  <c r="B138" i="43"/>
  <c r="B140" i="43"/>
  <c r="B142" i="43" s="1"/>
  <c r="B144" i="43"/>
  <c r="B150" i="43"/>
  <c r="B152" i="43"/>
  <c r="B154" i="43" s="1"/>
  <c r="B156" i="43"/>
  <c r="B164" i="43"/>
  <c r="D252" i="43"/>
  <c r="F253" i="43"/>
  <c r="H253" i="43"/>
  <c r="J253" i="43"/>
  <c r="L253" i="43"/>
  <c r="N253" i="43"/>
  <c r="P253" i="43"/>
  <c r="D169" i="43"/>
  <c r="B170" i="43"/>
  <c r="B172" i="43" s="1"/>
  <c r="D175" i="43"/>
  <c r="B176" i="43"/>
  <c r="B178" i="43" s="1"/>
  <c r="D181" i="43"/>
  <c r="B182" i="43"/>
  <c r="B184" i="43" s="1"/>
  <c r="D187" i="43"/>
  <c r="B188" i="43"/>
  <c r="B190" i="43" s="1"/>
  <c r="D193" i="43"/>
  <c r="B194" i="43"/>
  <c r="B196" i="43" s="1"/>
  <c r="D199" i="43"/>
  <c r="B200" i="43"/>
  <c r="B202" i="43" s="1"/>
  <c r="D205" i="43"/>
  <c r="B206" i="43"/>
  <c r="B208" i="43" s="1"/>
  <c r="D211" i="43"/>
  <c r="B212" i="43"/>
  <c r="B214" i="43" s="1"/>
  <c r="D217" i="43"/>
  <c r="B218" i="43"/>
  <c r="B220" i="43" s="1"/>
  <c r="D223" i="43"/>
  <c r="B224" i="43"/>
  <c r="B226" i="43" s="1"/>
  <c r="D229" i="43"/>
  <c r="B230" i="43"/>
  <c r="B232" i="43" s="1"/>
  <c r="B233" i="43"/>
  <c r="B235" i="43" s="1"/>
  <c r="D238" i="43"/>
  <c r="D241" i="43"/>
  <c r="B242" i="43"/>
  <c r="B244" i="43" s="1"/>
  <c r="D247" i="43"/>
  <c r="B248" i="43"/>
  <c r="B250" i="43" s="1"/>
  <c r="B258" i="43"/>
  <c r="E325" i="43"/>
  <c r="G325" i="43"/>
  <c r="I325" i="43"/>
  <c r="K325" i="43"/>
  <c r="M325" i="43"/>
  <c r="O325" i="43"/>
  <c r="B260" i="43"/>
  <c r="B262" i="43" s="1"/>
  <c r="B264" i="43"/>
  <c r="B266" i="43"/>
  <c r="B268" i="43" s="1"/>
  <c r="B270" i="43"/>
  <c r="B272" i="43"/>
  <c r="B274" i="43" s="1"/>
  <c r="B276" i="43"/>
  <c r="B278" i="43"/>
  <c r="B280" i="43" s="1"/>
  <c r="B282" i="43"/>
  <c r="B284" i="43"/>
  <c r="B286" i="43" s="1"/>
  <c r="B288" i="43"/>
  <c r="B290" i="43"/>
  <c r="B292" i="43" s="1"/>
  <c r="B294" i="43"/>
  <c r="B296" i="43"/>
  <c r="B298" i="43" s="1"/>
  <c r="B300" i="43"/>
  <c r="B302" i="43"/>
  <c r="B304" i="43" s="1"/>
  <c r="B306" i="43"/>
  <c r="B308" i="43"/>
  <c r="B310" i="43" s="1"/>
  <c r="B312" i="43"/>
  <c r="B314" i="43"/>
  <c r="B316" i="43" s="1"/>
  <c r="B318" i="43"/>
  <c r="B320" i="43"/>
  <c r="B322" i="43" s="1"/>
  <c r="D331" i="43"/>
  <c r="C360" i="43"/>
  <c r="B332" i="43"/>
  <c r="B334" i="43" s="1"/>
  <c r="D337" i="43"/>
  <c r="B338" i="43"/>
  <c r="B340" i="43" s="1"/>
  <c r="D343" i="43"/>
  <c r="B344" i="43"/>
  <c r="B346" i="43" s="1"/>
  <c r="D349" i="43"/>
  <c r="F349" i="43"/>
  <c r="D352" i="43"/>
  <c r="B353" i="43"/>
  <c r="B355" i="43" s="1"/>
  <c r="D358" i="43"/>
  <c r="G361" i="43"/>
  <c r="I361" i="43"/>
  <c r="K361" i="43"/>
  <c r="M361" i="43"/>
  <c r="O361" i="43"/>
  <c r="C456" i="43"/>
  <c r="E457" i="43"/>
  <c r="G457" i="43"/>
  <c r="I457" i="43"/>
  <c r="K457" i="43"/>
  <c r="M457" i="43"/>
  <c r="O457" i="43"/>
  <c r="B368" i="43"/>
  <c r="B370" i="43" s="1"/>
  <c r="D373" i="43"/>
  <c r="B374" i="43"/>
  <c r="B376" i="43" s="1"/>
  <c r="D379" i="43"/>
  <c r="B380" i="43"/>
  <c r="B382" i="43" s="1"/>
  <c r="D385" i="43"/>
  <c r="B386" i="43"/>
  <c r="B388" i="43" s="1"/>
  <c r="D391" i="43"/>
  <c r="B392" i="43"/>
  <c r="B394" i="43" s="1"/>
  <c r="D397" i="43"/>
  <c r="B398" i="43"/>
  <c r="B400" i="43" s="1"/>
  <c r="D403" i="43"/>
  <c r="B404" i="43"/>
  <c r="B406" i="43" s="1"/>
  <c r="D409" i="43"/>
  <c r="B410" i="43"/>
  <c r="B412" i="43" s="1"/>
  <c r="D415" i="43"/>
  <c r="B416" i="43"/>
  <c r="B418" i="43" s="1"/>
  <c r="D421" i="43"/>
  <c r="B422" i="43"/>
  <c r="B424" i="43" s="1"/>
  <c r="D427" i="43"/>
  <c r="B428" i="43"/>
  <c r="B430" i="43" s="1"/>
  <c r="D433" i="43"/>
  <c r="B434" i="43"/>
  <c r="B436" i="43" s="1"/>
  <c r="D439" i="43"/>
  <c r="B440" i="43"/>
  <c r="B442" i="43" s="1"/>
  <c r="D445" i="43"/>
  <c r="B446" i="43"/>
  <c r="B448" i="43" s="1"/>
  <c r="D451" i="43"/>
  <c r="B452" i="43"/>
  <c r="B454" i="43" s="1"/>
  <c r="B462" i="43"/>
  <c r="B560" i="43"/>
  <c r="D560" i="43"/>
  <c r="D561" i="43"/>
  <c r="D562" i="43"/>
  <c r="F562" i="43"/>
  <c r="H562" i="43"/>
  <c r="J562" i="43"/>
  <c r="L562" i="43"/>
  <c r="N562" i="43"/>
  <c r="P562" i="43"/>
  <c r="B606" i="43"/>
  <c r="B608" i="43"/>
  <c r="B610" i="43" s="1"/>
  <c r="B612" i="43"/>
  <c r="B614" i="43"/>
  <c r="B616" i="43" s="1"/>
  <c r="B618" i="43"/>
  <c r="B620" i="43"/>
  <c r="B622" i="43" s="1"/>
  <c r="D657" i="43"/>
  <c r="F658" i="43"/>
  <c r="C695" i="43"/>
  <c r="C696" i="43"/>
  <c r="E697" i="43"/>
  <c r="G697" i="43"/>
  <c r="I697" i="43"/>
  <c r="K697" i="43"/>
  <c r="M697" i="43"/>
  <c r="O697" i="43"/>
  <c r="B556" i="43"/>
  <c r="C560" i="43"/>
  <c r="C561" i="43"/>
  <c r="C562" i="43"/>
  <c r="E562" i="43"/>
  <c r="G562" i="43"/>
  <c r="I562" i="43"/>
  <c r="K562" i="43"/>
  <c r="M562" i="43"/>
  <c r="O562" i="43"/>
  <c r="B566" i="43"/>
  <c r="P631" i="43"/>
  <c r="D571" i="43"/>
  <c r="B572" i="43"/>
  <c r="B575" i="43"/>
  <c r="D580" i="43"/>
  <c r="B581" i="43"/>
  <c r="D586" i="43"/>
  <c r="B587" i="43"/>
  <c r="D592" i="43"/>
  <c r="B593" i="43"/>
  <c r="B599" i="43"/>
  <c r="B619" i="43"/>
  <c r="B625" i="43"/>
  <c r="C640" i="43"/>
  <c r="B642" i="43"/>
  <c r="B643" i="43" s="1"/>
  <c r="C646" i="43"/>
  <c r="B648" i="43"/>
  <c r="C652" i="43"/>
  <c r="C656" i="43"/>
  <c r="C657" i="43"/>
  <c r="B662" i="43"/>
  <c r="B666" i="43"/>
  <c r="B667" i="43" s="1"/>
  <c r="B668" i="43"/>
  <c r="D673" i="43"/>
  <c r="B674" i="43"/>
  <c r="D679" i="43"/>
  <c r="B680" i="43"/>
  <c r="D685" i="43"/>
  <c r="B686" i="43"/>
  <c r="D691" i="43"/>
  <c r="B692" i="43"/>
  <c r="D696" i="43"/>
  <c r="F697" i="43"/>
  <c r="H697" i="43"/>
  <c r="J697" i="43"/>
  <c r="L697" i="43"/>
  <c r="N697" i="43"/>
  <c r="P697" i="43"/>
  <c r="C714" i="43"/>
  <c r="E715" i="43"/>
  <c r="G715" i="43"/>
  <c r="I715" i="43"/>
  <c r="K715" i="43"/>
  <c r="M715" i="43"/>
  <c r="O715" i="43"/>
  <c r="B704" i="43"/>
  <c r="D709" i="43"/>
  <c r="B710" i="43"/>
  <c r="B720" i="43"/>
  <c r="D724" i="43"/>
  <c r="B725" i="43"/>
  <c r="D730" i="43"/>
  <c r="B731" i="43"/>
  <c r="D736" i="43"/>
  <c r="B737" i="43"/>
  <c r="B739" i="43" s="1"/>
  <c r="D742" i="43"/>
  <c r="B743" i="43"/>
  <c r="B745" i="43" s="1"/>
  <c r="C748" i="43"/>
  <c r="C751" i="43"/>
  <c r="B753" i="43"/>
  <c r="B755" i="43"/>
  <c r="B757" i="43" s="1"/>
  <c r="D760" i="43"/>
  <c r="C762" i="43"/>
  <c r="E763" i="43"/>
  <c r="G763" i="43"/>
  <c r="I763" i="43"/>
  <c r="K763" i="43"/>
  <c r="M763" i="43"/>
  <c r="O763" i="43"/>
  <c r="B772" i="43"/>
  <c r="B779" i="43"/>
  <c r="B783" i="43"/>
  <c r="B786" i="43"/>
  <c r="E793" i="43"/>
  <c r="G793" i="43"/>
  <c r="I793" i="43"/>
  <c r="K793" i="43"/>
  <c r="M793" i="43"/>
  <c r="O793" i="43"/>
  <c r="C799" i="43"/>
  <c r="B801" i="43"/>
  <c r="C805" i="43"/>
  <c r="B807" i="43"/>
  <c r="C811" i="43"/>
  <c r="D817" i="43"/>
  <c r="B818" i="43"/>
  <c r="B820" i="43" s="1"/>
  <c r="D823" i="43"/>
  <c r="B824" i="43"/>
  <c r="B826" i="43" s="1"/>
  <c r="D829" i="43"/>
  <c r="B830" i="43"/>
  <c r="B832" i="43" s="1"/>
  <c r="D835" i="43"/>
  <c r="D840" i="43"/>
  <c r="F841" i="43"/>
  <c r="H841" i="43"/>
  <c r="J841" i="43"/>
  <c r="L841" i="43"/>
  <c r="N841" i="43"/>
  <c r="P841" i="43"/>
  <c r="B846" i="43"/>
  <c r="C850" i="43"/>
  <c r="B852" i="43"/>
  <c r="C856" i="43"/>
  <c r="B858" i="43"/>
  <c r="C862" i="43"/>
  <c r="B864" i="43"/>
  <c r="C868" i="43"/>
  <c r="D870" i="43"/>
  <c r="F871" i="43"/>
  <c r="H871" i="43"/>
  <c r="J871" i="43"/>
  <c r="L871" i="43"/>
  <c r="N871" i="43"/>
  <c r="P871" i="43"/>
  <c r="B876" i="43"/>
  <c r="D880" i="43"/>
  <c r="B881" i="43"/>
  <c r="B883" i="43" s="1"/>
  <c r="C886" i="43"/>
  <c r="B888" i="43"/>
  <c r="B890" i="43"/>
  <c r="B892" i="43" s="1"/>
  <c r="B894" i="43"/>
  <c r="B896" i="43"/>
  <c r="B898" i="43" s="1"/>
  <c r="B900" i="43"/>
  <c r="C905" i="43"/>
  <c r="D906" i="43"/>
  <c r="F907" i="43"/>
  <c r="H907" i="43"/>
  <c r="J907" i="43"/>
  <c r="L907" i="43"/>
  <c r="N907" i="43"/>
  <c r="P907" i="43"/>
  <c r="B913" i="43"/>
  <c r="B914" i="43"/>
  <c r="B916" i="43" s="1"/>
  <c r="D919" i="43"/>
  <c r="B920" i="43"/>
  <c r="D923" i="43"/>
  <c r="D924" i="43"/>
  <c r="F925" i="43"/>
  <c r="H925" i="43"/>
  <c r="J925" i="43"/>
  <c r="L925" i="43"/>
  <c r="N925" i="43"/>
  <c r="P925" i="43"/>
  <c r="C999" i="43"/>
  <c r="E1000" i="43"/>
  <c r="G1000" i="43"/>
  <c r="I1000" i="43"/>
  <c r="K1000" i="43"/>
  <c r="M1000" i="43"/>
  <c r="O1000" i="43"/>
  <c r="B932" i="43"/>
  <c r="B934" i="43" s="1"/>
  <c r="D937" i="43"/>
  <c r="B938" i="43"/>
  <c r="B940" i="43" s="1"/>
  <c r="D943" i="43"/>
  <c r="B944" i="43"/>
  <c r="B946" i="43" s="1"/>
  <c r="D949" i="43"/>
  <c r="B950" i="43"/>
  <c r="B952" i="43" s="1"/>
  <c r="D955" i="43"/>
  <c r="B956" i="43"/>
  <c r="B958" i="43" s="1"/>
  <c r="B960" i="43"/>
  <c r="B962" i="43"/>
  <c r="B964" i="43" s="1"/>
  <c r="B966" i="43"/>
  <c r="B968" i="43"/>
  <c r="B970" i="43" s="1"/>
  <c r="B972" i="43"/>
  <c r="B974" i="43"/>
  <c r="B976" i="43" s="1"/>
  <c r="B978" i="43"/>
  <c r="B980" i="43"/>
  <c r="B982" i="43" s="1"/>
  <c r="B984" i="43"/>
  <c r="B986" i="43"/>
  <c r="B988" i="43" s="1"/>
  <c r="B990" i="43"/>
  <c r="B992" i="43"/>
  <c r="B994" i="43" s="1"/>
  <c r="B996" i="43"/>
  <c r="B1004" i="43"/>
  <c r="C1023" i="43"/>
  <c r="E1024" i="43"/>
  <c r="G1024" i="43"/>
  <c r="I1024" i="43"/>
  <c r="K1024" i="43"/>
  <c r="M1024" i="43"/>
  <c r="O1024" i="43"/>
  <c r="B1007" i="43"/>
  <c r="B1009" i="43" s="1"/>
  <c r="D1009" i="43"/>
  <c r="B1010" i="43"/>
  <c r="B1012" i="43" s="1"/>
  <c r="D1012" i="43"/>
  <c r="B1013" i="43"/>
  <c r="B1015" i="43" s="1"/>
  <c r="D1015" i="43"/>
  <c r="B1016" i="43"/>
  <c r="D1021" i="43"/>
  <c r="B1028" i="43"/>
  <c r="B1029" i="43"/>
  <c r="J1162" i="43"/>
  <c r="L1162" i="43"/>
  <c r="N1162" i="43"/>
  <c r="P1162" i="43"/>
  <c r="B1032" i="43"/>
  <c r="B1034" i="43"/>
  <c r="B1036" i="43" s="1"/>
  <c r="B1038" i="43"/>
  <c r="B1040" i="43"/>
  <c r="B1042" i="43" s="1"/>
  <c r="D1042" i="43"/>
  <c r="B1043" i="43"/>
  <c r="C1048" i="43"/>
  <c r="C1051" i="43"/>
  <c r="B1053" i="43"/>
  <c r="C1057" i="43"/>
  <c r="B1059" i="43"/>
  <c r="B1061" i="43"/>
  <c r="D1066" i="43"/>
  <c r="B1067" i="43"/>
  <c r="D1072" i="43"/>
  <c r="B1073" i="43"/>
  <c r="D1078" i="43"/>
  <c r="B1079" i="43"/>
  <c r="D1084" i="43"/>
  <c r="B1085" i="43"/>
  <c r="D1090" i="43"/>
  <c r="B1091" i="43"/>
  <c r="D1096" i="43"/>
  <c r="B1097" i="43"/>
  <c r="D1102" i="43"/>
  <c r="B1103" i="43"/>
  <c r="D1108" i="43"/>
  <c r="B1109" i="43"/>
  <c r="D1114" i="43"/>
  <c r="B1115" i="43"/>
  <c r="D1120" i="43"/>
  <c r="B1121" i="43"/>
  <c r="B1123" i="43" s="1"/>
  <c r="D1123" i="43"/>
  <c r="B1124" i="43"/>
  <c r="B1126" i="43" s="1"/>
  <c r="D1126" i="43"/>
  <c r="B1127" i="43"/>
  <c r="B1129" i="43" s="1"/>
  <c r="D1132" i="43"/>
  <c r="B1133" i="43"/>
  <c r="B1135" i="43" s="1"/>
  <c r="D1138" i="43"/>
  <c r="B1139" i="43"/>
  <c r="B1141" i="43" s="1"/>
  <c r="D1144" i="43"/>
  <c r="B1145" i="43"/>
  <c r="B1147" i="43" s="1"/>
  <c r="B1151" i="43"/>
  <c r="B1153" i="43" s="1"/>
  <c r="D1156" i="43"/>
  <c r="B1157" i="43"/>
  <c r="B1159" i="43" s="1"/>
  <c r="D1204" i="43"/>
  <c r="B1205" i="43"/>
  <c r="B1207" i="43" s="1"/>
  <c r="D1210" i="43"/>
  <c r="B1211" i="43"/>
  <c r="B1213" i="43" s="1"/>
  <c r="D1216" i="43"/>
  <c r="B1217" i="43"/>
  <c r="B1219" i="43" s="1"/>
  <c r="D1222" i="43"/>
  <c r="B1223" i="43"/>
  <c r="B1225" i="43" s="1"/>
  <c r="D1228" i="43"/>
  <c r="B1229" i="43"/>
  <c r="B1231" i="43" s="1"/>
  <c r="B1235" i="43"/>
  <c r="B1237" i="43" s="1"/>
  <c r="D1240" i="43"/>
  <c r="B1241" i="43"/>
  <c r="B1243" i="43" s="1"/>
  <c r="B1247" i="43"/>
  <c r="B1249" i="43" s="1"/>
  <c r="B1250" i="43"/>
  <c r="B1252" i="43" s="1"/>
  <c r="B1256" i="43"/>
  <c r="B1258" i="43" s="1"/>
  <c r="B748" i="43"/>
  <c r="B751" i="43"/>
  <c r="C761" i="43"/>
  <c r="D762" i="43"/>
  <c r="F763" i="43"/>
  <c r="H763" i="43"/>
  <c r="J763" i="43"/>
  <c r="L763" i="43"/>
  <c r="N763" i="43"/>
  <c r="P763" i="43"/>
  <c r="F793" i="43"/>
  <c r="H793" i="43"/>
  <c r="J793" i="43"/>
  <c r="L793" i="43"/>
  <c r="N793" i="43"/>
  <c r="P793" i="43"/>
  <c r="C839" i="43"/>
  <c r="C840" i="43"/>
  <c r="E841" i="43"/>
  <c r="G841" i="43"/>
  <c r="I841" i="43"/>
  <c r="K841" i="43"/>
  <c r="M841" i="43"/>
  <c r="O841" i="43"/>
  <c r="D869" i="43"/>
  <c r="C870" i="43"/>
  <c r="E871" i="43"/>
  <c r="G871" i="43"/>
  <c r="I871" i="43"/>
  <c r="K871" i="43"/>
  <c r="M871" i="43"/>
  <c r="O871" i="43"/>
  <c r="B886" i="43"/>
  <c r="C906" i="43"/>
  <c r="E907" i="43"/>
  <c r="G907" i="43"/>
  <c r="I907" i="43"/>
  <c r="K907" i="43"/>
  <c r="M907" i="43"/>
  <c r="O907" i="43"/>
  <c r="C924" i="43"/>
  <c r="E925" i="43"/>
  <c r="G925" i="43"/>
  <c r="I925" i="43"/>
  <c r="K925" i="43"/>
  <c r="M925" i="43"/>
  <c r="O925" i="43"/>
  <c r="B999" i="43"/>
  <c r="B991" i="43"/>
  <c r="B997" i="43"/>
  <c r="B1033" i="43"/>
  <c r="B1039" i="43"/>
  <c r="B1048" i="43"/>
  <c r="B1051" i="43"/>
  <c r="B1054" i="43"/>
  <c r="B1060" i="43"/>
  <c r="B1191" i="43"/>
  <c r="B1194" i="43" s="1"/>
  <c r="B1260" i="43"/>
  <c r="C81" i="42"/>
  <c r="C8" i="42"/>
  <c r="C10" i="42" s="1"/>
  <c r="E13" i="42"/>
  <c r="C14" i="42"/>
  <c r="C16" i="42" s="1"/>
  <c r="E19" i="42"/>
  <c r="C20" i="42"/>
  <c r="C22" i="42" s="1"/>
  <c r="C26" i="42"/>
  <c r="C28" i="42" s="1"/>
  <c r="C29" i="42"/>
  <c r="C31" i="42" s="1"/>
  <c r="C53" i="42"/>
  <c r="C55" i="42" s="1"/>
  <c r="E58" i="42"/>
  <c r="C59" i="42"/>
  <c r="C61" i="42" s="1"/>
  <c r="E64" i="42"/>
  <c r="C65" i="42"/>
  <c r="C67" i="42" s="1"/>
  <c r="C71" i="42"/>
  <c r="C73" i="42" s="1"/>
  <c r="C77" i="42"/>
  <c r="C79" i="42" s="1"/>
  <c r="B455" i="43"/>
  <c r="B367" i="43"/>
  <c r="B457" i="43" s="1"/>
  <c r="B86" i="43"/>
  <c r="B13" i="43"/>
  <c r="B19" i="43"/>
  <c r="B25" i="43"/>
  <c r="B31" i="43"/>
  <c r="B37" i="43"/>
  <c r="B43" i="43"/>
  <c r="B49" i="43"/>
  <c r="B55" i="43"/>
  <c r="B61" i="43"/>
  <c r="B67" i="43"/>
  <c r="B73" i="43"/>
  <c r="B79" i="43"/>
  <c r="B85" i="43"/>
  <c r="B121" i="43"/>
  <c r="B127" i="43"/>
  <c r="B133" i="43"/>
  <c r="B139" i="43"/>
  <c r="B145" i="43"/>
  <c r="B151" i="43"/>
  <c r="B157" i="43"/>
  <c r="B323" i="43"/>
  <c r="B265" i="43"/>
  <c r="B271" i="43"/>
  <c r="B277" i="43"/>
  <c r="B283" i="43"/>
  <c r="B289" i="43"/>
  <c r="B295" i="43"/>
  <c r="B301" i="43"/>
  <c r="B307" i="43"/>
  <c r="B313" i="43"/>
  <c r="B319" i="43"/>
  <c r="C361" i="43"/>
  <c r="F361" i="43"/>
  <c r="B574" i="43"/>
  <c r="B577" i="43"/>
  <c r="B583" i="43"/>
  <c r="B589" i="43"/>
  <c r="B595" i="43"/>
  <c r="B601" i="43"/>
  <c r="B607" i="43"/>
  <c r="B613" i="43"/>
  <c r="B158" i="43"/>
  <c r="B118" i="43"/>
  <c r="B649" i="43"/>
  <c r="D658" i="43"/>
  <c r="B1030" i="43"/>
  <c r="D7" i="42"/>
  <c r="D13" i="42"/>
  <c r="D19" i="42"/>
  <c r="D25" i="42"/>
  <c r="C32" i="42"/>
  <c r="C34" i="42" s="1"/>
  <c r="C38" i="42"/>
  <c r="C40" i="42" s="1"/>
  <c r="C44" i="42"/>
  <c r="C46" i="42" s="1"/>
  <c r="C50" i="42"/>
  <c r="C52" i="42" s="1"/>
  <c r="C56" i="42"/>
  <c r="C58" i="42" s="1"/>
  <c r="C62" i="42"/>
  <c r="C64" i="42" s="1"/>
  <c r="C68" i="42"/>
  <c r="C70" i="42" s="1"/>
  <c r="C74" i="42"/>
  <c r="C76" i="42" s="1"/>
  <c r="E80" i="42"/>
  <c r="B94" i="43"/>
  <c r="B112" i="43" s="1"/>
  <c r="D94" i="43"/>
  <c r="D112" i="43" s="1"/>
  <c r="C97" i="43"/>
  <c r="C103" i="43"/>
  <c r="C109" i="43"/>
  <c r="C111" i="43"/>
  <c r="C158" i="43"/>
  <c r="D166" i="43"/>
  <c r="D253" i="43" s="1"/>
  <c r="C169" i="43"/>
  <c r="C175" i="43"/>
  <c r="C181" i="43"/>
  <c r="C187" i="43"/>
  <c r="C193" i="43"/>
  <c r="C199" i="43"/>
  <c r="C205" i="43"/>
  <c r="C211" i="43"/>
  <c r="C217" i="43"/>
  <c r="C223" i="43"/>
  <c r="C229" i="43"/>
  <c r="C238" i="43"/>
  <c r="C241" i="43"/>
  <c r="C247" i="43"/>
  <c r="C251" i="43"/>
  <c r="B259" i="43"/>
  <c r="B325" i="43" s="1"/>
  <c r="D259" i="43"/>
  <c r="D325" i="43" s="1"/>
  <c r="C262" i="43"/>
  <c r="C268" i="43"/>
  <c r="C274" i="43"/>
  <c r="C280" i="43"/>
  <c r="C286" i="43"/>
  <c r="C292" i="43"/>
  <c r="C298" i="43"/>
  <c r="C304" i="43"/>
  <c r="C310" i="43"/>
  <c r="C316" i="43"/>
  <c r="C322" i="43"/>
  <c r="C324" i="43"/>
  <c r="C331" i="43"/>
  <c r="C337" i="43"/>
  <c r="C343" i="43"/>
  <c r="C352" i="43"/>
  <c r="C358" i="43"/>
  <c r="D359" i="43"/>
  <c r="D361" i="43" s="1"/>
  <c r="C367" i="43"/>
  <c r="C373" i="43"/>
  <c r="C379" i="43"/>
  <c r="C385" i="43"/>
  <c r="C391" i="43"/>
  <c r="C397" i="43"/>
  <c r="C403" i="43"/>
  <c r="C409" i="43"/>
  <c r="C415" i="43"/>
  <c r="C421" i="43"/>
  <c r="C427" i="43"/>
  <c r="C433" i="43"/>
  <c r="C439" i="43"/>
  <c r="C445" i="43"/>
  <c r="C451" i="43"/>
  <c r="C455" i="43"/>
  <c r="B568" i="43"/>
  <c r="B631" i="43" s="1"/>
  <c r="D568" i="43"/>
  <c r="D631" i="43" s="1"/>
  <c r="C571" i="43"/>
  <c r="C580" i="43"/>
  <c r="C586" i="43"/>
  <c r="C592" i="43"/>
  <c r="C598" i="43"/>
  <c r="C604" i="43"/>
  <c r="C610" i="43"/>
  <c r="C616" i="43"/>
  <c r="C622" i="43"/>
  <c r="C630" i="43"/>
  <c r="B638" i="43"/>
  <c r="B640" i="43" s="1"/>
  <c r="B644" i="43"/>
  <c r="B646" i="43" s="1"/>
  <c r="B650" i="43"/>
  <c r="B652" i="43" s="1"/>
  <c r="B654" i="43"/>
  <c r="B657" i="43" s="1"/>
  <c r="C655" i="43"/>
  <c r="C658" i="43" s="1"/>
  <c r="E658" i="43"/>
  <c r="G658" i="43"/>
  <c r="I658" i="43"/>
  <c r="K658" i="43"/>
  <c r="M658" i="43"/>
  <c r="O658" i="43"/>
  <c r="D656" i="43"/>
  <c r="B670" i="43"/>
  <c r="B676" i="43"/>
  <c r="B682" i="43"/>
  <c r="B688" i="43"/>
  <c r="D697" i="43"/>
  <c r="B706" i="43"/>
  <c r="B712" i="43"/>
  <c r="B727" i="43"/>
  <c r="B733" i="43"/>
  <c r="D763" i="43"/>
  <c r="C793" i="43"/>
  <c r="D841" i="43"/>
  <c r="C871" i="43"/>
  <c r="B870" i="43"/>
  <c r="B906" i="43"/>
  <c r="B923" i="43"/>
  <c r="B1018" i="43"/>
  <c r="B1045" i="43"/>
  <c r="B1063" i="43"/>
  <c r="B1069" i="43"/>
  <c r="B1075" i="43"/>
  <c r="B1081" i="43"/>
  <c r="B1087" i="43"/>
  <c r="B1093" i="43"/>
  <c r="B1099" i="43"/>
  <c r="B1105" i="43"/>
  <c r="B1111" i="43"/>
  <c r="B1117" i="43"/>
  <c r="B713" i="43"/>
  <c r="B703" i="43"/>
  <c r="C5" i="42"/>
  <c r="B6" i="43"/>
  <c r="B87" i="43" s="1"/>
  <c r="C94" i="43"/>
  <c r="C112" i="43" s="1"/>
  <c r="B165" i="43"/>
  <c r="B252" i="43" s="1"/>
  <c r="C259" i="43"/>
  <c r="C325" i="43" s="1"/>
  <c r="B329" i="43"/>
  <c r="B347" i="43"/>
  <c r="D367" i="43"/>
  <c r="D457" i="43" s="1"/>
  <c r="B558" i="43"/>
  <c r="B561" i="43" s="1"/>
  <c r="C568" i="43"/>
  <c r="C631" i="43" s="1"/>
  <c r="H658" i="43"/>
  <c r="J658" i="43"/>
  <c r="L658" i="43"/>
  <c r="N658" i="43"/>
  <c r="P658" i="43"/>
  <c r="B754" i="43"/>
  <c r="B762" i="43"/>
  <c r="D793" i="43"/>
  <c r="B802" i="43"/>
  <c r="B808" i="43"/>
  <c r="B847" i="43"/>
  <c r="B853" i="43"/>
  <c r="B859" i="43"/>
  <c r="B865" i="43"/>
  <c r="B889" i="43"/>
  <c r="B895" i="43"/>
  <c r="B901" i="43"/>
  <c r="D907" i="43"/>
  <c r="B961" i="43"/>
  <c r="B967" i="43"/>
  <c r="B973" i="43"/>
  <c r="B979" i="43"/>
  <c r="B985" i="43"/>
  <c r="D31" i="44"/>
  <c r="D34" i="44"/>
  <c r="D37" i="44"/>
  <c r="D40" i="44"/>
  <c r="D43" i="44"/>
  <c r="D46" i="44"/>
  <c r="D49" i="44"/>
  <c r="D52" i="44"/>
  <c r="D55" i="44"/>
  <c r="D58" i="44"/>
  <c r="D61" i="44"/>
  <c r="D64" i="44"/>
  <c r="D67" i="44"/>
  <c r="D70" i="44"/>
  <c r="D73" i="44"/>
  <c r="B671" i="43"/>
  <c r="B673" i="43" s="1"/>
  <c r="B677" i="43"/>
  <c r="B679" i="43" s="1"/>
  <c r="B683" i="43"/>
  <c r="B685" i="43" s="1"/>
  <c r="B689" i="43"/>
  <c r="B691" i="43" s="1"/>
  <c r="B693" i="43"/>
  <c r="B696" i="43" s="1"/>
  <c r="C694" i="43"/>
  <c r="C697" i="43" s="1"/>
  <c r="D695" i="43"/>
  <c r="C703" i="43"/>
  <c r="C709" i="43"/>
  <c r="C713" i="43"/>
  <c r="C724" i="43"/>
  <c r="C730" i="43"/>
  <c r="C736" i="43"/>
  <c r="C742" i="43"/>
  <c r="C760" i="43"/>
  <c r="D761" i="43"/>
  <c r="B797" i="43"/>
  <c r="B799" i="43" s="1"/>
  <c r="B803" i="43"/>
  <c r="B805" i="43" s="1"/>
  <c r="B809" i="43"/>
  <c r="B811" i="43" s="1"/>
  <c r="C814" i="43"/>
  <c r="B815" i="43"/>
  <c r="B817" i="43" s="1"/>
  <c r="B821" i="43"/>
  <c r="B823" i="43" s="1"/>
  <c r="B827" i="43"/>
  <c r="B829" i="43" s="1"/>
  <c r="B833" i="43"/>
  <c r="B835" i="43" s="1"/>
  <c r="B837" i="43"/>
  <c r="B840" i="43" s="1"/>
  <c r="C838" i="43"/>
  <c r="C841" i="43" s="1"/>
  <c r="D839" i="43"/>
  <c r="B848" i="43"/>
  <c r="B850" i="43" s="1"/>
  <c r="B854" i="43"/>
  <c r="B856" i="43" s="1"/>
  <c r="B860" i="43"/>
  <c r="B862" i="43" s="1"/>
  <c r="B866" i="43"/>
  <c r="D868" i="43"/>
  <c r="D871" i="43" s="1"/>
  <c r="C869" i="43"/>
  <c r="C880" i="43"/>
  <c r="C892" i="43"/>
  <c r="C898" i="43"/>
  <c r="C904" i="43"/>
  <c r="D905" i="43"/>
  <c r="C919" i="43"/>
  <c r="C925" i="43" s="1"/>
  <c r="D922" i="43"/>
  <c r="D925" i="43" s="1"/>
  <c r="C923" i="43"/>
  <c r="B929" i="43"/>
  <c r="D931" i="43"/>
  <c r="D1000" i="43" s="1"/>
  <c r="B935" i="43"/>
  <c r="B937" i="43" s="1"/>
  <c r="B941" i="43"/>
  <c r="B943" i="43" s="1"/>
  <c r="B947" i="43"/>
  <c r="B949" i="43" s="1"/>
  <c r="B953" i="43"/>
  <c r="B955" i="43" s="1"/>
  <c r="C964" i="43"/>
  <c r="C970" i="43"/>
  <c r="C976" i="43"/>
  <c r="C982" i="43"/>
  <c r="C988" i="43"/>
  <c r="C994" i="43"/>
  <c r="C998" i="43"/>
  <c r="B1006" i="43"/>
  <c r="B1024" i="43" s="1"/>
  <c r="D1006" i="43"/>
  <c r="D1024" i="43" s="1"/>
  <c r="C1021" i="43"/>
  <c r="C1030" i="43"/>
  <c r="C1036" i="43"/>
  <c r="B1055" i="43"/>
  <c r="B1057" i="43" s="1"/>
  <c r="C1066" i="43"/>
  <c r="C1072" i="43"/>
  <c r="C1078" i="43"/>
  <c r="C1084" i="43"/>
  <c r="C1090" i="43"/>
  <c r="C1096" i="43"/>
  <c r="C1102" i="43"/>
  <c r="C1108" i="43"/>
  <c r="C1114" i="43"/>
  <c r="C1120" i="43"/>
  <c r="C1132" i="43"/>
  <c r="C1138" i="43"/>
  <c r="C1144" i="43"/>
  <c r="C1150" i="43"/>
  <c r="C1156" i="43"/>
  <c r="C1160" i="43"/>
  <c r="B1166" i="43"/>
  <c r="D1168" i="43"/>
  <c r="D1171" i="43" s="1"/>
  <c r="C1169" i="43"/>
  <c r="D1177" i="43"/>
  <c r="D1186" i="43" s="1"/>
  <c r="C1180" i="43"/>
  <c r="C1186" i="43" s="1"/>
  <c r="C1184" i="43"/>
  <c r="B1190" i="43"/>
  <c r="D1192" i="43"/>
  <c r="D1195" i="43" s="1"/>
  <c r="C1193" i="43"/>
  <c r="B1201" i="43"/>
  <c r="D1201" i="43"/>
  <c r="D1261" i="43" s="1"/>
  <c r="C1204" i="43"/>
  <c r="C1210" i="43"/>
  <c r="C1216" i="43"/>
  <c r="C1222" i="43"/>
  <c r="C1228" i="43"/>
  <c r="C1234" i="43"/>
  <c r="C1240" i="43"/>
  <c r="C1246" i="43"/>
  <c r="B1253" i="43"/>
  <c r="B1255" i="43" s="1"/>
  <c r="C1260" i="43"/>
  <c r="E7" i="44"/>
  <c r="G7" i="44"/>
  <c r="G82" i="44" s="1"/>
  <c r="M7" i="44"/>
  <c r="M82" i="44" s="1"/>
  <c r="E31" i="44"/>
  <c r="E34" i="44"/>
  <c r="E37" i="44"/>
  <c r="E40" i="44"/>
  <c r="E43" i="44"/>
  <c r="E46" i="44"/>
  <c r="E49" i="44"/>
  <c r="E52" i="44"/>
  <c r="E55" i="44"/>
  <c r="E58" i="44"/>
  <c r="E61" i="44"/>
  <c r="E64" i="44"/>
  <c r="E67" i="44"/>
  <c r="E70" i="44"/>
  <c r="E73" i="44"/>
  <c r="B7" i="45"/>
  <c r="D7" i="45"/>
  <c r="D88" i="45" s="1"/>
  <c r="H7" i="45"/>
  <c r="H88" i="45" s="1"/>
  <c r="B26" i="45"/>
  <c r="B28" i="45" s="1"/>
  <c r="B29" i="45"/>
  <c r="B31" i="45" s="1"/>
  <c r="B32" i="45"/>
  <c r="B34" i="45" s="1"/>
  <c r="B35" i="45"/>
  <c r="B37" i="45" s="1"/>
  <c r="B38" i="45"/>
  <c r="B40" i="45" s="1"/>
  <c r="B41" i="45"/>
  <c r="B43" i="45" s="1"/>
  <c r="B44" i="45"/>
  <c r="B46" i="45" s="1"/>
  <c r="B47" i="45"/>
  <c r="B49" i="45" s="1"/>
  <c r="B50" i="45"/>
  <c r="B52" i="45" s="1"/>
  <c r="B53" i="45"/>
  <c r="B55" i="45" s="1"/>
  <c r="B56" i="45"/>
  <c r="B58" i="45" s="1"/>
  <c r="B59" i="45"/>
  <c r="B61" i="45" s="1"/>
  <c r="B62" i="45"/>
  <c r="B64" i="45" s="1"/>
  <c r="B74" i="45"/>
  <c r="B76" i="45" s="1"/>
  <c r="B83" i="45"/>
  <c r="B85" i="45" s="1"/>
  <c r="B94" i="45"/>
  <c r="B112" i="45" s="1"/>
  <c r="D94" i="45"/>
  <c r="D112" i="45" s="1"/>
  <c r="H94" i="45"/>
  <c r="H112" i="45" s="1"/>
  <c r="B116" i="45"/>
  <c r="B117" i="45"/>
  <c r="B159" i="45" s="1"/>
  <c r="D118" i="45"/>
  <c r="D160" i="45" s="1"/>
  <c r="H118" i="45"/>
  <c r="H160" i="45" s="1"/>
  <c r="B119" i="45"/>
  <c r="B121" i="45" s="1"/>
  <c r="B122" i="45"/>
  <c r="B124" i="45" s="1"/>
  <c r="B125" i="45"/>
  <c r="B127" i="45" s="1"/>
  <c r="B128" i="45"/>
  <c r="B130" i="45" s="1"/>
  <c r="B131" i="45"/>
  <c r="B133" i="45" s="1"/>
  <c r="B134" i="45"/>
  <c r="B136" i="45" s="1"/>
  <c r="B137" i="45"/>
  <c r="B139" i="45" s="1"/>
  <c r="B140" i="45"/>
  <c r="B142" i="45" s="1"/>
  <c r="B143" i="45"/>
  <c r="B145" i="45" s="1"/>
  <c r="B146" i="45"/>
  <c r="B148" i="45" s="1"/>
  <c r="B149" i="45"/>
  <c r="B151" i="45" s="1"/>
  <c r="B152" i="45"/>
  <c r="B154" i="45" s="1"/>
  <c r="B155" i="45"/>
  <c r="B157" i="45" s="1"/>
  <c r="B166" i="45"/>
  <c r="D166" i="45"/>
  <c r="D253" i="45" s="1"/>
  <c r="H166" i="45"/>
  <c r="H253" i="45" s="1"/>
  <c r="B242" i="45"/>
  <c r="B244" i="45" s="1"/>
  <c r="B245" i="45"/>
  <c r="B247" i="45" s="1"/>
  <c r="B248" i="45"/>
  <c r="B250" i="45" s="1"/>
  <c r="B257" i="45"/>
  <c r="B258" i="45"/>
  <c r="B324" i="45" s="1"/>
  <c r="D259" i="45"/>
  <c r="D325" i="45" s="1"/>
  <c r="H259" i="45"/>
  <c r="H325" i="45" s="1"/>
  <c r="B260" i="45"/>
  <c r="B262" i="45" s="1"/>
  <c r="B263" i="45"/>
  <c r="B265" i="45" s="1"/>
  <c r="B266" i="45"/>
  <c r="B268" i="45" s="1"/>
  <c r="B269" i="45"/>
  <c r="B271" i="45" s="1"/>
  <c r="B272" i="45"/>
  <c r="B274" i="45" s="1"/>
  <c r="B275" i="45"/>
  <c r="B277" i="45" s="1"/>
  <c r="B278" i="45"/>
  <c r="B280" i="45" s="1"/>
  <c r="B281" i="45"/>
  <c r="B283" i="45" s="1"/>
  <c r="B284" i="45"/>
  <c r="B286" i="45" s="1"/>
  <c r="B287" i="45"/>
  <c r="B289" i="45" s="1"/>
  <c r="B290" i="45"/>
  <c r="B292" i="45" s="1"/>
  <c r="B293" i="45"/>
  <c r="B295" i="45" s="1"/>
  <c r="B296" i="45"/>
  <c r="B298" i="45" s="1"/>
  <c r="B299" i="45"/>
  <c r="B301" i="45" s="1"/>
  <c r="B302" i="45"/>
  <c r="B304" i="45" s="1"/>
  <c r="B305" i="45"/>
  <c r="B307" i="45" s="1"/>
  <c r="B308" i="45"/>
  <c r="B310" i="45" s="1"/>
  <c r="B311" i="45"/>
  <c r="B313" i="45" s="1"/>
  <c r="B314" i="45"/>
  <c r="B316" i="45" s="1"/>
  <c r="B317" i="45"/>
  <c r="B319" i="45" s="1"/>
  <c r="B320" i="45"/>
  <c r="B322" i="45" s="1"/>
  <c r="B329" i="45"/>
  <c r="B330" i="45"/>
  <c r="B360" i="45" s="1"/>
  <c r="D331" i="45"/>
  <c r="D361" i="45" s="1"/>
  <c r="H331" i="45"/>
  <c r="H361" i="45" s="1"/>
  <c r="B332" i="45"/>
  <c r="B334" i="45" s="1"/>
  <c r="B335" i="45"/>
  <c r="B337" i="45" s="1"/>
  <c r="B338" i="45"/>
  <c r="B340" i="45" s="1"/>
  <c r="B341" i="45"/>
  <c r="B343" i="45" s="1"/>
  <c r="B560" i="45"/>
  <c r="B463" i="45"/>
  <c r="D703" i="43"/>
  <c r="D715" i="43" s="1"/>
  <c r="B758" i="43"/>
  <c r="B902" i="43"/>
  <c r="B921" i="43"/>
  <c r="B924" i="43" s="1"/>
  <c r="C1006" i="43"/>
  <c r="C1024" i="43" s="1"/>
  <c r="D1030" i="43"/>
  <c r="D1162" i="43" s="1"/>
  <c r="B1176" i="43"/>
  <c r="B1185" i="43" s="1"/>
  <c r="C1201" i="43"/>
  <c r="C1261" i="43" s="1"/>
  <c r="D7" i="44"/>
  <c r="D82" i="44" s="1"/>
  <c r="F7" i="44"/>
  <c r="F82" i="44" s="1"/>
  <c r="J7" i="44"/>
  <c r="J82" i="44" s="1"/>
  <c r="C7" i="45"/>
  <c r="C88" i="45" s="1"/>
  <c r="E7" i="45"/>
  <c r="E88" i="45" s="1"/>
  <c r="K7" i="45"/>
  <c r="K88" i="45" s="1"/>
  <c r="C94" i="45"/>
  <c r="C112" i="45" s="1"/>
  <c r="E94" i="45"/>
  <c r="E112" i="45" s="1"/>
  <c r="K94" i="45"/>
  <c r="K112" i="45" s="1"/>
  <c r="C118" i="45"/>
  <c r="C160" i="45" s="1"/>
  <c r="E118" i="45"/>
  <c r="E160" i="45" s="1"/>
  <c r="K118" i="45"/>
  <c r="K160" i="45" s="1"/>
  <c r="C166" i="45"/>
  <c r="C253" i="45" s="1"/>
  <c r="E166" i="45"/>
  <c r="E253" i="45" s="1"/>
  <c r="K166" i="45"/>
  <c r="K253" i="45" s="1"/>
  <c r="C259" i="45"/>
  <c r="C325" i="45" s="1"/>
  <c r="E259" i="45"/>
  <c r="E325" i="45" s="1"/>
  <c r="K259" i="45"/>
  <c r="K325" i="45" s="1"/>
  <c r="C331" i="45"/>
  <c r="E331" i="45"/>
  <c r="E361" i="45" s="1"/>
  <c r="K331" i="45"/>
  <c r="K361" i="45" s="1"/>
  <c r="B535" i="45"/>
  <c r="C346" i="45"/>
  <c r="C349" i="45"/>
  <c r="C352" i="45"/>
  <c r="C355" i="45"/>
  <c r="C358" i="45"/>
  <c r="C367" i="45"/>
  <c r="E367" i="45"/>
  <c r="E457" i="45" s="1"/>
  <c r="K367" i="45"/>
  <c r="K457" i="45" s="1"/>
  <c r="C373" i="45"/>
  <c r="C376" i="45"/>
  <c r="C379" i="45"/>
  <c r="C382" i="45"/>
  <c r="C385" i="45"/>
  <c r="C388" i="45"/>
  <c r="C391" i="45"/>
  <c r="C394" i="45"/>
  <c r="C397" i="45"/>
  <c r="C400" i="45"/>
  <c r="C403" i="45"/>
  <c r="C412" i="45"/>
  <c r="C415" i="45"/>
  <c r="C418" i="45"/>
  <c r="C421" i="45"/>
  <c r="C424" i="45"/>
  <c r="C427" i="45"/>
  <c r="C430" i="45"/>
  <c r="C433" i="45"/>
  <c r="C436" i="45"/>
  <c r="C439" i="45"/>
  <c r="C442" i="45"/>
  <c r="C445" i="45"/>
  <c r="C448" i="45"/>
  <c r="C451" i="45"/>
  <c r="C454" i="45"/>
  <c r="C463" i="45"/>
  <c r="E463" i="45"/>
  <c r="E562" i="45" s="1"/>
  <c r="K463" i="45"/>
  <c r="K562" i="45" s="1"/>
  <c r="C466" i="45"/>
  <c r="C469" i="45"/>
  <c r="C472" i="45"/>
  <c r="C475" i="45"/>
  <c r="C478" i="45"/>
  <c r="C481" i="45"/>
  <c r="C484" i="45"/>
  <c r="C487" i="45"/>
  <c r="C490" i="45"/>
  <c r="C493" i="45"/>
  <c r="C496" i="45"/>
  <c r="C499" i="45"/>
  <c r="C502" i="45"/>
  <c r="C505" i="45"/>
  <c r="C511" i="45"/>
  <c r="C514" i="45"/>
  <c r="C517" i="45"/>
  <c r="C520" i="45"/>
  <c r="C523" i="45"/>
  <c r="C526" i="45"/>
  <c r="C529" i="45"/>
  <c r="C532" i="45"/>
  <c r="C535" i="45"/>
  <c r="C541" i="45"/>
  <c r="C544" i="45"/>
  <c r="C547" i="45"/>
  <c r="C550" i="45"/>
  <c r="C553" i="45"/>
  <c r="C556" i="45"/>
  <c r="C559" i="45"/>
  <c r="C560" i="45"/>
  <c r="C561" i="45"/>
  <c r="C568" i="45"/>
  <c r="E568" i="45"/>
  <c r="E631" i="45" s="1"/>
  <c r="K568" i="45"/>
  <c r="K631" i="45" s="1"/>
  <c r="C598" i="45"/>
  <c r="C601" i="45"/>
  <c r="C604" i="45"/>
  <c r="C607" i="45"/>
  <c r="C610" i="45"/>
  <c r="C613" i="45"/>
  <c r="C616" i="45"/>
  <c r="C619" i="45"/>
  <c r="C622" i="45"/>
  <c r="C628" i="45"/>
  <c r="C637" i="45"/>
  <c r="C658" i="45" s="1"/>
  <c r="E637" i="45"/>
  <c r="E658" i="45" s="1"/>
  <c r="K637" i="45"/>
  <c r="K658" i="45" s="1"/>
  <c r="C664" i="45"/>
  <c r="E664" i="45"/>
  <c r="E697" i="45" s="1"/>
  <c r="K664" i="45"/>
  <c r="K697" i="45" s="1"/>
  <c r="D793" i="45"/>
  <c r="D1024" i="45"/>
  <c r="C679" i="45"/>
  <c r="B677" i="45"/>
  <c r="B679" i="45" s="1"/>
  <c r="B367" i="45"/>
  <c r="B457" i="45" s="1"/>
  <c r="D367" i="45"/>
  <c r="D457" i="45" s="1"/>
  <c r="H367" i="45"/>
  <c r="H457" i="45" s="1"/>
  <c r="D463" i="45"/>
  <c r="D562" i="45" s="1"/>
  <c r="H463" i="45"/>
  <c r="H562" i="45" s="1"/>
  <c r="B568" i="45"/>
  <c r="B631" i="45" s="1"/>
  <c r="D568" i="45"/>
  <c r="D631" i="45" s="1"/>
  <c r="H568" i="45"/>
  <c r="H631" i="45" s="1"/>
  <c r="B637" i="45"/>
  <c r="B658" i="45" s="1"/>
  <c r="D637" i="45"/>
  <c r="D658" i="45" s="1"/>
  <c r="H637" i="45"/>
  <c r="H658" i="45" s="1"/>
  <c r="B664" i="45"/>
  <c r="D664" i="45"/>
  <c r="D697" i="45" s="1"/>
  <c r="H664" i="45"/>
  <c r="H697" i="45" s="1"/>
  <c r="D763" i="45"/>
  <c r="D1259" i="45"/>
  <c r="D1201" i="45"/>
  <c r="D1261" i="45" s="1"/>
  <c r="B680" i="45"/>
  <c r="B682" i="45" s="1"/>
  <c r="B683" i="45"/>
  <c r="B685" i="45" s="1"/>
  <c r="B686" i="45"/>
  <c r="B688" i="45" s="1"/>
  <c r="B689" i="45"/>
  <c r="B691" i="45" s="1"/>
  <c r="B692" i="45"/>
  <c r="B694" i="45" s="1"/>
  <c r="B703" i="45"/>
  <c r="B715" i="45" s="1"/>
  <c r="H703" i="45"/>
  <c r="H715" i="45" s="1"/>
  <c r="B721" i="45"/>
  <c r="B763" i="45" s="1"/>
  <c r="H721" i="45"/>
  <c r="H763" i="45" s="1"/>
  <c r="B769" i="45"/>
  <c r="B793" i="45" s="1"/>
  <c r="H769" i="45"/>
  <c r="H793" i="45" s="1"/>
  <c r="B799" i="45"/>
  <c r="B841" i="45" s="1"/>
  <c r="H799" i="45"/>
  <c r="H841" i="45" s="1"/>
  <c r="B847" i="45"/>
  <c r="B871" i="45" s="1"/>
  <c r="H847" i="45"/>
  <c r="H871" i="45" s="1"/>
  <c r="B877" i="45"/>
  <c r="B907" i="45" s="1"/>
  <c r="H877" i="45"/>
  <c r="H907" i="45" s="1"/>
  <c r="B913" i="45"/>
  <c r="B925" i="45" s="1"/>
  <c r="H913" i="45"/>
  <c r="H925" i="45" s="1"/>
  <c r="B931" i="45"/>
  <c r="B1000" i="45" s="1"/>
  <c r="H931" i="45"/>
  <c r="H1000" i="45" s="1"/>
  <c r="D998" i="45"/>
  <c r="B1177" i="45"/>
  <c r="B1186" i="45" s="1"/>
  <c r="B1201" i="45"/>
  <c r="D799" i="45"/>
  <c r="D841" i="45" s="1"/>
  <c r="D847" i="45"/>
  <c r="D871" i="45" s="1"/>
  <c r="D877" i="45"/>
  <c r="D907" i="45" s="1"/>
  <c r="D913" i="45"/>
  <c r="D925" i="45" s="1"/>
  <c r="B1006" i="45"/>
  <c r="B1024" i="45" s="1"/>
  <c r="H1006" i="45"/>
  <c r="H1024" i="45" s="1"/>
  <c r="B1160" i="45"/>
  <c r="H1160" i="45"/>
  <c r="D1161" i="45"/>
  <c r="B1030" i="45"/>
  <c r="B1162" i="45" s="1"/>
  <c r="F1162" i="45"/>
  <c r="H1030" i="45"/>
  <c r="H1162" i="45" s="1"/>
  <c r="J1162" i="45"/>
  <c r="F1186" i="45"/>
  <c r="H1177" i="45"/>
  <c r="H1186" i="45" s="1"/>
  <c r="J1186" i="45"/>
  <c r="D1184" i="45"/>
  <c r="H1201" i="45"/>
  <c r="H1261" i="45" s="1"/>
  <c r="B1204" i="45"/>
  <c r="B1210" i="45"/>
  <c r="B1216" i="45"/>
  <c r="B1222" i="45"/>
  <c r="B1228" i="45"/>
  <c r="B1234" i="45"/>
  <c r="C703" i="45"/>
  <c r="C715" i="45" s="1"/>
  <c r="E703" i="45"/>
  <c r="E715" i="45" s="1"/>
  <c r="K703" i="45"/>
  <c r="K715" i="45" s="1"/>
  <c r="C721" i="45"/>
  <c r="C763" i="45" s="1"/>
  <c r="E721" i="45"/>
  <c r="E763" i="45" s="1"/>
  <c r="K721" i="45"/>
  <c r="K763" i="45" s="1"/>
  <c r="C769" i="45"/>
  <c r="C793" i="45" s="1"/>
  <c r="E769" i="45"/>
  <c r="E793" i="45" s="1"/>
  <c r="K769" i="45"/>
  <c r="K793" i="45" s="1"/>
  <c r="C799" i="45"/>
  <c r="C841" i="45" s="1"/>
  <c r="E799" i="45"/>
  <c r="E841" i="45" s="1"/>
  <c r="K799" i="45"/>
  <c r="K841" i="45" s="1"/>
  <c r="C847" i="45"/>
  <c r="C871" i="45" s="1"/>
  <c r="E847" i="45"/>
  <c r="E871" i="45" s="1"/>
  <c r="K847" i="45"/>
  <c r="K871" i="45" s="1"/>
  <c r="C877" i="45"/>
  <c r="C907" i="45" s="1"/>
  <c r="E877" i="45"/>
  <c r="E907" i="45" s="1"/>
  <c r="K877" i="45"/>
  <c r="K907" i="45" s="1"/>
  <c r="C913" i="45"/>
  <c r="C925" i="45" s="1"/>
  <c r="E913" i="45"/>
  <c r="E925" i="45" s="1"/>
  <c r="K913" i="45"/>
  <c r="K925" i="45" s="1"/>
  <c r="C931" i="45"/>
  <c r="C1000" i="45" s="1"/>
  <c r="E931" i="45"/>
  <c r="E1000" i="45" s="1"/>
  <c r="K931" i="45"/>
  <c r="K1000" i="45" s="1"/>
  <c r="C1006" i="45"/>
  <c r="C1024" i="45" s="1"/>
  <c r="E1006" i="45"/>
  <c r="E1024" i="45" s="1"/>
  <c r="K1006" i="45"/>
  <c r="K1024" i="45" s="1"/>
  <c r="C1030" i="45"/>
  <c r="C1162" i="45" s="1"/>
  <c r="E1030" i="45"/>
  <c r="E1162" i="45" s="1"/>
  <c r="K1030" i="45"/>
  <c r="K1162" i="45" s="1"/>
  <c r="C1168" i="45"/>
  <c r="C1171" i="45" s="1"/>
  <c r="E1168" i="45"/>
  <c r="E1171" i="45" s="1"/>
  <c r="K1168" i="45"/>
  <c r="K1171" i="45" s="1"/>
  <c r="C1177" i="45"/>
  <c r="C1186" i="45" s="1"/>
  <c r="E1177" i="45"/>
  <c r="E1186" i="45" s="1"/>
  <c r="K1177" i="45"/>
  <c r="K1186" i="45" s="1"/>
  <c r="C1192" i="45"/>
  <c r="C1195" i="45" s="1"/>
  <c r="E1192" i="45"/>
  <c r="E1195" i="45" s="1"/>
  <c r="K1192" i="45"/>
  <c r="K1195" i="45" s="1"/>
  <c r="C1201" i="45"/>
  <c r="C1261" i="45" s="1"/>
  <c r="E1201" i="45"/>
  <c r="E1261" i="45" s="1"/>
  <c r="K1201" i="45"/>
  <c r="K1261" i="45" s="1"/>
  <c r="E82" i="42" l="1"/>
  <c r="B360" i="43"/>
  <c r="B1184" i="45"/>
  <c r="B1022" i="45"/>
  <c r="B998" i="45"/>
  <c r="B761" i="45"/>
  <c r="C697" i="45"/>
  <c r="B839" i="43"/>
  <c r="C763" i="43"/>
  <c r="B349" i="43"/>
  <c r="B656" i="43"/>
  <c r="B456" i="43"/>
  <c r="B1168" i="45"/>
  <c r="B1171" i="45" s="1"/>
  <c r="B1169" i="45"/>
  <c r="B713" i="45"/>
  <c r="B538" i="45"/>
  <c r="B110" i="45"/>
  <c r="B505" i="43"/>
  <c r="B469" i="43"/>
  <c r="B148" i="43"/>
  <c r="B630" i="43"/>
  <c r="B1184" i="43"/>
  <c r="C1000" i="43"/>
  <c r="C253" i="43"/>
  <c r="B1022" i="43"/>
  <c r="B629" i="43"/>
  <c r="B159" i="43"/>
  <c r="B715" i="43"/>
  <c r="B160" i="43"/>
  <c r="B1161" i="43"/>
  <c r="B324" i="43"/>
  <c r="B251" i="43"/>
  <c r="B904" i="43"/>
  <c r="B907" i="43" s="1"/>
  <c r="B905" i="43"/>
  <c r="B359" i="45"/>
  <c r="B331" i="45"/>
  <c r="B361" i="45" s="1"/>
  <c r="B158" i="45"/>
  <c r="B118" i="45"/>
  <c r="B160" i="45" s="1"/>
  <c r="B1193" i="43"/>
  <c r="B1192" i="43"/>
  <c r="B1195" i="43" s="1"/>
  <c r="B998" i="43"/>
  <c r="B931" i="43"/>
  <c r="B1000" i="43" s="1"/>
  <c r="B869" i="43"/>
  <c r="B868" i="43"/>
  <c r="B871" i="43" s="1"/>
  <c r="C7" i="42"/>
  <c r="C82" i="42" s="1"/>
  <c r="C80" i="42"/>
  <c r="B697" i="45"/>
  <c r="C562" i="45"/>
  <c r="C361" i="45"/>
  <c r="B1177" i="43"/>
  <c r="B1186" i="43" s="1"/>
  <c r="C1162" i="43"/>
  <c r="C907" i="43"/>
  <c r="C715" i="43"/>
  <c r="B695" i="43"/>
  <c r="B1259" i="43"/>
  <c r="B838" i="43"/>
  <c r="B841" i="43" s="1"/>
  <c r="B694" i="43"/>
  <c r="B697" i="43" s="1"/>
  <c r="B559" i="43"/>
  <c r="B562" i="43" s="1"/>
  <c r="C457" i="43"/>
  <c r="D82" i="42"/>
  <c r="B1160" i="43"/>
  <c r="B655" i="43"/>
  <c r="B658" i="43" s="1"/>
  <c r="B760" i="43"/>
  <c r="B763" i="43" s="1"/>
  <c r="B761" i="43"/>
  <c r="B323" i="45"/>
  <c r="B259" i="45"/>
  <c r="B325" i="45" s="1"/>
  <c r="B1169" i="43"/>
  <c r="B1168" i="43"/>
  <c r="B1171" i="43" s="1"/>
  <c r="B331" i="43"/>
  <c r="B359" i="43"/>
  <c r="B361" i="43" s="1"/>
  <c r="B1261" i="45"/>
  <c r="B695" i="45"/>
  <c r="C631" i="45"/>
  <c r="C457" i="45"/>
  <c r="B562" i="45"/>
  <c r="B253" i="45"/>
  <c r="B88" i="45"/>
  <c r="E82" i="44"/>
  <c r="B1261" i="43"/>
  <c r="B922" i="43"/>
  <c r="B925" i="43" s="1"/>
  <c r="B251" i="45"/>
  <c r="B86" i="45"/>
  <c r="B793" i="43"/>
  <c r="B166" i="43"/>
  <c r="B253" i="43" s="1"/>
  <c r="B7" i="43"/>
  <c r="B88" i="43" s="1"/>
  <c r="B1162" i="43"/>
  <c r="J314" i="41" l="1"/>
  <c r="I314" i="41"/>
  <c r="G314" i="41"/>
  <c r="F314" i="41"/>
  <c r="J313" i="41"/>
  <c r="I313" i="41"/>
  <c r="G313" i="41"/>
  <c r="F313" i="41"/>
  <c r="J312" i="41"/>
  <c r="J315" i="41" s="1"/>
  <c r="I312" i="41"/>
  <c r="I315" i="41" s="1"/>
  <c r="G312" i="41"/>
  <c r="G315" i="41" s="1"/>
  <c r="F312" i="41"/>
  <c r="F315" i="41" s="1"/>
  <c r="H311" i="41"/>
  <c r="H314" i="41" s="1"/>
  <c r="E311" i="41"/>
  <c r="E314" i="41" s="1"/>
  <c r="D311" i="41"/>
  <c r="D314" i="41" s="1"/>
  <c r="C311" i="41"/>
  <c r="C314" i="41" s="1"/>
  <c r="H310" i="41"/>
  <c r="H313" i="41" s="1"/>
  <c r="E310" i="41"/>
  <c r="E313" i="41" s="1"/>
  <c r="D310" i="41"/>
  <c r="D313" i="41" s="1"/>
  <c r="C310" i="41"/>
  <c r="C313" i="41" s="1"/>
  <c r="B310" i="41"/>
  <c r="B313" i="41" s="1"/>
  <c r="H309" i="41"/>
  <c r="H312" i="41" s="1"/>
  <c r="E309" i="41"/>
  <c r="E312" i="41" s="1"/>
  <c r="E315" i="41" s="1"/>
  <c r="D309" i="41"/>
  <c r="D312" i="41" s="1"/>
  <c r="C309" i="41"/>
  <c r="C312" i="41" s="1"/>
  <c r="C315" i="41" s="1"/>
  <c r="J305" i="41"/>
  <c r="I305" i="41"/>
  <c r="G305" i="41"/>
  <c r="F305" i="41"/>
  <c r="J304" i="41"/>
  <c r="I304" i="41"/>
  <c r="G304" i="41"/>
  <c r="F304" i="41"/>
  <c r="J303" i="41"/>
  <c r="J306" i="41" s="1"/>
  <c r="I303" i="41"/>
  <c r="I306" i="41" s="1"/>
  <c r="G303" i="41"/>
  <c r="G306" i="41" s="1"/>
  <c r="F303" i="41"/>
  <c r="F306" i="41" s="1"/>
  <c r="H302" i="41"/>
  <c r="E302" i="41"/>
  <c r="D302" i="41"/>
  <c r="C302" i="41"/>
  <c r="B302" i="41" s="1"/>
  <c r="H301" i="41"/>
  <c r="E301" i="41"/>
  <c r="D301" i="41"/>
  <c r="C301" i="41"/>
  <c r="B301" i="41" s="1"/>
  <c r="H300" i="41"/>
  <c r="E300" i="41"/>
  <c r="D300" i="41"/>
  <c r="C300" i="41"/>
  <c r="B300" i="41" s="1"/>
  <c r="H299" i="41"/>
  <c r="H305" i="41" s="1"/>
  <c r="E299" i="41"/>
  <c r="E305" i="41" s="1"/>
  <c r="D299" i="41"/>
  <c r="D305" i="41" s="1"/>
  <c r="C299" i="41"/>
  <c r="C305" i="41" s="1"/>
  <c r="H298" i="41"/>
  <c r="H304" i="41" s="1"/>
  <c r="E298" i="41"/>
  <c r="E304" i="41" s="1"/>
  <c r="D298" i="41"/>
  <c r="D304" i="41" s="1"/>
  <c r="C298" i="41"/>
  <c r="C304" i="41" s="1"/>
  <c r="H297" i="41"/>
  <c r="H303" i="41" s="1"/>
  <c r="H306" i="41" s="1"/>
  <c r="E297" i="41"/>
  <c r="E303" i="41" s="1"/>
  <c r="D297" i="41"/>
  <c r="D303" i="41" s="1"/>
  <c r="D306" i="41" s="1"/>
  <c r="C297" i="41"/>
  <c r="C303" i="41" s="1"/>
  <c r="J293" i="41"/>
  <c r="I293" i="41"/>
  <c r="G293" i="41"/>
  <c r="F293" i="41"/>
  <c r="J292" i="41"/>
  <c r="I292" i="41"/>
  <c r="G292" i="41"/>
  <c r="F292" i="41"/>
  <c r="J291" i="41"/>
  <c r="J294" i="41" s="1"/>
  <c r="I291" i="41"/>
  <c r="I294" i="41" s="1"/>
  <c r="G291" i="41"/>
  <c r="G294" i="41" s="1"/>
  <c r="F291" i="41"/>
  <c r="F294" i="41" s="1"/>
  <c r="H290" i="41"/>
  <c r="E290" i="41"/>
  <c r="D290" i="41"/>
  <c r="C290" i="41"/>
  <c r="B290" i="41" s="1"/>
  <c r="H289" i="41"/>
  <c r="E289" i="41"/>
  <c r="D289" i="41"/>
  <c r="C289" i="41"/>
  <c r="B289" i="41" s="1"/>
  <c r="H288" i="41"/>
  <c r="E288" i="41"/>
  <c r="D288" i="41"/>
  <c r="C288" i="41"/>
  <c r="B288" i="41" s="1"/>
  <c r="H287" i="41"/>
  <c r="H293" i="41" s="1"/>
  <c r="E287" i="41"/>
  <c r="E293" i="41" s="1"/>
  <c r="D287" i="41"/>
  <c r="D293" i="41" s="1"/>
  <c r="C287" i="41"/>
  <c r="C293" i="41" s="1"/>
  <c r="H286" i="41"/>
  <c r="H292" i="41" s="1"/>
  <c r="E286" i="41"/>
  <c r="E292" i="41" s="1"/>
  <c r="D286" i="41"/>
  <c r="D292" i="41" s="1"/>
  <c r="C286" i="41"/>
  <c r="H285" i="41"/>
  <c r="H291" i="41" s="1"/>
  <c r="H294" i="41" s="1"/>
  <c r="E285" i="41"/>
  <c r="E291" i="41" s="1"/>
  <c r="E294" i="41" s="1"/>
  <c r="D285" i="41"/>
  <c r="D291" i="41" s="1"/>
  <c r="D294" i="41" s="1"/>
  <c r="C285" i="41"/>
  <c r="C291" i="41" s="1"/>
  <c r="B285" i="41"/>
  <c r="B291" i="41" s="1"/>
  <c r="J281" i="41"/>
  <c r="G281" i="41"/>
  <c r="F281" i="41"/>
  <c r="J280" i="41"/>
  <c r="I280" i="41"/>
  <c r="G280" i="41"/>
  <c r="F280" i="41"/>
  <c r="J279" i="41"/>
  <c r="J282" i="41" s="1"/>
  <c r="I279" i="41"/>
  <c r="G279" i="41"/>
  <c r="G282" i="41" s="1"/>
  <c r="F279" i="41"/>
  <c r="F282" i="41" s="1"/>
  <c r="H278" i="41"/>
  <c r="E278" i="41"/>
  <c r="D278" i="41"/>
  <c r="C278" i="41"/>
  <c r="H277" i="41"/>
  <c r="E277" i="41"/>
  <c r="D277" i="41"/>
  <c r="C277" i="41"/>
  <c r="B277" i="41"/>
  <c r="H276" i="41"/>
  <c r="E276" i="41"/>
  <c r="D276" i="41"/>
  <c r="C276" i="41"/>
  <c r="B276" i="41" s="1"/>
  <c r="I275" i="41"/>
  <c r="I281" i="41" s="1"/>
  <c r="E275" i="41"/>
  <c r="D275" i="41"/>
  <c r="C275" i="41"/>
  <c r="B275" i="41" s="1"/>
  <c r="H274" i="41"/>
  <c r="E274" i="41"/>
  <c r="D274" i="41"/>
  <c r="C274" i="41"/>
  <c r="B274" i="41" s="1"/>
  <c r="H273" i="41"/>
  <c r="E273" i="41"/>
  <c r="D273" i="41"/>
  <c r="C273" i="41"/>
  <c r="H272" i="41"/>
  <c r="E272" i="41"/>
  <c r="E281" i="41" s="1"/>
  <c r="D272" i="41"/>
  <c r="D281" i="41" s="1"/>
  <c r="C272" i="41"/>
  <c r="C281" i="41" s="1"/>
  <c r="H271" i="41"/>
  <c r="H280" i="41" s="1"/>
  <c r="E271" i="41"/>
  <c r="E280" i="41" s="1"/>
  <c r="D271" i="41"/>
  <c r="D280" i="41" s="1"/>
  <c r="C271" i="41"/>
  <c r="H270" i="41"/>
  <c r="H279" i="41" s="1"/>
  <c r="E270" i="41"/>
  <c r="E279" i="41" s="1"/>
  <c r="E282" i="41" s="1"/>
  <c r="D270" i="41"/>
  <c r="D279" i="41" s="1"/>
  <c r="D282" i="41" s="1"/>
  <c r="C270" i="41"/>
  <c r="C279" i="41" s="1"/>
  <c r="B270" i="41"/>
  <c r="J266" i="41"/>
  <c r="I266" i="41"/>
  <c r="G266" i="41"/>
  <c r="F266" i="41"/>
  <c r="J265" i="41"/>
  <c r="I265" i="41"/>
  <c r="G265" i="41"/>
  <c r="F265" i="41"/>
  <c r="J264" i="41"/>
  <c r="J267" i="41" s="1"/>
  <c r="I264" i="41"/>
  <c r="I267" i="41" s="1"/>
  <c r="G264" i="41"/>
  <c r="G267" i="41" s="1"/>
  <c r="F264" i="41"/>
  <c r="F267" i="41" s="1"/>
  <c r="H263" i="41"/>
  <c r="E263" i="41"/>
  <c r="D263" i="41"/>
  <c r="C263" i="41"/>
  <c r="B263" i="41" s="1"/>
  <c r="H262" i="41"/>
  <c r="E262" i="41"/>
  <c r="D262" i="41"/>
  <c r="C262" i="41"/>
  <c r="B262" i="41" s="1"/>
  <c r="H261" i="41"/>
  <c r="E261" i="41"/>
  <c r="D261" i="41"/>
  <c r="C261" i="41"/>
  <c r="B261" i="41" s="1"/>
  <c r="H260" i="41"/>
  <c r="E260" i="41"/>
  <c r="D260" i="41"/>
  <c r="C260" i="41"/>
  <c r="B260" i="41" s="1"/>
  <c r="H259" i="41"/>
  <c r="E259" i="41"/>
  <c r="D259" i="41"/>
  <c r="C259" i="41"/>
  <c r="H258" i="41"/>
  <c r="E258" i="41"/>
  <c r="D258" i="41"/>
  <c r="C258" i="41"/>
  <c r="H257" i="41"/>
  <c r="H266" i="41" s="1"/>
  <c r="E257" i="41"/>
  <c r="D257" i="41"/>
  <c r="D266" i="41" s="1"/>
  <c r="C257" i="41"/>
  <c r="H256" i="41"/>
  <c r="H265" i="41" s="1"/>
  <c r="E256" i="41"/>
  <c r="D256" i="41"/>
  <c r="D265" i="41" s="1"/>
  <c r="C256" i="41"/>
  <c r="B256" i="41"/>
  <c r="H255" i="41"/>
  <c r="E255" i="41"/>
  <c r="E264" i="41" s="1"/>
  <c r="D255" i="41"/>
  <c r="C255" i="41"/>
  <c r="C264" i="41" s="1"/>
  <c r="J251" i="41"/>
  <c r="I251" i="41"/>
  <c r="G251" i="41"/>
  <c r="F251" i="41"/>
  <c r="J250" i="41"/>
  <c r="I250" i="41"/>
  <c r="G250" i="41"/>
  <c r="F250" i="41"/>
  <c r="J249" i="41"/>
  <c r="J252" i="41" s="1"/>
  <c r="I249" i="41"/>
  <c r="I252" i="41" s="1"/>
  <c r="G249" i="41"/>
  <c r="G252" i="41" s="1"/>
  <c r="F249" i="41"/>
  <c r="F252" i="41" s="1"/>
  <c r="H248" i="41"/>
  <c r="H251" i="41" s="1"/>
  <c r="E248" i="41"/>
  <c r="E251" i="41" s="1"/>
  <c r="D248" i="41"/>
  <c r="D251" i="41" s="1"/>
  <c r="C248" i="41"/>
  <c r="C251" i="41" s="1"/>
  <c r="H247" i="41"/>
  <c r="H250" i="41" s="1"/>
  <c r="E247" i="41"/>
  <c r="E250" i="41" s="1"/>
  <c r="D247" i="41"/>
  <c r="D250" i="41" s="1"/>
  <c r="C247" i="41"/>
  <c r="C250" i="41" s="1"/>
  <c r="H246" i="41"/>
  <c r="H249" i="41" s="1"/>
  <c r="H252" i="41" s="1"/>
  <c r="E246" i="41"/>
  <c r="E249" i="41" s="1"/>
  <c r="D246" i="41"/>
  <c r="D249" i="41" s="1"/>
  <c r="D252" i="41" s="1"/>
  <c r="C246" i="41"/>
  <c r="C249" i="41" s="1"/>
  <c r="B246" i="41"/>
  <c r="B249" i="41" s="1"/>
  <c r="J242" i="41"/>
  <c r="I242" i="41"/>
  <c r="G242" i="41"/>
  <c r="F242" i="41"/>
  <c r="J241" i="41"/>
  <c r="I241" i="41"/>
  <c r="G241" i="41"/>
  <c r="F241" i="41"/>
  <c r="J240" i="41"/>
  <c r="J243" i="41" s="1"/>
  <c r="I240" i="41"/>
  <c r="I243" i="41" s="1"/>
  <c r="G240" i="41"/>
  <c r="G243" i="41" s="1"/>
  <c r="F240" i="41"/>
  <c r="F243" i="41" s="1"/>
  <c r="H239" i="41"/>
  <c r="E239" i="41"/>
  <c r="D239" i="41"/>
  <c r="C239" i="41"/>
  <c r="B239" i="41" s="1"/>
  <c r="H238" i="41"/>
  <c r="E238" i="41"/>
  <c r="D238" i="41"/>
  <c r="C238" i="41"/>
  <c r="B238" i="41" s="1"/>
  <c r="H237" i="41"/>
  <c r="E237" i="41"/>
  <c r="D237" i="41"/>
  <c r="C237" i="41"/>
  <c r="H236" i="41"/>
  <c r="E236" i="41"/>
  <c r="D236" i="41"/>
  <c r="C236" i="41"/>
  <c r="H235" i="41"/>
  <c r="E235" i="41"/>
  <c r="D235" i="41"/>
  <c r="C235" i="41"/>
  <c r="H234" i="41"/>
  <c r="E234" i="41"/>
  <c r="D234" i="41"/>
  <c r="C234" i="41"/>
  <c r="B234" i="41"/>
  <c r="H233" i="41"/>
  <c r="E233" i="41"/>
  <c r="E242" i="41" s="1"/>
  <c r="D233" i="41"/>
  <c r="C233" i="41"/>
  <c r="C242" i="41" s="1"/>
  <c r="H232" i="41"/>
  <c r="E232" i="41"/>
  <c r="E241" i="41" s="1"/>
  <c r="D232" i="41"/>
  <c r="C232" i="41"/>
  <c r="C241" i="41" s="1"/>
  <c r="H231" i="41"/>
  <c r="H240" i="41" s="1"/>
  <c r="E231" i="41"/>
  <c r="E240" i="41" s="1"/>
  <c r="D231" i="41"/>
  <c r="D240" i="41" s="1"/>
  <c r="C231" i="41"/>
  <c r="C240" i="41" s="1"/>
  <c r="J227" i="41"/>
  <c r="I227" i="41"/>
  <c r="G227" i="41"/>
  <c r="F227" i="41"/>
  <c r="J226" i="41"/>
  <c r="G226" i="41"/>
  <c r="F226" i="41"/>
  <c r="J225" i="41"/>
  <c r="I225" i="41"/>
  <c r="G225" i="41"/>
  <c r="G228" i="41" s="1"/>
  <c r="F225" i="41"/>
  <c r="F228" i="41" s="1"/>
  <c r="H224" i="41"/>
  <c r="E224" i="41"/>
  <c r="D224" i="41"/>
  <c r="C224" i="41"/>
  <c r="B224" i="41" s="1"/>
  <c r="H223" i="41"/>
  <c r="E223" i="41"/>
  <c r="D223" i="41"/>
  <c r="C223" i="41"/>
  <c r="B223" i="41" s="1"/>
  <c r="H222" i="41"/>
  <c r="E222" i="41"/>
  <c r="D222" i="41"/>
  <c r="C222" i="41"/>
  <c r="H221" i="41"/>
  <c r="E221" i="41"/>
  <c r="D221" i="41"/>
  <c r="C221" i="41"/>
  <c r="I220" i="41"/>
  <c r="I226" i="41" s="1"/>
  <c r="E220" i="41"/>
  <c r="D220" i="41"/>
  <c r="H219" i="41"/>
  <c r="E219" i="41"/>
  <c r="D219" i="41"/>
  <c r="C219" i="41"/>
  <c r="H218" i="41"/>
  <c r="E218" i="41"/>
  <c r="D218" i="41"/>
  <c r="C218" i="41"/>
  <c r="B218" i="41"/>
  <c r="H217" i="41"/>
  <c r="E217" i="41"/>
  <c r="D217" i="41"/>
  <c r="C217" i="41"/>
  <c r="B217" i="41" s="1"/>
  <c r="H216" i="41"/>
  <c r="E216" i="41"/>
  <c r="D216" i="41"/>
  <c r="C216" i="41"/>
  <c r="B216" i="41" s="1"/>
  <c r="H215" i="41"/>
  <c r="E215" i="41"/>
  <c r="D215" i="41"/>
  <c r="C215" i="41"/>
  <c r="H214" i="41"/>
  <c r="E214" i="41"/>
  <c r="D214" i="41"/>
  <c r="C214" i="41"/>
  <c r="B214" i="41" s="1"/>
  <c r="H213" i="41"/>
  <c r="E213" i="41"/>
  <c r="D213" i="41"/>
  <c r="C213" i="41"/>
  <c r="H212" i="41"/>
  <c r="E212" i="41"/>
  <c r="D212" i="41"/>
  <c r="C212" i="41"/>
  <c r="H211" i="41"/>
  <c r="E211" i="41"/>
  <c r="D211" i="41"/>
  <c r="C211" i="41"/>
  <c r="H210" i="41"/>
  <c r="E210" i="41"/>
  <c r="D210" i="41"/>
  <c r="C210" i="41"/>
  <c r="B210" i="41"/>
  <c r="H209" i="41"/>
  <c r="E209" i="41"/>
  <c r="D209" i="41"/>
  <c r="C209" i="41"/>
  <c r="B209" i="41" s="1"/>
  <c r="H208" i="41"/>
  <c r="E208" i="41"/>
  <c r="D208" i="41"/>
  <c r="C208" i="41"/>
  <c r="B208" i="41" s="1"/>
  <c r="H207" i="41"/>
  <c r="E207" i="41"/>
  <c r="D207" i="41"/>
  <c r="C207" i="41"/>
  <c r="H206" i="41"/>
  <c r="H227" i="41" s="1"/>
  <c r="E206" i="41"/>
  <c r="E227" i="41" s="1"/>
  <c r="D206" i="41"/>
  <c r="D227" i="41" s="1"/>
  <c r="C206" i="41"/>
  <c r="C227" i="41" s="1"/>
  <c r="H205" i="41"/>
  <c r="E205" i="41"/>
  <c r="E226" i="41" s="1"/>
  <c r="D205" i="41"/>
  <c r="D226" i="41" s="1"/>
  <c r="C205" i="41"/>
  <c r="H204" i="41"/>
  <c r="H225" i="41" s="1"/>
  <c r="E204" i="41"/>
  <c r="E225" i="41" s="1"/>
  <c r="E228" i="41" s="1"/>
  <c r="D204" i="41"/>
  <c r="D225" i="41" s="1"/>
  <c r="D228" i="41" s="1"/>
  <c r="C204" i="41"/>
  <c r="C225" i="41" s="1"/>
  <c r="B204" i="41"/>
  <c r="J200" i="41"/>
  <c r="I200" i="41"/>
  <c r="G200" i="41"/>
  <c r="F200" i="41"/>
  <c r="I199" i="41"/>
  <c r="F199" i="41"/>
  <c r="J198" i="41"/>
  <c r="I198" i="41"/>
  <c r="I201" i="41" s="1"/>
  <c r="G198" i="41"/>
  <c r="F198" i="41"/>
  <c r="F201" i="41" s="1"/>
  <c r="H197" i="41"/>
  <c r="E197" i="41"/>
  <c r="D197" i="41"/>
  <c r="C197" i="41"/>
  <c r="B197" i="41" s="1"/>
  <c r="H196" i="41"/>
  <c r="E196" i="41"/>
  <c r="D196" i="41"/>
  <c r="C196" i="41"/>
  <c r="B196" i="41" s="1"/>
  <c r="H195" i="41"/>
  <c r="E195" i="41"/>
  <c r="D195" i="41"/>
  <c r="C195" i="41"/>
  <c r="H194" i="41"/>
  <c r="E194" i="41"/>
  <c r="D194" i="41"/>
  <c r="C194" i="41"/>
  <c r="B194" i="41" s="1"/>
  <c r="H193" i="41"/>
  <c r="E193" i="41"/>
  <c r="D193" i="41"/>
  <c r="C193" i="41"/>
  <c r="H192" i="41"/>
  <c r="E192" i="41"/>
  <c r="D192" i="41"/>
  <c r="C192" i="41"/>
  <c r="H191" i="41"/>
  <c r="E191" i="41"/>
  <c r="D191" i="41"/>
  <c r="C191" i="41"/>
  <c r="H190" i="41"/>
  <c r="G190" i="41"/>
  <c r="E190" i="41"/>
  <c r="D190" i="41"/>
  <c r="C190" i="41"/>
  <c r="B190" i="41" s="1"/>
  <c r="H189" i="41"/>
  <c r="E189" i="41"/>
  <c r="D189" i="41"/>
  <c r="C189" i="41"/>
  <c r="B189" i="41" s="1"/>
  <c r="H188" i="41"/>
  <c r="E188" i="41"/>
  <c r="D188" i="41"/>
  <c r="C188" i="41"/>
  <c r="J187" i="41"/>
  <c r="H187" i="41" s="1"/>
  <c r="E187" i="41"/>
  <c r="C187" i="41"/>
  <c r="H186" i="41"/>
  <c r="E186" i="41"/>
  <c r="D186" i="41"/>
  <c r="C186" i="41"/>
  <c r="H185" i="41"/>
  <c r="H200" i="41" s="1"/>
  <c r="E185" i="41"/>
  <c r="E200" i="41" s="1"/>
  <c r="D185" i="41"/>
  <c r="D200" i="41" s="1"/>
  <c r="C185" i="41"/>
  <c r="C200" i="41" s="1"/>
  <c r="J184" i="41"/>
  <c r="J199" i="41" s="1"/>
  <c r="G184" i="41"/>
  <c r="G199" i="41" s="1"/>
  <c r="D184" i="41"/>
  <c r="C184" i="41"/>
  <c r="C199" i="41" s="1"/>
  <c r="B184" i="41"/>
  <c r="H183" i="41"/>
  <c r="H198" i="41" s="1"/>
  <c r="E183" i="41"/>
  <c r="E198" i="41" s="1"/>
  <c r="D183" i="41"/>
  <c r="D198" i="41" s="1"/>
  <c r="C183" i="41"/>
  <c r="C198" i="41" s="1"/>
  <c r="C201" i="41" s="1"/>
  <c r="J179" i="41"/>
  <c r="I179" i="41"/>
  <c r="G179" i="41"/>
  <c r="F179" i="41"/>
  <c r="G178" i="41"/>
  <c r="F178" i="41"/>
  <c r="J177" i="41"/>
  <c r="I177" i="41"/>
  <c r="G177" i="41"/>
  <c r="G180" i="41" s="1"/>
  <c r="F177" i="41"/>
  <c r="F180" i="41" s="1"/>
  <c r="H176" i="41"/>
  <c r="E176" i="41"/>
  <c r="D176" i="41"/>
  <c r="C176" i="41"/>
  <c r="H175" i="41"/>
  <c r="E175" i="41"/>
  <c r="D175" i="41"/>
  <c r="C175" i="41"/>
  <c r="B175" i="41"/>
  <c r="H174" i="41"/>
  <c r="E174" i="41"/>
  <c r="D174" i="41"/>
  <c r="C174" i="41"/>
  <c r="B174" i="41" s="1"/>
  <c r="H173" i="41"/>
  <c r="E173" i="41"/>
  <c r="D173" i="41"/>
  <c r="C173" i="41"/>
  <c r="B173" i="41" s="1"/>
  <c r="H172" i="41"/>
  <c r="E172" i="41"/>
  <c r="D172" i="41"/>
  <c r="C172" i="41"/>
  <c r="H171" i="41"/>
  <c r="E171" i="41"/>
  <c r="D171" i="41"/>
  <c r="C171" i="41"/>
  <c r="B171" i="41" s="1"/>
  <c r="H170" i="41"/>
  <c r="E170" i="41"/>
  <c r="D170" i="41"/>
  <c r="C170" i="41"/>
  <c r="I169" i="41"/>
  <c r="H169" i="41" s="1"/>
  <c r="E169" i="41"/>
  <c r="D169" i="41"/>
  <c r="H168" i="41"/>
  <c r="E168" i="41"/>
  <c r="D168" i="41"/>
  <c r="C168" i="41"/>
  <c r="H167" i="41"/>
  <c r="E167" i="41"/>
  <c r="D167" i="41"/>
  <c r="C167" i="41"/>
  <c r="J166" i="41"/>
  <c r="I166" i="41"/>
  <c r="H166" i="41"/>
  <c r="E166" i="41"/>
  <c r="D166" i="41"/>
  <c r="C166" i="41"/>
  <c r="B166" i="41"/>
  <c r="H165" i="41"/>
  <c r="E165" i="41"/>
  <c r="D165" i="41"/>
  <c r="C165" i="41"/>
  <c r="B165" i="41" s="1"/>
  <c r="H164" i="41"/>
  <c r="E164" i="41"/>
  <c r="D164" i="41"/>
  <c r="C164" i="41"/>
  <c r="B164" i="41" s="1"/>
  <c r="H163" i="41"/>
  <c r="E163" i="41"/>
  <c r="D163" i="41"/>
  <c r="C163" i="41"/>
  <c r="B163" i="41" s="1"/>
  <c r="H162" i="41"/>
  <c r="E162" i="41"/>
  <c r="D162" i="41"/>
  <c r="C162" i="41"/>
  <c r="B162" i="41" s="1"/>
  <c r="H161" i="41"/>
  <c r="E161" i="41"/>
  <c r="D161" i="41"/>
  <c r="C161" i="41"/>
  <c r="J160" i="41"/>
  <c r="H160" i="41" s="1"/>
  <c r="E160" i="41"/>
  <c r="C160" i="41"/>
  <c r="H159" i="41"/>
  <c r="E159" i="41"/>
  <c r="D159" i="41"/>
  <c r="C159" i="41"/>
  <c r="B159" i="41" s="1"/>
  <c r="H158" i="41"/>
  <c r="E158" i="41"/>
  <c r="D158" i="41"/>
  <c r="C158" i="41"/>
  <c r="J157" i="41"/>
  <c r="I157" i="41"/>
  <c r="E157" i="41"/>
  <c r="D157" i="41"/>
  <c r="C157" i="41"/>
  <c r="B157" i="41" s="1"/>
  <c r="H156" i="41"/>
  <c r="E156" i="41"/>
  <c r="D156" i="41"/>
  <c r="C156" i="41"/>
  <c r="B156" i="41" s="1"/>
  <c r="H155" i="41"/>
  <c r="E155" i="41"/>
  <c r="D155" i="41"/>
  <c r="C155" i="41"/>
  <c r="B155" i="41" s="1"/>
  <c r="J154" i="41"/>
  <c r="H154" i="41" s="1"/>
  <c r="E154" i="41"/>
  <c r="C154" i="41"/>
  <c r="H153" i="41"/>
  <c r="E153" i="41"/>
  <c r="D153" i="41"/>
  <c r="C153" i="41"/>
  <c r="H152" i="41"/>
  <c r="E152" i="41"/>
  <c r="D152" i="41"/>
  <c r="C152" i="41"/>
  <c r="B152" i="41" s="1"/>
  <c r="J151" i="41"/>
  <c r="I151" i="41"/>
  <c r="E151" i="41"/>
  <c r="D151" i="41"/>
  <c r="C151" i="41"/>
  <c r="B151" i="41" s="1"/>
  <c r="H150" i="41"/>
  <c r="E150" i="41"/>
  <c r="D150" i="41"/>
  <c r="C150" i="41"/>
  <c r="B150" i="41" s="1"/>
  <c r="H149" i="41"/>
  <c r="E149" i="41"/>
  <c r="D149" i="41"/>
  <c r="C149" i="41"/>
  <c r="H148" i="41"/>
  <c r="E148" i="41"/>
  <c r="D148" i="41"/>
  <c r="C148" i="41"/>
  <c r="B148" i="41" s="1"/>
  <c r="H147" i="41"/>
  <c r="E147" i="41"/>
  <c r="D147" i="41"/>
  <c r="C147" i="41"/>
  <c r="H146" i="41"/>
  <c r="H179" i="41" s="1"/>
  <c r="E146" i="41"/>
  <c r="E179" i="41" s="1"/>
  <c r="D146" i="41"/>
  <c r="D179" i="41" s="1"/>
  <c r="C146" i="41"/>
  <c r="C179" i="41" s="1"/>
  <c r="B146" i="41"/>
  <c r="J145" i="41"/>
  <c r="J178" i="41" s="1"/>
  <c r="I145" i="41"/>
  <c r="H145" i="41" s="1"/>
  <c r="E145" i="41"/>
  <c r="E178" i="41" s="1"/>
  <c r="D145" i="41"/>
  <c r="C145" i="41"/>
  <c r="B145" i="41" s="1"/>
  <c r="H144" i="41"/>
  <c r="H177" i="41" s="1"/>
  <c r="E144" i="41"/>
  <c r="E177" i="41" s="1"/>
  <c r="E180" i="41" s="1"/>
  <c r="D144" i="41"/>
  <c r="D177" i="41" s="1"/>
  <c r="C144" i="41"/>
  <c r="C177" i="41" s="1"/>
  <c r="I140" i="41"/>
  <c r="G140" i="41"/>
  <c r="F140" i="41"/>
  <c r="I139" i="41"/>
  <c r="G139" i="41"/>
  <c r="F139" i="41"/>
  <c r="I138" i="41"/>
  <c r="I141" i="41" s="1"/>
  <c r="G138" i="41"/>
  <c r="G141" i="41" s="1"/>
  <c r="F138" i="41"/>
  <c r="F141" i="41" s="1"/>
  <c r="H137" i="41"/>
  <c r="E137" i="41"/>
  <c r="D137" i="41"/>
  <c r="C137" i="41"/>
  <c r="B137" i="41" s="1"/>
  <c r="H136" i="41"/>
  <c r="E136" i="41"/>
  <c r="D136" i="41"/>
  <c r="C136" i="41"/>
  <c r="B136" i="41" s="1"/>
  <c r="H135" i="41"/>
  <c r="E135" i="41"/>
  <c r="D135" i="41"/>
  <c r="C135" i="41"/>
  <c r="H134" i="41"/>
  <c r="E134" i="41"/>
  <c r="D134" i="41"/>
  <c r="C134" i="41"/>
  <c r="B134" i="41" s="1"/>
  <c r="H133" i="41"/>
  <c r="E133" i="41"/>
  <c r="D133" i="41"/>
  <c r="C133" i="41"/>
  <c r="H132" i="41"/>
  <c r="E132" i="41"/>
  <c r="D132" i="41"/>
  <c r="C132" i="41"/>
  <c r="J131" i="41"/>
  <c r="J140" i="41" s="1"/>
  <c r="E131" i="41"/>
  <c r="C131" i="41"/>
  <c r="H130" i="41"/>
  <c r="E130" i="41"/>
  <c r="D130" i="41"/>
  <c r="C130" i="41"/>
  <c r="H129" i="41"/>
  <c r="E129" i="41"/>
  <c r="D129" i="41"/>
  <c r="C129" i="41"/>
  <c r="B129" i="41" s="1"/>
  <c r="H128" i="41"/>
  <c r="E128" i="41"/>
  <c r="D128" i="41"/>
  <c r="C128" i="41"/>
  <c r="H127" i="41"/>
  <c r="E127" i="41"/>
  <c r="D127" i="41"/>
  <c r="C127" i="41"/>
  <c r="H126" i="41"/>
  <c r="E126" i="41"/>
  <c r="D126" i="41"/>
  <c r="C126" i="41"/>
  <c r="H125" i="41"/>
  <c r="E125" i="41"/>
  <c r="D125" i="41"/>
  <c r="C125" i="41"/>
  <c r="B125" i="41"/>
  <c r="H124" i="41"/>
  <c r="E124" i="41"/>
  <c r="D124" i="41"/>
  <c r="C124" i="41"/>
  <c r="B124" i="41" s="1"/>
  <c r="H123" i="41"/>
  <c r="E123" i="41"/>
  <c r="D123" i="41"/>
  <c r="C123" i="41"/>
  <c r="B123" i="41" s="1"/>
  <c r="H122" i="41"/>
  <c r="E122" i="41"/>
  <c r="D122" i="41"/>
  <c r="C122" i="41"/>
  <c r="J121" i="41"/>
  <c r="H121" i="41" s="1"/>
  <c r="E121" i="41"/>
  <c r="C121" i="41"/>
  <c r="H120" i="41"/>
  <c r="E120" i="41"/>
  <c r="D120" i="41"/>
  <c r="C120" i="41"/>
  <c r="H119" i="41"/>
  <c r="E119" i="41"/>
  <c r="D119" i="41"/>
  <c r="C119" i="41"/>
  <c r="H118" i="41"/>
  <c r="E118" i="41"/>
  <c r="D118" i="41"/>
  <c r="C118" i="41"/>
  <c r="B118" i="41"/>
  <c r="H117" i="41"/>
  <c r="E117" i="41"/>
  <c r="D117" i="41"/>
  <c r="C117" i="41"/>
  <c r="B117" i="41" s="1"/>
  <c r="H116" i="41"/>
  <c r="E116" i="41"/>
  <c r="D116" i="41"/>
  <c r="C116" i="41"/>
  <c r="B116" i="41" s="1"/>
  <c r="H115" i="41"/>
  <c r="E115" i="41"/>
  <c r="D115" i="41"/>
  <c r="C115" i="41"/>
  <c r="H114" i="41"/>
  <c r="E114" i="41"/>
  <c r="D114" i="41"/>
  <c r="C114" i="41"/>
  <c r="B114" i="41" s="1"/>
  <c r="H113" i="41"/>
  <c r="E113" i="41"/>
  <c r="D113" i="41"/>
  <c r="C113" i="41"/>
  <c r="H112" i="41"/>
  <c r="E112" i="41"/>
  <c r="D112" i="41"/>
  <c r="C112" i="41"/>
  <c r="H111" i="41"/>
  <c r="E111" i="41"/>
  <c r="D111" i="41"/>
  <c r="C111" i="41"/>
  <c r="H110" i="41"/>
  <c r="E110" i="41"/>
  <c r="D110" i="41"/>
  <c r="C110" i="41"/>
  <c r="B110" i="41"/>
  <c r="H109" i="41"/>
  <c r="E109" i="41"/>
  <c r="D109" i="41"/>
  <c r="C109" i="41"/>
  <c r="B109" i="41" s="1"/>
  <c r="H108" i="41"/>
  <c r="E108" i="41"/>
  <c r="D108" i="41"/>
  <c r="C108" i="41"/>
  <c r="B108" i="41" s="1"/>
  <c r="H107" i="41"/>
  <c r="E107" i="41"/>
  <c r="D107" i="41"/>
  <c r="C107" i="41"/>
  <c r="H106" i="41"/>
  <c r="E106" i="41"/>
  <c r="D106" i="41"/>
  <c r="C106" i="41"/>
  <c r="B106" i="41" s="1"/>
  <c r="H105" i="41"/>
  <c r="E105" i="41"/>
  <c r="D105" i="41"/>
  <c r="C105" i="41"/>
  <c r="H104" i="41"/>
  <c r="E104" i="41"/>
  <c r="D104" i="41"/>
  <c r="C104" i="41"/>
  <c r="J103" i="41"/>
  <c r="H103" i="41" s="1"/>
  <c r="E103" i="41"/>
  <c r="C103" i="41"/>
  <c r="J102" i="41"/>
  <c r="J138" i="41" s="1"/>
  <c r="E102" i="41"/>
  <c r="C102" i="41"/>
  <c r="H101" i="41"/>
  <c r="E101" i="41"/>
  <c r="D101" i="41"/>
  <c r="C101" i="41"/>
  <c r="J100" i="41"/>
  <c r="H100" i="41" s="1"/>
  <c r="E100" i="41"/>
  <c r="D100" i="41"/>
  <c r="C100" i="41"/>
  <c r="H99" i="41"/>
  <c r="E99" i="41"/>
  <c r="D99" i="41"/>
  <c r="C99" i="41"/>
  <c r="B99" i="41"/>
  <c r="H98" i="41"/>
  <c r="E98" i="41"/>
  <c r="D98" i="41"/>
  <c r="C98" i="41"/>
  <c r="B98" i="41" s="1"/>
  <c r="H97" i="41"/>
  <c r="E97" i="41"/>
  <c r="D97" i="41"/>
  <c r="C97" i="41"/>
  <c r="B97" i="41" s="1"/>
  <c r="H96" i="41"/>
  <c r="E96" i="41"/>
  <c r="D96" i="41"/>
  <c r="C96" i="41"/>
  <c r="B96" i="41" s="1"/>
  <c r="H95" i="41"/>
  <c r="E95" i="41"/>
  <c r="E140" i="41" s="1"/>
  <c r="D95" i="41"/>
  <c r="C95" i="41"/>
  <c r="C140" i="41" s="1"/>
  <c r="J94" i="41"/>
  <c r="J139" i="41" s="1"/>
  <c r="E94" i="41"/>
  <c r="E139" i="41" s="1"/>
  <c r="C94" i="41"/>
  <c r="C139" i="41" s="1"/>
  <c r="H93" i="41"/>
  <c r="E93" i="41"/>
  <c r="E138" i="41" s="1"/>
  <c r="D93" i="41"/>
  <c r="C93" i="41"/>
  <c r="C138" i="41" s="1"/>
  <c r="J89" i="41"/>
  <c r="I89" i="41"/>
  <c r="G89" i="41"/>
  <c r="F89" i="41"/>
  <c r="I88" i="41"/>
  <c r="G88" i="41"/>
  <c r="F88" i="41"/>
  <c r="I87" i="41"/>
  <c r="G87" i="41"/>
  <c r="G90" i="41" s="1"/>
  <c r="F87" i="41"/>
  <c r="H86" i="41"/>
  <c r="E86" i="41"/>
  <c r="D86" i="41"/>
  <c r="C86" i="41"/>
  <c r="H85" i="41"/>
  <c r="E85" i="41"/>
  <c r="D85" i="41"/>
  <c r="C85" i="41"/>
  <c r="B85" i="41" s="1"/>
  <c r="H84" i="41"/>
  <c r="E84" i="41"/>
  <c r="D84" i="41"/>
  <c r="C84" i="41"/>
  <c r="B84" i="41" s="1"/>
  <c r="H83" i="41"/>
  <c r="E83" i="41"/>
  <c r="D83" i="41"/>
  <c r="C83" i="41"/>
  <c r="B83" i="41" s="1"/>
  <c r="H82" i="41"/>
  <c r="E82" i="41"/>
  <c r="D82" i="41"/>
  <c r="C82" i="41"/>
  <c r="B82" i="41" s="1"/>
  <c r="H81" i="41"/>
  <c r="E81" i="41"/>
  <c r="D81" i="41"/>
  <c r="C81" i="41"/>
  <c r="H80" i="41"/>
  <c r="E80" i="41"/>
  <c r="D80" i="41"/>
  <c r="C80" i="41"/>
  <c r="J79" i="41"/>
  <c r="H79" i="41" s="1"/>
  <c r="E79" i="41"/>
  <c r="C79" i="41"/>
  <c r="J78" i="41"/>
  <c r="H78" i="41" s="1"/>
  <c r="E78" i="41"/>
  <c r="C78" i="41"/>
  <c r="H77" i="41"/>
  <c r="E77" i="41"/>
  <c r="D77" i="41"/>
  <c r="C77" i="41"/>
  <c r="H76" i="41"/>
  <c r="E76" i="41"/>
  <c r="D76" i="41"/>
  <c r="C76" i="41"/>
  <c r="B76" i="41"/>
  <c r="J75" i="41"/>
  <c r="H75" i="41"/>
  <c r="E75" i="41"/>
  <c r="D75" i="41"/>
  <c r="C75" i="41"/>
  <c r="B75" i="41"/>
  <c r="H74" i="41"/>
  <c r="E74" i="41"/>
  <c r="D74" i="41"/>
  <c r="C74" i="41"/>
  <c r="B74" i="41" s="1"/>
  <c r="J73" i="41"/>
  <c r="H73" i="41" s="1"/>
  <c r="E73" i="41"/>
  <c r="C73" i="41"/>
  <c r="J72" i="41"/>
  <c r="H72" i="41" s="1"/>
  <c r="E72" i="41"/>
  <c r="C72" i="41"/>
  <c r="H71" i="41"/>
  <c r="E71" i="41"/>
  <c r="D71" i="41"/>
  <c r="C71" i="41"/>
  <c r="B71" i="41" s="1"/>
  <c r="J70" i="41"/>
  <c r="H70" i="41"/>
  <c r="E70" i="41"/>
  <c r="D70" i="41"/>
  <c r="C70" i="41"/>
  <c r="B70" i="41"/>
  <c r="J69" i="41"/>
  <c r="H69" i="41"/>
  <c r="E69" i="41"/>
  <c r="D69" i="41"/>
  <c r="C69" i="41"/>
  <c r="B69" i="41"/>
  <c r="H68" i="41"/>
  <c r="E68" i="41"/>
  <c r="D68" i="41"/>
  <c r="C68" i="41"/>
  <c r="B68" i="41" s="1"/>
  <c r="J67" i="41"/>
  <c r="H67" i="41" s="1"/>
  <c r="E67" i="41"/>
  <c r="D67" i="41"/>
  <c r="C67" i="41"/>
  <c r="B67" i="41" s="1"/>
  <c r="J66" i="41"/>
  <c r="H66" i="41" s="1"/>
  <c r="E66" i="41"/>
  <c r="D66" i="41"/>
  <c r="C66" i="41"/>
  <c r="B66" i="41" s="1"/>
  <c r="H65" i="41"/>
  <c r="H89" i="41" s="1"/>
  <c r="E65" i="41"/>
  <c r="D65" i="41"/>
  <c r="D89" i="41" s="1"/>
  <c r="C65" i="41"/>
  <c r="J64" i="41"/>
  <c r="J88" i="41" s="1"/>
  <c r="E64" i="41"/>
  <c r="E88" i="41" s="1"/>
  <c r="C64" i="41"/>
  <c r="C88" i="41" s="1"/>
  <c r="J63" i="41"/>
  <c r="J87" i="41" s="1"/>
  <c r="J90" i="41" s="1"/>
  <c r="E63" i="41"/>
  <c r="E87" i="41" s="1"/>
  <c r="C63" i="41"/>
  <c r="C87" i="41" s="1"/>
  <c r="I59" i="41"/>
  <c r="F59" i="41"/>
  <c r="I58" i="41"/>
  <c r="F58" i="41"/>
  <c r="J57" i="41"/>
  <c r="I57" i="41"/>
  <c r="F57" i="41"/>
  <c r="F60" i="41" s="1"/>
  <c r="H56" i="41"/>
  <c r="G56" i="41"/>
  <c r="E56" i="41" s="1"/>
  <c r="C56" i="41"/>
  <c r="H55" i="41"/>
  <c r="E55" i="41"/>
  <c r="D55" i="41"/>
  <c r="C55" i="41"/>
  <c r="B55" i="41" s="1"/>
  <c r="H54" i="41"/>
  <c r="E54" i="41"/>
  <c r="D54" i="41"/>
  <c r="C54" i="41"/>
  <c r="J53" i="41"/>
  <c r="H53" i="41" s="1"/>
  <c r="G53" i="41"/>
  <c r="E53" i="41" s="1"/>
  <c r="D53" i="41"/>
  <c r="C53" i="41"/>
  <c r="B53" i="41" s="1"/>
  <c r="J52" i="41"/>
  <c r="H52" i="41" s="1"/>
  <c r="G52" i="41"/>
  <c r="E52" i="41" s="1"/>
  <c r="D52" i="41"/>
  <c r="C52" i="41"/>
  <c r="H51" i="41"/>
  <c r="E51" i="41"/>
  <c r="D51" i="41"/>
  <c r="C51" i="41"/>
  <c r="B51" i="41"/>
  <c r="J50" i="41"/>
  <c r="J59" i="41" s="1"/>
  <c r="H50" i="41"/>
  <c r="G50" i="41"/>
  <c r="E50" i="41" s="1"/>
  <c r="D50" i="41"/>
  <c r="C50" i="41"/>
  <c r="J49" i="41"/>
  <c r="H49" i="41" s="1"/>
  <c r="G49" i="41"/>
  <c r="E49" i="41" s="1"/>
  <c r="D49" i="41"/>
  <c r="C49" i="41"/>
  <c r="B49" i="41"/>
  <c r="H48" i="41"/>
  <c r="E48" i="41"/>
  <c r="D48" i="41"/>
  <c r="C48" i="41"/>
  <c r="B48" i="41" s="1"/>
  <c r="H47" i="41"/>
  <c r="E47" i="41"/>
  <c r="D47" i="41"/>
  <c r="C47" i="41"/>
  <c r="B47" i="41" s="1"/>
  <c r="J46" i="41"/>
  <c r="H46" i="41" s="1"/>
  <c r="G46" i="41"/>
  <c r="E46" i="41" s="1"/>
  <c r="C46" i="41"/>
  <c r="H45" i="41"/>
  <c r="E45" i="41"/>
  <c r="D45" i="41"/>
  <c r="C45" i="41"/>
  <c r="B45" i="41" s="1"/>
  <c r="H44" i="41"/>
  <c r="E44" i="41"/>
  <c r="D44" i="41"/>
  <c r="C44" i="41"/>
  <c r="C59" i="41" s="1"/>
  <c r="J43" i="41"/>
  <c r="G43" i="41"/>
  <c r="G58" i="41" s="1"/>
  <c r="C43" i="41"/>
  <c r="C58" i="41" s="1"/>
  <c r="H42" i="41"/>
  <c r="H57" i="41" s="1"/>
  <c r="G42" i="41"/>
  <c r="G57" i="41" s="1"/>
  <c r="D42" i="41"/>
  <c r="D57" i="41" s="1"/>
  <c r="C42" i="41"/>
  <c r="B42" i="41"/>
  <c r="J38" i="41"/>
  <c r="G38" i="41"/>
  <c r="F38" i="41"/>
  <c r="J37" i="41"/>
  <c r="G37" i="41"/>
  <c r="F37" i="41"/>
  <c r="I36" i="41"/>
  <c r="G36" i="41"/>
  <c r="G39" i="41" s="1"/>
  <c r="F36" i="41"/>
  <c r="H35" i="41"/>
  <c r="E35" i="41"/>
  <c r="D35" i="41"/>
  <c r="C35" i="41"/>
  <c r="H34" i="41"/>
  <c r="E34" i="41"/>
  <c r="D34" i="41"/>
  <c r="C34" i="41"/>
  <c r="B34" i="41"/>
  <c r="H33" i="41"/>
  <c r="E33" i="41"/>
  <c r="D33" i="41"/>
  <c r="C33" i="41"/>
  <c r="B33" i="41" s="1"/>
  <c r="H32" i="41"/>
  <c r="E32" i="41"/>
  <c r="D32" i="41"/>
  <c r="C32" i="41"/>
  <c r="B32" i="41" s="1"/>
  <c r="H31" i="41"/>
  <c r="E31" i="41"/>
  <c r="D31" i="41"/>
  <c r="C31" i="41"/>
  <c r="H30" i="41"/>
  <c r="E30" i="41"/>
  <c r="D30" i="41"/>
  <c r="C30" i="41"/>
  <c r="B30" i="41" s="1"/>
  <c r="H29" i="41"/>
  <c r="E29" i="41"/>
  <c r="D29" i="41"/>
  <c r="C29" i="41"/>
  <c r="H28" i="41"/>
  <c r="E28" i="41"/>
  <c r="D28" i="41"/>
  <c r="C28" i="41"/>
  <c r="B28" i="41" s="1"/>
  <c r="H27" i="41"/>
  <c r="E27" i="41"/>
  <c r="D27" i="41"/>
  <c r="C27" i="41"/>
  <c r="H26" i="41"/>
  <c r="E26" i="41"/>
  <c r="D26" i="41"/>
  <c r="C26" i="41"/>
  <c r="B26" i="41"/>
  <c r="H25" i="41"/>
  <c r="E25" i="41"/>
  <c r="D25" i="41"/>
  <c r="C25" i="41"/>
  <c r="B25" i="41" s="1"/>
  <c r="H24" i="41"/>
  <c r="E24" i="41"/>
  <c r="D24" i="41"/>
  <c r="C24" i="41"/>
  <c r="B24" i="41" s="1"/>
  <c r="H23" i="41"/>
  <c r="E23" i="41"/>
  <c r="D23" i="41"/>
  <c r="C23" i="41"/>
  <c r="H22" i="41"/>
  <c r="E22" i="41"/>
  <c r="D22" i="41"/>
  <c r="C22" i="41"/>
  <c r="B22" i="41" s="1"/>
  <c r="H21" i="41"/>
  <c r="E21" i="41"/>
  <c r="D21" i="41"/>
  <c r="C21" i="41"/>
  <c r="H20" i="41"/>
  <c r="E20" i="41"/>
  <c r="D20" i="41"/>
  <c r="C20" i="41"/>
  <c r="B20" i="41" s="1"/>
  <c r="I19" i="41"/>
  <c r="I37" i="41" s="1"/>
  <c r="E19" i="41"/>
  <c r="D19" i="41"/>
  <c r="C19" i="41"/>
  <c r="H18" i="41"/>
  <c r="E18" i="41"/>
  <c r="D18" i="41"/>
  <c r="C18" i="41"/>
  <c r="H17" i="41"/>
  <c r="E17" i="41"/>
  <c r="D17" i="41"/>
  <c r="C17" i="41"/>
  <c r="H16" i="41"/>
  <c r="E16" i="41"/>
  <c r="D16" i="41"/>
  <c r="C16" i="41"/>
  <c r="B16" i="41" s="1"/>
  <c r="H15" i="41"/>
  <c r="E15" i="41"/>
  <c r="D15" i="41"/>
  <c r="C15" i="41"/>
  <c r="B15" i="41" s="1"/>
  <c r="H14" i="41"/>
  <c r="E14" i="41"/>
  <c r="D14" i="41"/>
  <c r="C14" i="41"/>
  <c r="B14" i="41" s="1"/>
  <c r="H13" i="41"/>
  <c r="E13" i="41"/>
  <c r="D13" i="41"/>
  <c r="C13" i="41"/>
  <c r="B13" i="41" s="1"/>
  <c r="H12" i="41"/>
  <c r="E12" i="41"/>
  <c r="D12" i="41"/>
  <c r="C12" i="41"/>
  <c r="B12" i="41" s="1"/>
  <c r="I11" i="41"/>
  <c r="I38" i="41" s="1"/>
  <c r="E11" i="41"/>
  <c r="D11" i="41"/>
  <c r="C11" i="41"/>
  <c r="B11" i="41" s="1"/>
  <c r="H10" i="41"/>
  <c r="E10" i="41"/>
  <c r="D10" i="41"/>
  <c r="C10" i="41"/>
  <c r="H9" i="41"/>
  <c r="E9" i="41"/>
  <c r="D9" i="41"/>
  <c r="C9" i="41"/>
  <c r="H8" i="41"/>
  <c r="E8" i="41"/>
  <c r="D8" i="41"/>
  <c r="D38" i="41" s="1"/>
  <c r="C8" i="41"/>
  <c r="B8" i="41"/>
  <c r="H7" i="41"/>
  <c r="E7" i="41"/>
  <c r="E37" i="41" s="1"/>
  <c r="D7" i="41"/>
  <c r="C7" i="41"/>
  <c r="C37" i="41" s="1"/>
  <c r="J6" i="41"/>
  <c r="J36" i="41" s="1"/>
  <c r="J39" i="41" s="1"/>
  <c r="E6" i="41"/>
  <c r="E36" i="41" s="1"/>
  <c r="C6" i="41"/>
  <c r="J825" i="40"/>
  <c r="I825" i="40"/>
  <c r="G825" i="40"/>
  <c r="F825" i="40"/>
  <c r="J824" i="40"/>
  <c r="I824" i="40"/>
  <c r="G824" i="40"/>
  <c r="F824" i="40"/>
  <c r="J823" i="40"/>
  <c r="J826" i="40" s="1"/>
  <c r="I823" i="40"/>
  <c r="I826" i="40" s="1"/>
  <c r="G823" i="40"/>
  <c r="G826" i="40" s="1"/>
  <c r="F823" i="40"/>
  <c r="F826" i="40" s="1"/>
  <c r="H822" i="40"/>
  <c r="H825" i="40" s="1"/>
  <c r="E822" i="40"/>
  <c r="E825" i="40" s="1"/>
  <c r="D822" i="40"/>
  <c r="D825" i="40" s="1"/>
  <c r="C822" i="40"/>
  <c r="C825" i="40" s="1"/>
  <c r="H821" i="40"/>
  <c r="H823" i="40" s="1"/>
  <c r="H826" i="40" s="1"/>
  <c r="E821" i="40"/>
  <c r="E824" i="40" s="1"/>
  <c r="D821" i="40"/>
  <c r="D823" i="40" s="1"/>
  <c r="D826" i="40" s="1"/>
  <c r="C821" i="40"/>
  <c r="C824" i="40" s="1"/>
  <c r="B821" i="40"/>
  <c r="J817" i="40"/>
  <c r="I817" i="40"/>
  <c r="G817" i="40"/>
  <c r="F817" i="40"/>
  <c r="J816" i="40"/>
  <c r="I816" i="40"/>
  <c r="G816" i="40"/>
  <c r="F816" i="40"/>
  <c r="J815" i="40"/>
  <c r="J818" i="40" s="1"/>
  <c r="I815" i="40"/>
  <c r="I818" i="40" s="1"/>
  <c r="G815" i="40"/>
  <c r="G818" i="40" s="1"/>
  <c r="F815" i="40"/>
  <c r="F818" i="40" s="1"/>
  <c r="D815" i="40"/>
  <c r="D818" i="40" s="1"/>
  <c r="C815" i="40"/>
  <c r="C818" i="40" s="1"/>
  <c r="H814" i="40"/>
  <c r="H817" i="40" s="1"/>
  <c r="E814" i="40"/>
  <c r="E817" i="40" s="1"/>
  <c r="D814" i="40"/>
  <c r="D817" i="40" s="1"/>
  <c r="C814" i="40"/>
  <c r="C817" i="40" s="1"/>
  <c r="H813" i="40"/>
  <c r="H815" i="40" s="1"/>
  <c r="H818" i="40" s="1"/>
  <c r="E813" i="40"/>
  <c r="E816" i="40" s="1"/>
  <c r="D813" i="40"/>
  <c r="D816" i="40" s="1"/>
  <c r="C813" i="40"/>
  <c r="C816" i="40" s="1"/>
  <c r="B813" i="40"/>
  <c r="B816" i="40" s="1"/>
  <c r="J809" i="40"/>
  <c r="I809" i="40"/>
  <c r="G809" i="40"/>
  <c r="F809" i="40"/>
  <c r="J808" i="40"/>
  <c r="I808" i="40"/>
  <c r="G808" i="40"/>
  <c r="F808" i="40"/>
  <c r="J807" i="40"/>
  <c r="I807" i="40"/>
  <c r="G807" i="40"/>
  <c r="F807" i="40"/>
  <c r="H806" i="40"/>
  <c r="E806" i="40"/>
  <c r="D806" i="40"/>
  <c r="C806" i="40"/>
  <c r="B806" i="40"/>
  <c r="H805" i="40"/>
  <c r="H807" i="40" s="1"/>
  <c r="E805" i="40"/>
  <c r="E807" i="40" s="1"/>
  <c r="D805" i="40"/>
  <c r="D807" i="40" s="1"/>
  <c r="C805" i="40"/>
  <c r="B805" i="40" s="1"/>
  <c r="B807" i="40" s="1"/>
  <c r="J804" i="40"/>
  <c r="I804" i="40"/>
  <c r="G804" i="40"/>
  <c r="F804" i="40"/>
  <c r="H803" i="40"/>
  <c r="E803" i="40"/>
  <c r="D803" i="40"/>
  <c r="C803" i="40"/>
  <c r="B803" i="40" s="1"/>
  <c r="H802" i="40"/>
  <c r="H804" i="40" s="1"/>
  <c r="E802" i="40"/>
  <c r="E804" i="40" s="1"/>
  <c r="D802" i="40"/>
  <c r="D804" i="40" s="1"/>
  <c r="C802" i="40"/>
  <c r="C804" i="40" s="1"/>
  <c r="J801" i="40"/>
  <c r="I801" i="40"/>
  <c r="G801" i="40"/>
  <c r="F801" i="40"/>
  <c r="H800" i="40"/>
  <c r="E800" i="40"/>
  <c r="D800" i="40"/>
  <c r="C800" i="40"/>
  <c r="H799" i="40"/>
  <c r="H801" i="40" s="1"/>
  <c r="E799" i="40"/>
  <c r="E801" i="40" s="1"/>
  <c r="D799" i="40"/>
  <c r="D801" i="40" s="1"/>
  <c r="C799" i="40"/>
  <c r="C801" i="40" s="1"/>
  <c r="B799" i="40"/>
  <c r="J798" i="40"/>
  <c r="I798" i="40"/>
  <c r="G798" i="40"/>
  <c r="F798" i="40"/>
  <c r="H797" i="40"/>
  <c r="E797" i="40"/>
  <c r="D797" i="40"/>
  <c r="C797" i="40"/>
  <c r="B797" i="40" s="1"/>
  <c r="H796" i="40"/>
  <c r="H798" i="40" s="1"/>
  <c r="E796" i="40"/>
  <c r="E798" i="40" s="1"/>
  <c r="D796" i="40"/>
  <c r="D798" i="40" s="1"/>
  <c r="C796" i="40"/>
  <c r="C798" i="40" s="1"/>
  <c r="J795" i="40"/>
  <c r="I795" i="40"/>
  <c r="G795" i="40"/>
  <c r="F795" i="40"/>
  <c r="H794" i="40"/>
  <c r="E794" i="40"/>
  <c r="D794" i="40"/>
  <c r="C794" i="40"/>
  <c r="B794" i="40" s="1"/>
  <c r="H793" i="40"/>
  <c r="H795" i="40" s="1"/>
  <c r="E793" i="40"/>
  <c r="E795" i="40" s="1"/>
  <c r="D793" i="40"/>
  <c r="D795" i="40" s="1"/>
  <c r="C793" i="40"/>
  <c r="C795" i="40" s="1"/>
  <c r="J792" i="40"/>
  <c r="I792" i="40"/>
  <c r="G792" i="40"/>
  <c r="F792" i="40"/>
  <c r="H791" i="40"/>
  <c r="E791" i="40"/>
  <c r="D791" i="40"/>
  <c r="C791" i="40"/>
  <c r="B791" i="40" s="1"/>
  <c r="H790" i="40"/>
  <c r="H792" i="40" s="1"/>
  <c r="E790" i="40"/>
  <c r="E792" i="40" s="1"/>
  <c r="D790" i="40"/>
  <c r="D792" i="40" s="1"/>
  <c r="C790" i="40"/>
  <c r="C792" i="40" s="1"/>
  <c r="J789" i="40"/>
  <c r="I789" i="40"/>
  <c r="G789" i="40"/>
  <c r="F789" i="40"/>
  <c r="H788" i="40"/>
  <c r="E788" i="40"/>
  <c r="D788" i="40"/>
  <c r="C788" i="40"/>
  <c r="B788" i="40" s="1"/>
  <c r="H787" i="40"/>
  <c r="H789" i="40" s="1"/>
  <c r="E787" i="40"/>
  <c r="E789" i="40" s="1"/>
  <c r="D787" i="40"/>
  <c r="D789" i="40" s="1"/>
  <c r="C787" i="40"/>
  <c r="C789" i="40" s="1"/>
  <c r="J786" i="40"/>
  <c r="I786" i="40"/>
  <c r="G786" i="40"/>
  <c r="F786" i="40"/>
  <c r="H785" i="40"/>
  <c r="E785" i="40"/>
  <c r="D785" i="40"/>
  <c r="C785" i="40"/>
  <c r="B785" i="40"/>
  <c r="H784" i="40"/>
  <c r="E784" i="40"/>
  <c r="E786" i="40" s="1"/>
  <c r="D784" i="40"/>
  <c r="C784" i="40"/>
  <c r="C786" i="40" s="1"/>
  <c r="J783" i="40"/>
  <c r="I783" i="40"/>
  <c r="G783" i="40"/>
  <c r="F783" i="40"/>
  <c r="H782" i="40"/>
  <c r="E782" i="40"/>
  <c r="D782" i="40"/>
  <c r="C782" i="40"/>
  <c r="B782" i="40" s="1"/>
  <c r="H781" i="40"/>
  <c r="H783" i="40" s="1"/>
  <c r="E781" i="40"/>
  <c r="E783" i="40" s="1"/>
  <c r="D781" i="40"/>
  <c r="D783" i="40" s="1"/>
  <c r="C781" i="40"/>
  <c r="C783" i="40" s="1"/>
  <c r="J780" i="40"/>
  <c r="I780" i="40"/>
  <c r="G780" i="40"/>
  <c r="F780" i="40"/>
  <c r="H779" i="40"/>
  <c r="E779" i="40"/>
  <c r="D779" i="40"/>
  <c r="C779" i="40"/>
  <c r="B779" i="40" s="1"/>
  <c r="H778" i="40"/>
  <c r="E778" i="40"/>
  <c r="D778" i="40"/>
  <c r="C778" i="40"/>
  <c r="C780" i="40" s="1"/>
  <c r="J777" i="40"/>
  <c r="I777" i="40"/>
  <c r="G777" i="40"/>
  <c r="F777" i="40"/>
  <c r="H776" i="40"/>
  <c r="E776" i="40"/>
  <c r="D776" i="40"/>
  <c r="C776" i="40"/>
  <c r="B776" i="40" s="1"/>
  <c r="H775" i="40"/>
  <c r="H777" i="40" s="1"/>
  <c r="E775" i="40"/>
  <c r="E777" i="40" s="1"/>
  <c r="D775" i="40"/>
  <c r="D777" i="40" s="1"/>
  <c r="C775" i="40"/>
  <c r="C777" i="40" s="1"/>
  <c r="J774" i="40"/>
  <c r="J810" i="40" s="1"/>
  <c r="I774" i="40"/>
  <c r="I810" i="40" s="1"/>
  <c r="G774" i="40"/>
  <c r="G810" i="40" s="1"/>
  <c r="F774" i="40"/>
  <c r="F810" i="40" s="1"/>
  <c r="H773" i="40"/>
  <c r="H809" i="40" s="1"/>
  <c r="E773" i="40"/>
  <c r="E809" i="40" s="1"/>
  <c r="D773" i="40"/>
  <c r="D809" i="40" s="1"/>
  <c r="C773" i="40"/>
  <c r="C809" i="40" s="1"/>
  <c r="B773" i="40"/>
  <c r="H772" i="40"/>
  <c r="H808" i="40" s="1"/>
  <c r="E772" i="40"/>
  <c r="E808" i="40" s="1"/>
  <c r="D772" i="40"/>
  <c r="D808" i="40" s="1"/>
  <c r="C772" i="40"/>
  <c r="C808" i="40" s="1"/>
  <c r="J768" i="40"/>
  <c r="I768" i="40"/>
  <c r="G768" i="40"/>
  <c r="F768" i="40"/>
  <c r="J767" i="40"/>
  <c r="I767" i="40"/>
  <c r="G767" i="40"/>
  <c r="F767" i="40"/>
  <c r="J766" i="40"/>
  <c r="I766" i="40"/>
  <c r="G766" i="40"/>
  <c r="F766" i="40"/>
  <c r="H765" i="40"/>
  <c r="E765" i="40"/>
  <c r="D765" i="40"/>
  <c r="C765" i="40"/>
  <c r="B765" i="40" s="1"/>
  <c r="H764" i="40"/>
  <c r="H766" i="40" s="1"/>
  <c r="E764" i="40"/>
  <c r="D764" i="40"/>
  <c r="D766" i="40" s="1"/>
  <c r="C764" i="40"/>
  <c r="B764" i="40"/>
  <c r="J763" i="40"/>
  <c r="J769" i="40" s="1"/>
  <c r="I763" i="40"/>
  <c r="I769" i="40" s="1"/>
  <c r="G763" i="40"/>
  <c r="G769" i="40" s="1"/>
  <c r="F763" i="40"/>
  <c r="F769" i="40" s="1"/>
  <c r="H762" i="40"/>
  <c r="H768" i="40" s="1"/>
  <c r="E762" i="40"/>
  <c r="E768" i="40" s="1"/>
  <c r="D762" i="40"/>
  <c r="D768" i="40" s="1"/>
  <c r="C762" i="40"/>
  <c r="C768" i="40" s="1"/>
  <c r="H761" i="40"/>
  <c r="H767" i="40" s="1"/>
  <c r="E761" i="40"/>
  <c r="E767" i="40" s="1"/>
  <c r="D761" i="40"/>
  <c r="D767" i="40" s="1"/>
  <c r="C761" i="40"/>
  <c r="J757" i="40"/>
  <c r="I757" i="40"/>
  <c r="G757" i="40"/>
  <c r="F757" i="40"/>
  <c r="J756" i="40"/>
  <c r="I756" i="40"/>
  <c r="G756" i="40"/>
  <c r="F756" i="40"/>
  <c r="J755" i="40"/>
  <c r="I755" i="40"/>
  <c r="G755" i="40"/>
  <c r="F755" i="40"/>
  <c r="H754" i="40"/>
  <c r="E754" i="40"/>
  <c r="D754" i="40"/>
  <c r="C754" i="40"/>
  <c r="H753" i="40"/>
  <c r="H755" i="40" s="1"/>
  <c r="E753" i="40"/>
  <c r="E755" i="40" s="1"/>
  <c r="D753" i="40"/>
  <c r="D755" i="40" s="1"/>
  <c r="C753" i="40"/>
  <c r="C755" i="40" s="1"/>
  <c r="B753" i="40"/>
  <c r="J752" i="40"/>
  <c r="I752" i="40"/>
  <c r="G752" i="40"/>
  <c r="F752" i="40"/>
  <c r="H751" i="40"/>
  <c r="E751" i="40"/>
  <c r="D751" i="40"/>
  <c r="C751" i="40"/>
  <c r="B751" i="40" s="1"/>
  <c r="H750" i="40"/>
  <c r="H752" i="40" s="1"/>
  <c r="E750" i="40"/>
  <c r="D750" i="40"/>
  <c r="D752" i="40" s="1"/>
  <c r="C750" i="40"/>
  <c r="J749" i="40"/>
  <c r="J758" i="40" s="1"/>
  <c r="I749" i="40"/>
  <c r="I758" i="40" s="1"/>
  <c r="G749" i="40"/>
  <c r="G758" i="40" s="1"/>
  <c r="F749" i="40"/>
  <c r="F758" i="40" s="1"/>
  <c r="H748" i="40"/>
  <c r="H757" i="40" s="1"/>
  <c r="E748" i="40"/>
  <c r="E757" i="40" s="1"/>
  <c r="D748" i="40"/>
  <c r="D757" i="40" s="1"/>
  <c r="C748" i="40"/>
  <c r="C757" i="40" s="1"/>
  <c r="H747" i="40"/>
  <c r="H749" i="40" s="1"/>
  <c r="H758" i="40" s="1"/>
  <c r="E747" i="40"/>
  <c r="E756" i="40" s="1"/>
  <c r="D747" i="40"/>
  <c r="D749" i="40" s="1"/>
  <c r="D758" i="40" s="1"/>
  <c r="C747" i="40"/>
  <c r="C756" i="40" s="1"/>
  <c r="B747" i="40"/>
  <c r="J743" i="40"/>
  <c r="G743" i="40"/>
  <c r="F743" i="40"/>
  <c r="J742" i="40"/>
  <c r="G742" i="40"/>
  <c r="F742" i="40"/>
  <c r="J741" i="40"/>
  <c r="G741" i="40"/>
  <c r="F741" i="40"/>
  <c r="I740" i="40"/>
  <c r="H740" i="40" s="1"/>
  <c r="E740" i="40"/>
  <c r="D740" i="40"/>
  <c r="C740" i="40"/>
  <c r="B740" i="40" s="1"/>
  <c r="I739" i="40"/>
  <c r="I741" i="40" s="1"/>
  <c r="E739" i="40"/>
  <c r="E741" i="40" s="1"/>
  <c r="D739" i="40"/>
  <c r="D741" i="40" s="1"/>
  <c r="C739" i="40"/>
  <c r="C741" i="40" s="1"/>
  <c r="J738" i="40"/>
  <c r="G738" i="40"/>
  <c r="F738" i="40"/>
  <c r="I737" i="40"/>
  <c r="H737" i="40" s="1"/>
  <c r="E737" i="40"/>
  <c r="D737" i="40"/>
  <c r="C737" i="40"/>
  <c r="B737" i="40" s="1"/>
  <c r="I736" i="40"/>
  <c r="I738" i="40" s="1"/>
  <c r="E736" i="40"/>
  <c r="E738" i="40" s="1"/>
  <c r="D736" i="40"/>
  <c r="D738" i="40" s="1"/>
  <c r="C736" i="40"/>
  <c r="C738" i="40" s="1"/>
  <c r="J735" i="40"/>
  <c r="G735" i="40"/>
  <c r="F735" i="40"/>
  <c r="H734" i="40"/>
  <c r="E734" i="40"/>
  <c r="D734" i="40"/>
  <c r="C734" i="40"/>
  <c r="B734" i="40" s="1"/>
  <c r="I733" i="40"/>
  <c r="I735" i="40" s="1"/>
  <c r="E733" i="40"/>
  <c r="E735" i="40" s="1"/>
  <c r="D733" i="40"/>
  <c r="D735" i="40" s="1"/>
  <c r="C733" i="40"/>
  <c r="C735" i="40" s="1"/>
  <c r="J732" i="40"/>
  <c r="G732" i="40"/>
  <c r="F732" i="40"/>
  <c r="I731" i="40"/>
  <c r="H731" i="40" s="1"/>
  <c r="E731" i="40"/>
  <c r="D731" i="40"/>
  <c r="C731" i="40"/>
  <c r="B731" i="40" s="1"/>
  <c r="H730" i="40"/>
  <c r="H732" i="40" s="1"/>
  <c r="E730" i="40"/>
  <c r="E732" i="40" s="1"/>
  <c r="D730" i="40"/>
  <c r="D732" i="40" s="1"/>
  <c r="C730" i="40"/>
  <c r="C732" i="40" s="1"/>
  <c r="J729" i="40"/>
  <c r="G729" i="40"/>
  <c r="F729" i="40"/>
  <c r="H728" i="40"/>
  <c r="E728" i="40"/>
  <c r="D728" i="40"/>
  <c r="C728" i="40"/>
  <c r="B728" i="40" s="1"/>
  <c r="I727" i="40"/>
  <c r="I729" i="40" s="1"/>
  <c r="E727" i="40"/>
  <c r="E729" i="40" s="1"/>
  <c r="D727" i="40"/>
  <c r="D729" i="40" s="1"/>
  <c r="C727" i="40"/>
  <c r="C729" i="40" s="1"/>
  <c r="J726" i="40"/>
  <c r="G726" i="40"/>
  <c r="F726" i="40"/>
  <c r="I725" i="40"/>
  <c r="I726" i="40" s="1"/>
  <c r="E725" i="40"/>
  <c r="D725" i="40"/>
  <c r="C725" i="40"/>
  <c r="B725" i="40" s="1"/>
  <c r="H724" i="40"/>
  <c r="E724" i="40"/>
  <c r="E726" i="40" s="1"/>
  <c r="D724" i="40"/>
  <c r="C724" i="40"/>
  <c r="C726" i="40" s="1"/>
  <c r="J723" i="40"/>
  <c r="G723" i="40"/>
  <c r="F723" i="40"/>
  <c r="H722" i="40"/>
  <c r="E722" i="40"/>
  <c r="D722" i="40"/>
  <c r="C722" i="40"/>
  <c r="I721" i="40"/>
  <c r="I723" i="40" s="1"/>
  <c r="E721" i="40"/>
  <c r="E723" i="40" s="1"/>
  <c r="D721" i="40"/>
  <c r="D723" i="40" s="1"/>
  <c r="J720" i="40"/>
  <c r="G720" i="40"/>
  <c r="F720" i="40"/>
  <c r="I719" i="40"/>
  <c r="H719" i="40" s="1"/>
  <c r="E719" i="40"/>
  <c r="D719" i="40"/>
  <c r="C719" i="40"/>
  <c r="B719" i="40" s="1"/>
  <c r="I718" i="40"/>
  <c r="I720" i="40" s="1"/>
  <c r="H718" i="40"/>
  <c r="E718" i="40"/>
  <c r="E720" i="40" s="1"/>
  <c r="D718" i="40"/>
  <c r="D720" i="40" s="1"/>
  <c r="C718" i="40"/>
  <c r="C720" i="40" s="1"/>
  <c r="B718" i="40"/>
  <c r="J717" i="40"/>
  <c r="G717" i="40"/>
  <c r="F717" i="40"/>
  <c r="I716" i="40"/>
  <c r="I717" i="40" s="1"/>
  <c r="E716" i="40"/>
  <c r="D716" i="40"/>
  <c r="H715" i="40"/>
  <c r="E715" i="40"/>
  <c r="E717" i="40" s="1"/>
  <c r="D715" i="40"/>
  <c r="D717" i="40" s="1"/>
  <c r="C715" i="40"/>
  <c r="B715" i="40" s="1"/>
  <c r="J714" i="40"/>
  <c r="G714" i="40"/>
  <c r="F714" i="40"/>
  <c r="I713" i="40"/>
  <c r="I714" i="40" s="1"/>
  <c r="E713" i="40"/>
  <c r="D713" i="40"/>
  <c r="H712" i="40"/>
  <c r="E712" i="40"/>
  <c r="E714" i="40" s="1"/>
  <c r="D712" i="40"/>
  <c r="D714" i="40" s="1"/>
  <c r="C712" i="40"/>
  <c r="B712" i="40"/>
  <c r="J711" i="40"/>
  <c r="G711" i="40"/>
  <c r="F711" i="40"/>
  <c r="I710" i="40"/>
  <c r="I711" i="40" s="1"/>
  <c r="E710" i="40"/>
  <c r="D710" i="40"/>
  <c r="H709" i="40"/>
  <c r="E709" i="40"/>
  <c r="E711" i="40" s="1"/>
  <c r="D709" i="40"/>
  <c r="D711" i="40" s="1"/>
  <c r="C709" i="40"/>
  <c r="B709" i="40" s="1"/>
  <c r="J708" i="40"/>
  <c r="G708" i="40"/>
  <c r="F708" i="40"/>
  <c r="I707" i="40"/>
  <c r="H707" i="40" s="1"/>
  <c r="E707" i="40"/>
  <c r="D707" i="40"/>
  <c r="I706" i="40"/>
  <c r="I708" i="40" s="1"/>
  <c r="E706" i="40"/>
  <c r="E708" i="40" s="1"/>
  <c r="D706" i="40"/>
  <c r="D708" i="40" s="1"/>
  <c r="J705" i="40"/>
  <c r="G705" i="40"/>
  <c r="F705" i="40"/>
  <c r="I704" i="40"/>
  <c r="H704" i="40"/>
  <c r="E704" i="40"/>
  <c r="D704" i="40"/>
  <c r="C704" i="40"/>
  <c r="B704" i="40"/>
  <c r="I703" i="40"/>
  <c r="I705" i="40" s="1"/>
  <c r="H703" i="40"/>
  <c r="H705" i="40" s="1"/>
  <c r="E703" i="40"/>
  <c r="E705" i="40" s="1"/>
  <c r="D703" i="40"/>
  <c r="D705" i="40" s="1"/>
  <c r="C703" i="40"/>
  <c r="C705" i="40" s="1"/>
  <c r="B703" i="40"/>
  <c r="B705" i="40" s="1"/>
  <c r="J702" i="40"/>
  <c r="G702" i="40"/>
  <c r="F702" i="40"/>
  <c r="H701" i="40"/>
  <c r="E701" i="40"/>
  <c r="D701" i="40"/>
  <c r="C701" i="40"/>
  <c r="B701" i="40"/>
  <c r="I700" i="40"/>
  <c r="I702" i="40" s="1"/>
  <c r="H700" i="40"/>
  <c r="H702" i="40" s="1"/>
  <c r="E700" i="40"/>
  <c r="E702" i="40" s="1"/>
  <c r="D700" i="40"/>
  <c r="D702" i="40" s="1"/>
  <c r="C700" i="40"/>
  <c r="C702" i="40" s="1"/>
  <c r="B700" i="40"/>
  <c r="B702" i="40" s="1"/>
  <c r="J699" i="40"/>
  <c r="G699" i="40"/>
  <c r="F699" i="40"/>
  <c r="I698" i="40"/>
  <c r="H698" i="40" s="1"/>
  <c r="E698" i="40"/>
  <c r="D698" i="40"/>
  <c r="C698" i="40"/>
  <c r="B698" i="40" s="1"/>
  <c r="I697" i="40"/>
  <c r="I699" i="40" s="1"/>
  <c r="E697" i="40"/>
  <c r="E699" i="40" s="1"/>
  <c r="D697" i="40"/>
  <c r="D699" i="40" s="1"/>
  <c r="C697" i="40"/>
  <c r="C699" i="40" s="1"/>
  <c r="J696" i="40"/>
  <c r="G696" i="40"/>
  <c r="F696" i="40"/>
  <c r="I695" i="40"/>
  <c r="H695" i="40" s="1"/>
  <c r="E695" i="40"/>
  <c r="D695" i="40"/>
  <c r="I694" i="40"/>
  <c r="I696" i="40" s="1"/>
  <c r="E694" i="40"/>
  <c r="D694" i="40"/>
  <c r="D696" i="40" s="1"/>
  <c r="C694" i="40"/>
  <c r="B694" i="40" s="1"/>
  <c r="J693" i="40"/>
  <c r="G693" i="40"/>
  <c r="F693" i="40"/>
  <c r="H692" i="40"/>
  <c r="E692" i="40"/>
  <c r="D692" i="40"/>
  <c r="C692" i="40"/>
  <c r="I691" i="40"/>
  <c r="I693" i="40" s="1"/>
  <c r="E691" i="40"/>
  <c r="E693" i="40" s="1"/>
  <c r="D691" i="40"/>
  <c r="D693" i="40" s="1"/>
  <c r="J690" i="40"/>
  <c r="G690" i="40"/>
  <c r="F690" i="40"/>
  <c r="I689" i="40"/>
  <c r="H689" i="40"/>
  <c r="E689" i="40"/>
  <c r="D689" i="40"/>
  <c r="C689" i="40"/>
  <c r="B689" i="40"/>
  <c r="I688" i="40"/>
  <c r="I690" i="40" s="1"/>
  <c r="H688" i="40"/>
  <c r="H690" i="40" s="1"/>
  <c r="E688" i="40"/>
  <c r="E690" i="40" s="1"/>
  <c r="D688" i="40"/>
  <c r="D690" i="40" s="1"/>
  <c r="C688" i="40"/>
  <c r="C690" i="40" s="1"/>
  <c r="B688" i="40"/>
  <c r="B690" i="40" s="1"/>
  <c r="J687" i="40"/>
  <c r="G687" i="40"/>
  <c r="F687" i="40"/>
  <c r="I686" i="40"/>
  <c r="H686" i="40" s="1"/>
  <c r="E686" i="40"/>
  <c r="D686" i="40"/>
  <c r="C686" i="40"/>
  <c r="B686" i="40" s="1"/>
  <c r="I685" i="40"/>
  <c r="H685" i="40"/>
  <c r="E685" i="40"/>
  <c r="D685" i="40"/>
  <c r="D687" i="40" s="1"/>
  <c r="C685" i="40"/>
  <c r="J684" i="40"/>
  <c r="G684" i="40"/>
  <c r="F684" i="40"/>
  <c r="I683" i="40"/>
  <c r="H683" i="40"/>
  <c r="E683" i="40"/>
  <c r="D683" i="40"/>
  <c r="C683" i="40"/>
  <c r="B683" i="40"/>
  <c r="I682" i="40"/>
  <c r="I684" i="40" s="1"/>
  <c r="H682" i="40"/>
  <c r="H684" i="40" s="1"/>
  <c r="E682" i="40"/>
  <c r="E684" i="40" s="1"/>
  <c r="D682" i="40"/>
  <c r="D684" i="40" s="1"/>
  <c r="C682" i="40"/>
  <c r="C684" i="40" s="1"/>
  <c r="B682" i="40"/>
  <c r="B684" i="40" s="1"/>
  <c r="J681" i="40"/>
  <c r="G681" i="40"/>
  <c r="F681" i="40"/>
  <c r="H680" i="40"/>
  <c r="E680" i="40"/>
  <c r="D680" i="40"/>
  <c r="C680" i="40"/>
  <c r="I679" i="40"/>
  <c r="I681" i="40" s="1"/>
  <c r="E679" i="40"/>
  <c r="E681" i="40" s="1"/>
  <c r="D679" i="40"/>
  <c r="D681" i="40" s="1"/>
  <c r="J678" i="40"/>
  <c r="G678" i="40"/>
  <c r="F678" i="40"/>
  <c r="H677" i="40"/>
  <c r="E677" i="40"/>
  <c r="D677" i="40"/>
  <c r="C677" i="40"/>
  <c r="B677" i="40" s="1"/>
  <c r="I676" i="40"/>
  <c r="I678" i="40" s="1"/>
  <c r="E676" i="40"/>
  <c r="E678" i="40" s="1"/>
  <c r="D676" i="40"/>
  <c r="D678" i="40" s="1"/>
  <c r="C676" i="40"/>
  <c r="J675" i="40"/>
  <c r="G675" i="40"/>
  <c r="F675" i="40"/>
  <c r="I674" i="40"/>
  <c r="I743" i="40" s="1"/>
  <c r="E674" i="40"/>
  <c r="D674" i="40"/>
  <c r="I673" i="40"/>
  <c r="H673" i="40" s="1"/>
  <c r="E673" i="40"/>
  <c r="E675" i="40" s="1"/>
  <c r="D673" i="40"/>
  <c r="J672" i="40"/>
  <c r="J744" i="40" s="1"/>
  <c r="G672" i="40"/>
  <c r="F672" i="40"/>
  <c r="F744" i="40" s="1"/>
  <c r="H671" i="40"/>
  <c r="E671" i="40"/>
  <c r="D671" i="40"/>
  <c r="C671" i="40"/>
  <c r="I670" i="40"/>
  <c r="I742" i="40" s="1"/>
  <c r="E670" i="40"/>
  <c r="D670" i="40"/>
  <c r="D742" i="40" s="1"/>
  <c r="J666" i="40"/>
  <c r="I666" i="40"/>
  <c r="G666" i="40"/>
  <c r="F666" i="40"/>
  <c r="J665" i="40"/>
  <c r="I665" i="40"/>
  <c r="G665" i="40"/>
  <c r="F665" i="40"/>
  <c r="J664" i="40"/>
  <c r="I664" i="40"/>
  <c r="G664" i="40"/>
  <c r="F664" i="40"/>
  <c r="H663" i="40"/>
  <c r="E663" i="40"/>
  <c r="D663" i="40"/>
  <c r="C663" i="40"/>
  <c r="B663" i="40"/>
  <c r="H662" i="40"/>
  <c r="E662" i="40"/>
  <c r="E664" i="40" s="1"/>
  <c r="D662" i="40"/>
  <c r="C662" i="40"/>
  <c r="B662" i="40" s="1"/>
  <c r="B664" i="40" s="1"/>
  <c r="J661" i="40"/>
  <c r="I661" i="40"/>
  <c r="G661" i="40"/>
  <c r="F661" i="40"/>
  <c r="H660" i="40"/>
  <c r="E660" i="40"/>
  <c r="D660" i="40"/>
  <c r="C660" i="40"/>
  <c r="B660" i="40" s="1"/>
  <c r="H659" i="40"/>
  <c r="H661" i="40" s="1"/>
  <c r="E659" i="40"/>
  <c r="E661" i="40" s="1"/>
  <c r="D659" i="40"/>
  <c r="D661" i="40" s="1"/>
  <c r="C659" i="40"/>
  <c r="C661" i="40" s="1"/>
  <c r="J658" i="40"/>
  <c r="J667" i="40" s="1"/>
  <c r="I658" i="40"/>
  <c r="G658" i="40"/>
  <c r="G667" i="40" s="1"/>
  <c r="F658" i="40"/>
  <c r="H657" i="40"/>
  <c r="H666" i="40" s="1"/>
  <c r="E657" i="40"/>
  <c r="D657" i="40"/>
  <c r="D666" i="40" s="1"/>
  <c r="C657" i="40"/>
  <c r="B657" i="40"/>
  <c r="B666" i="40" s="1"/>
  <c r="H656" i="40"/>
  <c r="E656" i="40"/>
  <c r="E665" i="40" s="1"/>
  <c r="D656" i="40"/>
  <c r="C656" i="40"/>
  <c r="C665" i="40" s="1"/>
  <c r="J652" i="40"/>
  <c r="G652" i="40"/>
  <c r="F652" i="40"/>
  <c r="J651" i="40"/>
  <c r="G651" i="40"/>
  <c r="F651" i="40"/>
  <c r="J650" i="40"/>
  <c r="G650" i="40"/>
  <c r="F650" i="40"/>
  <c r="I649" i="40"/>
  <c r="H649" i="40" s="1"/>
  <c r="E649" i="40"/>
  <c r="D649" i="40"/>
  <c r="I648" i="40"/>
  <c r="H648" i="40" s="1"/>
  <c r="H650" i="40" s="1"/>
  <c r="E648" i="40"/>
  <c r="E650" i="40" s="1"/>
  <c r="D648" i="40"/>
  <c r="D650" i="40" s="1"/>
  <c r="J647" i="40"/>
  <c r="G647" i="40"/>
  <c r="F647" i="40"/>
  <c r="H646" i="40"/>
  <c r="E646" i="40"/>
  <c r="D646" i="40"/>
  <c r="C646" i="40"/>
  <c r="I645" i="40"/>
  <c r="I651" i="40" s="1"/>
  <c r="E645" i="40"/>
  <c r="E647" i="40" s="1"/>
  <c r="D645" i="40"/>
  <c r="D647" i="40" s="1"/>
  <c r="J644" i="40"/>
  <c r="I644" i="40"/>
  <c r="G644" i="40"/>
  <c r="F644" i="40"/>
  <c r="H643" i="40"/>
  <c r="E643" i="40"/>
  <c r="D643" i="40"/>
  <c r="C643" i="40"/>
  <c r="H642" i="40"/>
  <c r="H644" i="40" s="1"/>
  <c r="E642" i="40"/>
  <c r="E644" i="40" s="1"/>
  <c r="D642" i="40"/>
  <c r="D644" i="40" s="1"/>
  <c r="C642" i="40"/>
  <c r="C644" i="40" s="1"/>
  <c r="B642" i="40"/>
  <c r="J641" i="40"/>
  <c r="I641" i="40"/>
  <c r="G641" i="40"/>
  <c r="F641" i="40"/>
  <c r="H640" i="40"/>
  <c r="E640" i="40"/>
  <c r="D640" i="40"/>
  <c r="C640" i="40"/>
  <c r="B640" i="40" s="1"/>
  <c r="H639" i="40"/>
  <c r="H641" i="40" s="1"/>
  <c r="E639" i="40"/>
  <c r="D639" i="40"/>
  <c r="D641" i="40" s="1"/>
  <c r="C639" i="40"/>
  <c r="J638" i="40"/>
  <c r="I638" i="40"/>
  <c r="G638" i="40"/>
  <c r="F638" i="40"/>
  <c r="H637" i="40"/>
  <c r="E637" i="40"/>
  <c r="D637" i="40"/>
  <c r="C637" i="40"/>
  <c r="H636" i="40"/>
  <c r="H638" i="40" s="1"/>
  <c r="E636" i="40"/>
  <c r="E638" i="40" s="1"/>
  <c r="D636" i="40"/>
  <c r="D638" i="40" s="1"/>
  <c r="C636" i="40"/>
  <c r="C638" i="40" s="1"/>
  <c r="B636" i="40"/>
  <c r="J635" i="40"/>
  <c r="I635" i="40"/>
  <c r="G635" i="40"/>
  <c r="F635" i="40"/>
  <c r="F653" i="40" s="1"/>
  <c r="H634" i="40"/>
  <c r="E634" i="40"/>
  <c r="E652" i="40" s="1"/>
  <c r="D634" i="40"/>
  <c r="C634" i="40"/>
  <c r="H633" i="40"/>
  <c r="H635" i="40" s="1"/>
  <c r="E633" i="40"/>
  <c r="E651" i="40" s="1"/>
  <c r="D633" i="40"/>
  <c r="D635" i="40" s="1"/>
  <c r="C633" i="40"/>
  <c r="J629" i="40"/>
  <c r="I629" i="40"/>
  <c r="G629" i="40"/>
  <c r="F629" i="40"/>
  <c r="J628" i="40"/>
  <c r="I628" i="40"/>
  <c r="G628" i="40"/>
  <c r="F628" i="40"/>
  <c r="J627" i="40"/>
  <c r="I627" i="40"/>
  <c r="G627" i="40"/>
  <c r="F627" i="40"/>
  <c r="H626" i="40"/>
  <c r="E626" i="40"/>
  <c r="D626" i="40"/>
  <c r="C626" i="40"/>
  <c r="B626" i="40"/>
  <c r="H625" i="40"/>
  <c r="E625" i="40"/>
  <c r="E627" i="40" s="1"/>
  <c r="D625" i="40"/>
  <c r="C625" i="40"/>
  <c r="B625" i="40" s="1"/>
  <c r="B627" i="40" s="1"/>
  <c r="J624" i="40"/>
  <c r="I624" i="40"/>
  <c r="G624" i="40"/>
  <c r="F624" i="40"/>
  <c r="H623" i="40"/>
  <c r="E623" i="40"/>
  <c r="D623" i="40"/>
  <c r="C623" i="40"/>
  <c r="B623" i="40" s="1"/>
  <c r="H622" i="40"/>
  <c r="H624" i="40" s="1"/>
  <c r="E622" i="40"/>
  <c r="E624" i="40" s="1"/>
  <c r="D622" i="40"/>
  <c r="D624" i="40" s="1"/>
  <c r="C622" i="40"/>
  <c r="C624" i="40" s="1"/>
  <c r="J621" i="40"/>
  <c r="I621" i="40"/>
  <c r="G621" i="40"/>
  <c r="F621" i="40"/>
  <c r="H620" i="40"/>
  <c r="E620" i="40"/>
  <c r="D620" i="40"/>
  <c r="C620" i="40"/>
  <c r="B620" i="40" s="1"/>
  <c r="H619" i="40"/>
  <c r="E619" i="40"/>
  <c r="E621" i="40" s="1"/>
  <c r="D619" i="40"/>
  <c r="C619" i="40"/>
  <c r="B619" i="40" s="1"/>
  <c r="J618" i="40"/>
  <c r="I618" i="40"/>
  <c r="I630" i="40" s="1"/>
  <c r="G618" i="40"/>
  <c r="F618" i="40"/>
  <c r="F630" i="40" s="1"/>
  <c r="H617" i="40"/>
  <c r="E617" i="40"/>
  <c r="E629" i="40" s="1"/>
  <c r="D617" i="40"/>
  <c r="C617" i="40"/>
  <c r="B617" i="40" s="1"/>
  <c r="H616" i="40"/>
  <c r="H628" i="40" s="1"/>
  <c r="E616" i="40"/>
  <c r="E628" i="40" s="1"/>
  <c r="D616" i="40"/>
  <c r="D628" i="40" s="1"/>
  <c r="C616" i="40"/>
  <c r="C628" i="40" s="1"/>
  <c r="J612" i="40"/>
  <c r="I612" i="40"/>
  <c r="G612" i="40"/>
  <c r="F612" i="40"/>
  <c r="J611" i="40"/>
  <c r="I611" i="40"/>
  <c r="G611" i="40"/>
  <c r="F611" i="40"/>
  <c r="J610" i="40"/>
  <c r="I610" i="40"/>
  <c r="G610" i="40"/>
  <c r="F610" i="40"/>
  <c r="H609" i="40"/>
  <c r="E609" i="40"/>
  <c r="D609" i="40"/>
  <c r="C609" i="40"/>
  <c r="H608" i="40"/>
  <c r="H610" i="40" s="1"/>
  <c r="E608" i="40"/>
  <c r="E610" i="40" s="1"/>
  <c r="D608" i="40"/>
  <c r="D610" i="40" s="1"/>
  <c r="C608" i="40"/>
  <c r="C610" i="40" s="1"/>
  <c r="J607" i="40"/>
  <c r="I607" i="40"/>
  <c r="G607" i="40"/>
  <c r="F607" i="40"/>
  <c r="H606" i="40"/>
  <c r="E606" i="40"/>
  <c r="D606" i="40"/>
  <c r="C606" i="40"/>
  <c r="H605" i="40"/>
  <c r="H607" i="40" s="1"/>
  <c r="E605" i="40"/>
  <c r="D605" i="40"/>
  <c r="D607" i="40" s="1"/>
  <c r="C605" i="40"/>
  <c r="J604" i="40"/>
  <c r="I604" i="40"/>
  <c r="G604" i="40"/>
  <c r="F604" i="40"/>
  <c r="H603" i="40"/>
  <c r="E603" i="40"/>
  <c r="D603" i="40"/>
  <c r="C603" i="40"/>
  <c r="H602" i="40"/>
  <c r="H604" i="40" s="1"/>
  <c r="E602" i="40"/>
  <c r="E604" i="40" s="1"/>
  <c r="D602" i="40"/>
  <c r="D604" i="40" s="1"/>
  <c r="C602" i="40"/>
  <c r="C604" i="40" s="1"/>
  <c r="B602" i="40"/>
  <c r="J601" i="40"/>
  <c r="I601" i="40"/>
  <c r="G601" i="40"/>
  <c r="F601" i="40"/>
  <c r="H600" i="40"/>
  <c r="E600" i="40"/>
  <c r="D600" i="40"/>
  <c r="C600" i="40"/>
  <c r="B600" i="40" s="1"/>
  <c r="H599" i="40"/>
  <c r="H601" i="40" s="1"/>
  <c r="E599" i="40"/>
  <c r="D599" i="40"/>
  <c r="D601" i="40" s="1"/>
  <c r="C599" i="40"/>
  <c r="J598" i="40"/>
  <c r="I598" i="40"/>
  <c r="G598" i="40"/>
  <c r="F598" i="40"/>
  <c r="H597" i="40"/>
  <c r="E597" i="40"/>
  <c r="D597" i="40"/>
  <c r="C597" i="40"/>
  <c r="H596" i="40"/>
  <c r="H598" i="40" s="1"/>
  <c r="E596" i="40"/>
  <c r="E598" i="40" s="1"/>
  <c r="D596" i="40"/>
  <c r="D598" i="40" s="1"/>
  <c r="C596" i="40"/>
  <c r="C598" i="40" s="1"/>
  <c r="J595" i="40"/>
  <c r="I595" i="40"/>
  <c r="I613" i="40" s="1"/>
  <c r="G595" i="40"/>
  <c r="F595" i="40"/>
  <c r="F613" i="40" s="1"/>
  <c r="H594" i="40"/>
  <c r="E594" i="40"/>
  <c r="E612" i="40" s="1"/>
  <c r="D594" i="40"/>
  <c r="C594" i="40"/>
  <c r="C612" i="40" s="1"/>
  <c r="H593" i="40"/>
  <c r="H611" i="40" s="1"/>
  <c r="E593" i="40"/>
  <c r="E611" i="40" s="1"/>
  <c r="D593" i="40"/>
  <c r="D611" i="40" s="1"/>
  <c r="C593" i="40"/>
  <c r="J589" i="40"/>
  <c r="I589" i="40"/>
  <c r="G589" i="40"/>
  <c r="F589" i="40"/>
  <c r="I588" i="40"/>
  <c r="G588" i="40"/>
  <c r="F588" i="40"/>
  <c r="J587" i="40"/>
  <c r="I587" i="40"/>
  <c r="G587" i="40"/>
  <c r="F587" i="40"/>
  <c r="H586" i="40"/>
  <c r="E586" i="40"/>
  <c r="D586" i="40"/>
  <c r="C586" i="40"/>
  <c r="B586" i="40" s="1"/>
  <c r="H585" i="40"/>
  <c r="H587" i="40" s="1"/>
  <c r="E585" i="40"/>
  <c r="E587" i="40" s="1"/>
  <c r="D585" i="40"/>
  <c r="D587" i="40" s="1"/>
  <c r="C585" i="40"/>
  <c r="C587" i="40" s="1"/>
  <c r="J584" i="40"/>
  <c r="I584" i="40"/>
  <c r="G584" i="40"/>
  <c r="F584" i="40"/>
  <c r="H583" i="40"/>
  <c r="E583" i="40"/>
  <c r="D583" i="40"/>
  <c r="C583" i="40"/>
  <c r="B583" i="40" s="1"/>
  <c r="H582" i="40"/>
  <c r="E582" i="40"/>
  <c r="E584" i="40" s="1"/>
  <c r="D582" i="40"/>
  <c r="C582" i="40"/>
  <c r="C584" i="40" s="1"/>
  <c r="J581" i="40"/>
  <c r="I581" i="40"/>
  <c r="G581" i="40"/>
  <c r="F581" i="40"/>
  <c r="H580" i="40"/>
  <c r="E580" i="40"/>
  <c r="D580" i="40"/>
  <c r="C580" i="40"/>
  <c r="B580" i="40" s="1"/>
  <c r="H579" i="40"/>
  <c r="H581" i="40" s="1"/>
  <c r="E579" i="40"/>
  <c r="E581" i="40" s="1"/>
  <c r="D579" i="40"/>
  <c r="D581" i="40" s="1"/>
  <c r="C579" i="40"/>
  <c r="C581" i="40" s="1"/>
  <c r="J578" i="40"/>
  <c r="I578" i="40"/>
  <c r="G578" i="40"/>
  <c r="F578" i="40"/>
  <c r="H577" i="40"/>
  <c r="E577" i="40"/>
  <c r="D577" i="40"/>
  <c r="C577" i="40"/>
  <c r="B577" i="40" s="1"/>
  <c r="H576" i="40"/>
  <c r="E576" i="40"/>
  <c r="E578" i="40" s="1"/>
  <c r="D576" i="40"/>
  <c r="C576" i="40"/>
  <c r="C578" i="40" s="1"/>
  <c r="J575" i="40"/>
  <c r="I575" i="40"/>
  <c r="G575" i="40"/>
  <c r="F575" i="40"/>
  <c r="H574" i="40"/>
  <c r="E574" i="40"/>
  <c r="D574" i="40"/>
  <c r="C574" i="40"/>
  <c r="B574" i="40" s="1"/>
  <c r="H573" i="40"/>
  <c r="E573" i="40"/>
  <c r="E575" i="40" s="1"/>
  <c r="D573" i="40"/>
  <c r="C573" i="40"/>
  <c r="B573" i="40" s="1"/>
  <c r="I572" i="40"/>
  <c r="G572" i="40"/>
  <c r="F572" i="40"/>
  <c r="H571" i="40"/>
  <c r="E571" i="40"/>
  <c r="D571" i="40"/>
  <c r="C571" i="40"/>
  <c r="J570" i="40"/>
  <c r="H570" i="40" s="1"/>
  <c r="H572" i="40" s="1"/>
  <c r="E570" i="40"/>
  <c r="E572" i="40" s="1"/>
  <c r="C570" i="40"/>
  <c r="C572" i="40" s="1"/>
  <c r="J569" i="40"/>
  <c r="I569" i="40"/>
  <c r="I590" i="40" s="1"/>
  <c r="G569" i="40"/>
  <c r="F569" i="40"/>
  <c r="F590" i="40" s="1"/>
  <c r="H568" i="40"/>
  <c r="E568" i="40"/>
  <c r="E589" i="40" s="1"/>
  <c r="D568" i="40"/>
  <c r="C568" i="40"/>
  <c r="B568" i="40" s="1"/>
  <c r="H567" i="40"/>
  <c r="E567" i="40"/>
  <c r="E588" i="40" s="1"/>
  <c r="D567" i="40"/>
  <c r="C567" i="40"/>
  <c r="C588" i="40" s="1"/>
  <c r="J563" i="40"/>
  <c r="I563" i="40"/>
  <c r="G563" i="40"/>
  <c r="F563" i="40"/>
  <c r="J562" i="40"/>
  <c r="I562" i="40"/>
  <c r="G562" i="40"/>
  <c r="F562" i="40"/>
  <c r="J561" i="40"/>
  <c r="I561" i="40"/>
  <c r="G561" i="40"/>
  <c r="F561" i="40"/>
  <c r="H560" i="40"/>
  <c r="E560" i="40"/>
  <c r="D560" i="40"/>
  <c r="C560" i="40"/>
  <c r="H559" i="40"/>
  <c r="H561" i="40" s="1"/>
  <c r="E559" i="40"/>
  <c r="E561" i="40" s="1"/>
  <c r="D559" i="40"/>
  <c r="D561" i="40" s="1"/>
  <c r="C559" i="40"/>
  <c r="C561" i="40" s="1"/>
  <c r="J558" i="40"/>
  <c r="I558" i="40"/>
  <c r="G558" i="40"/>
  <c r="F558" i="40"/>
  <c r="H557" i="40"/>
  <c r="E557" i="40"/>
  <c r="D557" i="40"/>
  <c r="C557" i="40"/>
  <c r="H556" i="40"/>
  <c r="H558" i="40" s="1"/>
  <c r="E556" i="40"/>
  <c r="D556" i="40"/>
  <c r="D558" i="40" s="1"/>
  <c r="C556" i="40"/>
  <c r="J555" i="40"/>
  <c r="I555" i="40"/>
  <c r="G555" i="40"/>
  <c r="F555" i="40"/>
  <c r="H554" i="40"/>
  <c r="E554" i="40"/>
  <c r="D554" i="40"/>
  <c r="C554" i="40"/>
  <c r="H553" i="40"/>
  <c r="H555" i="40" s="1"/>
  <c r="E553" i="40"/>
  <c r="E555" i="40" s="1"/>
  <c r="D553" i="40"/>
  <c r="D555" i="40" s="1"/>
  <c r="C553" i="40"/>
  <c r="C555" i="40" s="1"/>
  <c r="B553" i="40"/>
  <c r="J552" i="40"/>
  <c r="I552" i="40"/>
  <c r="G552" i="40"/>
  <c r="F552" i="40"/>
  <c r="H551" i="40"/>
  <c r="E551" i="40"/>
  <c r="D551" i="40"/>
  <c r="C551" i="40"/>
  <c r="B551" i="40" s="1"/>
  <c r="H550" i="40"/>
  <c r="H552" i="40" s="1"/>
  <c r="E550" i="40"/>
  <c r="D550" i="40"/>
  <c r="D552" i="40" s="1"/>
  <c r="C550" i="40"/>
  <c r="J549" i="40"/>
  <c r="I549" i="40"/>
  <c r="G549" i="40"/>
  <c r="F549" i="40"/>
  <c r="H548" i="40"/>
  <c r="E548" i="40"/>
  <c r="D548" i="40"/>
  <c r="C548" i="40"/>
  <c r="H547" i="40"/>
  <c r="H549" i="40" s="1"/>
  <c r="E547" i="40"/>
  <c r="E549" i="40" s="1"/>
  <c r="D547" i="40"/>
  <c r="D549" i="40" s="1"/>
  <c r="C547" i="40"/>
  <c r="C549" i="40" s="1"/>
  <c r="J546" i="40"/>
  <c r="I546" i="40"/>
  <c r="I564" i="40" s="1"/>
  <c r="G546" i="40"/>
  <c r="F546" i="40"/>
  <c r="F564" i="40" s="1"/>
  <c r="H545" i="40"/>
  <c r="E545" i="40"/>
  <c r="E563" i="40" s="1"/>
  <c r="D545" i="40"/>
  <c r="C545" i="40"/>
  <c r="C563" i="40" s="1"/>
  <c r="H544" i="40"/>
  <c r="H562" i="40" s="1"/>
  <c r="E544" i="40"/>
  <c r="E562" i="40" s="1"/>
  <c r="D544" i="40"/>
  <c r="D562" i="40" s="1"/>
  <c r="C544" i="40"/>
  <c r="J540" i="40"/>
  <c r="I540" i="40"/>
  <c r="G540" i="40"/>
  <c r="F540" i="40"/>
  <c r="I539" i="40"/>
  <c r="G539" i="40"/>
  <c r="F539" i="40"/>
  <c r="I538" i="40"/>
  <c r="G538" i="40"/>
  <c r="F538" i="40"/>
  <c r="H537" i="40"/>
  <c r="E537" i="40"/>
  <c r="D537" i="40"/>
  <c r="C537" i="40"/>
  <c r="J536" i="40"/>
  <c r="J538" i="40" s="1"/>
  <c r="E536" i="40"/>
  <c r="E538" i="40" s="1"/>
  <c r="C536" i="40"/>
  <c r="C538" i="40" s="1"/>
  <c r="J535" i="40"/>
  <c r="I535" i="40"/>
  <c r="G535" i="40"/>
  <c r="F535" i="40"/>
  <c r="H534" i="40"/>
  <c r="E534" i="40"/>
  <c r="D534" i="40"/>
  <c r="C534" i="40"/>
  <c r="B534" i="40" s="1"/>
  <c r="H533" i="40"/>
  <c r="H535" i="40" s="1"/>
  <c r="E533" i="40"/>
  <c r="E535" i="40" s="1"/>
  <c r="D533" i="40"/>
  <c r="D535" i="40" s="1"/>
  <c r="C533" i="40"/>
  <c r="C535" i="40" s="1"/>
  <c r="J532" i="40"/>
  <c r="I532" i="40"/>
  <c r="G532" i="40"/>
  <c r="F532" i="40"/>
  <c r="H531" i="40"/>
  <c r="E531" i="40"/>
  <c r="D531" i="40"/>
  <c r="C531" i="40"/>
  <c r="B531" i="40" s="1"/>
  <c r="H530" i="40"/>
  <c r="E530" i="40"/>
  <c r="E532" i="40" s="1"/>
  <c r="D530" i="40"/>
  <c r="C530" i="40"/>
  <c r="C532" i="40" s="1"/>
  <c r="J529" i="40"/>
  <c r="I529" i="40"/>
  <c r="G529" i="40"/>
  <c r="F529" i="40"/>
  <c r="H528" i="40"/>
  <c r="E528" i="40"/>
  <c r="D528" i="40"/>
  <c r="C528" i="40"/>
  <c r="B528" i="40" s="1"/>
  <c r="H527" i="40"/>
  <c r="H529" i="40" s="1"/>
  <c r="E527" i="40"/>
  <c r="E529" i="40" s="1"/>
  <c r="D527" i="40"/>
  <c r="D529" i="40" s="1"/>
  <c r="C527" i="40"/>
  <c r="C529" i="40" s="1"/>
  <c r="J526" i="40"/>
  <c r="I526" i="40"/>
  <c r="G526" i="40"/>
  <c r="F526" i="40"/>
  <c r="H525" i="40"/>
  <c r="E525" i="40"/>
  <c r="D525" i="40"/>
  <c r="C525" i="40"/>
  <c r="B525" i="40" s="1"/>
  <c r="H524" i="40"/>
  <c r="E524" i="40"/>
  <c r="E526" i="40" s="1"/>
  <c r="D524" i="40"/>
  <c r="C524" i="40"/>
  <c r="C526" i="40" s="1"/>
  <c r="J523" i="40"/>
  <c r="I523" i="40"/>
  <c r="G523" i="40"/>
  <c r="F523" i="40"/>
  <c r="H522" i="40"/>
  <c r="E522" i="40"/>
  <c r="D522" i="40"/>
  <c r="C522" i="40"/>
  <c r="B522" i="40" s="1"/>
  <c r="H521" i="40"/>
  <c r="H523" i="40" s="1"/>
  <c r="E521" i="40"/>
  <c r="E523" i="40" s="1"/>
  <c r="D521" i="40"/>
  <c r="D523" i="40" s="1"/>
  <c r="C521" i="40"/>
  <c r="C523" i="40" s="1"/>
  <c r="I520" i="40"/>
  <c r="G520" i="40"/>
  <c r="F520" i="40"/>
  <c r="H519" i="40"/>
  <c r="E519" i="40"/>
  <c r="D519" i="40"/>
  <c r="C519" i="40"/>
  <c r="B519" i="40" s="1"/>
  <c r="J518" i="40"/>
  <c r="H518" i="40" s="1"/>
  <c r="H520" i="40" s="1"/>
  <c r="E518" i="40"/>
  <c r="E520" i="40" s="1"/>
  <c r="D518" i="40"/>
  <c r="D520" i="40" s="1"/>
  <c r="C518" i="40"/>
  <c r="C520" i="40" s="1"/>
  <c r="I517" i="40"/>
  <c r="G517" i="40"/>
  <c r="F517" i="40"/>
  <c r="H516" i="40"/>
  <c r="E516" i="40"/>
  <c r="D516" i="40"/>
  <c r="C516" i="40"/>
  <c r="B516" i="40" s="1"/>
  <c r="J515" i="40"/>
  <c r="H515" i="40" s="1"/>
  <c r="H517" i="40" s="1"/>
  <c r="E515" i="40"/>
  <c r="E517" i="40" s="1"/>
  <c r="D515" i="40"/>
  <c r="D517" i="40" s="1"/>
  <c r="C515" i="40"/>
  <c r="C517" i="40" s="1"/>
  <c r="I514" i="40"/>
  <c r="G514" i="40"/>
  <c r="G541" i="40" s="1"/>
  <c r="F514" i="40"/>
  <c r="H513" i="40"/>
  <c r="H540" i="40" s="1"/>
  <c r="E513" i="40"/>
  <c r="D513" i="40"/>
  <c r="D540" i="40" s="1"/>
  <c r="C513" i="40"/>
  <c r="J512" i="40"/>
  <c r="J539" i="40" s="1"/>
  <c r="E512" i="40"/>
  <c r="E539" i="40" s="1"/>
  <c r="C512" i="40"/>
  <c r="C539" i="40" s="1"/>
  <c r="J508" i="40"/>
  <c r="I508" i="40"/>
  <c r="G508" i="40"/>
  <c r="F508" i="40"/>
  <c r="I507" i="40"/>
  <c r="G507" i="40"/>
  <c r="F507" i="40"/>
  <c r="J506" i="40"/>
  <c r="I506" i="40"/>
  <c r="G506" i="40"/>
  <c r="F506" i="40"/>
  <c r="H505" i="40"/>
  <c r="E505" i="40"/>
  <c r="D505" i="40"/>
  <c r="C505" i="40"/>
  <c r="B505" i="40" s="1"/>
  <c r="H504" i="40"/>
  <c r="H506" i="40" s="1"/>
  <c r="E504" i="40"/>
  <c r="E506" i="40" s="1"/>
  <c r="D504" i="40"/>
  <c r="D506" i="40" s="1"/>
  <c r="C504" i="40"/>
  <c r="C506" i="40" s="1"/>
  <c r="J503" i="40"/>
  <c r="I503" i="40"/>
  <c r="G503" i="40"/>
  <c r="F503" i="40"/>
  <c r="H502" i="40"/>
  <c r="E502" i="40"/>
  <c r="D502" i="40"/>
  <c r="C502" i="40"/>
  <c r="B502" i="40" s="1"/>
  <c r="H501" i="40"/>
  <c r="E501" i="40"/>
  <c r="E503" i="40" s="1"/>
  <c r="D501" i="40"/>
  <c r="C501" i="40"/>
  <c r="C503" i="40" s="1"/>
  <c r="I500" i="40"/>
  <c r="G500" i="40"/>
  <c r="F500" i="40"/>
  <c r="H499" i="40"/>
  <c r="E499" i="40"/>
  <c r="D499" i="40"/>
  <c r="C499" i="40"/>
  <c r="J498" i="40"/>
  <c r="J500" i="40" s="1"/>
  <c r="E498" i="40"/>
  <c r="E500" i="40" s="1"/>
  <c r="C498" i="40"/>
  <c r="C500" i="40" s="1"/>
  <c r="I497" i="40"/>
  <c r="G497" i="40"/>
  <c r="F497" i="40"/>
  <c r="H496" i="40"/>
  <c r="E496" i="40"/>
  <c r="D496" i="40"/>
  <c r="C496" i="40"/>
  <c r="J495" i="40"/>
  <c r="J497" i="40" s="1"/>
  <c r="E495" i="40"/>
  <c r="E497" i="40" s="1"/>
  <c r="C495" i="40"/>
  <c r="C497" i="40" s="1"/>
  <c r="J494" i="40"/>
  <c r="I494" i="40"/>
  <c r="G494" i="40"/>
  <c r="F494" i="40"/>
  <c r="H493" i="40"/>
  <c r="E493" i="40"/>
  <c r="D493" i="40"/>
  <c r="C493" i="40"/>
  <c r="H492" i="40"/>
  <c r="H494" i="40" s="1"/>
  <c r="E492" i="40"/>
  <c r="E494" i="40" s="1"/>
  <c r="D492" i="40"/>
  <c r="D494" i="40" s="1"/>
  <c r="C492" i="40"/>
  <c r="C494" i="40" s="1"/>
  <c r="J491" i="40"/>
  <c r="I491" i="40"/>
  <c r="G491" i="40"/>
  <c r="F491" i="40"/>
  <c r="H490" i="40"/>
  <c r="E490" i="40"/>
  <c r="D490" i="40"/>
  <c r="C490" i="40"/>
  <c r="B490" i="40"/>
  <c r="H489" i="40"/>
  <c r="E489" i="40"/>
  <c r="E491" i="40" s="1"/>
  <c r="D489" i="40"/>
  <c r="C489" i="40"/>
  <c r="C491" i="40" s="1"/>
  <c r="J488" i="40"/>
  <c r="I488" i="40"/>
  <c r="G488" i="40"/>
  <c r="F488" i="40"/>
  <c r="H487" i="40"/>
  <c r="E487" i="40"/>
  <c r="D487" i="40"/>
  <c r="C487" i="40"/>
  <c r="B487" i="40" s="1"/>
  <c r="H486" i="40"/>
  <c r="H488" i="40" s="1"/>
  <c r="E486" i="40"/>
  <c r="E488" i="40" s="1"/>
  <c r="D486" i="40"/>
  <c r="D488" i="40" s="1"/>
  <c r="C486" i="40"/>
  <c r="C488" i="40" s="1"/>
  <c r="I485" i="40"/>
  <c r="G485" i="40"/>
  <c r="F485" i="40"/>
  <c r="H484" i="40"/>
  <c r="E484" i="40"/>
  <c r="D484" i="40"/>
  <c r="C484" i="40"/>
  <c r="J483" i="40"/>
  <c r="J485" i="40" s="1"/>
  <c r="E483" i="40"/>
  <c r="E485" i="40" s="1"/>
  <c r="C483" i="40"/>
  <c r="C485" i="40" s="1"/>
  <c r="J482" i="40"/>
  <c r="I482" i="40"/>
  <c r="G482" i="40"/>
  <c r="F482" i="40"/>
  <c r="H481" i="40"/>
  <c r="E481" i="40"/>
  <c r="D481" i="40"/>
  <c r="C481" i="40"/>
  <c r="B481" i="40" s="1"/>
  <c r="H480" i="40"/>
  <c r="E480" i="40"/>
  <c r="E482" i="40" s="1"/>
  <c r="D480" i="40"/>
  <c r="C480" i="40"/>
  <c r="C482" i="40" s="1"/>
  <c r="J479" i="40"/>
  <c r="I479" i="40"/>
  <c r="G479" i="40"/>
  <c r="F479" i="40"/>
  <c r="H478" i="40"/>
  <c r="E478" i="40"/>
  <c r="D478" i="40"/>
  <c r="C478" i="40"/>
  <c r="B478" i="40" s="1"/>
  <c r="H477" i="40"/>
  <c r="H479" i="40" s="1"/>
  <c r="E477" i="40"/>
  <c r="E479" i="40" s="1"/>
  <c r="D477" i="40"/>
  <c r="D479" i="40" s="1"/>
  <c r="C477" i="40"/>
  <c r="C479" i="40" s="1"/>
  <c r="J476" i="40"/>
  <c r="I476" i="40"/>
  <c r="G476" i="40"/>
  <c r="F476" i="40"/>
  <c r="H475" i="40"/>
  <c r="E475" i="40"/>
  <c r="D475" i="40"/>
  <c r="C475" i="40"/>
  <c r="B475" i="40" s="1"/>
  <c r="H474" i="40"/>
  <c r="E474" i="40"/>
  <c r="E476" i="40" s="1"/>
  <c r="D474" i="40"/>
  <c r="C474" i="40"/>
  <c r="C476" i="40" s="1"/>
  <c r="J473" i="40"/>
  <c r="I473" i="40"/>
  <c r="G473" i="40"/>
  <c r="F473" i="40"/>
  <c r="H472" i="40"/>
  <c r="E472" i="40"/>
  <c r="D472" i="40"/>
  <c r="C472" i="40"/>
  <c r="B472" i="40" s="1"/>
  <c r="H471" i="40"/>
  <c r="H473" i="40" s="1"/>
  <c r="E471" i="40"/>
  <c r="E473" i="40" s="1"/>
  <c r="D471" i="40"/>
  <c r="D473" i="40" s="1"/>
  <c r="C471" i="40"/>
  <c r="C473" i="40" s="1"/>
  <c r="I470" i="40"/>
  <c r="G470" i="40"/>
  <c r="F470" i="40"/>
  <c r="H469" i="40"/>
  <c r="E469" i="40"/>
  <c r="D469" i="40"/>
  <c r="C469" i="40"/>
  <c r="B469" i="40" s="1"/>
  <c r="J468" i="40"/>
  <c r="J470" i="40" s="1"/>
  <c r="E468" i="40"/>
  <c r="E470" i="40" s="1"/>
  <c r="C468" i="40"/>
  <c r="C470" i="40" s="1"/>
  <c r="J467" i="40"/>
  <c r="I467" i="40"/>
  <c r="G467" i="40"/>
  <c r="F467" i="40"/>
  <c r="H466" i="40"/>
  <c r="E466" i="40"/>
  <c r="D466" i="40"/>
  <c r="C466" i="40"/>
  <c r="B466" i="40" s="1"/>
  <c r="H465" i="40"/>
  <c r="E465" i="40"/>
  <c r="E467" i="40" s="1"/>
  <c r="D465" i="40"/>
  <c r="C465" i="40"/>
  <c r="C467" i="40" s="1"/>
  <c r="J464" i="40"/>
  <c r="I464" i="40"/>
  <c r="G464" i="40"/>
  <c r="F464" i="40"/>
  <c r="H463" i="40"/>
  <c r="E463" i="40"/>
  <c r="D463" i="40"/>
  <c r="C463" i="40"/>
  <c r="B463" i="40" s="1"/>
  <c r="H462" i="40"/>
  <c r="H464" i="40" s="1"/>
  <c r="E462" i="40"/>
  <c r="E464" i="40" s="1"/>
  <c r="D462" i="40"/>
  <c r="D464" i="40" s="1"/>
  <c r="C462" i="40"/>
  <c r="C464" i="40" s="1"/>
  <c r="I461" i="40"/>
  <c r="G461" i="40"/>
  <c r="F461" i="40"/>
  <c r="H460" i="40"/>
  <c r="E460" i="40"/>
  <c r="D460" i="40"/>
  <c r="C460" i="40"/>
  <c r="J459" i="40"/>
  <c r="J461" i="40" s="1"/>
  <c r="E459" i="40"/>
  <c r="D459" i="40"/>
  <c r="D461" i="40" s="1"/>
  <c r="C459" i="40"/>
  <c r="B459" i="40"/>
  <c r="I458" i="40"/>
  <c r="G458" i="40"/>
  <c r="G509" i="40" s="1"/>
  <c r="F458" i="40"/>
  <c r="H457" i="40"/>
  <c r="H508" i="40" s="1"/>
  <c r="E457" i="40"/>
  <c r="D457" i="40"/>
  <c r="D508" i="40" s="1"/>
  <c r="C457" i="40"/>
  <c r="J456" i="40"/>
  <c r="J507" i="40" s="1"/>
  <c r="E456" i="40"/>
  <c r="E507" i="40" s="1"/>
  <c r="C456" i="40"/>
  <c r="C507" i="40" s="1"/>
  <c r="J452" i="40"/>
  <c r="I452" i="40"/>
  <c r="G452" i="40"/>
  <c r="F452" i="40"/>
  <c r="G451" i="40"/>
  <c r="F451" i="40"/>
  <c r="J450" i="40"/>
  <c r="I450" i="40"/>
  <c r="G450" i="40"/>
  <c r="F450" i="40"/>
  <c r="H449" i="40"/>
  <c r="E449" i="40"/>
  <c r="D449" i="40"/>
  <c r="C449" i="40"/>
  <c r="H448" i="40"/>
  <c r="H450" i="40" s="1"/>
  <c r="E448" i="40"/>
  <c r="E450" i="40" s="1"/>
  <c r="D448" i="40"/>
  <c r="D450" i="40" s="1"/>
  <c r="C448" i="40"/>
  <c r="C450" i="40" s="1"/>
  <c r="J447" i="40"/>
  <c r="I447" i="40"/>
  <c r="G447" i="40"/>
  <c r="F447" i="40"/>
  <c r="H446" i="40"/>
  <c r="E446" i="40"/>
  <c r="D446" i="40"/>
  <c r="C446" i="40"/>
  <c r="H445" i="40"/>
  <c r="H447" i="40" s="1"/>
  <c r="E445" i="40"/>
  <c r="D445" i="40"/>
  <c r="D447" i="40" s="1"/>
  <c r="C445" i="40"/>
  <c r="B445" i="40"/>
  <c r="I444" i="40"/>
  <c r="G444" i="40"/>
  <c r="F444" i="40"/>
  <c r="H443" i="40"/>
  <c r="E443" i="40"/>
  <c r="D443" i="40"/>
  <c r="C443" i="40"/>
  <c r="J442" i="40"/>
  <c r="J444" i="40" s="1"/>
  <c r="E442" i="40"/>
  <c r="E444" i="40" s="1"/>
  <c r="C442" i="40"/>
  <c r="C444" i="40" s="1"/>
  <c r="J441" i="40"/>
  <c r="G441" i="40"/>
  <c r="F441" i="40"/>
  <c r="H440" i="40"/>
  <c r="E440" i="40"/>
  <c r="D440" i="40"/>
  <c r="C440" i="40"/>
  <c r="I439" i="40"/>
  <c r="I441" i="40" s="1"/>
  <c r="E439" i="40"/>
  <c r="E441" i="40" s="1"/>
  <c r="D439" i="40"/>
  <c r="D441" i="40" s="1"/>
  <c r="J438" i="40"/>
  <c r="G438" i="40"/>
  <c r="F438" i="40"/>
  <c r="H437" i="40"/>
  <c r="E437" i="40"/>
  <c r="D437" i="40"/>
  <c r="C437" i="40"/>
  <c r="B437" i="40" s="1"/>
  <c r="I436" i="40"/>
  <c r="I438" i="40" s="1"/>
  <c r="E436" i="40"/>
  <c r="E438" i="40" s="1"/>
  <c r="D436" i="40"/>
  <c r="D438" i="40" s="1"/>
  <c r="C436" i="40"/>
  <c r="C438" i="40" s="1"/>
  <c r="J435" i="40"/>
  <c r="G435" i="40"/>
  <c r="F435" i="40"/>
  <c r="H434" i="40"/>
  <c r="E434" i="40"/>
  <c r="D434" i="40"/>
  <c r="C434" i="40"/>
  <c r="I433" i="40"/>
  <c r="I435" i="40" s="1"/>
  <c r="E433" i="40"/>
  <c r="E435" i="40" s="1"/>
  <c r="D433" i="40"/>
  <c r="D435" i="40" s="1"/>
  <c r="J432" i="40"/>
  <c r="G432" i="40"/>
  <c r="F432" i="40"/>
  <c r="H431" i="40"/>
  <c r="E431" i="40"/>
  <c r="D431" i="40"/>
  <c r="C431" i="40"/>
  <c r="B431" i="40" s="1"/>
  <c r="I430" i="40"/>
  <c r="I432" i="40" s="1"/>
  <c r="E430" i="40"/>
  <c r="E432" i="40" s="1"/>
  <c r="D430" i="40"/>
  <c r="D432" i="40" s="1"/>
  <c r="C430" i="40"/>
  <c r="C432" i="40" s="1"/>
  <c r="J429" i="40"/>
  <c r="G429" i="40"/>
  <c r="F429" i="40"/>
  <c r="H428" i="40"/>
  <c r="E428" i="40"/>
  <c r="D428" i="40"/>
  <c r="C428" i="40"/>
  <c r="I427" i="40"/>
  <c r="I429" i="40" s="1"/>
  <c r="E427" i="40"/>
  <c r="E429" i="40" s="1"/>
  <c r="D427" i="40"/>
  <c r="D429" i="40" s="1"/>
  <c r="J426" i="40"/>
  <c r="G426" i="40"/>
  <c r="F426" i="40"/>
  <c r="H425" i="40"/>
  <c r="E425" i="40"/>
  <c r="D425" i="40"/>
  <c r="C425" i="40"/>
  <c r="B425" i="40" s="1"/>
  <c r="I424" i="40"/>
  <c r="I426" i="40" s="1"/>
  <c r="E424" i="40"/>
  <c r="E426" i="40" s="1"/>
  <c r="D424" i="40"/>
  <c r="D426" i="40" s="1"/>
  <c r="C424" i="40"/>
  <c r="C426" i="40" s="1"/>
  <c r="G423" i="40"/>
  <c r="F423" i="40"/>
  <c r="H422" i="40"/>
  <c r="E422" i="40"/>
  <c r="D422" i="40"/>
  <c r="C422" i="40"/>
  <c r="B422" i="40" s="1"/>
  <c r="J421" i="40"/>
  <c r="J423" i="40" s="1"/>
  <c r="I421" i="40"/>
  <c r="E421" i="40"/>
  <c r="E423" i="40" s="1"/>
  <c r="I420" i="40"/>
  <c r="G420" i="40"/>
  <c r="F420" i="40"/>
  <c r="H419" i="40"/>
  <c r="E419" i="40"/>
  <c r="D419" i="40"/>
  <c r="C419" i="40"/>
  <c r="B419" i="40" s="1"/>
  <c r="J418" i="40"/>
  <c r="H418" i="40" s="1"/>
  <c r="H420" i="40" s="1"/>
  <c r="E418" i="40"/>
  <c r="E420" i="40" s="1"/>
  <c r="C418" i="40"/>
  <c r="I417" i="40"/>
  <c r="G417" i="40"/>
  <c r="F417" i="40"/>
  <c r="H416" i="40"/>
  <c r="E416" i="40"/>
  <c r="D416" i="40"/>
  <c r="C416" i="40"/>
  <c r="B416" i="40" s="1"/>
  <c r="J415" i="40"/>
  <c r="H415" i="40" s="1"/>
  <c r="H417" i="40" s="1"/>
  <c r="E415" i="40"/>
  <c r="E417" i="40" s="1"/>
  <c r="C415" i="40"/>
  <c r="J414" i="40"/>
  <c r="I414" i="40"/>
  <c r="G414" i="40"/>
  <c r="F414" i="40"/>
  <c r="H413" i="40"/>
  <c r="E413" i="40"/>
  <c r="D413" i="40"/>
  <c r="C413" i="40"/>
  <c r="H412" i="40"/>
  <c r="H414" i="40" s="1"/>
  <c r="E412" i="40"/>
  <c r="E414" i="40" s="1"/>
  <c r="D412" i="40"/>
  <c r="D414" i="40" s="1"/>
  <c r="C412" i="40"/>
  <c r="C414" i="40" s="1"/>
  <c r="B412" i="40"/>
  <c r="I411" i="40"/>
  <c r="G411" i="40"/>
  <c r="F411" i="40"/>
  <c r="H410" i="40"/>
  <c r="E410" i="40"/>
  <c r="D410" i="40"/>
  <c r="C410" i="40"/>
  <c r="B410" i="40"/>
  <c r="J409" i="40"/>
  <c r="J411" i="40" s="1"/>
  <c r="H409" i="40"/>
  <c r="H411" i="40" s="1"/>
  <c r="E409" i="40"/>
  <c r="E411" i="40" s="1"/>
  <c r="D409" i="40"/>
  <c r="D411" i="40" s="1"/>
  <c r="C409" i="40"/>
  <c r="C411" i="40" s="1"/>
  <c r="B409" i="40"/>
  <c r="B411" i="40" s="1"/>
  <c r="J408" i="40"/>
  <c r="G408" i="40"/>
  <c r="F408" i="40"/>
  <c r="H407" i="40"/>
  <c r="E407" i="40"/>
  <c r="D407" i="40"/>
  <c r="C407" i="40"/>
  <c r="B407" i="40"/>
  <c r="I406" i="40"/>
  <c r="H406" i="40"/>
  <c r="H408" i="40" s="1"/>
  <c r="E406" i="40"/>
  <c r="E408" i="40" s="1"/>
  <c r="D406" i="40"/>
  <c r="D408" i="40" s="1"/>
  <c r="C406" i="40"/>
  <c r="C408" i="40" s="1"/>
  <c r="B406" i="40"/>
  <c r="B408" i="40" s="1"/>
  <c r="I405" i="40"/>
  <c r="G405" i="40"/>
  <c r="F405" i="40"/>
  <c r="H404" i="40"/>
  <c r="E404" i="40"/>
  <c r="D404" i="40"/>
  <c r="C404" i="40"/>
  <c r="B404" i="40"/>
  <c r="J403" i="40"/>
  <c r="J405" i="40" s="1"/>
  <c r="H403" i="40"/>
  <c r="H405" i="40" s="1"/>
  <c r="E403" i="40"/>
  <c r="E405" i="40" s="1"/>
  <c r="D403" i="40"/>
  <c r="D405" i="40" s="1"/>
  <c r="C403" i="40"/>
  <c r="C405" i="40" s="1"/>
  <c r="B403" i="40"/>
  <c r="B405" i="40" s="1"/>
  <c r="I402" i="40"/>
  <c r="G402" i="40"/>
  <c r="F402" i="40"/>
  <c r="H401" i="40"/>
  <c r="E401" i="40"/>
  <c r="D401" i="40"/>
  <c r="C401" i="40"/>
  <c r="B401" i="40"/>
  <c r="J400" i="40"/>
  <c r="J402" i="40" s="1"/>
  <c r="H400" i="40"/>
  <c r="H402" i="40" s="1"/>
  <c r="E400" i="40"/>
  <c r="E402" i="40" s="1"/>
  <c r="D400" i="40"/>
  <c r="D402" i="40" s="1"/>
  <c r="C400" i="40"/>
  <c r="C402" i="40" s="1"/>
  <c r="B400" i="40"/>
  <c r="B402" i="40" s="1"/>
  <c r="I399" i="40"/>
  <c r="G399" i="40"/>
  <c r="G453" i="40" s="1"/>
  <c r="F399" i="40"/>
  <c r="H398" i="40"/>
  <c r="H452" i="40" s="1"/>
  <c r="E398" i="40"/>
  <c r="D398" i="40"/>
  <c r="D452" i="40" s="1"/>
  <c r="C398" i="40"/>
  <c r="B398" i="40"/>
  <c r="J397" i="40"/>
  <c r="J399" i="40" s="1"/>
  <c r="H397" i="40"/>
  <c r="H399" i="40" s="1"/>
  <c r="E397" i="40"/>
  <c r="D397" i="40"/>
  <c r="D399" i="40" s="1"/>
  <c r="C397" i="40"/>
  <c r="B397" i="40"/>
  <c r="B399" i="40" s="1"/>
  <c r="J393" i="40"/>
  <c r="G393" i="40"/>
  <c r="F393" i="40"/>
  <c r="G392" i="40"/>
  <c r="F392" i="40"/>
  <c r="J391" i="40"/>
  <c r="I391" i="40"/>
  <c r="G391" i="40"/>
  <c r="F391" i="40"/>
  <c r="H390" i="40"/>
  <c r="E390" i="40"/>
  <c r="D390" i="40"/>
  <c r="C390" i="40"/>
  <c r="H389" i="40"/>
  <c r="H391" i="40" s="1"/>
  <c r="E389" i="40"/>
  <c r="E391" i="40" s="1"/>
  <c r="D389" i="40"/>
  <c r="D391" i="40" s="1"/>
  <c r="C389" i="40"/>
  <c r="C391" i="40" s="1"/>
  <c r="B389" i="40"/>
  <c r="J388" i="40"/>
  <c r="G388" i="40"/>
  <c r="F388" i="40"/>
  <c r="I387" i="40"/>
  <c r="H387" i="40" s="1"/>
  <c r="E387" i="40"/>
  <c r="D387" i="40"/>
  <c r="I386" i="40"/>
  <c r="H386" i="40" s="1"/>
  <c r="E386" i="40"/>
  <c r="E388" i="40" s="1"/>
  <c r="D386" i="40"/>
  <c r="D388" i="40" s="1"/>
  <c r="J385" i="40"/>
  <c r="G385" i="40"/>
  <c r="F385" i="40"/>
  <c r="I384" i="40"/>
  <c r="H384" i="40"/>
  <c r="E384" i="40"/>
  <c r="D384" i="40"/>
  <c r="C384" i="40"/>
  <c r="B384" i="40"/>
  <c r="I383" i="40"/>
  <c r="I385" i="40" s="1"/>
  <c r="H383" i="40"/>
  <c r="H385" i="40" s="1"/>
  <c r="E383" i="40"/>
  <c r="E385" i="40" s="1"/>
  <c r="D383" i="40"/>
  <c r="D385" i="40" s="1"/>
  <c r="C383" i="40"/>
  <c r="C385" i="40" s="1"/>
  <c r="B383" i="40"/>
  <c r="B385" i="40" s="1"/>
  <c r="J382" i="40"/>
  <c r="G382" i="40"/>
  <c r="F382" i="40"/>
  <c r="H381" i="40"/>
  <c r="E381" i="40"/>
  <c r="D381" i="40"/>
  <c r="C381" i="40"/>
  <c r="B381" i="40"/>
  <c r="I380" i="40"/>
  <c r="I382" i="40" s="1"/>
  <c r="H380" i="40"/>
  <c r="H382" i="40" s="1"/>
  <c r="E380" i="40"/>
  <c r="E382" i="40" s="1"/>
  <c r="D380" i="40"/>
  <c r="D382" i="40" s="1"/>
  <c r="C380" i="40"/>
  <c r="C382" i="40" s="1"/>
  <c r="B380" i="40"/>
  <c r="B382" i="40" s="1"/>
  <c r="J379" i="40"/>
  <c r="G379" i="40"/>
  <c r="F379" i="40"/>
  <c r="I378" i="40"/>
  <c r="H378" i="40" s="1"/>
  <c r="E378" i="40"/>
  <c r="D378" i="40"/>
  <c r="I377" i="40"/>
  <c r="E377" i="40"/>
  <c r="E379" i="40" s="1"/>
  <c r="D377" i="40"/>
  <c r="D379" i="40" s="1"/>
  <c r="J376" i="40"/>
  <c r="G376" i="40"/>
  <c r="F376" i="40"/>
  <c r="I375" i="40"/>
  <c r="H375" i="40"/>
  <c r="E375" i="40"/>
  <c r="D375" i="40"/>
  <c r="C375" i="40"/>
  <c r="B375" i="40"/>
  <c r="I374" i="40"/>
  <c r="I376" i="40" s="1"/>
  <c r="H374" i="40"/>
  <c r="H376" i="40" s="1"/>
  <c r="E374" i="40"/>
  <c r="E376" i="40" s="1"/>
  <c r="D374" i="40"/>
  <c r="D376" i="40" s="1"/>
  <c r="C374" i="40"/>
  <c r="C376" i="40" s="1"/>
  <c r="B374" i="40"/>
  <c r="B376" i="40" s="1"/>
  <c r="J373" i="40"/>
  <c r="G373" i="40"/>
  <c r="F373" i="40"/>
  <c r="H372" i="40"/>
  <c r="E372" i="40"/>
  <c r="D372" i="40"/>
  <c r="C372" i="40"/>
  <c r="B372" i="40"/>
  <c r="I371" i="40"/>
  <c r="I373" i="40" s="1"/>
  <c r="H371" i="40"/>
  <c r="H373" i="40" s="1"/>
  <c r="E371" i="40"/>
  <c r="E373" i="40" s="1"/>
  <c r="D371" i="40"/>
  <c r="D373" i="40" s="1"/>
  <c r="C371" i="40"/>
  <c r="C373" i="40" s="1"/>
  <c r="B371" i="40"/>
  <c r="B373" i="40" s="1"/>
  <c r="J370" i="40"/>
  <c r="I370" i="40"/>
  <c r="G370" i="40"/>
  <c r="F370" i="40"/>
  <c r="H369" i="40"/>
  <c r="E369" i="40"/>
  <c r="D369" i="40"/>
  <c r="C369" i="40"/>
  <c r="B369" i="40" s="1"/>
  <c r="H368" i="40"/>
  <c r="H370" i="40" s="1"/>
  <c r="E368" i="40"/>
  <c r="D368" i="40"/>
  <c r="D370" i="40" s="1"/>
  <c r="C368" i="40"/>
  <c r="J367" i="40"/>
  <c r="I367" i="40"/>
  <c r="G367" i="40"/>
  <c r="F367" i="40"/>
  <c r="H366" i="40"/>
  <c r="E366" i="40"/>
  <c r="D366" i="40"/>
  <c r="C366" i="40"/>
  <c r="H365" i="40"/>
  <c r="H367" i="40" s="1"/>
  <c r="E365" i="40"/>
  <c r="E367" i="40" s="1"/>
  <c r="D365" i="40"/>
  <c r="D367" i="40" s="1"/>
  <c r="C365" i="40"/>
  <c r="C367" i="40" s="1"/>
  <c r="J364" i="40"/>
  <c r="I364" i="40"/>
  <c r="G364" i="40"/>
  <c r="F364" i="40"/>
  <c r="H363" i="40"/>
  <c r="E363" i="40"/>
  <c r="D363" i="40"/>
  <c r="C363" i="40"/>
  <c r="B363" i="40" s="1"/>
  <c r="H362" i="40"/>
  <c r="H364" i="40" s="1"/>
  <c r="E362" i="40"/>
  <c r="D362" i="40"/>
  <c r="D364" i="40" s="1"/>
  <c r="C362" i="40"/>
  <c r="J361" i="40"/>
  <c r="G361" i="40"/>
  <c r="F361" i="40"/>
  <c r="I360" i="40"/>
  <c r="H360" i="40"/>
  <c r="E360" i="40"/>
  <c r="D360" i="40"/>
  <c r="C360" i="40"/>
  <c r="B360" i="40"/>
  <c r="I359" i="40"/>
  <c r="I361" i="40" s="1"/>
  <c r="H359" i="40"/>
  <c r="H361" i="40" s="1"/>
  <c r="E359" i="40"/>
  <c r="E361" i="40" s="1"/>
  <c r="D359" i="40"/>
  <c r="D361" i="40" s="1"/>
  <c r="C359" i="40"/>
  <c r="C361" i="40" s="1"/>
  <c r="B359" i="40"/>
  <c r="B361" i="40" s="1"/>
  <c r="J358" i="40"/>
  <c r="I358" i="40"/>
  <c r="G358" i="40"/>
  <c r="F358" i="40"/>
  <c r="H357" i="40"/>
  <c r="E357" i="40"/>
  <c r="D357" i="40"/>
  <c r="C357" i="40"/>
  <c r="B357" i="40" s="1"/>
  <c r="H356" i="40"/>
  <c r="H358" i="40" s="1"/>
  <c r="E356" i="40"/>
  <c r="D356" i="40"/>
  <c r="D358" i="40" s="1"/>
  <c r="C356" i="40"/>
  <c r="J355" i="40"/>
  <c r="G355" i="40"/>
  <c r="F355" i="40"/>
  <c r="H354" i="40"/>
  <c r="E354" i="40"/>
  <c r="D354" i="40"/>
  <c r="C354" i="40"/>
  <c r="B354" i="40" s="1"/>
  <c r="I353" i="40"/>
  <c r="I355" i="40" s="1"/>
  <c r="E353" i="40"/>
  <c r="E355" i="40" s="1"/>
  <c r="D353" i="40"/>
  <c r="D355" i="40" s="1"/>
  <c r="C353" i="40"/>
  <c r="C355" i="40" s="1"/>
  <c r="J352" i="40"/>
  <c r="I352" i="40"/>
  <c r="G352" i="40"/>
  <c r="F352" i="40"/>
  <c r="H351" i="40"/>
  <c r="E351" i="40"/>
  <c r="D351" i="40"/>
  <c r="C351" i="40"/>
  <c r="B351" i="40" s="1"/>
  <c r="H350" i="40"/>
  <c r="H352" i="40" s="1"/>
  <c r="E350" i="40"/>
  <c r="E352" i="40" s="1"/>
  <c r="D350" i="40"/>
  <c r="D352" i="40" s="1"/>
  <c r="C350" i="40"/>
  <c r="J349" i="40"/>
  <c r="I349" i="40"/>
  <c r="G349" i="40"/>
  <c r="F349" i="40"/>
  <c r="H348" i="40"/>
  <c r="E348" i="40"/>
  <c r="D348" i="40"/>
  <c r="C348" i="40"/>
  <c r="B348" i="40" s="1"/>
  <c r="H347" i="40"/>
  <c r="E347" i="40"/>
  <c r="E349" i="40" s="1"/>
  <c r="D347" i="40"/>
  <c r="C347" i="40"/>
  <c r="B347" i="40" s="1"/>
  <c r="J346" i="40"/>
  <c r="I346" i="40"/>
  <c r="G346" i="40"/>
  <c r="F346" i="40"/>
  <c r="H345" i="40"/>
  <c r="E345" i="40"/>
  <c r="D345" i="40"/>
  <c r="C345" i="40"/>
  <c r="B345" i="40" s="1"/>
  <c r="H344" i="40"/>
  <c r="H346" i="40" s="1"/>
  <c r="E344" i="40"/>
  <c r="E346" i="40" s="1"/>
  <c r="D344" i="40"/>
  <c r="D346" i="40" s="1"/>
  <c r="C344" i="40"/>
  <c r="J343" i="40"/>
  <c r="I343" i="40"/>
  <c r="G343" i="40"/>
  <c r="F343" i="40"/>
  <c r="H342" i="40"/>
  <c r="E342" i="40"/>
  <c r="D342" i="40"/>
  <c r="C342" i="40"/>
  <c r="B342" i="40" s="1"/>
  <c r="H341" i="40"/>
  <c r="E341" i="40"/>
  <c r="E343" i="40" s="1"/>
  <c r="D341" i="40"/>
  <c r="C341" i="40"/>
  <c r="B341" i="40" s="1"/>
  <c r="J340" i="40"/>
  <c r="I340" i="40"/>
  <c r="G340" i="40"/>
  <c r="F340" i="40"/>
  <c r="H339" i="40"/>
  <c r="E339" i="40"/>
  <c r="D339" i="40"/>
  <c r="C339" i="40"/>
  <c r="B339" i="40" s="1"/>
  <c r="H338" i="40"/>
  <c r="H340" i="40" s="1"/>
  <c r="E338" i="40"/>
  <c r="E340" i="40" s="1"/>
  <c r="D338" i="40"/>
  <c r="D340" i="40" s="1"/>
  <c r="C338" i="40"/>
  <c r="I337" i="40"/>
  <c r="G337" i="40"/>
  <c r="F337" i="40"/>
  <c r="H336" i="40"/>
  <c r="E336" i="40"/>
  <c r="D336" i="40"/>
  <c r="C336" i="40"/>
  <c r="J335" i="40"/>
  <c r="J337" i="40" s="1"/>
  <c r="E335" i="40"/>
  <c r="E337" i="40" s="1"/>
  <c r="C335" i="40"/>
  <c r="C337" i="40" s="1"/>
  <c r="I334" i="40"/>
  <c r="G334" i="40"/>
  <c r="F334" i="40"/>
  <c r="H333" i="40"/>
  <c r="E333" i="40"/>
  <c r="D333" i="40"/>
  <c r="C333" i="40"/>
  <c r="B333" i="40" s="1"/>
  <c r="J332" i="40"/>
  <c r="J334" i="40" s="1"/>
  <c r="E332" i="40"/>
  <c r="E334" i="40" s="1"/>
  <c r="C332" i="40"/>
  <c r="C334" i="40" s="1"/>
  <c r="I331" i="40"/>
  <c r="G331" i="40"/>
  <c r="F331" i="40"/>
  <c r="H330" i="40"/>
  <c r="E330" i="40"/>
  <c r="D330" i="40"/>
  <c r="C330" i="40"/>
  <c r="B330" i="40" s="1"/>
  <c r="J329" i="40"/>
  <c r="J392" i="40" s="1"/>
  <c r="E329" i="40"/>
  <c r="E331" i="40" s="1"/>
  <c r="C329" i="40"/>
  <c r="C331" i="40" s="1"/>
  <c r="J328" i="40"/>
  <c r="I328" i="40"/>
  <c r="G328" i="40"/>
  <c r="G394" i="40" s="1"/>
  <c r="F328" i="40"/>
  <c r="H327" i="40"/>
  <c r="H393" i="40" s="1"/>
  <c r="E327" i="40"/>
  <c r="D327" i="40"/>
  <c r="D393" i="40" s="1"/>
  <c r="C327" i="40"/>
  <c r="B327" i="40"/>
  <c r="H326" i="40"/>
  <c r="E326" i="40"/>
  <c r="E392" i="40" s="1"/>
  <c r="D326" i="40"/>
  <c r="C326" i="40"/>
  <c r="B326" i="40" s="1"/>
  <c r="J322" i="40"/>
  <c r="G322" i="40"/>
  <c r="F322" i="40"/>
  <c r="J321" i="40"/>
  <c r="G321" i="40"/>
  <c r="F321" i="40"/>
  <c r="J320" i="40"/>
  <c r="I320" i="40"/>
  <c r="G320" i="40"/>
  <c r="F320" i="40"/>
  <c r="H319" i="40"/>
  <c r="E319" i="40"/>
  <c r="D319" i="40"/>
  <c r="C319" i="40"/>
  <c r="B319" i="40" s="1"/>
  <c r="H318" i="40"/>
  <c r="H320" i="40" s="1"/>
  <c r="E318" i="40"/>
  <c r="E320" i="40" s="1"/>
  <c r="D318" i="40"/>
  <c r="D320" i="40" s="1"/>
  <c r="C318" i="40"/>
  <c r="C320" i="40" s="1"/>
  <c r="J317" i="40"/>
  <c r="I317" i="40"/>
  <c r="G317" i="40"/>
  <c r="F317" i="40"/>
  <c r="H316" i="40"/>
  <c r="E316" i="40"/>
  <c r="D316" i="40"/>
  <c r="C316" i="40"/>
  <c r="B316" i="40" s="1"/>
  <c r="H315" i="40"/>
  <c r="E315" i="40"/>
  <c r="D315" i="40"/>
  <c r="C315" i="40"/>
  <c r="J314" i="40"/>
  <c r="I314" i="40"/>
  <c r="G314" i="40"/>
  <c r="F314" i="40"/>
  <c r="H313" i="40"/>
  <c r="E313" i="40"/>
  <c r="D313" i="40"/>
  <c r="C313" i="40"/>
  <c r="H312" i="40"/>
  <c r="H314" i="40" s="1"/>
  <c r="E312" i="40"/>
  <c r="E314" i="40" s="1"/>
  <c r="D312" i="40"/>
  <c r="D314" i="40" s="1"/>
  <c r="C312" i="40"/>
  <c r="C314" i="40" s="1"/>
  <c r="J311" i="40"/>
  <c r="I311" i="40"/>
  <c r="G311" i="40"/>
  <c r="F311" i="40"/>
  <c r="H310" i="40"/>
  <c r="E310" i="40"/>
  <c r="D310" i="40"/>
  <c r="C310" i="40"/>
  <c r="B310" i="40"/>
  <c r="H309" i="40"/>
  <c r="E309" i="40"/>
  <c r="E311" i="40" s="1"/>
  <c r="D309" i="40"/>
  <c r="C309" i="40"/>
  <c r="C311" i="40" s="1"/>
  <c r="J308" i="40"/>
  <c r="I308" i="40"/>
  <c r="G308" i="40"/>
  <c r="F308" i="40"/>
  <c r="H307" i="40"/>
  <c r="E307" i="40"/>
  <c r="D307" i="40"/>
  <c r="C307" i="40"/>
  <c r="B307" i="40" s="1"/>
  <c r="H306" i="40"/>
  <c r="H308" i="40" s="1"/>
  <c r="E306" i="40"/>
  <c r="E308" i="40" s="1"/>
  <c r="D306" i="40"/>
  <c r="D308" i="40" s="1"/>
  <c r="C306" i="40"/>
  <c r="C308" i="40" s="1"/>
  <c r="J305" i="40"/>
  <c r="I305" i="40"/>
  <c r="G305" i="40"/>
  <c r="F305" i="40"/>
  <c r="H304" i="40"/>
  <c r="E304" i="40"/>
  <c r="D304" i="40"/>
  <c r="C304" i="40"/>
  <c r="B304" i="40" s="1"/>
  <c r="H303" i="40"/>
  <c r="E303" i="40"/>
  <c r="E305" i="40" s="1"/>
  <c r="D303" i="40"/>
  <c r="C303" i="40"/>
  <c r="C305" i="40" s="1"/>
  <c r="J302" i="40"/>
  <c r="G302" i="40"/>
  <c r="F302" i="40"/>
  <c r="H301" i="40"/>
  <c r="E301" i="40"/>
  <c r="D301" i="40"/>
  <c r="C301" i="40"/>
  <c r="I300" i="40"/>
  <c r="I302" i="40" s="1"/>
  <c r="E300" i="40"/>
  <c r="E302" i="40" s="1"/>
  <c r="D300" i="40"/>
  <c r="C300" i="40"/>
  <c r="C302" i="40" s="1"/>
  <c r="J299" i="40"/>
  <c r="I299" i="40"/>
  <c r="G299" i="40"/>
  <c r="F299" i="40"/>
  <c r="H298" i="40"/>
  <c r="E298" i="40"/>
  <c r="D298" i="40"/>
  <c r="C298" i="40"/>
  <c r="B298" i="40" s="1"/>
  <c r="H297" i="40"/>
  <c r="E297" i="40"/>
  <c r="E299" i="40" s="1"/>
  <c r="D297" i="40"/>
  <c r="C297" i="40"/>
  <c r="J296" i="40"/>
  <c r="I296" i="40"/>
  <c r="G296" i="40"/>
  <c r="F296" i="40"/>
  <c r="H295" i="40"/>
  <c r="E295" i="40"/>
  <c r="D295" i="40"/>
  <c r="C295" i="40"/>
  <c r="B295" i="40" s="1"/>
  <c r="H294" i="40"/>
  <c r="H296" i="40" s="1"/>
  <c r="E294" i="40"/>
  <c r="E296" i="40" s="1"/>
  <c r="D294" i="40"/>
  <c r="D296" i="40" s="1"/>
  <c r="C294" i="40"/>
  <c r="C296" i="40" s="1"/>
  <c r="J293" i="40"/>
  <c r="I293" i="40"/>
  <c r="G293" i="40"/>
  <c r="F293" i="40"/>
  <c r="H292" i="40"/>
  <c r="E292" i="40"/>
  <c r="D292" i="40"/>
  <c r="C292" i="40"/>
  <c r="B292" i="40"/>
  <c r="H291" i="40"/>
  <c r="E291" i="40"/>
  <c r="E293" i="40" s="1"/>
  <c r="D291" i="40"/>
  <c r="C291" i="40"/>
  <c r="B291" i="40" s="1"/>
  <c r="B293" i="40" s="1"/>
  <c r="J290" i="40"/>
  <c r="G290" i="40"/>
  <c r="F290" i="40"/>
  <c r="H289" i="40"/>
  <c r="E289" i="40"/>
  <c r="D289" i="40"/>
  <c r="C289" i="40"/>
  <c r="I288" i="40"/>
  <c r="I290" i="40" s="1"/>
  <c r="E288" i="40"/>
  <c r="E290" i="40" s="1"/>
  <c r="D288" i="40"/>
  <c r="D290" i="40" s="1"/>
  <c r="J287" i="40"/>
  <c r="G287" i="40"/>
  <c r="F287" i="40"/>
  <c r="I286" i="40"/>
  <c r="I322" i="40" s="1"/>
  <c r="E286" i="40"/>
  <c r="D286" i="40"/>
  <c r="C286" i="40"/>
  <c r="B286" i="40" s="1"/>
  <c r="I285" i="40"/>
  <c r="I287" i="40" s="1"/>
  <c r="E285" i="40"/>
  <c r="E287" i="40" s="1"/>
  <c r="D285" i="40"/>
  <c r="D287" i="40" s="1"/>
  <c r="C285" i="40"/>
  <c r="C287" i="40" s="1"/>
  <c r="J284" i="40"/>
  <c r="G284" i="40"/>
  <c r="F284" i="40"/>
  <c r="H283" i="40"/>
  <c r="E283" i="40"/>
  <c r="D283" i="40"/>
  <c r="C283" i="40"/>
  <c r="B283" i="40"/>
  <c r="I282" i="40"/>
  <c r="I284" i="40" s="1"/>
  <c r="H282" i="40"/>
  <c r="H284" i="40" s="1"/>
  <c r="E282" i="40"/>
  <c r="E284" i="40" s="1"/>
  <c r="D282" i="40"/>
  <c r="D284" i="40" s="1"/>
  <c r="C282" i="40"/>
  <c r="C284" i="40" s="1"/>
  <c r="B282" i="40"/>
  <c r="B284" i="40" s="1"/>
  <c r="J281" i="40"/>
  <c r="G281" i="40"/>
  <c r="F281" i="40"/>
  <c r="H280" i="40"/>
  <c r="E280" i="40"/>
  <c r="D280" i="40"/>
  <c r="C280" i="40"/>
  <c r="I279" i="40"/>
  <c r="I281" i="40" s="1"/>
  <c r="E279" i="40"/>
  <c r="E281" i="40" s="1"/>
  <c r="D279" i="40"/>
  <c r="D281" i="40" s="1"/>
  <c r="J278" i="40"/>
  <c r="G278" i="40"/>
  <c r="F278" i="40"/>
  <c r="H277" i="40"/>
  <c r="E277" i="40"/>
  <c r="D277" i="40"/>
  <c r="C277" i="40"/>
  <c r="B277" i="40"/>
  <c r="I276" i="40"/>
  <c r="I278" i="40" s="1"/>
  <c r="H276" i="40"/>
  <c r="H278" i="40" s="1"/>
  <c r="E276" i="40"/>
  <c r="E278" i="40" s="1"/>
  <c r="D276" i="40"/>
  <c r="D278" i="40" s="1"/>
  <c r="C276" i="40"/>
  <c r="C278" i="40" s="1"/>
  <c r="B276" i="40"/>
  <c r="B278" i="40" s="1"/>
  <c r="J275" i="40"/>
  <c r="G275" i="40"/>
  <c r="F275" i="40"/>
  <c r="H274" i="40"/>
  <c r="E274" i="40"/>
  <c r="D274" i="40"/>
  <c r="C274" i="40"/>
  <c r="I273" i="40"/>
  <c r="I275" i="40" s="1"/>
  <c r="E273" i="40"/>
  <c r="E275" i="40" s="1"/>
  <c r="D273" i="40"/>
  <c r="D275" i="40" s="1"/>
  <c r="J272" i="40"/>
  <c r="G272" i="40"/>
  <c r="F272" i="40"/>
  <c r="H271" i="40"/>
  <c r="E271" i="40"/>
  <c r="D271" i="40"/>
  <c r="C271" i="40"/>
  <c r="B271" i="40"/>
  <c r="I270" i="40"/>
  <c r="I272" i="40" s="1"/>
  <c r="H270" i="40"/>
  <c r="H272" i="40" s="1"/>
  <c r="E270" i="40"/>
  <c r="E272" i="40" s="1"/>
  <c r="D270" i="40"/>
  <c r="D272" i="40" s="1"/>
  <c r="C270" i="40"/>
  <c r="C272" i="40" s="1"/>
  <c r="B270" i="40"/>
  <c r="B272" i="40" s="1"/>
  <c r="J269" i="40"/>
  <c r="G269" i="40"/>
  <c r="F269" i="40"/>
  <c r="H268" i="40"/>
  <c r="E268" i="40"/>
  <c r="D268" i="40"/>
  <c r="C268" i="40"/>
  <c r="I267" i="40"/>
  <c r="I269" i="40" s="1"/>
  <c r="E267" i="40"/>
  <c r="E269" i="40" s="1"/>
  <c r="D267" i="40"/>
  <c r="D269" i="40" s="1"/>
  <c r="J266" i="40"/>
  <c r="G266" i="40"/>
  <c r="F266" i="40"/>
  <c r="H265" i="40"/>
  <c r="E265" i="40"/>
  <c r="D265" i="40"/>
  <c r="C265" i="40"/>
  <c r="B265" i="40"/>
  <c r="I264" i="40"/>
  <c r="I266" i="40" s="1"/>
  <c r="H264" i="40"/>
  <c r="H266" i="40" s="1"/>
  <c r="E264" i="40"/>
  <c r="E266" i="40" s="1"/>
  <c r="D264" i="40"/>
  <c r="D266" i="40" s="1"/>
  <c r="C264" i="40"/>
  <c r="C266" i="40" s="1"/>
  <c r="B264" i="40"/>
  <c r="B266" i="40" s="1"/>
  <c r="J263" i="40"/>
  <c r="I263" i="40"/>
  <c r="G263" i="40"/>
  <c r="F263" i="40"/>
  <c r="H262" i="40"/>
  <c r="E262" i="40"/>
  <c r="D262" i="40"/>
  <c r="C262" i="40"/>
  <c r="B262" i="40" s="1"/>
  <c r="H261" i="40"/>
  <c r="H263" i="40" s="1"/>
  <c r="E261" i="40"/>
  <c r="D261" i="40"/>
  <c r="D263" i="40" s="1"/>
  <c r="C261" i="40"/>
  <c r="J260" i="40"/>
  <c r="G260" i="40"/>
  <c r="F260" i="40"/>
  <c r="H259" i="40"/>
  <c r="E259" i="40"/>
  <c r="D259" i="40"/>
  <c r="C259" i="40"/>
  <c r="I258" i="40"/>
  <c r="I321" i="40" s="1"/>
  <c r="E258" i="40"/>
  <c r="E260" i="40" s="1"/>
  <c r="D258" i="40"/>
  <c r="D260" i="40" s="1"/>
  <c r="J257" i="40"/>
  <c r="I257" i="40"/>
  <c r="G257" i="40"/>
  <c r="F257" i="40"/>
  <c r="H256" i="40"/>
  <c r="E256" i="40"/>
  <c r="D256" i="40"/>
  <c r="C256" i="40"/>
  <c r="H255" i="40"/>
  <c r="H257" i="40" s="1"/>
  <c r="E255" i="40"/>
  <c r="E257" i="40" s="1"/>
  <c r="D255" i="40"/>
  <c r="D257" i="40" s="1"/>
  <c r="C255" i="40"/>
  <c r="C257" i="40" s="1"/>
  <c r="J254" i="40"/>
  <c r="I254" i="40"/>
  <c r="G254" i="40"/>
  <c r="F254" i="40"/>
  <c r="H253" i="40"/>
  <c r="E253" i="40"/>
  <c r="D253" i="40"/>
  <c r="C253" i="40"/>
  <c r="H252" i="40"/>
  <c r="E252" i="40"/>
  <c r="D252" i="40"/>
  <c r="D321" i="40" s="1"/>
  <c r="C252" i="40"/>
  <c r="J248" i="40"/>
  <c r="I248" i="40"/>
  <c r="G248" i="40"/>
  <c r="F248" i="40"/>
  <c r="J247" i="40"/>
  <c r="I247" i="40"/>
  <c r="G247" i="40"/>
  <c r="F247" i="40"/>
  <c r="J246" i="40"/>
  <c r="I246" i="40"/>
  <c r="G246" i="40"/>
  <c r="F246" i="40"/>
  <c r="H245" i="40"/>
  <c r="E245" i="40"/>
  <c r="D245" i="40"/>
  <c r="C245" i="40"/>
  <c r="B245" i="40"/>
  <c r="H244" i="40"/>
  <c r="E244" i="40"/>
  <c r="E246" i="40" s="1"/>
  <c r="D244" i="40"/>
  <c r="C244" i="40"/>
  <c r="C246" i="40" s="1"/>
  <c r="J243" i="40"/>
  <c r="I243" i="40"/>
  <c r="G243" i="40"/>
  <c r="F243" i="40"/>
  <c r="H242" i="40"/>
  <c r="E242" i="40"/>
  <c r="D242" i="40"/>
  <c r="C242" i="40"/>
  <c r="B242" i="40" s="1"/>
  <c r="H241" i="40"/>
  <c r="H243" i="40" s="1"/>
  <c r="E241" i="40"/>
  <c r="E243" i="40" s="1"/>
  <c r="D241" i="40"/>
  <c r="D243" i="40" s="1"/>
  <c r="C241" i="40"/>
  <c r="C243" i="40" s="1"/>
  <c r="J240" i="40"/>
  <c r="I240" i="40"/>
  <c r="G240" i="40"/>
  <c r="F240" i="40"/>
  <c r="H239" i="40"/>
  <c r="E239" i="40"/>
  <c r="D239" i="40"/>
  <c r="C239" i="40"/>
  <c r="B239" i="40" s="1"/>
  <c r="H238" i="40"/>
  <c r="E238" i="40"/>
  <c r="D238" i="40"/>
  <c r="C238" i="40"/>
  <c r="J237" i="40"/>
  <c r="I237" i="40"/>
  <c r="G237" i="40"/>
  <c r="F237" i="40"/>
  <c r="H236" i="40"/>
  <c r="E236" i="40"/>
  <c r="D236" i="40"/>
  <c r="C236" i="40"/>
  <c r="H235" i="40"/>
  <c r="H237" i="40" s="1"/>
  <c r="E235" i="40"/>
  <c r="E237" i="40" s="1"/>
  <c r="D235" i="40"/>
  <c r="D237" i="40" s="1"/>
  <c r="C235" i="40"/>
  <c r="C237" i="40" s="1"/>
  <c r="J234" i="40"/>
  <c r="I234" i="40"/>
  <c r="G234" i="40"/>
  <c r="F234" i="40"/>
  <c r="H233" i="40"/>
  <c r="E233" i="40"/>
  <c r="D233" i="40"/>
  <c r="C233" i="40"/>
  <c r="B233" i="40"/>
  <c r="H232" i="40"/>
  <c r="E232" i="40"/>
  <c r="E234" i="40" s="1"/>
  <c r="D232" i="40"/>
  <c r="C232" i="40"/>
  <c r="C234" i="40" s="1"/>
  <c r="J231" i="40"/>
  <c r="I231" i="40"/>
  <c r="I249" i="40" s="1"/>
  <c r="G231" i="40"/>
  <c r="F231" i="40"/>
  <c r="F249" i="40" s="1"/>
  <c r="H230" i="40"/>
  <c r="E230" i="40"/>
  <c r="E248" i="40" s="1"/>
  <c r="D230" i="40"/>
  <c r="C230" i="40"/>
  <c r="C248" i="40" s="1"/>
  <c r="H229" i="40"/>
  <c r="H247" i="40" s="1"/>
  <c r="E229" i="40"/>
  <c r="E247" i="40" s="1"/>
  <c r="D229" i="40"/>
  <c r="D247" i="40" s="1"/>
  <c r="C229" i="40"/>
  <c r="C247" i="40" s="1"/>
  <c r="G225" i="40"/>
  <c r="F225" i="40"/>
  <c r="G224" i="40"/>
  <c r="F224" i="40"/>
  <c r="I223" i="40"/>
  <c r="G223" i="40"/>
  <c r="F223" i="40"/>
  <c r="H222" i="40"/>
  <c r="E222" i="40"/>
  <c r="D222" i="40"/>
  <c r="C222" i="40"/>
  <c r="J221" i="40"/>
  <c r="J223" i="40" s="1"/>
  <c r="E221" i="40"/>
  <c r="E223" i="40" s="1"/>
  <c r="C221" i="40"/>
  <c r="J220" i="40"/>
  <c r="G220" i="40"/>
  <c r="F220" i="40"/>
  <c r="H219" i="40"/>
  <c r="E219" i="40"/>
  <c r="D219" i="40"/>
  <c r="C219" i="40"/>
  <c r="I218" i="40"/>
  <c r="I220" i="40" s="1"/>
  <c r="E218" i="40"/>
  <c r="E220" i="40" s="1"/>
  <c r="D218" i="40"/>
  <c r="D220" i="40" s="1"/>
  <c r="C218" i="40"/>
  <c r="C220" i="40" s="1"/>
  <c r="J217" i="40"/>
  <c r="G217" i="40"/>
  <c r="F217" i="40"/>
  <c r="H216" i="40"/>
  <c r="E216" i="40"/>
  <c r="D216" i="40"/>
  <c r="C216" i="40"/>
  <c r="I215" i="40"/>
  <c r="I217" i="40" s="1"/>
  <c r="E215" i="40"/>
  <c r="E217" i="40" s="1"/>
  <c r="D215" i="40"/>
  <c r="D217" i="40" s="1"/>
  <c r="J214" i="40"/>
  <c r="G214" i="40"/>
  <c r="F214" i="40"/>
  <c r="H213" i="40"/>
  <c r="E213" i="40"/>
  <c r="D213" i="40"/>
  <c r="C213" i="40"/>
  <c r="B213" i="40" s="1"/>
  <c r="I212" i="40"/>
  <c r="I214" i="40" s="1"/>
  <c r="E212" i="40"/>
  <c r="E214" i="40" s="1"/>
  <c r="D212" i="40"/>
  <c r="D214" i="40" s="1"/>
  <c r="C212" i="40"/>
  <c r="C214" i="40" s="1"/>
  <c r="J211" i="40"/>
  <c r="G211" i="40"/>
  <c r="F211" i="40"/>
  <c r="H210" i="40"/>
  <c r="E210" i="40"/>
  <c r="D210" i="40"/>
  <c r="C210" i="40"/>
  <c r="I209" i="40"/>
  <c r="I211" i="40" s="1"/>
  <c r="E209" i="40"/>
  <c r="E211" i="40" s="1"/>
  <c r="D209" i="40"/>
  <c r="D211" i="40" s="1"/>
  <c r="J208" i="40"/>
  <c r="I208" i="40"/>
  <c r="G208" i="40"/>
  <c r="F208" i="40"/>
  <c r="H207" i="40"/>
  <c r="E207" i="40"/>
  <c r="D207" i="40"/>
  <c r="C207" i="40"/>
  <c r="H206" i="40"/>
  <c r="H208" i="40" s="1"/>
  <c r="E206" i="40"/>
  <c r="E208" i="40" s="1"/>
  <c r="D206" i="40"/>
  <c r="D208" i="40" s="1"/>
  <c r="C206" i="40"/>
  <c r="C208" i="40" s="1"/>
  <c r="B206" i="40"/>
  <c r="J205" i="40"/>
  <c r="I205" i="40"/>
  <c r="G205" i="40"/>
  <c r="F205" i="40"/>
  <c r="H204" i="40"/>
  <c r="E204" i="40"/>
  <c r="D204" i="40"/>
  <c r="C204" i="40"/>
  <c r="B204" i="40" s="1"/>
  <c r="H203" i="40"/>
  <c r="H205" i="40" s="1"/>
  <c r="E203" i="40"/>
  <c r="D203" i="40"/>
  <c r="D205" i="40" s="1"/>
  <c r="C203" i="40"/>
  <c r="J202" i="40"/>
  <c r="I202" i="40"/>
  <c r="G202" i="40"/>
  <c r="F202" i="40"/>
  <c r="H201" i="40"/>
  <c r="E201" i="40"/>
  <c r="D201" i="40"/>
  <c r="C201" i="40"/>
  <c r="H200" i="40"/>
  <c r="H202" i="40" s="1"/>
  <c r="E200" i="40"/>
  <c r="E202" i="40" s="1"/>
  <c r="D200" i="40"/>
  <c r="D202" i="40" s="1"/>
  <c r="C200" i="40"/>
  <c r="C202" i="40" s="1"/>
  <c r="B200" i="40"/>
  <c r="J199" i="40"/>
  <c r="G199" i="40"/>
  <c r="F199" i="40"/>
  <c r="H198" i="40"/>
  <c r="E198" i="40"/>
  <c r="D198" i="40"/>
  <c r="C198" i="40"/>
  <c r="B198" i="40"/>
  <c r="I197" i="40"/>
  <c r="I199" i="40" s="1"/>
  <c r="H197" i="40"/>
  <c r="H199" i="40" s="1"/>
  <c r="E197" i="40"/>
  <c r="E199" i="40" s="1"/>
  <c r="D197" i="40"/>
  <c r="D199" i="40" s="1"/>
  <c r="C197" i="40"/>
  <c r="C199" i="40" s="1"/>
  <c r="B197" i="40"/>
  <c r="B199" i="40" s="1"/>
  <c r="J196" i="40"/>
  <c r="G196" i="40"/>
  <c r="F196" i="40"/>
  <c r="H195" i="40"/>
  <c r="E195" i="40"/>
  <c r="D195" i="40"/>
  <c r="C195" i="40"/>
  <c r="B195" i="40"/>
  <c r="I194" i="40"/>
  <c r="I196" i="40" s="1"/>
  <c r="H194" i="40"/>
  <c r="H196" i="40" s="1"/>
  <c r="E194" i="40"/>
  <c r="E196" i="40" s="1"/>
  <c r="D194" i="40"/>
  <c r="D196" i="40" s="1"/>
  <c r="C194" i="40"/>
  <c r="C196" i="40" s="1"/>
  <c r="B194" i="40"/>
  <c r="B196" i="40" s="1"/>
  <c r="G193" i="40"/>
  <c r="F193" i="40"/>
  <c r="H192" i="40"/>
  <c r="E192" i="40"/>
  <c r="D192" i="40"/>
  <c r="C192" i="40"/>
  <c r="B192" i="40" s="1"/>
  <c r="J191" i="40"/>
  <c r="J193" i="40" s="1"/>
  <c r="I191" i="40"/>
  <c r="I193" i="40" s="1"/>
  <c r="E191" i="40"/>
  <c r="E193" i="40" s="1"/>
  <c r="C191" i="40"/>
  <c r="C193" i="40" s="1"/>
  <c r="J190" i="40"/>
  <c r="I190" i="40"/>
  <c r="G190" i="40"/>
  <c r="F190" i="40"/>
  <c r="H189" i="40"/>
  <c r="E189" i="40"/>
  <c r="D189" i="40"/>
  <c r="C189" i="40"/>
  <c r="B189" i="40" s="1"/>
  <c r="H188" i="40"/>
  <c r="H190" i="40" s="1"/>
  <c r="E188" i="40"/>
  <c r="E190" i="40" s="1"/>
  <c r="D188" i="40"/>
  <c r="D190" i="40" s="1"/>
  <c r="C188" i="40"/>
  <c r="C190" i="40" s="1"/>
  <c r="I187" i="40"/>
  <c r="G187" i="40"/>
  <c r="F187" i="40"/>
  <c r="H186" i="40"/>
  <c r="E186" i="40"/>
  <c r="D186" i="40"/>
  <c r="C186" i="40"/>
  <c r="J185" i="40"/>
  <c r="J187" i="40" s="1"/>
  <c r="E185" i="40"/>
  <c r="E187" i="40" s="1"/>
  <c r="C185" i="40"/>
  <c r="C187" i="40" s="1"/>
  <c r="J184" i="40"/>
  <c r="G184" i="40"/>
  <c r="F184" i="40"/>
  <c r="H183" i="40"/>
  <c r="E183" i="40"/>
  <c r="D183" i="40"/>
  <c r="C183" i="40"/>
  <c r="I182" i="40"/>
  <c r="I224" i="40" s="1"/>
  <c r="E182" i="40"/>
  <c r="E184" i="40" s="1"/>
  <c r="D182" i="40"/>
  <c r="D184" i="40" s="1"/>
  <c r="C182" i="40"/>
  <c r="C184" i="40" s="1"/>
  <c r="I181" i="40"/>
  <c r="G181" i="40"/>
  <c r="F181" i="40"/>
  <c r="H180" i="40"/>
  <c r="E180" i="40"/>
  <c r="D180" i="40"/>
  <c r="C180" i="40"/>
  <c r="B180" i="40" s="1"/>
  <c r="J179" i="40"/>
  <c r="J181" i="40" s="1"/>
  <c r="E179" i="40"/>
  <c r="E181" i="40" s="1"/>
  <c r="C179" i="40"/>
  <c r="G178" i="40"/>
  <c r="F178" i="40"/>
  <c r="J177" i="40"/>
  <c r="I177" i="40"/>
  <c r="I178" i="40" s="1"/>
  <c r="H177" i="40"/>
  <c r="E177" i="40"/>
  <c r="D177" i="40"/>
  <c r="C177" i="40"/>
  <c r="B177" i="40"/>
  <c r="J176" i="40"/>
  <c r="H176" i="40"/>
  <c r="H178" i="40" s="1"/>
  <c r="E176" i="40"/>
  <c r="E178" i="40" s="1"/>
  <c r="D176" i="40"/>
  <c r="D178" i="40" s="1"/>
  <c r="C176" i="40"/>
  <c r="C178" i="40" s="1"/>
  <c r="B176" i="40"/>
  <c r="B178" i="40" s="1"/>
  <c r="G175" i="40"/>
  <c r="F175" i="40"/>
  <c r="F226" i="40" s="1"/>
  <c r="J174" i="40"/>
  <c r="I174" i="40"/>
  <c r="I175" i="40" s="1"/>
  <c r="E174" i="40"/>
  <c r="E225" i="40" s="1"/>
  <c r="D174" i="40"/>
  <c r="J173" i="40"/>
  <c r="J224" i="40" s="1"/>
  <c r="E173" i="40"/>
  <c r="E224" i="40" s="1"/>
  <c r="C173" i="40"/>
  <c r="J169" i="40"/>
  <c r="I169" i="40"/>
  <c r="G169" i="40"/>
  <c r="F169" i="40"/>
  <c r="J168" i="40"/>
  <c r="G168" i="40"/>
  <c r="F168" i="40"/>
  <c r="J167" i="40"/>
  <c r="I167" i="40"/>
  <c r="G167" i="40"/>
  <c r="F167" i="40"/>
  <c r="H166" i="40"/>
  <c r="E166" i="40"/>
  <c r="D166" i="40"/>
  <c r="C166" i="40"/>
  <c r="B166" i="40" s="1"/>
  <c r="H165" i="40"/>
  <c r="H167" i="40" s="1"/>
  <c r="E165" i="40"/>
  <c r="D165" i="40"/>
  <c r="D167" i="40" s="1"/>
  <c r="C165" i="40"/>
  <c r="J164" i="40"/>
  <c r="I164" i="40"/>
  <c r="G164" i="40"/>
  <c r="F164" i="40"/>
  <c r="H163" i="40"/>
  <c r="E163" i="40"/>
  <c r="D163" i="40"/>
  <c r="C163" i="40"/>
  <c r="H162" i="40"/>
  <c r="H164" i="40" s="1"/>
  <c r="E162" i="40"/>
  <c r="E164" i="40" s="1"/>
  <c r="D162" i="40"/>
  <c r="D164" i="40" s="1"/>
  <c r="C162" i="40"/>
  <c r="C164" i="40" s="1"/>
  <c r="B162" i="40"/>
  <c r="J161" i="40"/>
  <c r="I161" i="40"/>
  <c r="G161" i="40"/>
  <c r="F161" i="40"/>
  <c r="H160" i="40"/>
  <c r="E160" i="40"/>
  <c r="D160" i="40"/>
  <c r="C160" i="40"/>
  <c r="B160" i="40" s="1"/>
  <c r="H159" i="40"/>
  <c r="H161" i="40" s="1"/>
  <c r="E159" i="40"/>
  <c r="D159" i="40"/>
  <c r="D161" i="40" s="1"/>
  <c r="C159" i="40"/>
  <c r="J158" i="40"/>
  <c r="G158" i="40"/>
  <c r="F158" i="40"/>
  <c r="H157" i="40"/>
  <c r="E157" i="40"/>
  <c r="D157" i="40"/>
  <c r="C157" i="40"/>
  <c r="I156" i="40"/>
  <c r="I158" i="40" s="1"/>
  <c r="E156" i="40"/>
  <c r="E158" i="40" s="1"/>
  <c r="D156" i="40"/>
  <c r="D158" i="40" s="1"/>
  <c r="C156" i="40"/>
  <c r="C158" i="40" s="1"/>
  <c r="J155" i="40"/>
  <c r="G155" i="40"/>
  <c r="F155" i="40"/>
  <c r="H154" i="40"/>
  <c r="E154" i="40"/>
  <c r="D154" i="40"/>
  <c r="C154" i="40"/>
  <c r="I153" i="40"/>
  <c r="I155" i="40" s="1"/>
  <c r="E153" i="40"/>
  <c r="E155" i="40" s="1"/>
  <c r="D153" i="40"/>
  <c r="D155" i="40" s="1"/>
  <c r="J152" i="40"/>
  <c r="I152" i="40"/>
  <c r="G152" i="40"/>
  <c r="F152" i="40"/>
  <c r="H151" i="40"/>
  <c r="E151" i="40"/>
  <c r="D151" i="40"/>
  <c r="C151" i="40"/>
  <c r="H150" i="40"/>
  <c r="H152" i="40" s="1"/>
  <c r="E150" i="40"/>
  <c r="E152" i="40" s="1"/>
  <c r="D150" i="40"/>
  <c r="D152" i="40" s="1"/>
  <c r="C150" i="40"/>
  <c r="C152" i="40" s="1"/>
  <c r="J149" i="40"/>
  <c r="I149" i="40"/>
  <c r="G149" i="40"/>
  <c r="F149" i="40"/>
  <c r="H148" i="40"/>
  <c r="E148" i="40"/>
  <c r="D148" i="40"/>
  <c r="C148" i="40"/>
  <c r="H147" i="40"/>
  <c r="H149" i="40" s="1"/>
  <c r="E147" i="40"/>
  <c r="D147" i="40"/>
  <c r="D149" i="40" s="1"/>
  <c r="C147" i="40"/>
  <c r="J146" i="40"/>
  <c r="I146" i="40"/>
  <c r="G146" i="40"/>
  <c r="F146" i="40"/>
  <c r="H145" i="40"/>
  <c r="E145" i="40"/>
  <c r="D145" i="40"/>
  <c r="C145" i="40"/>
  <c r="H144" i="40"/>
  <c r="H146" i="40" s="1"/>
  <c r="E144" i="40"/>
  <c r="E146" i="40" s="1"/>
  <c r="D144" i="40"/>
  <c r="D146" i="40" s="1"/>
  <c r="C144" i="40"/>
  <c r="C146" i="40" s="1"/>
  <c r="B144" i="40"/>
  <c r="J143" i="40"/>
  <c r="G143" i="40"/>
  <c r="F143" i="40"/>
  <c r="H142" i="40"/>
  <c r="E142" i="40"/>
  <c r="D142" i="40"/>
  <c r="C142" i="40"/>
  <c r="B142" i="40"/>
  <c r="I141" i="40"/>
  <c r="I143" i="40" s="1"/>
  <c r="H141" i="40"/>
  <c r="H143" i="40" s="1"/>
  <c r="E141" i="40"/>
  <c r="E143" i="40" s="1"/>
  <c r="D141" i="40"/>
  <c r="D143" i="40" s="1"/>
  <c r="C141" i="40"/>
  <c r="C143" i="40" s="1"/>
  <c r="B141" i="40"/>
  <c r="B143" i="40" s="1"/>
  <c r="J140" i="40"/>
  <c r="I140" i="40"/>
  <c r="G140" i="40"/>
  <c r="F140" i="40"/>
  <c r="H139" i="40"/>
  <c r="E139" i="40"/>
  <c r="D139" i="40"/>
  <c r="C139" i="40"/>
  <c r="B139" i="40" s="1"/>
  <c r="H138" i="40"/>
  <c r="H140" i="40" s="1"/>
  <c r="E138" i="40"/>
  <c r="D138" i="40"/>
  <c r="D140" i="40" s="1"/>
  <c r="C138" i="40"/>
  <c r="B138" i="40" s="1"/>
  <c r="J137" i="40"/>
  <c r="G137" i="40"/>
  <c r="F137" i="40"/>
  <c r="H136" i="40"/>
  <c r="E136" i="40"/>
  <c r="D136" i="40"/>
  <c r="C136" i="40"/>
  <c r="I135" i="40"/>
  <c r="I137" i="40" s="1"/>
  <c r="E135" i="40"/>
  <c r="E137" i="40" s="1"/>
  <c r="D135" i="40"/>
  <c r="C135" i="40"/>
  <c r="C137" i="40" s="1"/>
  <c r="J134" i="40"/>
  <c r="G134" i="40"/>
  <c r="F134" i="40"/>
  <c r="H133" i="40"/>
  <c r="E133" i="40"/>
  <c r="D133" i="40"/>
  <c r="C133" i="40"/>
  <c r="I132" i="40"/>
  <c r="I134" i="40" s="1"/>
  <c r="E132" i="40"/>
  <c r="D132" i="40"/>
  <c r="D134" i="40" s="1"/>
  <c r="C132" i="40"/>
  <c r="J131" i="40"/>
  <c r="G131" i="40"/>
  <c r="F131" i="40"/>
  <c r="H130" i="40"/>
  <c r="E130" i="40"/>
  <c r="D130" i="40"/>
  <c r="C130" i="40"/>
  <c r="I129" i="40"/>
  <c r="I131" i="40" s="1"/>
  <c r="E129" i="40"/>
  <c r="E131" i="40" s="1"/>
  <c r="D129" i="40"/>
  <c r="D131" i="40" s="1"/>
  <c r="C129" i="40"/>
  <c r="C131" i="40" s="1"/>
  <c r="J128" i="40"/>
  <c r="G128" i="40"/>
  <c r="F128" i="40"/>
  <c r="H127" i="40"/>
  <c r="E127" i="40"/>
  <c r="D127" i="40"/>
  <c r="C127" i="40"/>
  <c r="I126" i="40"/>
  <c r="I128" i="40" s="1"/>
  <c r="E126" i="40"/>
  <c r="E128" i="40" s="1"/>
  <c r="D126" i="40"/>
  <c r="D128" i="40" s="1"/>
  <c r="J125" i="40"/>
  <c r="I125" i="40"/>
  <c r="G125" i="40"/>
  <c r="F125" i="40"/>
  <c r="H124" i="40"/>
  <c r="E124" i="40"/>
  <c r="D124" i="40"/>
  <c r="C124" i="40"/>
  <c r="H123" i="40"/>
  <c r="H125" i="40" s="1"/>
  <c r="E123" i="40"/>
  <c r="E125" i="40" s="1"/>
  <c r="D123" i="40"/>
  <c r="D125" i="40" s="1"/>
  <c r="C123" i="40"/>
  <c r="C125" i="40" s="1"/>
  <c r="B123" i="40"/>
  <c r="J122" i="40"/>
  <c r="G122" i="40"/>
  <c r="G170" i="40" s="1"/>
  <c r="F122" i="40"/>
  <c r="H121" i="40"/>
  <c r="H169" i="40" s="1"/>
  <c r="E121" i="40"/>
  <c r="D121" i="40"/>
  <c r="D169" i="40" s="1"/>
  <c r="C121" i="40"/>
  <c r="B121" i="40"/>
  <c r="I120" i="40"/>
  <c r="H120" i="40"/>
  <c r="H122" i="40" s="1"/>
  <c r="E120" i="40"/>
  <c r="D120" i="40"/>
  <c r="D122" i="40" s="1"/>
  <c r="C120" i="40"/>
  <c r="B120" i="40"/>
  <c r="B122" i="40" s="1"/>
  <c r="I116" i="40"/>
  <c r="G116" i="40"/>
  <c r="F116" i="40"/>
  <c r="I115" i="40"/>
  <c r="G115" i="40"/>
  <c r="F115" i="40"/>
  <c r="I114" i="40"/>
  <c r="G114" i="40"/>
  <c r="F114" i="40"/>
  <c r="H113" i="40"/>
  <c r="E113" i="40"/>
  <c r="D113" i="40"/>
  <c r="C113" i="40"/>
  <c r="J112" i="40"/>
  <c r="H112" i="40" s="1"/>
  <c r="H114" i="40" s="1"/>
  <c r="E112" i="40"/>
  <c r="E114" i="40" s="1"/>
  <c r="C112" i="40"/>
  <c r="C114" i="40" s="1"/>
  <c r="J111" i="40"/>
  <c r="I111" i="40"/>
  <c r="G111" i="40"/>
  <c r="F111" i="40"/>
  <c r="H110" i="40"/>
  <c r="E110" i="40"/>
  <c r="D110" i="40"/>
  <c r="C110" i="40"/>
  <c r="B110" i="40" s="1"/>
  <c r="H109" i="40"/>
  <c r="H111" i="40" s="1"/>
  <c r="E109" i="40"/>
  <c r="E111" i="40" s="1"/>
  <c r="D109" i="40"/>
  <c r="D111" i="40" s="1"/>
  <c r="C109" i="40"/>
  <c r="C111" i="40" s="1"/>
  <c r="I108" i="40"/>
  <c r="G108" i="40"/>
  <c r="F108" i="40"/>
  <c r="H107" i="40"/>
  <c r="E107" i="40"/>
  <c r="D107" i="40"/>
  <c r="C107" i="40"/>
  <c r="J106" i="40"/>
  <c r="J108" i="40" s="1"/>
  <c r="E106" i="40"/>
  <c r="E108" i="40" s="1"/>
  <c r="C106" i="40"/>
  <c r="C108" i="40" s="1"/>
  <c r="I105" i="40"/>
  <c r="G105" i="40"/>
  <c r="F105" i="40"/>
  <c r="H104" i="40"/>
  <c r="E104" i="40"/>
  <c r="D104" i="40"/>
  <c r="C104" i="40"/>
  <c r="J103" i="40"/>
  <c r="J105" i="40" s="1"/>
  <c r="E103" i="40"/>
  <c r="E105" i="40" s="1"/>
  <c r="D103" i="40"/>
  <c r="D105" i="40" s="1"/>
  <c r="C103" i="40"/>
  <c r="C105" i="40" s="1"/>
  <c r="J102" i="40"/>
  <c r="I102" i="40"/>
  <c r="G102" i="40"/>
  <c r="F102" i="40"/>
  <c r="H101" i="40"/>
  <c r="E101" i="40"/>
  <c r="D101" i="40"/>
  <c r="C101" i="40"/>
  <c r="H100" i="40"/>
  <c r="H102" i="40" s="1"/>
  <c r="E100" i="40"/>
  <c r="E102" i="40" s="1"/>
  <c r="D100" i="40"/>
  <c r="D102" i="40" s="1"/>
  <c r="C100" i="40"/>
  <c r="C102" i="40" s="1"/>
  <c r="B100" i="40"/>
  <c r="I99" i="40"/>
  <c r="G99" i="40"/>
  <c r="F99" i="40"/>
  <c r="H98" i="40"/>
  <c r="E98" i="40"/>
  <c r="D98" i="40"/>
  <c r="C98" i="40"/>
  <c r="B98" i="40"/>
  <c r="J97" i="40"/>
  <c r="J99" i="40" s="1"/>
  <c r="H97" i="40"/>
  <c r="H99" i="40" s="1"/>
  <c r="E97" i="40"/>
  <c r="E99" i="40" s="1"/>
  <c r="D97" i="40"/>
  <c r="D99" i="40" s="1"/>
  <c r="C97" i="40"/>
  <c r="C99" i="40" s="1"/>
  <c r="B97" i="40"/>
  <c r="B99" i="40" s="1"/>
  <c r="I96" i="40"/>
  <c r="G96" i="40"/>
  <c r="F96" i="40"/>
  <c r="J95" i="40"/>
  <c r="J116" i="40" s="1"/>
  <c r="E95" i="40"/>
  <c r="C95" i="40"/>
  <c r="H94" i="40"/>
  <c r="E94" i="40"/>
  <c r="D94" i="40"/>
  <c r="C94" i="40"/>
  <c r="I93" i="40"/>
  <c r="G93" i="40"/>
  <c r="F93" i="40"/>
  <c r="H92" i="40"/>
  <c r="E92" i="40"/>
  <c r="D92" i="40"/>
  <c r="C92" i="40"/>
  <c r="J91" i="40"/>
  <c r="J93" i="40" s="1"/>
  <c r="E91" i="40"/>
  <c r="C91" i="40"/>
  <c r="I90" i="40"/>
  <c r="G90" i="40"/>
  <c r="F90" i="40"/>
  <c r="H89" i="40"/>
  <c r="E89" i="40"/>
  <c r="D89" i="40"/>
  <c r="C89" i="40"/>
  <c r="B89" i="40" s="1"/>
  <c r="J88" i="40"/>
  <c r="J90" i="40" s="1"/>
  <c r="E88" i="40"/>
  <c r="E90" i="40" s="1"/>
  <c r="C88" i="40"/>
  <c r="C90" i="40" s="1"/>
  <c r="I87" i="40"/>
  <c r="G87" i="40"/>
  <c r="G117" i="40" s="1"/>
  <c r="F87" i="40"/>
  <c r="H86" i="40"/>
  <c r="E86" i="40"/>
  <c r="D86" i="40"/>
  <c r="C86" i="40"/>
  <c r="B86" i="40"/>
  <c r="J85" i="40"/>
  <c r="H85" i="40"/>
  <c r="E85" i="40"/>
  <c r="E87" i="40" s="1"/>
  <c r="D85" i="40"/>
  <c r="C85" i="40"/>
  <c r="C87" i="40" s="1"/>
  <c r="B85" i="40"/>
  <c r="J81" i="40"/>
  <c r="I81" i="40"/>
  <c r="G81" i="40"/>
  <c r="F81" i="40"/>
  <c r="J80" i="40"/>
  <c r="I80" i="40"/>
  <c r="G80" i="40"/>
  <c r="F80" i="40"/>
  <c r="J79" i="40"/>
  <c r="I79" i="40"/>
  <c r="G79" i="40"/>
  <c r="F79" i="40"/>
  <c r="H78" i="40"/>
  <c r="E78" i="40"/>
  <c r="D78" i="40"/>
  <c r="C78" i="40"/>
  <c r="B78" i="40" s="1"/>
  <c r="H77" i="40"/>
  <c r="H79" i="40" s="1"/>
  <c r="E77" i="40"/>
  <c r="E79" i="40" s="1"/>
  <c r="D77" i="40"/>
  <c r="D79" i="40" s="1"/>
  <c r="C77" i="40"/>
  <c r="C79" i="40" s="1"/>
  <c r="J76" i="40"/>
  <c r="I76" i="40"/>
  <c r="G76" i="40"/>
  <c r="F76" i="40"/>
  <c r="H75" i="40"/>
  <c r="E75" i="40"/>
  <c r="D75" i="40"/>
  <c r="C75" i="40"/>
  <c r="B75" i="40"/>
  <c r="H74" i="40"/>
  <c r="E74" i="40"/>
  <c r="E76" i="40" s="1"/>
  <c r="D74" i="40"/>
  <c r="C74" i="40"/>
  <c r="C76" i="40" s="1"/>
  <c r="J73" i="40"/>
  <c r="I73" i="40"/>
  <c r="G73" i="40"/>
  <c r="F73" i="40"/>
  <c r="H72" i="40"/>
  <c r="E72" i="40"/>
  <c r="D72" i="40"/>
  <c r="C72" i="40"/>
  <c r="B72" i="40" s="1"/>
  <c r="H71" i="40"/>
  <c r="H73" i="40" s="1"/>
  <c r="E71" i="40"/>
  <c r="E73" i="40" s="1"/>
  <c r="D71" i="40"/>
  <c r="D73" i="40" s="1"/>
  <c r="C71" i="40"/>
  <c r="C73" i="40" s="1"/>
  <c r="J70" i="40"/>
  <c r="I70" i="40"/>
  <c r="G70" i="40"/>
  <c r="F70" i="40"/>
  <c r="H69" i="40"/>
  <c r="E69" i="40"/>
  <c r="D69" i="40"/>
  <c r="C69" i="40"/>
  <c r="B69" i="40"/>
  <c r="H68" i="40"/>
  <c r="E68" i="40"/>
  <c r="E70" i="40" s="1"/>
  <c r="D68" i="40"/>
  <c r="C68" i="40"/>
  <c r="C70" i="40" s="1"/>
  <c r="J67" i="40"/>
  <c r="I67" i="40"/>
  <c r="I82" i="40" s="1"/>
  <c r="G67" i="40"/>
  <c r="F67" i="40"/>
  <c r="F82" i="40" s="1"/>
  <c r="H66" i="40"/>
  <c r="E66" i="40"/>
  <c r="E81" i="40" s="1"/>
  <c r="D66" i="40"/>
  <c r="C66" i="40"/>
  <c r="C81" i="40" s="1"/>
  <c r="H65" i="40"/>
  <c r="H67" i="40" s="1"/>
  <c r="E65" i="40"/>
  <c r="E80" i="40" s="1"/>
  <c r="D65" i="40"/>
  <c r="D67" i="40" s="1"/>
  <c r="C65" i="40"/>
  <c r="C80" i="40" s="1"/>
  <c r="J61" i="40"/>
  <c r="I61" i="40"/>
  <c r="G61" i="40"/>
  <c r="F61" i="40"/>
  <c r="G60" i="40"/>
  <c r="F60" i="40"/>
  <c r="J59" i="40"/>
  <c r="I59" i="40"/>
  <c r="G59" i="40"/>
  <c r="F59" i="40"/>
  <c r="H58" i="40"/>
  <c r="E58" i="40"/>
  <c r="D58" i="40"/>
  <c r="C58" i="40"/>
  <c r="H57" i="40"/>
  <c r="H59" i="40" s="1"/>
  <c r="E57" i="40"/>
  <c r="E59" i="40" s="1"/>
  <c r="D57" i="40"/>
  <c r="D59" i="40" s="1"/>
  <c r="C57" i="40"/>
  <c r="C59" i="40" s="1"/>
  <c r="J56" i="40"/>
  <c r="G56" i="40"/>
  <c r="F56" i="40"/>
  <c r="H55" i="40"/>
  <c r="E55" i="40"/>
  <c r="D55" i="40"/>
  <c r="C55" i="40"/>
  <c r="B55" i="40" s="1"/>
  <c r="I54" i="40"/>
  <c r="I56" i="40" s="1"/>
  <c r="E54" i="40"/>
  <c r="E56" i="40" s="1"/>
  <c r="D54" i="40"/>
  <c r="D56" i="40" s="1"/>
  <c r="C54" i="40"/>
  <c r="C56" i="40" s="1"/>
  <c r="J53" i="40"/>
  <c r="I53" i="40"/>
  <c r="G53" i="40"/>
  <c r="F53" i="40"/>
  <c r="H52" i="40"/>
  <c r="E52" i="40"/>
  <c r="D52" i="40"/>
  <c r="C52" i="40"/>
  <c r="H51" i="40"/>
  <c r="H53" i="40" s="1"/>
  <c r="E51" i="40"/>
  <c r="D51" i="40"/>
  <c r="D53" i="40" s="1"/>
  <c r="C51" i="40"/>
  <c r="B51" i="40"/>
  <c r="J50" i="40"/>
  <c r="I50" i="40"/>
  <c r="G50" i="40"/>
  <c r="F50" i="40"/>
  <c r="H49" i="40"/>
  <c r="E49" i="40"/>
  <c r="D49" i="40"/>
  <c r="C49" i="40"/>
  <c r="B49" i="40" s="1"/>
  <c r="H48" i="40"/>
  <c r="H50" i="40" s="1"/>
  <c r="E48" i="40"/>
  <c r="D48" i="40"/>
  <c r="D50" i="40" s="1"/>
  <c r="C48" i="40"/>
  <c r="B48" i="40" s="1"/>
  <c r="J47" i="40"/>
  <c r="G47" i="40"/>
  <c r="F47" i="40"/>
  <c r="H46" i="40"/>
  <c r="E46" i="40"/>
  <c r="D46" i="40"/>
  <c r="C46" i="40"/>
  <c r="B46" i="40" s="1"/>
  <c r="I45" i="40"/>
  <c r="I47" i="40" s="1"/>
  <c r="E45" i="40"/>
  <c r="E47" i="40" s="1"/>
  <c r="D45" i="40"/>
  <c r="D47" i="40" s="1"/>
  <c r="C45" i="40"/>
  <c r="C47" i="40" s="1"/>
  <c r="J44" i="40"/>
  <c r="G44" i="40"/>
  <c r="F44" i="40"/>
  <c r="H43" i="40"/>
  <c r="E43" i="40"/>
  <c r="D43" i="40"/>
  <c r="C43" i="40"/>
  <c r="B43" i="40" s="1"/>
  <c r="I42" i="40"/>
  <c r="I44" i="40" s="1"/>
  <c r="E42" i="40"/>
  <c r="E44" i="40" s="1"/>
  <c r="D42" i="40"/>
  <c r="D44" i="40" s="1"/>
  <c r="C42" i="40"/>
  <c r="C44" i="40" s="1"/>
  <c r="J41" i="40"/>
  <c r="G41" i="40"/>
  <c r="F41" i="40"/>
  <c r="H40" i="40"/>
  <c r="E40" i="40"/>
  <c r="D40" i="40"/>
  <c r="C40" i="40"/>
  <c r="B40" i="40" s="1"/>
  <c r="I39" i="40"/>
  <c r="I41" i="40" s="1"/>
  <c r="E39" i="40"/>
  <c r="E41" i="40" s="1"/>
  <c r="D39" i="40"/>
  <c r="D41" i="40" s="1"/>
  <c r="C39" i="40"/>
  <c r="C41" i="40" s="1"/>
  <c r="J38" i="40"/>
  <c r="I38" i="40"/>
  <c r="G38" i="40"/>
  <c r="F38" i="40"/>
  <c r="H37" i="40"/>
  <c r="E37" i="40"/>
  <c r="D37" i="40"/>
  <c r="C37" i="40"/>
  <c r="H36" i="40"/>
  <c r="H38" i="40" s="1"/>
  <c r="E36" i="40"/>
  <c r="E38" i="40" s="1"/>
  <c r="D36" i="40"/>
  <c r="D38" i="40" s="1"/>
  <c r="C36" i="40"/>
  <c r="C38" i="40" s="1"/>
  <c r="J35" i="40"/>
  <c r="I35" i="40"/>
  <c r="G35" i="40"/>
  <c r="F35" i="40"/>
  <c r="H34" i="40"/>
  <c r="E34" i="40"/>
  <c r="D34" i="40"/>
  <c r="C34" i="40"/>
  <c r="H33" i="40"/>
  <c r="H35" i="40" s="1"/>
  <c r="E33" i="40"/>
  <c r="E35" i="40" s="1"/>
  <c r="D33" i="40"/>
  <c r="D35" i="40" s="1"/>
  <c r="C33" i="40"/>
  <c r="C35" i="40" s="1"/>
  <c r="B33" i="40"/>
  <c r="J32" i="40"/>
  <c r="G32" i="40"/>
  <c r="F32" i="40"/>
  <c r="H31" i="40"/>
  <c r="E31" i="40"/>
  <c r="D31" i="40"/>
  <c r="C31" i="40"/>
  <c r="B31" i="40"/>
  <c r="I30" i="40"/>
  <c r="I32" i="40" s="1"/>
  <c r="H30" i="40"/>
  <c r="H32" i="40" s="1"/>
  <c r="E30" i="40"/>
  <c r="E32" i="40" s="1"/>
  <c r="D30" i="40"/>
  <c r="D32" i="40" s="1"/>
  <c r="C30" i="40"/>
  <c r="C32" i="40" s="1"/>
  <c r="J29" i="40"/>
  <c r="G29" i="40"/>
  <c r="F29" i="40"/>
  <c r="H28" i="40"/>
  <c r="E28" i="40"/>
  <c r="D28" i="40"/>
  <c r="C28" i="40"/>
  <c r="B28" i="40"/>
  <c r="I27" i="40"/>
  <c r="I29" i="40" s="1"/>
  <c r="H27" i="40"/>
  <c r="H29" i="40" s="1"/>
  <c r="E27" i="40"/>
  <c r="E29" i="40" s="1"/>
  <c r="D27" i="40"/>
  <c r="D29" i="40" s="1"/>
  <c r="C27" i="40"/>
  <c r="C29" i="40" s="1"/>
  <c r="B27" i="40"/>
  <c r="B29" i="40" s="1"/>
  <c r="J26" i="40"/>
  <c r="I26" i="40"/>
  <c r="G26" i="40"/>
  <c r="F26" i="40"/>
  <c r="H25" i="40"/>
  <c r="E25" i="40"/>
  <c r="D25" i="40"/>
  <c r="C25" i="40"/>
  <c r="B25" i="40" s="1"/>
  <c r="H24" i="40"/>
  <c r="H26" i="40" s="1"/>
  <c r="E24" i="40"/>
  <c r="E26" i="40" s="1"/>
  <c r="D24" i="40"/>
  <c r="D26" i="40" s="1"/>
  <c r="C24" i="40"/>
  <c r="C26" i="40" s="1"/>
  <c r="I23" i="40"/>
  <c r="G23" i="40"/>
  <c r="F23" i="40"/>
  <c r="H22" i="40"/>
  <c r="E22" i="40"/>
  <c r="D22" i="40"/>
  <c r="C22" i="40"/>
  <c r="B22" i="40" s="1"/>
  <c r="J21" i="40"/>
  <c r="J23" i="40" s="1"/>
  <c r="E21" i="40"/>
  <c r="E23" i="40" s="1"/>
  <c r="C21" i="40"/>
  <c r="C23" i="40" s="1"/>
  <c r="J20" i="40"/>
  <c r="G20" i="40"/>
  <c r="F20" i="40"/>
  <c r="H19" i="40"/>
  <c r="E19" i="40"/>
  <c r="D19" i="40"/>
  <c r="C19" i="40"/>
  <c r="B19" i="40" s="1"/>
  <c r="I18" i="40"/>
  <c r="I20" i="40" s="1"/>
  <c r="E18" i="40"/>
  <c r="E20" i="40" s="1"/>
  <c r="D18" i="40"/>
  <c r="D20" i="40" s="1"/>
  <c r="C18" i="40"/>
  <c r="C20" i="40" s="1"/>
  <c r="G17" i="40"/>
  <c r="F17" i="40"/>
  <c r="H16" i="40"/>
  <c r="E16" i="40"/>
  <c r="D16" i="40"/>
  <c r="C16" i="40"/>
  <c r="B16" i="40" s="1"/>
  <c r="J15" i="40"/>
  <c r="J17" i="40" s="1"/>
  <c r="I15" i="40"/>
  <c r="I17" i="40" s="1"/>
  <c r="E15" i="40"/>
  <c r="E17" i="40" s="1"/>
  <c r="D15" i="40"/>
  <c r="C15" i="40"/>
  <c r="C17" i="40" s="1"/>
  <c r="J14" i="40"/>
  <c r="G14" i="40"/>
  <c r="F14" i="40"/>
  <c r="H13" i="40"/>
  <c r="E13" i="40"/>
  <c r="D13" i="40"/>
  <c r="C13" i="40"/>
  <c r="B13" i="40" s="1"/>
  <c r="I12" i="40"/>
  <c r="I14" i="40" s="1"/>
  <c r="E12" i="40"/>
  <c r="D12" i="40"/>
  <c r="D14" i="40" s="1"/>
  <c r="J11" i="40"/>
  <c r="G11" i="40"/>
  <c r="F11" i="40"/>
  <c r="H10" i="40"/>
  <c r="E10" i="40"/>
  <c r="D10" i="40"/>
  <c r="C10" i="40"/>
  <c r="B10" i="40" s="1"/>
  <c r="I9" i="40"/>
  <c r="I60" i="40" s="1"/>
  <c r="E9" i="40"/>
  <c r="D9" i="40"/>
  <c r="D11" i="40" s="1"/>
  <c r="J8" i="40"/>
  <c r="I8" i="40"/>
  <c r="G8" i="40"/>
  <c r="G62" i="40" s="1"/>
  <c r="F8" i="40"/>
  <c r="H7" i="40"/>
  <c r="H61" i="40" s="1"/>
  <c r="E7" i="40"/>
  <c r="D7" i="40"/>
  <c r="D61" i="40" s="1"/>
  <c r="C7" i="40"/>
  <c r="B7" i="40"/>
  <c r="H6" i="40"/>
  <c r="E6" i="40"/>
  <c r="E60" i="40" s="1"/>
  <c r="D6" i="40"/>
  <c r="C6" i="40"/>
  <c r="I181" i="39"/>
  <c r="G181" i="39"/>
  <c r="F181" i="39"/>
  <c r="J180" i="39"/>
  <c r="J181" i="39" s="1"/>
  <c r="E180" i="39"/>
  <c r="E181" i="39" s="1"/>
  <c r="C180" i="39"/>
  <c r="C181" i="39" s="1"/>
  <c r="J177" i="39"/>
  <c r="I177" i="39"/>
  <c r="G177" i="39"/>
  <c r="F177" i="39"/>
  <c r="H176" i="39"/>
  <c r="H177" i="39" s="1"/>
  <c r="E176" i="39"/>
  <c r="E177" i="39" s="1"/>
  <c r="D176" i="39"/>
  <c r="D177" i="39" s="1"/>
  <c r="C176" i="39"/>
  <c r="C177" i="39" s="1"/>
  <c r="J173" i="39"/>
  <c r="I173" i="39"/>
  <c r="G173" i="39"/>
  <c r="F173" i="39"/>
  <c r="H172" i="39"/>
  <c r="E172" i="39"/>
  <c r="D172" i="39"/>
  <c r="C172" i="39"/>
  <c r="H171" i="39"/>
  <c r="H173" i="39" s="1"/>
  <c r="E171" i="39"/>
  <c r="E173" i="39" s="1"/>
  <c r="D171" i="39"/>
  <c r="D173" i="39" s="1"/>
  <c r="C171" i="39"/>
  <c r="C173" i="39" s="1"/>
  <c r="J168" i="39"/>
  <c r="I168" i="39"/>
  <c r="G168" i="39"/>
  <c r="F168" i="39"/>
  <c r="H167" i="39"/>
  <c r="E167" i="39"/>
  <c r="D167" i="39"/>
  <c r="C167" i="39"/>
  <c r="B167" i="39" s="1"/>
  <c r="H166" i="39"/>
  <c r="E166" i="39"/>
  <c r="D166" i="39"/>
  <c r="C166" i="39"/>
  <c r="B166" i="39" s="1"/>
  <c r="H165" i="39"/>
  <c r="E165" i="39"/>
  <c r="D165" i="39"/>
  <c r="C165" i="39"/>
  <c r="B165" i="39" s="1"/>
  <c r="H164" i="39"/>
  <c r="E164" i="39"/>
  <c r="D164" i="39"/>
  <c r="C164" i="39"/>
  <c r="B164" i="39" s="1"/>
  <c r="H163" i="39"/>
  <c r="E163" i="39"/>
  <c r="D163" i="39"/>
  <c r="C163" i="39"/>
  <c r="B163" i="39" s="1"/>
  <c r="H162" i="39"/>
  <c r="E162" i="39"/>
  <c r="D162" i="39"/>
  <c r="C162" i="39"/>
  <c r="B162" i="39" s="1"/>
  <c r="H161" i="39"/>
  <c r="E161" i="39"/>
  <c r="D161" i="39"/>
  <c r="C161" i="39"/>
  <c r="H160" i="39"/>
  <c r="E160" i="39"/>
  <c r="D160" i="39"/>
  <c r="C160" i="39"/>
  <c r="H159" i="39"/>
  <c r="E159" i="39"/>
  <c r="D159" i="39"/>
  <c r="C159" i="39"/>
  <c r="H158" i="39"/>
  <c r="E158" i="39"/>
  <c r="D158" i="39"/>
  <c r="C158" i="39"/>
  <c r="H157" i="39"/>
  <c r="E157" i="39"/>
  <c r="D157" i="39"/>
  <c r="C157" i="39"/>
  <c r="B157" i="39"/>
  <c r="H156" i="39"/>
  <c r="E156" i="39"/>
  <c r="D156" i="39"/>
  <c r="C156" i="39"/>
  <c r="B156" i="39" s="1"/>
  <c r="H155" i="39"/>
  <c r="E155" i="39"/>
  <c r="D155" i="39"/>
  <c r="C155" i="39"/>
  <c r="B155" i="39" s="1"/>
  <c r="H154" i="39"/>
  <c r="E154" i="39"/>
  <c r="D154" i="39"/>
  <c r="C154" i="39"/>
  <c r="H153" i="39"/>
  <c r="E153" i="39"/>
  <c r="D153" i="39"/>
  <c r="C153" i="39"/>
  <c r="B153" i="39"/>
  <c r="H152" i="39"/>
  <c r="E152" i="39"/>
  <c r="D152" i="39"/>
  <c r="C152" i="39"/>
  <c r="B152" i="39" s="1"/>
  <c r="H151" i="39"/>
  <c r="E151" i="39"/>
  <c r="D151" i="39"/>
  <c r="C151" i="39"/>
  <c r="B151" i="39" s="1"/>
  <c r="H150" i="39"/>
  <c r="E150" i="39"/>
  <c r="D150" i="39"/>
  <c r="C150" i="39"/>
  <c r="B150" i="39" s="1"/>
  <c r="H149" i="39"/>
  <c r="E149" i="39"/>
  <c r="D149" i="39"/>
  <c r="C149" i="39"/>
  <c r="H148" i="39"/>
  <c r="E148" i="39"/>
  <c r="D148" i="39"/>
  <c r="C148" i="39"/>
  <c r="B148" i="39"/>
  <c r="H147" i="39"/>
  <c r="E147" i="39"/>
  <c r="D147" i="39"/>
  <c r="C147" i="39"/>
  <c r="B147" i="39" s="1"/>
  <c r="H146" i="39"/>
  <c r="E146" i="39"/>
  <c r="D146" i="39"/>
  <c r="C146" i="39"/>
  <c r="B146" i="39" s="1"/>
  <c r="H145" i="39"/>
  <c r="E145" i="39"/>
  <c r="D145" i="39"/>
  <c r="C145" i="39"/>
  <c r="H144" i="39"/>
  <c r="E144" i="39"/>
  <c r="D144" i="39"/>
  <c r="C144" i="39"/>
  <c r="B144" i="39" s="1"/>
  <c r="H143" i="39"/>
  <c r="E143" i="39"/>
  <c r="D143" i="39"/>
  <c r="C143" i="39"/>
  <c r="H142" i="39"/>
  <c r="E142" i="39"/>
  <c r="D142" i="39"/>
  <c r="C142" i="39"/>
  <c r="H141" i="39"/>
  <c r="E141" i="39"/>
  <c r="D141" i="39"/>
  <c r="C141" i="39"/>
  <c r="H140" i="39"/>
  <c r="E140" i="39"/>
  <c r="D140" i="39"/>
  <c r="C140" i="39"/>
  <c r="B140" i="39" s="1"/>
  <c r="H139" i="39"/>
  <c r="E139" i="39"/>
  <c r="D139" i="39"/>
  <c r="C139" i="39"/>
  <c r="B139" i="39" s="1"/>
  <c r="H138" i="39"/>
  <c r="E138" i="39"/>
  <c r="D138" i="39"/>
  <c r="C138" i="39"/>
  <c r="B138" i="39" s="1"/>
  <c r="H137" i="39"/>
  <c r="E137" i="39"/>
  <c r="D137" i="39"/>
  <c r="C137" i="39"/>
  <c r="H136" i="39"/>
  <c r="E136" i="39"/>
  <c r="D136" i="39"/>
  <c r="C136" i="39"/>
  <c r="B136" i="39" s="1"/>
  <c r="H135" i="39"/>
  <c r="E135" i="39"/>
  <c r="D135" i="39"/>
  <c r="C135" i="39"/>
  <c r="H134" i="39"/>
  <c r="E134" i="39"/>
  <c r="D134" i="39"/>
  <c r="C134" i="39"/>
  <c r="B134" i="39" s="1"/>
  <c r="H133" i="39"/>
  <c r="H168" i="39" s="1"/>
  <c r="E133" i="39"/>
  <c r="E168" i="39" s="1"/>
  <c r="D133" i="39"/>
  <c r="D168" i="39" s="1"/>
  <c r="C133" i="39"/>
  <c r="C168" i="39" s="1"/>
  <c r="J130" i="39"/>
  <c r="I130" i="39"/>
  <c r="G130" i="39"/>
  <c r="F130" i="39"/>
  <c r="H129" i="39"/>
  <c r="H130" i="39" s="1"/>
  <c r="E129" i="39"/>
  <c r="E130" i="39" s="1"/>
  <c r="D129" i="39"/>
  <c r="D130" i="39" s="1"/>
  <c r="C129" i="39"/>
  <c r="C130" i="39" s="1"/>
  <c r="I126" i="39"/>
  <c r="G126" i="39"/>
  <c r="F126" i="39"/>
  <c r="H125" i="39"/>
  <c r="E125" i="39"/>
  <c r="D125" i="39"/>
  <c r="C125" i="39"/>
  <c r="B125" i="39" s="1"/>
  <c r="J124" i="39"/>
  <c r="H124" i="39" s="1"/>
  <c r="E124" i="39"/>
  <c r="D124" i="39"/>
  <c r="C124" i="39"/>
  <c r="B124" i="39" s="1"/>
  <c r="H123" i="39"/>
  <c r="E123" i="39"/>
  <c r="E126" i="39" s="1"/>
  <c r="D123" i="39"/>
  <c r="D126" i="39" s="1"/>
  <c r="C123" i="39"/>
  <c r="C126" i="39" s="1"/>
  <c r="G116" i="39"/>
  <c r="F116" i="39"/>
  <c r="J115" i="39"/>
  <c r="J116" i="39" s="1"/>
  <c r="H115" i="39"/>
  <c r="E115" i="39"/>
  <c r="D115" i="39"/>
  <c r="C115" i="39"/>
  <c r="B115" i="39" s="1"/>
  <c r="I114" i="39"/>
  <c r="I116" i="39" s="1"/>
  <c r="H114" i="39"/>
  <c r="H116" i="39" s="1"/>
  <c r="E114" i="39"/>
  <c r="E116" i="39" s="1"/>
  <c r="D114" i="39"/>
  <c r="D116" i="39" s="1"/>
  <c r="C114" i="39"/>
  <c r="C116" i="39" s="1"/>
  <c r="B114" i="39"/>
  <c r="G111" i="39"/>
  <c r="F111" i="39"/>
  <c r="I110" i="39"/>
  <c r="I111" i="39" s="1"/>
  <c r="E110" i="39"/>
  <c r="D110" i="39"/>
  <c r="C110" i="39"/>
  <c r="B110" i="39" s="1"/>
  <c r="J109" i="39"/>
  <c r="J111" i="39" s="1"/>
  <c r="H109" i="39"/>
  <c r="E109" i="39"/>
  <c r="E111" i="39" s="1"/>
  <c r="D109" i="39"/>
  <c r="D111" i="39" s="1"/>
  <c r="C109" i="39"/>
  <c r="C111" i="39" s="1"/>
  <c r="B109" i="39"/>
  <c r="B111" i="39" s="1"/>
  <c r="G106" i="39"/>
  <c r="F106" i="39"/>
  <c r="I105" i="39"/>
  <c r="H105" i="39" s="1"/>
  <c r="E105" i="39"/>
  <c r="D105" i="39"/>
  <c r="C105" i="39"/>
  <c r="B105" i="39" s="1"/>
  <c r="J104" i="39"/>
  <c r="J106" i="39" s="1"/>
  <c r="D106" i="39" s="1"/>
  <c r="I104" i="39"/>
  <c r="I106" i="39" s="1"/>
  <c r="C106" i="39" s="1"/>
  <c r="H104" i="39"/>
  <c r="H106" i="39" s="1"/>
  <c r="E104" i="39"/>
  <c r="E106" i="39" s="1"/>
  <c r="D104" i="39"/>
  <c r="C104" i="39"/>
  <c r="B104" i="39" s="1"/>
  <c r="I101" i="39"/>
  <c r="G101" i="39"/>
  <c r="F101" i="39"/>
  <c r="H100" i="39"/>
  <c r="E100" i="39"/>
  <c r="D100" i="39"/>
  <c r="C100" i="39"/>
  <c r="H99" i="39"/>
  <c r="E99" i="39"/>
  <c r="D99" i="39"/>
  <c r="C99" i="39"/>
  <c r="B99" i="39"/>
  <c r="J98" i="39"/>
  <c r="J101" i="39" s="1"/>
  <c r="H98" i="39"/>
  <c r="H101" i="39" s="1"/>
  <c r="E98" i="39"/>
  <c r="E101" i="39" s="1"/>
  <c r="D98" i="39"/>
  <c r="D101" i="39" s="1"/>
  <c r="C98" i="39"/>
  <c r="C101" i="39" s="1"/>
  <c r="B98" i="39"/>
  <c r="G95" i="39"/>
  <c r="F95" i="39"/>
  <c r="I94" i="39"/>
  <c r="H94" i="39"/>
  <c r="E94" i="39"/>
  <c r="D94" i="39"/>
  <c r="C94" i="39"/>
  <c r="B94" i="39"/>
  <c r="I93" i="39"/>
  <c r="I95" i="39" s="1"/>
  <c r="H93" i="39"/>
  <c r="E93" i="39"/>
  <c r="D93" i="39"/>
  <c r="C93" i="39"/>
  <c r="B93" i="39" s="1"/>
  <c r="H92" i="39"/>
  <c r="E92" i="39"/>
  <c r="D92" i="39"/>
  <c r="C92" i="39"/>
  <c r="B92" i="39" s="1"/>
  <c r="J91" i="39"/>
  <c r="H91" i="39" s="1"/>
  <c r="H95" i="39" s="1"/>
  <c r="E91" i="39"/>
  <c r="E95" i="39" s="1"/>
  <c r="D91" i="39"/>
  <c r="D95" i="39" s="1"/>
  <c r="C91" i="39"/>
  <c r="C95" i="39" s="1"/>
  <c r="B91" i="39"/>
  <c r="I88" i="39"/>
  <c r="G88" i="39"/>
  <c r="F88" i="39"/>
  <c r="C88" i="39" s="1"/>
  <c r="H87" i="39"/>
  <c r="E87" i="39"/>
  <c r="D87" i="39"/>
  <c r="C87" i="39"/>
  <c r="B87" i="39" s="1"/>
  <c r="J86" i="39"/>
  <c r="H86" i="39" s="1"/>
  <c r="E86" i="39"/>
  <c r="C86" i="39"/>
  <c r="H85" i="39"/>
  <c r="E85" i="39"/>
  <c r="D85" i="39"/>
  <c r="C85" i="39"/>
  <c r="H84" i="39"/>
  <c r="E84" i="39"/>
  <c r="D84" i="39"/>
  <c r="C84" i="39"/>
  <c r="H83" i="39"/>
  <c r="E83" i="39"/>
  <c r="D83" i="39"/>
  <c r="C83" i="39"/>
  <c r="J82" i="39"/>
  <c r="J88" i="39" s="1"/>
  <c r="D88" i="39" s="1"/>
  <c r="E82" i="39"/>
  <c r="E88" i="39" s="1"/>
  <c r="D82" i="39"/>
  <c r="C82" i="39"/>
  <c r="B82" i="39" s="1"/>
  <c r="J79" i="39"/>
  <c r="I79" i="39"/>
  <c r="H79" i="39"/>
  <c r="G79" i="39"/>
  <c r="F79" i="39"/>
  <c r="E79" i="39"/>
  <c r="D78" i="39"/>
  <c r="C78" i="39"/>
  <c r="D77" i="39"/>
  <c r="D79" i="39" s="1"/>
  <c r="C77" i="39"/>
  <c r="C79" i="39" s="1"/>
  <c r="J74" i="39"/>
  <c r="I74" i="39"/>
  <c r="G74" i="39"/>
  <c r="F74" i="39"/>
  <c r="H73" i="39"/>
  <c r="E73" i="39"/>
  <c r="D73" i="39"/>
  <c r="C73" i="39"/>
  <c r="B73" i="39" s="1"/>
  <c r="H72" i="39"/>
  <c r="E72" i="39"/>
  <c r="D72" i="39"/>
  <c r="C72" i="39"/>
  <c r="B72" i="39" s="1"/>
  <c r="H71" i="39"/>
  <c r="H74" i="39" s="1"/>
  <c r="E71" i="39"/>
  <c r="E74" i="39" s="1"/>
  <c r="D71" i="39"/>
  <c r="D74" i="39" s="1"/>
  <c r="C71" i="39"/>
  <c r="C74" i="39" s="1"/>
  <c r="J68" i="39"/>
  <c r="H68" i="39"/>
  <c r="G68" i="39"/>
  <c r="F68" i="39"/>
  <c r="E68" i="39"/>
  <c r="D68" i="39"/>
  <c r="I67" i="39"/>
  <c r="I68" i="39" s="1"/>
  <c r="J64" i="39"/>
  <c r="H64" i="39"/>
  <c r="G64" i="39"/>
  <c r="F64" i="39"/>
  <c r="E64" i="39"/>
  <c r="D63" i="39"/>
  <c r="C63" i="39"/>
  <c r="B63" i="39" s="1"/>
  <c r="I62" i="39"/>
  <c r="I64" i="39" s="1"/>
  <c r="D62" i="39"/>
  <c r="C62" i="39"/>
  <c r="B62" i="39" s="1"/>
  <c r="D61" i="39"/>
  <c r="C61" i="39"/>
  <c r="B61" i="39" s="1"/>
  <c r="D60" i="39"/>
  <c r="C60" i="39"/>
  <c r="D59" i="39"/>
  <c r="C59" i="39"/>
  <c r="B59" i="39" s="1"/>
  <c r="D58" i="39"/>
  <c r="D64" i="39" s="1"/>
  <c r="C58" i="39"/>
  <c r="C64" i="39" s="1"/>
  <c r="G55" i="39"/>
  <c r="F55" i="39"/>
  <c r="H54" i="39"/>
  <c r="E54" i="39"/>
  <c r="D54" i="39"/>
  <c r="C54" i="39"/>
  <c r="H53" i="39"/>
  <c r="E53" i="39"/>
  <c r="D53" i="39"/>
  <c r="C53" i="39"/>
  <c r="B53" i="39" s="1"/>
  <c r="H52" i="39"/>
  <c r="E52" i="39"/>
  <c r="D52" i="39"/>
  <c r="C52" i="39"/>
  <c r="H51" i="39"/>
  <c r="E51" i="39"/>
  <c r="D51" i="39"/>
  <c r="C51" i="39"/>
  <c r="B51" i="39" s="1"/>
  <c r="I50" i="39"/>
  <c r="H50" i="39"/>
  <c r="E50" i="39"/>
  <c r="D50" i="39"/>
  <c r="C50" i="39"/>
  <c r="B50" i="39"/>
  <c r="I49" i="39"/>
  <c r="H49" i="39"/>
  <c r="E49" i="39"/>
  <c r="D49" i="39"/>
  <c r="C49" i="39"/>
  <c r="B49" i="39"/>
  <c r="I48" i="39"/>
  <c r="I55" i="39" s="1"/>
  <c r="H48" i="39"/>
  <c r="E48" i="39"/>
  <c r="D48" i="39"/>
  <c r="C48" i="39"/>
  <c r="B48" i="39" s="1"/>
  <c r="J47" i="39"/>
  <c r="J55" i="39" s="1"/>
  <c r="H47" i="39"/>
  <c r="H55" i="39" s="1"/>
  <c r="E47" i="39"/>
  <c r="E55" i="39" s="1"/>
  <c r="D47" i="39"/>
  <c r="D55" i="39" s="1"/>
  <c r="C47" i="39"/>
  <c r="C55" i="39" s="1"/>
  <c r="I44" i="39"/>
  <c r="G44" i="39"/>
  <c r="F44" i="39"/>
  <c r="H43" i="39"/>
  <c r="E43" i="39"/>
  <c r="D43" i="39"/>
  <c r="C43" i="39"/>
  <c r="B43" i="39" s="1"/>
  <c r="J42" i="39"/>
  <c r="J44" i="39" s="1"/>
  <c r="H42" i="39"/>
  <c r="H44" i="39" s="1"/>
  <c r="E42" i="39"/>
  <c r="E44" i="39" s="1"/>
  <c r="D42" i="39"/>
  <c r="D44" i="39" s="1"/>
  <c r="C42" i="39"/>
  <c r="C44" i="39" s="1"/>
  <c r="B42" i="39"/>
  <c r="J39" i="39"/>
  <c r="I39" i="39"/>
  <c r="G39" i="39"/>
  <c r="F39" i="39"/>
  <c r="H38" i="39"/>
  <c r="E38" i="39"/>
  <c r="D38" i="39"/>
  <c r="C38" i="39"/>
  <c r="B38" i="39"/>
  <c r="H37" i="39"/>
  <c r="D37" i="39"/>
  <c r="C37" i="39"/>
  <c r="B37" i="39"/>
  <c r="H36" i="39"/>
  <c r="E36" i="39"/>
  <c r="D36" i="39"/>
  <c r="C36" i="39"/>
  <c r="B36" i="39"/>
  <c r="H35" i="39"/>
  <c r="H39" i="39" s="1"/>
  <c r="E35" i="39"/>
  <c r="E39" i="39" s="1"/>
  <c r="D35" i="39"/>
  <c r="D39" i="39" s="1"/>
  <c r="C35" i="39"/>
  <c r="C39" i="39" s="1"/>
  <c r="B35" i="39"/>
  <c r="B39" i="39" s="1"/>
  <c r="I32" i="39"/>
  <c r="G32" i="39"/>
  <c r="F32" i="39"/>
  <c r="H31" i="39"/>
  <c r="E31" i="39"/>
  <c r="D31" i="39"/>
  <c r="C31" i="39"/>
  <c r="B31" i="39"/>
  <c r="H30" i="39"/>
  <c r="E30" i="39"/>
  <c r="D30" i="39"/>
  <c r="C30" i="39"/>
  <c r="B30" i="39"/>
  <c r="H29" i="39"/>
  <c r="E29" i="39"/>
  <c r="D29" i="39"/>
  <c r="C29" i="39"/>
  <c r="B29" i="39"/>
  <c r="H28" i="39"/>
  <c r="E28" i="39"/>
  <c r="D28" i="39"/>
  <c r="C28" i="39"/>
  <c r="B28" i="39"/>
  <c r="J27" i="39"/>
  <c r="H27" i="39" s="1"/>
  <c r="B27" i="39" s="1"/>
  <c r="E27" i="39"/>
  <c r="D27" i="39"/>
  <c r="C27" i="39"/>
  <c r="J26" i="39"/>
  <c r="H26" i="39" s="1"/>
  <c r="B26" i="39" s="1"/>
  <c r="E26" i="39"/>
  <c r="D26" i="39"/>
  <c r="C26" i="39"/>
  <c r="H25" i="39"/>
  <c r="E25" i="39"/>
  <c r="D25" i="39"/>
  <c r="C25" i="39"/>
  <c r="B25" i="39"/>
  <c r="H24" i="39"/>
  <c r="E24" i="39"/>
  <c r="B24" i="39" s="1"/>
  <c r="D24" i="39"/>
  <c r="C24" i="39"/>
  <c r="J23" i="39"/>
  <c r="J32" i="39" s="1"/>
  <c r="E23" i="39"/>
  <c r="E32" i="39" s="1"/>
  <c r="C23" i="39"/>
  <c r="C32" i="39" s="1"/>
  <c r="I20" i="39"/>
  <c r="G20" i="39"/>
  <c r="F20" i="39"/>
  <c r="H19" i="39"/>
  <c r="E19" i="39"/>
  <c r="B19" i="39" s="1"/>
  <c r="D19" i="39"/>
  <c r="C19" i="39"/>
  <c r="H18" i="39"/>
  <c r="E18" i="39"/>
  <c r="D18" i="39"/>
  <c r="C18" i="39"/>
  <c r="B18" i="39"/>
  <c r="H17" i="39"/>
  <c r="E17" i="39"/>
  <c r="B17" i="39" s="1"/>
  <c r="D17" i="39"/>
  <c r="C17" i="39"/>
  <c r="J16" i="39"/>
  <c r="H16" i="39" s="1"/>
  <c r="E16" i="39"/>
  <c r="E20" i="39" s="1"/>
  <c r="C16" i="39"/>
  <c r="J13" i="39"/>
  <c r="I13" i="39"/>
  <c r="G13" i="39"/>
  <c r="F13" i="39"/>
  <c r="H12" i="39"/>
  <c r="H13" i="39" s="1"/>
  <c r="E12" i="39"/>
  <c r="E13" i="39" s="1"/>
  <c r="D12" i="39"/>
  <c r="D13" i="39" s="1"/>
  <c r="C12" i="39"/>
  <c r="C13" i="39" s="1"/>
  <c r="I9" i="39"/>
  <c r="G9" i="39"/>
  <c r="F9" i="39"/>
  <c r="J8" i="39"/>
  <c r="J9" i="39" s="1"/>
  <c r="H8" i="39"/>
  <c r="E8" i="39"/>
  <c r="D8" i="39"/>
  <c r="C8" i="39"/>
  <c r="B8" i="39"/>
  <c r="H7" i="39"/>
  <c r="E7" i="39"/>
  <c r="D7" i="39"/>
  <c r="C7" i="39"/>
  <c r="B7" i="39" s="1"/>
  <c r="H6" i="39"/>
  <c r="E6" i="39"/>
  <c r="E9" i="39" s="1"/>
  <c r="D6" i="39"/>
  <c r="D9" i="39" s="1"/>
  <c r="C6" i="39"/>
  <c r="C9" i="39" s="1"/>
  <c r="J64" i="38"/>
  <c r="I64" i="38"/>
  <c r="G64" i="38"/>
  <c r="F64" i="38"/>
  <c r="J63" i="38"/>
  <c r="I63" i="38"/>
  <c r="G63" i="38"/>
  <c r="F63" i="38"/>
  <c r="J62" i="38"/>
  <c r="J65" i="38" s="1"/>
  <c r="I62" i="38"/>
  <c r="G62" i="38"/>
  <c r="F62" i="38"/>
  <c r="F65" i="38" s="1"/>
  <c r="H61" i="38"/>
  <c r="E61" i="38"/>
  <c r="D61" i="38"/>
  <c r="C61" i="38"/>
  <c r="H60" i="38"/>
  <c r="E60" i="38"/>
  <c r="D60" i="38"/>
  <c r="C60" i="38"/>
  <c r="B60" i="38"/>
  <c r="H59" i="38"/>
  <c r="E59" i="38"/>
  <c r="D59" i="38"/>
  <c r="C59" i="38"/>
  <c r="B59" i="38" s="1"/>
  <c r="H58" i="38"/>
  <c r="E58" i="38"/>
  <c r="D58" i="38"/>
  <c r="C58" i="38"/>
  <c r="B58" i="38" s="1"/>
  <c r="H57" i="38"/>
  <c r="E57" i="38"/>
  <c r="D57" i="38"/>
  <c r="C57" i="38"/>
  <c r="H56" i="38"/>
  <c r="E56" i="38"/>
  <c r="D56" i="38"/>
  <c r="C56" i="38"/>
  <c r="B56" i="38" s="1"/>
  <c r="H55" i="38"/>
  <c r="E55" i="38"/>
  <c r="D55" i="38"/>
  <c r="C55" i="38"/>
  <c r="H54" i="38"/>
  <c r="E54" i="38"/>
  <c r="D54" i="38"/>
  <c r="C54" i="38"/>
  <c r="H53" i="38"/>
  <c r="E53" i="38"/>
  <c r="D53" i="38"/>
  <c r="C53" i="38"/>
  <c r="H52" i="38"/>
  <c r="E52" i="38"/>
  <c r="D52" i="38"/>
  <c r="C52" i="38"/>
  <c r="B52" i="38"/>
  <c r="H51" i="38"/>
  <c r="E51" i="38"/>
  <c r="D51" i="38"/>
  <c r="C51" i="38"/>
  <c r="B51" i="38" s="1"/>
  <c r="H50" i="38"/>
  <c r="E50" i="38"/>
  <c r="D50" i="38"/>
  <c r="C50" i="38"/>
  <c r="B50" i="38" s="1"/>
  <c r="H49" i="38"/>
  <c r="E49" i="38"/>
  <c r="D49" i="38"/>
  <c r="C49" i="38"/>
  <c r="H48" i="38"/>
  <c r="E48" i="38"/>
  <c r="D48" i="38"/>
  <c r="C48" i="38"/>
  <c r="B48" i="38" s="1"/>
  <c r="H47" i="38"/>
  <c r="E47" i="38"/>
  <c r="D47" i="38"/>
  <c r="C47" i="38"/>
  <c r="H46" i="38"/>
  <c r="E46" i="38"/>
  <c r="D46" i="38"/>
  <c r="C46" i="38"/>
  <c r="H45" i="38"/>
  <c r="E45" i="38"/>
  <c r="D45" i="38"/>
  <c r="C45" i="38"/>
  <c r="H44" i="38"/>
  <c r="E44" i="38"/>
  <c r="D44" i="38"/>
  <c r="C44" i="38"/>
  <c r="B44" i="38"/>
  <c r="H43" i="38"/>
  <c r="E43" i="38"/>
  <c r="D43" i="38"/>
  <c r="C43" i="38"/>
  <c r="B43" i="38" s="1"/>
  <c r="H42" i="38"/>
  <c r="E42" i="38"/>
  <c r="D42" i="38"/>
  <c r="C42" i="38"/>
  <c r="B42" i="38" s="1"/>
  <c r="H41" i="38"/>
  <c r="E41" i="38"/>
  <c r="D41" i="38"/>
  <c r="C41" i="38"/>
  <c r="H40" i="38"/>
  <c r="E40" i="38"/>
  <c r="D40" i="38"/>
  <c r="C40" i="38"/>
  <c r="B40" i="38" s="1"/>
  <c r="H39" i="38"/>
  <c r="E39" i="38"/>
  <c r="D39" i="38"/>
  <c r="C39" i="38"/>
  <c r="H38" i="38"/>
  <c r="E38" i="38"/>
  <c r="D38" i="38"/>
  <c r="C38" i="38"/>
  <c r="H37" i="38"/>
  <c r="E37" i="38"/>
  <c r="D37" i="38"/>
  <c r="C37" i="38"/>
  <c r="B37" i="38"/>
  <c r="H36" i="38"/>
  <c r="E36" i="38"/>
  <c r="D36" i="38"/>
  <c r="C36" i="38"/>
  <c r="B36" i="38" s="1"/>
  <c r="H35" i="38"/>
  <c r="E35" i="38"/>
  <c r="D35" i="38"/>
  <c r="C35" i="38"/>
  <c r="B35" i="38" s="1"/>
  <c r="H34" i="38"/>
  <c r="E34" i="38"/>
  <c r="D34" i="38"/>
  <c r="C34" i="38"/>
  <c r="H33" i="38"/>
  <c r="E33" i="38"/>
  <c r="D33" i="38"/>
  <c r="C33" i="38"/>
  <c r="B33" i="38"/>
  <c r="H32" i="38"/>
  <c r="E32" i="38"/>
  <c r="D32" i="38"/>
  <c r="C32" i="38"/>
  <c r="B32" i="38" s="1"/>
  <c r="H31" i="38"/>
  <c r="E31" i="38"/>
  <c r="D31" i="38"/>
  <c r="C31" i="38"/>
  <c r="B31" i="38" s="1"/>
  <c r="H30" i="38"/>
  <c r="E30" i="38"/>
  <c r="D30" i="38"/>
  <c r="C30" i="38"/>
  <c r="H29" i="38"/>
  <c r="E29" i="38"/>
  <c r="D29" i="38"/>
  <c r="C29" i="38"/>
  <c r="B29" i="38"/>
  <c r="H28" i="38"/>
  <c r="E28" i="38"/>
  <c r="D28" i="38"/>
  <c r="C28" i="38"/>
  <c r="B28" i="38" s="1"/>
  <c r="H27" i="38"/>
  <c r="E27" i="38"/>
  <c r="D27" i="38"/>
  <c r="C27" i="38"/>
  <c r="B27" i="38" s="1"/>
  <c r="H26" i="38"/>
  <c r="E26" i="38"/>
  <c r="D26" i="38"/>
  <c r="C26" i="38"/>
  <c r="H25" i="38"/>
  <c r="E25" i="38"/>
  <c r="D25" i="38"/>
  <c r="C25" i="38"/>
  <c r="H24" i="38"/>
  <c r="E24" i="38"/>
  <c r="D24" i="38"/>
  <c r="C24" i="38"/>
  <c r="B24" i="38"/>
  <c r="H23" i="38"/>
  <c r="E23" i="38"/>
  <c r="D23" i="38"/>
  <c r="C23" i="38"/>
  <c r="B23" i="38" s="1"/>
  <c r="H22" i="38"/>
  <c r="E22" i="38"/>
  <c r="D22" i="38"/>
  <c r="C22" i="38"/>
  <c r="B22" i="38" s="1"/>
  <c r="H21" i="38"/>
  <c r="E21" i="38"/>
  <c r="D21" i="38"/>
  <c r="C21" i="38"/>
  <c r="B21" i="38" s="1"/>
  <c r="H20" i="38"/>
  <c r="E20" i="38"/>
  <c r="D20" i="38"/>
  <c r="C20" i="38"/>
  <c r="H19" i="38"/>
  <c r="E19" i="38"/>
  <c r="D19" i="38"/>
  <c r="C19" i="38"/>
  <c r="H18" i="38"/>
  <c r="E18" i="38"/>
  <c r="D18" i="38"/>
  <c r="C18" i="38"/>
  <c r="B18" i="38"/>
  <c r="H17" i="38"/>
  <c r="E17" i="38"/>
  <c r="D17" i="38"/>
  <c r="C17" i="38"/>
  <c r="B17" i="38" s="1"/>
  <c r="H16" i="38"/>
  <c r="E16" i="38"/>
  <c r="D16" i="38"/>
  <c r="C16" i="38"/>
  <c r="B16" i="38" s="1"/>
  <c r="H15" i="38"/>
  <c r="E15" i="38"/>
  <c r="D15" i="38"/>
  <c r="C15" i="38"/>
  <c r="H14" i="38"/>
  <c r="E14" i="38"/>
  <c r="D14" i="38"/>
  <c r="C14" i="38"/>
  <c r="B14" i="38" s="1"/>
  <c r="H13" i="38"/>
  <c r="E13" i="38"/>
  <c r="D13" i="38"/>
  <c r="C13" i="38"/>
  <c r="H12" i="38"/>
  <c r="E12" i="38"/>
  <c r="D12" i="38"/>
  <c r="C12" i="38"/>
  <c r="H11" i="38"/>
  <c r="E11" i="38"/>
  <c r="D11" i="38"/>
  <c r="C11" i="38"/>
  <c r="H10" i="38"/>
  <c r="E10" i="38"/>
  <c r="D10" i="38"/>
  <c r="C10" i="38"/>
  <c r="B10" i="38"/>
  <c r="H9" i="38"/>
  <c r="E9" i="38"/>
  <c r="D9" i="38"/>
  <c r="C9" i="38"/>
  <c r="B9" i="38" s="1"/>
  <c r="H8" i="38"/>
  <c r="E8" i="38"/>
  <c r="D8" i="38"/>
  <c r="C8" i="38"/>
  <c r="B8" i="38" s="1"/>
  <c r="H7" i="38"/>
  <c r="H64" i="38" s="1"/>
  <c r="E7" i="38"/>
  <c r="E64" i="38" s="1"/>
  <c r="D7" i="38"/>
  <c r="D64" i="38" s="1"/>
  <c r="C7" i="38"/>
  <c r="C64" i="38" s="1"/>
  <c r="H6" i="38"/>
  <c r="H63" i="38" s="1"/>
  <c r="E6" i="38"/>
  <c r="E63" i="38" s="1"/>
  <c r="D6" i="38"/>
  <c r="D63" i="38" s="1"/>
  <c r="C6" i="38"/>
  <c r="C63" i="38" s="1"/>
  <c r="B6" i="38"/>
  <c r="H5" i="38"/>
  <c r="H62" i="38" s="1"/>
  <c r="E5" i="38"/>
  <c r="E62" i="38" s="1"/>
  <c r="D5" i="38"/>
  <c r="D62" i="38" s="1"/>
  <c r="C5" i="38"/>
  <c r="C62" i="38" s="1"/>
  <c r="K49" i="37"/>
  <c r="J49" i="37"/>
  <c r="H49" i="37"/>
  <c r="G49" i="37"/>
  <c r="K48" i="37"/>
  <c r="J48" i="37"/>
  <c r="H48" i="37"/>
  <c r="G48" i="37"/>
  <c r="K47" i="37"/>
  <c r="K50" i="37" s="1"/>
  <c r="J47" i="37"/>
  <c r="J50" i="37" s="1"/>
  <c r="H47" i="37"/>
  <c r="H50" i="37" s="1"/>
  <c r="G47" i="37"/>
  <c r="G50" i="37" s="1"/>
  <c r="I46" i="37"/>
  <c r="F46" i="37"/>
  <c r="E46" i="37"/>
  <c r="D46" i="37"/>
  <c r="C46" i="37" s="1"/>
  <c r="I45" i="37"/>
  <c r="F45" i="37"/>
  <c r="E45" i="37"/>
  <c r="D45" i="37"/>
  <c r="C45" i="37" s="1"/>
  <c r="I44" i="37"/>
  <c r="F44" i="37"/>
  <c r="E44" i="37"/>
  <c r="D44" i="37"/>
  <c r="C44" i="37" s="1"/>
  <c r="I43" i="37"/>
  <c r="F43" i="37"/>
  <c r="E43" i="37"/>
  <c r="D43" i="37"/>
  <c r="C43" i="37"/>
  <c r="I42" i="37"/>
  <c r="F42" i="37"/>
  <c r="E42" i="37"/>
  <c r="D42" i="37"/>
  <c r="C42" i="37" s="1"/>
  <c r="I41" i="37"/>
  <c r="F41" i="37"/>
  <c r="E41" i="37"/>
  <c r="D41" i="37"/>
  <c r="C41" i="37" s="1"/>
  <c r="I40" i="37"/>
  <c r="F40" i="37"/>
  <c r="E40" i="37"/>
  <c r="D40" i="37"/>
  <c r="I39" i="37"/>
  <c r="F39" i="37"/>
  <c r="E39" i="37"/>
  <c r="D39" i="37"/>
  <c r="C39" i="37" s="1"/>
  <c r="I38" i="37"/>
  <c r="F38" i="37"/>
  <c r="E38" i="37"/>
  <c r="D38" i="37"/>
  <c r="C38" i="37"/>
  <c r="I37" i="37"/>
  <c r="F37" i="37"/>
  <c r="E37" i="37"/>
  <c r="D37" i="37"/>
  <c r="C37" i="37" s="1"/>
  <c r="I36" i="37"/>
  <c r="F36" i="37"/>
  <c r="E36" i="37"/>
  <c r="D36" i="37"/>
  <c r="C36" i="37" s="1"/>
  <c r="I35" i="37"/>
  <c r="F35" i="37"/>
  <c r="E35" i="37"/>
  <c r="D35" i="37"/>
  <c r="I34" i="37"/>
  <c r="F34" i="37"/>
  <c r="E34" i="37"/>
  <c r="D34" i="37"/>
  <c r="C34" i="37"/>
  <c r="I33" i="37"/>
  <c r="F33" i="37"/>
  <c r="E33" i="37"/>
  <c r="D33" i="37"/>
  <c r="C33" i="37" s="1"/>
  <c r="I32" i="37"/>
  <c r="F32" i="37"/>
  <c r="E32" i="37"/>
  <c r="D32" i="37"/>
  <c r="C32" i="37" s="1"/>
  <c r="I31" i="37"/>
  <c r="F31" i="37"/>
  <c r="E31" i="37"/>
  <c r="D31" i="37"/>
  <c r="I30" i="37"/>
  <c r="F30" i="37"/>
  <c r="E30" i="37"/>
  <c r="D30" i="37"/>
  <c r="C30" i="37"/>
  <c r="I29" i="37"/>
  <c r="F29" i="37"/>
  <c r="E29" i="37"/>
  <c r="D29" i="37"/>
  <c r="C29" i="37" s="1"/>
  <c r="I28" i="37"/>
  <c r="F28" i="37"/>
  <c r="E28" i="37"/>
  <c r="D28" i="37"/>
  <c r="C28" i="37" s="1"/>
  <c r="I27" i="37"/>
  <c r="F27" i="37"/>
  <c r="E27" i="37"/>
  <c r="D27" i="37"/>
  <c r="I26" i="37"/>
  <c r="F26" i="37"/>
  <c r="E26" i="37"/>
  <c r="D26" i="37"/>
  <c r="C26" i="37"/>
  <c r="I25" i="37"/>
  <c r="F25" i="37"/>
  <c r="E25" i="37"/>
  <c r="D25" i="37"/>
  <c r="C25" i="37" s="1"/>
  <c r="I24" i="37"/>
  <c r="F24" i="37"/>
  <c r="E24" i="37"/>
  <c r="D24" i="37"/>
  <c r="C24" i="37" s="1"/>
  <c r="I23" i="37"/>
  <c r="F23" i="37"/>
  <c r="E23" i="37"/>
  <c r="D23" i="37"/>
  <c r="I22" i="37"/>
  <c r="F22" i="37"/>
  <c r="E22" i="37"/>
  <c r="D22" i="37"/>
  <c r="C22" i="37"/>
  <c r="I21" i="37"/>
  <c r="F21" i="37"/>
  <c r="E21" i="37"/>
  <c r="D21" i="37"/>
  <c r="C21" i="37" s="1"/>
  <c r="I20" i="37"/>
  <c r="F20" i="37"/>
  <c r="E20" i="37"/>
  <c r="D20" i="37"/>
  <c r="C20" i="37" s="1"/>
  <c r="I19" i="37"/>
  <c r="F19" i="37"/>
  <c r="E19" i="37"/>
  <c r="D19" i="37"/>
  <c r="I18" i="37"/>
  <c r="F18" i="37"/>
  <c r="E18" i="37"/>
  <c r="D18" i="37"/>
  <c r="C18" i="37"/>
  <c r="I17" i="37"/>
  <c r="F17" i="37"/>
  <c r="E17" i="37"/>
  <c r="D17" i="37"/>
  <c r="C17" i="37" s="1"/>
  <c r="I16" i="37"/>
  <c r="F16" i="37"/>
  <c r="E16" i="37"/>
  <c r="D16" i="37"/>
  <c r="C16" i="37" s="1"/>
  <c r="I15" i="37"/>
  <c r="F15" i="37"/>
  <c r="E15" i="37"/>
  <c r="D15" i="37"/>
  <c r="I14" i="37"/>
  <c r="F14" i="37"/>
  <c r="E14" i="37"/>
  <c r="D14" i="37"/>
  <c r="C14" i="37"/>
  <c r="I13" i="37"/>
  <c r="F13" i="37"/>
  <c r="E13" i="37"/>
  <c r="D13" i="37"/>
  <c r="C13" i="37" s="1"/>
  <c r="I12" i="37"/>
  <c r="F12" i="37"/>
  <c r="E12" i="37"/>
  <c r="D12" i="37"/>
  <c r="C12" i="37" s="1"/>
  <c r="I11" i="37"/>
  <c r="F11" i="37"/>
  <c r="E11" i="37"/>
  <c r="D11" i="37"/>
  <c r="I10" i="37"/>
  <c r="F10" i="37"/>
  <c r="E10" i="37"/>
  <c r="D10" i="37"/>
  <c r="C10" i="37"/>
  <c r="I9" i="37"/>
  <c r="F9" i="37"/>
  <c r="E9" i="37"/>
  <c r="D9" i="37"/>
  <c r="C9" i="37" s="1"/>
  <c r="I8" i="37"/>
  <c r="F8" i="37"/>
  <c r="E8" i="37"/>
  <c r="D8" i="37"/>
  <c r="C8" i="37" s="1"/>
  <c r="I7" i="37"/>
  <c r="I49" i="37" s="1"/>
  <c r="F7" i="37"/>
  <c r="F49" i="37" s="1"/>
  <c r="E7" i="37"/>
  <c r="E49" i="37" s="1"/>
  <c r="D7" i="37"/>
  <c r="I6" i="37"/>
  <c r="I48" i="37" s="1"/>
  <c r="F6" i="37"/>
  <c r="F48" i="37" s="1"/>
  <c r="E6" i="37"/>
  <c r="E48" i="37" s="1"/>
  <c r="D6" i="37"/>
  <c r="D48" i="37" s="1"/>
  <c r="C6" i="37"/>
  <c r="I5" i="37"/>
  <c r="I47" i="37" s="1"/>
  <c r="F5" i="37"/>
  <c r="F47" i="37" s="1"/>
  <c r="F50" i="37" s="1"/>
  <c r="E5" i="37"/>
  <c r="E47" i="37" s="1"/>
  <c r="D5" i="37"/>
  <c r="C5" i="37" s="1"/>
  <c r="K75" i="36"/>
  <c r="J75" i="36"/>
  <c r="H75" i="36"/>
  <c r="G75" i="36"/>
  <c r="K74" i="36"/>
  <c r="J74" i="36"/>
  <c r="H74" i="36"/>
  <c r="G74" i="36"/>
  <c r="K73" i="36"/>
  <c r="J73" i="36"/>
  <c r="H73" i="36"/>
  <c r="G73" i="36"/>
  <c r="I72" i="36"/>
  <c r="F72" i="36"/>
  <c r="E72" i="36"/>
  <c r="D72" i="36"/>
  <c r="C72" i="36" s="1"/>
  <c r="I71" i="36"/>
  <c r="I73" i="36" s="1"/>
  <c r="F71" i="36"/>
  <c r="F73" i="36" s="1"/>
  <c r="E71" i="36"/>
  <c r="E73" i="36" s="1"/>
  <c r="D71" i="36"/>
  <c r="D73" i="36" s="1"/>
  <c r="K70" i="36"/>
  <c r="J70" i="36"/>
  <c r="H70" i="36"/>
  <c r="G70" i="36"/>
  <c r="I69" i="36"/>
  <c r="F69" i="36"/>
  <c r="E69" i="36"/>
  <c r="D69" i="36"/>
  <c r="C69" i="36"/>
  <c r="I68" i="36"/>
  <c r="I70" i="36" s="1"/>
  <c r="F68" i="36"/>
  <c r="F70" i="36" s="1"/>
  <c r="E68" i="36"/>
  <c r="E70" i="36" s="1"/>
  <c r="D68" i="36"/>
  <c r="D70" i="36" s="1"/>
  <c r="K67" i="36"/>
  <c r="J67" i="36"/>
  <c r="H67" i="36"/>
  <c r="G67" i="36"/>
  <c r="I66" i="36"/>
  <c r="F66" i="36"/>
  <c r="E66" i="36"/>
  <c r="D66" i="36"/>
  <c r="C66" i="36" s="1"/>
  <c r="I65" i="36"/>
  <c r="I67" i="36" s="1"/>
  <c r="F65" i="36"/>
  <c r="F67" i="36" s="1"/>
  <c r="E65" i="36"/>
  <c r="E67" i="36" s="1"/>
  <c r="D65" i="36"/>
  <c r="D67" i="36" s="1"/>
  <c r="K64" i="36"/>
  <c r="J64" i="36"/>
  <c r="H64" i="36"/>
  <c r="G64" i="36"/>
  <c r="I63" i="36"/>
  <c r="F63" i="36"/>
  <c r="E63" i="36"/>
  <c r="D63" i="36"/>
  <c r="C63" i="36"/>
  <c r="I62" i="36"/>
  <c r="F62" i="36"/>
  <c r="F64" i="36" s="1"/>
  <c r="E62" i="36"/>
  <c r="D62" i="36"/>
  <c r="D64" i="36" s="1"/>
  <c r="K61" i="36"/>
  <c r="J61" i="36"/>
  <c r="H61" i="36"/>
  <c r="G61" i="36"/>
  <c r="I60" i="36"/>
  <c r="F60" i="36"/>
  <c r="E60" i="36"/>
  <c r="D60" i="36"/>
  <c r="C60" i="36" s="1"/>
  <c r="I59" i="36"/>
  <c r="I61" i="36" s="1"/>
  <c r="F59" i="36"/>
  <c r="F61" i="36" s="1"/>
  <c r="E59" i="36"/>
  <c r="E61" i="36" s="1"/>
  <c r="D59" i="36"/>
  <c r="D61" i="36" s="1"/>
  <c r="K58" i="36"/>
  <c r="J58" i="36"/>
  <c r="H58" i="36"/>
  <c r="G58" i="36"/>
  <c r="I57" i="36"/>
  <c r="F57" i="36"/>
  <c r="E57" i="36"/>
  <c r="D57" i="36"/>
  <c r="C57" i="36"/>
  <c r="I56" i="36"/>
  <c r="I58" i="36" s="1"/>
  <c r="F56" i="36"/>
  <c r="F58" i="36" s="1"/>
  <c r="E56" i="36"/>
  <c r="E58" i="36" s="1"/>
  <c r="D56" i="36"/>
  <c r="D58" i="36" s="1"/>
  <c r="K55" i="36"/>
  <c r="J55" i="36"/>
  <c r="H55" i="36"/>
  <c r="G55" i="36"/>
  <c r="I54" i="36"/>
  <c r="F54" i="36"/>
  <c r="E54" i="36"/>
  <c r="D54" i="36"/>
  <c r="C54" i="36" s="1"/>
  <c r="I53" i="36"/>
  <c r="I55" i="36" s="1"/>
  <c r="F53" i="36"/>
  <c r="F55" i="36" s="1"/>
  <c r="E53" i="36"/>
  <c r="E55" i="36" s="1"/>
  <c r="D53" i="36"/>
  <c r="D55" i="36" s="1"/>
  <c r="K52" i="36"/>
  <c r="J52" i="36"/>
  <c r="H52" i="36"/>
  <c r="G52" i="36"/>
  <c r="I51" i="36"/>
  <c r="F51" i="36"/>
  <c r="E51" i="36"/>
  <c r="D51" i="36"/>
  <c r="I50" i="36"/>
  <c r="I52" i="36" s="1"/>
  <c r="F50" i="36"/>
  <c r="F52" i="36" s="1"/>
  <c r="E50" i="36"/>
  <c r="E52" i="36" s="1"/>
  <c r="D50" i="36"/>
  <c r="D52" i="36" s="1"/>
  <c r="K49" i="36"/>
  <c r="J49" i="36"/>
  <c r="H49" i="36"/>
  <c r="G49" i="36"/>
  <c r="I48" i="36"/>
  <c r="F48" i="36"/>
  <c r="E48" i="36"/>
  <c r="D48" i="36"/>
  <c r="C48" i="36" s="1"/>
  <c r="I47" i="36"/>
  <c r="I49" i="36" s="1"/>
  <c r="F47" i="36"/>
  <c r="F49" i="36" s="1"/>
  <c r="E47" i="36"/>
  <c r="E49" i="36" s="1"/>
  <c r="D47" i="36"/>
  <c r="D49" i="36" s="1"/>
  <c r="K46" i="36"/>
  <c r="J46" i="36"/>
  <c r="H46" i="36"/>
  <c r="G46" i="36"/>
  <c r="I45" i="36"/>
  <c r="F45" i="36"/>
  <c r="E45" i="36"/>
  <c r="D45" i="36"/>
  <c r="C45" i="36"/>
  <c r="I44" i="36"/>
  <c r="I46" i="36" s="1"/>
  <c r="F44" i="36"/>
  <c r="F46" i="36" s="1"/>
  <c r="E44" i="36"/>
  <c r="E46" i="36" s="1"/>
  <c r="D44" i="36"/>
  <c r="D46" i="36" s="1"/>
  <c r="K43" i="36"/>
  <c r="J43" i="36"/>
  <c r="H43" i="36"/>
  <c r="G43" i="36"/>
  <c r="I42" i="36"/>
  <c r="F42" i="36"/>
  <c r="E42" i="36"/>
  <c r="D42" i="36"/>
  <c r="C42" i="36" s="1"/>
  <c r="I41" i="36"/>
  <c r="I43" i="36" s="1"/>
  <c r="F41" i="36"/>
  <c r="F43" i="36" s="1"/>
  <c r="E41" i="36"/>
  <c r="E43" i="36" s="1"/>
  <c r="D41" i="36"/>
  <c r="D43" i="36" s="1"/>
  <c r="K40" i="36"/>
  <c r="J40" i="36"/>
  <c r="H40" i="36"/>
  <c r="G40" i="36"/>
  <c r="I39" i="36"/>
  <c r="F39" i="36"/>
  <c r="E39" i="36"/>
  <c r="D39" i="36"/>
  <c r="C39" i="36" s="1"/>
  <c r="I38" i="36"/>
  <c r="I40" i="36" s="1"/>
  <c r="F38" i="36"/>
  <c r="F40" i="36" s="1"/>
  <c r="E38" i="36"/>
  <c r="E40" i="36" s="1"/>
  <c r="D38" i="36"/>
  <c r="D40" i="36" s="1"/>
  <c r="K37" i="36"/>
  <c r="J37" i="36"/>
  <c r="H37" i="36"/>
  <c r="G37" i="36"/>
  <c r="I36" i="36"/>
  <c r="F36" i="36"/>
  <c r="E36" i="36"/>
  <c r="D36" i="36"/>
  <c r="C36" i="36" s="1"/>
  <c r="I35" i="36"/>
  <c r="I37" i="36" s="1"/>
  <c r="F35" i="36"/>
  <c r="F37" i="36" s="1"/>
  <c r="E35" i="36"/>
  <c r="E37" i="36" s="1"/>
  <c r="D35" i="36"/>
  <c r="D37" i="36" s="1"/>
  <c r="K34" i="36"/>
  <c r="J34" i="36"/>
  <c r="H34" i="36"/>
  <c r="G34" i="36"/>
  <c r="I33" i="36"/>
  <c r="F33" i="36"/>
  <c r="E33" i="36"/>
  <c r="D33" i="36"/>
  <c r="C33" i="36" s="1"/>
  <c r="I32" i="36"/>
  <c r="F32" i="36"/>
  <c r="F34" i="36" s="1"/>
  <c r="E32" i="36"/>
  <c r="E34" i="36" s="1"/>
  <c r="D32" i="36"/>
  <c r="D34" i="36" s="1"/>
  <c r="K31" i="36"/>
  <c r="J31" i="36"/>
  <c r="H31" i="36"/>
  <c r="G31" i="36"/>
  <c r="I30" i="36"/>
  <c r="F30" i="36"/>
  <c r="E30" i="36"/>
  <c r="D30" i="36"/>
  <c r="C30" i="36" s="1"/>
  <c r="I29" i="36"/>
  <c r="I31" i="36" s="1"/>
  <c r="F29" i="36"/>
  <c r="F31" i="36" s="1"/>
  <c r="E29" i="36"/>
  <c r="E31" i="36" s="1"/>
  <c r="D29" i="36"/>
  <c r="D31" i="36" s="1"/>
  <c r="K28" i="36"/>
  <c r="J28" i="36"/>
  <c r="H28" i="36"/>
  <c r="G28" i="36"/>
  <c r="I27" i="36"/>
  <c r="F27" i="36"/>
  <c r="E27" i="36"/>
  <c r="D27" i="36"/>
  <c r="C27" i="36" s="1"/>
  <c r="I26" i="36"/>
  <c r="F26" i="36"/>
  <c r="F28" i="36" s="1"/>
  <c r="E26" i="36"/>
  <c r="E28" i="36" s="1"/>
  <c r="D26" i="36"/>
  <c r="D28" i="36" s="1"/>
  <c r="K25" i="36"/>
  <c r="J25" i="36"/>
  <c r="H25" i="36"/>
  <c r="G25" i="36"/>
  <c r="I24" i="36"/>
  <c r="F24" i="36"/>
  <c r="E24" i="36"/>
  <c r="D24" i="36"/>
  <c r="C24" i="36" s="1"/>
  <c r="I23" i="36"/>
  <c r="I25" i="36" s="1"/>
  <c r="F23" i="36"/>
  <c r="F25" i="36" s="1"/>
  <c r="E23" i="36"/>
  <c r="E25" i="36" s="1"/>
  <c r="D23" i="36"/>
  <c r="D25" i="36" s="1"/>
  <c r="K22" i="36"/>
  <c r="J22" i="36"/>
  <c r="H22" i="36"/>
  <c r="G22" i="36"/>
  <c r="I21" i="36"/>
  <c r="F21" i="36"/>
  <c r="E21" i="36"/>
  <c r="D21" i="36"/>
  <c r="C21" i="36"/>
  <c r="I20" i="36"/>
  <c r="F20" i="36"/>
  <c r="F22" i="36" s="1"/>
  <c r="E20" i="36"/>
  <c r="D20" i="36"/>
  <c r="D22" i="36" s="1"/>
  <c r="K19" i="36"/>
  <c r="J19" i="36"/>
  <c r="H19" i="36"/>
  <c r="G19" i="36"/>
  <c r="I18" i="36"/>
  <c r="F18" i="36"/>
  <c r="E18" i="36"/>
  <c r="D18" i="36"/>
  <c r="C18" i="36" s="1"/>
  <c r="I17" i="36"/>
  <c r="I19" i="36" s="1"/>
  <c r="F17" i="36"/>
  <c r="F19" i="36" s="1"/>
  <c r="E17" i="36"/>
  <c r="E19" i="36" s="1"/>
  <c r="D17" i="36"/>
  <c r="D19" i="36" s="1"/>
  <c r="K16" i="36"/>
  <c r="J16" i="36"/>
  <c r="H16" i="36"/>
  <c r="G16" i="36"/>
  <c r="I15" i="36"/>
  <c r="F15" i="36"/>
  <c r="E15" i="36"/>
  <c r="D15" i="36"/>
  <c r="C15" i="36" s="1"/>
  <c r="I14" i="36"/>
  <c r="F14" i="36"/>
  <c r="F16" i="36" s="1"/>
  <c r="E14" i="36"/>
  <c r="D14" i="36"/>
  <c r="D16" i="36" s="1"/>
  <c r="K13" i="36"/>
  <c r="J13" i="36"/>
  <c r="H13" i="36"/>
  <c r="G13" i="36"/>
  <c r="I12" i="36"/>
  <c r="F12" i="36"/>
  <c r="E12" i="36"/>
  <c r="D12" i="36"/>
  <c r="C12" i="36" s="1"/>
  <c r="I11" i="36"/>
  <c r="I13" i="36" s="1"/>
  <c r="F11" i="36"/>
  <c r="F13" i="36" s="1"/>
  <c r="E11" i="36"/>
  <c r="E13" i="36" s="1"/>
  <c r="D11" i="36"/>
  <c r="D13" i="36" s="1"/>
  <c r="K10" i="36"/>
  <c r="J10" i="36"/>
  <c r="H10" i="36"/>
  <c r="G10" i="36"/>
  <c r="I9" i="36"/>
  <c r="F9" i="36"/>
  <c r="E9" i="36"/>
  <c r="D9" i="36"/>
  <c r="C9" i="36" s="1"/>
  <c r="I8" i="36"/>
  <c r="F8" i="36"/>
  <c r="F10" i="36" s="1"/>
  <c r="E8" i="36"/>
  <c r="D8" i="36"/>
  <c r="D10" i="36" s="1"/>
  <c r="K7" i="36"/>
  <c r="K76" i="36" s="1"/>
  <c r="J7" i="36"/>
  <c r="H7" i="36"/>
  <c r="G7" i="36"/>
  <c r="G76" i="36" s="1"/>
  <c r="I6" i="36"/>
  <c r="F6" i="36"/>
  <c r="F75" i="36" s="1"/>
  <c r="E6" i="36"/>
  <c r="D6" i="36"/>
  <c r="D75" i="36" s="1"/>
  <c r="I5" i="36"/>
  <c r="I74" i="36" s="1"/>
  <c r="F5" i="36"/>
  <c r="E5" i="36"/>
  <c r="E7" i="36" s="1"/>
  <c r="D5" i="36"/>
  <c r="D74" i="36" s="1"/>
  <c r="K75" i="35"/>
  <c r="J75" i="35"/>
  <c r="H75" i="35"/>
  <c r="G75" i="35"/>
  <c r="K74" i="35"/>
  <c r="J74" i="35"/>
  <c r="H74" i="35"/>
  <c r="G74" i="35"/>
  <c r="K73" i="35"/>
  <c r="J73" i="35"/>
  <c r="H73" i="35"/>
  <c r="G73" i="35"/>
  <c r="I72" i="35"/>
  <c r="F72" i="35"/>
  <c r="E72" i="35"/>
  <c r="D72" i="35"/>
  <c r="C72" i="35" s="1"/>
  <c r="I71" i="35"/>
  <c r="I73" i="35" s="1"/>
  <c r="F71" i="35"/>
  <c r="F73" i="35" s="1"/>
  <c r="E71" i="35"/>
  <c r="E73" i="35" s="1"/>
  <c r="D71" i="35"/>
  <c r="D73" i="35" s="1"/>
  <c r="K70" i="35"/>
  <c r="J70" i="35"/>
  <c r="H70" i="35"/>
  <c r="G70" i="35"/>
  <c r="I69" i="35"/>
  <c r="F69" i="35"/>
  <c r="E69" i="35"/>
  <c r="D69" i="35"/>
  <c r="C69" i="35"/>
  <c r="I68" i="35"/>
  <c r="I70" i="35" s="1"/>
  <c r="F68" i="35"/>
  <c r="F70" i="35" s="1"/>
  <c r="E68" i="35"/>
  <c r="E70" i="35" s="1"/>
  <c r="D68" i="35"/>
  <c r="D70" i="35" s="1"/>
  <c r="K67" i="35"/>
  <c r="J67" i="35"/>
  <c r="H67" i="35"/>
  <c r="G67" i="35"/>
  <c r="I66" i="35"/>
  <c r="F66" i="35"/>
  <c r="E66" i="35"/>
  <c r="D66" i="35"/>
  <c r="C66" i="35" s="1"/>
  <c r="I65" i="35"/>
  <c r="I67" i="35" s="1"/>
  <c r="F65" i="35"/>
  <c r="F67" i="35" s="1"/>
  <c r="E65" i="35"/>
  <c r="E67" i="35" s="1"/>
  <c r="D65" i="35"/>
  <c r="D67" i="35" s="1"/>
  <c r="K64" i="35"/>
  <c r="J64" i="35"/>
  <c r="H64" i="35"/>
  <c r="G64" i="35"/>
  <c r="I63" i="35"/>
  <c r="F63" i="35"/>
  <c r="E63" i="35"/>
  <c r="D63" i="35"/>
  <c r="C63" i="35"/>
  <c r="I62" i="35"/>
  <c r="I64" i="35" s="1"/>
  <c r="F62" i="35"/>
  <c r="F64" i="35" s="1"/>
  <c r="E62" i="35"/>
  <c r="E64" i="35" s="1"/>
  <c r="D62" i="35"/>
  <c r="D64" i="35" s="1"/>
  <c r="K61" i="35"/>
  <c r="J61" i="35"/>
  <c r="H61" i="35"/>
  <c r="G61" i="35"/>
  <c r="I60" i="35"/>
  <c r="F60" i="35"/>
  <c r="E60" i="35"/>
  <c r="D60" i="35"/>
  <c r="C60" i="35" s="1"/>
  <c r="I59" i="35"/>
  <c r="I61" i="35" s="1"/>
  <c r="F59" i="35"/>
  <c r="F61" i="35" s="1"/>
  <c r="E59" i="35"/>
  <c r="E61" i="35" s="1"/>
  <c r="D59" i="35"/>
  <c r="D61" i="35" s="1"/>
  <c r="K58" i="35"/>
  <c r="J58" i="35"/>
  <c r="H58" i="35"/>
  <c r="G58" i="35"/>
  <c r="I57" i="35"/>
  <c r="F57" i="35"/>
  <c r="E57" i="35"/>
  <c r="D57" i="35"/>
  <c r="C57" i="35"/>
  <c r="I56" i="35"/>
  <c r="I58" i="35" s="1"/>
  <c r="F56" i="35"/>
  <c r="F58" i="35" s="1"/>
  <c r="E56" i="35"/>
  <c r="E58" i="35" s="1"/>
  <c r="D56" i="35"/>
  <c r="D58" i="35" s="1"/>
  <c r="K55" i="35"/>
  <c r="J55" i="35"/>
  <c r="H55" i="35"/>
  <c r="G55" i="35"/>
  <c r="I54" i="35"/>
  <c r="F54" i="35"/>
  <c r="E54" i="35"/>
  <c r="D54" i="35"/>
  <c r="C54" i="35" s="1"/>
  <c r="I53" i="35"/>
  <c r="I55" i="35" s="1"/>
  <c r="F53" i="35"/>
  <c r="F55" i="35" s="1"/>
  <c r="E53" i="35"/>
  <c r="E55" i="35" s="1"/>
  <c r="D53" i="35"/>
  <c r="D55" i="35" s="1"/>
  <c r="K52" i="35"/>
  <c r="J52" i="35"/>
  <c r="H52" i="35"/>
  <c r="G52" i="35"/>
  <c r="I51" i="35"/>
  <c r="F51" i="35"/>
  <c r="E51" i="35"/>
  <c r="D51" i="35"/>
  <c r="C51" i="35"/>
  <c r="I50" i="35"/>
  <c r="I52" i="35" s="1"/>
  <c r="F50" i="35"/>
  <c r="F52" i="35" s="1"/>
  <c r="E50" i="35"/>
  <c r="E52" i="35" s="1"/>
  <c r="D50" i="35"/>
  <c r="D52" i="35" s="1"/>
  <c r="K49" i="35"/>
  <c r="J49" i="35"/>
  <c r="H49" i="35"/>
  <c r="G49" i="35"/>
  <c r="I48" i="35"/>
  <c r="F48" i="35"/>
  <c r="E48" i="35"/>
  <c r="D48" i="35"/>
  <c r="C48" i="35" s="1"/>
  <c r="I47" i="35"/>
  <c r="I49" i="35" s="1"/>
  <c r="F47" i="35"/>
  <c r="F49" i="35" s="1"/>
  <c r="E47" i="35"/>
  <c r="E49" i="35" s="1"/>
  <c r="D47" i="35"/>
  <c r="D49" i="35" s="1"/>
  <c r="K46" i="35"/>
  <c r="J46" i="35"/>
  <c r="H46" i="35"/>
  <c r="G46" i="35"/>
  <c r="I45" i="35"/>
  <c r="F45" i="35"/>
  <c r="E45" i="35"/>
  <c r="D45" i="35"/>
  <c r="C45" i="35"/>
  <c r="I44" i="35"/>
  <c r="F44" i="35"/>
  <c r="F46" i="35" s="1"/>
  <c r="E44" i="35"/>
  <c r="D44" i="35"/>
  <c r="D46" i="35" s="1"/>
  <c r="K43" i="35"/>
  <c r="J43" i="35"/>
  <c r="H43" i="35"/>
  <c r="G43" i="35"/>
  <c r="I42" i="35"/>
  <c r="F42" i="35"/>
  <c r="E42" i="35"/>
  <c r="D42" i="35"/>
  <c r="C42" i="35" s="1"/>
  <c r="I41" i="35"/>
  <c r="I43" i="35" s="1"/>
  <c r="F41" i="35"/>
  <c r="F43" i="35" s="1"/>
  <c r="E41" i="35"/>
  <c r="E43" i="35" s="1"/>
  <c r="D41" i="35"/>
  <c r="D43" i="35" s="1"/>
  <c r="K40" i="35"/>
  <c r="J40" i="35"/>
  <c r="H40" i="35"/>
  <c r="G40" i="35"/>
  <c r="I39" i="35"/>
  <c r="F39" i="35"/>
  <c r="E39" i="35"/>
  <c r="D39" i="35"/>
  <c r="C39" i="35"/>
  <c r="I38" i="35"/>
  <c r="F38" i="35"/>
  <c r="F40" i="35" s="1"/>
  <c r="E38" i="35"/>
  <c r="D38" i="35"/>
  <c r="D40" i="35" s="1"/>
  <c r="K37" i="35"/>
  <c r="J37" i="35"/>
  <c r="H37" i="35"/>
  <c r="G37" i="35"/>
  <c r="I36" i="35"/>
  <c r="F36" i="35"/>
  <c r="E36" i="35"/>
  <c r="D36" i="35"/>
  <c r="C36" i="35" s="1"/>
  <c r="I35" i="35"/>
  <c r="I37" i="35" s="1"/>
  <c r="F35" i="35"/>
  <c r="F37" i="35" s="1"/>
  <c r="E35" i="35"/>
  <c r="E37" i="35" s="1"/>
  <c r="D35" i="35"/>
  <c r="D37" i="35" s="1"/>
  <c r="K34" i="35"/>
  <c r="J34" i="35"/>
  <c r="H34" i="35"/>
  <c r="G34" i="35"/>
  <c r="I33" i="35"/>
  <c r="F33" i="35"/>
  <c r="E33" i="35"/>
  <c r="D33" i="35"/>
  <c r="C33" i="35"/>
  <c r="I32" i="35"/>
  <c r="F32" i="35"/>
  <c r="F34" i="35" s="1"/>
  <c r="E32" i="35"/>
  <c r="D32" i="35"/>
  <c r="D34" i="35" s="1"/>
  <c r="K31" i="35"/>
  <c r="J31" i="35"/>
  <c r="H31" i="35"/>
  <c r="G31" i="35"/>
  <c r="I30" i="35"/>
  <c r="F30" i="35"/>
  <c r="E30" i="35"/>
  <c r="D30" i="35"/>
  <c r="C30" i="35" s="1"/>
  <c r="I29" i="35"/>
  <c r="I31" i="35" s="1"/>
  <c r="F29" i="35"/>
  <c r="F31" i="35" s="1"/>
  <c r="E29" i="35"/>
  <c r="E31" i="35" s="1"/>
  <c r="D29" i="35"/>
  <c r="D31" i="35" s="1"/>
  <c r="K28" i="35"/>
  <c r="J28" i="35"/>
  <c r="H28" i="35"/>
  <c r="G28" i="35"/>
  <c r="I27" i="35"/>
  <c r="F27" i="35"/>
  <c r="E27" i="35"/>
  <c r="D27" i="35"/>
  <c r="C27" i="35"/>
  <c r="I26" i="35"/>
  <c r="F26" i="35"/>
  <c r="F28" i="35" s="1"/>
  <c r="E26" i="35"/>
  <c r="D26" i="35"/>
  <c r="D28" i="35" s="1"/>
  <c r="K25" i="35"/>
  <c r="J25" i="35"/>
  <c r="H25" i="35"/>
  <c r="G25" i="35"/>
  <c r="I24" i="35"/>
  <c r="F24" i="35"/>
  <c r="E24" i="35"/>
  <c r="D24" i="35"/>
  <c r="C24" i="35" s="1"/>
  <c r="I23" i="35"/>
  <c r="I25" i="35" s="1"/>
  <c r="F23" i="35"/>
  <c r="F25" i="35" s="1"/>
  <c r="E23" i="35"/>
  <c r="E25" i="35" s="1"/>
  <c r="D23" i="35"/>
  <c r="D25" i="35" s="1"/>
  <c r="K22" i="35"/>
  <c r="J22" i="35"/>
  <c r="H22" i="35"/>
  <c r="G22" i="35"/>
  <c r="I21" i="35"/>
  <c r="F21" i="35"/>
  <c r="E21" i="35"/>
  <c r="D21" i="35"/>
  <c r="C21" i="35"/>
  <c r="I20" i="35"/>
  <c r="F20" i="35"/>
  <c r="F22" i="35" s="1"/>
  <c r="E20" i="35"/>
  <c r="D20" i="35"/>
  <c r="D22" i="35" s="1"/>
  <c r="K19" i="35"/>
  <c r="J19" i="35"/>
  <c r="H19" i="35"/>
  <c r="G19" i="35"/>
  <c r="I18" i="35"/>
  <c r="F18" i="35"/>
  <c r="E18" i="35"/>
  <c r="D18" i="35"/>
  <c r="C18" i="35" s="1"/>
  <c r="I17" i="35"/>
  <c r="I19" i="35" s="1"/>
  <c r="F17" i="35"/>
  <c r="F19" i="35" s="1"/>
  <c r="E17" i="35"/>
  <c r="E19" i="35" s="1"/>
  <c r="D17" i="35"/>
  <c r="D19" i="35" s="1"/>
  <c r="K16" i="35"/>
  <c r="J16" i="35"/>
  <c r="H16" i="35"/>
  <c r="G16" i="35"/>
  <c r="I15" i="35"/>
  <c r="F15" i="35"/>
  <c r="E15" i="35"/>
  <c r="D15" i="35"/>
  <c r="C15" i="35"/>
  <c r="I14" i="35"/>
  <c r="F14" i="35"/>
  <c r="F16" i="35" s="1"/>
  <c r="E14" i="35"/>
  <c r="D14" i="35"/>
  <c r="D16" i="35" s="1"/>
  <c r="K13" i="35"/>
  <c r="J13" i="35"/>
  <c r="H13" i="35"/>
  <c r="G13" i="35"/>
  <c r="I12" i="35"/>
  <c r="F12" i="35"/>
  <c r="E12" i="35"/>
  <c r="D12" i="35"/>
  <c r="C12" i="35" s="1"/>
  <c r="I11" i="35"/>
  <c r="I13" i="35" s="1"/>
  <c r="F11" i="35"/>
  <c r="F13" i="35" s="1"/>
  <c r="E11" i="35"/>
  <c r="E13" i="35" s="1"/>
  <c r="D11" i="35"/>
  <c r="D13" i="35" s="1"/>
  <c r="K10" i="35"/>
  <c r="J10" i="35"/>
  <c r="H10" i="35"/>
  <c r="G10" i="35"/>
  <c r="I9" i="35"/>
  <c r="F9" i="35"/>
  <c r="E9" i="35"/>
  <c r="D9" i="35"/>
  <c r="C9" i="35"/>
  <c r="I8" i="35"/>
  <c r="F8" i="35"/>
  <c r="F10" i="35" s="1"/>
  <c r="E8" i="35"/>
  <c r="D8" i="35"/>
  <c r="D10" i="35" s="1"/>
  <c r="K7" i="35"/>
  <c r="K76" i="35" s="1"/>
  <c r="J7" i="35"/>
  <c r="J76" i="35" s="1"/>
  <c r="H7" i="35"/>
  <c r="H76" i="35" s="1"/>
  <c r="G7" i="35"/>
  <c r="G76" i="35" s="1"/>
  <c r="I6" i="35"/>
  <c r="I75" i="35" s="1"/>
  <c r="F6" i="35"/>
  <c r="F75" i="35" s="1"/>
  <c r="E6" i="35"/>
  <c r="E75" i="35" s="1"/>
  <c r="D6" i="35"/>
  <c r="D75" i="35" s="1"/>
  <c r="I5" i="35"/>
  <c r="I7" i="35" s="1"/>
  <c r="F5" i="35"/>
  <c r="F74" i="35" s="1"/>
  <c r="E5" i="35"/>
  <c r="E7" i="35" s="1"/>
  <c r="D5" i="35"/>
  <c r="D74" i="35" s="1"/>
  <c r="L25" i="34"/>
  <c r="K25" i="34"/>
  <c r="I25" i="34"/>
  <c r="H25" i="34"/>
  <c r="J24" i="34"/>
  <c r="G24" i="34"/>
  <c r="F24" i="34"/>
  <c r="E24" i="34"/>
  <c r="J23" i="34"/>
  <c r="G23" i="34"/>
  <c r="F23" i="34"/>
  <c r="E23" i="34"/>
  <c r="J22" i="34"/>
  <c r="G22" i="34"/>
  <c r="F22" i="34"/>
  <c r="E22" i="34"/>
  <c r="J21" i="34"/>
  <c r="G21" i="34"/>
  <c r="F21" i="34"/>
  <c r="E21" i="34"/>
  <c r="J20" i="34"/>
  <c r="G20" i="34"/>
  <c r="F20" i="34"/>
  <c r="E20" i="34"/>
  <c r="J19" i="34"/>
  <c r="G19" i="34"/>
  <c r="F19" i="34"/>
  <c r="E19" i="34"/>
  <c r="D19" i="34"/>
  <c r="J18" i="34"/>
  <c r="G18" i="34"/>
  <c r="F18" i="34"/>
  <c r="E18" i="34"/>
  <c r="D18" i="34" s="1"/>
  <c r="J17" i="34"/>
  <c r="G17" i="34"/>
  <c r="F17" i="34"/>
  <c r="E17" i="34"/>
  <c r="D17" i="34" s="1"/>
  <c r="J16" i="34"/>
  <c r="G16" i="34"/>
  <c r="F16" i="34"/>
  <c r="E16" i="34"/>
  <c r="J15" i="34"/>
  <c r="G15" i="34"/>
  <c r="F15" i="34"/>
  <c r="E15" i="34"/>
  <c r="D15" i="34" s="1"/>
  <c r="J14" i="34"/>
  <c r="G14" i="34"/>
  <c r="F14" i="34"/>
  <c r="E14" i="34"/>
  <c r="J13" i="34"/>
  <c r="G13" i="34"/>
  <c r="F13" i="34"/>
  <c r="E13" i="34"/>
  <c r="J12" i="34"/>
  <c r="G12" i="34"/>
  <c r="F12" i="34"/>
  <c r="E12" i="34"/>
  <c r="J11" i="34"/>
  <c r="G11" i="34"/>
  <c r="F11" i="34"/>
  <c r="E11" i="34"/>
  <c r="D11" i="34"/>
  <c r="J10" i="34"/>
  <c r="G10" i="34"/>
  <c r="F10" i="34"/>
  <c r="E10" i="34"/>
  <c r="D10" i="34" s="1"/>
  <c r="J9" i="34"/>
  <c r="G9" i="34"/>
  <c r="F9" i="34"/>
  <c r="E9" i="34"/>
  <c r="D9" i="34" s="1"/>
  <c r="J8" i="34"/>
  <c r="G8" i="34"/>
  <c r="F8" i="34"/>
  <c r="E8" i="34"/>
  <c r="J7" i="34"/>
  <c r="G7" i="34"/>
  <c r="F7" i="34"/>
  <c r="E7" i="34"/>
  <c r="D7" i="34" s="1"/>
  <c r="J6" i="34"/>
  <c r="G6" i="34"/>
  <c r="F6" i="34"/>
  <c r="E6" i="34"/>
  <c r="J5" i="34"/>
  <c r="J25" i="34" s="1"/>
  <c r="G5" i="34"/>
  <c r="F5" i="34"/>
  <c r="F25" i="34" s="1"/>
  <c r="E5" i="34"/>
  <c r="K29" i="33"/>
  <c r="J29" i="33"/>
  <c r="H29" i="33"/>
  <c r="G29" i="33"/>
  <c r="I28" i="33"/>
  <c r="F28" i="33"/>
  <c r="E28" i="33"/>
  <c r="D28" i="33"/>
  <c r="C28" i="33"/>
  <c r="I27" i="33"/>
  <c r="F27" i="33"/>
  <c r="E27" i="33"/>
  <c r="D27" i="33"/>
  <c r="C27" i="33" s="1"/>
  <c r="I26" i="33"/>
  <c r="F26" i="33"/>
  <c r="E26" i="33"/>
  <c r="D26" i="33"/>
  <c r="C26" i="33" s="1"/>
  <c r="I25" i="33"/>
  <c r="F25" i="33"/>
  <c r="E25" i="33"/>
  <c r="D25" i="33"/>
  <c r="I24" i="33"/>
  <c r="F24" i="33"/>
  <c r="E24" i="33"/>
  <c r="D24" i="33"/>
  <c r="C24" i="33"/>
  <c r="I23" i="33"/>
  <c r="F23" i="33"/>
  <c r="E23" i="33"/>
  <c r="D23" i="33"/>
  <c r="C23" i="33" s="1"/>
  <c r="I22" i="33"/>
  <c r="F22" i="33"/>
  <c r="E22" i="33"/>
  <c r="D22" i="33"/>
  <c r="C22" i="33" s="1"/>
  <c r="I21" i="33"/>
  <c r="F21" i="33"/>
  <c r="E21" i="33"/>
  <c r="D21" i="33"/>
  <c r="I20" i="33"/>
  <c r="F20" i="33"/>
  <c r="E20" i="33"/>
  <c r="D20" i="33"/>
  <c r="C20" i="33"/>
  <c r="I19" i="33"/>
  <c r="F19" i="33"/>
  <c r="E19" i="33"/>
  <c r="D19" i="33"/>
  <c r="C19" i="33" s="1"/>
  <c r="I18" i="33"/>
  <c r="F18" i="33"/>
  <c r="E18" i="33"/>
  <c r="D18" i="33"/>
  <c r="C18" i="33" s="1"/>
  <c r="I17" i="33"/>
  <c r="F17" i="33"/>
  <c r="E17" i="33"/>
  <c r="D17" i="33"/>
  <c r="I16" i="33"/>
  <c r="F16" i="33"/>
  <c r="E16" i="33"/>
  <c r="D16" i="33"/>
  <c r="C16" i="33"/>
  <c r="I15" i="33"/>
  <c r="F15" i="33"/>
  <c r="E15" i="33"/>
  <c r="D15" i="33"/>
  <c r="C15" i="33" s="1"/>
  <c r="I14" i="33"/>
  <c r="F14" i="33"/>
  <c r="E14" i="33"/>
  <c r="D14" i="33"/>
  <c r="C14" i="33" s="1"/>
  <c r="I13" i="33"/>
  <c r="F13" i="33"/>
  <c r="E13" i="33"/>
  <c r="D13" i="33"/>
  <c r="I12" i="33"/>
  <c r="F12" i="33"/>
  <c r="E12" i="33"/>
  <c r="D12" i="33"/>
  <c r="C12" i="33"/>
  <c r="I11" i="33"/>
  <c r="F11" i="33"/>
  <c r="E11" i="33"/>
  <c r="D11" i="33"/>
  <c r="C11" i="33" s="1"/>
  <c r="I10" i="33"/>
  <c r="F10" i="33"/>
  <c r="E10" i="33"/>
  <c r="D10" i="33"/>
  <c r="C10" i="33" s="1"/>
  <c r="I9" i="33"/>
  <c r="F9" i="33"/>
  <c r="E9" i="33"/>
  <c r="D9" i="33"/>
  <c r="I8" i="33"/>
  <c r="F8" i="33"/>
  <c r="E8" i="33"/>
  <c r="D8" i="33"/>
  <c r="C8" i="33"/>
  <c r="I7" i="33"/>
  <c r="F7" i="33"/>
  <c r="E7" i="33"/>
  <c r="D7" i="33"/>
  <c r="C7" i="33" s="1"/>
  <c r="I6" i="33"/>
  <c r="F6" i="33"/>
  <c r="E6" i="33"/>
  <c r="D6" i="33"/>
  <c r="C6" i="33" s="1"/>
  <c r="I5" i="33"/>
  <c r="I29" i="33" s="1"/>
  <c r="F5" i="33"/>
  <c r="E5" i="33"/>
  <c r="E29" i="33" s="1"/>
  <c r="D5" i="33"/>
  <c r="C40" i="37" l="1"/>
  <c r="B88" i="39"/>
  <c r="B135" i="39"/>
  <c r="B30" i="40"/>
  <c r="B32" i="40" s="1"/>
  <c r="D88" i="40"/>
  <c r="D90" i="40" s="1"/>
  <c r="H88" i="40"/>
  <c r="H90" i="40" s="1"/>
  <c r="D91" i="40"/>
  <c r="D93" i="40" s="1"/>
  <c r="H91" i="40"/>
  <c r="H93" i="40" s="1"/>
  <c r="B92" i="40"/>
  <c r="B104" i="40"/>
  <c r="B107" i="40"/>
  <c r="B130" i="40"/>
  <c r="H132" i="40"/>
  <c r="H134" i="40" s="1"/>
  <c r="B133" i="40"/>
  <c r="B148" i="40"/>
  <c r="B150" i="40"/>
  <c r="B336" i="40"/>
  <c r="B349" i="40"/>
  <c r="H459" i="40"/>
  <c r="H461" i="40" s="1"/>
  <c r="B460" i="40"/>
  <c r="B461" i="40" s="1"/>
  <c r="B547" i="40"/>
  <c r="B557" i="40"/>
  <c r="B559" i="40"/>
  <c r="B629" i="40"/>
  <c r="B621" i="40"/>
  <c r="B720" i="40"/>
  <c r="H720" i="40"/>
  <c r="D46" i="41"/>
  <c r="B50" i="41"/>
  <c r="B81" i="41"/>
  <c r="B147" i="41"/>
  <c r="B153" i="41"/>
  <c r="D154" i="41"/>
  <c r="B154" i="41" s="1"/>
  <c r="B178" i="41" s="1"/>
  <c r="H157" i="41"/>
  <c r="B158" i="41"/>
  <c r="B161" i="41"/>
  <c r="B167" i="41"/>
  <c r="B168" i="41"/>
  <c r="C169" i="41"/>
  <c r="B169" i="41" s="1"/>
  <c r="B170" i="41"/>
  <c r="B298" i="41"/>
  <c r="D29" i="33"/>
  <c r="F29" i="33"/>
  <c r="C9" i="33"/>
  <c r="C13" i="33"/>
  <c r="C17" i="33"/>
  <c r="C21" i="33"/>
  <c r="C25" i="33"/>
  <c r="E25" i="34"/>
  <c r="G25" i="34"/>
  <c r="D6" i="34"/>
  <c r="D13" i="34"/>
  <c r="D14" i="34"/>
  <c r="D21" i="34"/>
  <c r="D22" i="34"/>
  <c r="D23" i="34"/>
  <c r="D24" i="34"/>
  <c r="C5" i="35"/>
  <c r="E10" i="35"/>
  <c r="E76" i="35" s="1"/>
  <c r="I10" i="35"/>
  <c r="I76" i="35" s="1"/>
  <c r="C11" i="35"/>
  <c r="E16" i="35"/>
  <c r="I16" i="35"/>
  <c r="C17" i="35"/>
  <c r="E22" i="35"/>
  <c r="I22" i="35"/>
  <c r="C23" i="35"/>
  <c r="E28" i="35"/>
  <c r="I28" i="35"/>
  <c r="C29" i="35"/>
  <c r="E34" i="35"/>
  <c r="I34" i="35"/>
  <c r="C35" i="35"/>
  <c r="E40" i="35"/>
  <c r="I40" i="35"/>
  <c r="C41" i="35"/>
  <c r="E46" i="35"/>
  <c r="I46" i="35"/>
  <c r="C47" i="35"/>
  <c r="C53" i="35"/>
  <c r="C59" i="35"/>
  <c r="C65" i="35"/>
  <c r="C71" i="35"/>
  <c r="C51" i="36"/>
  <c r="C53" i="36"/>
  <c r="C55" i="36" s="1"/>
  <c r="C59" i="36"/>
  <c r="C61" i="36" s="1"/>
  <c r="E64" i="36"/>
  <c r="I64" i="36"/>
  <c r="C65" i="36"/>
  <c r="C67" i="36" s="1"/>
  <c r="C71" i="36"/>
  <c r="C73" i="36" s="1"/>
  <c r="C7" i="37"/>
  <c r="C11" i="37"/>
  <c r="C47" i="37" s="1"/>
  <c r="C15" i="37"/>
  <c r="C48" i="37" s="1"/>
  <c r="C19" i="37"/>
  <c r="C23" i="37"/>
  <c r="C27" i="37"/>
  <c r="C31" i="37"/>
  <c r="C35" i="37"/>
  <c r="B12" i="38"/>
  <c r="B13" i="38"/>
  <c r="B19" i="38"/>
  <c r="B20" i="38"/>
  <c r="B26" i="38"/>
  <c r="B30" i="38"/>
  <c r="B34" i="38"/>
  <c r="B38" i="38"/>
  <c r="B39" i="38"/>
  <c r="B46" i="38"/>
  <c r="B47" i="38"/>
  <c r="B54" i="38"/>
  <c r="B55" i="38"/>
  <c r="B6" i="39"/>
  <c r="B9" i="39" s="1"/>
  <c r="H9" i="39"/>
  <c r="C20" i="39"/>
  <c r="D23" i="39"/>
  <c r="D32" i="39" s="1"/>
  <c r="H23" i="39"/>
  <c r="B23" i="39" s="1"/>
  <c r="B54" i="39"/>
  <c r="B77" i="39"/>
  <c r="H82" i="39"/>
  <c r="H88" i="39" s="1"/>
  <c r="B84" i="39"/>
  <c r="B85" i="39"/>
  <c r="D86" i="39"/>
  <c r="B86" i="39" s="1"/>
  <c r="B95" i="39"/>
  <c r="B100" i="39"/>
  <c r="H110" i="39"/>
  <c r="H111" i="39" s="1"/>
  <c r="B116" i="39"/>
  <c r="B141" i="39"/>
  <c r="B142" i="39"/>
  <c r="B143" i="39"/>
  <c r="B154" i="39"/>
  <c r="B158" i="39"/>
  <c r="B159" i="39"/>
  <c r="B160" i="39"/>
  <c r="B161" i="39"/>
  <c r="B172" i="39"/>
  <c r="D180" i="39"/>
  <c r="D181" i="39" s="1"/>
  <c r="H180" i="39"/>
  <c r="H181" i="39" s="1"/>
  <c r="B37" i="40"/>
  <c r="B39" i="40"/>
  <c r="B41" i="40" s="1"/>
  <c r="H39" i="40"/>
  <c r="H41" i="40" s="1"/>
  <c r="B42" i="40"/>
  <c r="B44" i="40" s="1"/>
  <c r="H42" i="40"/>
  <c r="H44" i="40" s="1"/>
  <c r="B45" i="40"/>
  <c r="B47" i="40" s="1"/>
  <c r="H45" i="40"/>
  <c r="H47" i="40" s="1"/>
  <c r="B52" i="40"/>
  <c r="B54" i="40"/>
  <c r="B56" i="40" s="1"/>
  <c r="H54" i="40"/>
  <c r="H56" i="40" s="1"/>
  <c r="B57" i="40"/>
  <c r="B157" i="40"/>
  <c r="C174" i="40"/>
  <c r="C225" i="40" s="1"/>
  <c r="C181" i="40"/>
  <c r="B183" i="40"/>
  <c r="B186" i="40"/>
  <c r="B219" i="40"/>
  <c r="B222" i="40"/>
  <c r="B236" i="40"/>
  <c r="C240" i="40"/>
  <c r="E240" i="40"/>
  <c r="E321" i="40"/>
  <c r="B253" i="40"/>
  <c r="B255" i="40"/>
  <c r="C267" i="40"/>
  <c r="C269" i="40" s="1"/>
  <c r="B268" i="40"/>
  <c r="C273" i="40"/>
  <c r="C275" i="40" s="1"/>
  <c r="B274" i="40"/>
  <c r="C279" i="40"/>
  <c r="C281" i="40" s="1"/>
  <c r="B280" i="40"/>
  <c r="B285" i="40"/>
  <c r="B287" i="40" s="1"/>
  <c r="H285" i="40"/>
  <c r="H286" i="40"/>
  <c r="B297" i="40"/>
  <c r="B299" i="40" s="1"/>
  <c r="B313" i="40"/>
  <c r="C317" i="40"/>
  <c r="E317" i="40"/>
  <c r="B343" i="40"/>
  <c r="B365" i="40"/>
  <c r="H388" i="40"/>
  <c r="D421" i="40"/>
  <c r="D423" i="40" s="1"/>
  <c r="H421" i="40"/>
  <c r="H423" i="40" s="1"/>
  <c r="C427" i="40"/>
  <c r="C429" i="40" s="1"/>
  <c r="B428" i="40"/>
  <c r="C433" i="40"/>
  <c r="C435" i="40" s="1"/>
  <c r="B434" i="40"/>
  <c r="C439" i="40"/>
  <c r="C441" i="40" s="1"/>
  <c r="B440" i="40"/>
  <c r="B446" i="40"/>
  <c r="B448" i="40"/>
  <c r="B484" i="40"/>
  <c r="B493" i="40"/>
  <c r="B575" i="40"/>
  <c r="B596" i="40"/>
  <c r="B606" i="40"/>
  <c r="B608" i="40"/>
  <c r="D743" i="40"/>
  <c r="D675" i="40"/>
  <c r="H694" i="40"/>
  <c r="H696" i="40" s="1"/>
  <c r="C695" i="40"/>
  <c r="B695" i="40" s="1"/>
  <c r="B696" i="40" s="1"/>
  <c r="H725" i="40"/>
  <c r="E780" i="40"/>
  <c r="B17" i="41"/>
  <c r="B18" i="41"/>
  <c r="B19" i="41"/>
  <c r="B21" i="41"/>
  <c r="B29" i="41"/>
  <c r="B54" i="41"/>
  <c r="B57" i="41" s="1"/>
  <c r="D56" i="41"/>
  <c r="D59" i="41" s="1"/>
  <c r="D60" i="41" s="1"/>
  <c r="B104" i="41"/>
  <c r="B105" i="41"/>
  <c r="B112" i="41"/>
  <c r="B113" i="41"/>
  <c r="B120" i="41"/>
  <c r="B127" i="41"/>
  <c r="B128" i="41"/>
  <c r="B132" i="41"/>
  <c r="B133" i="41"/>
  <c r="B144" i="41"/>
  <c r="D180" i="41"/>
  <c r="D178" i="41"/>
  <c r="B186" i="41"/>
  <c r="B192" i="41"/>
  <c r="B193" i="41"/>
  <c r="B206" i="41"/>
  <c r="B212" i="41"/>
  <c r="B213" i="41"/>
  <c r="C220" i="41"/>
  <c r="B220" i="41" s="1"/>
  <c r="B221" i="41"/>
  <c r="B222" i="41"/>
  <c r="J228" i="41"/>
  <c r="C243" i="41"/>
  <c r="E243" i="41"/>
  <c r="B232" i="41"/>
  <c r="B241" i="41" s="1"/>
  <c r="D241" i="41"/>
  <c r="D243" i="41" s="1"/>
  <c r="H241" i="41"/>
  <c r="H243" i="41" s="1"/>
  <c r="D242" i="41"/>
  <c r="H242" i="41"/>
  <c r="B235" i="41"/>
  <c r="B236" i="41"/>
  <c r="B237" i="41"/>
  <c r="C252" i="41"/>
  <c r="E252" i="41"/>
  <c r="B248" i="41"/>
  <c r="B251" i="41" s="1"/>
  <c r="D264" i="41"/>
  <c r="D267" i="41" s="1"/>
  <c r="H264" i="41"/>
  <c r="H267" i="41" s="1"/>
  <c r="C265" i="41"/>
  <c r="C267" i="41" s="1"/>
  <c r="E265" i="41"/>
  <c r="E267" i="41" s="1"/>
  <c r="C266" i="41"/>
  <c r="E266" i="41"/>
  <c r="B258" i="41"/>
  <c r="B259" i="41"/>
  <c r="B271" i="41"/>
  <c r="B272" i="41"/>
  <c r="B286" i="41"/>
  <c r="B287" i="41"/>
  <c r="B293" i="41" s="1"/>
  <c r="C36" i="41"/>
  <c r="D37" i="41"/>
  <c r="C38" i="41"/>
  <c r="E38" i="41"/>
  <c r="B9" i="41"/>
  <c r="B10" i="41"/>
  <c r="H11" i="41"/>
  <c r="H19" i="41"/>
  <c r="H37" i="41" s="1"/>
  <c r="B23" i="41"/>
  <c r="B27" i="41"/>
  <c r="B31" i="41"/>
  <c r="B35" i="41"/>
  <c r="F39" i="41"/>
  <c r="C57" i="41"/>
  <c r="D43" i="41"/>
  <c r="D58" i="41" s="1"/>
  <c r="J58" i="41"/>
  <c r="H59" i="41"/>
  <c r="B46" i="41"/>
  <c r="G59" i="41"/>
  <c r="B52" i="41"/>
  <c r="B56" i="41"/>
  <c r="I60" i="41"/>
  <c r="D63" i="41"/>
  <c r="B63" i="41" s="1"/>
  <c r="H63" i="41"/>
  <c r="H87" i="41" s="1"/>
  <c r="D64" i="41"/>
  <c r="B64" i="41" s="1"/>
  <c r="H64" i="41"/>
  <c r="H88" i="41" s="1"/>
  <c r="C89" i="41"/>
  <c r="E89" i="41"/>
  <c r="B77" i="41"/>
  <c r="D78" i="41"/>
  <c r="B78" i="41" s="1"/>
  <c r="D79" i="41"/>
  <c r="B79" i="41" s="1"/>
  <c r="B80" i="41"/>
  <c r="B86" i="41"/>
  <c r="F90" i="41"/>
  <c r="I90" i="41"/>
  <c r="D94" i="41"/>
  <c r="B94" i="41" s="1"/>
  <c r="H94" i="41"/>
  <c r="H139" i="41" s="1"/>
  <c r="B95" i="41"/>
  <c r="B100" i="41"/>
  <c r="B101" i="41"/>
  <c r="D102" i="41"/>
  <c r="B102" i="41" s="1"/>
  <c r="H102" i="41"/>
  <c r="D103" i="41"/>
  <c r="B103" i="41" s="1"/>
  <c r="B107" i="41"/>
  <c r="B111" i="41"/>
  <c r="B115" i="41"/>
  <c r="B119" i="41"/>
  <c r="B122" i="41"/>
  <c r="B126" i="41"/>
  <c r="B130" i="41"/>
  <c r="D131" i="41"/>
  <c r="B131" i="41" s="1"/>
  <c r="B140" i="41" s="1"/>
  <c r="H131" i="41"/>
  <c r="H140" i="41" s="1"/>
  <c r="B135" i="41"/>
  <c r="B177" i="41"/>
  <c r="B149" i="41"/>
  <c r="H151" i="41"/>
  <c r="H178" i="41" s="1"/>
  <c r="H180" i="41" s="1"/>
  <c r="B172" i="41"/>
  <c r="B176" i="41"/>
  <c r="B207" i="41"/>
  <c r="B211" i="41"/>
  <c r="B215" i="41"/>
  <c r="B227" i="41" s="1"/>
  <c r="B219" i="41"/>
  <c r="H220" i="41"/>
  <c r="H226" i="41" s="1"/>
  <c r="H228" i="41" s="1"/>
  <c r="B280" i="41"/>
  <c r="B299" i="41"/>
  <c r="B305" i="41" s="1"/>
  <c r="E39" i="41"/>
  <c r="H38" i="41"/>
  <c r="E59" i="41"/>
  <c r="C90" i="41"/>
  <c r="E90" i="41"/>
  <c r="D138" i="41"/>
  <c r="H138" i="41"/>
  <c r="B188" i="41"/>
  <c r="B191" i="41"/>
  <c r="B195" i="41"/>
  <c r="B265" i="41"/>
  <c r="B273" i="41"/>
  <c r="B279" i="41" s="1"/>
  <c r="B278" i="41"/>
  <c r="B281" i="41" s="1"/>
  <c r="B292" i="41"/>
  <c r="B294" i="41" s="1"/>
  <c r="B304" i="41"/>
  <c r="C340" i="40"/>
  <c r="B338" i="40"/>
  <c r="B340" i="40" s="1"/>
  <c r="C352" i="40"/>
  <c r="B350" i="40"/>
  <c r="B352" i="40" s="1"/>
  <c r="H377" i="40"/>
  <c r="H379" i="40" s="1"/>
  <c r="C377" i="40"/>
  <c r="B377" i="40" s="1"/>
  <c r="C61" i="40"/>
  <c r="E61" i="40"/>
  <c r="F62" i="40"/>
  <c r="C9" i="40"/>
  <c r="C11" i="40" s="1"/>
  <c r="E11" i="40"/>
  <c r="C12" i="40"/>
  <c r="C14" i="40" s="1"/>
  <c r="E14" i="40"/>
  <c r="B15" i="40"/>
  <c r="B17" i="40" s="1"/>
  <c r="D17" i="40"/>
  <c r="H15" i="40"/>
  <c r="H17" i="40" s="1"/>
  <c r="B18" i="40"/>
  <c r="B20" i="40" s="1"/>
  <c r="H18" i="40"/>
  <c r="H20" i="40" s="1"/>
  <c r="B21" i="40"/>
  <c r="B23" i="40" s="1"/>
  <c r="D21" i="40"/>
  <c r="D23" i="40" s="1"/>
  <c r="H21" i="40"/>
  <c r="H23" i="40" s="1"/>
  <c r="B24" i="40"/>
  <c r="B26" i="40" s="1"/>
  <c r="B34" i="40"/>
  <c r="B36" i="40"/>
  <c r="B38" i="40" s="1"/>
  <c r="C50" i="40"/>
  <c r="E50" i="40"/>
  <c r="C53" i="40"/>
  <c r="E53" i="40"/>
  <c r="B58" i="40"/>
  <c r="B65" i="40"/>
  <c r="D81" i="40"/>
  <c r="H81" i="40"/>
  <c r="G82" i="40"/>
  <c r="J82" i="40"/>
  <c r="D70" i="40"/>
  <c r="D82" i="40" s="1"/>
  <c r="H70" i="40"/>
  <c r="B71" i="40"/>
  <c r="B73" i="40" s="1"/>
  <c r="D76" i="40"/>
  <c r="H76" i="40"/>
  <c r="B77" i="40"/>
  <c r="B79" i="40" s="1"/>
  <c r="J115" i="40"/>
  <c r="C116" i="40"/>
  <c r="E116" i="40"/>
  <c r="F117" i="40"/>
  <c r="I117" i="40"/>
  <c r="C93" i="40"/>
  <c r="E93" i="40"/>
  <c r="C96" i="40"/>
  <c r="E96" i="40"/>
  <c r="D95" i="40"/>
  <c r="B95" i="40" s="1"/>
  <c r="H95" i="40"/>
  <c r="B101" i="40"/>
  <c r="B103" i="40"/>
  <c r="B105" i="40" s="1"/>
  <c r="D106" i="40"/>
  <c r="D108" i="40" s="1"/>
  <c r="H106" i="40"/>
  <c r="H108" i="40" s="1"/>
  <c r="B109" i="40"/>
  <c r="B111" i="40" s="1"/>
  <c r="B113" i="40"/>
  <c r="E168" i="40"/>
  <c r="I168" i="40"/>
  <c r="C169" i="40"/>
  <c r="E169" i="40"/>
  <c r="F170" i="40"/>
  <c r="J170" i="40"/>
  <c r="B124" i="40"/>
  <c r="C126" i="40"/>
  <c r="C128" i="40" s="1"/>
  <c r="B127" i="40"/>
  <c r="C134" i="40"/>
  <c r="E134" i="40"/>
  <c r="B135" i="40"/>
  <c r="B137" i="40" s="1"/>
  <c r="D137" i="40"/>
  <c r="H135" i="40"/>
  <c r="H137" i="40" s="1"/>
  <c r="B136" i="40"/>
  <c r="C140" i="40"/>
  <c r="E140" i="40"/>
  <c r="B145" i="40"/>
  <c r="B147" i="40"/>
  <c r="B149" i="40" s="1"/>
  <c r="E149" i="40"/>
  <c r="B151" i="40"/>
  <c r="C153" i="40"/>
  <c r="C155" i="40" s="1"/>
  <c r="B154" i="40"/>
  <c r="B159" i="40"/>
  <c r="B161" i="40" s="1"/>
  <c r="E161" i="40"/>
  <c r="B163" i="40"/>
  <c r="B165" i="40"/>
  <c r="B167" i="40" s="1"/>
  <c r="E167" i="40"/>
  <c r="D173" i="40"/>
  <c r="B173" i="40" s="1"/>
  <c r="H173" i="40"/>
  <c r="B174" i="40"/>
  <c r="D225" i="40"/>
  <c r="H174" i="40"/>
  <c r="H225" i="40" s="1"/>
  <c r="J225" i="40"/>
  <c r="G226" i="40"/>
  <c r="J178" i="40"/>
  <c r="D179" i="40"/>
  <c r="D181" i="40" s="1"/>
  <c r="H179" i="40"/>
  <c r="H181" i="40" s="1"/>
  <c r="B182" i="40"/>
  <c r="B184" i="40" s="1"/>
  <c r="H182" i="40"/>
  <c r="H184" i="40" s="1"/>
  <c r="D185" i="40"/>
  <c r="D187" i="40" s="1"/>
  <c r="H185" i="40"/>
  <c r="H187" i="40" s="1"/>
  <c r="B188" i="40"/>
  <c r="B190" i="40" s="1"/>
  <c r="D191" i="40"/>
  <c r="D193" i="40" s="1"/>
  <c r="B201" i="40"/>
  <c r="C205" i="40"/>
  <c r="E205" i="40"/>
  <c r="B207" i="40"/>
  <c r="C209" i="40"/>
  <c r="C211" i="40" s="1"/>
  <c r="B210" i="40"/>
  <c r="C215" i="40"/>
  <c r="C217" i="40" s="1"/>
  <c r="B216" i="40"/>
  <c r="C223" i="40"/>
  <c r="B229" i="40"/>
  <c r="D248" i="40"/>
  <c r="H248" i="40"/>
  <c r="G249" i="40"/>
  <c r="J249" i="40"/>
  <c r="D234" i="40"/>
  <c r="H234" i="40"/>
  <c r="B235" i="40"/>
  <c r="B237" i="40" s="1"/>
  <c r="D240" i="40"/>
  <c r="H240" i="40"/>
  <c r="B241" i="40"/>
  <c r="B243" i="40" s="1"/>
  <c r="D246" i="40"/>
  <c r="H246" i="40"/>
  <c r="D322" i="40"/>
  <c r="H322" i="40"/>
  <c r="G323" i="40"/>
  <c r="B256" i="40"/>
  <c r="C258" i="40"/>
  <c r="C260" i="40" s="1"/>
  <c r="B259" i="40"/>
  <c r="C263" i="40"/>
  <c r="E263" i="40"/>
  <c r="B267" i="40"/>
  <c r="B269" i="40" s="1"/>
  <c r="H267" i="40"/>
  <c r="H269" i="40" s="1"/>
  <c r="B273" i="40"/>
  <c r="B275" i="40" s="1"/>
  <c r="H273" i="40"/>
  <c r="H275" i="40" s="1"/>
  <c r="B279" i="40"/>
  <c r="B281" i="40" s="1"/>
  <c r="H279" i="40"/>
  <c r="H281" i="40" s="1"/>
  <c r="C288" i="40"/>
  <c r="C290" i="40" s="1"/>
  <c r="B289" i="40"/>
  <c r="D293" i="40"/>
  <c r="H293" i="40"/>
  <c r="B294" i="40"/>
  <c r="B296" i="40" s="1"/>
  <c r="D299" i="40"/>
  <c r="H299" i="40"/>
  <c r="B300" i="40"/>
  <c r="D302" i="40"/>
  <c r="H300" i="40"/>
  <c r="H302" i="40" s="1"/>
  <c r="B301" i="40"/>
  <c r="D305" i="40"/>
  <c r="H305" i="40"/>
  <c r="B306" i="40"/>
  <c r="B308" i="40" s="1"/>
  <c r="D311" i="40"/>
  <c r="H311" i="40"/>
  <c r="B312" i="40"/>
  <c r="B314" i="40" s="1"/>
  <c r="D317" i="40"/>
  <c r="H317" i="40"/>
  <c r="B318" i="40"/>
  <c r="B320" i="40" s="1"/>
  <c r="E393" i="40"/>
  <c r="F394" i="40"/>
  <c r="B329" i="40"/>
  <c r="B331" i="40" s="1"/>
  <c r="D329" i="40"/>
  <c r="D331" i="40" s="1"/>
  <c r="H329" i="40"/>
  <c r="H331" i="40" s="1"/>
  <c r="D332" i="40"/>
  <c r="D334" i="40" s="1"/>
  <c r="H332" i="40"/>
  <c r="H334" i="40" s="1"/>
  <c r="D335" i="40"/>
  <c r="D337" i="40" s="1"/>
  <c r="H335" i="40"/>
  <c r="H337" i="40" s="1"/>
  <c r="C346" i="40"/>
  <c r="B344" i="40"/>
  <c r="B346" i="40" s="1"/>
  <c r="C60" i="40"/>
  <c r="B50" i="40"/>
  <c r="B53" i="40"/>
  <c r="D116" i="40"/>
  <c r="H116" i="40"/>
  <c r="D96" i="40"/>
  <c r="H96" i="40"/>
  <c r="B140" i="40"/>
  <c r="C224" i="40"/>
  <c r="B447" i="40"/>
  <c r="D653" i="40"/>
  <c r="H687" i="40"/>
  <c r="B766" i="40"/>
  <c r="B800" i="40"/>
  <c r="B809" i="40" s="1"/>
  <c r="D343" i="40"/>
  <c r="H343" i="40"/>
  <c r="D349" i="40"/>
  <c r="H349" i="40"/>
  <c r="B356" i="40"/>
  <c r="B358" i="40" s="1"/>
  <c r="E358" i="40"/>
  <c r="I393" i="40"/>
  <c r="B362" i="40"/>
  <c r="B364" i="40" s="1"/>
  <c r="E364" i="40"/>
  <c r="B366" i="40"/>
  <c r="B368" i="40"/>
  <c r="B370" i="40" s="1"/>
  <c r="E370" i="40"/>
  <c r="C378" i="40"/>
  <c r="B378" i="40" s="1"/>
  <c r="C386" i="40"/>
  <c r="B386" i="40" s="1"/>
  <c r="C387" i="40"/>
  <c r="B387" i="40" s="1"/>
  <c r="B390" i="40"/>
  <c r="E451" i="40"/>
  <c r="C452" i="40"/>
  <c r="E452" i="40"/>
  <c r="F453" i="40"/>
  <c r="I451" i="40"/>
  <c r="B413" i="40"/>
  <c r="C417" i="40"/>
  <c r="C420" i="40"/>
  <c r="C421" i="40"/>
  <c r="B421" i="40" s="1"/>
  <c r="B423" i="40" s="1"/>
  <c r="B424" i="40"/>
  <c r="B426" i="40" s="1"/>
  <c r="H424" i="40"/>
  <c r="H426" i="40" s="1"/>
  <c r="B427" i="40"/>
  <c r="B429" i="40" s="1"/>
  <c r="H427" i="40"/>
  <c r="H429" i="40" s="1"/>
  <c r="B430" i="40"/>
  <c r="B432" i="40" s="1"/>
  <c r="H430" i="40"/>
  <c r="H432" i="40" s="1"/>
  <c r="B433" i="40"/>
  <c r="B435" i="40" s="1"/>
  <c r="H433" i="40"/>
  <c r="H435" i="40" s="1"/>
  <c r="B436" i="40"/>
  <c r="B438" i="40" s="1"/>
  <c r="H436" i="40"/>
  <c r="H438" i="40" s="1"/>
  <c r="B439" i="40"/>
  <c r="B441" i="40" s="1"/>
  <c r="H439" i="40"/>
  <c r="H441" i="40" s="1"/>
  <c r="D442" i="40"/>
  <c r="D444" i="40" s="1"/>
  <c r="H442" i="40"/>
  <c r="H444" i="40" s="1"/>
  <c r="B443" i="40"/>
  <c r="C447" i="40"/>
  <c r="E447" i="40"/>
  <c r="B449" i="40"/>
  <c r="D456" i="40"/>
  <c r="B456" i="40" s="1"/>
  <c r="B458" i="40" s="1"/>
  <c r="H456" i="40"/>
  <c r="B457" i="40"/>
  <c r="E508" i="40"/>
  <c r="F509" i="40"/>
  <c r="I509" i="40"/>
  <c r="C461" i="40"/>
  <c r="E461" i="40"/>
  <c r="B462" i="40"/>
  <c r="B464" i="40" s="1"/>
  <c r="D467" i="40"/>
  <c r="H467" i="40"/>
  <c r="D468" i="40"/>
  <c r="D470" i="40" s="1"/>
  <c r="H468" i="40"/>
  <c r="H470" i="40" s="1"/>
  <c r="B471" i="40"/>
  <c r="B473" i="40" s="1"/>
  <c r="D476" i="40"/>
  <c r="H476" i="40"/>
  <c r="B477" i="40"/>
  <c r="B479" i="40" s="1"/>
  <c r="D482" i="40"/>
  <c r="H482" i="40"/>
  <c r="D483" i="40"/>
  <c r="D485" i="40" s="1"/>
  <c r="H483" i="40"/>
  <c r="H485" i="40" s="1"/>
  <c r="B486" i="40"/>
  <c r="B488" i="40" s="1"/>
  <c r="D491" i="40"/>
  <c r="H491" i="40"/>
  <c r="B492" i="40"/>
  <c r="B494" i="40" s="1"/>
  <c r="B496" i="40"/>
  <c r="B499" i="40"/>
  <c r="D503" i="40"/>
  <c r="H503" i="40"/>
  <c r="B504" i="40"/>
  <c r="B506" i="40" s="1"/>
  <c r="D512" i="40"/>
  <c r="B512" i="40" s="1"/>
  <c r="H512" i="40"/>
  <c r="B513" i="40"/>
  <c r="E540" i="40"/>
  <c r="F541" i="40"/>
  <c r="I541" i="40"/>
  <c r="B518" i="40"/>
  <c r="B520" i="40" s="1"/>
  <c r="B521" i="40"/>
  <c r="B523" i="40" s="1"/>
  <c r="D526" i="40"/>
  <c r="H526" i="40"/>
  <c r="B527" i="40"/>
  <c r="B529" i="40" s="1"/>
  <c r="D532" i="40"/>
  <c r="H532" i="40"/>
  <c r="B533" i="40"/>
  <c r="B535" i="40" s="1"/>
  <c r="B537" i="40"/>
  <c r="B544" i="40"/>
  <c r="B545" i="40"/>
  <c r="D563" i="40"/>
  <c r="H563" i="40"/>
  <c r="G564" i="40"/>
  <c r="J564" i="40"/>
  <c r="B548" i="40"/>
  <c r="B550" i="40"/>
  <c r="B552" i="40" s="1"/>
  <c r="E552" i="40"/>
  <c r="B554" i="40"/>
  <c r="B555" i="40" s="1"/>
  <c r="B556" i="40"/>
  <c r="B558" i="40" s="1"/>
  <c r="E558" i="40"/>
  <c r="B560" i="40"/>
  <c r="B567" i="40"/>
  <c r="H588" i="40"/>
  <c r="D589" i="40"/>
  <c r="H589" i="40"/>
  <c r="G590" i="40"/>
  <c r="B571" i="40"/>
  <c r="B589" i="40" s="1"/>
  <c r="D575" i="40"/>
  <c r="H575" i="40"/>
  <c r="B576" i="40"/>
  <c r="B578" i="40" s="1"/>
  <c r="D578" i="40"/>
  <c r="H578" i="40"/>
  <c r="B579" i="40"/>
  <c r="B581" i="40" s="1"/>
  <c r="D584" i="40"/>
  <c r="H584" i="40"/>
  <c r="B585" i="40"/>
  <c r="B587" i="40" s="1"/>
  <c r="B593" i="40"/>
  <c r="B594" i="40"/>
  <c r="D612" i="40"/>
  <c r="H612" i="40"/>
  <c r="G613" i="40"/>
  <c r="J613" i="40"/>
  <c r="B597" i="40"/>
  <c r="B598" i="40" s="1"/>
  <c r="B599" i="40"/>
  <c r="B601" i="40" s="1"/>
  <c r="E601" i="40"/>
  <c r="B603" i="40"/>
  <c r="B604" i="40" s="1"/>
  <c r="B605" i="40"/>
  <c r="B607" i="40" s="1"/>
  <c r="E607" i="40"/>
  <c r="B609" i="40"/>
  <c r="B610" i="40" s="1"/>
  <c r="B616" i="40"/>
  <c r="D629" i="40"/>
  <c r="H629" i="40"/>
  <c r="G630" i="40"/>
  <c r="J630" i="40"/>
  <c r="D621" i="40"/>
  <c r="H621" i="40"/>
  <c r="B622" i="40"/>
  <c r="B624" i="40" s="1"/>
  <c r="D627" i="40"/>
  <c r="H627" i="40"/>
  <c r="B634" i="40"/>
  <c r="D652" i="40"/>
  <c r="H652" i="40"/>
  <c r="G653" i="40"/>
  <c r="J653" i="40"/>
  <c r="B637" i="40"/>
  <c r="B638" i="40" s="1"/>
  <c r="B639" i="40"/>
  <c r="B641" i="40" s="1"/>
  <c r="E641" i="40"/>
  <c r="B643" i="40"/>
  <c r="B644" i="40" s="1"/>
  <c r="C645" i="40"/>
  <c r="C647" i="40" s="1"/>
  <c r="B646" i="40"/>
  <c r="C648" i="40"/>
  <c r="B648" i="40" s="1"/>
  <c r="B650" i="40" s="1"/>
  <c r="C649" i="40"/>
  <c r="B649" i="40" s="1"/>
  <c r="D658" i="40"/>
  <c r="D667" i="40" s="1"/>
  <c r="H658" i="40"/>
  <c r="C666" i="40"/>
  <c r="E666" i="40"/>
  <c r="F667" i="40"/>
  <c r="I667" i="40"/>
  <c r="B659" i="40"/>
  <c r="D664" i="40"/>
  <c r="H664" i="40"/>
  <c r="C670" i="40"/>
  <c r="E742" i="40"/>
  <c r="E743" i="40"/>
  <c r="D672" i="40"/>
  <c r="G744" i="40"/>
  <c r="C673" i="40"/>
  <c r="B673" i="40" s="1"/>
  <c r="C674" i="40"/>
  <c r="B674" i="40" s="1"/>
  <c r="C679" i="40"/>
  <c r="C681" i="40" s="1"/>
  <c r="B680" i="40"/>
  <c r="B685" i="40"/>
  <c r="E687" i="40"/>
  <c r="I687" i="40"/>
  <c r="C691" i="40"/>
  <c r="C693" i="40" s="1"/>
  <c r="B692" i="40"/>
  <c r="C696" i="40"/>
  <c r="E696" i="40"/>
  <c r="B697" i="40"/>
  <c r="B699" i="40" s="1"/>
  <c r="H697" i="40"/>
  <c r="H699" i="40" s="1"/>
  <c r="C706" i="40"/>
  <c r="C707" i="40"/>
  <c r="B707" i="40" s="1"/>
  <c r="C710" i="40"/>
  <c r="B710" i="40" s="1"/>
  <c r="B711" i="40" s="1"/>
  <c r="C713" i="40"/>
  <c r="B713" i="40" s="1"/>
  <c r="B714" i="40" s="1"/>
  <c r="C716" i="40"/>
  <c r="B716" i="40" s="1"/>
  <c r="B717" i="40" s="1"/>
  <c r="C721" i="40"/>
  <c r="C723" i="40" s="1"/>
  <c r="B722" i="40"/>
  <c r="D726" i="40"/>
  <c r="H726" i="40"/>
  <c r="B727" i="40"/>
  <c r="B729" i="40" s="1"/>
  <c r="H727" i="40"/>
  <c r="H729" i="40" s="1"/>
  <c r="B730" i="40"/>
  <c r="B733" i="40"/>
  <c r="B735" i="40" s="1"/>
  <c r="H733" i="40"/>
  <c r="H735" i="40" s="1"/>
  <c r="B736" i="40"/>
  <c r="B738" i="40" s="1"/>
  <c r="H736" i="40"/>
  <c r="H738" i="40" s="1"/>
  <c r="B739" i="40"/>
  <c r="B741" i="40" s="1"/>
  <c r="H739" i="40"/>
  <c r="H741" i="40" s="1"/>
  <c r="C752" i="40"/>
  <c r="E752" i="40"/>
  <c r="B754" i="40"/>
  <c r="B755" i="40" s="1"/>
  <c r="B761" i="40"/>
  <c r="B762" i="40"/>
  <c r="B768" i="40" s="1"/>
  <c r="C766" i="40"/>
  <c r="E766" i="40"/>
  <c r="B775" i="40"/>
  <c r="D780" i="40"/>
  <c r="H780" i="40"/>
  <c r="B781" i="40"/>
  <c r="D786" i="40"/>
  <c r="H786" i="40"/>
  <c r="B787" i="40"/>
  <c r="B793" i="40"/>
  <c r="B815" i="40"/>
  <c r="B818" i="40" s="1"/>
  <c r="B52" i="39"/>
  <c r="B60" i="39"/>
  <c r="B101" i="39"/>
  <c r="B176" i="39"/>
  <c r="B177" i="39" s="1"/>
  <c r="B32" i="39"/>
  <c r="H32" i="39"/>
  <c r="B44" i="39"/>
  <c r="B47" i="39"/>
  <c r="C67" i="39"/>
  <c r="C68" i="39" s="1"/>
  <c r="B78" i="39"/>
  <c r="B83" i="39"/>
  <c r="B106" i="39"/>
  <c r="B137" i="39"/>
  <c r="B145" i="39"/>
  <c r="B149" i="39"/>
  <c r="B171" i="39"/>
  <c r="B173" i="39" s="1"/>
  <c r="B11" i="38"/>
  <c r="B15" i="38"/>
  <c r="B25" i="38"/>
  <c r="B41" i="38"/>
  <c r="B45" i="38"/>
  <c r="B49" i="38"/>
  <c r="B53" i="38"/>
  <c r="B57" i="38"/>
  <c r="B61" i="38"/>
  <c r="C5" i="36"/>
  <c r="E10" i="36"/>
  <c r="I10" i="36"/>
  <c r="C11" i="36"/>
  <c r="C13" i="36" s="1"/>
  <c r="E16" i="36"/>
  <c r="I16" i="36"/>
  <c r="C17" i="36"/>
  <c r="C19" i="36" s="1"/>
  <c r="E22" i="36"/>
  <c r="I22" i="36"/>
  <c r="C23" i="36"/>
  <c r="C25" i="36" s="1"/>
  <c r="I28" i="36"/>
  <c r="C29" i="36"/>
  <c r="C31" i="36" s="1"/>
  <c r="I34" i="36"/>
  <c r="C35" i="36"/>
  <c r="C37" i="36" s="1"/>
  <c r="C41" i="36"/>
  <c r="C43" i="36" s="1"/>
  <c r="C47" i="36"/>
  <c r="C49" i="36" s="1"/>
  <c r="D5" i="34"/>
  <c r="D8" i="34"/>
  <c r="D12" i="34"/>
  <c r="D16" i="34"/>
  <c r="D20" i="34"/>
  <c r="C13" i="35"/>
  <c r="C19" i="35"/>
  <c r="C25" i="35"/>
  <c r="C31" i="35"/>
  <c r="C37" i="35"/>
  <c r="C43" i="35"/>
  <c r="C49" i="35"/>
  <c r="C55" i="35"/>
  <c r="C61" i="35"/>
  <c r="C67" i="35"/>
  <c r="C73" i="35"/>
  <c r="C65" i="38"/>
  <c r="E65" i="38"/>
  <c r="C5" i="33"/>
  <c r="C29" i="33" s="1"/>
  <c r="C6" i="35"/>
  <c r="C75" i="35" s="1"/>
  <c r="D7" i="35"/>
  <c r="D76" i="35" s="1"/>
  <c r="F7" i="35"/>
  <c r="F76" i="35" s="1"/>
  <c r="C8" i="35"/>
  <c r="C10" i="35" s="1"/>
  <c r="C14" i="35"/>
  <c r="C16" i="35" s="1"/>
  <c r="C20" i="35"/>
  <c r="C22" i="35" s="1"/>
  <c r="C26" i="35"/>
  <c r="C28" i="35" s="1"/>
  <c r="C32" i="35"/>
  <c r="C34" i="35" s="1"/>
  <c r="C38" i="35"/>
  <c r="C40" i="35" s="1"/>
  <c r="C44" i="35"/>
  <c r="C46" i="35" s="1"/>
  <c r="C50" i="35"/>
  <c r="C52" i="35" s="1"/>
  <c r="C56" i="35"/>
  <c r="C58" i="35" s="1"/>
  <c r="C62" i="35"/>
  <c r="C64" i="35" s="1"/>
  <c r="C68" i="35"/>
  <c r="C70" i="35" s="1"/>
  <c r="C74" i="35"/>
  <c r="E74" i="35"/>
  <c r="I74" i="35"/>
  <c r="F74" i="36"/>
  <c r="C6" i="36"/>
  <c r="C75" i="36" s="1"/>
  <c r="E75" i="36"/>
  <c r="I75" i="36"/>
  <c r="D7" i="36"/>
  <c r="D76" i="36" s="1"/>
  <c r="F7" i="36"/>
  <c r="F76" i="36" s="1"/>
  <c r="H76" i="36"/>
  <c r="J76" i="36"/>
  <c r="C8" i="36"/>
  <c r="C10" i="36" s="1"/>
  <c r="C14" i="36"/>
  <c r="C16" i="36" s="1"/>
  <c r="C20" i="36"/>
  <c r="C22" i="36" s="1"/>
  <c r="C26" i="36"/>
  <c r="C28" i="36" s="1"/>
  <c r="C32" i="36"/>
  <c r="C34" i="36" s="1"/>
  <c r="C38" i="36"/>
  <c r="C40" i="36" s="1"/>
  <c r="C44" i="36"/>
  <c r="C46" i="36" s="1"/>
  <c r="C50" i="36"/>
  <c r="C52" i="36" s="1"/>
  <c r="C56" i="36"/>
  <c r="C58" i="36" s="1"/>
  <c r="C62" i="36"/>
  <c r="C64" i="36" s="1"/>
  <c r="C68" i="36"/>
  <c r="C70" i="36" s="1"/>
  <c r="C74" i="36"/>
  <c r="E74" i="36"/>
  <c r="E50" i="37"/>
  <c r="I50" i="37"/>
  <c r="C49" i="37"/>
  <c r="B63" i="38"/>
  <c r="B79" i="39"/>
  <c r="H126" i="39"/>
  <c r="B61" i="40"/>
  <c r="J62" i="40"/>
  <c r="B35" i="40"/>
  <c r="B59" i="40"/>
  <c r="B102" i="40"/>
  <c r="D170" i="40"/>
  <c r="B169" i="40"/>
  <c r="B125" i="40"/>
  <c r="B146" i="40"/>
  <c r="B152" i="40"/>
  <c r="B164" i="40"/>
  <c r="B202" i="40"/>
  <c r="B208" i="40"/>
  <c r="B257" i="40"/>
  <c r="D65" i="38"/>
  <c r="H65" i="38"/>
  <c r="B16" i="39"/>
  <c r="B20" i="39" s="1"/>
  <c r="H20" i="39"/>
  <c r="I7" i="36"/>
  <c r="I76" i="36" s="1"/>
  <c r="B328" i="40"/>
  <c r="D47" i="37"/>
  <c r="D49" i="37"/>
  <c r="G65" i="38"/>
  <c r="I65" i="38"/>
  <c r="B12" i="39"/>
  <c r="B13" i="39" s="1"/>
  <c r="J20" i="39"/>
  <c r="J95" i="39"/>
  <c r="B123" i="39"/>
  <c r="B126" i="39" s="1"/>
  <c r="J126" i="39"/>
  <c r="B6" i="40"/>
  <c r="D8" i="40"/>
  <c r="D62" i="40" s="1"/>
  <c r="H8" i="40"/>
  <c r="B9" i="40"/>
  <c r="B11" i="40" s="1"/>
  <c r="H9" i="40"/>
  <c r="H11" i="40" s="1"/>
  <c r="I11" i="40"/>
  <c r="I62" i="40" s="1"/>
  <c r="J60" i="40"/>
  <c r="B66" i="40"/>
  <c r="B81" i="40" s="1"/>
  <c r="C67" i="40"/>
  <c r="C82" i="40" s="1"/>
  <c r="E67" i="40"/>
  <c r="E82" i="40" s="1"/>
  <c r="B68" i="40"/>
  <c r="B70" i="40" s="1"/>
  <c r="B74" i="40"/>
  <c r="B76" i="40" s="1"/>
  <c r="D80" i="40"/>
  <c r="H80" i="40"/>
  <c r="B87" i="40"/>
  <c r="D87" i="40"/>
  <c r="H87" i="40"/>
  <c r="H117" i="40" s="1"/>
  <c r="J87" i="40"/>
  <c r="J96" i="40"/>
  <c r="H103" i="40"/>
  <c r="H105" i="40" s="1"/>
  <c r="J114" i="40"/>
  <c r="C115" i="40"/>
  <c r="E115" i="40"/>
  <c r="C122" i="40"/>
  <c r="E122" i="40"/>
  <c r="E170" i="40" s="1"/>
  <c r="I122" i="40"/>
  <c r="I170" i="40" s="1"/>
  <c r="C149" i="40"/>
  <c r="C161" i="40"/>
  <c r="C167" i="40"/>
  <c r="D168" i="40"/>
  <c r="D175" i="40"/>
  <c r="H175" i="40"/>
  <c r="J175" i="40"/>
  <c r="J226" i="40" s="1"/>
  <c r="B191" i="40"/>
  <c r="B193" i="40" s="1"/>
  <c r="H191" i="40"/>
  <c r="H193" i="40" s="1"/>
  <c r="B203" i="40"/>
  <c r="B205" i="40" s="1"/>
  <c r="B209" i="40"/>
  <c r="B211" i="40" s="1"/>
  <c r="H209" i="40"/>
  <c r="H211" i="40" s="1"/>
  <c r="B212" i="40"/>
  <c r="B214" i="40" s="1"/>
  <c r="H212" i="40"/>
  <c r="H214" i="40" s="1"/>
  <c r="B215" i="40"/>
  <c r="B217" i="40" s="1"/>
  <c r="H215" i="40"/>
  <c r="H217" i="40" s="1"/>
  <c r="B218" i="40"/>
  <c r="B220" i="40" s="1"/>
  <c r="H218" i="40"/>
  <c r="H220" i="40" s="1"/>
  <c r="D221" i="40"/>
  <c r="D223" i="40" s="1"/>
  <c r="H221" i="40"/>
  <c r="H223" i="40" s="1"/>
  <c r="I225" i="40"/>
  <c r="B230" i="40"/>
  <c r="B248" i="40" s="1"/>
  <c r="C231" i="40"/>
  <c r="C249" i="40" s="1"/>
  <c r="E231" i="40"/>
  <c r="E249" i="40" s="1"/>
  <c r="B232" i="40"/>
  <c r="B234" i="40" s="1"/>
  <c r="B238" i="40"/>
  <c r="B240" i="40" s="1"/>
  <c r="B244" i="40"/>
  <c r="B246" i="40" s="1"/>
  <c r="B252" i="40"/>
  <c r="C322" i="40"/>
  <c r="E322" i="40"/>
  <c r="D254" i="40"/>
  <c r="D323" i="40" s="1"/>
  <c r="F323" i="40"/>
  <c r="H254" i="40"/>
  <c r="J323" i="40"/>
  <c r="B258" i="40"/>
  <c r="B260" i="40" s="1"/>
  <c r="H258" i="40"/>
  <c r="H260" i="40" s="1"/>
  <c r="I260" i="40"/>
  <c r="I323" i="40" s="1"/>
  <c r="B261" i="40"/>
  <c r="B263" i="40" s="1"/>
  <c r="B367" i="40"/>
  <c r="B391" i="40"/>
  <c r="B414" i="40"/>
  <c r="B450" i="40"/>
  <c r="B549" i="40"/>
  <c r="B561" i="40"/>
  <c r="B562" i="40"/>
  <c r="B546" i="40"/>
  <c r="B611" i="40"/>
  <c r="B595" i="40"/>
  <c r="B5" i="38"/>
  <c r="B62" i="38" s="1"/>
  <c r="B7" i="38"/>
  <c r="B64" i="38" s="1"/>
  <c r="D16" i="39"/>
  <c r="D20" i="39" s="1"/>
  <c r="B58" i="39"/>
  <c r="B64" i="39" s="1"/>
  <c r="B67" i="39"/>
  <c r="B68" i="39" s="1"/>
  <c r="B71" i="39"/>
  <c r="B74" i="39" s="1"/>
  <c r="B129" i="39"/>
  <c r="B130" i="39" s="1"/>
  <c r="B133" i="39"/>
  <c r="B168" i="39" s="1"/>
  <c r="C8" i="40"/>
  <c r="C62" i="40" s="1"/>
  <c r="E8" i="40"/>
  <c r="E62" i="40" s="1"/>
  <c r="B12" i="40"/>
  <c r="B14" i="40" s="1"/>
  <c r="H12" i="40"/>
  <c r="H14" i="40" s="1"/>
  <c r="B94" i="40"/>
  <c r="D112" i="40"/>
  <c r="D114" i="40" s="1"/>
  <c r="B126" i="40"/>
  <c r="B128" i="40" s="1"/>
  <c r="H126" i="40"/>
  <c r="H128" i="40" s="1"/>
  <c r="B129" i="40"/>
  <c r="B131" i="40" s="1"/>
  <c r="H129" i="40"/>
  <c r="H131" i="40" s="1"/>
  <c r="B132" i="40"/>
  <c r="B134" i="40" s="1"/>
  <c r="B153" i="40"/>
  <c r="B155" i="40" s="1"/>
  <c r="H153" i="40"/>
  <c r="H155" i="40" s="1"/>
  <c r="B156" i="40"/>
  <c r="B158" i="40" s="1"/>
  <c r="H156" i="40"/>
  <c r="H158" i="40" s="1"/>
  <c r="C175" i="40"/>
  <c r="C226" i="40" s="1"/>
  <c r="E175" i="40"/>
  <c r="E226" i="40" s="1"/>
  <c r="I184" i="40"/>
  <c r="I226" i="40" s="1"/>
  <c r="B231" i="40"/>
  <c r="B249" i="40" s="1"/>
  <c r="D231" i="40"/>
  <c r="D249" i="40" s="1"/>
  <c r="H231" i="40"/>
  <c r="H249" i="40" s="1"/>
  <c r="B322" i="40"/>
  <c r="C254" i="40"/>
  <c r="E254" i="40"/>
  <c r="E323" i="40" s="1"/>
  <c r="B661" i="40"/>
  <c r="C678" i="40"/>
  <c r="B676" i="40"/>
  <c r="B678" i="40" s="1"/>
  <c r="C293" i="40"/>
  <c r="C299" i="40"/>
  <c r="B303" i="40"/>
  <c r="B305" i="40" s="1"/>
  <c r="B309" i="40"/>
  <c r="B311" i="40" s="1"/>
  <c r="B315" i="40"/>
  <c r="B317" i="40" s="1"/>
  <c r="C328" i="40"/>
  <c r="E328" i="40"/>
  <c r="E394" i="40" s="1"/>
  <c r="C343" i="40"/>
  <c r="C349" i="40"/>
  <c r="C358" i="40"/>
  <c r="C364" i="40"/>
  <c r="C370" i="40"/>
  <c r="C379" i="40"/>
  <c r="I379" i="40"/>
  <c r="C388" i="40"/>
  <c r="I388" i="40"/>
  <c r="C392" i="40"/>
  <c r="I392" i="40"/>
  <c r="C399" i="40"/>
  <c r="E399" i="40"/>
  <c r="E453" i="40" s="1"/>
  <c r="I408" i="40"/>
  <c r="J417" i="40"/>
  <c r="J453" i="40" s="1"/>
  <c r="J420" i="40"/>
  <c r="C423" i="40"/>
  <c r="I423" i="40"/>
  <c r="H451" i="40"/>
  <c r="J451" i="40"/>
  <c r="D458" i="40"/>
  <c r="H458" i="40"/>
  <c r="J458" i="40"/>
  <c r="J509" i="40" s="1"/>
  <c r="B465" i="40"/>
  <c r="B467" i="40" s="1"/>
  <c r="B474" i="40"/>
  <c r="B476" i="40" s="1"/>
  <c r="B480" i="40"/>
  <c r="B482" i="40" s="1"/>
  <c r="B489" i="40"/>
  <c r="B491" i="40" s="1"/>
  <c r="B495" i="40"/>
  <c r="B497" i="40" s="1"/>
  <c r="D495" i="40"/>
  <c r="D497" i="40" s="1"/>
  <c r="H495" i="40"/>
  <c r="H497" i="40" s="1"/>
  <c r="D498" i="40"/>
  <c r="D500" i="40" s="1"/>
  <c r="H498" i="40"/>
  <c r="H500" i="40" s="1"/>
  <c r="B501" i="40"/>
  <c r="B503" i="40" s="1"/>
  <c r="C508" i="40"/>
  <c r="D514" i="40"/>
  <c r="H514" i="40"/>
  <c r="J514" i="40"/>
  <c r="J517" i="40"/>
  <c r="J520" i="40"/>
  <c r="B524" i="40"/>
  <c r="B526" i="40" s="1"/>
  <c r="B530" i="40"/>
  <c r="B532" i="40" s="1"/>
  <c r="D536" i="40"/>
  <c r="D538" i="40" s="1"/>
  <c r="H536" i="40"/>
  <c r="H538" i="40" s="1"/>
  <c r="C540" i="40"/>
  <c r="C546" i="40"/>
  <c r="E546" i="40"/>
  <c r="E564" i="40" s="1"/>
  <c r="C552" i="40"/>
  <c r="C558" i="40"/>
  <c r="C562" i="40"/>
  <c r="B569" i="40"/>
  <c r="D569" i="40"/>
  <c r="H569" i="40"/>
  <c r="H590" i="40" s="1"/>
  <c r="J572" i="40"/>
  <c r="J590" i="40" s="1"/>
  <c r="C575" i="40"/>
  <c r="B582" i="40"/>
  <c r="B584" i="40" s="1"/>
  <c r="J588" i="40"/>
  <c r="C589" i="40"/>
  <c r="C595" i="40"/>
  <c r="E595" i="40"/>
  <c r="E613" i="40" s="1"/>
  <c r="C601" i="40"/>
  <c r="C607" i="40"/>
  <c r="C611" i="40"/>
  <c r="B618" i="40"/>
  <c r="B630" i="40" s="1"/>
  <c r="D618" i="40"/>
  <c r="D630" i="40" s="1"/>
  <c r="H618" i="40"/>
  <c r="H630" i="40" s="1"/>
  <c r="C621" i="40"/>
  <c r="C627" i="40"/>
  <c r="C629" i="40"/>
  <c r="C635" i="40"/>
  <c r="E635" i="40"/>
  <c r="E653" i="40" s="1"/>
  <c r="C641" i="40"/>
  <c r="C650" i="40"/>
  <c r="I650" i="40"/>
  <c r="D651" i="40"/>
  <c r="I652" i="40"/>
  <c r="C658" i="40"/>
  <c r="E658" i="40"/>
  <c r="E667" i="40" s="1"/>
  <c r="C664" i="40"/>
  <c r="D665" i="40"/>
  <c r="H665" i="40"/>
  <c r="D744" i="40"/>
  <c r="C675" i="40"/>
  <c r="I675" i="40"/>
  <c r="B767" i="40"/>
  <c r="B763" i="40"/>
  <c r="B769" i="40" s="1"/>
  <c r="B288" i="40"/>
  <c r="B290" i="40" s="1"/>
  <c r="H288" i="40"/>
  <c r="H290" i="40" s="1"/>
  <c r="D328" i="40"/>
  <c r="D394" i="40" s="1"/>
  <c r="H328" i="40"/>
  <c r="J331" i="40"/>
  <c r="J394" i="40" s="1"/>
  <c r="B353" i="40"/>
  <c r="B355" i="40" s="1"/>
  <c r="H353" i="40"/>
  <c r="H355" i="40" s="1"/>
  <c r="D415" i="40"/>
  <c r="D417" i="40" s="1"/>
  <c r="D418" i="40"/>
  <c r="D420" i="40" s="1"/>
  <c r="C458" i="40"/>
  <c r="C509" i="40" s="1"/>
  <c r="E458" i="40"/>
  <c r="E509" i="40" s="1"/>
  <c r="C514" i="40"/>
  <c r="C541" i="40" s="1"/>
  <c r="E514" i="40"/>
  <c r="E541" i="40" s="1"/>
  <c r="B515" i="40"/>
  <c r="B517" i="40" s="1"/>
  <c r="D546" i="40"/>
  <c r="D564" i="40" s="1"/>
  <c r="H546" i="40"/>
  <c r="H564" i="40" s="1"/>
  <c r="C569" i="40"/>
  <c r="C590" i="40" s="1"/>
  <c r="E569" i="40"/>
  <c r="E590" i="40" s="1"/>
  <c r="D570" i="40"/>
  <c r="D572" i="40" s="1"/>
  <c r="D595" i="40"/>
  <c r="D613" i="40" s="1"/>
  <c r="H595" i="40"/>
  <c r="H613" i="40" s="1"/>
  <c r="C618" i="40"/>
  <c r="E618" i="40"/>
  <c r="E630" i="40" s="1"/>
  <c r="B633" i="40"/>
  <c r="B645" i="40"/>
  <c r="B647" i="40" s="1"/>
  <c r="H645" i="40"/>
  <c r="H647" i="40" s="1"/>
  <c r="H653" i="40" s="1"/>
  <c r="I647" i="40"/>
  <c r="I653" i="40" s="1"/>
  <c r="B656" i="40"/>
  <c r="B670" i="40"/>
  <c r="H670" i="40"/>
  <c r="B671" i="40"/>
  <c r="B743" i="40" s="1"/>
  <c r="C672" i="40"/>
  <c r="E672" i="40"/>
  <c r="E744" i="40" s="1"/>
  <c r="I672" i="40"/>
  <c r="H674" i="40"/>
  <c r="B687" i="40"/>
  <c r="B732" i="40"/>
  <c r="B777" i="40"/>
  <c r="B783" i="40"/>
  <c r="B789" i="40"/>
  <c r="B795" i="40"/>
  <c r="B801" i="40"/>
  <c r="H676" i="40"/>
  <c r="H678" i="40" s="1"/>
  <c r="B679" i="40"/>
  <c r="B681" i="40" s="1"/>
  <c r="H679" i="40"/>
  <c r="H681" i="40" s="1"/>
  <c r="C687" i="40"/>
  <c r="B706" i="40"/>
  <c r="B708" i="40" s="1"/>
  <c r="H706" i="40"/>
  <c r="H708" i="40" s="1"/>
  <c r="H710" i="40"/>
  <c r="H711" i="40" s="1"/>
  <c r="H713" i="40"/>
  <c r="H714" i="40" s="1"/>
  <c r="H716" i="40"/>
  <c r="H717" i="40" s="1"/>
  <c r="B721" i="40"/>
  <c r="B723" i="40" s="1"/>
  <c r="H721" i="40"/>
  <c r="H723" i="40" s="1"/>
  <c r="B724" i="40"/>
  <c r="B726" i="40" s="1"/>
  <c r="I732" i="40"/>
  <c r="B748" i="40"/>
  <c r="B757" i="40" s="1"/>
  <c r="C749" i="40"/>
  <c r="C758" i="40" s="1"/>
  <c r="E749" i="40"/>
  <c r="E758" i="40" s="1"/>
  <c r="B750" i="40"/>
  <c r="B752" i="40" s="1"/>
  <c r="D756" i="40"/>
  <c r="H756" i="40"/>
  <c r="C763" i="40"/>
  <c r="C769" i="40" s="1"/>
  <c r="E763" i="40"/>
  <c r="E769" i="40" s="1"/>
  <c r="C767" i="40"/>
  <c r="B772" i="40"/>
  <c r="D774" i="40"/>
  <c r="D810" i="40" s="1"/>
  <c r="H774" i="40"/>
  <c r="H810" i="40" s="1"/>
  <c r="B778" i="40"/>
  <c r="B780" i="40" s="1"/>
  <c r="B784" i="40"/>
  <c r="B786" i="40" s="1"/>
  <c r="B790" i="40"/>
  <c r="B792" i="40" s="1"/>
  <c r="B796" i="40"/>
  <c r="B798" i="40" s="1"/>
  <c r="B802" i="40"/>
  <c r="B804" i="40" s="1"/>
  <c r="C807" i="40"/>
  <c r="B814" i="40"/>
  <c r="B817" i="40" s="1"/>
  <c r="E815" i="40"/>
  <c r="E818" i="40" s="1"/>
  <c r="H816" i="40"/>
  <c r="B822" i="40"/>
  <c r="B825" i="40" s="1"/>
  <c r="C823" i="40"/>
  <c r="C826" i="40" s="1"/>
  <c r="E823" i="40"/>
  <c r="E826" i="40" s="1"/>
  <c r="B824" i="40"/>
  <c r="D824" i="40"/>
  <c r="H824" i="40"/>
  <c r="D6" i="41"/>
  <c r="D36" i="41" s="1"/>
  <c r="D39" i="41" s="1"/>
  <c r="H6" i="41"/>
  <c r="H36" i="41" s="1"/>
  <c r="B7" i="41"/>
  <c r="B37" i="41" s="1"/>
  <c r="I39" i="41"/>
  <c r="C60" i="41"/>
  <c r="G60" i="41"/>
  <c r="H90" i="41"/>
  <c r="C141" i="41"/>
  <c r="E141" i="41"/>
  <c r="I228" i="41"/>
  <c r="B691" i="40"/>
  <c r="B693" i="40" s="1"/>
  <c r="H691" i="40"/>
  <c r="H693" i="40" s="1"/>
  <c r="D763" i="40"/>
  <c r="D769" i="40" s="1"/>
  <c r="H763" i="40"/>
  <c r="H769" i="40" s="1"/>
  <c r="C774" i="40"/>
  <c r="C810" i="40" s="1"/>
  <c r="E774" i="40"/>
  <c r="E810" i="40" s="1"/>
  <c r="B38" i="41"/>
  <c r="J60" i="41"/>
  <c r="J141" i="41"/>
  <c r="J180" i="41"/>
  <c r="G201" i="41"/>
  <c r="J201" i="41"/>
  <c r="I282" i="41"/>
  <c r="C306" i="41"/>
  <c r="E306" i="41"/>
  <c r="D315" i="41"/>
  <c r="H315" i="41"/>
  <c r="E42" i="41"/>
  <c r="E57" i="41" s="1"/>
  <c r="E43" i="41"/>
  <c r="E58" i="41" s="1"/>
  <c r="H43" i="41"/>
  <c r="H58" i="41" s="1"/>
  <c r="H60" i="41" s="1"/>
  <c r="B44" i="41"/>
  <c r="B59" i="41" s="1"/>
  <c r="B65" i="41"/>
  <c r="B89" i="41" s="1"/>
  <c r="C178" i="41"/>
  <c r="C180" i="41" s="1"/>
  <c r="I178" i="41"/>
  <c r="I180" i="41" s="1"/>
  <c r="B183" i="41"/>
  <c r="B198" i="41" s="1"/>
  <c r="E184" i="41"/>
  <c r="E199" i="41" s="1"/>
  <c r="E201" i="41" s="1"/>
  <c r="H184" i="41"/>
  <c r="H199" i="41" s="1"/>
  <c r="H201" i="41" s="1"/>
  <c r="B185" i="41"/>
  <c r="B200" i="41" s="1"/>
  <c r="D187" i="41"/>
  <c r="B187" i="41" s="1"/>
  <c r="B199" i="41" s="1"/>
  <c r="B205" i="41"/>
  <c r="B226" i="41" s="1"/>
  <c r="C280" i="41"/>
  <c r="C282" i="41" s="1"/>
  <c r="C292" i="41"/>
  <c r="C294" i="41" s="1"/>
  <c r="B297" i="41"/>
  <c r="B303" i="41" s="1"/>
  <c r="B306" i="41" s="1"/>
  <c r="B309" i="41"/>
  <c r="B312" i="41" s="1"/>
  <c r="B311" i="41"/>
  <c r="B314" i="41" s="1"/>
  <c r="D72" i="41"/>
  <c r="D87" i="41" s="1"/>
  <c r="D73" i="41"/>
  <c r="D88" i="41" s="1"/>
  <c r="B93" i="41"/>
  <c r="D121" i="41"/>
  <c r="B121" i="41" s="1"/>
  <c r="D160" i="41"/>
  <c r="B160" i="41" s="1"/>
  <c r="B231" i="41"/>
  <c r="B240" i="41" s="1"/>
  <c r="B233" i="41"/>
  <c r="B242" i="41" s="1"/>
  <c r="B247" i="41"/>
  <c r="B250" i="41" s="1"/>
  <c r="B252" i="41" s="1"/>
  <c r="B255" i="41"/>
  <c r="B264" i="41" s="1"/>
  <c r="B257" i="41"/>
  <c r="B266" i="41" s="1"/>
  <c r="H275" i="41"/>
  <c r="H281" i="41" s="1"/>
  <c r="H282" i="41" s="1"/>
  <c r="C50" i="37" l="1"/>
  <c r="C630" i="40"/>
  <c r="B112" i="40"/>
  <c r="B114" i="40" s="1"/>
  <c r="D50" i="37"/>
  <c r="B55" i="39"/>
  <c r="C717" i="40"/>
  <c r="C714" i="40"/>
  <c r="C711" i="40"/>
  <c r="C708" i="40"/>
  <c r="B628" i="40"/>
  <c r="B514" i="40"/>
  <c r="B468" i="40"/>
  <c r="B470" i="40" s="1"/>
  <c r="B452" i="40"/>
  <c r="B393" i="40"/>
  <c r="B335" i="40"/>
  <c r="B337" i="40" s="1"/>
  <c r="B185" i="40"/>
  <c r="B187" i="40" s="1"/>
  <c r="B175" i="40"/>
  <c r="B116" i="40"/>
  <c r="C117" i="40"/>
  <c r="H82" i="40"/>
  <c r="B225" i="41"/>
  <c r="B179" i="41"/>
  <c r="H287" i="40"/>
  <c r="B180" i="39"/>
  <c r="B181" i="39" s="1"/>
  <c r="B88" i="40"/>
  <c r="B90" i="40" s="1"/>
  <c r="E76" i="36"/>
  <c r="H453" i="40"/>
  <c r="E117" i="40"/>
  <c r="C226" i="41"/>
  <c r="C228" i="41" s="1"/>
  <c r="B91" i="40"/>
  <c r="B93" i="40" s="1"/>
  <c r="B267" i="41"/>
  <c r="B138" i="41"/>
  <c r="B315" i="41"/>
  <c r="B228" i="41"/>
  <c r="E60" i="41"/>
  <c r="H39" i="41"/>
  <c r="B6" i="41"/>
  <c r="B36" i="41" s="1"/>
  <c r="H141" i="41"/>
  <c r="D140" i="41"/>
  <c r="B43" i="41"/>
  <c r="B58" i="41" s="1"/>
  <c r="B139" i="41"/>
  <c r="B60" i="41"/>
  <c r="B282" i="41"/>
  <c r="B180" i="41"/>
  <c r="C39" i="41"/>
  <c r="D453" i="40"/>
  <c r="I394" i="40"/>
  <c r="H170" i="40"/>
  <c r="B96" i="40"/>
  <c r="B675" i="40"/>
  <c r="C743" i="40"/>
  <c r="C742" i="40"/>
  <c r="H667" i="40"/>
  <c r="B652" i="40"/>
  <c r="B483" i="40"/>
  <c r="B485" i="40" s="1"/>
  <c r="B508" i="40"/>
  <c r="B442" i="40"/>
  <c r="B444" i="40" s="1"/>
  <c r="C451" i="40"/>
  <c r="B332" i="40"/>
  <c r="B334" i="40" s="1"/>
  <c r="C393" i="40"/>
  <c r="B302" i="40"/>
  <c r="C321" i="40"/>
  <c r="B179" i="40"/>
  <c r="B181" i="40" s="1"/>
  <c r="B225" i="40"/>
  <c r="B106" i="40"/>
  <c r="B108" i="40" s="1"/>
  <c r="D60" i="40"/>
  <c r="H743" i="40"/>
  <c r="B756" i="40"/>
  <c r="I744" i="40"/>
  <c r="B418" i="40"/>
  <c r="B420" i="40" s="1"/>
  <c r="B415" i="40"/>
  <c r="B417" i="40" s="1"/>
  <c r="H394" i="40"/>
  <c r="B536" i="40"/>
  <c r="B538" i="40" s="1"/>
  <c r="I453" i="40"/>
  <c r="B613" i="40"/>
  <c r="B564" i="40"/>
  <c r="C651" i="40"/>
  <c r="B612" i="40"/>
  <c r="B563" i="40"/>
  <c r="B540" i="40"/>
  <c r="B388" i="40"/>
  <c r="C652" i="40"/>
  <c r="D392" i="40"/>
  <c r="C168" i="40"/>
  <c r="B379" i="40"/>
  <c r="D25" i="34"/>
  <c r="D90" i="41"/>
  <c r="B808" i="40"/>
  <c r="B774" i="40"/>
  <c r="B810" i="40" s="1"/>
  <c r="B742" i="40"/>
  <c r="B672" i="40"/>
  <c r="B744" i="40" s="1"/>
  <c r="B141" i="41"/>
  <c r="B72" i="41"/>
  <c r="B87" i="41" s="1"/>
  <c r="D199" i="41"/>
  <c r="D201" i="41" s="1"/>
  <c r="D139" i="41"/>
  <c r="D141" i="41" s="1"/>
  <c r="B73" i="41"/>
  <c r="B88" i="41" s="1"/>
  <c r="C744" i="40"/>
  <c r="B823" i="40"/>
  <c r="B826" i="40" s="1"/>
  <c r="C667" i="40"/>
  <c r="H651" i="40"/>
  <c r="C653" i="40"/>
  <c r="D590" i="40"/>
  <c r="C564" i="40"/>
  <c r="H541" i="40"/>
  <c r="B541" i="40"/>
  <c r="H509" i="40"/>
  <c r="B451" i="40"/>
  <c r="C394" i="40"/>
  <c r="D588" i="40"/>
  <c r="H539" i="40"/>
  <c r="B539" i="40"/>
  <c r="D507" i="40"/>
  <c r="C323" i="40"/>
  <c r="H675" i="40"/>
  <c r="H321" i="40"/>
  <c r="H226" i="40"/>
  <c r="B117" i="40"/>
  <c r="B392" i="40"/>
  <c r="H224" i="40"/>
  <c r="B67" i="40"/>
  <c r="B82" i="40" s="1"/>
  <c r="H115" i="40"/>
  <c r="B115" i="40"/>
  <c r="C7" i="36"/>
  <c r="C76" i="36" s="1"/>
  <c r="H742" i="40"/>
  <c r="H672" i="40"/>
  <c r="H744" i="40" s="1"/>
  <c r="B658" i="40"/>
  <c r="B667" i="40" s="1"/>
  <c r="B665" i="40"/>
  <c r="B635" i="40"/>
  <c r="B653" i="40" s="1"/>
  <c r="B651" i="40"/>
  <c r="B65" i="38"/>
  <c r="B321" i="40"/>
  <c r="B254" i="40"/>
  <c r="B323" i="40" s="1"/>
  <c r="B60" i="40"/>
  <c r="B8" i="40"/>
  <c r="B62" i="40" s="1"/>
  <c r="B243" i="41"/>
  <c r="B201" i="41"/>
  <c r="B570" i="40"/>
  <c r="B39" i="41"/>
  <c r="B749" i="40"/>
  <c r="B758" i="40" s="1"/>
  <c r="C613" i="40"/>
  <c r="J541" i="40"/>
  <c r="D541" i="40"/>
  <c r="B498" i="40"/>
  <c r="B500" i="40" s="1"/>
  <c r="B509" i="40" s="1"/>
  <c r="D509" i="40"/>
  <c r="D451" i="40"/>
  <c r="C453" i="40"/>
  <c r="D539" i="40"/>
  <c r="H507" i="40"/>
  <c r="B507" i="40"/>
  <c r="H392" i="40"/>
  <c r="H323" i="40"/>
  <c r="B221" i="40"/>
  <c r="B223" i="40" s="1"/>
  <c r="B226" i="40" s="1"/>
  <c r="D226" i="40"/>
  <c r="H168" i="40"/>
  <c r="B168" i="40"/>
  <c r="C170" i="40"/>
  <c r="J117" i="40"/>
  <c r="D117" i="40"/>
  <c r="B80" i="40"/>
  <c r="H62" i="40"/>
  <c r="B394" i="40"/>
  <c r="B247" i="40"/>
  <c r="D224" i="40"/>
  <c r="H60" i="40"/>
  <c r="B170" i="40"/>
  <c r="D115" i="40"/>
  <c r="C7" i="35"/>
  <c r="C76" i="35" s="1"/>
  <c r="B453" i="40" l="1"/>
  <c r="B90" i="41"/>
  <c r="B572" i="40"/>
  <c r="B590" i="40" s="1"/>
  <c r="B588" i="40"/>
  <c r="B224" i="40"/>
  <c r="K386" i="32" l="1"/>
  <c r="J386" i="32"/>
  <c r="H386" i="32"/>
  <c r="G386" i="32"/>
  <c r="K385" i="32"/>
  <c r="J385" i="32"/>
  <c r="H385" i="32"/>
  <c r="G385" i="32"/>
  <c r="K384" i="32"/>
  <c r="K387" i="32" s="1"/>
  <c r="J384" i="32"/>
  <c r="J387" i="32" s="1"/>
  <c r="H384" i="32"/>
  <c r="H387" i="32" s="1"/>
  <c r="G384" i="32"/>
  <c r="G387" i="32" s="1"/>
  <c r="I383" i="32"/>
  <c r="I386" i="32" s="1"/>
  <c r="F383" i="32"/>
  <c r="F386" i="32" s="1"/>
  <c r="E383" i="32"/>
  <c r="E386" i="32" s="1"/>
  <c r="D383" i="32"/>
  <c r="D386" i="32" s="1"/>
  <c r="C383" i="32"/>
  <c r="C386" i="32" s="1"/>
  <c r="I382" i="32"/>
  <c r="I385" i="32" s="1"/>
  <c r="F382" i="32"/>
  <c r="F385" i="32" s="1"/>
  <c r="E382" i="32"/>
  <c r="E385" i="32" s="1"/>
  <c r="D382" i="32"/>
  <c r="D385" i="32" s="1"/>
  <c r="I381" i="32"/>
  <c r="I384" i="32" s="1"/>
  <c r="F381" i="32"/>
  <c r="F384" i="32" s="1"/>
  <c r="F387" i="32" s="1"/>
  <c r="E381" i="32"/>
  <c r="E384" i="32" s="1"/>
  <c r="D381" i="32"/>
  <c r="D384" i="32" s="1"/>
  <c r="D387" i="32" s="1"/>
  <c r="K377" i="32"/>
  <c r="J377" i="32"/>
  <c r="H377" i="32"/>
  <c r="G377" i="32"/>
  <c r="K376" i="32"/>
  <c r="J376" i="32"/>
  <c r="H376" i="32"/>
  <c r="G376" i="32"/>
  <c r="K375" i="32"/>
  <c r="K378" i="32" s="1"/>
  <c r="J375" i="32"/>
  <c r="J378" i="32" s="1"/>
  <c r="H375" i="32"/>
  <c r="H378" i="32" s="1"/>
  <c r="G375" i="32"/>
  <c r="G378" i="32" s="1"/>
  <c r="I374" i="32"/>
  <c r="F374" i="32"/>
  <c r="E374" i="32"/>
  <c r="D374" i="32"/>
  <c r="C374" i="32"/>
  <c r="I373" i="32"/>
  <c r="F373" i="32"/>
  <c r="C373" i="32" s="1"/>
  <c r="E373" i="32"/>
  <c r="D373" i="32"/>
  <c r="I372" i="32"/>
  <c r="F372" i="32"/>
  <c r="C372" i="32" s="1"/>
  <c r="E372" i="32"/>
  <c r="D372" i="32"/>
  <c r="I371" i="32"/>
  <c r="I377" i="32" s="1"/>
  <c r="F371" i="32"/>
  <c r="F377" i="32" s="1"/>
  <c r="E371" i="32"/>
  <c r="E377" i="32" s="1"/>
  <c r="D371" i="32"/>
  <c r="D377" i="32" s="1"/>
  <c r="C371" i="32"/>
  <c r="C377" i="32" s="1"/>
  <c r="I370" i="32"/>
  <c r="I376" i="32" s="1"/>
  <c r="F370" i="32"/>
  <c r="C370" i="32" s="1"/>
  <c r="E370" i="32"/>
  <c r="E376" i="32" s="1"/>
  <c r="D370" i="32"/>
  <c r="D376" i="32" s="1"/>
  <c r="I369" i="32"/>
  <c r="I375" i="32" s="1"/>
  <c r="I378" i="32" s="1"/>
  <c r="F369" i="32"/>
  <c r="F375" i="32" s="1"/>
  <c r="E369" i="32"/>
  <c r="E375" i="32" s="1"/>
  <c r="E378" i="32" s="1"/>
  <c r="D369" i="32"/>
  <c r="D375" i="32" s="1"/>
  <c r="C369" i="32"/>
  <c r="H365" i="32"/>
  <c r="G365" i="32"/>
  <c r="H364" i="32"/>
  <c r="G364" i="32"/>
  <c r="K363" i="32"/>
  <c r="J363" i="32"/>
  <c r="H363" i="32"/>
  <c r="H366" i="32" s="1"/>
  <c r="G363" i="32"/>
  <c r="G366" i="32" s="1"/>
  <c r="K362" i="32"/>
  <c r="K365" i="32" s="1"/>
  <c r="J362" i="32"/>
  <c r="J365" i="32" s="1"/>
  <c r="F362" i="32"/>
  <c r="E362" i="32"/>
  <c r="D362" i="32"/>
  <c r="C362" i="32" s="1"/>
  <c r="I361" i="32"/>
  <c r="F361" i="32"/>
  <c r="E361" i="32"/>
  <c r="D361" i="32"/>
  <c r="C361" i="32" s="1"/>
  <c r="I360" i="32"/>
  <c r="F360" i="32"/>
  <c r="E360" i="32"/>
  <c r="D360" i="32"/>
  <c r="I359" i="32"/>
  <c r="F359" i="32"/>
  <c r="E359" i="32"/>
  <c r="D359" i="32"/>
  <c r="J358" i="32"/>
  <c r="I358" i="32" s="1"/>
  <c r="F358" i="32"/>
  <c r="E358" i="32"/>
  <c r="D358" i="32"/>
  <c r="I357" i="32"/>
  <c r="F357" i="32"/>
  <c r="E357" i="32"/>
  <c r="D357" i="32"/>
  <c r="I356" i="32"/>
  <c r="F356" i="32"/>
  <c r="F365" i="32" s="1"/>
  <c r="E356" i="32"/>
  <c r="E365" i="32" s="1"/>
  <c r="D356" i="32"/>
  <c r="D365" i="32" s="1"/>
  <c r="C356" i="32"/>
  <c r="K355" i="32"/>
  <c r="K364" i="32" s="1"/>
  <c r="J355" i="32"/>
  <c r="I355" i="32" s="1"/>
  <c r="F355" i="32"/>
  <c r="F364" i="32" s="1"/>
  <c r="E355" i="32"/>
  <c r="E364" i="32" s="1"/>
  <c r="D355" i="32"/>
  <c r="C355" i="32" s="1"/>
  <c r="I354" i="32"/>
  <c r="I363" i="32" s="1"/>
  <c r="F354" i="32"/>
  <c r="F363" i="32" s="1"/>
  <c r="F366" i="32" s="1"/>
  <c r="E354" i="32"/>
  <c r="E363" i="32" s="1"/>
  <c r="E366" i="32" s="1"/>
  <c r="D354" i="32"/>
  <c r="D363" i="32" s="1"/>
  <c r="C354" i="32"/>
  <c r="K350" i="32"/>
  <c r="J350" i="32"/>
  <c r="H350" i="32"/>
  <c r="G350" i="32"/>
  <c r="K349" i="32"/>
  <c r="J349" i="32"/>
  <c r="H349" i="32"/>
  <c r="G349" i="32"/>
  <c r="K348" i="32"/>
  <c r="K351" i="32" s="1"/>
  <c r="J348" i="32"/>
  <c r="J351" i="32" s="1"/>
  <c r="H348" i="32"/>
  <c r="H351" i="32" s="1"/>
  <c r="G348" i="32"/>
  <c r="G351" i="32" s="1"/>
  <c r="I347" i="32"/>
  <c r="I350" i="32" s="1"/>
  <c r="F347" i="32"/>
  <c r="F350" i="32" s="1"/>
  <c r="E347" i="32"/>
  <c r="E350" i="32" s="1"/>
  <c r="D347" i="32"/>
  <c r="D350" i="32" s="1"/>
  <c r="I346" i="32"/>
  <c r="I349" i="32" s="1"/>
  <c r="F346" i="32"/>
  <c r="F349" i="32" s="1"/>
  <c r="E346" i="32"/>
  <c r="E349" i="32" s="1"/>
  <c r="D346" i="32"/>
  <c r="D349" i="32" s="1"/>
  <c r="C346" i="32"/>
  <c r="C349" i="32" s="1"/>
  <c r="I345" i="32"/>
  <c r="I348" i="32" s="1"/>
  <c r="I351" i="32" s="1"/>
  <c r="F345" i="32"/>
  <c r="F348" i="32" s="1"/>
  <c r="E345" i="32"/>
  <c r="E348" i="32" s="1"/>
  <c r="E351" i="32" s="1"/>
  <c r="D345" i="32"/>
  <c r="D348" i="32" s="1"/>
  <c r="H341" i="32"/>
  <c r="G341" i="32"/>
  <c r="H340" i="32"/>
  <c r="G340" i="32"/>
  <c r="K339" i="32"/>
  <c r="J339" i="32"/>
  <c r="H339" i="32"/>
  <c r="H342" i="32" s="1"/>
  <c r="G339" i="32"/>
  <c r="G342" i="32" s="1"/>
  <c r="J338" i="32"/>
  <c r="I338" i="32" s="1"/>
  <c r="F338" i="32"/>
  <c r="E338" i="32"/>
  <c r="D338" i="32"/>
  <c r="C338" i="32" s="1"/>
  <c r="I337" i="32"/>
  <c r="F337" i="32"/>
  <c r="E337" i="32"/>
  <c r="D337" i="32"/>
  <c r="C337" i="32"/>
  <c r="I336" i="32"/>
  <c r="F336" i="32"/>
  <c r="E336" i="32"/>
  <c r="D336" i="32"/>
  <c r="C336" i="32" s="1"/>
  <c r="I335" i="32"/>
  <c r="F335" i="32"/>
  <c r="E335" i="32"/>
  <c r="D335" i="32"/>
  <c r="C335" i="32" s="1"/>
  <c r="K334" i="32"/>
  <c r="J334" i="32"/>
  <c r="D334" i="32" s="1"/>
  <c r="C334" i="32" s="1"/>
  <c r="F334" i="32"/>
  <c r="E334" i="32"/>
  <c r="I333" i="32"/>
  <c r="F333" i="32"/>
  <c r="E333" i="32"/>
  <c r="D333" i="32"/>
  <c r="I332" i="32"/>
  <c r="F332" i="32"/>
  <c r="E332" i="32"/>
  <c r="D332" i="32"/>
  <c r="K331" i="32"/>
  <c r="J331" i="32"/>
  <c r="I331" i="32"/>
  <c r="F331" i="32"/>
  <c r="E331" i="32"/>
  <c r="D331" i="32"/>
  <c r="C331" i="32"/>
  <c r="I330" i="32"/>
  <c r="F330" i="32"/>
  <c r="E330" i="32"/>
  <c r="D330" i="32"/>
  <c r="C330" i="32" s="1"/>
  <c r="K329" i="32"/>
  <c r="K341" i="32" s="1"/>
  <c r="J329" i="32"/>
  <c r="J341" i="32" s="1"/>
  <c r="F329" i="32"/>
  <c r="F341" i="32" s="1"/>
  <c r="E329" i="32"/>
  <c r="E341" i="32" s="1"/>
  <c r="D329" i="32"/>
  <c r="D341" i="32" s="1"/>
  <c r="K328" i="32"/>
  <c r="K340" i="32" s="1"/>
  <c r="J328" i="32"/>
  <c r="J340" i="32" s="1"/>
  <c r="F328" i="32"/>
  <c r="F340" i="32" s="1"/>
  <c r="D328" i="32"/>
  <c r="I327" i="32"/>
  <c r="I339" i="32" s="1"/>
  <c r="F327" i="32"/>
  <c r="F339" i="32" s="1"/>
  <c r="F342" i="32" s="1"/>
  <c r="E327" i="32"/>
  <c r="E339" i="32" s="1"/>
  <c r="D327" i="32"/>
  <c r="D339" i="32" s="1"/>
  <c r="J323" i="32"/>
  <c r="H323" i="32"/>
  <c r="G323" i="32"/>
  <c r="H322" i="32"/>
  <c r="G322" i="32"/>
  <c r="J321" i="32"/>
  <c r="H321" i="32"/>
  <c r="H324" i="32" s="1"/>
  <c r="G321" i="32"/>
  <c r="I320" i="32"/>
  <c r="F320" i="32"/>
  <c r="E320" i="32"/>
  <c r="D320" i="32"/>
  <c r="C320" i="32"/>
  <c r="K319" i="32"/>
  <c r="J319" i="32"/>
  <c r="I319" i="32" s="1"/>
  <c r="F319" i="32"/>
  <c r="E319" i="32"/>
  <c r="I318" i="32"/>
  <c r="F318" i="32"/>
  <c r="E318" i="32"/>
  <c r="D318" i="32"/>
  <c r="I317" i="32"/>
  <c r="F317" i="32"/>
  <c r="E317" i="32"/>
  <c r="D317" i="32"/>
  <c r="K316" i="32"/>
  <c r="K322" i="32" s="1"/>
  <c r="J316" i="32"/>
  <c r="J322" i="32" s="1"/>
  <c r="I316" i="32"/>
  <c r="F316" i="32"/>
  <c r="E316" i="32"/>
  <c r="D316" i="32"/>
  <c r="C316" i="32"/>
  <c r="K315" i="32"/>
  <c r="K321" i="32" s="1"/>
  <c r="I315" i="32"/>
  <c r="F315" i="32"/>
  <c r="E315" i="32"/>
  <c r="D315" i="32"/>
  <c r="I314" i="32"/>
  <c r="F314" i="32"/>
  <c r="E314" i="32"/>
  <c r="D314" i="32"/>
  <c r="C314" i="32"/>
  <c r="I313" i="32"/>
  <c r="F313" i="32"/>
  <c r="E313" i="32"/>
  <c r="D313" i="32"/>
  <c r="C313" i="32" s="1"/>
  <c r="I312" i="32"/>
  <c r="F312" i="32"/>
  <c r="E312" i="32"/>
  <c r="D312" i="32"/>
  <c r="C312" i="32" s="1"/>
  <c r="K311" i="32"/>
  <c r="I311" i="32" s="1"/>
  <c r="F311" i="32"/>
  <c r="D311" i="32"/>
  <c r="I310" i="32"/>
  <c r="F310" i="32"/>
  <c r="E310" i="32"/>
  <c r="D310" i="32"/>
  <c r="I309" i="32"/>
  <c r="F309" i="32"/>
  <c r="E309" i="32"/>
  <c r="D309" i="32"/>
  <c r="C309" i="32"/>
  <c r="K308" i="32"/>
  <c r="K323" i="32" s="1"/>
  <c r="I308" i="32"/>
  <c r="F308" i="32"/>
  <c r="F323" i="32" s="1"/>
  <c r="E308" i="32"/>
  <c r="D308" i="32"/>
  <c r="D323" i="32" s="1"/>
  <c r="C308" i="32"/>
  <c r="I307" i="32"/>
  <c r="I322" i="32" s="1"/>
  <c r="F307" i="32"/>
  <c r="F322" i="32" s="1"/>
  <c r="E307" i="32"/>
  <c r="E322" i="32" s="1"/>
  <c r="D307" i="32"/>
  <c r="I306" i="32"/>
  <c r="I321" i="32" s="1"/>
  <c r="F306" i="32"/>
  <c r="F321" i="32" s="1"/>
  <c r="F324" i="32" s="1"/>
  <c r="E306" i="32"/>
  <c r="E321" i="32" s="1"/>
  <c r="D306" i="32"/>
  <c r="D321" i="32" s="1"/>
  <c r="C306" i="32"/>
  <c r="K302" i="32"/>
  <c r="J302" i="32"/>
  <c r="H302" i="32"/>
  <c r="G302" i="32"/>
  <c r="K301" i="32"/>
  <c r="H301" i="32"/>
  <c r="G301" i="32"/>
  <c r="K300" i="32"/>
  <c r="K303" i="32" s="1"/>
  <c r="J300" i="32"/>
  <c r="H300" i="32"/>
  <c r="H303" i="32" s="1"/>
  <c r="G300" i="32"/>
  <c r="G303" i="32" s="1"/>
  <c r="I299" i="32"/>
  <c r="F299" i="32"/>
  <c r="E299" i="32"/>
  <c r="D299" i="32"/>
  <c r="C299" i="32" s="1"/>
  <c r="I298" i="32"/>
  <c r="F298" i="32"/>
  <c r="E298" i="32"/>
  <c r="D298" i="32"/>
  <c r="C298" i="32" s="1"/>
  <c r="I297" i="32"/>
  <c r="F297" i="32"/>
  <c r="E297" i="32"/>
  <c r="D297" i="32"/>
  <c r="C297" i="32" s="1"/>
  <c r="I296" i="32"/>
  <c r="F296" i="32"/>
  <c r="E296" i="32"/>
  <c r="D296" i="32"/>
  <c r="C296" i="32" s="1"/>
  <c r="I295" i="32"/>
  <c r="F295" i="32"/>
  <c r="E295" i="32"/>
  <c r="D295" i="32"/>
  <c r="I294" i="32"/>
  <c r="F294" i="32"/>
  <c r="E294" i="32"/>
  <c r="D294" i="32"/>
  <c r="I293" i="32"/>
  <c r="F293" i="32"/>
  <c r="E293" i="32"/>
  <c r="D293" i="32"/>
  <c r="J292" i="32"/>
  <c r="I292" i="32" s="1"/>
  <c r="F292" i="32"/>
  <c r="E292" i="32"/>
  <c r="I291" i="32"/>
  <c r="F291" i="32"/>
  <c r="E291" i="32"/>
  <c r="D291" i="32"/>
  <c r="I290" i="32"/>
  <c r="F290" i="32"/>
  <c r="E290" i="32"/>
  <c r="D290" i="32"/>
  <c r="J289" i="32"/>
  <c r="I289" i="32" s="1"/>
  <c r="F289" i="32"/>
  <c r="E289" i="32"/>
  <c r="D289" i="32"/>
  <c r="I288" i="32"/>
  <c r="F288" i="32"/>
  <c r="E288" i="32"/>
  <c r="D288" i="32"/>
  <c r="C288" i="32"/>
  <c r="I287" i="32"/>
  <c r="I302" i="32" s="1"/>
  <c r="F287" i="32"/>
  <c r="F302" i="32" s="1"/>
  <c r="E287" i="32"/>
  <c r="E302" i="32" s="1"/>
  <c r="D287" i="32"/>
  <c r="D302" i="32" s="1"/>
  <c r="I286" i="32"/>
  <c r="I301" i="32" s="1"/>
  <c r="F286" i="32"/>
  <c r="F301" i="32" s="1"/>
  <c r="E286" i="32"/>
  <c r="E301" i="32" s="1"/>
  <c r="D286" i="32"/>
  <c r="C286" i="32"/>
  <c r="I285" i="32"/>
  <c r="I300" i="32" s="1"/>
  <c r="F285" i="32"/>
  <c r="F300" i="32" s="1"/>
  <c r="F303" i="32" s="1"/>
  <c r="E285" i="32"/>
  <c r="E300" i="32" s="1"/>
  <c r="D285" i="32"/>
  <c r="D300" i="32" s="1"/>
  <c r="J281" i="32"/>
  <c r="H281" i="32"/>
  <c r="G281" i="32"/>
  <c r="J280" i="32"/>
  <c r="H280" i="32"/>
  <c r="G280" i="32"/>
  <c r="K279" i="32"/>
  <c r="J279" i="32"/>
  <c r="J282" i="32" s="1"/>
  <c r="H279" i="32"/>
  <c r="H282" i="32" s="1"/>
  <c r="G279" i="32"/>
  <c r="G282" i="32" s="1"/>
  <c r="I278" i="32"/>
  <c r="F278" i="32"/>
  <c r="E278" i="32"/>
  <c r="D278" i="32"/>
  <c r="C278" i="32" s="1"/>
  <c r="I277" i="32"/>
  <c r="F277" i="32"/>
  <c r="E277" i="32"/>
  <c r="D277" i="32"/>
  <c r="I276" i="32"/>
  <c r="F276" i="32"/>
  <c r="E276" i="32"/>
  <c r="D276" i="32"/>
  <c r="C276" i="32" s="1"/>
  <c r="I275" i="32"/>
  <c r="F275" i="32"/>
  <c r="E275" i="32"/>
  <c r="D275" i="32"/>
  <c r="K274" i="32"/>
  <c r="I274" i="32" s="1"/>
  <c r="F274" i="32"/>
  <c r="D274" i="32"/>
  <c r="I273" i="32"/>
  <c r="F273" i="32"/>
  <c r="E273" i="32"/>
  <c r="D273" i="32"/>
  <c r="C273" i="32" s="1"/>
  <c r="K272" i="32"/>
  <c r="K281" i="32" s="1"/>
  <c r="F272" i="32"/>
  <c r="D272" i="32"/>
  <c r="K271" i="32"/>
  <c r="K280" i="32" s="1"/>
  <c r="F271" i="32"/>
  <c r="E271" i="32"/>
  <c r="D271" i="32"/>
  <c r="C271" i="32" s="1"/>
  <c r="I270" i="32"/>
  <c r="F270" i="32"/>
  <c r="E270" i="32"/>
  <c r="D270" i="32"/>
  <c r="I269" i="32"/>
  <c r="F269" i="32"/>
  <c r="E269" i="32"/>
  <c r="D269" i="32"/>
  <c r="C269" i="32" s="1"/>
  <c r="I268" i="32"/>
  <c r="F268" i="32"/>
  <c r="E268" i="32"/>
  <c r="D268" i="32"/>
  <c r="I267" i="32"/>
  <c r="F267" i="32"/>
  <c r="E267" i="32"/>
  <c r="D267" i="32"/>
  <c r="C267" i="32" s="1"/>
  <c r="I266" i="32"/>
  <c r="F266" i="32"/>
  <c r="F281" i="32" s="1"/>
  <c r="E266" i="32"/>
  <c r="D266" i="32"/>
  <c r="I265" i="32"/>
  <c r="F265" i="32"/>
  <c r="F280" i="32" s="1"/>
  <c r="E265" i="32"/>
  <c r="D265" i="32"/>
  <c r="D280" i="32" s="1"/>
  <c r="I264" i="32"/>
  <c r="I279" i="32" s="1"/>
  <c r="F264" i="32"/>
  <c r="F279" i="32" s="1"/>
  <c r="E264" i="32"/>
  <c r="E279" i="32" s="1"/>
  <c r="D264" i="32"/>
  <c r="K260" i="32"/>
  <c r="H260" i="32"/>
  <c r="G260" i="32"/>
  <c r="K259" i="32"/>
  <c r="H259" i="32"/>
  <c r="G259" i="32"/>
  <c r="K258" i="32"/>
  <c r="K261" i="32" s="1"/>
  <c r="H258" i="32"/>
  <c r="H261" i="32" s="1"/>
  <c r="G258" i="32"/>
  <c r="G261" i="32" s="1"/>
  <c r="I257" i="32"/>
  <c r="F257" i="32"/>
  <c r="E257" i="32"/>
  <c r="D257" i="32"/>
  <c r="C257" i="32" s="1"/>
  <c r="J256" i="32"/>
  <c r="I256" i="32"/>
  <c r="F256" i="32"/>
  <c r="E256" i="32"/>
  <c r="D256" i="32"/>
  <c r="C256" i="32"/>
  <c r="I255" i="32"/>
  <c r="F255" i="32"/>
  <c r="E255" i="32"/>
  <c r="D255" i="32"/>
  <c r="C255" i="32" s="1"/>
  <c r="I254" i="32"/>
  <c r="F254" i="32"/>
  <c r="E254" i="32"/>
  <c r="D254" i="32"/>
  <c r="C254" i="32" s="1"/>
  <c r="J253" i="32"/>
  <c r="I253" i="32" s="1"/>
  <c r="F253" i="32"/>
  <c r="E253" i="32"/>
  <c r="D253" i="32"/>
  <c r="C253" i="32" s="1"/>
  <c r="J252" i="32"/>
  <c r="I252" i="32" s="1"/>
  <c r="F252" i="32"/>
  <c r="E252" i="32"/>
  <c r="D252" i="32"/>
  <c r="C252" i="32" s="1"/>
  <c r="I251" i="32"/>
  <c r="F251" i="32"/>
  <c r="E251" i="32"/>
  <c r="D251" i="32"/>
  <c r="J250" i="32"/>
  <c r="I250" i="32" s="1"/>
  <c r="F250" i="32"/>
  <c r="E250" i="32"/>
  <c r="J249" i="32"/>
  <c r="I249" i="32" s="1"/>
  <c r="F249" i="32"/>
  <c r="E249" i="32"/>
  <c r="J248" i="32"/>
  <c r="I248" i="32" s="1"/>
  <c r="F248" i="32"/>
  <c r="E248" i="32"/>
  <c r="J247" i="32"/>
  <c r="I247" i="32" s="1"/>
  <c r="F247" i="32"/>
  <c r="E247" i="32"/>
  <c r="I246" i="32"/>
  <c r="F246" i="32"/>
  <c r="E246" i="32"/>
  <c r="D246" i="32"/>
  <c r="C246" i="32" s="1"/>
  <c r="I245" i="32"/>
  <c r="F245" i="32"/>
  <c r="E245" i="32"/>
  <c r="D245" i="32"/>
  <c r="J244" i="32"/>
  <c r="I244" i="32" s="1"/>
  <c r="F244" i="32"/>
  <c r="E244" i="32"/>
  <c r="I243" i="32"/>
  <c r="F243" i="32"/>
  <c r="E243" i="32"/>
  <c r="D243" i="32"/>
  <c r="I242" i="32"/>
  <c r="F242" i="32"/>
  <c r="E242" i="32"/>
  <c r="D242" i="32"/>
  <c r="I241" i="32"/>
  <c r="F241" i="32"/>
  <c r="E241" i="32"/>
  <c r="D241" i="32"/>
  <c r="C241" i="32"/>
  <c r="I240" i="32"/>
  <c r="F240" i="32"/>
  <c r="E240" i="32"/>
  <c r="D240" i="32"/>
  <c r="C240" i="32" s="1"/>
  <c r="I239" i="32"/>
  <c r="F239" i="32"/>
  <c r="E239" i="32"/>
  <c r="D239" i="32"/>
  <c r="C239" i="32" s="1"/>
  <c r="J238" i="32"/>
  <c r="I238" i="32" s="1"/>
  <c r="F238" i="32"/>
  <c r="E238" i="32"/>
  <c r="D238" i="32"/>
  <c r="C238" i="32" s="1"/>
  <c r="I237" i="32"/>
  <c r="F237" i="32"/>
  <c r="E237" i="32"/>
  <c r="D237" i="32"/>
  <c r="I236" i="32"/>
  <c r="F236" i="32"/>
  <c r="E236" i="32"/>
  <c r="D236" i="32"/>
  <c r="C236" i="32" s="1"/>
  <c r="J235" i="32"/>
  <c r="I235" i="32" s="1"/>
  <c r="F235" i="32"/>
  <c r="E235" i="32"/>
  <c r="D235" i="32"/>
  <c r="C235" i="32" s="1"/>
  <c r="I234" i="32"/>
  <c r="F234" i="32"/>
  <c r="E234" i="32"/>
  <c r="D234" i="32"/>
  <c r="I233" i="32"/>
  <c r="F233" i="32"/>
  <c r="E233" i="32"/>
  <c r="D233" i="32"/>
  <c r="J232" i="32"/>
  <c r="J259" i="32" s="1"/>
  <c r="F232" i="32"/>
  <c r="E232" i="32"/>
  <c r="I231" i="32"/>
  <c r="F231" i="32"/>
  <c r="E231" i="32"/>
  <c r="D231" i="32"/>
  <c r="I230" i="32"/>
  <c r="I260" i="32" s="1"/>
  <c r="F230" i="32"/>
  <c r="E230" i="32"/>
  <c r="E260" i="32" s="1"/>
  <c r="D230" i="32"/>
  <c r="C230" i="32"/>
  <c r="I229" i="32"/>
  <c r="F229" i="32"/>
  <c r="F259" i="32" s="1"/>
  <c r="E229" i="32"/>
  <c r="D229" i="32"/>
  <c r="I228" i="32"/>
  <c r="F228" i="32"/>
  <c r="F258" i="32" s="1"/>
  <c r="E228" i="32"/>
  <c r="D228" i="32"/>
  <c r="K224" i="32"/>
  <c r="J224" i="32"/>
  <c r="H224" i="32"/>
  <c r="G224" i="32"/>
  <c r="K223" i="32"/>
  <c r="J223" i="32"/>
  <c r="H223" i="32"/>
  <c r="G223" i="32"/>
  <c r="K222" i="32"/>
  <c r="K225" i="32" s="1"/>
  <c r="J222" i="32"/>
  <c r="J225" i="32" s="1"/>
  <c r="H222" i="32"/>
  <c r="H225" i="32" s="1"/>
  <c r="G222" i="32"/>
  <c r="G225" i="32" s="1"/>
  <c r="I221" i="32"/>
  <c r="F221" i="32"/>
  <c r="E221" i="32"/>
  <c r="D221" i="32"/>
  <c r="I220" i="32"/>
  <c r="F220" i="32"/>
  <c r="E220" i="32"/>
  <c r="D220" i="32"/>
  <c r="C220" i="32" s="1"/>
  <c r="I219" i="32"/>
  <c r="F219" i="32"/>
  <c r="E219" i="32"/>
  <c r="D219" i="32"/>
  <c r="I218" i="32"/>
  <c r="F218" i="32"/>
  <c r="E218" i="32"/>
  <c r="D218" i="32"/>
  <c r="I217" i="32"/>
  <c r="F217" i="32"/>
  <c r="E217" i="32"/>
  <c r="D217" i="32"/>
  <c r="I216" i="32"/>
  <c r="F216" i="32"/>
  <c r="E216" i="32"/>
  <c r="D216" i="32"/>
  <c r="C216" i="32"/>
  <c r="I215" i="32"/>
  <c r="F215" i="32"/>
  <c r="E215" i="32"/>
  <c r="D215" i="32"/>
  <c r="C215" i="32" s="1"/>
  <c r="I214" i="32"/>
  <c r="F214" i="32"/>
  <c r="E214" i="32"/>
  <c r="D214" i="32"/>
  <c r="C214" i="32" s="1"/>
  <c r="I213" i="32"/>
  <c r="F213" i="32"/>
  <c r="E213" i="32"/>
  <c r="D213" i="32"/>
  <c r="I212" i="32"/>
  <c r="F212" i="32"/>
  <c r="E212" i="32"/>
  <c r="D212" i="32"/>
  <c r="C212" i="32" s="1"/>
  <c r="I211" i="32"/>
  <c r="F211" i="32"/>
  <c r="E211" i="32"/>
  <c r="D211" i="32"/>
  <c r="I210" i="32"/>
  <c r="F210" i="32"/>
  <c r="E210" i="32"/>
  <c r="D210" i="32"/>
  <c r="I209" i="32"/>
  <c r="I224" i="32" s="1"/>
  <c r="F209" i="32"/>
  <c r="E209" i="32"/>
  <c r="E224" i="32" s="1"/>
  <c r="D209" i="32"/>
  <c r="I208" i="32"/>
  <c r="I223" i="32" s="1"/>
  <c r="F208" i="32"/>
  <c r="E208" i="32"/>
  <c r="E223" i="32" s="1"/>
  <c r="D208" i="32"/>
  <c r="C208" i="32"/>
  <c r="I207" i="32"/>
  <c r="F207" i="32"/>
  <c r="F222" i="32" s="1"/>
  <c r="E207" i="32"/>
  <c r="D207" i="32"/>
  <c r="D222" i="32" s="1"/>
  <c r="H203" i="32"/>
  <c r="G203" i="32"/>
  <c r="H202" i="32"/>
  <c r="G202" i="32"/>
  <c r="K201" i="32"/>
  <c r="J201" i="32"/>
  <c r="H201" i="32"/>
  <c r="H204" i="32" s="1"/>
  <c r="G201" i="32"/>
  <c r="G204" i="32" s="1"/>
  <c r="I200" i="32"/>
  <c r="F200" i="32"/>
  <c r="E200" i="32"/>
  <c r="D200" i="32"/>
  <c r="C200" i="32" s="1"/>
  <c r="I199" i="32"/>
  <c r="F199" i="32"/>
  <c r="E199" i="32"/>
  <c r="D199" i="32"/>
  <c r="C199" i="32" s="1"/>
  <c r="I198" i="32"/>
  <c r="F198" i="32"/>
  <c r="E198" i="32"/>
  <c r="D198" i="32"/>
  <c r="K197" i="32"/>
  <c r="K203" i="32" s="1"/>
  <c r="J197" i="32"/>
  <c r="J203" i="32" s="1"/>
  <c r="F197" i="32"/>
  <c r="E197" i="32"/>
  <c r="D197" i="32"/>
  <c r="C197" i="32" s="1"/>
  <c r="I196" i="32"/>
  <c r="F196" i="32"/>
  <c r="E196" i="32"/>
  <c r="D196" i="32"/>
  <c r="I195" i="32"/>
  <c r="F195" i="32"/>
  <c r="E195" i="32"/>
  <c r="D195" i="32"/>
  <c r="I194" i="32"/>
  <c r="F194" i="32"/>
  <c r="E194" i="32"/>
  <c r="D194" i="32"/>
  <c r="I193" i="32"/>
  <c r="F193" i="32"/>
  <c r="E193" i="32"/>
  <c r="D193" i="32"/>
  <c r="C193" i="32"/>
  <c r="I192" i="32"/>
  <c r="F192" i="32"/>
  <c r="E192" i="32"/>
  <c r="D192" i="32"/>
  <c r="C192" i="32" s="1"/>
  <c r="I191" i="32"/>
  <c r="F191" i="32"/>
  <c r="E191" i="32"/>
  <c r="D191" i="32"/>
  <c r="C191" i="32" s="1"/>
  <c r="I190" i="32"/>
  <c r="F190" i="32"/>
  <c r="E190" i="32"/>
  <c r="D190" i="32"/>
  <c r="I189" i="32"/>
  <c r="F189" i="32"/>
  <c r="E189" i="32"/>
  <c r="D189" i="32"/>
  <c r="C189" i="32" s="1"/>
  <c r="I188" i="32"/>
  <c r="F188" i="32"/>
  <c r="E188" i="32"/>
  <c r="D188" i="32"/>
  <c r="I187" i="32"/>
  <c r="F187" i="32"/>
  <c r="E187" i="32"/>
  <c r="D187" i="32"/>
  <c r="I186" i="32"/>
  <c r="F186" i="32"/>
  <c r="E186" i="32"/>
  <c r="D186" i="32"/>
  <c r="I185" i="32"/>
  <c r="F185" i="32"/>
  <c r="E185" i="32"/>
  <c r="D185" i="32"/>
  <c r="C185" i="32"/>
  <c r="I184" i="32"/>
  <c r="F184" i="32"/>
  <c r="E184" i="32"/>
  <c r="D184" i="32"/>
  <c r="C184" i="32" s="1"/>
  <c r="I183" i="32"/>
  <c r="F183" i="32"/>
  <c r="E183" i="32"/>
  <c r="D183" i="32"/>
  <c r="C183" i="32" s="1"/>
  <c r="I182" i="32"/>
  <c r="F182" i="32"/>
  <c r="E182" i="32"/>
  <c r="D182" i="32"/>
  <c r="C182" i="32" s="1"/>
  <c r="I181" i="32"/>
  <c r="F181" i="32"/>
  <c r="E181" i="32"/>
  <c r="D181" i="32"/>
  <c r="I180" i="32"/>
  <c r="F180" i="32"/>
  <c r="E180" i="32"/>
  <c r="D180" i="32"/>
  <c r="I179" i="32"/>
  <c r="F179" i="32"/>
  <c r="E179" i="32"/>
  <c r="D179" i="32"/>
  <c r="I178" i="32"/>
  <c r="F178" i="32"/>
  <c r="E178" i="32"/>
  <c r="D178" i="32"/>
  <c r="C178" i="32"/>
  <c r="I177" i="32"/>
  <c r="F177" i="32"/>
  <c r="E177" i="32"/>
  <c r="D177" i="32"/>
  <c r="C177" i="32" s="1"/>
  <c r="I176" i="32"/>
  <c r="F176" i="32"/>
  <c r="E176" i="32"/>
  <c r="D176" i="32"/>
  <c r="C176" i="32" s="1"/>
  <c r="I175" i="32"/>
  <c r="F175" i="32"/>
  <c r="E175" i="32"/>
  <c r="D175" i="32"/>
  <c r="I174" i="32"/>
  <c r="F174" i="32"/>
  <c r="E174" i="32"/>
  <c r="D174" i="32"/>
  <c r="C174" i="32" s="1"/>
  <c r="I173" i="32"/>
  <c r="F173" i="32"/>
  <c r="E173" i="32"/>
  <c r="D173" i="32"/>
  <c r="I172" i="32"/>
  <c r="F172" i="32"/>
  <c r="E172" i="32"/>
  <c r="D172" i="32"/>
  <c r="I171" i="32"/>
  <c r="F171" i="32"/>
  <c r="E171" i="32"/>
  <c r="D171" i="32"/>
  <c r="I170" i="32"/>
  <c r="F170" i="32"/>
  <c r="E170" i="32"/>
  <c r="D170" i="32"/>
  <c r="C170" i="32"/>
  <c r="I169" i="32"/>
  <c r="F169" i="32"/>
  <c r="E169" i="32"/>
  <c r="D169" i="32"/>
  <c r="C169" i="32" s="1"/>
  <c r="I168" i="32"/>
  <c r="F168" i="32"/>
  <c r="E168" i="32"/>
  <c r="D168" i="32"/>
  <c r="C168" i="32" s="1"/>
  <c r="I167" i="32"/>
  <c r="F167" i="32"/>
  <c r="E167" i="32"/>
  <c r="D167" i="32"/>
  <c r="K166" i="32"/>
  <c r="I166" i="32" s="1"/>
  <c r="F166" i="32"/>
  <c r="D166" i="32"/>
  <c r="I165" i="32"/>
  <c r="F165" i="32"/>
  <c r="E165" i="32"/>
  <c r="D165" i="32"/>
  <c r="I164" i="32"/>
  <c r="F164" i="32"/>
  <c r="E164" i="32"/>
  <c r="D164" i="32"/>
  <c r="K163" i="32"/>
  <c r="J163" i="32"/>
  <c r="I163" i="32"/>
  <c r="F163" i="32"/>
  <c r="E163" i="32"/>
  <c r="D163" i="32"/>
  <c r="C163" i="32"/>
  <c r="I162" i="32"/>
  <c r="F162" i="32"/>
  <c r="E162" i="32"/>
  <c r="D162" i="32"/>
  <c r="C162" i="32" s="1"/>
  <c r="I161" i="32"/>
  <c r="F161" i="32"/>
  <c r="E161" i="32"/>
  <c r="D161" i="32"/>
  <c r="C161" i="32" s="1"/>
  <c r="K160" i="32"/>
  <c r="E160" i="32" s="1"/>
  <c r="J160" i="32"/>
  <c r="F160" i="32"/>
  <c r="D160" i="32"/>
  <c r="I159" i="32"/>
  <c r="F159" i="32"/>
  <c r="E159" i="32"/>
  <c r="D159" i="32"/>
  <c r="C159" i="32" s="1"/>
  <c r="I158" i="32"/>
  <c r="F158" i="32"/>
  <c r="E158" i="32"/>
  <c r="E203" i="32" s="1"/>
  <c r="D158" i="32"/>
  <c r="K157" i="32"/>
  <c r="K202" i="32" s="1"/>
  <c r="J157" i="32"/>
  <c r="J202" i="32" s="1"/>
  <c r="I157" i="32"/>
  <c r="F157" i="32"/>
  <c r="F202" i="32" s="1"/>
  <c r="E157" i="32"/>
  <c r="D157" i="32"/>
  <c r="D202" i="32" s="1"/>
  <c r="I156" i="32"/>
  <c r="I201" i="32" s="1"/>
  <c r="F156" i="32"/>
  <c r="F201" i="32" s="1"/>
  <c r="E156" i="32"/>
  <c r="E201" i="32" s="1"/>
  <c r="D156" i="32"/>
  <c r="K152" i="32"/>
  <c r="J152" i="32"/>
  <c r="H152" i="32"/>
  <c r="G152" i="32"/>
  <c r="K151" i="32"/>
  <c r="J151" i="32"/>
  <c r="H151" i="32"/>
  <c r="G151" i="32"/>
  <c r="K150" i="32"/>
  <c r="K153" i="32" s="1"/>
  <c r="J150" i="32"/>
  <c r="J153" i="32" s="1"/>
  <c r="H150" i="32"/>
  <c r="H153" i="32" s="1"/>
  <c r="G150" i="32"/>
  <c r="G153" i="32" s="1"/>
  <c r="I149" i="32"/>
  <c r="F149" i="32"/>
  <c r="E149" i="32"/>
  <c r="D149" i="32"/>
  <c r="I148" i="32"/>
  <c r="F148" i="32"/>
  <c r="E148" i="32"/>
  <c r="D148" i="32"/>
  <c r="I147" i="32"/>
  <c r="F147" i="32"/>
  <c r="E147" i="32"/>
  <c r="D147" i="32"/>
  <c r="C147" i="32"/>
  <c r="I146" i="32"/>
  <c r="F146" i="32"/>
  <c r="E146" i="32"/>
  <c r="D146" i="32"/>
  <c r="C146" i="32" s="1"/>
  <c r="I145" i="32"/>
  <c r="F145" i="32"/>
  <c r="E145" i="32"/>
  <c r="D145" i="32"/>
  <c r="C145" i="32" s="1"/>
  <c r="I144" i="32"/>
  <c r="F144" i="32"/>
  <c r="E144" i="32"/>
  <c r="D144" i="32"/>
  <c r="I143" i="32"/>
  <c r="F143" i="32"/>
  <c r="E143" i="32"/>
  <c r="D143" i="32"/>
  <c r="C143" i="32" s="1"/>
  <c r="I142" i="32"/>
  <c r="F142" i="32"/>
  <c r="E142" i="32"/>
  <c r="D142" i="32"/>
  <c r="I141" i="32"/>
  <c r="F141" i="32"/>
  <c r="E141" i="32"/>
  <c r="D141" i="32"/>
  <c r="I140" i="32"/>
  <c r="F140" i="32"/>
  <c r="E140" i="32"/>
  <c r="D140" i="32"/>
  <c r="I139" i="32"/>
  <c r="F139" i="32"/>
  <c r="E139" i="32"/>
  <c r="D139" i="32"/>
  <c r="C139" i="32"/>
  <c r="I138" i="32"/>
  <c r="F138" i="32"/>
  <c r="E138" i="32"/>
  <c r="D138" i="32"/>
  <c r="C138" i="32" s="1"/>
  <c r="I137" i="32"/>
  <c r="F137" i="32"/>
  <c r="E137" i="32"/>
  <c r="D137" i="32"/>
  <c r="C137" i="32" s="1"/>
  <c r="I136" i="32"/>
  <c r="F136" i="32"/>
  <c r="E136" i="32"/>
  <c r="D136" i="32"/>
  <c r="I135" i="32"/>
  <c r="F135" i="32"/>
  <c r="E135" i="32"/>
  <c r="D135" i="32"/>
  <c r="C135" i="32" s="1"/>
  <c r="I134" i="32"/>
  <c r="F134" i="32"/>
  <c r="E134" i="32"/>
  <c r="D134" i="32"/>
  <c r="I133" i="32"/>
  <c r="F133" i="32"/>
  <c r="E133" i="32"/>
  <c r="D133" i="32"/>
  <c r="I132" i="32"/>
  <c r="F132" i="32"/>
  <c r="E132" i="32"/>
  <c r="D132" i="32"/>
  <c r="I131" i="32"/>
  <c r="F131" i="32"/>
  <c r="E131" i="32"/>
  <c r="D131" i="32"/>
  <c r="C131" i="32"/>
  <c r="I130" i="32"/>
  <c r="F130" i="32"/>
  <c r="E130" i="32"/>
  <c r="D130" i="32"/>
  <c r="C130" i="32" s="1"/>
  <c r="I129" i="32"/>
  <c r="F129" i="32"/>
  <c r="E129" i="32"/>
  <c r="D129" i="32"/>
  <c r="C129" i="32" s="1"/>
  <c r="I128" i="32"/>
  <c r="F128" i="32"/>
  <c r="E128" i="32"/>
  <c r="D128" i="32"/>
  <c r="I127" i="32"/>
  <c r="F127" i="32"/>
  <c r="E127" i="32"/>
  <c r="D127" i="32"/>
  <c r="C127" i="32" s="1"/>
  <c r="I126" i="32"/>
  <c r="F126" i="32"/>
  <c r="E126" i="32"/>
  <c r="D126" i="32"/>
  <c r="I125" i="32"/>
  <c r="F125" i="32"/>
  <c r="E125" i="32"/>
  <c r="D125" i="32"/>
  <c r="I124" i="32"/>
  <c r="F124" i="32"/>
  <c r="E124" i="32"/>
  <c r="D124" i="32"/>
  <c r="I123" i="32"/>
  <c r="F123" i="32"/>
  <c r="E123" i="32"/>
  <c r="D123" i="32"/>
  <c r="C123" i="32"/>
  <c r="I122" i="32"/>
  <c r="F122" i="32"/>
  <c r="E122" i="32"/>
  <c r="D122" i="32"/>
  <c r="C122" i="32" s="1"/>
  <c r="I121" i="32"/>
  <c r="F121" i="32"/>
  <c r="E121" i="32"/>
  <c r="D121" i="32"/>
  <c r="C121" i="32" s="1"/>
  <c r="I120" i="32"/>
  <c r="F120" i="32"/>
  <c r="E120" i="32"/>
  <c r="D120" i="32"/>
  <c r="I119" i="32"/>
  <c r="F119" i="32"/>
  <c r="E119" i="32"/>
  <c r="D119" i="32"/>
  <c r="C119" i="32" s="1"/>
  <c r="I118" i="32"/>
  <c r="F118" i="32"/>
  <c r="E118" i="32"/>
  <c r="D118" i="32"/>
  <c r="I117" i="32"/>
  <c r="F117" i="32"/>
  <c r="E117" i="32"/>
  <c r="D117" i="32"/>
  <c r="I116" i="32"/>
  <c r="F116" i="32"/>
  <c r="E116" i="32"/>
  <c r="D116" i="32"/>
  <c r="I115" i="32"/>
  <c r="F115" i="32"/>
  <c r="E115" i="32"/>
  <c r="D115" i="32"/>
  <c r="C115" i="32"/>
  <c r="I114" i="32"/>
  <c r="F114" i="32"/>
  <c r="E114" i="32"/>
  <c r="D114" i="32"/>
  <c r="C114" i="32" s="1"/>
  <c r="I113" i="32"/>
  <c r="F113" i="32"/>
  <c r="E113" i="32"/>
  <c r="D113" i="32"/>
  <c r="C113" i="32" s="1"/>
  <c r="I112" i="32"/>
  <c r="F112" i="32"/>
  <c r="E112" i="32"/>
  <c r="D112" i="32"/>
  <c r="C112" i="32" s="1"/>
  <c r="I111" i="32"/>
  <c r="F111" i="32"/>
  <c r="E111" i="32"/>
  <c r="D111" i="32"/>
  <c r="I110" i="32"/>
  <c r="F110" i="32"/>
  <c r="E110" i="32"/>
  <c r="D110" i="32"/>
  <c r="C110" i="32" s="1"/>
  <c r="I109" i="32"/>
  <c r="F109" i="32"/>
  <c r="E109" i="32"/>
  <c r="D109" i="32"/>
  <c r="I108" i="32"/>
  <c r="F108" i="32"/>
  <c r="E108" i="32"/>
  <c r="D108" i="32"/>
  <c r="I107" i="32"/>
  <c r="F107" i="32"/>
  <c r="F152" i="32" s="1"/>
  <c r="E107" i="32"/>
  <c r="D107" i="32"/>
  <c r="D152" i="32" s="1"/>
  <c r="I106" i="32"/>
  <c r="I151" i="32" s="1"/>
  <c r="F106" i="32"/>
  <c r="E106" i="32"/>
  <c r="E151" i="32" s="1"/>
  <c r="D106" i="32"/>
  <c r="C106" i="32"/>
  <c r="I105" i="32"/>
  <c r="F105" i="32"/>
  <c r="F150" i="32" s="1"/>
  <c r="E105" i="32"/>
  <c r="D105" i="32"/>
  <c r="D150" i="32" s="1"/>
  <c r="K101" i="32"/>
  <c r="J101" i="32"/>
  <c r="H101" i="32"/>
  <c r="G101" i="32"/>
  <c r="H100" i="32"/>
  <c r="G100" i="32"/>
  <c r="K99" i="32"/>
  <c r="J99" i="32"/>
  <c r="H99" i="32"/>
  <c r="H102" i="32" s="1"/>
  <c r="G99" i="32"/>
  <c r="G102" i="32" s="1"/>
  <c r="I98" i="32"/>
  <c r="F98" i="32"/>
  <c r="E98" i="32"/>
  <c r="D98" i="32"/>
  <c r="C98" i="32" s="1"/>
  <c r="K97" i="32"/>
  <c r="E97" i="32" s="1"/>
  <c r="J97" i="32"/>
  <c r="F97" i="32"/>
  <c r="D97" i="32"/>
  <c r="I96" i="32"/>
  <c r="F96" i="32"/>
  <c r="E96" i="32"/>
  <c r="D96" i="32"/>
  <c r="C96" i="32" s="1"/>
  <c r="I95" i="32"/>
  <c r="F95" i="32"/>
  <c r="E95" i="32"/>
  <c r="D95" i="32"/>
  <c r="I94" i="32"/>
  <c r="F94" i="32"/>
  <c r="E94" i="32"/>
  <c r="D94" i="32"/>
  <c r="C94" i="32" s="1"/>
  <c r="I93" i="32"/>
  <c r="F93" i="32"/>
  <c r="E93" i="32"/>
  <c r="D93" i="32"/>
  <c r="I92" i="32"/>
  <c r="F92" i="32"/>
  <c r="E92" i="32"/>
  <c r="D92" i="32"/>
  <c r="I91" i="32"/>
  <c r="F91" i="32"/>
  <c r="E91" i="32"/>
  <c r="D91" i="32"/>
  <c r="I90" i="32"/>
  <c r="F90" i="32"/>
  <c r="E90" i="32"/>
  <c r="D90" i="32"/>
  <c r="C90" i="32"/>
  <c r="I89" i="32"/>
  <c r="F89" i="32"/>
  <c r="E89" i="32"/>
  <c r="D89" i="32"/>
  <c r="C89" i="32" s="1"/>
  <c r="J88" i="32"/>
  <c r="I88" i="32" s="1"/>
  <c r="F88" i="32"/>
  <c r="E88" i="32"/>
  <c r="D88" i="32"/>
  <c r="C88" i="32" s="1"/>
  <c r="I87" i="32"/>
  <c r="F87" i="32"/>
  <c r="E87" i="32"/>
  <c r="D87" i="32"/>
  <c r="C87" i="32" s="1"/>
  <c r="I86" i="32"/>
  <c r="F86" i="32"/>
  <c r="E86" i="32"/>
  <c r="D86" i="32"/>
  <c r="K85" i="32"/>
  <c r="J85" i="32"/>
  <c r="I85" i="32" s="1"/>
  <c r="F85" i="32"/>
  <c r="E85" i="32"/>
  <c r="D85" i="32"/>
  <c r="C85" i="32" s="1"/>
  <c r="I84" i="32"/>
  <c r="F84" i="32"/>
  <c r="E84" i="32"/>
  <c r="D84" i="32"/>
  <c r="I83" i="32"/>
  <c r="F83" i="32"/>
  <c r="E83" i="32"/>
  <c r="D83" i="32"/>
  <c r="K82" i="32"/>
  <c r="E82" i="32" s="1"/>
  <c r="J82" i="32"/>
  <c r="F82" i="32"/>
  <c r="D82" i="32"/>
  <c r="I81" i="32"/>
  <c r="F81" i="32"/>
  <c r="E81" i="32"/>
  <c r="D81" i="32"/>
  <c r="C81" i="32" s="1"/>
  <c r="I80" i="32"/>
  <c r="F80" i="32"/>
  <c r="E80" i="32"/>
  <c r="D80" i="32"/>
  <c r="J79" i="32"/>
  <c r="I79" i="32" s="1"/>
  <c r="F79" i="32"/>
  <c r="E79" i="32"/>
  <c r="I78" i="32"/>
  <c r="F78" i="32"/>
  <c r="E78" i="32"/>
  <c r="D78" i="32"/>
  <c r="I77" i="32"/>
  <c r="F77" i="32"/>
  <c r="E77" i="32"/>
  <c r="D77" i="32"/>
  <c r="K76" i="32"/>
  <c r="I76" i="32" s="1"/>
  <c r="F76" i="32"/>
  <c r="D76" i="32"/>
  <c r="I75" i="32"/>
  <c r="F75" i="32"/>
  <c r="E75" i="32"/>
  <c r="D75" i="32"/>
  <c r="C75" i="32" s="1"/>
  <c r="I74" i="32"/>
  <c r="F74" i="32"/>
  <c r="E74" i="32"/>
  <c r="D74" i="32"/>
  <c r="C74" i="32" s="1"/>
  <c r="J73" i="32"/>
  <c r="J100" i="32" s="1"/>
  <c r="F73" i="32"/>
  <c r="E73" i="32"/>
  <c r="D73" i="32"/>
  <c r="I72" i="32"/>
  <c r="F72" i="32"/>
  <c r="E72" i="32"/>
  <c r="D72" i="32"/>
  <c r="C72" i="32" s="1"/>
  <c r="I71" i="32"/>
  <c r="I101" i="32" s="1"/>
  <c r="F71" i="32"/>
  <c r="F101" i="32" s="1"/>
  <c r="E71" i="32"/>
  <c r="E101" i="32" s="1"/>
  <c r="D71" i="32"/>
  <c r="K70" i="32"/>
  <c r="I70" i="32" s="1"/>
  <c r="F70" i="32"/>
  <c r="F100" i="32" s="1"/>
  <c r="D70" i="32"/>
  <c r="I69" i="32"/>
  <c r="I99" i="32" s="1"/>
  <c r="F69" i="32"/>
  <c r="F99" i="32" s="1"/>
  <c r="F102" i="32" s="1"/>
  <c r="E69" i="32"/>
  <c r="E99" i="32" s="1"/>
  <c r="D69" i="32"/>
  <c r="D99" i="32" s="1"/>
  <c r="J65" i="32"/>
  <c r="G65" i="32"/>
  <c r="J64" i="32"/>
  <c r="G64" i="32"/>
  <c r="J63" i="32"/>
  <c r="G63" i="32"/>
  <c r="G66" i="32" s="1"/>
  <c r="I62" i="32"/>
  <c r="F62" i="32"/>
  <c r="E62" i="32"/>
  <c r="D62" i="32"/>
  <c r="C62" i="32" s="1"/>
  <c r="K61" i="32"/>
  <c r="I61" i="32" s="1"/>
  <c r="H61" i="32"/>
  <c r="F61" i="32" s="1"/>
  <c r="D61" i="32"/>
  <c r="K60" i="32"/>
  <c r="I60" i="32" s="1"/>
  <c r="F60" i="32"/>
  <c r="E60" i="32"/>
  <c r="D60" i="32"/>
  <c r="C60" i="32"/>
  <c r="K59" i="32"/>
  <c r="I59" i="32"/>
  <c r="F59" i="32"/>
  <c r="E59" i="32"/>
  <c r="D59" i="32"/>
  <c r="C59" i="32"/>
  <c r="K58" i="32"/>
  <c r="I58" i="32"/>
  <c r="H58" i="32"/>
  <c r="F58" i="32"/>
  <c r="E58" i="32"/>
  <c r="D58" i="32"/>
  <c r="C58" i="32" s="1"/>
  <c r="K57" i="32"/>
  <c r="I57" i="32" s="1"/>
  <c r="H57" i="32"/>
  <c r="H63" i="32" s="1"/>
  <c r="D57" i="32"/>
  <c r="K56" i="32"/>
  <c r="K65" i="32" s="1"/>
  <c r="I56" i="32"/>
  <c r="H56" i="32"/>
  <c r="H65" i="32" s="1"/>
  <c r="D56" i="32"/>
  <c r="K55" i="32"/>
  <c r="I55" i="32" s="1"/>
  <c r="H55" i="32"/>
  <c r="F55" i="32" s="1"/>
  <c r="D55" i="32"/>
  <c r="K54" i="32"/>
  <c r="I54" i="32" s="1"/>
  <c r="F54" i="32"/>
  <c r="D54" i="32"/>
  <c r="I53" i="32"/>
  <c r="F53" i="32"/>
  <c r="E53" i="32"/>
  <c r="D53" i="32"/>
  <c r="K52" i="32"/>
  <c r="I52" i="32" s="1"/>
  <c r="H52" i="32"/>
  <c r="F52" i="32" s="1"/>
  <c r="D52" i="32"/>
  <c r="K51" i="32"/>
  <c r="I51" i="32" s="1"/>
  <c r="F51" i="32"/>
  <c r="D51" i="32"/>
  <c r="I50" i="32"/>
  <c r="I65" i="32" s="1"/>
  <c r="F50" i="32"/>
  <c r="E50" i="32"/>
  <c r="D50" i="32"/>
  <c r="D65" i="32" s="1"/>
  <c r="K49" i="32"/>
  <c r="K64" i="32" s="1"/>
  <c r="F49" i="32"/>
  <c r="D49" i="32"/>
  <c r="K48" i="32"/>
  <c r="I48" i="32" s="1"/>
  <c r="F48" i="32"/>
  <c r="D48" i="32"/>
  <c r="D63" i="32" s="1"/>
  <c r="H44" i="32"/>
  <c r="G44" i="32"/>
  <c r="H43" i="32"/>
  <c r="G43" i="32"/>
  <c r="H42" i="32"/>
  <c r="H45" i="32" s="1"/>
  <c r="G42" i="32"/>
  <c r="G45" i="32" s="1"/>
  <c r="I41" i="32"/>
  <c r="F41" i="32"/>
  <c r="E41" i="32"/>
  <c r="D41" i="32"/>
  <c r="C41" i="32"/>
  <c r="J40" i="32"/>
  <c r="I40" i="32" s="1"/>
  <c r="F40" i="32"/>
  <c r="E40" i="32"/>
  <c r="D40" i="32"/>
  <c r="C40" i="32"/>
  <c r="J39" i="32"/>
  <c r="I39" i="32"/>
  <c r="F39" i="32"/>
  <c r="E39" i="32"/>
  <c r="D39" i="32"/>
  <c r="C39" i="32"/>
  <c r="I38" i="32"/>
  <c r="F38" i="32"/>
  <c r="E38" i="32"/>
  <c r="D38" i="32"/>
  <c r="C38" i="32" s="1"/>
  <c r="I37" i="32"/>
  <c r="F37" i="32"/>
  <c r="E37" i="32"/>
  <c r="D37" i="32"/>
  <c r="C37" i="32" s="1"/>
  <c r="I36" i="32"/>
  <c r="F36" i="32"/>
  <c r="E36" i="32"/>
  <c r="D36" i="32"/>
  <c r="I35" i="32"/>
  <c r="F35" i="32"/>
  <c r="E35" i="32"/>
  <c r="D35" i="32"/>
  <c r="C35" i="32" s="1"/>
  <c r="I34" i="32"/>
  <c r="F34" i="32"/>
  <c r="E34" i="32"/>
  <c r="D34" i="32"/>
  <c r="I33" i="32"/>
  <c r="F33" i="32"/>
  <c r="E33" i="32"/>
  <c r="D33" i="32"/>
  <c r="I32" i="32"/>
  <c r="F32" i="32"/>
  <c r="E32" i="32"/>
  <c r="D32" i="32"/>
  <c r="J31" i="32"/>
  <c r="I31" i="32" s="1"/>
  <c r="F31" i="32"/>
  <c r="E31" i="32"/>
  <c r="I30" i="32"/>
  <c r="F30" i="32"/>
  <c r="E30" i="32"/>
  <c r="D30" i="32"/>
  <c r="C30" i="32"/>
  <c r="I29" i="32"/>
  <c r="F29" i="32"/>
  <c r="E29" i="32"/>
  <c r="D29" i="32"/>
  <c r="C29" i="32" s="1"/>
  <c r="I28" i="32"/>
  <c r="F28" i="32"/>
  <c r="E28" i="32"/>
  <c r="D28" i="32"/>
  <c r="C28" i="32" s="1"/>
  <c r="I27" i="32"/>
  <c r="F27" i="32"/>
  <c r="E27" i="32"/>
  <c r="D27" i="32"/>
  <c r="I26" i="32"/>
  <c r="F26" i="32"/>
  <c r="E26" i="32"/>
  <c r="D26" i="32"/>
  <c r="K25" i="32"/>
  <c r="J25" i="32"/>
  <c r="I25" i="32" s="1"/>
  <c r="F25" i="32"/>
  <c r="E25" i="32"/>
  <c r="D25" i="32"/>
  <c r="C25" i="32" s="1"/>
  <c r="J24" i="32"/>
  <c r="I24" i="32" s="1"/>
  <c r="F24" i="32"/>
  <c r="E24" i="32"/>
  <c r="D24" i="32"/>
  <c r="C24" i="32" s="1"/>
  <c r="I23" i="32"/>
  <c r="F23" i="32"/>
  <c r="E23" i="32"/>
  <c r="D23" i="32"/>
  <c r="C23" i="32" s="1"/>
  <c r="I22" i="32"/>
  <c r="F22" i="32"/>
  <c r="E22" i="32"/>
  <c r="D22" i="32"/>
  <c r="C22" i="32" s="1"/>
  <c r="I21" i="32"/>
  <c r="F21" i="32"/>
  <c r="E21" i="32"/>
  <c r="D21" i="32"/>
  <c r="C21" i="32" s="1"/>
  <c r="I20" i="32"/>
  <c r="F20" i="32"/>
  <c r="E20" i="32"/>
  <c r="D20" i="32"/>
  <c r="C20" i="32" s="1"/>
  <c r="I19" i="32"/>
  <c r="F19" i="32"/>
  <c r="E19" i="32"/>
  <c r="D19" i="32"/>
  <c r="C19" i="32" s="1"/>
  <c r="I18" i="32"/>
  <c r="F18" i="32"/>
  <c r="E18" i="32"/>
  <c r="D18" i="32"/>
  <c r="C18" i="32" s="1"/>
  <c r="I17" i="32"/>
  <c r="F17" i="32"/>
  <c r="E17" i="32"/>
  <c r="D17" i="32"/>
  <c r="C17" i="32" s="1"/>
  <c r="I16" i="32"/>
  <c r="F16" i="32"/>
  <c r="E16" i="32"/>
  <c r="D16" i="32"/>
  <c r="I15" i="32"/>
  <c r="F15" i="32"/>
  <c r="E15" i="32"/>
  <c r="D15" i="32"/>
  <c r="C15" i="32" s="1"/>
  <c r="I14" i="32"/>
  <c r="F14" i="32"/>
  <c r="E14" i="32"/>
  <c r="D14" i="32"/>
  <c r="I13" i="32"/>
  <c r="F13" i="32"/>
  <c r="E13" i="32"/>
  <c r="D13" i="32"/>
  <c r="I12" i="32"/>
  <c r="F12" i="32"/>
  <c r="E12" i="32"/>
  <c r="D12" i="32"/>
  <c r="C12" i="32"/>
  <c r="K11" i="32"/>
  <c r="K44" i="32" s="1"/>
  <c r="J11" i="32"/>
  <c r="I11" i="32" s="1"/>
  <c r="F11" i="32"/>
  <c r="E11" i="32"/>
  <c r="K10" i="32"/>
  <c r="K43" i="32" s="1"/>
  <c r="J10" i="32"/>
  <c r="J43" i="32" s="1"/>
  <c r="F10" i="32"/>
  <c r="E10" i="32"/>
  <c r="D10" i="32"/>
  <c r="C10" i="32" s="1"/>
  <c r="K9" i="32"/>
  <c r="K42" i="32" s="1"/>
  <c r="F9" i="32"/>
  <c r="D9" i="32"/>
  <c r="I8" i="32"/>
  <c r="I44" i="32" s="1"/>
  <c r="F8" i="32"/>
  <c r="F44" i="32" s="1"/>
  <c r="E8" i="32"/>
  <c r="E44" i="32" s="1"/>
  <c r="D8" i="32"/>
  <c r="C8" i="32"/>
  <c r="I7" i="32"/>
  <c r="F7" i="32"/>
  <c r="F43" i="32" s="1"/>
  <c r="E7" i="32"/>
  <c r="E43" i="32" s="1"/>
  <c r="D7" i="32"/>
  <c r="I6" i="32"/>
  <c r="F6" i="32"/>
  <c r="F42" i="32" s="1"/>
  <c r="F45" i="32" s="1"/>
  <c r="E6" i="32"/>
  <c r="D6" i="32"/>
  <c r="D42" i="32" s="1"/>
  <c r="J1151" i="31"/>
  <c r="I1151" i="31"/>
  <c r="G1151" i="31"/>
  <c r="F1151" i="31"/>
  <c r="J1150" i="31"/>
  <c r="I1150" i="31"/>
  <c r="G1150" i="31"/>
  <c r="F1150" i="31"/>
  <c r="J1149" i="31"/>
  <c r="J1152" i="31" s="1"/>
  <c r="I1149" i="31"/>
  <c r="I1152" i="31" s="1"/>
  <c r="G1149" i="31"/>
  <c r="G1152" i="31" s="1"/>
  <c r="F1149" i="31"/>
  <c r="F1152" i="31" s="1"/>
  <c r="H1148" i="31"/>
  <c r="H1151" i="31" s="1"/>
  <c r="E1148" i="31"/>
  <c r="E1151" i="31" s="1"/>
  <c r="D1148" i="31"/>
  <c r="D1151" i="31" s="1"/>
  <c r="C1148" i="31"/>
  <c r="C1151" i="31" s="1"/>
  <c r="H1147" i="31"/>
  <c r="H1150" i="31" s="1"/>
  <c r="E1147" i="31"/>
  <c r="E1149" i="31" s="1"/>
  <c r="E1152" i="31" s="1"/>
  <c r="D1147" i="31"/>
  <c r="D1150" i="31" s="1"/>
  <c r="C1147" i="31"/>
  <c r="C1149" i="31" s="1"/>
  <c r="C1152" i="31" s="1"/>
  <c r="J1143" i="31"/>
  <c r="I1143" i="31"/>
  <c r="G1143" i="31"/>
  <c r="F1143" i="31"/>
  <c r="J1142" i="31"/>
  <c r="I1142" i="31"/>
  <c r="G1142" i="31"/>
  <c r="F1142" i="31"/>
  <c r="J1141" i="31"/>
  <c r="I1141" i="31"/>
  <c r="G1141" i="31"/>
  <c r="F1141" i="31"/>
  <c r="H1140" i="31"/>
  <c r="E1140" i="31"/>
  <c r="D1140" i="31"/>
  <c r="C1140" i="31"/>
  <c r="H1139" i="31"/>
  <c r="H1141" i="31" s="1"/>
  <c r="E1139" i="31"/>
  <c r="E1141" i="31" s="1"/>
  <c r="D1139" i="31"/>
  <c r="D1141" i="31" s="1"/>
  <c r="C1139" i="31"/>
  <c r="C1141" i="31" s="1"/>
  <c r="B1139" i="31"/>
  <c r="J1138" i="31"/>
  <c r="I1138" i="31"/>
  <c r="G1138" i="31"/>
  <c r="F1138" i="31"/>
  <c r="H1137" i="31"/>
  <c r="E1137" i="31"/>
  <c r="D1137" i="31"/>
  <c r="C1137" i="31"/>
  <c r="B1137" i="31" s="1"/>
  <c r="H1136" i="31"/>
  <c r="H1138" i="31" s="1"/>
  <c r="E1136" i="31"/>
  <c r="D1136" i="31"/>
  <c r="D1138" i="31" s="1"/>
  <c r="C1136" i="31"/>
  <c r="J1135" i="31"/>
  <c r="I1135" i="31"/>
  <c r="G1135" i="31"/>
  <c r="F1135" i="31"/>
  <c r="H1134" i="31"/>
  <c r="E1134" i="31"/>
  <c r="D1134" i="31"/>
  <c r="C1134" i="31"/>
  <c r="H1133" i="31"/>
  <c r="H1135" i="31" s="1"/>
  <c r="E1133" i="31"/>
  <c r="E1135" i="31" s="1"/>
  <c r="D1133" i="31"/>
  <c r="D1135" i="31" s="1"/>
  <c r="C1133" i="31"/>
  <c r="C1135" i="31" s="1"/>
  <c r="J1132" i="31"/>
  <c r="J1144" i="31" s="1"/>
  <c r="I1132" i="31"/>
  <c r="I1144" i="31" s="1"/>
  <c r="G1132" i="31"/>
  <c r="G1144" i="31" s="1"/>
  <c r="F1132" i="31"/>
  <c r="F1144" i="31" s="1"/>
  <c r="H1131" i="31"/>
  <c r="H1143" i="31" s="1"/>
  <c r="E1131" i="31"/>
  <c r="E1143" i="31" s="1"/>
  <c r="D1131" i="31"/>
  <c r="D1143" i="31" s="1"/>
  <c r="C1131" i="31"/>
  <c r="C1143" i="31" s="1"/>
  <c r="B1131" i="31"/>
  <c r="H1130" i="31"/>
  <c r="H1142" i="31" s="1"/>
  <c r="E1130" i="31"/>
  <c r="E1142" i="31" s="1"/>
  <c r="D1130" i="31"/>
  <c r="D1142" i="31" s="1"/>
  <c r="C1130" i="31"/>
  <c r="B1130" i="31" s="1"/>
  <c r="J1126" i="31"/>
  <c r="I1126" i="31"/>
  <c r="G1126" i="31"/>
  <c r="F1126" i="31"/>
  <c r="J1125" i="31"/>
  <c r="I1125" i="31"/>
  <c r="G1125" i="31"/>
  <c r="F1125" i="31"/>
  <c r="J1124" i="31"/>
  <c r="J1127" i="31" s="1"/>
  <c r="I1124" i="31"/>
  <c r="I1127" i="31" s="1"/>
  <c r="G1124" i="31"/>
  <c r="G1127" i="31" s="1"/>
  <c r="F1124" i="31"/>
  <c r="F1127" i="31" s="1"/>
  <c r="D1124" i="31"/>
  <c r="D1127" i="31" s="1"/>
  <c r="H1123" i="31"/>
  <c r="H1126" i="31" s="1"/>
  <c r="E1123" i="31"/>
  <c r="E1126" i="31" s="1"/>
  <c r="D1123" i="31"/>
  <c r="D1126" i="31" s="1"/>
  <c r="C1123" i="31"/>
  <c r="C1126" i="31" s="1"/>
  <c r="B1123" i="31"/>
  <c r="B1126" i="31" s="1"/>
  <c r="H1122" i="31"/>
  <c r="H1125" i="31" s="1"/>
  <c r="E1122" i="31"/>
  <c r="E1125" i="31" s="1"/>
  <c r="D1122" i="31"/>
  <c r="D1125" i="31" s="1"/>
  <c r="C1122" i="31"/>
  <c r="C1125" i="31" s="1"/>
  <c r="J1118" i="31"/>
  <c r="I1118" i="31"/>
  <c r="G1118" i="31"/>
  <c r="F1118" i="31"/>
  <c r="J1117" i="31"/>
  <c r="I1117" i="31"/>
  <c r="G1117" i="31"/>
  <c r="F1117" i="31"/>
  <c r="J1116" i="31"/>
  <c r="I1116" i="31"/>
  <c r="G1116" i="31"/>
  <c r="F1116" i="31"/>
  <c r="H1115" i="31"/>
  <c r="E1115" i="31"/>
  <c r="D1115" i="31"/>
  <c r="C1115" i="31"/>
  <c r="B1115" i="31"/>
  <c r="H1114" i="31"/>
  <c r="H1116" i="31" s="1"/>
  <c r="E1114" i="31"/>
  <c r="E1116" i="31" s="1"/>
  <c r="D1114" i="31"/>
  <c r="D1116" i="31" s="1"/>
  <c r="C1114" i="31"/>
  <c r="C1116" i="31" s="1"/>
  <c r="B1114" i="31"/>
  <c r="B1116" i="31" s="1"/>
  <c r="J1113" i="31"/>
  <c r="I1113" i="31"/>
  <c r="G1113" i="31"/>
  <c r="F1113" i="31"/>
  <c r="H1112" i="31"/>
  <c r="E1112" i="31"/>
  <c r="B1112" i="31" s="1"/>
  <c r="D1112" i="31"/>
  <c r="C1112" i="31"/>
  <c r="H1111" i="31"/>
  <c r="H1113" i="31" s="1"/>
  <c r="E1111" i="31"/>
  <c r="E1113" i="31" s="1"/>
  <c r="D1111" i="31"/>
  <c r="D1113" i="31" s="1"/>
  <c r="C1111" i="31"/>
  <c r="C1113" i="31" s="1"/>
  <c r="B1111" i="31"/>
  <c r="J1110" i="31"/>
  <c r="I1110" i="31"/>
  <c r="G1110" i="31"/>
  <c r="F1110" i="31"/>
  <c r="H1109" i="31"/>
  <c r="E1109" i="31"/>
  <c r="B1109" i="31" s="1"/>
  <c r="D1109" i="31"/>
  <c r="C1109" i="31"/>
  <c r="H1108" i="31"/>
  <c r="H1110" i="31" s="1"/>
  <c r="E1108" i="31"/>
  <c r="D1108" i="31"/>
  <c r="D1110" i="31" s="1"/>
  <c r="C1108" i="31"/>
  <c r="C1110" i="31" s="1"/>
  <c r="J1107" i="31"/>
  <c r="I1107" i="31"/>
  <c r="G1107" i="31"/>
  <c r="F1107" i="31"/>
  <c r="H1106" i="31"/>
  <c r="E1106" i="31"/>
  <c r="D1106" i="31"/>
  <c r="C1106" i="31"/>
  <c r="H1105" i="31"/>
  <c r="H1107" i="31" s="1"/>
  <c r="E1105" i="31"/>
  <c r="E1107" i="31" s="1"/>
  <c r="D1105" i="31"/>
  <c r="D1107" i="31" s="1"/>
  <c r="C1105" i="31"/>
  <c r="C1107" i="31" s="1"/>
  <c r="B1105" i="31"/>
  <c r="J1104" i="31"/>
  <c r="I1104" i="31"/>
  <c r="G1104" i="31"/>
  <c r="F1104" i="31"/>
  <c r="H1103" i="31"/>
  <c r="E1103" i="31"/>
  <c r="B1103" i="31" s="1"/>
  <c r="D1103" i="31"/>
  <c r="C1103" i="31"/>
  <c r="H1102" i="31"/>
  <c r="H1104" i="31" s="1"/>
  <c r="E1102" i="31"/>
  <c r="D1102" i="31"/>
  <c r="D1104" i="31" s="1"/>
  <c r="C1102" i="31"/>
  <c r="J1101" i="31"/>
  <c r="I1101" i="31"/>
  <c r="G1101" i="31"/>
  <c r="F1101" i="31"/>
  <c r="H1100" i="31"/>
  <c r="E1100" i="31"/>
  <c r="D1100" i="31"/>
  <c r="C1100" i="31"/>
  <c r="H1099" i="31"/>
  <c r="H1101" i="31" s="1"/>
  <c r="E1099" i="31"/>
  <c r="E1101" i="31" s="1"/>
  <c r="D1099" i="31"/>
  <c r="D1101" i="31" s="1"/>
  <c r="C1099" i="31"/>
  <c r="C1101" i="31" s="1"/>
  <c r="B1099" i="31"/>
  <c r="J1098" i="31"/>
  <c r="I1098" i="31"/>
  <c r="G1098" i="31"/>
  <c r="F1098" i="31"/>
  <c r="H1097" i="31"/>
  <c r="E1097" i="31"/>
  <c r="D1097" i="31"/>
  <c r="C1097" i="31"/>
  <c r="H1096" i="31"/>
  <c r="H1098" i="31" s="1"/>
  <c r="E1096" i="31"/>
  <c r="D1096" i="31"/>
  <c r="D1098" i="31" s="1"/>
  <c r="C1096" i="31"/>
  <c r="J1095" i="31"/>
  <c r="I1095" i="31"/>
  <c r="G1095" i="31"/>
  <c r="F1095" i="31"/>
  <c r="H1094" i="31"/>
  <c r="E1094" i="31"/>
  <c r="D1094" i="31"/>
  <c r="C1094" i="31"/>
  <c r="H1093" i="31"/>
  <c r="H1095" i="31" s="1"/>
  <c r="E1093" i="31"/>
  <c r="E1095" i="31" s="1"/>
  <c r="D1093" i="31"/>
  <c r="D1095" i="31" s="1"/>
  <c r="C1093" i="31"/>
  <c r="C1095" i="31" s="1"/>
  <c r="B1093" i="31"/>
  <c r="J1092" i="31"/>
  <c r="I1092" i="31"/>
  <c r="G1092" i="31"/>
  <c r="F1092" i="31"/>
  <c r="H1091" i="31"/>
  <c r="E1091" i="31"/>
  <c r="B1091" i="31" s="1"/>
  <c r="D1091" i="31"/>
  <c r="C1091" i="31"/>
  <c r="H1090" i="31"/>
  <c r="H1092" i="31" s="1"/>
  <c r="E1090" i="31"/>
  <c r="D1090" i="31"/>
  <c r="D1092" i="31" s="1"/>
  <c r="C1090" i="31"/>
  <c r="J1089" i="31"/>
  <c r="I1089" i="31"/>
  <c r="G1089" i="31"/>
  <c r="F1089" i="31"/>
  <c r="H1088" i="31"/>
  <c r="E1088" i="31"/>
  <c r="D1088" i="31"/>
  <c r="C1088" i="31"/>
  <c r="H1087" i="31"/>
  <c r="H1089" i="31" s="1"/>
  <c r="E1087" i="31"/>
  <c r="E1089" i="31" s="1"/>
  <c r="D1087" i="31"/>
  <c r="D1089" i="31" s="1"/>
  <c r="C1087" i="31"/>
  <c r="C1089" i="31" s="1"/>
  <c r="B1087" i="31"/>
  <c r="J1086" i="31"/>
  <c r="I1086" i="31"/>
  <c r="G1086" i="31"/>
  <c r="F1086" i="31"/>
  <c r="H1085" i="31"/>
  <c r="E1085" i="31"/>
  <c r="B1085" i="31" s="1"/>
  <c r="D1085" i="31"/>
  <c r="C1085" i="31"/>
  <c r="H1084" i="31"/>
  <c r="H1086" i="31" s="1"/>
  <c r="E1084" i="31"/>
  <c r="D1084" i="31"/>
  <c r="D1086" i="31" s="1"/>
  <c r="C1084" i="31"/>
  <c r="J1083" i="31"/>
  <c r="I1083" i="31"/>
  <c r="G1083" i="31"/>
  <c r="F1083" i="31"/>
  <c r="H1082" i="31"/>
  <c r="E1082" i="31"/>
  <c r="D1082" i="31"/>
  <c r="C1082" i="31"/>
  <c r="H1081" i="31"/>
  <c r="H1083" i="31" s="1"/>
  <c r="E1081" i="31"/>
  <c r="E1083" i="31" s="1"/>
  <c r="D1081" i="31"/>
  <c r="D1083" i="31" s="1"/>
  <c r="C1081" i="31"/>
  <c r="C1083" i="31" s="1"/>
  <c r="B1081" i="31"/>
  <c r="J1080" i="31"/>
  <c r="I1080" i="31"/>
  <c r="G1080" i="31"/>
  <c r="F1080" i="31"/>
  <c r="H1079" i="31"/>
  <c r="E1079" i="31"/>
  <c r="B1079" i="31" s="1"/>
  <c r="D1079" i="31"/>
  <c r="C1079" i="31"/>
  <c r="H1078" i="31"/>
  <c r="H1080" i="31" s="1"/>
  <c r="E1078" i="31"/>
  <c r="D1078" i="31"/>
  <c r="D1080" i="31" s="1"/>
  <c r="C1078" i="31"/>
  <c r="J1077" i="31"/>
  <c r="I1077" i="31"/>
  <c r="G1077" i="31"/>
  <c r="F1077" i="31"/>
  <c r="H1076" i="31"/>
  <c r="E1076" i="31"/>
  <c r="D1076" i="31"/>
  <c r="C1076" i="31"/>
  <c r="H1075" i="31"/>
  <c r="H1077" i="31" s="1"/>
  <c r="E1075" i="31"/>
  <c r="E1077" i="31" s="1"/>
  <c r="D1075" i="31"/>
  <c r="D1077" i="31" s="1"/>
  <c r="C1075" i="31"/>
  <c r="C1077" i="31" s="1"/>
  <c r="B1075" i="31"/>
  <c r="J1074" i="31"/>
  <c r="I1074" i="31"/>
  <c r="G1074" i="31"/>
  <c r="F1074" i="31"/>
  <c r="H1073" i="31"/>
  <c r="E1073" i="31"/>
  <c r="B1073" i="31" s="1"/>
  <c r="D1073" i="31"/>
  <c r="C1073" i="31"/>
  <c r="H1072" i="31"/>
  <c r="H1074" i="31" s="1"/>
  <c r="E1072" i="31"/>
  <c r="D1072" i="31"/>
  <c r="D1074" i="31" s="1"/>
  <c r="C1072" i="31"/>
  <c r="J1071" i="31"/>
  <c r="I1071" i="31"/>
  <c r="G1071" i="31"/>
  <c r="F1071" i="31"/>
  <c r="H1070" i="31"/>
  <c r="E1070" i="31"/>
  <c r="D1070" i="31"/>
  <c r="C1070" i="31"/>
  <c r="H1069" i="31"/>
  <c r="H1071" i="31" s="1"/>
  <c r="E1069" i="31"/>
  <c r="E1071" i="31" s="1"/>
  <c r="D1069" i="31"/>
  <c r="D1071" i="31" s="1"/>
  <c r="C1069" i="31"/>
  <c r="C1071" i="31" s="1"/>
  <c r="B1069" i="31"/>
  <c r="J1068" i="31"/>
  <c r="I1068" i="31"/>
  <c r="G1068" i="31"/>
  <c r="F1068" i="31"/>
  <c r="H1067" i="31"/>
  <c r="E1067" i="31"/>
  <c r="B1067" i="31" s="1"/>
  <c r="D1067" i="31"/>
  <c r="C1067" i="31"/>
  <c r="H1066" i="31"/>
  <c r="H1068" i="31" s="1"/>
  <c r="E1066" i="31"/>
  <c r="D1066" i="31"/>
  <c r="D1068" i="31" s="1"/>
  <c r="C1066" i="31"/>
  <c r="J1065" i="31"/>
  <c r="I1065" i="31"/>
  <c r="G1065" i="31"/>
  <c r="F1065" i="31"/>
  <c r="H1064" i="31"/>
  <c r="E1064" i="31"/>
  <c r="D1064" i="31"/>
  <c r="C1064" i="31"/>
  <c r="H1063" i="31"/>
  <c r="H1065" i="31" s="1"/>
  <c r="E1063" i="31"/>
  <c r="E1065" i="31" s="1"/>
  <c r="D1063" i="31"/>
  <c r="D1065" i="31" s="1"/>
  <c r="C1063" i="31"/>
  <c r="C1065" i="31" s="1"/>
  <c r="B1063" i="31"/>
  <c r="J1062" i="31"/>
  <c r="I1062" i="31"/>
  <c r="G1062" i="31"/>
  <c r="F1062" i="31"/>
  <c r="H1061" i="31"/>
  <c r="E1061" i="31"/>
  <c r="B1061" i="31" s="1"/>
  <c r="D1061" i="31"/>
  <c r="C1061" i="31"/>
  <c r="H1060" i="31"/>
  <c r="H1062" i="31" s="1"/>
  <c r="E1060" i="31"/>
  <c r="D1060" i="31"/>
  <c r="D1062" i="31" s="1"/>
  <c r="C1060" i="31"/>
  <c r="J1059" i="31"/>
  <c r="I1059" i="31"/>
  <c r="G1059" i="31"/>
  <c r="F1059" i="31"/>
  <c r="H1058" i="31"/>
  <c r="E1058" i="31"/>
  <c r="D1058" i="31"/>
  <c r="C1058" i="31"/>
  <c r="H1057" i="31"/>
  <c r="H1059" i="31" s="1"/>
  <c r="E1057" i="31"/>
  <c r="E1059" i="31" s="1"/>
  <c r="D1057" i="31"/>
  <c r="D1059" i="31" s="1"/>
  <c r="C1057" i="31"/>
  <c r="C1059" i="31" s="1"/>
  <c r="B1057" i="31"/>
  <c r="J1056" i="31"/>
  <c r="I1056" i="31"/>
  <c r="G1056" i="31"/>
  <c r="F1056" i="31"/>
  <c r="H1055" i="31"/>
  <c r="E1055" i="31"/>
  <c r="B1055" i="31" s="1"/>
  <c r="D1055" i="31"/>
  <c r="C1055" i="31"/>
  <c r="H1054" i="31"/>
  <c r="H1056" i="31" s="1"/>
  <c r="E1054" i="31"/>
  <c r="D1054" i="31"/>
  <c r="D1056" i="31" s="1"/>
  <c r="C1054" i="31"/>
  <c r="J1053" i="31"/>
  <c r="J1119" i="31" s="1"/>
  <c r="I1053" i="31"/>
  <c r="I1119" i="31" s="1"/>
  <c r="G1053" i="31"/>
  <c r="G1119" i="31" s="1"/>
  <c r="F1053" i="31"/>
  <c r="F1119" i="31" s="1"/>
  <c r="H1052" i="31"/>
  <c r="H1118" i="31" s="1"/>
  <c r="E1052" i="31"/>
  <c r="D1052" i="31"/>
  <c r="D1118" i="31" s="1"/>
  <c r="C1052" i="31"/>
  <c r="C1118" i="31" s="1"/>
  <c r="H1051" i="31"/>
  <c r="H1117" i="31" s="1"/>
  <c r="E1051" i="31"/>
  <c r="E1117" i="31" s="1"/>
  <c r="D1051" i="31"/>
  <c r="D1117" i="31" s="1"/>
  <c r="C1051" i="31"/>
  <c r="C1117" i="31" s="1"/>
  <c r="B1051" i="31"/>
  <c r="J1047" i="31"/>
  <c r="I1047" i="31"/>
  <c r="G1047" i="31"/>
  <c r="F1047" i="31"/>
  <c r="J1046" i="31"/>
  <c r="I1046" i="31"/>
  <c r="G1046" i="31"/>
  <c r="F1046" i="31"/>
  <c r="J1045" i="31"/>
  <c r="I1045" i="31"/>
  <c r="G1045" i="31"/>
  <c r="F1045" i="31"/>
  <c r="H1044" i="31"/>
  <c r="E1044" i="31"/>
  <c r="D1044" i="31"/>
  <c r="C1044" i="31"/>
  <c r="B1044" i="31" s="1"/>
  <c r="H1043" i="31"/>
  <c r="H1045" i="31" s="1"/>
  <c r="E1043" i="31"/>
  <c r="E1045" i="31" s="1"/>
  <c r="D1043" i="31"/>
  <c r="D1045" i="31" s="1"/>
  <c r="C1043" i="31"/>
  <c r="C1045" i="31" s="1"/>
  <c r="B1043" i="31"/>
  <c r="J1042" i="31"/>
  <c r="I1042" i="31"/>
  <c r="G1042" i="31"/>
  <c r="F1042" i="31"/>
  <c r="H1041" i="31"/>
  <c r="E1041" i="31"/>
  <c r="D1041" i="31"/>
  <c r="C1041" i="31"/>
  <c r="B1041" i="31"/>
  <c r="H1040" i="31"/>
  <c r="H1042" i="31" s="1"/>
  <c r="E1040" i="31"/>
  <c r="E1042" i="31" s="1"/>
  <c r="D1040" i="31"/>
  <c r="D1042" i="31" s="1"/>
  <c r="C1040" i="31"/>
  <c r="B1040" i="31" s="1"/>
  <c r="B1042" i="31" s="1"/>
  <c r="J1039" i="31"/>
  <c r="I1039" i="31"/>
  <c r="G1039" i="31"/>
  <c r="F1039" i="31"/>
  <c r="H1038" i="31"/>
  <c r="E1038" i="31"/>
  <c r="D1038" i="31"/>
  <c r="C1038" i="31"/>
  <c r="B1038" i="31" s="1"/>
  <c r="H1037" i="31"/>
  <c r="H1039" i="31" s="1"/>
  <c r="E1037" i="31"/>
  <c r="E1039" i="31" s="1"/>
  <c r="D1037" i="31"/>
  <c r="D1039" i="31" s="1"/>
  <c r="C1037" i="31"/>
  <c r="C1039" i="31" s="1"/>
  <c r="J1036" i="31"/>
  <c r="I1036" i="31"/>
  <c r="G1036" i="31"/>
  <c r="F1036" i="31"/>
  <c r="H1035" i="31"/>
  <c r="E1035" i="31"/>
  <c r="D1035" i="31"/>
  <c r="C1035" i="31"/>
  <c r="B1035" i="31" s="1"/>
  <c r="H1034" i="31"/>
  <c r="H1036" i="31" s="1"/>
  <c r="E1034" i="31"/>
  <c r="E1036" i="31" s="1"/>
  <c r="D1034" i="31"/>
  <c r="D1036" i="31" s="1"/>
  <c r="C1034" i="31"/>
  <c r="J1033" i="31"/>
  <c r="J1048" i="31" s="1"/>
  <c r="I1033" i="31"/>
  <c r="I1048" i="31" s="1"/>
  <c r="G1033" i="31"/>
  <c r="G1048" i="31" s="1"/>
  <c r="F1033" i="31"/>
  <c r="F1048" i="31" s="1"/>
  <c r="H1032" i="31"/>
  <c r="H1047" i="31" s="1"/>
  <c r="E1032" i="31"/>
  <c r="E1047" i="31" s="1"/>
  <c r="D1032" i="31"/>
  <c r="D1047" i="31" s="1"/>
  <c r="C1032" i="31"/>
  <c r="C1047" i="31" s="1"/>
  <c r="H1031" i="31"/>
  <c r="H1046" i="31" s="1"/>
  <c r="E1031" i="31"/>
  <c r="E1033" i="31" s="1"/>
  <c r="E1048" i="31" s="1"/>
  <c r="D1031" i="31"/>
  <c r="D1046" i="31" s="1"/>
  <c r="C1031" i="31"/>
  <c r="C1033" i="31" s="1"/>
  <c r="J1027" i="31"/>
  <c r="I1027" i="31"/>
  <c r="G1027" i="31"/>
  <c r="F1027" i="31"/>
  <c r="J1026" i="31"/>
  <c r="G1026" i="31"/>
  <c r="F1026" i="31"/>
  <c r="J1025" i="31"/>
  <c r="I1025" i="31"/>
  <c r="G1025" i="31"/>
  <c r="F1025" i="31"/>
  <c r="H1024" i="31"/>
  <c r="E1024" i="31"/>
  <c r="D1024" i="31"/>
  <c r="C1024" i="31"/>
  <c r="B1024" i="31" s="1"/>
  <c r="H1023" i="31"/>
  <c r="H1025" i="31" s="1"/>
  <c r="E1023" i="31"/>
  <c r="E1025" i="31" s="1"/>
  <c r="D1023" i="31"/>
  <c r="D1025" i="31" s="1"/>
  <c r="C1023" i="31"/>
  <c r="C1025" i="31" s="1"/>
  <c r="J1022" i="31"/>
  <c r="I1022" i="31"/>
  <c r="G1022" i="31"/>
  <c r="F1022" i="31"/>
  <c r="H1021" i="31"/>
  <c r="E1021" i="31"/>
  <c r="D1021" i="31"/>
  <c r="C1021" i="31"/>
  <c r="B1021" i="31"/>
  <c r="H1020" i="31"/>
  <c r="E1020" i="31"/>
  <c r="E1022" i="31" s="1"/>
  <c r="D1020" i="31"/>
  <c r="D1022" i="31" s="1"/>
  <c r="C1020" i="31"/>
  <c r="B1020" i="31" s="1"/>
  <c r="B1022" i="31" s="1"/>
  <c r="J1019" i="31"/>
  <c r="I1019" i="31"/>
  <c r="G1019" i="31"/>
  <c r="F1019" i="31"/>
  <c r="H1018" i="31"/>
  <c r="E1018" i="31"/>
  <c r="D1018" i="31"/>
  <c r="C1018" i="31"/>
  <c r="B1018" i="31" s="1"/>
  <c r="H1017" i="31"/>
  <c r="H1019" i="31" s="1"/>
  <c r="E1017" i="31"/>
  <c r="E1019" i="31" s="1"/>
  <c r="D1017" i="31"/>
  <c r="D1019" i="31" s="1"/>
  <c r="C1017" i="31"/>
  <c r="C1019" i="31" s="1"/>
  <c r="J1016" i="31"/>
  <c r="I1016" i="31"/>
  <c r="G1016" i="31"/>
  <c r="F1016" i="31"/>
  <c r="H1015" i="31"/>
  <c r="E1015" i="31"/>
  <c r="D1015" i="31"/>
  <c r="C1015" i="31"/>
  <c r="B1015" i="31" s="1"/>
  <c r="H1014" i="31"/>
  <c r="E1014" i="31"/>
  <c r="E1016" i="31" s="1"/>
  <c r="D1014" i="31"/>
  <c r="C1014" i="31"/>
  <c r="B1014" i="31" s="1"/>
  <c r="J1013" i="31"/>
  <c r="G1013" i="31"/>
  <c r="F1013" i="31"/>
  <c r="H1012" i="31"/>
  <c r="E1012" i="31"/>
  <c r="D1012" i="31"/>
  <c r="C1012" i="31"/>
  <c r="I1011" i="31"/>
  <c r="I1013" i="31" s="1"/>
  <c r="E1011" i="31"/>
  <c r="E1013" i="31" s="1"/>
  <c r="D1011" i="31"/>
  <c r="D1013" i="31" s="1"/>
  <c r="J1010" i="31"/>
  <c r="G1010" i="31"/>
  <c r="F1010" i="31"/>
  <c r="H1009" i="31"/>
  <c r="E1009" i="31"/>
  <c r="D1009" i="31"/>
  <c r="C1009" i="31"/>
  <c r="B1009" i="31" s="1"/>
  <c r="I1008" i="31"/>
  <c r="I1010" i="31" s="1"/>
  <c r="E1008" i="31"/>
  <c r="E1010" i="31" s="1"/>
  <c r="D1008" i="31"/>
  <c r="D1010" i="31" s="1"/>
  <c r="C1008" i="31"/>
  <c r="C1010" i="31" s="1"/>
  <c r="J1007" i="31"/>
  <c r="I1007" i="31"/>
  <c r="G1007" i="31"/>
  <c r="F1007" i="31"/>
  <c r="H1006" i="31"/>
  <c r="E1006" i="31"/>
  <c r="D1006" i="31"/>
  <c r="C1006" i="31"/>
  <c r="B1006" i="31" s="1"/>
  <c r="H1005" i="31"/>
  <c r="H1007" i="31" s="1"/>
  <c r="E1005" i="31"/>
  <c r="E1007" i="31" s="1"/>
  <c r="D1005" i="31"/>
  <c r="D1007" i="31" s="1"/>
  <c r="C1005" i="31"/>
  <c r="C1007" i="31" s="1"/>
  <c r="J1004" i="31"/>
  <c r="J1028" i="31" s="1"/>
  <c r="I1004" i="31"/>
  <c r="G1004" i="31"/>
  <c r="G1028" i="31" s="1"/>
  <c r="F1004" i="31"/>
  <c r="F1028" i="31" s="1"/>
  <c r="H1003" i="31"/>
  <c r="H1027" i="31" s="1"/>
  <c r="E1003" i="31"/>
  <c r="E1027" i="31" s="1"/>
  <c r="D1003" i="31"/>
  <c r="D1027" i="31" s="1"/>
  <c r="C1003" i="31"/>
  <c r="C1027" i="31" s="1"/>
  <c r="B1003" i="31"/>
  <c r="H1002" i="31"/>
  <c r="E1002" i="31"/>
  <c r="E1026" i="31" s="1"/>
  <c r="D1002" i="31"/>
  <c r="D1026" i="31" s="1"/>
  <c r="C1002" i="31"/>
  <c r="B1002" i="31" s="1"/>
  <c r="J998" i="31"/>
  <c r="I998" i="31"/>
  <c r="G998" i="31"/>
  <c r="F998" i="31"/>
  <c r="J997" i="31"/>
  <c r="G997" i="31"/>
  <c r="F997" i="31"/>
  <c r="J996" i="31"/>
  <c r="I996" i="31"/>
  <c r="G996" i="31"/>
  <c r="F996" i="31"/>
  <c r="H995" i="31"/>
  <c r="E995" i="31"/>
  <c r="D995" i="31"/>
  <c r="C995" i="31"/>
  <c r="B995" i="31" s="1"/>
  <c r="H994" i="31"/>
  <c r="H996" i="31" s="1"/>
  <c r="E994" i="31"/>
  <c r="D994" i="31"/>
  <c r="D996" i="31" s="1"/>
  <c r="C994" i="31"/>
  <c r="J993" i="31"/>
  <c r="I993" i="31"/>
  <c r="G993" i="31"/>
  <c r="F993" i="31"/>
  <c r="H992" i="31"/>
  <c r="E992" i="31"/>
  <c r="D992" i="31"/>
  <c r="C992" i="31"/>
  <c r="H991" i="31"/>
  <c r="H993" i="31" s="1"/>
  <c r="E991" i="31"/>
  <c r="E993" i="31" s="1"/>
  <c r="D991" i="31"/>
  <c r="D993" i="31" s="1"/>
  <c r="C991" i="31"/>
  <c r="C993" i="31" s="1"/>
  <c r="J990" i="31"/>
  <c r="I990" i="31"/>
  <c r="G990" i="31"/>
  <c r="F990" i="31"/>
  <c r="H989" i="31"/>
  <c r="E989" i="31"/>
  <c r="D989" i="31"/>
  <c r="C989" i="31"/>
  <c r="H988" i="31"/>
  <c r="H990" i="31" s="1"/>
  <c r="E988" i="31"/>
  <c r="D988" i="31"/>
  <c r="D990" i="31" s="1"/>
  <c r="C988" i="31"/>
  <c r="J987" i="31"/>
  <c r="I987" i="31"/>
  <c r="G987" i="31"/>
  <c r="F987" i="31"/>
  <c r="H986" i="31"/>
  <c r="E986" i="31"/>
  <c r="D986" i="31"/>
  <c r="C986" i="31"/>
  <c r="H985" i="31"/>
  <c r="H987" i="31" s="1"/>
  <c r="E985" i="31"/>
  <c r="E987" i="31" s="1"/>
  <c r="D985" i="31"/>
  <c r="D987" i="31" s="1"/>
  <c r="C985" i="31"/>
  <c r="C987" i="31" s="1"/>
  <c r="B985" i="31"/>
  <c r="J984" i="31"/>
  <c r="I984" i="31"/>
  <c r="G984" i="31"/>
  <c r="F984" i="31"/>
  <c r="H983" i="31"/>
  <c r="E983" i="31"/>
  <c r="D983" i="31"/>
  <c r="C983" i="31"/>
  <c r="B983" i="31" s="1"/>
  <c r="H982" i="31"/>
  <c r="H984" i="31" s="1"/>
  <c r="E982" i="31"/>
  <c r="D982" i="31"/>
  <c r="D984" i="31" s="1"/>
  <c r="C982" i="31"/>
  <c r="J981" i="31"/>
  <c r="I981" i="31"/>
  <c r="G981" i="31"/>
  <c r="F981" i="31"/>
  <c r="H980" i="31"/>
  <c r="E980" i="31"/>
  <c r="D980" i="31"/>
  <c r="C980" i="31"/>
  <c r="H979" i="31"/>
  <c r="H981" i="31" s="1"/>
  <c r="E979" i="31"/>
  <c r="E981" i="31" s="1"/>
  <c r="D979" i="31"/>
  <c r="D981" i="31" s="1"/>
  <c r="C979" i="31"/>
  <c r="C981" i="31" s="1"/>
  <c r="J978" i="31"/>
  <c r="I978" i="31"/>
  <c r="G978" i="31"/>
  <c r="F978" i="31"/>
  <c r="H977" i="31"/>
  <c r="E977" i="31"/>
  <c r="D977" i="31"/>
  <c r="C977" i="31"/>
  <c r="H976" i="31"/>
  <c r="H978" i="31" s="1"/>
  <c r="E976" i="31"/>
  <c r="E978" i="31" s="1"/>
  <c r="D976" i="31"/>
  <c r="D978" i="31" s="1"/>
  <c r="C976" i="31"/>
  <c r="J975" i="31"/>
  <c r="I975" i="31"/>
  <c r="G975" i="31"/>
  <c r="F975" i="31"/>
  <c r="H974" i="31"/>
  <c r="E974" i="31"/>
  <c r="D974" i="31"/>
  <c r="C974" i="31"/>
  <c r="H973" i="31"/>
  <c r="H975" i="31" s="1"/>
  <c r="E973" i="31"/>
  <c r="E975" i="31" s="1"/>
  <c r="D973" i="31"/>
  <c r="D975" i="31" s="1"/>
  <c r="C973" i="31"/>
  <c r="C975" i="31" s="1"/>
  <c r="B973" i="31"/>
  <c r="J972" i="31"/>
  <c r="I972" i="31"/>
  <c r="G972" i="31"/>
  <c r="F972" i="31"/>
  <c r="H971" i="31"/>
  <c r="E971" i="31"/>
  <c r="D971" i="31"/>
  <c r="C971" i="31"/>
  <c r="B971" i="31" s="1"/>
  <c r="H970" i="31"/>
  <c r="E970" i="31"/>
  <c r="E972" i="31" s="1"/>
  <c r="D970" i="31"/>
  <c r="C970" i="31"/>
  <c r="C972" i="31" s="1"/>
  <c r="J969" i="31"/>
  <c r="I969" i="31"/>
  <c r="G969" i="31"/>
  <c r="F969" i="31"/>
  <c r="H968" i="31"/>
  <c r="E968" i="31"/>
  <c r="D968" i="31"/>
  <c r="C968" i="31"/>
  <c r="B968" i="31" s="1"/>
  <c r="H967" i="31"/>
  <c r="H969" i="31" s="1"/>
  <c r="E967" i="31"/>
  <c r="E969" i="31" s="1"/>
  <c r="D967" i="31"/>
  <c r="D969" i="31" s="1"/>
  <c r="C967" i="31"/>
  <c r="C969" i="31" s="1"/>
  <c r="J966" i="31"/>
  <c r="I966" i="31"/>
  <c r="G966" i="31"/>
  <c r="F966" i="31"/>
  <c r="H965" i="31"/>
  <c r="E965" i="31"/>
  <c r="D965" i="31"/>
  <c r="C965" i="31"/>
  <c r="B965" i="31" s="1"/>
  <c r="H964" i="31"/>
  <c r="H966" i="31" s="1"/>
  <c r="E964" i="31"/>
  <c r="D964" i="31"/>
  <c r="D966" i="31" s="1"/>
  <c r="C964" i="31"/>
  <c r="J963" i="31"/>
  <c r="I963" i="31"/>
  <c r="G963" i="31"/>
  <c r="F963" i="31"/>
  <c r="H962" i="31"/>
  <c r="E962" i="31"/>
  <c r="D962" i="31"/>
  <c r="C962" i="31"/>
  <c r="H961" i="31"/>
  <c r="H963" i="31" s="1"/>
  <c r="E961" i="31"/>
  <c r="E963" i="31" s="1"/>
  <c r="D961" i="31"/>
  <c r="D963" i="31" s="1"/>
  <c r="C961" i="31"/>
  <c r="C963" i="31" s="1"/>
  <c r="J960" i="31"/>
  <c r="I960" i="31"/>
  <c r="G960" i="31"/>
  <c r="F960" i="31"/>
  <c r="H959" i="31"/>
  <c r="E959" i="31"/>
  <c r="D959" i="31"/>
  <c r="C959" i="31"/>
  <c r="B959" i="31"/>
  <c r="H958" i="31"/>
  <c r="E958" i="31"/>
  <c r="E960" i="31" s="1"/>
  <c r="D958" i="31"/>
  <c r="C958" i="31"/>
  <c r="B958" i="31" s="1"/>
  <c r="B960" i="31" s="1"/>
  <c r="J957" i="31"/>
  <c r="I957" i="31"/>
  <c r="G957" i="31"/>
  <c r="F957" i="31"/>
  <c r="H956" i="31"/>
  <c r="E956" i="31"/>
  <c r="D956" i="31"/>
  <c r="C956" i="31"/>
  <c r="B956" i="31" s="1"/>
  <c r="H955" i="31"/>
  <c r="H957" i="31" s="1"/>
  <c r="E955" i="31"/>
  <c r="E957" i="31" s="1"/>
  <c r="D955" i="31"/>
  <c r="D957" i="31" s="1"/>
  <c r="C955" i="31"/>
  <c r="C957" i="31" s="1"/>
  <c r="J954" i="31"/>
  <c r="I954" i="31"/>
  <c r="G954" i="31"/>
  <c r="F954" i="31"/>
  <c r="H953" i="31"/>
  <c r="E953" i="31"/>
  <c r="D953" i="31"/>
  <c r="C953" i="31"/>
  <c r="B953" i="31" s="1"/>
  <c r="H952" i="31"/>
  <c r="E952" i="31"/>
  <c r="D952" i="31"/>
  <c r="C952" i="31"/>
  <c r="J951" i="31"/>
  <c r="I951" i="31"/>
  <c r="G951" i="31"/>
  <c r="F951" i="31"/>
  <c r="H950" i="31"/>
  <c r="E950" i="31"/>
  <c r="D950" i="31"/>
  <c r="C950" i="31"/>
  <c r="H949" i="31"/>
  <c r="H951" i="31" s="1"/>
  <c r="E949" i="31"/>
  <c r="E951" i="31" s="1"/>
  <c r="D949" i="31"/>
  <c r="D951" i="31" s="1"/>
  <c r="C949" i="31"/>
  <c r="C951" i="31" s="1"/>
  <c r="J948" i="31"/>
  <c r="G948" i="31"/>
  <c r="F948" i="31"/>
  <c r="H947" i="31"/>
  <c r="E947" i="31"/>
  <c r="D947" i="31"/>
  <c r="C947" i="31"/>
  <c r="B947" i="31"/>
  <c r="I946" i="31"/>
  <c r="I948" i="31" s="1"/>
  <c r="H946" i="31"/>
  <c r="H948" i="31" s="1"/>
  <c r="E946" i="31"/>
  <c r="E948" i="31" s="1"/>
  <c r="D946" i="31"/>
  <c r="D948" i="31" s="1"/>
  <c r="C946" i="31"/>
  <c r="C948" i="31" s="1"/>
  <c r="B946" i="31"/>
  <c r="B948" i="31" s="1"/>
  <c r="J945" i="31"/>
  <c r="I945" i="31"/>
  <c r="G945" i="31"/>
  <c r="F945" i="31"/>
  <c r="H944" i="31"/>
  <c r="E944" i="31"/>
  <c r="D944" i="31"/>
  <c r="C944" i="31"/>
  <c r="B944" i="31" s="1"/>
  <c r="H943" i="31"/>
  <c r="H945" i="31" s="1"/>
  <c r="E943" i="31"/>
  <c r="D943" i="31"/>
  <c r="D945" i="31" s="1"/>
  <c r="C943" i="31"/>
  <c r="J942" i="31"/>
  <c r="I942" i="31"/>
  <c r="G942" i="31"/>
  <c r="F942" i="31"/>
  <c r="H941" i="31"/>
  <c r="E941" i="31"/>
  <c r="D941" i="31"/>
  <c r="C941" i="31"/>
  <c r="H940" i="31"/>
  <c r="H942" i="31" s="1"/>
  <c r="E940" i="31"/>
  <c r="E942" i="31" s="1"/>
  <c r="D940" i="31"/>
  <c r="D942" i="31" s="1"/>
  <c r="C940" i="31"/>
  <c r="C942" i="31" s="1"/>
  <c r="B940" i="31"/>
  <c r="J939" i="31"/>
  <c r="G939" i="31"/>
  <c r="F939" i="31"/>
  <c r="H938" i="31"/>
  <c r="E938" i="31"/>
  <c r="D938" i="31"/>
  <c r="C938" i="31"/>
  <c r="B938" i="31" s="1"/>
  <c r="I937" i="31"/>
  <c r="H937" i="31" s="1"/>
  <c r="H939" i="31" s="1"/>
  <c r="E937" i="31"/>
  <c r="E939" i="31" s="1"/>
  <c r="D937" i="31"/>
  <c r="D939" i="31" s="1"/>
  <c r="C937" i="31"/>
  <c r="B937" i="31" s="1"/>
  <c r="B939" i="31" s="1"/>
  <c r="J936" i="31"/>
  <c r="G936" i="31"/>
  <c r="F936" i="31"/>
  <c r="H935" i="31"/>
  <c r="E935" i="31"/>
  <c r="D935" i="31"/>
  <c r="C935" i="31"/>
  <c r="B935" i="31" s="1"/>
  <c r="I934" i="31"/>
  <c r="I936" i="31" s="1"/>
  <c r="E934" i="31"/>
  <c r="E936" i="31" s="1"/>
  <c r="D934" i="31"/>
  <c r="D936" i="31" s="1"/>
  <c r="C934" i="31"/>
  <c r="C936" i="31" s="1"/>
  <c r="J933" i="31"/>
  <c r="G933" i="31"/>
  <c r="F933" i="31"/>
  <c r="H932" i="31"/>
  <c r="E932" i="31"/>
  <c r="D932" i="31"/>
  <c r="C932" i="31"/>
  <c r="B932" i="31" s="1"/>
  <c r="I931" i="31"/>
  <c r="H931" i="31" s="1"/>
  <c r="H933" i="31" s="1"/>
  <c r="E931" i="31"/>
  <c r="E933" i="31" s="1"/>
  <c r="D931" i="31"/>
  <c r="D933" i="31" s="1"/>
  <c r="C931" i="31"/>
  <c r="B931" i="31" s="1"/>
  <c r="B933" i="31" s="1"/>
  <c r="J930" i="31"/>
  <c r="G930" i="31"/>
  <c r="F930" i="31"/>
  <c r="H929" i="31"/>
  <c r="E929" i="31"/>
  <c r="D929" i="31"/>
  <c r="C929" i="31"/>
  <c r="B929" i="31" s="1"/>
  <c r="I928" i="31"/>
  <c r="I930" i="31" s="1"/>
  <c r="E928" i="31"/>
  <c r="E930" i="31" s="1"/>
  <c r="D928" i="31"/>
  <c r="D930" i="31" s="1"/>
  <c r="C928" i="31"/>
  <c r="C930" i="31" s="1"/>
  <c r="J927" i="31"/>
  <c r="G927" i="31"/>
  <c r="F927" i="31"/>
  <c r="H926" i="31"/>
  <c r="E926" i="31"/>
  <c r="D926" i="31"/>
  <c r="C926" i="31"/>
  <c r="B926" i="31" s="1"/>
  <c r="I925" i="31"/>
  <c r="H925" i="31" s="1"/>
  <c r="H927" i="31" s="1"/>
  <c r="E925" i="31"/>
  <c r="E927" i="31" s="1"/>
  <c r="D925" i="31"/>
  <c r="D927" i="31" s="1"/>
  <c r="C925" i="31"/>
  <c r="B925" i="31" s="1"/>
  <c r="B927" i="31" s="1"/>
  <c r="J924" i="31"/>
  <c r="I924" i="31"/>
  <c r="G924" i="31"/>
  <c r="F924" i="31"/>
  <c r="H923" i="31"/>
  <c r="E923" i="31"/>
  <c r="D923" i="31"/>
  <c r="C923" i="31"/>
  <c r="B923" i="31" s="1"/>
  <c r="H922" i="31"/>
  <c r="E922" i="31"/>
  <c r="D922" i="31"/>
  <c r="C922" i="31"/>
  <c r="J921" i="31"/>
  <c r="G921" i="31"/>
  <c r="F921" i="31"/>
  <c r="H920" i="31"/>
  <c r="E920" i="31"/>
  <c r="D920" i="31"/>
  <c r="C920" i="31"/>
  <c r="I919" i="31"/>
  <c r="I921" i="31" s="1"/>
  <c r="E919" i="31"/>
  <c r="E921" i="31" s="1"/>
  <c r="D919" i="31"/>
  <c r="D921" i="31" s="1"/>
  <c r="C919" i="31"/>
  <c r="C921" i="31" s="1"/>
  <c r="J918" i="31"/>
  <c r="G918" i="31"/>
  <c r="F918" i="31"/>
  <c r="H917" i="31"/>
  <c r="E917" i="31"/>
  <c r="D917" i="31"/>
  <c r="C917" i="31"/>
  <c r="B917" i="31" s="1"/>
  <c r="I916" i="31"/>
  <c r="I918" i="31" s="1"/>
  <c r="E916" i="31"/>
  <c r="E918" i="31" s="1"/>
  <c r="D916" i="31"/>
  <c r="D918" i="31" s="1"/>
  <c r="C916" i="31"/>
  <c r="C918" i="31" s="1"/>
  <c r="J915" i="31"/>
  <c r="G915" i="31"/>
  <c r="F915" i="31"/>
  <c r="H914" i="31"/>
  <c r="E914" i="31"/>
  <c r="D914" i="31"/>
  <c r="C914" i="31"/>
  <c r="B914" i="31" s="1"/>
  <c r="I913" i="31"/>
  <c r="I915" i="31" s="1"/>
  <c r="E913" i="31"/>
  <c r="E915" i="31" s="1"/>
  <c r="D913" i="31"/>
  <c r="D915" i="31" s="1"/>
  <c r="C913" i="31"/>
  <c r="C915" i="31" s="1"/>
  <c r="J912" i="31"/>
  <c r="G912" i="31"/>
  <c r="F912" i="31"/>
  <c r="H911" i="31"/>
  <c r="E911" i="31"/>
  <c r="D911" i="31"/>
  <c r="C911" i="31"/>
  <c r="B911" i="31" s="1"/>
  <c r="I910" i="31"/>
  <c r="I912" i="31" s="1"/>
  <c r="E910" i="31"/>
  <c r="E912" i="31" s="1"/>
  <c r="D910" i="31"/>
  <c r="D912" i="31" s="1"/>
  <c r="C910" i="31"/>
  <c r="C912" i="31" s="1"/>
  <c r="J909" i="31"/>
  <c r="G909" i="31"/>
  <c r="F909" i="31"/>
  <c r="D909" i="31"/>
  <c r="H908" i="31"/>
  <c r="E908" i="31"/>
  <c r="D908" i="31"/>
  <c r="C908" i="31"/>
  <c r="B908" i="31" s="1"/>
  <c r="I907" i="31"/>
  <c r="I909" i="31" s="1"/>
  <c r="E907" i="31"/>
  <c r="E909" i="31" s="1"/>
  <c r="D907" i="31"/>
  <c r="C907" i="31"/>
  <c r="C909" i="31" s="1"/>
  <c r="J906" i="31"/>
  <c r="G906" i="31"/>
  <c r="F906" i="31"/>
  <c r="D906" i="31"/>
  <c r="H905" i="31"/>
  <c r="E905" i="31"/>
  <c r="D905" i="31"/>
  <c r="C905" i="31"/>
  <c r="B905" i="31" s="1"/>
  <c r="I904" i="31"/>
  <c r="I906" i="31" s="1"/>
  <c r="E904" i="31"/>
  <c r="E906" i="31" s="1"/>
  <c r="D904" i="31"/>
  <c r="C904" i="31"/>
  <c r="C906" i="31" s="1"/>
  <c r="J903" i="31"/>
  <c r="J999" i="31" s="1"/>
  <c r="G903" i="31"/>
  <c r="G999" i="31" s="1"/>
  <c r="F903" i="31"/>
  <c r="F999" i="31" s="1"/>
  <c r="H902" i="31"/>
  <c r="H998" i="31" s="1"/>
  <c r="E902" i="31"/>
  <c r="E998" i="31" s="1"/>
  <c r="D902" i="31"/>
  <c r="D998" i="31" s="1"/>
  <c r="C902" i="31"/>
  <c r="C998" i="31" s="1"/>
  <c r="I901" i="31"/>
  <c r="I997" i="31" s="1"/>
  <c r="E901" i="31"/>
  <c r="E997" i="31" s="1"/>
  <c r="D901" i="31"/>
  <c r="D997" i="31" s="1"/>
  <c r="C901" i="31"/>
  <c r="C997" i="31" s="1"/>
  <c r="J897" i="31"/>
  <c r="G897" i="31"/>
  <c r="F897" i="31"/>
  <c r="G896" i="31"/>
  <c r="F896" i="31"/>
  <c r="G895" i="31"/>
  <c r="F895" i="31"/>
  <c r="H894" i="31"/>
  <c r="E894" i="31"/>
  <c r="D894" i="31"/>
  <c r="C894" i="31"/>
  <c r="B894" i="31"/>
  <c r="J893" i="31"/>
  <c r="J895" i="31" s="1"/>
  <c r="I893" i="31"/>
  <c r="H893" i="31" s="1"/>
  <c r="H895" i="31" s="1"/>
  <c r="E893" i="31"/>
  <c r="E895" i="31" s="1"/>
  <c r="D893" i="31"/>
  <c r="D895" i="31" s="1"/>
  <c r="C893" i="31"/>
  <c r="B893" i="31" s="1"/>
  <c r="B895" i="31" s="1"/>
  <c r="I892" i="31"/>
  <c r="G892" i="31"/>
  <c r="F892" i="31"/>
  <c r="H891" i="31"/>
  <c r="E891" i="31"/>
  <c r="D891" i="31"/>
  <c r="C891" i="31"/>
  <c r="B891" i="31" s="1"/>
  <c r="J890" i="31"/>
  <c r="H890" i="31" s="1"/>
  <c r="H892" i="31" s="1"/>
  <c r="E890" i="31"/>
  <c r="E892" i="31" s="1"/>
  <c r="C890" i="31"/>
  <c r="C892" i="31" s="1"/>
  <c r="I889" i="31"/>
  <c r="G889" i="31"/>
  <c r="F889" i="31"/>
  <c r="H888" i="31"/>
  <c r="E888" i="31"/>
  <c r="D888" i="31"/>
  <c r="C888" i="31"/>
  <c r="B888" i="31" s="1"/>
  <c r="J887" i="31"/>
  <c r="H887" i="31" s="1"/>
  <c r="H889" i="31" s="1"/>
  <c r="E887" i="31"/>
  <c r="E889" i="31" s="1"/>
  <c r="C887" i="31"/>
  <c r="C889" i="31" s="1"/>
  <c r="I886" i="31"/>
  <c r="G886" i="31"/>
  <c r="F886" i="31"/>
  <c r="H885" i="31"/>
  <c r="E885" i="31"/>
  <c r="D885" i="31"/>
  <c r="C885" i="31"/>
  <c r="B885" i="31" s="1"/>
  <c r="J884" i="31"/>
  <c r="H884" i="31" s="1"/>
  <c r="H886" i="31" s="1"/>
  <c r="E884" i="31"/>
  <c r="E886" i="31" s="1"/>
  <c r="C884" i="31"/>
  <c r="C886" i="31" s="1"/>
  <c r="I883" i="31"/>
  <c r="G883" i="31"/>
  <c r="F883" i="31"/>
  <c r="H882" i="31"/>
  <c r="E882" i="31"/>
  <c r="D882" i="31"/>
  <c r="C882" i="31"/>
  <c r="J881" i="31"/>
  <c r="H881" i="31" s="1"/>
  <c r="H883" i="31" s="1"/>
  <c r="E881" i="31"/>
  <c r="E883" i="31" s="1"/>
  <c r="C881" i="31"/>
  <c r="C883" i="31" s="1"/>
  <c r="J880" i="31"/>
  <c r="G880" i="31"/>
  <c r="F880" i="31"/>
  <c r="H879" i="31"/>
  <c r="E879" i="31"/>
  <c r="D879" i="31"/>
  <c r="C879" i="31"/>
  <c r="B879" i="31" s="1"/>
  <c r="I878" i="31"/>
  <c r="I880" i="31" s="1"/>
  <c r="E878" i="31"/>
  <c r="E880" i="31" s="1"/>
  <c r="D878" i="31"/>
  <c r="D880" i="31" s="1"/>
  <c r="C878" i="31"/>
  <c r="C880" i="31" s="1"/>
  <c r="J877" i="31"/>
  <c r="G877" i="31"/>
  <c r="G898" i="31" s="1"/>
  <c r="F877" i="31"/>
  <c r="F898" i="31" s="1"/>
  <c r="I876" i="31"/>
  <c r="I897" i="31" s="1"/>
  <c r="E876" i="31"/>
  <c r="E897" i="31" s="1"/>
  <c r="D876" i="31"/>
  <c r="D897" i="31" s="1"/>
  <c r="C876" i="31"/>
  <c r="C897" i="31" s="1"/>
  <c r="I875" i="31"/>
  <c r="I896" i="31" s="1"/>
  <c r="E875" i="31"/>
  <c r="E896" i="31" s="1"/>
  <c r="D875" i="31"/>
  <c r="C875" i="31"/>
  <c r="C896" i="31" s="1"/>
  <c r="J871" i="31"/>
  <c r="I871" i="31"/>
  <c r="G871" i="31"/>
  <c r="F871" i="31"/>
  <c r="I870" i="31"/>
  <c r="G870" i="31"/>
  <c r="F870" i="31"/>
  <c r="J869" i="31"/>
  <c r="I869" i="31"/>
  <c r="G869" i="31"/>
  <c r="F869" i="31"/>
  <c r="H868" i="31"/>
  <c r="E868" i="31"/>
  <c r="D868" i="31"/>
  <c r="C868" i="31"/>
  <c r="B868" i="31" s="1"/>
  <c r="H867" i="31"/>
  <c r="H869" i="31" s="1"/>
  <c r="E867" i="31"/>
  <c r="E869" i="31" s="1"/>
  <c r="D867" i="31"/>
  <c r="D869" i="31" s="1"/>
  <c r="C867" i="31"/>
  <c r="C869" i="31" s="1"/>
  <c r="J866" i="31"/>
  <c r="I866" i="31"/>
  <c r="G866" i="31"/>
  <c r="F866" i="31"/>
  <c r="H865" i="31"/>
  <c r="E865" i="31"/>
  <c r="D865" i="31"/>
  <c r="C865" i="31"/>
  <c r="B865" i="31"/>
  <c r="H864" i="31"/>
  <c r="E864" i="31"/>
  <c r="E866" i="31" s="1"/>
  <c r="D864" i="31"/>
  <c r="C864" i="31"/>
  <c r="B864" i="31" s="1"/>
  <c r="B866" i="31" s="1"/>
  <c r="J863" i="31"/>
  <c r="I863" i="31"/>
  <c r="G863" i="31"/>
  <c r="F863" i="31"/>
  <c r="H862" i="31"/>
  <c r="E862" i="31"/>
  <c r="D862" i="31"/>
  <c r="C862" i="31"/>
  <c r="B862" i="31" s="1"/>
  <c r="H861" i="31"/>
  <c r="H863" i="31" s="1"/>
  <c r="E861" i="31"/>
  <c r="E863" i="31" s="1"/>
  <c r="D861" i="31"/>
  <c r="D863" i="31" s="1"/>
  <c r="C861" i="31"/>
  <c r="C863" i="31" s="1"/>
  <c r="J860" i="31"/>
  <c r="I860" i="31"/>
  <c r="G860" i="31"/>
  <c r="F860" i="31"/>
  <c r="H859" i="31"/>
  <c r="E859" i="31"/>
  <c r="D859" i="31"/>
  <c r="C859" i="31"/>
  <c r="B859" i="31" s="1"/>
  <c r="H858" i="31"/>
  <c r="E858" i="31"/>
  <c r="E860" i="31" s="1"/>
  <c r="D858" i="31"/>
  <c r="C858" i="31"/>
  <c r="I857" i="31"/>
  <c r="G857" i="31"/>
  <c r="F857" i="31"/>
  <c r="H856" i="31"/>
  <c r="E856" i="31"/>
  <c r="D856" i="31"/>
  <c r="C856" i="31"/>
  <c r="J855" i="31"/>
  <c r="H855" i="31" s="1"/>
  <c r="H857" i="31" s="1"/>
  <c r="E855" i="31"/>
  <c r="E857" i="31" s="1"/>
  <c r="C855" i="31"/>
  <c r="C857" i="31" s="1"/>
  <c r="I854" i="31"/>
  <c r="G854" i="31"/>
  <c r="F854" i="31"/>
  <c r="H853" i="31"/>
  <c r="E853" i="31"/>
  <c r="D853" i="31"/>
  <c r="C853" i="31"/>
  <c r="J852" i="31"/>
  <c r="H852" i="31" s="1"/>
  <c r="H854" i="31" s="1"/>
  <c r="E852" i="31"/>
  <c r="E854" i="31" s="1"/>
  <c r="C852" i="31"/>
  <c r="C854" i="31" s="1"/>
  <c r="I851" i="31"/>
  <c r="G851" i="31"/>
  <c r="F851" i="31"/>
  <c r="H850" i="31"/>
  <c r="E850" i="31"/>
  <c r="D850" i="31"/>
  <c r="C850" i="31"/>
  <c r="J849" i="31"/>
  <c r="H849" i="31" s="1"/>
  <c r="H851" i="31" s="1"/>
  <c r="E849" i="31"/>
  <c r="E851" i="31" s="1"/>
  <c r="C849" i="31"/>
  <c r="C851" i="31" s="1"/>
  <c r="I848" i="31"/>
  <c r="I872" i="31" s="1"/>
  <c r="G848" i="31"/>
  <c r="G872" i="31" s="1"/>
  <c r="F848" i="31"/>
  <c r="F872" i="31" s="1"/>
  <c r="H847" i="31"/>
  <c r="H871" i="31" s="1"/>
  <c r="E847" i="31"/>
  <c r="E871" i="31" s="1"/>
  <c r="D847" i="31"/>
  <c r="D871" i="31" s="1"/>
  <c r="C847" i="31"/>
  <c r="C871" i="31" s="1"/>
  <c r="J846" i="31"/>
  <c r="J870" i="31" s="1"/>
  <c r="E846" i="31"/>
  <c r="E848" i="31" s="1"/>
  <c r="E872" i="31" s="1"/>
  <c r="C846" i="31"/>
  <c r="C848" i="31" s="1"/>
  <c r="J842" i="31"/>
  <c r="I842" i="31"/>
  <c r="G842" i="31"/>
  <c r="F842" i="31"/>
  <c r="G841" i="31"/>
  <c r="F841" i="31"/>
  <c r="J840" i="31"/>
  <c r="I840" i="31"/>
  <c r="H840" i="31" s="1"/>
  <c r="G840" i="31"/>
  <c r="D840" i="31" s="1"/>
  <c r="F840" i="31"/>
  <c r="E840" i="31"/>
  <c r="C840" i="31"/>
  <c r="H839" i="31"/>
  <c r="E839" i="31"/>
  <c r="D839" i="31"/>
  <c r="C839" i="31"/>
  <c r="B839" i="31" s="1"/>
  <c r="H838" i="31"/>
  <c r="E838" i="31"/>
  <c r="D838" i="31"/>
  <c r="C838" i="31"/>
  <c r="B838" i="31" s="1"/>
  <c r="J837" i="31"/>
  <c r="I837" i="31"/>
  <c r="H837" i="31" s="1"/>
  <c r="G837" i="31"/>
  <c r="F837" i="31"/>
  <c r="D837" i="31"/>
  <c r="H836" i="31"/>
  <c r="E836" i="31"/>
  <c r="D836" i="31"/>
  <c r="C836" i="31"/>
  <c r="B836" i="31" s="1"/>
  <c r="H835" i="31"/>
  <c r="E835" i="31"/>
  <c r="D835" i="31"/>
  <c r="C835" i="31"/>
  <c r="B835" i="31" s="1"/>
  <c r="G834" i="31"/>
  <c r="F834" i="31"/>
  <c r="E834" i="31" s="1"/>
  <c r="H833" i="31"/>
  <c r="E833" i="31"/>
  <c r="D833" i="31"/>
  <c r="C833" i="31"/>
  <c r="J832" i="31"/>
  <c r="J834" i="31" s="1"/>
  <c r="D834" i="31" s="1"/>
  <c r="I832" i="31"/>
  <c r="E832" i="31"/>
  <c r="C832" i="31"/>
  <c r="J831" i="31"/>
  <c r="I831" i="31"/>
  <c r="H831" i="31" s="1"/>
  <c r="G831" i="31"/>
  <c r="F831" i="31"/>
  <c r="D831" i="31"/>
  <c r="H830" i="31"/>
  <c r="E830" i="31"/>
  <c r="D830" i="31"/>
  <c r="C830" i="31"/>
  <c r="H829" i="31"/>
  <c r="E829" i="31"/>
  <c r="D829" i="31"/>
  <c r="C829" i="31"/>
  <c r="J828" i="31"/>
  <c r="G828" i="31"/>
  <c r="F828" i="31"/>
  <c r="E828" i="31" s="1"/>
  <c r="H827" i="31"/>
  <c r="E827" i="31"/>
  <c r="D827" i="31"/>
  <c r="C827" i="31"/>
  <c r="B827" i="31"/>
  <c r="I826" i="31"/>
  <c r="I841" i="31" s="1"/>
  <c r="H826" i="31"/>
  <c r="E826" i="31"/>
  <c r="D826" i="31"/>
  <c r="C826" i="31"/>
  <c r="B826" i="31"/>
  <c r="J825" i="31"/>
  <c r="I825" i="31"/>
  <c r="H825" i="31" s="1"/>
  <c r="G825" i="31"/>
  <c r="D825" i="31" s="1"/>
  <c r="F825" i="31"/>
  <c r="E825" i="31" s="1"/>
  <c r="C825" i="31"/>
  <c r="B825" i="31" s="1"/>
  <c r="H824" i="31"/>
  <c r="E824" i="31"/>
  <c r="D824" i="31"/>
  <c r="C824" i="31"/>
  <c r="B824" i="31" s="1"/>
  <c r="H823" i="31"/>
  <c r="E823" i="31"/>
  <c r="D823" i="31"/>
  <c r="C823" i="31"/>
  <c r="B823" i="31" s="1"/>
  <c r="J822" i="31"/>
  <c r="I822" i="31"/>
  <c r="H822" i="31" s="1"/>
  <c r="G822" i="31"/>
  <c r="F822" i="31"/>
  <c r="D822" i="31"/>
  <c r="H821" i="31"/>
  <c r="E821" i="31"/>
  <c r="D821" i="31"/>
  <c r="C821" i="31"/>
  <c r="B821" i="31" s="1"/>
  <c r="H820" i="31"/>
  <c r="E820" i="31"/>
  <c r="D820" i="31"/>
  <c r="C820" i="31"/>
  <c r="B820" i="31" s="1"/>
  <c r="I819" i="31"/>
  <c r="G819" i="31"/>
  <c r="G843" i="31" s="1"/>
  <c r="F819" i="31"/>
  <c r="F843" i="31" s="1"/>
  <c r="H818" i="31"/>
  <c r="H842" i="31" s="1"/>
  <c r="E818" i="31"/>
  <c r="E842" i="31" s="1"/>
  <c r="D818" i="31"/>
  <c r="D842" i="31" s="1"/>
  <c r="C818" i="31"/>
  <c r="C842" i="31" s="1"/>
  <c r="B818" i="31"/>
  <c r="J817" i="31"/>
  <c r="J819" i="31" s="1"/>
  <c r="E817" i="31"/>
  <c r="E841" i="31" s="1"/>
  <c r="C817" i="31"/>
  <c r="C841" i="31" s="1"/>
  <c r="J813" i="31"/>
  <c r="I813" i="31"/>
  <c r="G813" i="31"/>
  <c r="F813" i="31"/>
  <c r="F812" i="31"/>
  <c r="I811" i="31"/>
  <c r="G811" i="31"/>
  <c r="F811" i="31"/>
  <c r="H810" i="31"/>
  <c r="E810" i="31"/>
  <c r="D810" i="31"/>
  <c r="C810" i="31"/>
  <c r="J809" i="31"/>
  <c r="H809" i="31" s="1"/>
  <c r="H811" i="31" s="1"/>
  <c r="E809" i="31"/>
  <c r="E811" i="31" s="1"/>
  <c r="C809" i="31"/>
  <c r="C811" i="31" s="1"/>
  <c r="J808" i="31"/>
  <c r="I808" i="31"/>
  <c r="G808" i="31"/>
  <c r="F808" i="31"/>
  <c r="H807" i="31"/>
  <c r="E807" i="31"/>
  <c r="D807" i="31"/>
  <c r="C807" i="31"/>
  <c r="B807" i="31" s="1"/>
  <c r="H806" i="31"/>
  <c r="H808" i="31" s="1"/>
  <c r="E806" i="31"/>
  <c r="E808" i="31" s="1"/>
  <c r="D806" i="31"/>
  <c r="D808" i="31" s="1"/>
  <c r="C806" i="31"/>
  <c r="C808" i="31" s="1"/>
  <c r="I805" i="31"/>
  <c r="F805" i="31"/>
  <c r="H804" i="31"/>
  <c r="E804" i="31"/>
  <c r="D804" i="31"/>
  <c r="C804" i="31"/>
  <c r="B804" i="31" s="1"/>
  <c r="J803" i="31"/>
  <c r="J805" i="31" s="1"/>
  <c r="G803" i="31"/>
  <c r="G805" i="31" s="1"/>
  <c r="C803" i="31"/>
  <c r="G802" i="31"/>
  <c r="F802" i="31"/>
  <c r="H801" i="31"/>
  <c r="E801" i="31"/>
  <c r="D801" i="31"/>
  <c r="C801" i="31"/>
  <c r="J800" i="31"/>
  <c r="J802" i="31" s="1"/>
  <c r="I800" i="31"/>
  <c r="I802" i="31" s="1"/>
  <c r="E800" i="31"/>
  <c r="E802" i="31" s="1"/>
  <c r="D800" i="31"/>
  <c r="D802" i="31" s="1"/>
  <c r="C800" i="31"/>
  <c r="C802" i="31" s="1"/>
  <c r="J799" i="31"/>
  <c r="I799" i="31"/>
  <c r="G799" i="31"/>
  <c r="F799" i="31"/>
  <c r="H798" i="31"/>
  <c r="E798" i="31"/>
  <c r="D798" i="31"/>
  <c r="C798" i="31"/>
  <c r="H797" i="31"/>
  <c r="H799" i="31" s="1"/>
  <c r="E797" i="31"/>
  <c r="D797" i="31"/>
  <c r="D799" i="31" s="1"/>
  <c r="C797" i="31"/>
  <c r="J796" i="31"/>
  <c r="G796" i="31"/>
  <c r="F796" i="31"/>
  <c r="H795" i="31"/>
  <c r="E795" i="31"/>
  <c r="D795" i="31"/>
  <c r="C795" i="31"/>
  <c r="I794" i="31"/>
  <c r="I796" i="31" s="1"/>
  <c r="E794" i="31"/>
  <c r="E796" i="31" s="1"/>
  <c r="D794" i="31"/>
  <c r="D796" i="31" s="1"/>
  <c r="I793" i="31"/>
  <c r="F793" i="31"/>
  <c r="H792" i="31"/>
  <c r="E792" i="31"/>
  <c r="D792" i="31"/>
  <c r="C792" i="31"/>
  <c r="J791" i="31"/>
  <c r="J812" i="31" s="1"/>
  <c r="G791" i="31"/>
  <c r="G793" i="31" s="1"/>
  <c r="D791" i="31"/>
  <c r="D793" i="31" s="1"/>
  <c r="C791" i="31"/>
  <c r="C793" i="31" s="1"/>
  <c r="B791" i="31"/>
  <c r="J790" i="31"/>
  <c r="I790" i="31"/>
  <c r="G790" i="31"/>
  <c r="F790" i="31"/>
  <c r="F814" i="31" s="1"/>
  <c r="H789" i="31"/>
  <c r="H813" i="31" s="1"/>
  <c r="E789" i="31"/>
  <c r="E813" i="31" s="1"/>
  <c r="D789" i="31"/>
  <c r="D813" i="31" s="1"/>
  <c r="C789" i="31"/>
  <c r="C813" i="31" s="1"/>
  <c r="H788" i="31"/>
  <c r="E788" i="31"/>
  <c r="D788" i="31"/>
  <c r="C788" i="31"/>
  <c r="J784" i="31"/>
  <c r="G784" i="31"/>
  <c r="F784" i="31"/>
  <c r="G783" i="31"/>
  <c r="F783" i="31"/>
  <c r="J782" i="31"/>
  <c r="G782" i="31"/>
  <c r="F782" i="31"/>
  <c r="H781" i="31"/>
  <c r="E781" i="31"/>
  <c r="D781" i="31"/>
  <c r="C781" i="31"/>
  <c r="B781" i="31" s="1"/>
  <c r="I780" i="31"/>
  <c r="I782" i="31" s="1"/>
  <c r="E780" i="31"/>
  <c r="E782" i="31" s="1"/>
  <c r="D780" i="31"/>
  <c r="D782" i="31" s="1"/>
  <c r="C780" i="31"/>
  <c r="C782" i="31" s="1"/>
  <c r="J779" i="31"/>
  <c r="G779" i="31"/>
  <c r="F779" i="31"/>
  <c r="I778" i="31"/>
  <c r="H778" i="31" s="1"/>
  <c r="E778" i="31"/>
  <c r="D778" i="31"/>
  <c r="C778" i="31"/>
  <c r="B778" i="31" s="1"/>
  <c r="I777" i="31"/>
  <c r="H777" i="31" s="1"/>
  <c r="H779" i="31" s="1"/>
  <c r="E777" i="31"/>
  <c r="E779" i="31" s="1"/>
  <c r="D777" i="31"/>
  <c r="D779" i="31" s="1"/>
  <c r="C777" i="31"/>
  <c r="B777" i="31" s="1"/>
  <c r="B779" i="31" s="1"/>
  <c r="J776" i="31"/>
  <c r="G776" i="31"/>
  <c r="F776" i="31"/>
  <c r="H775" i="31"/>
  <c r="E775" i="31"/>
  <c r="D775" i="31"/>
  <c r="C775" i="31"/>
  <c r="B775" i="31" s="1"/>
  <c r="I774" i="31"/>
  <c r="I776" i="31" s="1"/>
  <c r="E774" i="31"/>
  <c r="E776" i="31" s="1"/>
  <c r="D774" i="31"/>
  <c r="D776" i="31" s="1"/>
  <c r="C774" i="31"/>
  <c r="C776" i="31" s="1"/>
  <c r="J773" i="31"/>
  <c r="G773" i="31"/>
  <c r="F773" i="31"/>
  <c r="H772" i="31"/>
  <c r="E772" i="31"/>
  <c r="D772" i="31"/>
  <c r="C772" i="31"/>
  <c r="B772" i="31" s="1"/>
  <c r="I771" i="31"/>
  <c r="I773" i="31" s="1"/>
  <c r="E771" i="31"/>
  <c r="E773" i="31" s="1"/>
  <c r="D771" i="31"/>
  <c r="D773" i="31" s="1"/>
  <c r="C771" i="31"/>
  <c r="C773" i="31" s="1"/>
  <c r="J770" i="31"/>
  <c r="G770" i="31"/>
  <c r="F770" i="31"/>
  <c r="I769" i="31"/>
  <c r="I784" i="31" s="1"/>
  <c r="E769" i="31"/>
  <c r="D769" i="31"/>
  <c r="I768" i="31"/>
  <c r="I783" i="31" s="1"/>
  <c r="E768" i="31"/>
  <c r="E770" i="31" s="1"/>
  <c r="D768" i="31"/>
  <c r="D770" i="31" s="1"/>
  <c r="I767" i="31"/>
  <c r="G767" i="31"/>
  <c r="F767" i="31"/>
  <c r="H766" i="31"/>
  <c r="E766" i="31"/>
  <c r="D766" i="31"/>
  <c r="C766" i="31"/>
  <c r="B766" i="31" s="1"/>
  <c r="J765" i="31"/>
  <c r="J767" i="31" s="1"/>
  <c r="E765" i="31"/>
  <c r="E767" i="31" s="1"/>
  <c r="C765" i="31"/>
  <c r="I764" i="31"/>
  <c r="G764" i="31"/>
  <c r="F764" i="31"/>
  <c r="H763" i="31"/>
  <c r="E763" i="31"/>
  <c r="D763" i="31"/>
  <c r="C763" i="31"/>
  <c r="B763" i="31" s="1"/>
  <c r="J762" i="31"/>
  <c r="J764" i="31" s="1"/>
  <c r="E762" i="31"/>
  <c r="E764" i="31" s="1"/>
  <c r="C762" i="31"/>
  <c r="I761" i="31"/>
  <c r="G761" i="31"/>
  <c r="F761" i="31"/>
  <c r="H760" i="31"/>
  <c r="E760" i="31"/>
  <c r="D760" i="31"/>
  <c r="C760" i="31"/>
  <c r="B760" i="31" s="1"/>
  <c r="J759" i="31"/>
  <c r="J761" i="31" s="1"/>
  <c r="E759" i="31"/>
  <c r="E761" i="31" s="1"/>
  <c r="C759" i="31"/>
  <c r="I758" i="31"/>
  <c r="G758" i="31"/>
  <c r="F758" i="31"/>
  <c r="H757" i="31"/>
  <c r="E757" i="31"/>
  <c r="D757" i="31"/>
  <c r="C757" i="31"/>
  <c r="B757" i="31" s="1"/>
  <c r="J756" i="31"/>
  <c r="J758" i="31" s="1"/>
  <c r="E756" i="31"/>
  <c r="E758" i="31" s="1"/>
  <c r="C756" i="31"/>
  <c r="I755" i="31"/>
  <c r="G755" i="31"/>
  <c r="F755" i="31"/>
  <c r="H754" i="31"/>
  <c r="E754" i="31"/>
  <c r="D754" i="31"/>
  <c r="C754" i="31"/>
  <c r="B754" i="31" s="1"/>
  <c r="J753" i="31"/>
  <c r="J755" i="31" s="1"/>
  <c r="E753" i="31"/>
  <c r="E755" i="31" s="1"/>
  <c r="C753" i="31"/>
  <c r="C755" i="31" s="1"/>
  <c r="I752" i="31"/>
  <c r="G752" i="31"/>
  <c r="G785" i="31" s="1"/>
  <c r="F752" i="31"/>
  <c r="F785" i="31" s="1"/>
  <c r="H751" i="31"/>
  <c r="E751" i="31"/>
  <c r="E784" i="31" s="1"/>
  <c r="D751" i="31"/>
  <c r="D784" i="31" s="1"/>
  <c r="C751" i="31"/>
  <c r="J750" i="31"/>
  <c r="J752" i="31" s="1"/>
  <c r="J785" i="31" s="1"/>
  <c r="E750" i="31"/>
  <c r="E783" i="31" s="1"/>
  <c r="C750" i="31"/>
  <c r="J746" i="31"/>
  <c r="I746" i="31"/>
  <c r="G746" i="31"/>
  <c r="F746" i="31"/>
  <c r="J745" i="31"/>
  <c r="G745" i="31"/>
  <c r="F745" i="31"/>
  <c r="J744" i="31"/>
  <c r="I744" i="31"/>
  <c r="G744" i="31"/>
  <c r="F744" i="31"/>
  <c r="H743" i="31"/>
  <c r="E743" i="31"/>
  <c r="D743" i="31"/>
  <c r="C743" i="31"/>
  <c r="B743" i="31" s="1"/>
  <c r="H742" i="31"/>
  <c r="H744" i="31" s="1"/>
  <c r="E742" i="31"/>
  <c r="E744" i="31" s="1"/>
  <c r="D742" i="31"/>
  <c r="D744" i="31" s="1"/>
  <c r="C742" i="31"/>
  <c r="C744" i="31" s="1"/>
  <c r="J741" i="31"/>
  <c r="I741" i="31"/>
  <c r="G741" i="31"/>
  <c r="F741" i="31"/>
  <c r="H740" i="31"/>
  <c r="E740" i="31"/>
  <c r="D740" i="31"/>
  <c r="C740" i="31"/>
  <c r="B740" i="31" s="1"/>
  <c r="H739" i="31"/>
  <c r="E739" i="31"/>
  <c r="E741" i="31" s="1"/>
  <c r="D739" i="31"/>
  <c r="C739" i="31"/>
  <c r="B739" i="31" s="1"/>
  <c r="J738" i="31"/>
  <c r="G738" i="31"/>
  <c r="F738" i="31"/>
  <c r="H737" i="31"/>
  <c r="E737" i="31"/>
  <c r="D737" i="31"/>
  <c r="C737" i="31"/>
  <c r="I736" i="31"/>
  <c r="I738" i="31" s="1"/>
  <c r="E736" i="31"/>
  <c r="E738" i="31" s="1"/>
  <c r="D736" i="31"/>
  <c r="D738" i="31" s="1"/>
  <c r="J735" i="31"/>
  <c r="I735" i="31"/>
  <c r="G735" i="31"/>
  <c r="F735" i="31"/>
  <c r="H734" i="31"/>
  <c r="E734" i="31"/>
  <c r="D734" i="31"/>
  <c r="C734" i="31"/>
  <c r="H733" i="31"/>
  <c r="H735" i="31" s="1"/>
  <c r="E733" i="31"/>
  <c r="E735" i="31" s="1"/>
  <c r="D733" i="31"/>
  <c r="D735" i="31" s="1"/>
  <c r="C733" i="31"/>
  <c r="C735" i="31" s="1"/>
  <c r="B733" i="31"/>
  <c r="J732" i="31"/>
  <c r="G732" i="31"/>
  <c r="F732" i="31"/>
  <c r="H731" i="31"/>
  <c r="E731" i="31"/>
  <c r="D731" i="31"/>
  <c r="C731" i="31"/>
  <c r="B731" i="31"/>
  <c r="I730" i="31"/>
  <c r="H730" i="31"/>
  <c r="H732" i="31" s="1"/>
  <c r="E730" i="31"/>
  <c r="E732" i="31" s="1"/>
  <c r="D730" i="31"/>
  <c r="D732" i="31" s="1"/>
  <c r="C730" i="31"/>
  <c r="C732" i="31" s="1"/>
  <c r="B730" i="31"/>
  <c r="B732" i="31" s="1"/>
  <c r="J729" i="31"/>
  <c r="I729" i="31"/>
  <c r="G729" i="31"/>
  <c r="F729" i="31"/>
  <c r="H728" i="31"/>
  <c r="E728" i="31"/>
  <c r="D728" i="31"/>
  <c r="C728" i="31"/>
  <c r="B728" i="31" s="1"/>
  <c r="H727" i="31"/>
  <c r="H729" i="31" s="1"/>
  <c r="E727" i="31"/>
  <c r="D727" i="31"/>
  <c r="D729" i="31" s="1"/>
  <c r="C727" i="31"/>
  <c r="J726" i="31"/>
  <c r="I726" i="31"/>
  <c r="G726" i="31"/>
  <c r="F726" i="31"/>
  <c r="H725" i="31"/>
  <c r="E725" i="31"/>
  <c r="D725" i="31"/>
  <c r="C725" i="31"/>
  <c r="H724" i="31"/>
  <c r="H726" i="31" s="1"/>
  <c r="E724" i="31"/>
  <c r="E726" i="31" s="1"/>
  <c r="D724" i="31"/>
  <c r="D726" i="31" s="1"/>
  <c r="C724" i="31"/>
  <c r="C726" i="31" s="1"/>
  <c r="B724" i="31"/>
  <c r="J723" i="31"/>
  <c r="I723" i="31"/>
  <c r="G723" i="31"/>
  <c r="F723" i="31"/>
  <c r="H722" i="31"/>
  <c r="E722" i="31"/>
  <c r="D722" i="31"/>
  <c r="C722" i="31"/>
  <c r="B722" i="31" s="1"/>
  <c r="H721" i="31"/>
  <c r="H723" i="31" s="1"/>
  <c r="E721" i="31"/>
  <c r="D721" i="31"/>
  <c r="D723" i="31" s="1"/>
  <c r="C721" i="31"/>
  <c r="J720" i="31"/>
  <c r="J747" i="31" s="1"/>
  <c r="I720" i="31"/>
  <c r="G720" i="31"/>
  <c r="G747" i="31" s="1"/>
  <c r="F720" i="31"/>
  <c r="H719" i="31"/>
  <c r="H746" i="31" s="1"/>
  <c r="E719" i="31"/>
  <c r="D719" i="31"/>
  <c r="D746" i="31" s="1"/>
  <c r="C719" i="31"/>
  <c r="H718" i="31"/>
  <c r="E718" i="31"/>
  <c r="E720" i="31" s="1"/>
  <c r="D718" i="31"/>
  <c r="D745" i="31" s="1"/>
  <c r="C718" i="31"/>
  <c r="C720" i="31" s="1"/>
  <c r="B718" i="31"/>
  <c r="J714" i="31"/>
  <c r="G714" i="31"/>
  <c r="F714" i="31"/>
  <c r="F713" i="31"/>
  <c r="J712" i="31"/>
  <c r="I712" i="31"/>
  <c r="H712" i="31" s="1"/>
  <c r="G712" i="31"/>
  <c r="D712" i="31" s="1"/>
  <c r="F712" i="31"/>
  <c r="E712" i="31" s="1"/>
  <c r="C712" i="31"/>
  <c r="H711" i="31"/>
  <c r="E711" i="31"/>
  <c r="D711" i="31"/>
  <c r="C711" i="31"/>
  <c r="B711" i="31" s="1"/>
  <c r="H710" i="31"/>
  <c r="E710" i="31"/>
  <c r="D710" i="31"/>
  <c r="C710" i="31"/>
  <c r="B710" i="31" s="1"/>
  <c r="J709" i="31"/>
  <c r="I709" i="31"/>
  <c r="G709" i="31"/>
  <c r="D709" i="31" s="1"/>
  <c r="F709" i="31"/>
  <c r="E709" i="31"/>
  <c r="C709" i="31"/>
  <c r="H708" i="31"/>
  <c r="E708" i="31"/>
  <c r="D708" i="31"/>
  <c r="C708" i="31"/>
  <c r="H707" i="31"/>
  <c r="E707" i="31"/>
  <c r="D707" i="31"/>
  <c r="C707" i="31"/>
  <c r="J706" i="31"/>
  <c r="D706" i="31" s="1"/>
  <c r="I706" i="31"/>
  <c r="H706" i="31"/>
  <c r="G706" i="31"/>
  <c r="F706" i="31"/>
  <c r="E706" i="31" s="1"/>
  <c r="H705" i="31"/>
  <c r="E705" i="31"/>
  <c r="D705" i="31"/>
  <c r="C705" i="31"/>
  <c r="H704" i="31"/>
  <c r="E704" i="31"/>
  <c r="D704" i="31"/>
  <c r="C704" i="31"/>
  <c r="J703" i="31"/>
  <c r="I703" i="31"/>
  <c r="G703" i="31"/>
  <c r="F703" i="31"/>
  <c r="E703" i="31"/>
  <c r="C703" i="31"/>
  <c r="H702" i="31"/>
  <c r="E702" i="31"/>
  <c r="D702" i="31"/>
  <c r="C702" i="31"/>
  <c r="H701" i="31"/>
  <c r="E701" i="31"/>
  <c r="D701" i="31"/>
  <c r="C701" i="31"/>
  <c r="J700" i="31"/>
  <c r="D700" i="31" s="1"/>
  <c r="I700" i="31"/>
  <c r="H700" i="31"/>
  <c r="G700" i="31"/>
  <c r="F700" i="31"/>
  <c r="E700" i="31" s="1"/>
  <c r="H699" i="31"/>
  <c r="E699" i="31"/>
  <c r="D699" i="31"/>
  <c r="C699" i="31"/>
  <c r="H698" i="31"/>
  <c r="E698" i="31"/>
  <c r="D698" i="31"/>
  <c r="C698" i="31"/>
  <c r="B698" i="31" s="1"/>
  <c r="J697" i="31"/>
  <c r="G697" i="31"/>
  <c r="F697" i="31"/>
  <c r="E697" i="31" s="1"/>
  <c r="H696" i="31"/>
  <c r="E696" i="31"/>
  <c r="D696" i="31"/>
  <c r="C696" i="31"/>
  <c r="I695" i="31"/>
  <c r="I697" i="31" s="1"/>
  <c r="E695" i="31"/>
  <c r="D695" i="31"/>
  <c r="J694" i="31"/>
  <c r="G694" i="31"/>
  <c r="F694" i="31"/>
  <c r="E694" i="31" s="1"/>
  <c r="I693" i="31"/>
  <c r="I714" i="31" s="1"/>
  <c r="E693" i="31"/>
  <c r="D693" i="31"/>
  <c r="I692" i="31"/>
  <c r="H692" i="31" s="1"/>
  <c r="E692" i="31"/>
  <c r="D692" i="31"/>
  <c r="J691" i="31"/>
  <c r="I691" i="31"/>
  <c r="H691" i="31" s="1"/>
  <c r="G691" i="31"/>
  <c r="F691" i="31"/>
  <c r="H690" i="31"/>
  <c r="E690" i="31"/>
  <c r="D690" i="31"/>
  <c r="C690" i="31"/>
  <c r="H689" i="31"/>
  <c r="E689" i="31"/>
  <c r="D689" i="31"/>
  <c r="C689" i="31"/>
  <c r="B689" i="31"/>
  <c r="J688" i="31"/>
  <c r="I688" i="31"/>
  <c r="H688" i="31" s="1"/>
  <c r="G688" i="31"/>
  <c r="D688" i="31" s="1"/>
  <c r="F688" i="31"/>
  <c r="E688" i="31" s="1"/>
  <c r="H687" i="31"/>
  <c r="E687" i="31"/>
  <c r="D687" i="31"/>
  <c r="C687" i="31"/>
  <c r="H686" i="31"/>
  <c r="E686" i="31"/>
  <c r="D686" i="31"/>
  <c r="C686" i="31"/>
  <c r="F685" i="31"/>
  <c r="H684" i="31"/>
  <c r="E684" i="31"/>
  <c r="D684" i="31"/>
  <c r="C684" i="31"/>
  <c r="B684" i="31" s="1"/>
  <c r="J683" i="31"/>
  <c r="I683" i="31"/>
  <c r="I685" i="31" s="1"/>
  <c r="G683" i="31"/>
  <c r="G685" i="31" s="1"/>
  <c r="C683" i="31"/>
  <c r="I682" i="31"/>
  <c r="F682" i="31"/>
  <c r="H681" i="31"/>
  <c r="E681" i="31"/>
  <c r="D681" i="31"/>
  <c r="C681" i="31"/>
  <c r="B681" i="31" s="1"/>
  <c r="J680" i="31"/>
  <c r="H680" i="31" s="1"/>
  <c r="G680" i="31"/>
  <c r="G682" i="31" s="1"/>
  <c r="C680" i="31"/>
  <c r="I679" i="31"/>
  <c r="F679" i="31"/>
  <c r="C679" i="31"/>
  <c r="H678" i="31"/>
  <c r="E678" i="31"/>
  <c r="D678" i="31"/>
  <c r="C678" i="31"/>
  <c r="B678" i="31" s="1"/>
  <c r="J677" i="31"/>
  <c r="J679" i="31" s="1"/>
  <c r="G677" i="31"/>
  <c r="G679" i="31" s="1"/>
  <c r="E679" i="31" s="1"/>
  <c r="C677" i="31"/>
  <c r="J676" i="31"/>
  <c r="I676" i="31"/>
  <c r="H676" i="31" s="1"/>
  <c r="G676" i="31"/>
  <c r="F676" i="31"/>
  <c r="H675" i="31"/>
  <c r="E675" i="31"/>
  <c r="D675" i="31"/>
  <c r="C675" i="31"/>
  <c r="H674" i="31"/>
  <c r="E674" i="31"/>
  <c r="D674" i="31"/>
  <c r="C674" i="31"/>
  <c r="B674" i="31"/>
  <c r="F673" i="31"/>
  <c r="H672" i="31"/>
  <c r="E672" i="31"/>
  <c r="D672" i="31"/>
  <c r="C672" i="31"/>
  <c r="B672" i="31"/>
  <c r="J671" i="31"/>
  <c r="J673" i="31" s="1"/>
  <c r="I671" i="31"/>
  <c r="H671" i="31" s="1"/>
  <c r="G671" i="31"/>
  <c r="E671" i="31" s="1"/>
  <c r="D671" i="31"/>
  <c r="G670" i="31"/>
  <c r="F670" i="31"/>
  <c r="E670" i="31" s="1"/>
  <c r="H669" i="31"/>
  <c r="E669" i="31"/>
  <c r="D669" i="31"/>
  <c r="C669" i="31"/>
  <c r="B669" i="31" s="1"/>
  <c r="J668" i="31"/>
  <c r="J670" i="31" s="1"/>
  <c r="D670" i="31" s="1"/>
  <c r="I668" i="31"/>
  <c r="E668" i="31"/>
  <c r="I667" i="31"/>
  <c r="G667" i="31"/>
  <c r="F667" i="31"/>
  <c r="F715" i="31" s="1"/>
  <c r="H666" i="31"/>
  <c r="E666" i="31"/>
  <c r="E714" i="31" s="1"/>
  <c r="D666" i="31"/>
  <c r="C666" i="31"/>
  <c r="J665" i="31"/>
  <c r="J713" i="31" s="1"/>
  <c r="E665" i="31"/>
  <c r="C665" i="31"/>
  <c r="F661" i="31"/>
  <c r="F660" i="31"/>
  <c r="J659" i="31"/>
  <c r="I659" i="31"/>
  <c r="G659" i="31"/>
  <c r="D659" i="31" s="1"/>
  <c r="F659" i="31"/>
  <c r="E659" i="31"/>
  <c r="C659" i="31"/>
  <c r="H658" i="31"/>
  <c r="E658" i="31"/>
  <c r="D658" i="31"/>
  <c r="C658" i="31"/>
  <c r="B658" i="31"/>
  <c r="H657" i="31"/>
  <c r="E657" i="31"/>
  <c r="D657" i="31"/>
  <c r="C657" i="31"/>
  <c r="B657" i="31" s="1"/>
  <c r="J656" i="31"/>
  <c r="I656" i="31"/>
  <c r="H656" i="31" s="1"/>
  <c r="G656" i="31"/>
  <c r="F656" i="31"/>
  <c r="H655" i="31"/>
  <c r="E655" i="31"/>
  <c r="D655" i="31"/>
  <c r="C655" i="31"/>
  <c r="H654" i="31"/>
  <c r="E654" i="31"/>
  <c r="D654" i="31"/>
  <c r="C654" i="31"/>
  <c r="J653" i="31"/>
  <c r="D653" i="31" s="1"/>
  <c r="I653" i="31"/>
  <c r="H653" i="31"/>
  <c r="G653" i="31"/>
  <c r="F653" i="31"/>
  <c r="E653" i="31" s="1"/>
  <c r="H652" i="31"/>
  <c r="E652" i="31"/>
  <c r="D652" i="31"/>
  <c r="C652" i="31"/>
  <c r="H651" i="31"/>
  <c r="E651" i="31"/>
  <c r="D651" i="31"/>
  <c r="C651" i="31"/>
  <c r="B651" i="31" s="1"/>
  <c r="J650" i="31"/>
  <c r="I650" i="31"/>
  <c r="G650" i="31"/>
  <c r="D650" i="31" s="1"/>
  <c r="F650" i="31"/>
  <c r="C650" i="31"/>
  <c r="H649" i="31"/>
  <c r="E649" i="31"/>
  <c r="D649" i="31"/>
  <c r="C649" i="31"/>
  <c r="B649" i="31" s="1"/>
  <c r="H648" i="31"/>
  <c r="E648" i="31"/>
  <c r="D648" i="31"/>
  <c r="C648" i="31"/>
  <c r="I647" i="31"/>
  <c r="F647" i="31"/>
  <c r="J646" i="31"/>
  <c r="J661" i="31" s="1"/>
  <c r="G646" i="31"/>
  <c r="G661" i="31" s="1"/>
  <c r="D646" i="31"/>
  <c r="C646" i="31"/>
  <c r="J645" i="31"/>
  <c r="H645" i="31" s="1"/>
  <c r="E645" i="31"/>
  <c r="C645" i="31"/>
  <c r="I644" i="31"/>
  <c r="G644" i="31"/>
  <c r="F644" i="31"/>
  <c r="H643" i="31"/>
  <c r="E643" i="31"/>
  <c r="D643" i="31"/>
  <c r="C643" i="31"/>
  <c r="J642" i="31"/>
  <c r="H642" i="31" s="1"/>
  <c r="E642" i="31"/>
  <c r="C642" i="31"/>
  <c r="J641" i="31"/>
  <c r="I641" i="31"/>
  <c r="G641" i="31"/>
  <c r="F641" i="31"/>
  <c r="D641" i="31"/>
  <c r="H640" i="31"/>
  <c r="E640" i="31"/>
  <c r="D640" i="31"/>
  <c r="C640" i="31"/>
  <c r="B640" i="31" s="1"/>
  <c r="H639" i="31"/>
  <c r="E639" i="31"/>
  <c r="D639" i="31"/>
  <c r="C639" i="31"/>
  <c r="B639" i="31" s="1"/>
  <c r="I638" i="31"/>
  <c r="F638" i="31"/>
  <c r="E638" i="31" s="1"/>
  <c r="H637" i="31"/>
  <c r="E637" i="31"/>
  <c r="D637" i="31"/>
  <c r="C637" i="31"/>
  <c r="J636" i="31"/>
  <c r="J638" i="31" s="1"/>
  <c r="G636" i="31"/>
  <c r="G638" i="31" s="1"/>
  <c r="D636" i="31"/>
  <c r="C636" i="31"/>
  <c r="J635" i="31"/>
  <c r="D635" i="31" s="1"/>
  <c r="I635" i="31"/>
  <c r="H635" i="31"/>
  <c r="G635" i="31"/>
  <c r="F635" i="31"/>
  <c r="E635" i="31" s="1"/>
  <c r="H634" i="31"/>
  <c r="E634" i="31"/>
  <c r="D634" i="31"/>
  <c r="C634" i="31"/>
  <c r="H633" i="31"/>
  <c r="E633" i="31"/>
  <c r="D633" i="31"/>
  <c r="C633" i="31"/>
  <c r="B633" i="31" s="1"/>
  <c r="J632" i="31"/>
  <c r="I632" i="31"/>
  <c r="G632" i="31"/>
  <c r="D632" i="31" s="1"/>
  <c r="F632" i="31"/>
  <c r="C632" i="31"/>
  <c r="H631" i="31"/>
  <c r="E631" i="31"/>
  <c r="D631" i="31"/>
  <c r="C631" i="31"/>
  <c r="B631" i="31" s="1"/>
  <c r="H630" i="31"/>
  <c r="E630" i="31"/>
  <c r="D630" i="31"/>
  <c r="C630" i="31"/>
  <c r="J629" i="31"/>
  <c r="I629" i="31"/>
  <c r="H629" i="31" s="1"/>
  <c r="G629" i="31"/>
  <c r="F629" i="31"/>
  <c r="H628" i="31"/>
  <c r="E628" i="31"/>
  <c r="D628" i="31"/>
  <c r="C628" i="31"/>
  <c r="H627" i="31"/>
  <c r="E627" i="31"/>
  <c r="D627" i="31"/>
  <c r="C627" i="31"/>
  <c r="B627" i="31"/>
  <c r="J626" i="31"/>
  <c r="I626" i="31"/>
  <c r="H626" i="31" s="1"/>
  <c r="G626" i="31"/>
  <c r="D626" i="31" s="1"/>
  <c r="F626" i="31"/>
  <c r="E626" i="31" s="1"/>
  <c r="H625" i="31"/>
  <c r="E625" i="31"/>
  <c r="D625" i="31"/>
  <c r="C625" i="31"/>
  <c r="H624" i="31"/>
  <c r="E624" i="31"/>
  <c r="D624" i="31"/>
  <c r="C624" i="31"/>
  <c r="J623" i="31"/>
  <c r="D623" i="31" s="1"/>
  <c r="I623" i="31"/>
  <c r="H623" i="31"/>
  <c r="G623" i="31"/>
  <c r="F623" i="31"/>
  <c r="E623" i="31" s="1"/>
  <c r="H622" i="31"/>
  <c r="E622" i="31"/>
  <c r="D622" i="31"/>
  <c r="C622" i="31"/>
  <c r="H621" i="31"/>
  <c r="E621" i="31"/>
  <c r="D621" i="31"/>
  <c r="C621" i="31"/>
  <c r="B621" i="31" s="1"/>
  <c r="J620" i="31"/>
  <c r="G620" i="31"/>
  <c r="F620" i="31"/>
  <c r="E620" i="31" s="1"/>
  <c r="H619" i="31"/>
  <c r="E619" i="31"/>
  <c r="D619" i="31"/>
  <c r="C619" i="31"/>
  <c r="B619" i="31" s="1"/>
  <c r="I618" i="31"/>
  <c r="I620" i="31" s="1"/>
  <c r="E618" i="31"/>
  <c r="D618" i="31"/>
  <c r="C618" i="31"/>
  <c r="B618" i="31" s="1"/>
  <c r="J617" i="31"/>
  <c r="G617" i="31"/>
  <c r="D617" i="31" s="1"/>
  <c r="F617" i="31"/>
  <c r="E617" i="31"/>
  <c r="H616" i="31"/>
  <c r="E616" i="31"/>
  <c r="D616" i="31"/>
  <c r="C616" i="31"/>
  <c r="B616" i="31" s="1"/>
  <c r="I615" i="31"/>
  <c r="I617" i="31" s="1"/>
  <c r="E615" i="31"/>
  <c r="D615" i="31"/>
  <c r="C615" i="31"/>
  <c r="B615" i="31" s="1"/>
  <c r="J614" i="31"/>
  <c r="G614" i="31"/>
  <c r="F614" i="31"/>
  <c r="E614" i="31" s="1"/>
  <c r="I613" i="31"/>
  <c r="I661" i="31" s="1"/>
  <c r="E613" i="31"/>
  <c r="D613" i="31"/>
  <c r="I612" i="31"/>
  <c r="H612" i="31" s="1"/>
  <c r="E612" i="31"/>
  <c r="D612" i="31"/>
  <c r="J611" i="31"/>
  <c r="D611" i="31" s="1"/>
  <c r="G611" i="31"/>
  <c r="F611" i="31"/>
  <c r="H610" i="31"/>
  <c r="E610" i="31"/>
  <c r="D610" i="31"/>
  <c r="C610" i="31"/>
  <c r="I609" i="31"/>
  <c r="I611" i="31" s="1"/>
  <c r="E609" i="31"/>
  <c r="D609" i="31"/>
  <c r="J608" i="31"/>
  <c r="I608" i="31"/>
  <c r="G608" i="31"/>
  <c r="F608" i="31"/>
  <c r="D608" i="31"/>
  <c r="H607" i="31"/>
  <c r="E607" i="31"/>
  <c r="D607" i="31"/>
  <c r="C607" i="31"/>
  <c r="B607" i="31" s="1"/>
  <c r="H606" i="31"/>
  <c r="E606" i="31"/>
  <c r="D606" i="31"/>
  <c r="C606" i="31"/>
  <c r="B606" i="31" s="1"/>
  <c r="G605" i="31"/>
  <c r="F605" i="31"/>
  <c r="E605" i="31" s="1"/>
  <c r="H604" i="31"/>
  <c r="E604" i="31"/>
  <c r="D604" i="31"/>
  <c r="C604" i="31"/>
  <c r="J603" i="31"/>
  <c r="J605" i="31" s="1"/>
  <c r="D605" i="31" s="1"/>
  <c r="I603" i="31"/>
  <c r="E603" i="31"/>
  <c r="C603" i="31"/>
  <c r="I602" i="31"/>
  <c r="G602" i="31"/>
  <c r="F602" i="31"/>
  <c r="H601" i="31"/>
  <c r="E601" i="31"/>
  <c r="D601" i="31"/>
  <c r="C601" i="31"/>
  <c r="J600" i="31"/>
  <c r="H600" i="31" s="1"/>
  <c r="E600" i="31"/>
  <c r="C600" i="31"/>
  <c r="G599" i="31"/>
  <c r="F599" i="31"/>
  <c r="H598" i="31"/>
  <c r="E598" i="31"/>
  <c r="D598" i="31"/>
  <c r="C598" i="31"/>
  <c r="J597" i="31"/>
  <c r="J599" i="31" s="1"/>
  <c r="D599" i="31" s="1"/>
  <c r="I597" i="31"/>
  <c r="I599" i="31" s="1"/>
  <c r="E597" i="31"/>
  <c r="C597" i="31"/>
  <c r="F596" i="31"/>
  <c r="H595" i="31"/>
  <c r="E595" i="31"/>
  <c r="D595" i="31"/>
  <c r="C595" i="31"/>
  <c r="J594" i="31"/>
  <c r="J596" i="31" s="1"/>
  <c r="I594" i="31"/>
  <c r="G594" i="31"/>
  <c r="G660" i="31" s="1"/>
  <c r="I593" i="31"/>
  <c r="G593" i="31"/>
  <c r="F593" i="31"/>
  <c r="C593" i="31"/>
  <c r="H592" i="31"/>
  <c r="E592" i="31"/>
  <c r="D592" i="31"/>
  <c r="C592" i="31"/>
  <c r="B592" i="31" s="1"/>
  <c r="J591" i="31"/>
  <c r="H591" i="31" s="1"/>
  <c r="E591" i="31"/>
  <c r="C591" i="31"/>
  <c r="J587" i="31"/>
  <c r="I587" i="31"/>
  <c r="G587" i="31"/>
  <c r="F587" i="31"/>
  <c r="F586" i="31"/>
  <c r="J585" i="31"/>
  <c r="I585" i="31"/>
  <c r="G585" i="31"/>
  <c r="F585" i="31"/>
  <c r="H584" i="31"/>
  <c r="E584" i="31"/>
  <c r="D584" i="31"/>
  <c r="C584" i="31"/>
  <c r="B584" i="31" s="1"/>
  <c r="H583" i="31"/>
  <c r="H585" i="31" s="1"/>
  <c r="E583" i="31"/>
  <c r="E585" i="31" s="1"/>
  <c r="D583" i="31"/>
  <c r="D585" i="31" s="1"/>
  <c r="C583" i="31"/>
  <c r="C585" i="31" s="1"/>
  <c r="J582" i="31"/>
  <c r="I582" i="31"/>
  <c r="G582" i="31"/>
  <c r="F582" i="31"/>
  <c r="H581" i="31"/>
  <c r="E581" i="31"/>
  <c r="D581" i="31"/>
  <c r="C581" i="31"/>
  <c r="B581" i="31" s="1"/>
  <c r="H580" i="31"/>
  <c r="E580" i="31"/>
  <c r="D580" i="31"/>
  <c r="C580" i="31"/>
  <c r="J579" i="31"/>
  <c r="I579" i="31"/>
  <c r="G579" i="31"/>
  <c r="F579" i="31"/>
  <c r="H578" i="31"/>
  <c r="E578" i="31"/>
  <c r="D578" i="31"/>
  <c r="C578" i="31"/>
  <c r="H577" i="31"/>
  <c r="H579" i="31" s="1"/>
  <c r="E577" i="31"/>
  <c r="E579" i="31" s="1"/>
  <c r="D577" i="31"/>
  <c r="D579" i="31" s="1"/>
  <c r="C577" i="31"/>
  <c r="C579" i="31" s="1"/>
  <c r="J576" i="31"/>
  <c r="I576" i="31"/>
  <c r="G576" i="31"/>
  <c r="F576" i="31"/>
  <c r="H575" i="31"/>
  <c r="E575" i="31"/>
  <c r="D575" i="31"/>
  <c r="C575" i="31"/>
  <c r="B575" i="31"/>
  <c r="H574" i="31"/>
  <c r="E574" i="31"/>
  <c r="E576" i="31" s="1"/>
  <c r="D574" i="31"/>
  <c r="C574" i="31"/>
  <c r="B574" i="31" s="1"/>
  <c r="B576" i="31" s="1"/>
  <c r="J573" i="31"/>
  <c r="I573" i="31"/>
  <c r="G573" i="31"/>
  <c r="F573" i="31"/>
  <c r="H572" i="31"/>
  <c r="E572" i="31"/>
  <c r="D572" i="31"/>
  <c r="C572" i="31"/>
  <c r="B572" i="31" s="1"/>
  <c r="H571" i="31"/>
  <c r="H573" i="31" s="1"/>
  <c r="E571" i="31"/>
  <c r="E573" i="31" s="1"/>
  <c r="D571" i="31"/>
  <c r="D573" i="31" s="1"/>
  <c r="C571" i="31"/>
  <c r="C573" i="31" s="1"/>
  <c r="J570" i="31"/>
  <c r="I570" i="31"/>
  <c r="G570" i="31"/>
  <c r="F570" i="31"/>
  <c r="H569" i="31"/>
  <c r="E569" i="31"/>
  <c r="D569" i="31"/>
  <c r="C569" i="31"/>
  <c r="B569" i="31" s="1"/>
  <c r="H568" i="31"/>
  <c r="E568" i="31"/>
  <c r="D568" i="31"/>
  <c r="C568" i="31"/>
  <c r="J567" i="31"/>
  <c r="I567" i="31"/>
  <c r="G567" i="31"/>
  <c r="F567" i="31"/>
  <c r="H566" i="31"/>
  <c r="E566" i="31"/>
  <c r="D566" i="31"/>
  <c r="C566" i="31"/>
  <c r="H565" i="31"/>
  <c r="H567" i="31" s="1"/>
  <c r="E565" i="31"/>
  <c r="E567" i="31" s="1"/>
  <c r="D565" i="31"/>
  <c r="D567" i="31" s="1"/>
  <c r="C565" i="31"/>
  <c r="C567" i="31" s="1"/>
  <c r="J564" i="31"/>
  <c r="I564" i="31"/>
  <c r="G564" i="31"/>
  <c r="F564" i="31"/>
  <c r="H563" i="31"/>
  <c r="E563" i="31"/>
  <c r="D563" i="31"/>
  <c r="C563" i="31"/>
  <c r="B563" i="31"/>
  <c r="H562" i="31"/>
  <c r="E562" i="31"/>
  <c r="E564" i="31" s="1"/>
  <c r="D562" i="31"/>
  <c r="C562" i="31"/>
  <c r="B562" i="31" s="1"/>
  <c r="B564" i="31" s="1"/>
  <c r="J561" i="31"/>
  <c r="I561" i="31"/>
  <c r="G561" i="31"/>
  <c r="F561" i="31"/>
  <c r="H560" i="31"/>
  <c r="E560" i="31"/>
  <c r="D560" i="31"/>
  <c r="C560" i="31"/>
  <c r="B560" i="31" s="1"/>
  <c r="H559" i="31"/>
  <c r="H561" i="31" s="1"/>
  <c r="E559" i="31"/>
  <c r="E561" i="31" s="1"/>
  <c r="D559" i="31"/>
  <c r="D561" i="31" s="1"/>
  <c r="C559" i="31"/>
  <c r="C561" i="31" s="1"/>
  <c r="J558" i="31"/>
  <c r="I558" i="31"/>
  <c r="G558" i="31"/>
  <c r="F558" i="31"/>
  <c r="H557" i="31"/>
  <c r="E557" i="31"/>
  <c r="D557" i="31"/>
  <c r="C557" i="31"/>
  <c r="B557" i="31" s="1"/>
  <c r="H556" i="31"/>
  <c r="E556" i="31"/>
  <c r="D556" i="31"/>
  <c r="C556" i="31"/>
  <c r="J555" i="31"/>
  <c r="G555" i="31"/>
  <c r="F555" i="31"/>
  <c r="H554" i="31"/>
  <c r="E554" i="31"/>
  <c r="D554" i="31"/>
  <c r="C554" i="31"/>
  <c r="I553" i="31"/>
  <c r="I555" i="31" s="1"/>
  <c r="E553" i="31"/>
  <c r="E555" i="31" s="1"/>
  <c r="D553" i="31"/>
  <c r="D555" i="31" s="1"/>
  <c r="J552" i="31"/>
  <c r="I552" i="31"/>
  <c r="G552" i="31"/>
  <c r="F552" i="31"/>
  <c r="H551" i="31"/>
  <c r="E551" i="31"/>
  <c r="D551" i="31"/>
  <c r="C551" i="31"/>
  <c r="H550" i="31"/>
  <c r="H552" i="31" s="1"/>
  <c r="E550" i="31"/>
  <c r="E552" i="31" s="1"/>
  <c r="D550" i="31"/>
  <c r="D552" i="31" s="1"/>
  <c r="C550" i="31"/>
  <c r="C552" i="31" s="1"/>
  <c r="J549" i="31"/>
  <c r="I549" i="31"/>
  <c r="G549" i="31"/>
  <c r="F549" i="31"/>
  <c r="H548" i="31"/>
  <c r="E548" i="31"/>
  <c r="D548" i="31"/>
  <c r="C548" i="31"/>
  <c r="B548" i="31"/>
  <c r="H547" i="31"/>
  <c r="E547" i="31"/>
  <c r="E549" i="31" s="1"/>
  <c r="D547" i="31"/>
  <c r="C547" i="31"/>
  <c r="B547" i="31" s="1"/>
  <c r="B549" i="31" s="1"/>
  <c r="J546" i="31"/>
  <c r="I546" i="31"/>
  <c r="G546" i="31"/>
  <c r="F546" i="31"/>
  <c r="H545" i="31"/>
  <c r="E545" i="31"/>
  <c r="D545" i="31"/>
  <c r="C545" i="31"/>
  <c r="B545" i="31" s="1"/>
  <c r="H544" i="31"/>
  <c r="H546" i="31" s="1"/>
  <c r="E544" i="31"/>
  <c r="E546" i="31" s="1"/>
  <c r="D544" i="31"/>
  <c r="D546" i="31" s="1"/>
  <c r="C544" i="31"/>
  <c r="C546" i="31" s="1"/>
  <c r="J543" i="31"/>
  <c r="I543" i="31"/>
  <c r="G543" i="31"/>
  <c r="F543" i="31"/>
  <c r="H542" i="31"/>
  <c r="E542" i="31"/>
  <c r="D542" i="31"/>
  <c r="C542" i="31"/>
  <c r="B542" i="31" s="1"/>
  <c r="H541" i="31"/>
  <c r="E541" i="31"/>
  <c r="D541" i="31"/>
  <c r="C541" i="31"/>
  <c r="J540" i="31"/>
  <c r="I540" i="31"/>
  <c r="G540" i="31"/>
  <c r="F540" i="31"/>
  <c r="H539" i="31"/>
  <c r="E539" i="31"/>
  <c r="D539" i="31"/>
  <c r="C539" i="31"/>
  <c r="H538" i="31"/>
  <c r="H540" i="31" s="1"/>
  <c r="E538" i="31"/>
  <c r="E540" i="31" s="1"/>
  <c r="D538" i="31"/>
  <c r="D540" i="31" s="1"/>
  <c r="C538" i="31"/>
  <c r="J537" i="31"/>
  <c r="I537" i="31"/>
  <c r="G537" i="31"/>
  <c r="F537" i="31"/>
  <c r="H536" i="31"/>
  <c r="E536" i="31"/>
  <c r="D536" i="31"/>
  <c r="C536" i="31"/>
  <c r="B536" i="31"/>
  <c r="H535" i="31"/>
  <c r="E535" i="31"/>
  <c r="E537" i="31" s="1"/>
  <c r="D535" i="31"/>
  <c r="C535" i="31"/>
  <c r="B535" i="31" s="1"/>
  <c r="B537" i="31" s="1"/>
  <c r="J534" i="31"/>
  <c r="I534" i="31"/>
  <c r="G534" i="31"/>
  <c r="F534" i="31"/>
  <c r="H533" i="31"/>
  <c r="E533" i="31"/>
  <c r="D533" i="31"/>
  <c r="C533" i="31"/>
  <c r="B533" i="31" s="1"/>
  <c r="H532" i="31"/>
  <c r="H534" i="31" s="1"/>
  <c r="E532" i="31"/>
  <c r="E534" i="31" s="1"/>
  <c r="D532" i="31"/>
  <c r="D534" i="31" s="1"/>
  <c r="C532" i="31"/>
  <c r="C534" i="31" s="1"/>
  <c r="I531" i="31"/>
  <c r="F531" i="31"/>
  <c r="H530" i="31"/>
  <c r="E530" i="31"/>
  <c r="D530" i="31"/>
  <c r="C530" i="31"/>
  <c r="B530" i="31" s="1"/>
  <c r="J529" i="31"/>
  <c r="J531" i="31" s="1"/>
  <c r="G529" i="31"/>
  <c r="G531" i="31" s="1"/>
  <c r="C529" i="31"/>
  <c r="I528" i="31"/>
  <c r="F528" i="31"/>
  <c r="H527" i="31"/>
  <c r="E527" i="31"/>
  <c r="D527" i="31"/>
  <c r="C527" i="31"/>
  <c r="J526" i="31"/>
  <c r="J586" i="31" s="1"/>
  <c r="G526" i="31"/>
  <c r="G528" i="31" s="1"/>
  <c r="D526" i="31"/>
  <c r="D528" i="31" s="1"/>
  <c r="C526" i="31"/>
  <c r="C528" i="31" s="1"/>
  <c r="B526" i="31"/>
  <c r="J525" i="31"/>
  <c r="I525" i="31"/>
  <c r="G525" i="31"/>
  <c r="F525" i="31"/>
  <c r="H524" i="31"/>
  <c r="E524" i="31"/>
  <c r="D524" i="31"/>
  <c r="C524" i="31"/>
  <c r="B524" i="31" s="1"/>
  <c r="H523" i="31"/>
  <c r="H525" i="31" s="1"/>
  <c r="E523" i="31"/>
  <c r="D523" i="31"/>
  <c r="D525" i="31" s="1"/>
  <c r="C523" i="31"/>
  <c r="J522" i="31"/>
  <c r="I522" i="31"/>
  <c r="G522" i="31"/>
  <c r="F522" i="31"/>
  <c r="H521" i="31"/>
  <c r="H587" i="31" s="1"/>
  <c r="E521" i="31"/>
  <c r="D521" i="31"/>
  <c r="D587" i="31" s="1"/>
  <c r="C521" i="31"/>
  <c r="H520" i="31"/>
  <c r="E520" i="31"/>
  <c r="E522" i="31" s="1"/>
  <c r="D520" i="31"/>
  <c r="C520" i="31"/>
  <c r="C522" i="31" s="1"/>
  <c r="B520" i="31"/>
  <c r="J516" i="31"/>
  <c r="I516" i="31"/>
  <c r="G516" i="31"/>
  <c r="F516" i="31"/>
  <c r="G515" i="31"/>
  <c r="G517" i="31" s="1"/>
  <c r="F515" i="31"/>
  <c r="F517" i="31" s="1"/>
  <c r="J514" i="31"/>
  <c r="I514" i="31"/>
  <c r="G514" i="31"/>
  <c r="F514" i="31"/>
  <c r="H513" i="31"/>
  <c r="E513" i="31"/>
  <c r="D513" i="31"/>
  <c r="C513" i="31"/>
  <c r="B513" i="31" s="1"/>
  <c r="H512" i="31"/>
  <c r="H514" i="31" s="1"/>
  <c r="E512" i="31"/>
  <c r="E514" i="31" s="1"/>
  <c r="D512" i="31"/>
  <c r="D514" i="31" s="1"/>
  <c r="C512" i="31"/>
  <c r="C514" i="31" s="1"/>
  <c r="J511" i="31"/>
  <c r="I511" i="31"/>
  <c r="G511" i="31"/>
  <c r="F511" i="31"/>
  <c r="H510" i="31"/>
  <c r="E510" i="31"/>
  <c r="D510" i="31"/>
  <c r="C510" i="31"/>
  <c r="B510" i="31" s="1"/>
  <c r="H509" i="31"/>
  <c r="E509" i="31"/>
  <c r="E511" i="31" s="1"/>
  <c r="D509" i="31"/>
  <c r="C509" i="31"/>
  <c r="B509" i="31" s="1"/>
  <c r="J508" i="31"/>
  <c r="I508" i="31"/>
  <c r="G508" i="31"/>
  <c r="F508" i="31"/>
  <c r="H507" i="31"/>
  <c r="E507" i="31"/>
  <c r="D507" i="31"/>
  <c r="C507" i="31"/>
  <c r="B507" i="31" s="1"/>
  <c r="H506" i="31"/>
  <c r="H508" i="31" s="1"/>
  <c r="E506" i="31"/>
  <c r="E508" i="31" s="1"/>
  <c r="D506" i="31"/>
  <c r="D508" i="31" s="1"/>
  <c r="C506" i="31"/>
  <c r="C508" i="31" s="1"/>
  <c r="J505" i="31"/>
  <c r="I505" i="31"/>
  <c r="G505" i="31"/>
  <c r="F505" i="31"/>
  <c r="H504" i="31"/>
  <c r="E504" i="31"/>
  <c r="D504" i="31"/>
  <c r="C504" i="31"/>
  <c r="B504" i="31" s="1"/>
  <c r="H503" i="31"/>
  <c r="E503" i="31"/>
  <c r="E505" i="31" s="1"/>
  <c r="D503" i="31"/>
  <c r="C503" i="31"/>
  <c r="J502" i="31"/>
  <c r="I502" i="31"/>
  <c r="G502" i="31"/>
  <c r="F502" i="31"/>
  <c r="H501" i="31"/>
  <c r="E501" i="31"/>
  <c r="D501" i="31"/>
  <c r="C501" i="31"/>
  <c r="B501" i="31" s="1"/>
  <c r="H500" i="31"/>
  <c r="H502" i="31" s="1"/>
  <c r="E500" i="31"/>
  <c r="E502" i="31" s="1"/>
  <c r="D500" i="31"/>
  <c r="D502" i="31" s="1"/>
  <c r="C500" i="31"/>
  <c r="C502" i="31" s="1"/>
  <c r="J499" i="31"/>
  <c r="I499" i="31"/>
  <c r="G499" i="31"/>
  <c r="F499" i="31"/>
  <c r="H498" i="31"/>
  <c r="E498" i="31"/>
  <c r="D498" i="31"/>
  <c r="C498" i="31"/>
  <c r="B498" i="31" s="1"/>
  <c r="H497" i="31"/>
  <c r="E497" i="31"/>
  <c r="E499" i="31" s="1"/>
  <c r="D497" i="31"/>
  <c r="C497" i="31"/>
  <c r="B497" i="31" s="1"/>
  <c r="J496" i="31"/>
  <c r="G496" i="31"/>
  <c r="F496" i="31"/>
  <c r="H495" i="31"/>
  <c r="E495" i="31"/>
  <c r="D495" i="31"/>
  <c r="C495" i="31"/>
  <c r="B495" i="31" s="1"/>
  <c r="I494" i="31"/>
  <c r="I496" i="31" s="1"/>
  <c r="E494" i="31"/>
  <c r="E496" i="31" s="1"/>
  <c r="D494" i="31"/>
  <c r="D496" i="31" s="1"/>
  <c r="C494" i="31"/>
  <c r="C496" i="31" s="1"/>
  <c r="J493" i="31"/>
  <c r="I493" i="31"/>
  <c r="G493" i="31"/>
  <c r="F493" i="31"/>
  <c r="H492" i="31"/>
  <c r="E492" i="31"/>
  <c r="D492" i="31"/>
  <c r="C492" i="31"/>
  <c r="B492" i="31" s="1"/>
  <c r="H491" i="31"/>
  <c r="H493" i="31" s="1"/>
  <c r="E491" i="31"/>
  <c r="E493" i="31" s="1"/>
  <c r="D491" i="31"/>
  <c r="D493" i="31" s="1"/>
  <c r="C491" i="31"/>
  <c r="C493" i="31" s="1"/>
  <c r="J490" i="31"/>
  <c r="I490" i="31"/>
  <c r="G490" i="31"/>
  <c r="F490" i="31"/>
  <c r="H489" i="31"/>
  <c r="E489" i="31"/>
  <c r="D489" i="31"/>
  <c r="C489" i="31"/>
  <c r="B489" i="31" s="1"/>
  <c r="H488" i="31"/>
  <c r="E488" i="31"/>
  <c r="D488" i="31"/>
  <c r="C488" i="31"/>
  <c r="J487" i="31"/>
  <c r="G487" i="31"/>
  <c r="F487" i="31"/>
  <c r="H486" i="31"/>
  <c r="E486" i="31"/>
  <c r="D486" i="31"/>
  <c r="C486" i="31"/>
  <c r="I485" i="31"/>
  <c r="I487" i="31" s="1"/>
  <c r="E485" i="31"/>
  <c r="E487" i="31" s="1"/>
  <c r="D485" i="31"/>
  <c r="D487" i="31" s="1"/>
  <c r="C485" i="31"/>
  <c r="C487" i="31" s="1"/>
  <c r="J484" i="31"/>
  <c r="G484" i="31"/>
  <c r="F484" i="31"/>
  <c r="H483" i="31"/>
  <c r="E483" i="31"/>
  <c r="D483" i="31"/>
  <c r="C483" i="31"/>
  <c r="B483" i="31" s="1"/>
  <c r="I482" i="31"/>
  <c r="I484" i="31" s="1"/>
  <c r="E482" i="31"/>
  <c r="E484" i="31" s="1"/>
  <c r="D482" i="31"/>
  <c r="D484" i="31" s="1"/>
  <c r="C482" i="31"/>
  <c r="C484" i="31" s="1"/>
  <c r="J481" i="31"/>
  <c r="G481" i="31"/>
  <c r="F481" i="31"/>
  <c r="H480" i="31"/>
  <c r="E480" i="31"/>
  <c r="D480" i="31"/>
  <c r="C480" i="31"/>
  <c r="B480" i="31" s="1"/>
  <c r="I479" i="31"/>
  <c r="I481" i="31" s="1"/>
  <c r="E479" i="31"/>
  <c r="E481" i="31" s="1"/>
  <c r="D479" i="31"/>
  <c r="D481" i="31" s="1"/>
  <c r="C479" i="31"/>
  <c r="C481" i="31" s="1"/>
  <c r="J478" i="31"/>
  <c r="G478" i="31"/>
  <c r="F478" i="31"/>
  <c r="D478" i="31"/>
  <c r="H477" i="31"/>
  <c r="E477" i="31"/>
  <c r="D477" i="31"/>
  <c r="C477" i="31"/>
  <c r="B477" i="31" s="1"/>
  <c r="I476" i="31"/>
  <c r="I478" i="31" s="1"/>
  <c r="E476" i="31"/>
  <c r="E478" i="31" s="1"/>
  <c r="D476" i="31"/>
  <c r="C476" i="31"/>
  <c r="C478" i="31" s="1"/>
  <c r="J475" i="31"/>
  <c r="I475" i="31"/>
  <c r="G475" i="31"/>
  <c r="F475" i="31"/>
  <c r="H474" i="31"/>
  <c r="E474" i="31"/>
  <c r="D474" i="31"/>
  <c r="C474" i="31"/>
  <c r="B474" i="31" s="1"/>
  <c r="H473" i="31"/>
  <c r="H475" i="31" s="1"/>
  <c r="E473" i="31"/>
  <c r="E475" i="31" s="1"/>
  <c r="D473" i="31"/>
  <c r="D475" i="31" s="1"/>
  <c r="C473" i="31"/>
  <c r="C475" i="31" s="1"/>
  <c r="J472" i="31"/>
  <c r="I472" i="31"/>
  <c r="G472" i="31"/>
  <c r="F472" i="31"/>
  <c r="H471" i="31"/>
  <c r="E471" i="31"/>
  <c r="D471" i="31"/>
  <c r="C471" i="31"/>
  <c r="B471" i="31" s="1"/>
  <c r="H470" i="31"/>
  <c r="E470" i="31"/>
  <c r="D470" i="31"/>
  <c r="C470" i="31"/>
  <c r="J469" i="31"/>
  <c r="I469" i="31"/>
  <c r="G469" i="31"/>
  <c r="F469" i="31"/>
  <c r="H468" i="31"/>
  <c r="E468" i="31"/>
  <c r="D468" i="31"/>
  <c r="C468" i="31"/>
  <c r="H467" i="31"/>
  <c r="H469" i="31" s="1"/>
  <c r="E467" i="31"/>
  <c r="E469" i="31" s="1"/>
  <c r="D467" i="31"/>
  <c r="D469" i="31" s="1"/>
  <c r="C467" i="31"/>
  <c r="C469" i="31" s="1"/>
  <c r="J466" i="31"/>
  <c r="I466" i="31"/>
  <c r="G466" i="31"/>
  <c r="F466" i="31"/>
  <c r="H465" i="31"/>
  <c r="E465" i="31"/>
  <c r="D465" i="31"/>
  <c r="C465" i="31"/>
  <c r="B465" i="31"/>
  <c r="H464" i="31"/>
  <c r="E464" i="31"/>
  <c r="E466" i="31" s="1"/>
  <c r="D464" i="31"/>
  <c r="C464" i="31"/>
  <c r="B464" i="31" s="1"/>
  <c r="B466" i="31" s="1"/>
  <c r="J463" i="31"/>
  <c r="I463" i="31"/>
  <c r="G463" i="31"/>
  <c r="F463" i="31"/>
  <c r="H462" i="31"/>
  <c r="E462" i="31"/>
  <c r="D462" i="31"/>
  <c r="C462" i="31"/>
  <c r="B462" i="31" s="1"/>
  <c r="H461" i="31"/>
  <c r="H463" i="31" s="1"/>
  <c r="E461" i="31"/>
  <c r="E463" i="31" s="1"/>
  <c r="D461" i="31"/>
  <c r="D463" i="31" s="1"/>
  <c r="C461" i="31"/>
  <c r="C463" i="31" s="1"/>
  <c r="J460" i="31"/>
  <c r="I460" i="31"/>
  <c r="G460" i="31"/>
  <c r="F460" i="31"/>
  <c r="H459" i="31"/>
  <c r="E459" i="31"/>
  <c r="D459" i="31"/>
  <c r="C459" i="31"/>
  <c r="B459" i="31" s="1"/>
  <c r="H458" i="31"/>
  <c r="E458" i="31"/>
  <c r="E460" i="31" s="1"/>
  <c r="D458" i="31"/>
  <c r="C458" i="31"/>
  <c r="J457" i="31"/>
  <c r="I457" i="31"/>
  <c r="G457" i="31"/>
  <c r="F457" i="31"/>
  <c r="H456" i="31"/>
  <c r="E456" i="31"/>
  <c r="D456" i="31"/>
  <c r="C456" i="31"/>
  <c r="B456" i="31" s="1"/>
  <c r="H455" i="31"/>
  <c r="H457" i="31" s="1"/>
  <c r="E455" i="31"/>
  <c r="E457" i="31" s="1"/>
  <c r="D455" i="31"/>
  <c r="D457" i="31" s="1"/>
  <c r="C455" i="31"/>
  <c r="C457" i="31" s="1"/>
  <c r="I454" i="31"/>
  <c r="G454" i="31"/>
  <c r="F454" i="31"/>
  <c r="H453" i="31"/>
  <c r="E453" i="31"/>
  <c r="D453" i="31"/>
  <c r="C453" i="31"/>
  <c r="B453" i="31" s="1"/>
  <c r="J452" i="31"/>
  <c r="J454" i="31" s="1"/>
  <c r="E452" i="31"/>
  <c r="E454" i="31" s="1"/>
  <c r="C452" i="31"/>
  <c r="C454" i="31" s="1"/>
  <c r="I451" i="31"/>
  <c r="G451" i="31"/>
  <c r="F451" i="31"/>
  <c r="H450" i="31"/>
  <c r="E450" i="31"/>
  <c r="D450" i="31"/>
  <c r="C450" i="31"/>
  <c r="B450" i="31" s="1"/>
  <c r="J449" i="31"/>
  <c r="J451" i="31" s="1"/>
  <c r="E449" i="31"/>
  <c r="E451" i="31" s="1"/>
  <c r="C449" i="31"/>
  <c r="C451" i="31" s="1"/>
  <c r="I448" i="31"/>
  <c r="G448" i="31"/>
  <c r="F448" i="31"/>
  <c r="H447" i="31"/>
  <c r="E447" i="31"/>
  <c r="D447" i="31"/>
  <c r="C447" i="31"/>
  <c r="B447" i="31" s="1"/>
  <c r="J446" i="31"/>
  <c r="J448" i="31" s="1"/>
  <c r="E446" i="31"/>
  <c r="E448" i="31" s="1"/>
  <c r="C446" i="31"/>
  <c r="C448" i="31" s="1"/>
  <c r="I445" i="31"/>
  <c r="G445" i="31"/>
  <c r="F445" i="31"/>
  <c r="H444" i="31"/>
  <c r="E444" i="31"/>
  <c r="D444" i="31"/>
  <c r="C444" i="31"/>
  <c r="B444" i="31" s="1"/>
  <c r="J443" i="31"/>
  <c r="J445" i="31" s="1"/>
  <c r="E443" i="31"/>
  <c r="E445" i="31" s="1"/>
  <c r="C443" i="31"/>
  <c r="C445" i="31" s="1"/>
  <c r="I442" i="31"/>
  <c r="G442" i="31"/>
  <c r="F442" i="31"/>
  <c r="H441" i="31"/>
  <c r="E441" i="31"/>
  <c r="D441" i="31"/>
  <c r="C441" i="31"/>
  <c r="B441" i="31" s="1"/>
  <c r="J440" i="31"/>
  <c r="J515" i="31" s="1"/>
  <c r="J517" i="31" s="1"/>
  <c r="E440" i="31"/>
  <c r="E442" i="31" s="1"/>
  <c r="C440" i="31"/>
  <c r="C442" i="31" s="1"/>
  <c r="J439" i="31"/>
  <c r="I439" i="31"/>
  <c r="G439" i="31"/>
  <c r="F439" i="31"/>
  <c r="H438" i="31"/>
  <c r="H516" i="31" s="1"/>
  <c r="E438" i="31"/>
  <c r="D438" i="31"/>
  <c r="D516" i="31" s="1"/>
  <c r="C438" i="31"/>
  <c r="B438" i="31"/>
  <c r="H437" i="31"/>
  <c r="E437" i="31"/>
  <c r="E515" i="31" s="1"/>
  <c r="D437" i="31"/>
  <c r="C437" i="31"/>
  <c r="B437" i="31" s="1"/>
  <c r="J433" i="31"/>
  <c r="I433" i="31"/>
  <c r="G433" i="31"/>
  <c r="F433" i="31"/>
  <c r="J432" i="31"/>
  <c r="G432" i="31"/>
  <c r="F432" i="31"/>
  <c r="J431" i="31"/>
  <c r="I431" i="31"/>
  <c r="G431" i="31"/>
  <c r="F431" i="31"/>
  <c r="H430" i="31"/>
  <c r="E430" i="31"/>
  <c r="D430" i="31"/>
  <c r="C430" i="31"/>
  <c r="B430" i="31"/>
  <c r="H429" i="31"/>
  <c r="E429" i="31"/>
  <c r="E431" i="31" s="1"/>
  <c r="D429" i="31"/>
  <c r="C429" i="31"/>
  <c r="B429" i="31" s="1"/>
  <c r="B431" i="31" s="1"/>
  <c r="J428" i="31"/>
  <c r="I428" i="31"/>
  <c r="G428" i="31"/>
  <c r="F428" i="31"/>
  <c r="H427" i="31"/>
  <c r="E427" i="31"/>
  <c r="D427" i="31"/>
  <c r="C427" i="31"/>
  <c r="B427" i="31" s="1"/>
  <c r="H426" i="31"/>
  <c r="H428" i="31" s="1"/>
  <c r="E426" i="31"/>
  <c r="E428" i="31" s="1"/>
  <c r="D426" i="31"/>
  <c r="D428" i="31" s="1"/>
  <c r="C426" i="31"/>
  <c r="C428" i="31" s="1"/>
  <c r="J425" i="31"/>
  <c r="I425" i="31"/>
  <c r="G425" i="31"/>
  <c r="F425" i="31"/>
  <c r="H424" i="31"/>
  <c r="E424" i="31"/>
  <c r="D424" i="31"/>
  <c r="C424" i="31"/>
  <c r="B424" i="31" s="1"/>
  <c r="H423" i="31"/>
  <c r="E423" i="31"/>
  <c r="D423" i="31"/>
  <c r="C423" i="31"/>
  <c r="J422" i="31"/>
  <c r="I422" i="31"/>
  <c r="G422" i="31"/>
  <c r="F422" i="31"/>
  <c r="H421" i="31"/>
  <c r="E421" i="31"/>
  <c r="D421" i="31"/>
  <c r="C421" i="31"/>
  <c r="H420" i="31"/>
  <c r="H422" i="31" s="1"/>
  <c r="E420" i="31"/>
  <c r="E422" i="31" s="1"/>
  <c r="D420" i="31"/>
  <c r="D422" i="31" s="1"/>
  <c r="C420" i="31"/>
  <c r="C422" i="31" s="1"/>
  <c r="J419" i="31"/>
  <c r="I419" i="31"/>
  <c r="G419" i="31"/>
  <c r="F419" i="31"/>
  <c r="H418" i="31"/>
  <c r="E418" i="31"/>
  <c r="D418" i="31"/>
  <c r="C418" i="31"/>
  <c r="B418" i="31"/>
  <c r="H417" i="31"/>
  <c r="E417" i="31"/>
  <c r="E419" i="31" s="1"/>
  <c r="D417" i="31"/>
  <c r="C417" i="31"/>
  <c r="B417" i="31" s="1"/>
  <c r="B419" i="31" s="1"/>
  <c r="J416" i="31"/>
  <c r="I416" i="31"/>
  <c r="G416" i="31"/>
  <c r="F416" i="31"/>
  <c r="H415" i="31"/>
  <c r="E415" i="31"/>
  <c r="D415" i="31"/>
  <c r="C415" i="31"/>
  <c r="B415" i="31" s="1"/>
  <c r="H414" i="31"/>
  <c r="H416" i="31" s="1"/>
  <c r="E414" i="31"/>
  <c r="E416" i="31" s="1"/>
  <c r="D414" i="31"/>
  <c r="D416" i="31" s="1"/>
  <c r="C414" i="31"/>
  <c r="C416" i="31" s="1"/>
  <c r="J413" i="31"/>
  <c r="I413" i="31"/>
  <c r="G413" i="31"/>
  <c r="F413" i="31"/>
  <c r="H412" i="31"/>
  <c r="E412" i="31"/>
  <c r="D412" i="31"/>
  <c r="C412" i="31"/>
  <c r="B412" i="31" s="1"/>
  <c r="H411" i="31"/>
  <c r="E411" i="31"/>
  <c r="D411" i="31"/>
  <c r="C411" i="31"/>
  <c r="J410" i="31"/>
  <c r="I410" i="31"/>
  <c r="G410" i="31"/>
  <c r="F410" i="31"/>
  <c r="H409" i="31"/>
  <c r="E409" i="31"/>
  <c r="D409" i="31"/>
  <c r="C409" i="31"/>
  <c r="H408" i="31"/>
  <c r="H410" i="31" s="1"/>
  <c r="E408" i="31"/>
  <c r="E410" i="31" s="1"/>
  <c r="D408" i="31"/>
  <c r="D410" i="31" s="1"/>
  <c r="C408" i="31"/>
  <c r="C410" i="31" s="1"/>
  <c r="J407" i="31"/>
  <c r="I407" i="31"/>
  <c r="G407" i="31"/>
  <c r="F407" i="31"/>
  <c r="H406" i="31"/>
  <c r="E406" i="31"/>
  <c r="D406" i="31"/>
  <c r="C406" i="31"/>
  <c r="B406" i="31"/>
  <c r="H405" i="31"/>
  <c r="E405" i="31"/>
  <c r="E407" i="31" s="1"/>
  <c r="D405" i="31"/>
  <c r="C405" i="31"/>
  <c r="B405" i="31" s="1"/>
  <c r="B407" i="31" s="1"/>
  <c r="J404" i="31"/>
  <c r="I404" i="31"/>
  <c r="G404" i="31"/>
  <c r="F404" i="31"/>
  <c r="H403" i="31"/>
  <c r="E403" i="31"/>
  <c r="D403" i="31"/>
  <c r="C403" i="31"/>
  <c r="B403" i="31" s="1"/>
  <c r="H402" i="31"/>
  <c r="H404" i="31" s="1"/>
  <c r="E402" i="31"/>
  <c r="E404" i="31" s="1"/>
  <c r="D402" i="31"/>
  <c r="D404" i="31" s="1"/>
  <c r="C402" i="31"/>
  <c r="C404" i="31" s="1"/>
  <c r="J401" i="31"/>
  <c r="I401" i="31"/>
  <c r="G401" i="31"/>
  <c r="F401" i="31"/>
  <c r="H400" i="31"/>
  <c r="E400" i="31"/>
  <c r="D400" i="31"/>
  <c r="C400" i="31"/>
  <c r="B400" i="31" s="1"/>
  <c r="H399" i="31"/>
  <c r="E399" i="31"/>
  <c r="D399" i="31"/>
  <c r="C399" i="31"/>
  <c r="J398" i="31"/>
  <c r="I398" i="31"/>
  <c r="G398" i="31"/>
  <c r="F398" i="31"/>
  <c r="H397" i="31"/>
  <c r="E397" i="31"/>
  <c r="D397" i="31"/>
  <c r="C397" i="31"/>
  <c r="H396" i="31"/>
  <c r="H398" i="31" s="1"/>
  <c r="E396" i="31"/>
  <c r="E398" i="31" s="1"/>
  <c r="D396" i="31"/>
  <c r="D398" i="31" s="1"/>
  <c r="C396" i="31"/>
  <c r="C398" i="31" s="1"/>
  <c r="J395" i="31"/>
  <c r="I395" i="31"/>
  <c r="G395" i="31"/>
  <c r="F395" i="31"/>
  <c r="H394" i="31"/>
  <c r="E394" i="31"/>
  <c r="D394" i="31"/>
  <c r="C394" i="31"/>
  <c r="B394" i="31" s="1"/>
  <c r="H393" i="31"/>
  <c r="E393" i="31"/>
  <c r="E395" i="31" s="1"/>
  <c r="D393" i="31"/>
  <c r="C393" i="31"/>
  <c r="B393" i="31" s="1"/>
  <c r="J392" i="31"/>
  <c r="I392" i="31"/>
  <c r="G392" i="31"/>
  <c r="F392" i="31"/>
  <c r="H391" i="31"/>
  <c r="E391" i="31"/>
  <c r="D391" i="31"/>
  <c r="C391" i="31"/>
  <c r="B391" i="31" s="1"/>
  <c r="H390" i="31"/>
  <c r="H392" i="31" s="1"/>
  <c r="E390" i="31"/>
  <c r="E392" i="31" s="1"/>
  <c r="D390" i="31"/>
  <c r="D392" i="31" s="1"/>
  <c r="C390" i="31"/>
  <c r="C392" i="31" s="1"/>
  <c r="J389" i="31"/>
  <c r="I389" i="31"/>
  <c r="G389" i="31"/>
  <c r="F389" i="31"/>
  <c r="H388" i="31"/>
  <c r="E388" i="31"/>
  <c r="D388" i="31"/>
  <c r="C388" i="31"/>
  <c r="B388" i="31" s="1"/>
  <c r="H387" i="31"/>
  <c r="E387" i="31"/>
  <c r="E389" i="31" s="1"/>
  <c r="D387" i="31"/>
  <c r="C387" i="31"/>
  <c r="B387" i="31" s="1"/>
  <c r="J386" i="31"/>
  <c r="I386" i="31"/>
  <c r="G386" i="31"/>
  <c r="F386" i="31"/>
  <c r="H385" i="31"/>
  <c r="E385" i="31"/>
  <c r="D385" i="31"/>
  <c r="C385" i="31"/>
  <c r="B385" i="31" s="1"/>
  <c r="H384" i="31"/>
  <c r="H386" i="31" s="1"/>
  <c r="E384" i="31"/>
  <c r="E386" i="31" s="1"/>
  <c r="D384" i="31"/>
  <c r="D386" i="31" s="1"/>
  <c r="C384" i="31"/>
  <c r="C386" i="31" s="1"/>
  <c r="J383" i="31"/>
  <c r="I383" i="31"/>
  <c r="G383" i="31"/>
  <c r="F383" i="31"/>
  <c r="H382" i="31"/>
  <c r="E382" i="31"/>
  <c r="D382" i="31"/>
  <c r="C382" i="31"/>
  <c r="B382" i="31" s="1"/>
  <c r="H381" i="31"/>
  <c r="E381" i="31"/>
  <c r="E383" i="31" s="1"/>
  <c r="D381" i="31"/>
  <c r="C381" i="31"/>
  <c r="B381" i="31" s="1"/>
  <c r="J380" i="31"/>
  <c r="I380" i="31"/>
  <c r="G380" i="31"/>
  <c r="F380" i="31"/>
  <c r="H379" i="31"/>
  <c r="E379" i="31"/>
  <c r="D379" i="31"/>
  <c r="C379" i="31"/>
  <c r="B379" i="31" s="1"/>
  <c r="H378" i="31"/>
  <c r="H380" i="31" s="1"/>
  <c r="E378" i="31"/>
  <c r="E380" i="31" s="1"/>
  <c r="D378" i="31"/>
  <c r="D380" i="31" s="1"/>
  <c r="C378" i="31"/>
  <c r="C380" i="31" s="1"/>
  <c r="J377" i="31"/>
  <c r="I377" i="31"/>
  <c r="G377" i="31"/>
  <c r="F377" i="31"/>
  <c r="H376" i="31"/>
  <c r="E376" i="31"/>
  <c r="D376" i="31"/>
  <c r="C376" i="31"/>
  <c r="B376" i="31" s="1"/>
  <c r="H375" i="31"/>
  <c r="E375" i="31"/>
  <c r="E377" i="31" s="1"/>
  <c r="D375" i="31"/>
  <c r="C375" i="31"/>
  <c r="B375" i="31" s="1"/>
  <c r="J374" i="31"/>
  <c r="I374" i="31"/>
  <c r="G374" i="31"/>
  <c r="F374" i="31"/>
  <c r="H373" i="31"/>
  <c r="E373" i="31"/>
  <c r="D373" i="31"/>
  <c r="C373" i="31"/>
  <c r="B373" i="31" s="1"/>
  <c r="H372" i="31"/>
  <c r="H374" i="31" s="1"/>
  <c r="E372" i="31"/>
  <c r="E374" i="31" s="1"/>
  <c r="D372" i="31"/>
  <c r="D374" i="31" s="1"/>
  <c r="C372" i="31"/>
  <c r="C374" i="31" s="1"/>
  <c r="J371" i="31"/>
  <c r="G371" i="31"/>
  <c r="F371" i="31"/>
  <c r="H370" i="31"/>
  <c r="E370" i="31"/>
  <c r="D370" i="31"/>
  <c r="C370" i="31"/>
  <c r="B370" i="31" s="1"/>
  <c r="I369" i="31"/>
  <c r="I371" i="31" s="1"/>
  <c r="E369" i="31"/>
  <c r="E371" i="31" s="1"/>
  <c r="D369" i="31"/>
  <c r="D371" i="31" s="1"/>
  <c r="C369" i="31"/>
  <c r="C371" i="31" s="1"/>
  <c r="J368" i="31"/>
  <c r="G368" i="31"/>
  <c r="F368" i="31"/>
  <c r="H367" i="31"/>
  <c r="E367" i="31"/>
  <c r="D367" i="31"/>
  <c r="C367" i="31"/>
  <c r="B367" i="31" s="1"/>
  <c r="I366" i="31"/>
  <c r="I432" i="31" s="1"/>
  <c r="E366" i="31"/>
  <c r="E368" i="31" s="1"/>
  <c r="D366" i="31"/>
  <c r="D368" i="31" s="1"/>
  <c r="C366" i="31"/>
  <c r="C368" i="31" s="1"/>
  <c r="J365" i="31"/>
  <c r="I365" i="31"/>
  <c r="G365" i="31"/>
  <c r="F365" i="31"/>
  <c r="H364" i="31"/>
  <c r="E364" i="31"/>
  <c r="D364" i="31"/>
  <c r="C364" i="31"/>
  <c r="B364" i="31"/>
  <c r="H363" i="31"/>
  <c r="E363" i="31"/>
  <c r="E365" i="31" s="1"/>
  <c r="D363" i="31"/>
  <c r="C363" i="31"/>
  <c r="B363" i="31" s="1"/>
  <c r="B365" i="31" s="1"/>
  <c r="J362" i="31"/>
  <c r="I362" i="31"/>
  <c r="G362" i="31"/>
  <c r="F362" i="31"/>
  <c r="H361" i="31"/>
  <c r="E361" i="31"/>
  <c r="D361" i="31"/>
  <c r="C361" i="31"/>
  <c r="B361" i="31" s="1"/>
  <c r="H360" i="31"/>
  <c r="H362" i="31" s="1"/>
  <c r="E360" i="31"/>
  <c r="E362" i="31" s="1"/>
  <c r="D360" i="31"/>
  <c r="D362" i="31" s="1"/>
  <c r="C360" i="31"/>
  <c r="C362" i="31" s="1"/>
  <c r="J359" i="31"/>
  <c r="I359" i="31"/>
  <c r="G359" i="31"/>
  <c r="F359" i="31"/>
  <c r="H358" i="31"/>
  <c r="E358" i="31"/>
  <c r="D358" i="31"/>
  <c r="C358" i="31"/>
  <c r="B358" i="31" s="1"/>
  <c r="H357" i="31"/>
  <c r="E357" i="31"/>
  <c r="D357" i="31"/>
  <c r="C357" i="31"/>
  <c r="J356" i="31"/>
  <c r="I356" i="31"/>
  <c r="G356" i="31"/>
  <c r="F356" i="31"/>
  <c r="F434" i="31" s="1"/>
  <c r="H355" i="31"/>
  <c r="E355" i="31"/>
  <c r="E433" i="31" s="1"/>
  <c r="D355" i="31"/>
  <c r="C355" i="31"/>
  <c r="B355" i="31" s="1"/>
  <c r="H354" i="31"/>
  <c r="E354" i="31"/>
  <c r="E432" i="31" s="1"/>
  <c r="D354" i="31"/>
  <c r="D432" i="31" s="1"/>
  <c r="C354" i="31"/>
  <c r="C432" i="31" s="1"/>
  <c r="J350" i="31"/>
  <c r="I350" i="31"/>
  <c r="G350" i="31"/>
  <c r="F350" i="31"/>
  <c r="I349" i="31"/>
  <c r="F349" i="31"/>
  <c r="I348" i="31"/>
  <c r="F348" i="31"/>
  <c r="C348" i="31" s="1"/>
  <c r="H347" i="31"/>
  <c r="E347" i="31"/>
  <c r="D347" i="31"/>
  <c r="C347" i="31"/>
  <c r="J346" i="31"/>
  <c r="H346" i="31" s="1"/>
  <c r="G346" i="31"/>
  <c r="G348" i="31" s="1"/>
  <c r="C346" i="31"/>
  <c r="J345" i="31"/>
  <c r="I345" i="31"/>
  <c r="G345" i="31"/>
  <c r="D345" i="31" s="1"/>
  <c r="F345" i="31"/>
  <c r="E345" i="31" s="1"/>
  <c r="C345" i="31"/>
  <c r="H344" i="31"/>
  <c r="E344" i="31"/>
  <c r="D344" i="31"/>
  <c r="C344" i="31"/>
  <c r="B344" i="31" s="1"/>
  <c r="H343" i="31"/>
  <c r="E343" i="31"/>
  <c r="D343" i="31"/>
  <c r="C343" i="31"/>
  <c r="J342" i="31"/>
  <c r="I342" i="31"/>
  <c r="G342" i="31"/>
  <c r="F342" i="31"/>
  <c r="D342" i="31"/>
  <c r="H341" i="31"/>
  <c r="E341" i="31"/>
  <c r="D341" i="31"/>
  <c r="C341" i="31"/>
  <c r="B341" i="31" s="1"/>
  <c r="H340" i="31"/>
  <c r="E340" i="31"/>
  <c r="D340" i="31"/>
  <c r="C340" i="31"/>
  <c r="B340" i="31" s="1"/>
  <c r="J339" i="31"/>
  <c r="I339" i="31"/>
  <c r="G339" i="31"/>
  <c r="D339" i="31" s="1"/>
  <c r="F339" i="31"/>
  <c r="E339" i="31" s="1"/>
  <c r="C339" i="31"/>
  <c r="H338" i="31"/>
  <c r="E338" i="31"/>
  <c r="D338" i="31"/>
  <c r="C338" i="31"/>
  <c r="B338" i="31" s="1"/>
  <c r="H337" i="31"/>
  <c r="E337" i="31"/>
  <c r="D337" i="31"/>
  <c r="C337" i="31"/>
  <c r="I336" i="31"/>
  <c r="G336" i="31"/>
  <c r="F336" i="31"/>
  <c r="H335" i="31"/>
  <c r="E335" i="31"/>
  <c r="D335" i="31"/>
  <c r="C335" i="31"/>
  <c r="J334" i="31"/>
  <c r="H334" i="31" s="1"/>
  <c r="E334" i="31"/>
  <c r="C334" i="31"/>
  <c r="I333" i="31"/>
  <c r="G333" i="31"/>
  <c r="F333" i="31"/>
  <c r="H332" i="31"/>
  <c r="E332" i="31"/>
  <c r="D332" i="31"/>
  <c r="C332" i="31"/>
  <c r="J331" i="31"/>
  <c r="H331" i="31" s="1"/>
  <c r="E331" i="31"/>
  <c r="C331" i="31"/>
  <c r="I330" i="31"/>
  <c r="F330" i="31"/>
  <c r="F351" i="31" s="1"/>
  <c r="H329" i="31"/>
  <c r="E329" i="31"/>
  <c r="E350" i="31" s="1"/>
  <c r="D329" i="31"/>
  <c r="C329" i="31"/>
  <c r="C350" i="31" s="1"/>
  <c r="J328" i="31"/>
  <c r="G328" i="31"/>
  <c r="G330" i="31" s="1"/>
  <c r="G351" i="31" s="1"/>
  <c r="C328" i="31"/>
  <c r="C349" i="31" s="1"/>
  <c r="I323" i="31"/>
  <c r="F323" i="31"/>
  <c r="J322" i="31"/>
  <c r="I322" i="31"/>
  <c r="G322" i="31"/>
  <c r="F322" i="31"/>
  <c r="H321" i="31"/>
  <c r="E321" i="31"/>
  <c r="D321" i="31"/>
  <c r="C321" i="31"/>
  <c r="H320" i="31"/>
  <c r="H322" i="31" s="1"/>
  <c r="E320" i="31"/>
  <c r="E322" i="31" s="1"/>
  <c r="D320" i="31"/>
  <c r="D322" i="31" s="1"/>
  <c r="C320" i="31"/>
  <c r="C322" i="31" s="1"/>
  <c r="B320" i="31"/>
  <c r="J319" i="31"/>
  <c r="I319" i="31"/>
  <c r="G319" i="31"/>
  <c r="F319" i="31"/>
  <c r="H318" i="31"/>
  <c r="E318" i="31"/>
  <c r="D318" i="31"/>
  <c r="C318" i="31"/>
  <c r="B318" i="31" s="1"/>
  <c r="H317" i="31"/>
  <c r="H319" i="31" s="1"/>
  <c r="E317" i="31"/>
  <c r="D317" i="31"/>
  <c r="D319" i="31" s="1"/>
  <c r="C317" i="31"/>
  <c r="J316" i="31"/>
  <c r="I316" i="31"/>
  <c r="G316" i="31"/>
  <c r="F316" i="31"/>
  <c r="H315" i="31"/>
  <c r="E315" i="31"/>
  <c r="D315" i="31"/>
  <c r="C315" i="31"/>
  <c r="H314" i="31"/>
  <c r="H316" i="31" s="1"/>
  <c r="E314" i="31"/>
  <c r="E316" i="31" s="1"/>
  <c r="D314" i="31"/>
  <c r="D316" i="31" s="1"/>
  <c r="C314" i="31"/>
  <c r="C316" i="31" s="1"/>
  <c r="B314" i="31"/>
  <c r="J313" i="31"/>
  <c r="I313" i="31"/>
  <c r="G313" i="31"/>
  <c r="F313" i="31"/>
  <c r="H312" i="31"/>
  <c r="E312" i="31"/>
  <c r="D312" i="31"/>
  <c r="C312" i="31"/>
  <c r="B312" i="31" s="1"/>
  <c r="H311" i="31"/>
  <c r="H313" i="31" s="1"/>
  <c r="E311" i="31"/>
  <c r="D311" i="31"/>
  <c r="D313" i="31" s="1"/>
  <c r="C311" i="31"/>
  <c r="I310" i="31"/>
  <c r="F310" i="31"/>
  <c r="H309" i="31"/>
  <c r="E309" i="31"/>
  <c r="D309" i="31"/>
  <c r="C309" i="31"/>
  <c r="J308" i="31"/>
  <c r="H308" i="31" s="1"/>
  <c r="H310" i="31" s="1"/>
  <c r="G308" i="31"/>
  <c r="G310" i="31" s="1"/>
  <c r="D308" i="31"/>
  <c r="D310" i="31" s="1"/>
  <c r="C308" i="31"/>
  <c r="C310" i="31" s="1"/>
  <c r="B308" i="31"/>
  <c r="I307" i="31"/>
  <c r="F307" i="31"/>
  <c r="H306" i="31"/>
  <c r="E306" i="31"/>
  <c r="D306" i="31"/>
  <c r="C306" i="31"/>
  <c r="B306" i="31" s="1"/>
  <c r="J305" i="31"/>
  <c r="J307" i="31" s="1"/>
  <c r="G305" i="31"/>
  <c r="G307" i="31" s="1"/>
  <c r="C305" i="31"/>
  <c r="J304" i="31"/>
  <c r="I304" i="31"/>
  <c r="G304" i="31"/>
  <c r="F304" i="31"/>
  <c r="H303" i="31"/>
  <c r="E303" i="31"/>
  <c r="D303" i="31"/>
  <c r="C303" i="31"/>
  <c r="H302" i="31"/>
  <c r="H304" i="31" s="1"/>
  <c r="E302" i="31"/>
  <c r="E304" i="31" s="1"/>
  <c r="D302" i="31"/>
  <c r="D304" i="31" s="1"/>
  <c r="C302" i="31"/>
  <c r="C304" i="31" s="1"/>
  <c r="J301" i="31"/>
  <c r="I301" i="31"/>
  <c r="G301" i="31"/>
  <c r="F301" i="31"/>
  <c r="H300" i="31"/>
  <c r="E300" i="31"/>
  <c r="D300" i="31"/>
  <c r="C300" i="31"/>
  <c r="B300" i="31" s="1"/>
  <c r="H299" i="31"/>
  <c r="H301" i="31" s="1"/>
  <c r="E299" i="31"/>
  <c r="D299" i="31"/>
  <c r="D301" i="31" s="1"/>
  <c r="C299" i="31"/>
  <c r="J298" i="31"/>
  <c r="I298" i="31"/>
  <c r="G298" i="31"/>
  <c r="F298" i="31"/>
  <c r="H297" i="31"/>
  <c r="E297" i="31"/>
  <c r="D297" i="31"/>
  <c r="C297" i="31"/>
  <c r="H296" i="31"/>
  <c r="H298" i="31" s="1"/>
  <c r="E296" i="31"/>
  <c r="E298" i="31" s="1"/>
  <c r="D296" i="31"/>
  <c r="D298" i="31" s="1"/>
  <c r="C296" i="31"/>
  <c r="C298" i="31" s="1"/>
  <c r="B296" i="31"/>
  <c r="J295" i="31"/>
  <c r="I295" i="31"/>
  <c r="G295" i="31"/>
  <c r="F295" i="31"/>
  <c r="H294" i="31"/>
  <c r="E294" i="31"/>
  <c r="D294" i="31"/>
  <c r="C294" i="31"/>
  <c r="B294" i="31" s="1"/>
  <c r="H293" i="31"/>
  <c r="H295" i="31" s="1"/>
  <c r="E293" i="31"/>
  <c r="D293" i="31"/>
  <c r="D295" i="31" s="1"/>
  <c r="C293" i="31"/>
  <c r="J292" i="31"/>
  <c r="I292" i="31"/>
  <c r="G292" i="31"/>
  <c r="F292" i="31"/>
  <c r="H291" i="31"/>
  <c r="E291" i="31"/>
  <c r="D291" i="31"/>
  <c r="C291" i="31"/>
  <c r="H290" i="31"/>
  <c r="H292" i="31" s="1"/>
  <c r="E290" i="31"/>
  <c r="E292" i="31" s="1"/>
  <c r="D290" i="31"/>
  <c r="D292" i="31" s="1"/>
  <c r="C290" i="31"/>
  <c r="C292" i="31" s="1"/>
  <c r="B290" i="31"/>
  <c r="J289" i="31"/>
  <c r="I289" i="31"/>
  <c r="G289" i="31"/>
  <c r="F289" i="31"/>
  <c r="H288" i="31"/>
  <c r="E288" i="31"/>
  <c r="D288" i="31"/>
  <c r="C288" i="31"/>
  <c r="B288" i="31" s="1"/>
  <c r="H287" i="31"/>
  <c r="H289" i="31" s="1"/>
  <c r="E287" i="31"/>
  <c r="D287" i="31"/>
  <c r="D289" i="31" s="1"/>
  <c r="C287" i="31"/>
  <c r="J286" i="31"/>
  <c r="I286" i="31"/>
  <c r="G286" i="31"/>
  <c r="F286" i="31"/>
  <c r="H285" i="31"/>
  <c r="E285" i="31"/>
  <c r="D285" i="31"/>
  <c r="C285" i="31"/>
  <c r="H284" i="31"/>
  <c r="H286" i="31" s="1"/>
  <c r="E284" i="31"/>
  <c r="E286" i="31" s="1"/>
  <c r="D284" i="31"/>
  <c r="D286" i="31" s="1"/>
  <c r="C284" i="31"/>
  <c r="C286" i="31" s="1"/>
  <c r="B284" i="31"/>
  <c r="J283" i="31"/>
  <c r="I283" i="31"/>
  <c r="G283" i="31"/>
  <c r="F283" i="31"/>
  <c r="H282" i="31"/>
  <c r="E282" i="31"/>
  <c r="D282" i="31"/>
  <c r="C282" i="31"/>
  <c r="B282" i="31" s="1"/>
  <c r="H281" i="31"/>
  <c r="H283" i="31" s="1"/>
  <c r="E281" i="31"/>
  <c r="D281" i="31"/>
  <c r="D283" i="31" s="1"/>
  <c r="C281" i="31"/>
  <c r="J280" i="31"/>
  <c r="I280" i="31"/>
  <c r="G280" i="31"/>
  <c r="F280" i="31"/>
  <c r="H279" i="31"/>
  <c r="E279" i="31"/>
  <c r="D279" i="31"/>
  <c r="C279" i="31"/>
  <c r="H278" i="31"/>
  <c r="H280" i="31" s="1"/>
  <c r="E278" i="31"/>
  <c r="E280" i="31" s="1"/>
  <c r="D278" i="31"/>
  <c r="D280" i="31" s="1"/>
  <c r="C278" i="31"/>
  <c r="C280" i="31" s="1"/>
  <c r="B278" i="31"/>
  <c r="J277" i="31"/>
  <c r="I277" i="31"/>
  <c r="G277" i="31"/>
  <c r="F277" i="31"/>
  <c r="H276" i="31"/>
  <c r="E276" i="31"/>
  <c r="D276" i="31"/>
  <c r="C276" i="31"/>
  <c r="B276" i="31" s="1"/>
  <c r="H275" i="31"/>
  <c r="H277" i="31" s="1"/>
  <c r="E275" i="31"/>
  <c r="D275" i="31"/>
  <c r="D277" i="31" s="1"/>
  <c r="C275" i="31"/>
  <c r="J274" i="31"/>
  <c r="I274" i="31"/>
  <c r="G274" i="31"/>
  <c r="F274" i="31"/>
  <c r="H273" i="31"/>
  <c r="E273" i="31"/>
  <c r="D273" i="31"/>
  <c r="C273" i="31"/>
  <c r="H272" i="31"/>
  <c r="H274" i="31" s="1"/>
  <c r="E272" i="31"/>
  <c r="E274" i="31" s="1"/>
  <c r="D272" i="31"/>
  <c r="D274" i="31" s="1"/>
  <c r="C272" i="31"/>
  <c r="C274" i="31" s="1"/>
  <c r="B272" i="31"/>
  <c r="J271" i="31"/>
  <c r="I271" i="31"/>
  <c r="G271" i="31"/>
  <c r="F271" i="31"/>
  <c r="H270" i="31"/>
  <c r="E270" i="31"/>
  <c r="D270" i="31"/>
  <c r="C270" i="31"/>
  <c r="B270" i="31" s="1"/>
  <c r="H269" i="31"/>
  <c r="H271" i="31" s="1"/>
  <c r="E269" i="31"/>
  <c r="D269" i="31"/>
  <c r="D271" i="31" s="1"/>
  <c r="C269" i="31"/>
  <c r="J268" i="31"/>
  <c r="I268" i="31"/>
  <c r="G268" i="31"/>
  <c r="F268" i="31"/>
  <c r="H267" i="31"/>
  <c r="E267" i="31"/>
  <c r="D267" i="31"/>
  <c r="C267" i="31"/>
  <c r="H266" i="31"/>
  <c r="H268" i="31" s="1"/>
  <c r="E266" i="31"/>
  <c r="E268" i="31" s="1"/>
  <c r="D266" i="31"/>
  <c r="D268" i="31" s="1"/>
  <c r="C266" i="31"/>
  <c r="C268" i="31" s="1"/>
  <c r="B266" i="31"/>
  <c r="I265" i="31"/>
  <c r="F265" i="31"/>
  <c r="H264" i="31"/>
  <c r="E264" i="31"/>
  <c r="D264" i="31"/>
  <c r="C264" i="31"/>
  <c r="B264" i="31" s="1"/>
  <c r="J263" i="31"/>
  <c r="J323" i="31" s="1"/>
  <c r="G263" i="31"/>
  <c r="G323" i="31" s="1"/>
  <c r="D263" i="31"/>
  <c r="D265" i="31" s="1"/>
  <c r="C263" i="31"/>
  <c r="J262" i="31"/>
  <c r="I262" i="31"/>
  <c r="G262" i="31"/>
  <c r="F262" i="31"/>
  <c r="H261" i="31"/>
  <c r="E261" i="31"/>
  <c r="D261" i="31"/>
  <c r="C261" i="31"/>
  <c r="H260" i="31"/>
  <c r="H262" i="31" s="1"/>
  <c r="E260" i="31"/>
  <c r="E262" i="31" s="1"/>
  <c r="D260" i="31"/>
  <c r="D262" i="31" s="1"/>
  <c r="C260" i="31"/>
  <c r="C262" i="31" s="1"/>
  <c r="B260" i="31"/>
  <c r="J259" i="31"/>
  <c r="I259" i="31"/>
  <c r="G259" i="31"/>
  <c r="F259" i="31"/>
  <c r="H258" i="31"/>
  <c r="E258" i="31"/>
  <c r="D258" i="31"/>
  <c r="C258" i="31"/>
  <c r="B258" i="31" s="1"/>
  <c r="H257" i="31"/>
  <c r="H259" i="31" s="1"/>
  <c r="E257" i="31"/>
  <c r="D257" i="31"/>
  <c r="D259" i="31" s="1"/>
  <c r="C257" i="31"/>
  <c r="G256" i="31"/>
  <c r="J255" i="31"/>
  <c r="J256" i="31" s="1"/>
  <c r="I255" i="31"/>
  <c r="I256" i="31" s="1"/>
  <c r="F255" i="31"/>
  <c r="E255" i="31" s="1"/>
  <c r="D255" i="31"/>
  <c r="H254" i="31"/>
  <c r="E254" i="31"/>
  <c r="D254" i="31"/>
  <c r="C254" i="31"/>
  <c r="J252" i="31"/>
  <c r="J324" i="31" s="1"/>
  <c r="I252" i="31"/>
  <c r="I324" i="31" s="1"/>
  <c r="G252" i="31"/>
  <c r="G324" i="31" s="1"/>
  <c r="F252" i="31"/>
  <c r="F324" i="31" s="1"/>
  <c r="C252" i="31"/>
  <c r="H251" i="31"/>
  <c r="E251" i="31"/>
  <c r="D251" i="31"/>
  <c r="C251" i="31"/>
  <c r="C253" i="31" s="1"/>
  <c r="J247" i="31"/>
  <c r="I247" i="31"/>
  <c r="G247" i="31"/>
  <c r="F247" i="31"/>
  <c r="J246" i="31"/>
  <c r="J248" i="31" s="1"/>
  <c r="I246" i="31"/>
  <c r="I248" i="31" s="1"/>
  <c r="G246" i="31"/>
  <c r="G248" i="31" s="1"/>
  <c r="F246" i="31"/>
  <c r="F248" i="31" s="1"/>
  <c r="J245" i="31"/>
  <c r="I245" i="31"/>
  <c r="G245" i="31"/>
  <c r="F245" i="31"/>
  <c r="H244" i="31"/>
  <c r="E244" i="31"/>
  <c r="D244" i="31"/>
  <c r="C244" i="31"/>
  <c r="H243" i="31"/>
  <c r="H245" i="31" s="1"/>
  <c r="E243" i="31"/>
  <c r="E245" i="31" s="1"/>
  <c r="D243" i="31"/>
  <c r="D245" i="31" s="1"/>
  <c r="C243" i="31"/>
  <c r="C245" i="31" s="1"/>
  <c r="B243" i="31"/>
  <c r="J242" i="31"/>
  <c r="I242" i="31"/>
  <c r="G242" i="31"/>
  <c r="F242" i="31"/>
  <c r="H241" i="31"/>
  <c r="E241" i="31"/>
  <c r="D241" i="31"/>
  <c r="C241" i="31"/>
  <c r="B241" i="31" s="1"/>
  <c r="H240" i="31"/>
  <c r="H242" i="31" s="1"/>
  <c r="E240" i="31"/>
  <c r="D240" i="31"/>
  <c r="D242" i="31" s="1"/>
  <c r="C240" i="31"/>
  <c r="J239" i="31"/>
  <c r="I239" i="31"/>
  <c r="G239" i="31"/>
  <c r="F239" i="31"/>
  <c r="H238" i="31"/>
  <c r="E238" i="31"/>
  <c r="D238" i="31"/>
  <c r="C238" i="31"/>
  <c r="H237" i="31"/>
  <c r="H239" i="31" s="1"/>
  <c r="E237" i="31"/>
  <c r="E239" i="31" s="1"/>
  <c r="D237" i="31"/>
  <c r="D239" i="31" s="1"/>
  <c r="C237" i="31"/>
  <c r="C239" i="31" s="1"/>
  <c r="B237" i="31"/>
  <c r="J236" i="31"/>
  <c r="I236" i="31"/>
  <c r="G236" i="31"/>
  <c r="F236" i="31"/>
  <c r="H235" i="31"/>
  <c r="E235" i="31"/>
  <c r="D235" i="31"/>
  <c r="C235" i="31"/>
  <c r="B235" i="31" s="1"/>
  <c r="H234" i="31"/>
  <c r="H236" i="31" s="1"/>
  <c r="E234" i="31"/>
  <c r="D234" i="31"/>
  <c r="D236" i="31" s="1"/>
  <c r="C234" i="31"/>
  <c r="J233" i="31"/>
  <c r="I233" i="31"/>
  <c r="G233" i="31"/>
  <c r="F233" i="31"/>
  <c r="H232" i="31"/>
  <c r="E232" i="31"/>
  <c r="D232" i="31"/>
  <c r="C232" i="31"/>
  <c r="H231" i="31"/>
  <c r="H233" i="31" s="1"/>
  <c r="E231" i="31"/>
  <c r="E233" i="31" s="1"/>
  <c r="D231" i="31"/>
  <c r="D233" i="31" s="1"/>
  <c r="C231" i="31"/>
  <c r="C233" i="31" s="1"/>
  <c r="B231" i="31"/>
  <c r="J230" i="31"/>
  <c r="I230" i="31"/>
  <c r="G230" i="31"/>
  <c r="F230" i="31"/>
  <c r="H229" i="31"/>
  <c r="E229" i="31"/>
  <c r="D229" i="31"/>
  <c r="C229" i="31"/>
  <c r="B229" i="31" s="1"/>
  <c r="H228" i="31"/>
  <c r="H230" i="31" s="1"/>
  <c r="E228" i="31"/>
  <c r="D228" i="31"/>
  <c r="D230" i="31" s="1"/>
  <c r="C228" i="31"/>
  <c r="J227" i="31"/>
  <c r="I227" i="31"/>
  <c r="G227" i="31"/>
  <c r="F227" i="31"/>
  <c r="H226" i="31"/>
  <c r="E226" i="31"/>
  <c r="D226" i="31"/>
  <c r="C226" i="31"/>
  <c r="H225" i="31"/>
  <c r="H227" i="31" s="1"/>
  <c r="E225" i="31"/>
  <c r="E227" i="31" s="1"/>
  <c r="D225" i="31"/>
  <c r="D227" i="31" s="1"/>
  <c r="C225" i="31"/>
  <c r="C227" i="31" s="1"/>
  <c r="B225" i="31"/>
  <c r="J224" i="31"/>
  <c r="I224" i="31"/>
  <c r="G224" i="31"/>
  <c r="F224" i="31"/>
  <c r="H223" i="31"/>
  <c r="E223" i="31"/>
  <c r="D223" i="31"/>
  <c r="C223" i="31"/>
  <c r="B223" i="31" s="1"/>
  <c r="H222" i="31"/>
  <c r="H224" i="31" s="1"/>
  <c r="E222" i="31"/>
  <c r="D222" i="31"/>
  <c r="D224" i="31" s="1"/>
  <c r="C222" i="31"/>
  <c r="J221" i="31"/>
  <c r="I221" i="31"/>
  <c r="G221" i="31"/>
  <c r="F221" i="31"/>
  <c r="H220" i="31"/>
  <c r="E220" i="31"/>
  <c r="D220" i="31"/>
  <c r="C220" i="31"/>
  <c r="H219" i="31"/>
  <c r="H221" i="31" s="1"/>
  <c r="E219" i="31"/>
  <c r="E221" i="31" s="1"/>
  <c r="D219" i="31"/>
  <c r="D221" i="31" s="1"/>
  <c r="C219" i="31"/>
  <c r="C221" i="31" s="1"/>
  <c r="B219" i="31"/>
  <c r="J218" i="31"/>
  <c r="I218" i="31"/>
  <c r="G218" i="31"/>
  <c r="F218" i="31"/>
  <c r="H217" i="31"/>
  <c r="E217" i="31"/>
  <c r="D217" i="31"/>
  <c r="C217" i="31"/>
  <c r="B217" i="31" s="1"/>
  <c r="H216" i="31"/>
  <c r="H218" i="31" s="1"/>
  <c r="E216" i="31"/>
  <c r="D216" i="31"/>
  <c r="D218" i="31" s="1"/>
  <c r="C216" i="31"/>
  <c r="J215" i="31"/>
  <c r="I215" i="31"/>
  <c r="G215" i="31"/>
  <c r="F215" i="31"/>
  <c r="H214" i="31"/>
  <c r="E214" i="31"/>
  <c r="D214" i="31"/>
  <c r="C214" i="31"/>
  <c r="H213" i="31"/>
  <c r="H215" i="31" s="1"/>
  <c r="E213" i="31"/>
  <c r="E215" i="31" s="1"/>
  <c r="D213" i="31"/>
  <c r="D215" i="31" s="1"/>
  <c r="C213" i="31"/>
  <c r="C215" i="31" s="1"/>
  <c r="B213" i="31"/>
  <c r="J212" i="31"/>
  <c r="I212" i="31"/>
  <c r="G212" i="31"/>
  <c r="F212" i="31"/>
  <c r="H211" i="31"/>
  <c r="E211" i="31"/>
  <c r="D211" i="31"/>
  <c r="C211" i="31"/>
  <c r="B211" i="31" s="1"/>
  <c r="H210" i="31"/>
  <c r="H212" i="31" s="1"/>
  <c r="E210" i="31"/>
  <c r="D210" i="31"/>
  <c r="D212" i="31" s="1"/>
  <c r="C210" i="31"/>
  <c r="J209" i="31"/>
  <c r="I209" i="31"/>
  <c r="G209" i="31"/>
  <c r="F209" i="31"/>
  <c r="H208" i="31"/>
  <c r="E208" i="31"/>
  <c r="D208" i="31"/>
  <c r="C208" i="31"/>
  <c r="H207" i="31"/>
  <c r="H209" i="31" s="1"/>
  <c r="E207" i="31"/>
  <c r="E209" i="31" s="1"/>
  <c r="D207" i="31"/>
  <c r="D209" i="31" s="1"/>
  <c r="C207" i="31"/>
  <c r="C209" i="31" s="1"/>
  <c r="B207" i="31"/>
  <c r="J206" i="31"/>
  <c r="I206" i="31"/>
  <c r="G206" i="31"/>
  <c r="F206" i="31"/>
  <c r="H205" i="31"/>
  <c r="E205" i="31"/>
  <c r="D205" i="31"/>
  <c r="C205" i="31"/>
  <c r="B205" i="31" s="1"/>
  <c r="H204" i="31"/>
  <c r="H206" i="31" s="1"/>
  <c r="E204" i="31"/>
  <c r="D204" i="31"/>
  <c r="D206" i="31" s="1"/>
  <c r="C204" i="31"/>
  <c r="J203" i="31"/>
  <c r="I203" i="31"/>
  <c r="G203" i="31"/>
  <c r="F203" i="31"/>
  <c r="H202" i="31"/>
  <c r="E202" i="31"/>
  <c r="D202" i="31"/>
  <c r="C202" i="31"/>
  <c r="H201" i="31"/>
  <c r="H203" i="31" s="1"/>
  <c r="E201" i="31"/>
  <c r="E203" i="31" s="1"/>
  <c r="D201" i="31"/>
  <c r="D203" i="31" s="1"/>
  <c r="C201" i="31"/>
  <c r="C203" i="31" s="1"/>
  <c r="B201" i="31"/>
  <c r="J200" i="31"/>
  <c r="I200" i="31"/>
  <c r="G200" i="31"/>
  <c r="F200" i="31"/>
  <c r="H199" i="31"/>
  <c r="E199" i="31"/>
  <c r="D199" i="31"/>
  <c r="C199" i="31"/>
  <c r="B199" i="31" s="1"/>
  <c r="H198" i="31"/>
  <c r="H200" i="31" s="1"/>
  <c r="E198" i="31"/>
  <c r="D198" i="31"/>
  <c r="D200" i="31" s="1"/>
  <c r="C198" i="31"/>
  <c r="J197" i="31"/>
  <c r="I197" i="31"/>
  <c r="G197" i="31"/>
  <c r="F197" i="31"/>
  <c r="H196" i="31"/>
  <c r="E196" i="31"/>
  <c r="D196" i="31"/>
  <c r="C196" i="31"/>
  <c r="H195" i="31"/>
  <c r="H197" i="31" s="1"/>
  <c r="E195" i="31"/>
  <c r="E197" i="31" s="1"/>
  <c r="D195" i="31"/>
  <c r="D197" i="31" s="1"/>
  <c r="C195" i="31"/>
  <c r="C197" i="31" s="1"/>
  <c r="B195" i="31"/>
  <c r="J194" i="31"/>
  <c r="I194" i="31"/>
  <c r="G194" i="31"/>
  <c r="F194" i="31"/>
  <c r="H193" i="31"/>
  <c r="E193" i="31"/>
  <c r="D193" i="31"/>
  <c r="C193" i="31"/>
  <c r="B193" i="31" s="1"/>
  <c r="H192" i="31"/>
  <c r="H194" i="31" s="1"/>
  <c r="E192" i="31"/>
  <c r="D192" i="31"/>
  <c r="D194" i="31" s="1"/>
  <c r="C192" i="31"/>
  <c r="J191" i="31"/>
  <c r="I191" i="31"/>
  <c r="G191" i="31"/>
  <c r="F191" i="31"/>
  <c r="H190" i="31"/>
  <c r="E190" i="31"/>
  <c r="D190" i="31"/>
  <c r="C190" i="31"/>
  <c r="H189" i="31"/>
  <c r="H191" i="31" s="1"/>
  <c r="E189" i="31"/>
  <c r="E191" i="31" s="1"/>
  <c r="D189" i="31"/>
  <c r="D191" i="31" s="1"/>
  <c r="C189" i="31"/>
  <c r="C191" i="31" s="1"/>
  <c r="B189" i="31"/>
  <c r="J188" i="31"/>
  <c r="I188" i="31"/>
  <c r="G188" i="31"/>
  <c r="F188" i="31"/>
  <c r="H187" i="31"/>
  <c r="E187" i="31"/>
  <c r="D187" i="31"/>
  <c r="C187" i="31"/>
  <c r="B187" i="31" s="1"/>
  <c r="H186" i="31"/>
  <c r="H188" i="31" s="1"/>
  <c r="E186" i="31"/>
  <c r="D186" i="31"/>
  <c r="D188" i="31" s="1"/>
  <c r="C186" i="31"/>
  <c r="J185" i="31"/>
  <c r="I185" i="31"/>
  <c r="G185" i="31"/>
  <c r="F185" i="31"/>
  <c r="H184" i="31"/>
  <c r="E184" i="31"/>
  <c r="D184" i="31"/>
  <c r="C184" i="31"/>
  <c r="H183" i="31"/>
  <c r="H185" i="31" s="1"/>
  <c r="E183" i="31"/>
  <c r="E185" i="31" s="1"/>
  <c r="D183" i="31"/>
  <c r="D185" i="31" s="1"/>
  <c r="C183" i="31"/>
  <c r="C185" i="31" s="1"/>
  <c r="B183" i="31"/>
  <c r="J182" i="31"/>
  <c r="I182" i="31"/>
  <c r="G182" i="31"/>
  <c r="F182" i="31"/>
  <c r="H181" i="31"/>
  <c r="E181" i="31"/>
  <c r="D181" i="31"/>
  <c r="C181" i="31"/>
  <c r="B181" i="31" s="1"/>
  <c r="H180" i="31"/>
  <c r="H182" i="31" s="1"/>
  <c r="E180" i="31"/>
  <c r="D180" i="31"/>
  <c r="D182" i="31" s="1"/>
  <c r="C180" i="31"/>
  <c r="J179" i="31"/>
  <c r="I179" i="31"/>
  <c r="G179" i="31"/>
  <c r="F179" i="31"/>
  <c r="H178" i="31"/>
  <c r="E178" i="31"/>
  <c r="D178" i="31"/>
  <c r="C178" i="31"/>
  <c r="H177" i="31"/>
  <c r="H179" i="31" s="1"/>
  <c r="E177" i="31"/>
  <c r="E179" i="31" s="1"/>
  <c r="D177" i="31"/>
  <c r="D179" i="31" s="1"/>
  <c r="C177" i="31"/>
  <c r="C179" i="31" s="1"/>
  <c r="B177" i="31"/>
  <c r="J176" i="31"/>
  <c r="I176" i="31"/>
  <c r="G176" i="31"/>
  <c r="F176" i="31"/>
  <c r="H175" i="31"/>
  <c r="E175" i="31"/>
  <c r="D175" i="31"/>
  <c r="C175" i="31"/>
  <c r="B175" i="31" s="1"/>
  <c r="H174" i="31"/>
  <c r="H176" i="31" s="1"/>
  <c r="E174" i="31"/>
  <c r="D174" i="31"/>
  <c r="D176" i="31" s="1"/>
  <c r="C174" i="31"/>
  <c r="J173" i="31"/>
  <c r="I173" i="31"/>
  <c r="G173" i="31"/>
  <c r="F173" i="31"/>
  <c r="H172" i="31"/>
  <c r="E172" i="31"/>
  <c r="D172" i="31"/>
  <c r="C172" i="31"/>
  <c r="H171" i="31"/>
  <c r="H173" i="31" s="1"/>
  <c r="E171" i="31"/>
  <c r="E173" i="31" s="1"/>
  <c r="D171" i="31"/>
  <c r="D173" i="31" s="1"/>
  <c r="C171" i="31"/>
  <c r="C173" i="31" s="1"/>
  <c r="B171" i="31"/>
  <c r="J170" i="31"/>
  <c r="I170" i="31"/>
  <c r="G170" i="31"/>
  <c r="F170" i="31"/>
  <c r="H169" i="31"/>
  <c r="E169" i="31"/>
  <c r="D169" i="31"/>
  <c r="C169" i="31"/>
  <c r="B169" i="31" s="1"/>
  <c r="H168" i="31"/>
  <c r="H170" i="31" s="1"/>
  <c r="E168" i="31"/>
  <c r="D168" i="31"/>
  <c r="D170" i="31" s="1"/>
  <c r="C168" i="31"/>
  <c r="J167" i="31"/>
  <c r="I167" i="31"/>
  <c r="G167" i="31"/>
  <c r="F167" i="31"/>
  <c r="H166" i="31"/>
  <c r="E166" i="31"/>
  <c r="D166" i="31"/>
  <c r="C166" i="31"/>
  <c r="H165" i="31"/>
  <c r="H167" i="31" s="1"/>
  <c r="E165" i="31"/>
  <c r="E167" i="31" s="1"/>
  <c r="D165" i="31"/>
  <c r="D167" i="31" s="1"/>
  <c r="C165" i="31"/>
  <c r="C167" i="31" s="1"/>
  <c r="B165" i="31"/>
  <c r="J164" i="31"/>
  <c r="I164" i="31"/>
  <c r="G164" i="31"/>
  <c r="F164" i="31"/>
  <c r="H163" i="31"/>
  <c r="E163" i="31"/>
  <c r="D163" i="31"/>
  <c r="C163" i="31"/>
  <c r="B163" i="31" s="1"/>
  <c r="H162" i="31"/>
  <c r="H164" i="31" s="1"/>
  <c r="E162" i="31"/>
  <c r="D162" i="31"/>
  <c r="D164" i="31" s="1"/>
  <c r="C162" i="31"/>
  <c r="J161" i="31"/>
  <c r="I161" i="31"/>
  <c r="G161" i="31"/>
  <c r="F161" i="31"/>
  <c r="H160" i="31"/>
  <c r="E160" i="31"/>
  <c r="D160" i="31"/>
  <c r="C160" i="31"/>
  <c r="H159" i="31"/>
  <c r="H161" i="31" s="1"/>
  <c r="E159" i="31"/>
  <c r="E161" i="31" s="1"/>
  <c r="D159" i="31"/>
  <c r="D161" i="31" s="1"/>
  <c r="C159" i="31"/>
  <c r="C161" i="31" s="1"/>
  <c r="B159" i="31"/>
  <c r="J158" i="31"/>
  <c r="I158" i="31"/>
  <c r="G158" i="31"/>
  <c r="F158" i="31"/>
  <c r="H157" i="31"/>
  <c r="E157" i="31"/>
  <c r="D157" i="31"/>
  <c r="C157" i="31"/>
  <c r="B157" i="31" s="1"/>
  <c r="H156" i="31"/>
  <c r="H158" i="31" s="1"/>
  <c r="E156" i="31"/>
  <c r="D156" i="31"/>
  <c r="D158" i="31" s="1"/>
  <c r="C156" i="31"/>
  <c r="J155" i="31"/>
  <c r="I155" i="31"/>
  <c r="G155" i="31"/>
  <c r="F155" i="31"/>
  <c r="H154" i="31"/>
  <c r="E154" i="31"/>
  <c r="D154" i="31"/>
  <c r="C154" i="31"/>
  <c r="H153" i="31"/>
  <c r="H155" i="31" s="1"/>
  <c r="E153" i="31"/>
  <c r="E155" i="31" s="1"/>
  <c r="D153" i="31"/>
  <c r="D155" i="31" s="1"/>
  <c r="C153" i="31"/>
  <c r="C155" i="31" s="1"/>
  <c r="B153" i="31"/>
  <c r="J152" i="31"/>
  <c r="I152" i="31"/>
  <c r="G152" i="31"/>
  <c r="F152" i="31"/>
  <c r="H151" i="31"/>
  <c r="E151" i="31"/>
  <c r="D151" i="31"/>
  <c r="C151" i="31"/>
  <c r="B151" i="31" s="1"/>
  <c r="H150" i="31"/>
  <c r="H152" i="31" s="1"/>
  <c r="E150" i="31"/>
  <c r="D150" i="31"/>
  <c r="D152" i="31" s="1"/>
  <c r="C150" i="31"/>
  <c r="J149" i="31"/>
  <c r="I149" i="31"/>
  <c r="G149" i="31"/>
  <c r="F149" i="31"/>
  <c r="H148" i="31"/>
  <c r="E148" i="31"/>
  <c r="D148" i="31"/>
  <c r="C148" i="31"/>
  <c r="H147" i="31"/>
  <c r="H149" i="31" s="1"/>
  <c r="E147" i="31"/>
  <c r="E149" i="31" s="1"/>
  <c r="D147" i="31"/>
  <c r="D149" i="31" s="1"/>
  <c r="C147" i="31"/>
  <c r="C149" i="31" s="1"/>
  <c r="B147" i="31"/>
  <c r="J146" i="31"/>
  <c r="I146" i="31"/>
  <c r="G146" i="31"/>
  <c r="F146" i="31"/>
  <c r="H145" i="31"/>
  <c r="E145" i="31"/>
  <c r="D145" i="31"/>
  <c r="C145" i="31"/>
  <c r="B145" i="31" s="1"/>
  <c r="H144" i="31"/>
  <c r="H146" i="31" s="1"/>
  <c r="E144" i="31"/>
  <c r="D144" i="31"/>
  <c r="D146" i="31" s="1"/>
  <c r="C144" i="31"/>
  <c r="J143" i="31"/>
  <c r="I143" i="31"/>
  <c r="G143" i="31"/>
  <c r="F143" i="31"/>
  <c r="H142" i="31"/>
  <c r="E142" i="31"/>
  <c r="D142" i="31"/>
  <c r="C142" i="31"/>
  <c r="H141" i="31"/>
  <c r="H143" i="31" s="1"/>
  <c r="E141" i="31"/>
  <c r="E143" i="31" s="1"/>
  <c r="D141" i="31"/>
  <c r="D143" i="31" s="1"/>
  <c r="C141" i="31"/>
  <c r="C143" i="31" s="1"/>
  <c r="B141" i="31"/>
  <c r="J140" i="31"/>
  <c r="I140" i="31"/>
  <c r="G140" i="31"/>
  <c r="F140" i="31"/>
  <c r="H139" i="31"/>
  <c r="E139" i="31"/>
  <c r="D139" i="31"/>
  <c r="C139" i="31"/>
  <c r="B139" i="31" s="1"/>
  <c r="H138" i="31"/>
  <c r="H140" i="31" s="1"/>
  <c r="E138" i="31"/>
  <c r="D138" i="31"/>
  <c r="D140" i="31" s="1"/>
  <c r="C138" i="31"/>
  <c r="J137" i="31"/>
  <c r="I137" i="31"/>
  <c r="G137" i="31"/>
  <c r="F137" i="31"/>
  <c r="H136" i="31"/>
  <c r="E136" i="31"/>
  <c r="D136" i="31"/>
  <c r="C136" i="31"/>
  <c r="H135" i="31"/>
  <c r="H137" i="31" s="1"/>
  <c r="E135" i="31"/>
  <c r="E137" i="31" s="1"/>
  <c r="D135" i="31"/>
  <c r="D137" i="31" s="1"/>
  <c r="C135" i="31"/>
  <c r="C137" i="31" s="1"/>
  <c r="B135" i="31"/>
  <c r="J134" i="31"/>
  <c r="I134" i="31"/>
  <c r="G134" i="31"/>
  <c r="F134" i="31"/>
  <c r="H133" i="31"/>
  <c r="E133" i="31"/>
  <c r="D133" i="31"/>
  <c r="C133" i="31"/>
  <c r="B133" i="31" s="1"/>
  <c r="H132" i="31"/>
  <c r="H134" i="31" s="1"/>
  <c r="E132" i="31"/>
  <c r="D132" i="31"/>
  <c r="D134" i="31" s="1"/>
  <c r="C132" i="31"/>
  <c r="J131" i="31"/>
  <c r="I131" i="31"/>
  <c r="G131" i="31"/>
  <c r="F131" i="31"/>
  <c r="H130" i="31"/>
  <c r="H247" i="31" s="1"/>
  <c r="E130" i="31"/>
  <c r="E247" i="31" s="1"/>
  <c r="D130" i="31"/>
  <c r="D247" i="31" s="1"/>
  <c r="C130" i="31"/>
  <c r="C247" i="31" s="1"/>
  <c r="H129" i="31"/>
  <c r="H246" i="31" s="1"/>
  <c r="H248" i="31" s="1"/>
  <c r="E129" i="31"/>
  <c r="E131" i="31" s="1"/>
  <c r="D129" i="31"/>
  <c r="D246" i="31" s="1"/>
  <c r="D248" i="31" s="1"/>
  <c r="C129" i="31"/>
  <c r="C131" i="31" s="1"/>
  <c r="B129" i="31"/>
  <c r="J125" i="31"/>
  <c r="G125" i="31"/>
  <c r="F125" i="31"/>
  <c r="J124" i="31"/>
  <c r="J126" i="31" s="1"/>
  <c r="G124" i="31"/>
  <c r="F124" i="31"/>
  <c r="F126" i="31" s="1"/>
  <c r="J123" i="31"/>
  <c r="I123" i="31"/>
  <c r="G123" i="31"/>
  <c r="F123" i="31"/>
  <c r="H122" i="31"/>
  <c r="E122" i="31"/>
  <c r="D122" i="31"/>
  <c r="C122" i="31"/>
  <c r="B122" i="31" s="1"/>
  <c r="H121" i="31"/>
  <c r="H123" i="31" s="1"/>
  <c r="E121" i="31"/>
  <c r="E123" i="31" s="1"/>
  <c r="D121" i="31"/>
  <c r="D123" i="31" s="1"/>
  <c r="C121" i="31"/>
  <c r="C123" i="31" s="1"/>
  <c r="J120" i="31"/>
  <c r="I120" i="31"/>
  <c r="G120" i="31"/>
  <c r="F120" i="31"/>
  <c r="H119" i="31"/>
  <c r="E119" i="31"/>
  <c r="D119" i="31"/>
  <c r="C119" i="31"/>
  <c r="B119" i="31" s="1"/>
  <c r="H118" i="31"/>
  <c r="E118" i="31"/>
  <c r="D118" i="31"/>
  <c r="C118" i="31"/>
  <c r="J117" i="31"/>
  <c r="I117" i="31"/>
  <c r="G117" i="31"/>
  <c r="F117" i="31"/>
  <c r="H116" i="31"/>
  <c r="E116" i="31"/>
  <c r="D116" i="31"/>
  <c r="C116" i="31"/>
  <c r="H115" i="31"/>
  <c r="H117" i="31" s="1"/>
  <c r="E115" i="31"/>
  <c r="E117" i="31" s="1"/>
  <c r="D115" i="31"/>
  <c r="D117" i="31" s="1"/>
  <c r="C115" i="31"/>
  <c r="C117" i="31" s="1"/>
  <c r="J114" i="31"/>
  <c r="I114" i="31"/>
  <c r="G114" i="31"/>
  <c r="F114" i="31"/>
  <c r="H113" i="31"/>
  <c r="E113" i="31"/>
  <c r="D113" i="31"/>
  <c r="C113" i="31"/>
  <c r="B113" i="31"/>
  <c r="H112" i="31"/>
  <c r="E112" i="31"/>
  <c r="E114" i="31" s="1"/>
  <c r="D112" i="31"/>
  <c r="C112" i="31"/>
  <c r="B112" i="31" s="1"/>
  <c r="B114" i="31" s="1"/>
  <c r="J111" i="31"/>
  <c r="I111" i="31"/>
  <c r="G111" i="31"/>
  <c r="F111" i="31"/>
  <c r="H110" i="31"/>
  <c r="E110" i="31"/>
  <c r="D110" i="31"/>
  <c r="C110" i="31"/>
  <c r="B110" i="31" s="1"/>
  <c r="H109" i="31"/>
  <c r="H111" i="31" s="1"/>
  <c r="E109" i="31"/>
  <c r="E111" i="31" s="1"/>
  <c r="D109" i="31"/>
  <c r="D111" i="31" s="1"/>
  <c r="C109" i="31"/>
  <c r="C111" i="31" s="1"/>
  <c r="J108" i="31"/>
  <c r="G108" i="31"/>
  <c r="F108" i="31"/>
  <c r="H107" i="31"/>
  <c r="E107" i="31"/>
  <c r="D107" i="31"/>
  <c r="C107" i="31"/>
  <c r="I106" i="31"/>
  <c r="I108" i="31" s="1"/>
  <c r="E106" i="31"/>
  <c r="E108" i="31" s="1"/>
  <c r="D106" i="31"/>
  <c r="D108" i="31" s="1"/>
  <c r="J105" i="31"/>
  <c r="G105" i="31"/>
  <c r="F105" i="31"/>
  <c r="H104" i="31"/>
  <c r="E104" i="31"/>
  <c r="D104" i="31"/>
  <c r="C104" i="31"/>
  <c r="B104" i="31" s="1"/>
  <c r="I103" i="31"/>
  <c r="I105" i="31" s="1"/>
  <c r="E103" i="31"/>
  <c r="E105" i="31" s="1"/>
  <c r="D103" i="31"/>
  <c r="D105" i="31" s="1"/>
  <c r="C103" i="31"/>
  <c r="C105" i="31" s="1"/>
  <c r="J102" i="31"/>
  <c r="I102" i="31"/>
  <c r="G102" i="31"/>
  <c r="F102" i="31"/>
  <c r="H101" i="31"/>
  <c r="E101" i="31"/>
  <c r="D101" i="31"/>
  <c r="C101" i="31"/>
  <c r="B101" i="31" s="1"/>
  <c r="H100" i="31"/>
  <c r="E100" i="31"/>
  <c r="D100" i="31"/>
  <c r="C100" i="31"/>
  <c r="J99" i="31"/>
  <c r="G99" i="31"/>
  <c r="F99" i="31"/>
  <c r="H98" i="31"/>
  <c r="E98" i="31"/>
  <c r="D98" i="31"/>
  <c r="C98" i="31"/>
  <c r="I97" i="31"/>
  <c r="I99" i="31" s="1"/>
  <c r="E97" i="31"/>
  <c r="E99" i="31" s="1"/>
  <c r="D97" i="31"/>
  <c r="D99" i="31" s="1"/>
  <c r="J96" i="31"/>
  <c r="G96" i="31"/>
  <c r="F96" i="31"/>
  <c r="I95" i="31"/>
  <c r="I125" i="31" s="1"/>
  <c r="H95" i="31"/>
  <c r="E95" i="31"/>
  <c r="D95" i="31"/>
  <c r="C95" i="31"/>
  <c r="B95" i="31"/>
  <c r="I94" i="31"/>
  <c r="I96" i="31" s="1"/>
  <c r="H94" i="31"/>
  <c r="H96" i="31" s="1"/>
  <c r="E94" i="31"/>
  <c r="E96" i="31" s="1"/>
  <c r="D94" i="31"/>
  <c r="D96" i="31" s="1"/>
  <c r="C94" i="31"/>
  <c r="C96" i="31" s="1"/>
  <c r="B94" i="31"/>
  <c r="B96" i="31" s="1"/>
  <c r="J93" i="31"/>
  <c r="G93" i="31"/>
  <c r="F93" i="31"/>
  <c r="H92" i="31"/>
  <c r="E92" i="31"/>
  <c r="D92" i="31"/>
  <c r="C92" i="31"/>
  <c r="I91" i="31"/>
  <c r="I93" i="31" s="1"/>
  <c r="E91" i="31"/>
  <c r="E93" i="31" s="1"/>
  <c r="D91" i="31"/>
  <c r="D93" i="31" s="1"/>
  <c r="J90" i="31"/>
  <c r="G90" i="31"/>
  <c r="F90" i="31"/>
  <c r="H89" i="31"/>
  <c r="H125" i="31" s="1"/>
  <c r="E89" i="31"/>
  <c r="E125" i="31" s="1"/>
  <c r="D89" i="31"/>
  <c r="D125" i="31" s="1"/>
  <c r="C89" i="31"/>
  <c r="C125" i="31" s="1"/>
  <c r="I88" i="31"/>
  <c r="I124" i="31" s="1"/>
  <c r="I126" i="31" s="1"/>
  <c r="E88" i="31"/>
  <c r="E124" i="31" s="1"/>
  <c r="E126" i="31" s="1"/>
  <c r="D88" i="31"/>
  <c r="D124" i="31" s="1"/>
  <c r="D126" i="31" s="1"/>
  <c r="J84" i="31"/>
  <c r="I84" i="31"/>
  <c r="G84" i="31"/>
  <c r="F84" i="31"/>
  <c r="I83" i="31"/>
  <c r="I85" i="31" s="1"/>
  <c r="F83" i="31"/>
  <c r="F85" i="31" s="1"/>
  <c r="I82" i="31"/>
  <c r="F82" i="31"/>
  <c r="H81" i="31"/>
  <c r="E81" i="31"/>
  <c r="D81" i="31"/>
  <c r="C81" i="31"/>
  <c r="B81" i="31" s="1"/>
  <c r="J80" i="31"/>
  <c r="J82" i="31" s="1"/>
  <c r="G80" i="31"/>
  <c r="G82" i="31" s="1"/>
  <c r="D80" i="31"/>
  <c r="D82" i="31" s="1"/>
  <c r="C80" i="31"/>
  <c r="I79" i="31"/>
  <c r="F79" i="31"/>
  <c r="H78" i="31"/>
  <c r="E78" i="31"/>
  <c r="D78" i="31"/>
  <c r="C78" i="31"/>
  <c r="J77" i="31"/>
  <c r="H77" i="31" s="1"/>
  <c r="H79" i="31" s="1"/>
  <c r="G77" i="31"/>
  <c r="G79" i="31" s="1"/>
  <c r="D77" i="31"/>
  <c r="D79" i="31" s="1"/>
  <c r="C77" i="31"/>
  <c r="C79" i="31" s="1"/>
  <c r="B77" i="31"/>
  <c r="I76" i="31"/>
  <c r="F76" i="31"/>
  <c r="H75" i="31"/>
  <c r="E75" i="31"/>
  <c r="D75" i="31"/>
  <c r="C75" i="31"/>
  <c r="B75" i="31"/>
  <c r="J74" i="31"/>
  <c r="J76" i="31" s="1"/>
  <c r="H74" i="31"/>
  <c r="H76" i="31" s="1"/>
  <c r="G74" i="31"/>
  <c r="G76" i="31" s="1"/>
  <c r="E74" i="31"/>
  <c r="E76" i="31" s="1"/>
  <c r="D74" i="31"/>
  <c r="C74" i="31"/>
  <c r="B74" i="31" s="1"/>
  <c r="B76" i="31" s="1"/>
  <c r="I73" i="31"/>
  <c r="F73" i="31"/>
  <c r="H72" i="31"/>
  <c r="E72" i="31"/>
  <c r="D72" i="31"/>
  <c r="C72" i="31"/>
  <c r="B72" i="31" s="1"/>
  <c r="J71" i="31"/>
  <c r="H71" i="31" s="1"/>
  <c r="H73" i="31" s="1"/>
  <c r="G71" i="31"/>
  <c r="G73" i="31" s="1"/>
  <c r="C71" i="31"/>
  <c r="C73" i="31" s="1"/>
  <c r="I70" i="31"/>
  <c r="F70" i="31"/>
  <c r="H69" i="31"/>
  <c r="E69" i="31"/>
  <c r="E84" i="31" s="1"/>
  <c r="D69" i="31"/>
  <c r="C69" i="31"/>
  <c r="C84" i="31" s="1"/>
  <c r="J68" i="31"/>
  <c r="J70" i="31" s="1"/>
  <c r="G68" i="31"/>
  <c r="G83" i="31" s="1"/>
  <c r="G85" i="31" s="1"/>
  <c r="C68" i="31"/>
  <c r="J64" i="31"/>
  <c r="I64" i="31"/>
  <c r="G64" i="31"/>
  <c r="F64" i="31"/>
  <c r="J62" i="31"/>
  <c r="I62" i="31"/>
  <c r="G62" i="31"/>
  <c r="F62" i="31"/>
  <c r="H61" i="31"/>
  <c r="E61" i="31"/>
  <c r="D61" i="31"/>
  <c r="C61" i="31"/>
  <c r="B61" i="31"/>
  <c r="H60" i="31"/>
  <c r="E60" i="31"/>
  <c r="E62" i="31" s="1"/>
  <c r="D60" i="31"/>
  <c r="C60" i="31"/>
  <c r="B60" i="31" s="1"/>
  <c r="B62" i="31" s="1"/>
  <c r="J59" i="31"/>
  <c r="I59" i="31"/>
  <c r="G59" i="31"/>
  <c r="F59" i="31"/>
  <c r="H58" i="31"/>
  <c r="E58" i="31"/>
  <c r="D58" i="31"/>
  <c r="C58" i="31"/>
  <c r="B58" i="31" s="1"/>
  <c r="H57" i="31"/>
  <c r="H59" i="31" s="1"/>
  <c r="E57" i="31"/>
  <c r="E59" i="31" s="1"/>
  <c r="D57" i="31"/>
  <c r="D59" i="31" s="1"/>
  <c r="C57" i="31"/>
  <c r="C59" i="31" s="1"/>
  <c r="J56" i="31"/>
  <c r="I56" i="31"/>
  <c r="G56" i="31"/>
  <c r="F56" i="31"/>
  <c r="H55" i="31"/>
  <c r="E55" i="31"/>
  <c r="D55" i="31"/>
  <c r="C55" i="31"/>
  <c r="B55" i="31" s="1"/>
  <c r="H54" i="31"/>
  <c r="E54" i="31"/>
  <c r="E56" i="31" s="1"/>
  <c r="D54" i="31"/>
  <c r="C54" i="31"/>
  <c r="B54" i="31" s="1"/>
  <c r="J53" i="31"/>
  <c r="I53" i="31"/>
  <c r="G53" i="31"/>
  <c r="F53" i="31"/>
  <c r="H52" i="31"/>
  <c r="E52" i="31"/>
  <c r="D52" i="31"/>
  <c r="C52" i="31"/>
  <c r="B52" i="31" s="1"/>
  <c r="H51" i="31"/>
  <c r="H53" i="31" s="1"/>
  <c r="E51" i="31"/>
  <c r="E53" i="31" s="1"/>
  <c r="D51" i="31"/>
  <c r="D53" i="31" s="1"/>
  <c r="C51" i="31"/>
  <c r="C53" i="31" s="1"/>
  <c r="J50" i="31"/>
  <c r="I50" i="31"/>
  <c r="G50" i="31"/>
  <c r="F50" i="31"/>
  <c r="H49" i="31"/>
  <c r="E49" i="31"/>
  <c r="D49" i="31"/>
  <c r="C49" i="31"/>
  <c r="B49" i="31" s="1"/>
  <c r="H48" i="31"/>
  <c r="E48" i="31"/>
  <c r="E50" i="31" s="1"/>
  <c r="D48" i="31"/>
  <c r="C48" i="31"/>
  <c r="B48" i="31" s="1"/>
  <c r="J47" i="31"/>
  <c r="I47" i="31"/>
  <c r="G47" i="31"/>
  <c r="F47" i="31"/>
  <c r="H46" i="31"/>
  <c r="E46" i="31"/>
  <c r="D46" i="31"/>
  <c r="C46" i="31"/>
  <c r="B46" i="31" s="1"/>
  <c r="H45" i="31"/>
  <c r="H47" i="31" s="1"/>
  <c r="E45" i="31"/>
  <c r="E47" i="31" s="1"/>
  <c r="D45" i="31"/>
  <c r="D47" i="31" s="1"/>
  <c r="C45" i="31"/>
  <c r="C47" i="31" s="1"/>
  <c r="I44" i="31"/>
  <c r="G44" i="31"/>
  <c r="F44" i="31"/>
  <c r="H43" i="31"/>
  <c r="E43" i="31"/>
  <c r="D43" i="31"/>
  <c r="C43" i="31"/>
  <c r="B43" i="31" s="1"/>
  <c r="J42" i="31"/>
  <c r="J44" i="31" s="1"/>
  <c r="E42" i="31"/>
  <c r="E44" i="31" s="1"/>
  <c r="C42" i="31"/>
  <c r="C44" i="31" s="1"/>
  <c r="J41" i="31"/>
  <c r="G41" i="31"/>
  <c r="F41" i="31"/>
  <c r="H40" i="31"/>
  <c r="E40" i="31"/>
  <c r="D40" i="31"/>
  <c r="C40" i="31"/>
  <c r="B40" i="31" s="1"/>
  <c r="I39" i="31"/>
  <c r="I41" i="31" s="1"/>
  <c r="H39" i="31"/>
  <c r="H41" i="31" s="1"/>
  <c r="E39" i="31"/>
  <c r="E41" i="31" s="1"/>
  <c r="D39" i="31"/>
  <c r="D41" i="31" s="1"/>
  <c r="C39" i="31"/>
  <c r="C41" i="31" s="1"/>
  <c r="B39" i="31"/>
  <c r="J38" i="31"/>
  <c r="G38" i="31"/>
  <c r="F38" i="31"/>
  <c r="H37" i="31"/>
  <c r="E37" i="31"/>
  <c r="D37" i="31"/>
  <c r="C37" i="31"/>
  <c r="B37" i="31" s="1"/>
  <c r="I36" i="31"/>
  <c r="I38" i="31" s="1"/>
  <c r="E36" i="31"/>
  <c r="E38" i="31" s="1"/>
  <c r="D36" i="31"/>
  <c r="D38" i="31" s="1"/>
  <c r="C36" i="31"/>
  <c r="C38" i="31" s="1"/>
  <c r="J35" i="31"/>
  <c r="G35" i="31"/>
  <c r="F35" i="31"/>
  <c r="H34" i="31"/>
  <c r="E34" i="31"/>
  <c r="D34" i="31"/>
  <c r="C34" i="31"/>
  <c r="B34" i="31" s="1"/>
  <c r="I33" i="31"/>
  <c r="I35" i="31" s="1"/>
  <c r="E33" i="31"/>
  <c r="E35" i="31" s="1"/>
  <c r="D33" i="31"/>
  <c r="D35" i="31" s="1"/>
  <c r="C33" i="31"/>
  <c r="C35" i="31" s="1"/>
  <c r="B33" i="31"/>
  <c r="J32" i="31"/>
  <c r="G32" i="31"/>
  <c r="F32" i="31"/>
  <c r="H31" i="31"/>
  <c r="E31" i="31"/>
  <c r="D31" i="31"/>
  <c r="C31" i="31"/>
  <c r="B31" i="31" s="1"/>
  <c r="I30" i="31"/>
  <c r="I32" i="31" s="1"/>
  <c r="E30" i="31"/>
  <c r="E32" i="31" s="1"/>
  <c r="D30" i="31"/>
  <c r="D32" i="31" s="1"/>
  <c r="C30" i="31"/>
  <c r="C32" i="31" s="1"/>
  <c r="H28" i="31"/>
  <c r="E28" i="31"/>
  <c r="D28" i="31"/>
  <c r="C28" i="31"/>
  <c r="B28" i="31" s="1"/>
  <c r="J27" i="31"/>
  <c r="J29" i="31" s="1"/>
  <c r="I27" i="31"/>
  <c r="H27" i="31" s="1"/>
  <c r="H29" i="31" s="1"/>
  <c r="G27" i="31"/>
  <c r="D27" i="31" s="1"/>
  <c r="F27" i="31"/>
  <c r="F29" i="31" s="1"/>
  <c r="C27" i="31"/>
  <c r="G26" i="31"/>
  <c r="F26" i="31"/>
  <c r="H25" i="31"/>
  <c r="E25" i="31"/>
  <c r="D25" i="31"/>
  <c r="C25" i="31"/>
  <c r="B25" i="31" s="1"/>
  <c r="J24" i="31"/>
  <c r="J26" i="31" s="1"/>
  <c r="I24" i="31"/>
  <c r="I26" i="31" s="1"/>
  <c r="E24" i="31"/>
  <c r="E26" i="31" s="1"/>
  <c r="D24" i="31"/>
  <c r="D26" i="31" s="1"/>
  <c r="C24" i="31"/>
  <c r="C26" i="31" s="1"/>
  <c r="J23" i="31"/>
  <c r="I23" i="31"/>
  <c r="G23" i="31"/>
  <c r="F23" i="31"/>
  <c r="H22" i="31"/>
  <c r="E22" i="31"/>
  <c r="D22" i="31"/>
  <c r="C22" i="31"/>
  <c r="B22" i="31"/>
  <c r="H21" i="31"/>
  <c r="E21" i="31"/>
  <c r="E23" i="31" s="1"/>
  <c r="D21" i="31"/>
  <c r="C21" i="31"/>
  <c r="B21" i="31" s="1"/>
  <c r="B23" i="31" s="1"/>
  <c r="I20" i="31"/>
  <c r="F20" i="31"/>
  <c r="H19" i="31"/>
  <c r="E19" i="31"/>
  <c r="D19" i="31"/>
  <c r="C19" i="31"/>
  <c r="J18" i="31"/>
  <c r="J20" i="31" s="1"/>
  <c r="H18" i="31"/>
  <c r="H20" i="31" s="1"/>
  <c r="G18" i="31"/>
  <c r="G20" i="31" s="1"/>
  <c r="E18" i="31"/>
  <c r="E20" i="31" s="1"/>
  <c r="D18" i="31"/>
  <c r="D20" i="31" s="1"/>
  <c r="C18" i="31"/>
  <c r="C20" i="31" s="1"/>
  <c r="G17" i="31"/>
  <c r="F17" i="31"/>
  <c r="H16" i="31"/>
  <c r="E16" i="31"/>
  <c r="D16" i="31"/>
  <c r="C16" i="31"/>
  <c r="B16" i="31" s="1"/>
  <c r="J15" i="31"/>
  <c r="J17" i="31" s="1"/>
  <c r="I15" i="31"/>
  <c r="H15" i="31" s="1"/>
  <c r="H17" i="31" s="1"/>
  <c r="E15" i="31"/>
  <c r="D15" i="31"/>
  <c r="D17" i="31" s="1"/>
  <c r="G14" i="31"/>
  <c r="F14" i="31"/>
  <c r="H13" i="31"/>
  <c r="E13" i="31"/>
  <c r="D13" i="31"/>
  <c r="C13" i="31"/>
  <c r="B13" i="31" s="1"/>
  <c r="J12" i="31"/>
  <c r="J14" i="31" s="1"/>
  <c r="I12" i="31"/>
  <c r="I14" i="31" s="1"/>
  <c r="E12" i="31"/>
  <c r="D12" i="31"/>
  <c r="D14" i="31" s="1"/>
  <c r="J11" i="31"/>
  <c r="G11" i="31"/>
  <c r="F11" i="31"/>
  <c r="H10" i="31"/>
  <c r="E10" i="31"/>
  <c r="D10" i="31"/>
  <c r="C10" i="31"/>
  <c r="B10" i="31"/>
  <c r="I9" i="31"/>
  <c r="I11" i="31" s="1"/>
  <c r="H9" i="31"/>
  <c r="H11" i="31" s="1"/>
  <c r="E9" i="31"/>
  <c r="E11" i="31" s="1"/>
  <c r="D9" i="31"/>
  <c r="D11" i="31" s="1"/>
  <c r="C9" i="31"/>
  <c r="C11" i="31" s="1"/>
  <c r="B9" i="31"/>
  <c r="B11" i="31" s="1"/>
  <c r="F8" i="31"/>
  <c r="H7" i="31"/>
  <c r="H64" i="31" s="1"/>
  <c r="E7" i="31"/>
  <c r="D7" i="31"/>
  <c r="D64" i="31" s="1"/>
  <c r="C7" i="31"/>
  <c r="B7" i="31"/>
  <c r="J6" i="31"/>
  <c r="J8" i="31" s="1"/>
  <c r="I6" i="31"/>
  <c r="I63" i="31" s="1"/>
  <c r="G6" i="31"/>
  <c r="G63" i="31" s="1"/>
  <c r="C6" i="31"/>
  <c r="J212" i="30"/>
  <c r="I212" i="30"/>
  <c r="G212" i="30"/>
  <c r="F212" i="30"/>
  <c r="H211" i="30"/>
  <c r="H212" i="30" s="1"/>
  <c r="E211" i="30"/>
  <c r="E212" i="30" s="1"/>
  <c r="D211" i="30"/>
  <c r="D212" i="30" s="1"/>
  <c r="C211" i="30"/>
  <c r="C212" i="30" s="1"/>
  <c r="J208" i="30"/>
  <c r="I208" i="30"/>
  <c r="G208" i="30"/>
  <c r="F208" i="30"/>
  <c r="H207" i="30"/>
  <c r="H208" i="30" s="1"/>
  <c r="E207" i="30"/>
  <c r="E208" i="30" s="1"/>
  <c r="D207" i="30"/>
  <c r="D208" i="30" s="1"/>
  <c r="C207" i="30"/>
  <c r="C208" i="30" s="1"/>
  <c r="B207" i="30"/>
  <c r="B208" i="30" s="1"/>
  <c r="J204" i="30"/>
  <c r="I204" i="30"/>
  <c r="G204" i="30"/>
  <c r="F204" i="30"/>
  <c r="H203" i="30"/>
  <c r="E203" i="30"/>
  <c r="D203" i="30"/>
  <c r="C203" i="30"/>
  <c r="B203" i="30" s="1"/>
  <c r="H202" i="30"/>
  <c r="H204" i="30" s="1"/>
  <c r="E202" i="30"/>
  <c r="E204" i="30" s="1"/>
  <c r="D202" i="30"/>
  <c r="D204" i="30" s="1"/>
  <c r="C202" i="30"/>
  <c r="G199" i="30"/>
  <c r="F199" i="30"/>
  <c r="I198" i="30"/>
  <c r="H198" i="30" s="1"/>
  <c r="E198" i="30"/>
  <c r="D198" i="30"/>
  <c r="C198" i="30"/>
  <c r="B198" i="30" s="1"/>
  <c r="I197" i="30"/>
  <c r="H197" i="30" s="1"/>
  <c r="E197" i="30"/>
  <c r="D197" i="30"/>
  <c r="C197" i="30"/>
  <c r="B197" i="30" s="1"/>
  <c r="I196" i="30"/>
  <c r="H196" i="30" s="1"/>
  <c r="E196" i="30"/>
  <c r="D196" i="30"/>
  <c r="C196" i="30"/>
  <c r="B196" i="30" s="1"/>
  <c r="I195" i="30"/>
  <c r="H195" i="30" s="1"/>
  <c r="E195" i="30"/>
  <c r="D195" i="30"/>
  <c r="C195" i="30"/>
  <c r="B195" i="30" s="1"/>
  <c r="I194" i="30"/>
  <c r="H194" i="30" s="1"/>
  <c r="E194" i="30"/>
  <c r="D194" i="30"/>
  <c r="C194" i="30"/>
  <c r="B194" i="30" s="1"/>
  <c r="I193" i="30"/>
  <c r="H193" i="30" s="1"/>
  <c r="E193" i="30"/>
  <c r="D193" i="30"/>
  <c r="C193" i="30"/>
  <c r="B193" i="30" s="1"/>
  <c r="I192" i="30"/>
  <c r="H192" i="30" s="1"/>
  <c r="E192" i="30"/>
  <c r="D192" i="30"/>
  <c r="C192" i="30"/>
  <c r="B192" i="30" s="1"/>
  <c r="I191" i="30"/>
  <c r="H191" i="30" s="1"/>
  <c r="E191" i="30"/>
  <c r="D191" i="30"/>
  <c r="C191" i="30"/>
  <c r="B191" i="30" s="1"/>
  <c r="I190" i="30"/>
  <c r="I199" i="30" s="1"/>
  <c r="E190" i="30"/>
  <c r="D190" i="30"/>
  <c r="C190" i="30"/>
  <c r="B190" i="30" s="1"/>
  <c r="H189" i="30"/>
  <c r="E189" i="30"/>
  <c r="D189" i="30"/>
  <c r="C189" i="30"/>
  <c r="H188" i="30"/>
  <c r="E188" i="30"/>
  <c r="D188" i="30"/>
  <c r="C188" i="30"/>
  <c r="B188" i="30" s="1"/>
  <c r="H187" i="30"/>
  <c r="E187" i="30"/>
  <c r="D187" i="30"/>
  <c r="C187" i="30"/>
  <c r="H186" i="30"/>
  <c r="E186" i="30"/>
  <c r="D186" i="30"/>
  <c r="C186" i="30"/>
  <c r="H185" i="30"/>
  <c r="E185" i="30"/>
  <c r="D185" i="30"/>
  <c r="C185" i="30"/>
  <c r="H184" i="30"/>
  <c r="E184" i="30"/>
  <c r="D184" i="30"/>
  <c r="C184" i="30"/>
  <c r="B184" i="30"/>
  <c r="H183" i="30"/>
  <c r="E183" i="30"/>
  <c r="D183" i="30"/>
  <c r="C183" i="30"/>
  <c r="B183" i="30" s="1"/>
  <c r="H182" i="30"/>
  <c r="E182" i="30"/>
  <c r="D182" i="30"/>
  <c r="C182" i="30"/>
  <c r="B182" i="30" s="1"/>
  <c r="H181" i="30"/>
  <c r="E181" i="30"/>
  <c r="D181" i="30"/>
  <c r="C181" i="30"/>
  <c r="H180" i="30"/>
  <c r="E180" i="30"/>
  <c r="D180" i="30"/>
  <c r="C180" i="30"/>
  <c r="B180" i="30" s="1"/>
  <c r="H179" i="30"/>
  <c r="E179" i="30"/>
  <c r="D179" i="30"/>
  <c r="C179" i="30"/>
  <c r="H178" i="30"/>
  <c r="E178" i="30"/>
  <c r="D178" i="30"/>
  <c r="C178" i="30"/>
  <c r="H177" i="30"/>
  <c r="E177" i="30"/>
  <c r="D177" i="30"/>
  <c r="C177" i="30"/>
  <c r="H176" i="30"/>
  <c r="E176" i="30"/>
  <c r="D176" i="30"/>
  <c r="C176" i="30"/>
  <c r="B176" i="30"/>
  <c r="H175" i="30"/>
  <c r="E175" i="30"/>
  <c r="D175" i="30"/>
  <c r="C175" i="30"/>
  <c r="B175" i="30" s="1"/>
  <c r="H174" i="30"/>
  <c r="E174" i="30"/>
  <c r="D174" i="30"/>
  <c r="C174" i="30"/>
  <c r="B174" i="30" s="1"/>
  <c r="H173" i="30"/>
  <c r="E173" i="30"/>
  <c r="D173" i="30"/>
  <c r="C173" i="30"/>
  <c r="H172" i="30"/>
  <c r="E172" i="30"/>
  <c r="D172" i="30"/>
  <c r="C172" i="30"/>
  <c r="B172" i="30" s="1"/>
  <c r="H171" i="30"/>
  <c r="E171" i="30"/>
  <c r="D171" i="30"/>
  <c r="C171" i="30"/>
  <c r="H170" i="30"/>
  <c r="E170" i="30"/>
  <c r="D170" i="30"/>
  <c r="C170" i="30"/>
  <c r="H169" i="30"/>
  <c r="E169" i="30"/>
  <c r="D169" i="30"/>
  <c r="C169" i="30"/>
  <c r="H168" i="30"/>
  <c r="E168" i="30"/>
  <c r="D168" i="30"/>
  <c r="C168" i="30"/>
  <c r="B168" i="30"/>
  <c r="H167" i="30"/>
  <c r="E167" i="30"/>
  <c r="D167" i="30"/>
  <c r="C167" i="30"/>
  <c r="B167" i="30" s="1"/>
  <c r="H166" i="30"/>
  <c r="E166" i="30"/>
  <c r="D166" i="30"/>
  <c r="C166" i="30"/>
  <c r="B166" i="30" s="1"/>
  <c r="H165" i="30"/>
  <c r="E165" i="30"/>
  <c r="D165" i="30"/>
  <c r="C165" i="30"/>
  <c r="H164" i="30"/>
  <c r="E164" i="30"/>
  <c r="D164" i="30"/>
  <c r="C164" i="30"/>
  <c r="B164" i="30" s="1"/>
  <c r="H163" i="30"/>
  <c r="E163" i="30"/>
  <c r="D163" i="30"/>
  <c r="C163" i="30"/>
  <c r="H162" i="30"/>
  <c r="E162" i="30"/>
  <c r="D162" i="30"/>
  <c r="C162" i="30"/>
  <c r="H161" i="30"/>
  <c r="E161" i="30"/>
  <c r="D161" i="30"/>
  <c r="C161" i="30"/>
  <c r="J160" i="30"/>
  <c r="H160" i="30" s="1"/>
  <c r="E160" i="30"/>
  <c r="C160" i="30"/>
  <c r="H159" i="30"/>
  <c r="E159" i="30"/>
  <c r="D159" i="30"/>
  <c r="C159" i="30"/>
  <c r="B159" i="30" s="1"/>
  <c r="H158" i="30"/>
  <c r="E158" i="30"/>
  <c r="D158" i="30"/>
  <c r="C158" i="30"/>
  <c r="J157" i="30"/>
  <c r="H157" i="30" s="1"/>
  <c r="E157" i="30"/>
  <c r="C157" i="30"/>
  <c r="J156" i="30"/>
  <c r="H156" i="30" s="1"/>
  <c r="E156" i="30"/>
  <c r="C156" i="30"/>
  <c r="J155" i="30"/>
  <c r="H155" i="30" s="1"/>
  <c r="E155" i="30"/>
  <c r="E199" i="30" s="1"/>
  <c r="C155" i="30"/>
  <c r="J152" i="30"/>
  <c r="I152" i="30"/>
  <c r="G152" i="30"/>
  <c r="F152" i="30"/>
  <c r="H151" i="30"/>
  <c r="E151" i="30"/>
  <c r="D151" i="30"/>
  <c r="C151" i="30"/>
  <c r="H150" i="30"/>
  <c r="H152" i="30" s="1"/>
  <c r="E150" i="30"/>
  <c r="E152" i="30" s="1"/>
  <c r="D150" i="30"/>
  <c r="D152" i="30" s="1"/>
  <c r="C150" i="30"/>
  <c r="C152" i="30" s="1"/>
  <c r="J147" i="30"/>
  <c r="G147" i="30"/>
  <c r="F147" i="30"/>
  <c r="I146" i="30"/>
  <c r="H146" i="30" s="1"/>
  <c r="E146" i="30"/>
  <c r="D146" i="30"/>
  <c r="C146" i="30"/>
  <c r="B146" i="30" s="1"/>
  <c r="H145" i="30"/>
  <c r="E145" i="30"/>
  <c r="D145" i="30"/>
  <c r="C145" i="30"/>
  <c r="B145" i="30" s="1"/>
  <c r="I144" i="30"/>
  <c r="H144" i="30" s="1"/>
  <c r="E144" i="30"/>
  <c r="D144" i="30"/>
  <c r="C144" i="30"/>
  <c r="B144" i="30" s="1"/>
  <c r="I143" i="30"/>
  <c r="H143" i="30" s="1"/>
  <c r="E143" i="30"/>
  <c r="D143" i="30"/>
  <c r="C143" i="30"/>
  <c r="B143" i="30" s="1"/>
  <c r="H142" i="30"/>
  <c r="E142" i="30"/>
  <c r="E147" i="30" s="1"/>
  <c r="D142" i="30"/>
  <c r="D147" i="30" s="1"/>
  <c r="C142" i="30"/>
  <c r="B142" i="30" s="1"/>
  <c r="J139" i="30"/>
  <c r="G139" i="30"/>
  <c r="F139" i="30"/>
  <c r="I138" i="30"/>
  <c r="I139" i="30" s="1"/>
  <c r="E138" i="30"/>
  <c r="E139" i="30" s="1"/>
  <c r="D138" i="30"/>
  <c r="D139" i="30" s="1"/>
  <c r="J135" i="30"/>
  <c r="G135" i="30"/>
  <c r="F135" i="30"/>
  <c r="I134" i="30"/>
  <c r="H134" i="30" s="1"/>
  <c r="E134" i="30"/>
  <c r="D134" i="30"/>
  <c r="C134" i="30"/>
  <c r="B134" i="30" s="1"/>
  <c r="H133" i="30"/>
  <c r="E133" i="30"/>
  <c r="D133" i="30"/>
  <c r="C133" i="30"/>
  <c r="B133" i="30" s="1"/>
  <c r="I132" i="30"/>
  <c r="H132" i="30" s="1"/>
  <c r="H135" i="30" s="1"/>
  <c r="E132" i="30"/>
  <c r="D132" i="30"/>
  <c r="D135" i="30" s="1"/>
  <c r="C132" i="30"/>
  <c r="B132" i="30" s="1"/>
  <c r="J129" i="30"/>
  <c r="I129" i="30"/>
  <c r="G129" i="30"/>
  <c r="F129" i="30"/>
  <c r="H128" i="30"/>
  <c r="E128" i="30"/>
  <c r="D128" i="30"/>
  <c r="C128" i="30"/>
  <c r="B128" i="30" s="1"/>
  <c r="H127" i="30"/>
  <c r="E127" i="30"/>
  <c r="D127" i="30"/>
  <c r="C127" i="30"/>
  <c r="H126" i="30"/>
  <c r="H129" i="30" s="1"/>
  <c r="E126" i="30"/>
  <c r="D126" i="30"/>
  <c r="D129" i="30" s="1"/>
  <c r="C126" i="30"/>
  <c r="J123" i="30"/>
  <c r="G123" i="30"/>
  <c r="F123" i="30"/>
  <c r="H122" i="30"/>
  <c r="E122" i="30"/>
  <c r="D122" i="30"/>
  <c r="C122" i="30"/>
  <c r="B122" i="30" s="1"/>
  <c r="H121" i="30"/>
  <c r="E121" i="30"/>
  <c r="D121" i="30"/>
  <c r="C121" i="30"/>
  <c r="I120" i="30"/>
  <c r="H120" i="30" s="1"/>
  <c r="H123" i="30" s="1"/>
  <c r="E120" i="30"/>
  <c r="E123" i="30" s="1"/>
  <c r="D120" i="30"/>
  <c r="D123" i="30" s="1"/>
  <c r="C120" i="30"/>
  <c r="B120" i="30" s="1"/>
  <c r="J117" i="30"/>
  <c r="I117" i="30"/>
  <c r="G117" i="30"/>
  <c r="F117" i="30"/>
  <c r="H116" i="30"/>
  <c r="E116" i="30"/>
  <c r="D116" i="30"/>
  <c r="C116" i="30"/>
  <c r="B116" i="30" s="1"/>
  <c r="H115" i="30"/>
  <c r="E115" i="30"/>
  <c r="D115" i="30"/>
  <c r="C115" i="30"/>
  <c r="B115" i="30" s="1"/>
  <c r="H114" i="30"/>
  <c r="E114" i="30"/>
  <c r="E117" i="30" s="1"/>
  <c r="D114" i="30"/>
  <c r="C114" i="30"/>
  <c r="C117" i="30" s="1"/>
  <c r="G111" i="30"/>
  <c r="F111" i="30"/>
  <c r="H110" i="30"/>
  <c r="E110" i="30"/>
  <c r="D110" i="30"/>
  <c r="C110" i="30"/>
  <c r="B110" i="30" s="1"/>
  <c r="J109" i="30"/>
  <c r="I109" i="30"/>
  <c r="I111" i="30" s="1"/>
  <c r="E109" i="30"/>
  <c r="D109" i="30"/>
  <c r="J108" i="30"/>
  <c r="H108" i="30" s="1"/>
  <c r="E108" i="30"/>
  <c r="C108" i="30"/>
  <c r="J107" i="30"/>
  <c r="H107" i="30" s="1"/>
  <c r="E107" i="30"/>
  <c r="E111" i="30" s="1"/>
  <c r="D107" i="30"/>
  <c r="C107" i="30"/>
  <c r="J104" i="30"/>
  <c r="G104" i="30"/>
  <c r="F104" i="30"/>
  <c r="H103" i="30"/>
  <c r="E103" i="30"/>
  <c r="D103" i="30"/>
  <c r="C103" i="30"/>
  <c r="B103" i="30" s="1"/>
  <c r="H102" i="30"/>
  <c r="E102" i="30"/>
  <c r="D102" i="30"/>
  <c r="C102" i="30"/>
  <c r="H101" i="30"/>
  <c r="E101" i="30"/>
  <c r="D101" i="30"/>
  <c r="C101" i="30"/>
  <c r="I100" i="30"/>
  <c r="H100" i="30" s="1"/>
  <c r="E100" i="30"/>
  <c r="D100" i="30"/>
  <c r="I99" i="30"/>
  <c r="I104" i="30" s="1"/>
  <c r="E99" i="30"/>
  <c r="D99" i="30"/>
  <c r="H98" i="30"/>
  <c r="E98" i="30"/>
  <c r="D98" i="30"/>
  <c r="D104" i="30" s="1"/>
  <c r="C98" i="30"/>
  <c r="G95" i="30"/>
  <c r="F95" i="30"/>
  <c r="J94" i="30"/>
  <c r="D94" i="30" s="1"/>
  <c r="I94" i="30"/>
  <c r="E94" i="30"/>
  <c r="C94" i="30"/>
  <c r="I93" i="30"/>
  <c r="H93" i="30" s="1"/>
  <c r="E93" i="30"/>
  <c r="D93" i="30"/>
  <c r="C93" i="30"/>
  <c r="B93" i="30" s="1"/>
  <c r="J92" i="30"/>
  <c r="I92" i="30"/>
  <c r="I95" i="30" s="1"/>
  <c r="E92" i="30"/>
  <c r="D92" i="30"/>
  <c r="J91" i="30"/>
  <c r="H91" i="30" s="1"/>
  <c r="E91" i="30"/>
  <c r="D91" i="30"/>
  <c r="C91" i="30"/>
  <c r="G88" i="30"/>
  <c r="F88" i="30"/>
  <c r="J87" i="30"/>
  <c r="I87" i="30"/>
  <c r="H87" i="30"/>
  <c r="E87" i="30"/>
  <c r="D87" i="30"/>
  <c r="C87" i="30"/>
  <c r="B87" i="30"/>
  <c r="J86" i="30"/>
  <c r="I86" i="30"/>
  <c r="H86" i="30" s="1"/>
  <c r="E86" i="30"/>
  <c r="D86" i="30"/>
  <c r="I85" i="30"/>
  <c r="H85" i="30" s="1"/>
  <c r="H88" i="30" s="1"/>
  <c r="E85" i="30"/>
  <c r="E88" i="30" s="1"/>
  <c r="D85" i="30"/>
  <c r="D88" i="30" s="1"/>
  <c r="G82" i="30"/>
  <c r="F82" i="30"/>
  <c r="J81" i="30"/>
  <c r="H81" i="30" s="1"/>
  <c r="E81" i="30"/>
  <c r="C81" i="30"/>
  <c r="I80" i="30"/>
  <c r="I82" i="30" s="1"/>
  <c r="E80" i="30"/>
  <c r="D80" i="30"/>
  <c r="C80" i="30"/>
  <c r="B80" i="30" s="1"/>
  <c r="J79" i="30"/>
  <c r="H79" i="30" s="1"/>
  <c r="E79" i="30"/>
  <c r="C79" i="30"/>
  <c r="J78" i="30"/>
  <c r="J82" i="30" s="1"/>
  <c r="E78" i="30"/>
  <c r="E82" i="30" s="1"/>
  <c r="C78" i="30"/>
  <c r="C82" i="30" s="1"/>
  <c r="G75" i="30"/>
  <c r="F75" i="30"/>
  <c r="H74" i="30"/>
  <c r="E74" i="30"/>
  <c r="D74" i="30"/>
  <c r="C74" i="30"/>
  <c r="H73" i="30"/>
  <c r="E73" i="30"/>
  <c r="D73" i="30"/>
  <c r="C73" i="30"/>
  <c r="H72" i="30"/>
  <c r="E72" i="30"/>
  <c r="D72" i="30"/>
  <c r="C72" i="30"/>
  <c r="B72" i="30"/>
  <c r="H71" i="30"/>
  <c r="E71" i="30"/>
  <c r="D71" i="30"/>
  <c r="C71" i="30"/>
  <c r="B71" i="30" s="1"/>
  <c r="H70" i="30"/>
  <c r="E70" i="30"/>
  <c r="D70" i="30"/>
  <c r="C70" i="30"/>
  <c r="B70" i="30" s="1"/>
  <c r="H69" i="30"/>
  <c r="E69" i="30"/>
  <c r="D69" i="30"/>
  <c r="C69" i="30"/>
  <c r="B69" i="30" s="1"/>
  <c r="J68" i="30"/>
  <c r="H68" i="30" s="1"/>
  <c r="E68" i="30"/>
  <c r="C68" i="30"/>
  <c r="I67" i="30"/>
  <c r="H67" i="30" s="1"/>
  <c r="E67" i="30"/>
  <c r="D67" i="30"/>
  <c r="H66" i="30"/>
  <c r="E66" i="30"/>
  <c r="D66" i="30"/>
  <c r="C66" i="30"/>
  <c r="J65" i="30"/>
  <c r="H65" i="30" s="1"/>
  <c r="E65" i="30"/>
  <c r="D65" i="30"/>
  <c r="C65" i="30"/>
  <c r="B65" i="30"/>
  <c r="J64" i="30"/>
  <c r="J75" i="30" s="1"/>
  <c r="H64" i="30"/>
  <c r="E64" i="30"/>
  <c r="D64" i="30"/>
  <c r="C64" i="30"/>
  <c r="H63" i="30"/>
  <c r="E63" i="30"/>
  <c r="E75" i="30" s="1"/>
  <c r="D63" i="30"/>
  <c r="C63" i="30"/>
  <c r="B63" i="30" s="1"/>
  <c r="J60" i="30"/>
  <c r="G60" i="30"/>
  <c r="F60" i="30"/>
  <c r="I59" i="30"/>
  <c r="H59" i="30" s="1"/>
  <c r="E59" i="30"/>
  <c r="D59" i="30"/>
  <c r="C59" i="30"/>
  <c r="B59" i="30" s="1"/>
  <c r="H58" i="30"/>
  <c r="E58" i="30"/>
  <c r="D58" i="30"/>
  <c r="C58" i="30"/>
  <c r="B58" i="30" s="1"/>
  <c r="H57" i="30"/>
  <c r="E57" i="30"/>
  <c r="D57" i="30"/>
  <c r="C57" i="30"/>
  <c r="B57" i="30" s="1"/>
  <c r="I56" i="30"/>
  <c r="H56" i="30" s="1"/>
  <c r="E56" i="30"/>
  <c r="D56" i="30"/>
  <c r="C56" i="30"/>
  <c r="B56" i="30" s="1"/>
  <c r="I55" i="30"/>
  <c r="H55" i="30" s="1"/>
  <c r="E55" i="30"/>
  <c r="D55" i="30"/>
  <c r="C55" i="30"/>
  <c r="B55" i="30" s="1"/>
  <c r="I54" i="30"/>
  <c r="I60" i="30" s="1"/>
  <c r="E54" i="30"/>
  <c r="D54" i="30"/>
  <c r="C54" i="30"/>
  <c r="B54" i="30" s="1"/>
  <c r="H53" i="30"/>
  <c r="E53" i="30"/>
  <c r="D53" i="30"/>
  <c r="C53" i="30"/>
  <c r="B53" i="30" s="1"/>
  <c r="H52" i="30"/>
  <c r="E52" i="30"/>
  <c r="E60" i="30" s="1"/>
  <c r="D52" i="30"/>
  <c r="D60" i="30" s="1"/>
  <c r="C52" i="30"/>
  <c r="C60" i="30" s="1"/>
  <c r="D49" i="30"/>
  <c r="C49" i="30"/>
  <c r="D48" i="30"/>
  <c r="C48" i="30"/>
  <c r="B48" i="30"/>
  <c r="D47" i="30"/>
  <c r="C47" i="30"/>
  <c r="B47" i="30" s="1"/>
  <c r="G44" i="30"/>
  <c r="F44" i="30"/>
  <c r="I43" i="30"/>
  <c r="H43" i="30" s="1"/>
  <c r="E43" i="30"/>
  <c r="D43" i="30"/>
  <c r="C43" i="30"/>
  <c r="J42" i="30"/>
  <c r="J44" i="30" s="1"/>
  <c r="I42" i="30"/>
  <c r="E42" i="30"/>
  <c r="D42" i="30"/>
  <c r="C42" i="30"/>
  <c r="I41" i="30"/>
  <c r="H41" i="30" s="1"/>
  <c r="B41" i="30" s="1"/>
  <c r="E41" i="30"/>
  <c r="D41" i="30"/>
  <c r="C41" i="30"/>
  <c r="H40" i="30"/>
  <c r="E40" i="30"/>
  <c r="D40" i="30"/>
  <c r="C40" i="30"/>
  <c r="B40" i="30"/>
  <c r="I39" i="30"/>
  <c r="I44" i="30" s="1"/>
  <c r="H39" i="30"/>
  <c r="E39" i="30"/>
  <c r="E44" i="30" s="1"/>
  <c r="D39" i="30"/>
  <c r="D44" i="30" s="1"/>
  <c r="C39" i="30"/>
  <c r="C44" i="30" s="1"/>
  <c r="B39" i="30"/>
  <c r="J36" i="30"/>
  <c r="I36" i="30"/>
  <c r="G36" i="30"/>
  <c r="F36" i="30"/>
  <c r="H35" i="30"/>
  <c r="E35" i="30"/>
  <c r="D35" i="30"/>
  <c r="C35" i="30"/>
  <c r="B35" i="30"/>
  <c r="H34" i="30"/>
  <c r="E34" i="30"/>
  <c r="B34" i="30" s="1"/>
  <c r="D34" i="30"/>
  <c r="C34" i="30"/>
  <c r="H33" i="30"/>
  <c r="E33" i="30"/>
  <c r="B33" i="30" s="1"/>
  <c r="D33" i="30"/>
  <c r="C33" i="30"/>
  <c r="H32" i="30"/>
  <c r="E32" i="30"/>
  <c r="D32" i="30"/>
  <c r="C32" i="30"/>
  <c r="H31" i="30"/>
  <c r="E31" i="30"/>
  <c r="B31" i="30" s="1"/>
  <c r="D31" i="30"/>
  <c r="C31" i="30"/>
  <c r="H30" i="30"/>
  <c r="E30" i="30"/>
  <c r="D30" i="30"/>
  <c r="C30" i="30"/>
  <c r="H29" i="30"/>
  <c r="E29" i="30"/>
  <c r="D29" i="30"/>
  <c r="C29" i="30"/>
  <c r="H28" i="30"/>
  <c r="E28" i="30"/>
  <c r="D28" i="30"/>
  <c r="C28" i="30"/>
  <c r="H27" i="30"/>
  <c r="E27" i="30"/>
  <c r="D27" i="30"/>
  <c r="C27" i="30"/>
  <c r="B27" i="30"/>
  <c r="H26" i="30"/>
  <c r="E26" i="30"/>
  <c r="B26" i="30" s="1"/>
  <c r="D26" i="30"/>
  <c r="C26" i="30"/>
  <c r="H25" i="30"/>
  <c r="E25" i="30"/>
  <c r="B25" i="30" s="1"/>
  <c r="D25" i="30"/>
  <c r="C25" i="30"/>
  <c r="H24" i="30"/>
  <c r="H36" i="30" s="1"/>
  <c r="E24" i="30"/>
  <c r="D24" i="30"/>
  <c r="D36" i="30" s="1"/>
  <c r="C24" i="30"/>
  <c r="C36" i="30" s="1"/>
  <c r="J21" i="30"/>
  <c r="I21" i="30"/>
  <c r="G21" i="30"/>
  <c r="F21" i="30"/>
  <c r="H20" i="30"/>
  <c r="E20" i="30"/>
  <c r="D20" i="30"/>
  <c r="C20" i="30"/>
  <c r="H19" i="30"/>
  <c r="E19" i="30"/>
  <c r="D19" i="30"/>
  <c r="C19" i="30"/>
  <c r="B19" i="30"/>
  <c r="H18" i="30"/>
  <c r="E18" i="30"/>
  <c r="B18" i="30" s="1"/>
  <c r="D18" i="30"/>
  <c r="C18" i="30"/>
  <c r="H17" i="30"/>
  <c r="H21" i="30" s="1"/>
  <c r="E17" i="30"/>
  <c r="E21" i="30" s="1"/>
  <c r="D17" i="30"/>
  <c r="D21" i="30" s="1"/>
  <c r="C17" i="30"/>
  <c r="C21" i="30" s="1"/>
  <c r="B17" i="30"/>
  <c r="J14" i="30"/>
  <c r="I14" i="30"/>
  <c r="G14" i="30"/>
  <c r="H13" i="30"/>
  <c r="H14" i="30" s="1"/>
  <c r="E13" i="30"/>
  <c r="E14" i="30" s="1"/>
  <c r="D13" i="30"/>
  <c r="D14" i="30" s="1"/>
  <c r="C13" i="30"/>
  <c r="C14" i="30" s="1"/>
  <c r="G10" i="30"/>
  <c r="F10" i="30"/>
  <c r="H9" i="30"/>
  <c r="E9" i="30"/>
  <c r="D9" i="30"/>
  <c r="C9" i="30"/>
  <c r="B9" i="30"/>
  <c r="H8" i="30"/>
  <c r="E8" i="30"/>
  <c r="D8" i="30"/>
  <c r="C8" i="30"/>
  <c r="B8" i="30" s="1"/>
  <c r="J7" i="30"/>
  <c r="H7" i="30" s="1"/>
  <c r="E7" i="30"/>
  <c r="C7" i="30"/>
  <c r="J6" i="30"/>
  <c r="J10" i="30" s="1"/>
  <c r="I6" i="30"/>
  <c r="I10" i="30" s="1"/>
  <c r="H6" i="30"/>
  <c r="H10" i="30" s="1"/>
  <c r="E6" i="30"/>
  <c r="E10" i="30" s="1"/>
  <c r="D6" i="30"/>
  <c r="C6" i="30"/>
  <c r="C10" i="30" s="1"/>
  <c r="B6" i="30"/>
  <c r="L73" i="29"/>
  <c r="K73" i="29"/>
  <c r="I73" i="29"/>
  <c r="H73" i="29"/>
  <c r="L72" i="29"/>
  <c r="K72" i="29"/>
  <c r="I72" i="29"/>
  <c r="H72" i="29"/>
  <c r="L71" i="29"/>
  <c r="K71" i="29"/>
  <c r="K74" i="29" s="1"/>
  <c r="I71" i="29"/>
  <c r="I74" i="29" s="1"/>
  <c r="H71" i="29"/>
  <c r="J70" i="29"/>
  <c r="G70" i="29"/>
  <c r="F70" i="29"/>
  <c r="E70" i="29"/>
  <c r="D70" i="29" s="1"/>
  <c r="J69" i="29"/>
  <c r="G69" i="29"/>
  <c r="F69" i="29"/>
  <c r="E69" i="29"/>
  <c r="D69" i="29" s="1"/>
  <c r="J68" i="29"/>
  <c r="G68" i="29"/>
  <c r="F68" i="29"/>
  <c r="E68" i="29"/>
  <c r="D68" i="29" s="1"/>
  <c r="J67" i="29"/>
  <c r="G67" i="29"/>
  <c r="F67" i="29"/>
  <c r="E67" i="29"/>
  <c r="D67" i="29" s="1"/>
  <c r="J66" i="29"/>
  <c r="G66" i="29"/>
  <c r="F66" i="29"/>
  <c r="E66" i="29"/>
  <c r="D66" i="29" s="1"/>
  <c r="J65" i="29"/>
  <c r="G65" i="29"/>
  <c r="F65" i="29"/>
  <c r="E65" i="29"/>
  <c r="D65" i="29" s="1"/>
  <c r="J64" i="29"/>
  <c r="G64" i="29"/>
  <c r="F64" i="29"/>
  <c r="E64" i="29"/>
  <c r="D64" i="29" s="1"/>
  <c r="J63" i="29"/>
  <c r="G63" i="29"/>
  <c r="F63" i="29"/>
  <c r="E63" i="29"/>
  <c r="J62" i="29"/>
  <c r="G62" i="29"/>
  <c r="F62" i="29"/>
  <c r="E62" i="29"/>
  <c r="J61" i="29"/>
  <c r="G61" i="29"/>
  <c r="F61" i="29"/>
  <c r="E61" i="29"/>
  <c r="J60" i="29"/>
  <c r="G60" i="29"/>
  <c r="F60" i="29"/>
  <c r="E60" i="29"/>
  <c r="J59" i="29"/>
  <c r="G59" i="29"/>
  <c r="F59" i="29"/>
  <c r="E59" i="29"/>
  <c r="J58" i="29"/>
  <c r="G58" i="29"/>
  <c r="F58" i="29"/>
  <c r="E58" i="29"/>
  <c r="D58" i="29" s="1"/>
  <c r="J57" i="29"/>
  <c r="G57" i="29"/>
  <c r="F57" i="29"/>
  <c r="E57" i="29"/>
  <c r="D57" i="29" s="1"/>
  <c r="J56" i="29"/>
  <c r="G56" i="29"/>
  <c r="F56" i="29"/>
  <c r="E56" i="29"/>
  <c r="D56" i="29" s="1"/>
  <c r="J55" i="29"/>
  <c r="G55" i="29"/>
  <c r="F55" i="29"/>
  <c r="E55" i="29"/>
  <c r="J54" i="29"/>
  <c r="G54" i="29"/>
  <c r="F54" i="29"/>
  <c r="E54" i="29"/>
  <c r="D54" i="29" s="1"/>
  <c r="J53" i="29"/>
  <c r="G53" i="29"/>
  <c r="F53" i="29"/>
  <c r="E53" i="29"/>
  <c r="J52" i="29"/>
  <c r="G52" i="29"/>
  <c r="F52" i="29"/>
  <c r="E52" i="29"/>
  <c r="D52" i="29" s="1"/>
  <c r="J51" i="29"/>
  <c r="G51" i="29"/>
  <c r="F51" i="29"/>
  <c r="E51" i="29"/>
  <c r="D51" i="29" s="1"/>
  <c r="J50" i="29"/>
  <c r="G50" i="29"/>
  <c r="F50" i="29"/>
  <c r="E50" i="29"/>
  <c r="D50" i="29" s="1"/>
  <c r="J49" i="29"/>
  <c r="G49" i="29"/>
  <c r="F49" i="29"/>
  <c r="E49" i="29"/>
  <c r="J48" i="29"/>
  <c r="G48" i="29"/>
  <c r="F48" i="29"/>
  <c r="E48" i="29"/>
  <c r="D48" i="29" s="1"/>
  <c r="J47" i="29"/>
  <c r="G47" i="29"/>
  <c r="F47" i="29"/>
  <c r="E47" i="29"/>
  <c r="J46" i="29"/>
  <c r="G46" i="29"/>
  <c r="F46" i="29"/>
  <c r="E46" i="29"/>
  <c r="D46" i="29" s="1"/>
  <c r="J45" i="29"/>
  <c r="G45" i="29"/>
  <c r="F45" i="29"/>
  <c r="E45" i="29"/>
  <c r="J44" i="29"/>
  <c r="G44" i="29"/>
  <c r="F44" i="29"/>
  <c r="E44" i="29"/>
  <c r="D44" i="29"/>
  <c r="J43" i="29"/>
  <c r="G43" i="29"/>
  <c r="F43" i="29"/>
  <c r="E43" i="29"/>
  <c r="D43" i="29" s="1"/>
  <c r="J42" i="29"/>
  <c r="G42" i="29"/>
  <c r="F42" i="29"/>
  <c r="E42" i="29"/>
  <c r="D42" i="29" s="1"/>
  <c r="J41" i="29"/>
  <c r="G41" i="29"/>
  <c r="F41" i="29"/>
  <c r="E41" i="29"/>
  <c r="J40" i="29"/>
  <c r="G40" i="29"/>
  <c r="F40" i="29"/>
  <c r="E40" i="29"/>
  <c r="D40" i="29" s="1"/>
  <c r="J39" i="29"/>
  <c r="G39" i="29"/>
  <c r="F39" i="29"/>
  <c r="E39" i="29"/>
  <c r="J38" i="29"/>
  <c r="G38" i="29"/>
  <c r="F38" i="29"/>
  <c r="E38" i="29"/>
  <c r="J37" i="29"/>
  <c r="G37" i="29"/>
  <c r="F37" i="29"/>
  <c r="E37" i="29"/>
  <c r="J36" i="29"/>
  <c r="G36" i="29"/>
  <c r="F36" i="29"/>
  <c r="E36" i="29"/>
  <c r="D36" i="29"/>
  <c r="J35" i="29"/>
  <c r="G35" i="29"/>
  <c r="F35" i="29"/>
  <c r="E35" i="29"/>
  <c r="D35" i="29" s="1"/>
  <c r="J34" i="29"/>
  <c r="G34" i="29"/>
  <c r="F34" i="29"/>
  <c r="E34" i="29"/>
  <c r="D34" i="29" s="1"/>
  <c r="J33" i="29"/>
  <c r="G33" i="29"/>
  <c r="F33" i="29"/>
  <c r="E33" i="29"/>
  <c r="D33" i="29" s="1"/>
  <c r="J32" i="29"/>
  <c r="G32" i="29"/>
  <c r="F32" i="29"/>
  <c r="E32" i="29"/>
  <c r="D32" i="29" s="1"/>
  <c r="J31" i="29"/>
  <c r="G31" i="29"/>
  <c r="F31" i="29"/>
  <c r="E31" i="29"/>
  <c r="J30" i="29"/>
  <c r="G30" i="29"/>
  <c r="F30" i="29"/>
  <c r="E30" i="29"/>
  <c r="J29" i="29"/>
  <c r="G29" i="29"/>
  <c r="F29" i="29"/>
  <c r="E29" i="29"/>
  <c r="J28" i="29"/>
  <c r="G28" i="29"/>
  <c r="F28" i="29"/>
  <c r="E28" i="29"/>
  <c r="J27" i="29"/>
  <c r="G27" i="29"/>
  <c r="F27" i="29"/>
  <c r="E27" i="29"/>
  <c r="J26" i="29"/>
  <c r="G26" i="29"/>
  <c r="F26" i="29"/>
  <c r="E26" i="29"/>
  <c r="D26" i="29"/>
  <c r="J25" i="29"/>
  <c r="G25" i="29"/>
  <c r="F25" i="29"/>
  <c r="E25" i="29"/>
  <c r="D25" i="29" s="1"/>
  <c r="J24" i="29"/>
  <c r="G24" i="29"/>
  <c r="F24" i="29"/>
  <c r="E24" i="29"/>
  <c r="D24" i="29" s="1"/>
  <c r="J23" i="29"/>
  <c r="G23" i="29"/>
  <c r="F23" i="29"/>
  <c r="E23" i="29"/>
  <c r="D23" i="29" s="1"/>
  <c r="J22" i="29"/>
  <c r="G22" i="29"/>
  <c r="F22" i="29"/>
  <c r="E22" i="29"/>
  <c r="D22" i="29" s="1"/>
  <c r="J21" i="29"/>
  <c r="G21" i="29"/>
  <c r="F21" i="29"/>
  <c r="E21" i="29"/>
  <c r="J20" i="29"/>
  <c r="G20" i="29"/>
  <c r="F20" i="29"/>
  <c r="E20" i="29"/>
  <c r="J19" i="29"/>
  <c r="G19" i="29"/>
  <c r="F19" i="29"/>
  <c r="E19" i="29"/>
  <c r="J18" i="29"/>
  <c r="G18" i="29"/>
  <c r="F18" i="29"/>
  <c r="E18" i="29"/>
  <c r="J17" i="29"/>
  <c r="G17" i="29"/>
  <c r="F17" i="29"/>
  <c r="E17" i="29"/>
  <c r="J16" i="29"/>
  <c r="G16" i="29"/>
  <c r="F16" i="29"/>
  <c r="E16" i="29"/>
  <c r="J15" i="29"/>
  <c r="G15" i="29"/>
  <c r="F15" i="29"/>
  <c r="E15" i="29"/>
  <c r="D15" i="29" s="1"/>
  <c r="J14" i="29"/>
  <c r="G14" i="29"/>
  <c r="F14" i="29"/>
  <c r="E14" i="29"/>
  <c r="D14" i="29" s="1"/>
  <c r="J13" i="29"/>
  <c r="G13" i="29"/>
  <c r="F13" i="29"/>
  <c r="E13" i="29"/>
  <c r="D13" i="29" s="1"/>
  <c r="J12" i="29"/>
  <c r="G12" i="29"/>
  <c r="F12" i="29"/>
  <c r="E12" i="29"/>
  <c r="D12" i="29" s="1"/>
  <c r="J11" i="29"/>
  <c r="G11" i="29"/>
  <c r="F11" i="29"/>
  <c r="E11" i="29"/>
  <c r="J10" i="29"/>
  <c r="G10" i="29"/>
  <c r="F10" i="29"/>
  <c r="E10" i="29"/>
  <c r="J9" i="29"/>
  <c r="G9" i="29"/>
  <c r="F9" i="29"/>
  <c r="E9" i="29"/>
  <c r="J8" i="29"/>
  <c r="G8" i="29"/>
  <c r="F8" i="29"/>
  <c r="E8" i="29"/>
  <c r="D8" i="29"/>
  <c r="J7" i="29"/>
  <c r="J73" i="29" s="1"/>
  <c r="G7" i="29"/>
  <c r="G73" i="29" s="1"/>
  <c r="F7" i="29"/>
  <c r="F73" i="29" s="1"/>
  <c r="E7" i="29"/>
  <c r="D7" i="29" s="1"/>
  <c r="J6" i="29"/>
  <c r="J72" i="29" s="1"/>
  <c r="G6" i="29"/>
  <c r="G72" i="29" s="1"/>
  <c r="F6" i="29"/>
  <c r="F72" i="29" s="1"/>
  <c r="E6" i="29"/>
  <c r="E72" i="29" s="1"/>
  <c r="D6" i="29"/>
  <c r="J5" i="29"/>
  <c r="J71" i="29" s="1"/>
  <c r="G5" i="29"/>
  <c r="G71" i="29" s="1"/>
  <c r="F5" i="29"/>
  <c r="F71" i="29" s="1"/>
  <c r="E5" i="29"/>
  <c r="D5" i="29" s="1"/>
  <c r="L52" i="28"/>
  <c r="K52" i="28"/>
  <c r="I52" i="28"/>
  <c r="H52" i="28"/>
  <c r="L51" i="28"/>
  <c r="K51" i="28"/>
  <c r="I51" i="28"/>
  <c r="H51" i="28"/>
  <c r="L50" i="28"/>
  <c r="L53" i="28" s="1"/>
  <c r="K50" i="28"/>
  <c r="K53" i="28" s="1"/>
  <c r="I50" i="28"/>
  <c r="I53" i="28" s="1"/>
  <c r="H50" i="28"/>
  <c r="H53" i="28" s="1"/>
  <c r="J49" i="28"/>
  <c r="G49" i="28"/>
  <c r="F49" i="28"/>
  <c r="E49" i="28"/>
  <c r="D49" i="28" s="1"/>
  <c r="J48" i="28"/>
  <c r="G48" i="28"/>
  <c r="F48" i="28"/>
  <c r="E48" i="28"/>
  <c r="D48" i="28" s="1"/>
  <c r="J47" i="28"/>
  <c r="G47" i="28"/>
  <c r="F47" i="28"/>
  <c r="E47" i="28"/>
  <c r="D47" i="28" s="1"/>
  <c r="J46" i="28"/>
  <c r="G46" i="28"/>
  <c r="F46" i="28"/>
  <c r="E46" i="28"/>
  <c r="D46" i="28" s="1"/>
  <c r="J45" i="28"/>
  <c r="G45" i="28"/>
  <c r="F45" i="28"/>
  <c r="E45" i="28"/>
  <c r="D45" i="28"/>
  <c r="J44" i="28"/>
  <c r="G44" i="28"/>
  <c r="F44" i="28"/>
  <c r="E44" i="28"/>
  <c r="D44" i="28" s="1"/>
  <c r="J43" i="28"/>
  <c r="G43" i="28"/>
  <c r="F43" i="28"/>
  <c r="E43" i="28"/>
  <c r="D43" i="28" s="1"/>
  <c r="J42" i="28"/>
  <c r="G42" i="28"/>
  <c r="F42" i="28"/>
  <c r="E42" i="28"/>
  <c r="J41" i="28"/>
  <c r="G41" i="28"/>
  <c r="F41" i="28"/>
  <c r="E41" i="28"/>
  <c r="D41" i="28"/>
  <c r="J40" i="28"/>
  <c r="G40" i="28"/>
  <c r="F40" i="28"/>
  <c r="E40" i="28"/>
  <c r="D40" i="28" s="1"/>
  <c r="J39" i="28"/>
  <c r="G39" i="28"/>
  <c r="F39" i="28"/>
  <c r="E39" i="28"/>
  <c r="D39" i="28" s="1"/>
  <c r="J38" i="28"/>
  <c r="G38" i="28"/>
  <c r="F38" i="28"/>
  <c r="E38" i="28"/>
  <c r="D38" i="28"/>
  <c r="J37" i="28"/>
  <c r="G37" i="28"/>
  <c r="F37" i="28"/>
  <c r="E37" i="28"/>
  <c r="D37" i="28" s="1"/>
  <c r="J36" i="28"/>
  <c r="G36" i="28"/>
  <c r="F36" i="28"/>
  <c r="E36" i="28"/>
  <c r="D36" i="28" s="1"/>
  <c r="J35" i="28"/>
  <c r="G35" i="28"/>
  <c r="F35" i="28"/>
  <c r="E35" i="28"/>
  <c r="D35" i="28"/>
  <c r="J34" i="28"/>
  <c r="G34" i="28"/>
  <c r="F34" i="28"/>
  <c r="E34" i="28"/>
  <c r="D34" i="28" s="1"/>
  <c r="J33" i="28"/>
  <c r="G33" i="28"/>
  <c r="F33" i="28"/>
  <c r="E33" i="28"/>
  <c r="D33" i="28" s="1"/>
  <c r="J32" i="28"/>
  <c r="G32" i="28"/>
  <c r="F32" i="28"/>
  <c r="E32" i="28"/>
  <c r="D32" i="28" s="1"/>
  <c r="J31" i="28"/>
  <c r="G31" i="28"/>
  <c r="F31" i="28"/>
  <c r="E31" i="28"/>
  <c r="D31" i="28" s="1"/>
  <c r="J30" i="28"/>
  <c r="G30" i="28"/>
  <c r="F30" i="28"/>
  <c r="E30" i="28"/>
  <c r="J29" i="28"/>
  <c r="G29" i="28"/>
  <c r="F29" i="28"/>
  <c r="E29" i="28"/>
  <c r="D29" i="28"/>
  <c r="J28" i="28"/>
  <c r="G28" i="28"/>
  <c r="F28" i="28"/>
  <c r="E28" i="28"/>
  <c r="D28" i="28" s="1"/>
  <c r="J27" i="28"/>
  <c r="G27" i="28"/>
  <c r="F27" i="28"/>
  <c r="E27" i="28"/>
  <c r="D27" i="28" s="1"/>
  <c r="J26" i="28"/>
  <c r="G26" i="28"/>
  <c r="F26" i="28"/>
  <c r="E26" i="28"/>
  <c r="J25" i="28"/>
  <c r="G25" i="28"/>
  <c r="F25" i="28"/>
  <c r="E25" i="28"/>
  <c r="D25" i="28"/>
  <c r="J24" i="28"/>
  <c r="G24" i="28"/>
  <c r="F24" i="28"/>
  <c r="E24" i="28"/>
  <c r="D24" i="28" s="1"/>
  <c r="J23" i="28"/>
  <c r="G23" i="28"/>
  <c r="F23" i="28"/>
  <c r="E23" i="28"/>
  <c r="D23" i="28" s="1"/>
  <c r="J22" i="28"/>
  <c r="G22" i="28"/>
  <c r="F22" i="28"/>
  <c r="E22" i="28"/>
  <c r="J21" i="28"/>
  <c r="G21" i="28"/>
  <c r="F21" i="28"/>
  <c r="E21" i="28"/>
  <c r="D21" i="28"/>
  <c r="J20" i="28"/>
  <c r="G20" i="28"/>
  <c r="F20" i="28"/>
  <c r="E20" i="28"/>
  <c r="D20" i="28" s="1"/>
  <c r="J19" i="28"/>
  <c r="G19" i="28"/>
  <c r="F19" i="28"/>
  <c r="E19" i="28"/>
  <c r="D19" i="28" s="1"/>
  <c r="J18" i="28"/>
  <c r="G18" i="28"/>
  <c r="F18" i="28"/>
  <c r="E18" i="28"/>
  <c r="J17" i="28"/>
  <c r="G17" i="28"/>
  <c r="F17" i="28"/>
  <c r="E17" i="28"/>
  <c r="D17" i="28"/>
  <c r="J16" i="28"/>
  <c r="G16" i="28"/>
  <c r="F16" i="28"/>
  <c r="E16" i="28"/>
  <c r="D16" i="28" s="1"/>
  <c r="J15" i="28"/>
  <c r="G15" i="28"/>
  <c r="F15" i="28"/>
  <c r="E15" i="28"/>
  <c r="D15" i="28" s="1"/>
  <c r="J14" i="28"/>
  <c r="G14" i="28"/>
  <c r="F14" i="28"/>
  <c r="E14" i="28"/>
  <c r="J13" i="28"/>
  <c r="G13" i="28"/>
  <c r="F13" i="28"/>
  <c r="E13" i="28"/>
  <c r="D13" i="28"/>
  <c r="J12" i="28"/>
  <c r="G12" i="28"/>
  <c r="F12" i="28"/>
  <c r="E12" i="28"/>
  <c r="D12" i="28" s="1"/>
  <c r="J11" i="28"/>
  <c r="G11" i="28"/>
  <c r="F11" i="28"/>
  <c r="E11" i="28"/>
  <c r="D11" i="28" s="1"/>
  <c r="J10" i="28"/>
  <c r="G10" i="28"/>
  <c r="F10" i="28"/>
  <c r="E10" i="28"/>
  <c r="J9" i="28"/>
  <c r="G9" i="28"/>
  <c r="F9" i="28"/>
  <c r="E9" i="28"/>
  <c r="D9" i="28"/>
  <c r="J8" i="28"/>
  <c r="G8" i="28"/>
  <c r="F8" i="28"/>
  <c r="E8" i="28"/>
  <c r="D8" i="28" s="1"/>
  <c r="J7" i="28"/>
  <c r="J52" i="28" s="1"/>
  <c r="G7" i="28"/>
  <c r="G52" i="28" s="1"/>
  <c r="F7" i="28"/>
  <c r="F52" i="28" s="1"/>
  <c r="E7" i="28"/>
  <c r="E52" i="28" s="1"/>
  <c r="D7" i="28"/>
  <c r="J6" i="28"/>
  <c r="J51" i="28" s="1"/>
  <c r="G6" i="28"/>
  <c r="G51" i="28" s="1"/>
  <c r="F6" i="28"/>
  <c r="F51" i="28" s="1"/>
  <c r="E6" i="28"/>
  <c r="E51" i="28" s="1"/>
  <c r="J5" i="28"/>
  <c r="J50" i="28" s="1"/>
  <c r="G5" i="28"/>
  <c r="G50" i="28" s="1"/>
  <c r="G53" i="28" s="1"/>
  <c r="F5" i="28"/>
  <c r="F50" i="28" s="1"/>
  <c r="E5" i="28"/>
  <c r="E50" i="28" s="1"/>
  <c r="E53" i="28" s="1"/>
  <c r="D5" i="28"/>
  <c r="K72" i="27"/>
  <c r="J72" i="27"/>
  <c r="H72" i="27"/>
  <c r="G72" i="27"/>
  <c r="K71" i="27"/>
  <c r="J71" i="27"/>
  <c r="H71" i="27"/>
  <c r="G71" i="27"/>
  <c r="K70" i="27"/>
  <c r="J70" i="27"/>
  <c r="H70" i="27"/>
  <c r="G70" i="27"/>
  <c r="I69" i="27"/>
  <c r="F69" i="27"/>
  <c r="E69" i="27"/>
  <c r="D69" i="27"/>
  <c r="C69" i="27" s="1"/>
  <c r="I68" i="27"/>
  <c r="I70" i="27" s="1"/>
  <c r="F68" i="27"/>
  <c r="F70" i="27" s="1"/>
  <c r="E68" i="27"/>
  <c r="E70" i="27" s="1"/>
  <c r="D68" i="27"/>
  <c r="D70" i="27" s="1"/>
  <c r="C68" i="27"/>
  <c r="C70" i="27" s="1"/>
  <c r="K67" i="27"/>
  <c r="J67" i="27"/>
  <c r="H67" i="27"/>
  <c r="G67" i="27"/>
  <c r="I66" i="27"/>
  <c r="F66" i="27"/>
  <c r="E66" i="27"/>
  <c r="D66" i="27"/>
  <c r="C66" i="27"/>
  <c r="I65" i="27"/>
  <c r="I67" i="27" s="1"/>
  <c r="F65" i="27"/>
  <c r="F67" i="27" s="1"/>
  <c r="E65" i="27"/>
  <c r="E67" i="27" s="1"/>
  <c r="D65" i="27"/>
  <c r="D67" i="27" s="1"/>
  <c r="C65" i="27"/>
  <c r="C67" i="27" s="1"/>
  <c r="K64" i="27"/>
  <c r="J64" i="27"/>
  <c r="H64" i="27"/>
  <c r="G64" i="27"/>
  <c r="I63" i="27"/>
  <c r="F63" i="27"/>
  <c r="E63" i="27"/>
  <c r="D63" i="27"/>
  <c r="C63" i="27"/>
  <c r="I62" i="27"/>
  <c r="I64" i="27" s="1"/>
  <c r="F62" i="27"/>
  <c r="F64" i="27" s="1"/>
  <c r="E62" i="27"/>
  <c r="E64" i="27" s="1"/>
  <c r="D62" i="27"/>
  <c r="C62" i="27" s="1"/>
  <c r="C64" i="27" s="1"/>
  <c r="K61" i="27"/>
  <c r="J61" i="27"/>
  <c r="H61" i="27"/>
  <c r="G61" i="27"/>
  <c r="I60" i="27"/>
  <c r="F60" i="27"/>
  <c r="E60" i="27"/>
  <c r="D60" i="27"/>
  <c r="C60" i="27" s="1"/>
  <c r="I59" i="27"/>
  <c r="I61" i="27" s="1"/>
  <c r="F59" i="27"/>
  <c r="F61" i="27" s="1"/>
  <c r="E59" i="27"/>
  <c r="E61" i="27" s="1"/>
  <c r="D59" i="27"/>
  <c r="D61" i="27" s="1"/>
  <c r="K58" i="27"/>
  <c r="J58" i="27"/>
  <c r="H58" i="27"/>
  <c r="G58" i="27"/>
  <c r="I57" i="27"/>
  <c r="F57" i="27"/>
  <c r="E57" i="27"/>
  <c r="D57" i="27"/>
  <c r="I56" i="27"/>
  <c r="I58" i="27" s="1"/>
  <c r="F56" i="27"/>
  <c r="F58" i="27" s="1"/>
  <c r="E56" i="27"/>
  <c r="E58" i="27" s="1"/>
  <c r="D56" i="27"/>
  <c r="C56" i="27" s="1"/>
  <c r="K55" i="27"/>
  <c r="J55" i="27"/>
  <c r="H55" i="27"/>
  <c r="G55" i="27"/>
  <c r="I54" i="27"/>
  <c r="F54" i="27"/>
  <c r="E54" i="27"/>
  <c r="D54" i="27"/>
  <c r="C54" i="27" s="1"/>
  <c r="I53" i="27"/>
  <c r="I55" i="27" s="1"/>
  <c r="F53" i="27"/>
  <c r="F55" i="27" s="1"/>
  <c r="E53" i="27"/>
  <c r="E55" i="27" s="1"/>
  <c r="D53" i="27"/>
  <c r="D55" i="27" s="1"/>
  <c r="K52" i="27"/>
  <c r="J52" i="27"/>
  <c r="H52" i="27"/>
  <c r="G52" i="27"/>
  <c r="I51" i="27"/>
  <c r="F51" i="27"/>
  <c r="E51" i="27"/>
  <c r="D51" i="27"/>
  <c r="C51" i="27" s="1"/>
  <c r="I50" i="27"/>
  <c r="I52" i="27" s="1"/>
  <c r="F50" i="27"/>
  <c r="F52" i="27" s="1"/>
  <c r="E50" i="27"/>
  <c r="E52" i="27" s="1"/>
  <c r="D50" i="27"/>
  <c r="C50" i="27" s="1"/>
  <c r="K49" i="27"/>
  <c r="J49" i="27"/>
  <c r="H49" i="27"/>
  <c r="G49" i="27"/>
  <c r="I48" i="27"/>
  <c r="F48" i="27"/>
  <c r="E48" i="27"/>
  <c r="D48" i="27"/>
  <c r="C48" i="27" s="1"/>
  <c r="I47" i="27"/>
  <c r="I49" i="27" s="1"/>
  <c r="F47" i="27"/>
  <c r="F49" i="27" s="1"/>
  <c r="E47" i="27"/>
  <c r="E49" i="27" s="1"/>
  <c r="D47" i="27"/>
  <c r="D49" i="27" s="1"/>
  <c r="K46" i="27"/>
  <c r="J46" i="27"/>
  <c r="H46" i="27"/>
  <c r="G46" i="27"/>
  <c r="I45" i="27"/>
  <c r="F45" i="27"/>
  <c r="E45" i="27"/>
  <c r="D45" i="27"/>
  <c r="C45" i="27" s="1"/>
  <c r="I44" i="27"/>
  <c r="I46" i="27" s="1"/>
  <c r="F44" i="27"/>
  <c r="F46" i="27" s="1"/>
  <c r="E44" i="27"/>
  <c r="E46" i="27" s="1"/>
  <c r="D44" i="27"/>
  <c r="K43" i="27"/>
  <c r="J43" i="27"/>
  <c r="H43" i="27"/>
  <c r="G43" i="27"/>
  <c r="I42" i="27"/>
  <c r="F42" i="27"/>
  <c r="E42" i="27"/>
  <c r="D42" i="27"/>
  <c r="C42" i="27" s="1"/>
  <c r="I41" i="27"/>
  <c r="I43" i="27" s="1"/>
  <c r="F41" i="27"/>
  <c r="F43" i="27" s="1"/>
  <c r="E41" i="27"/>
  <c r="E43" i="27" s="1"/>
  <c r="D41" i="27"/>
  <c r="D43" i="27" s="1"/>
  <c r="K40" i="27"/>
  <c r="J40" i="27"/>
  <c r="H40" i="27"/>
  <c r="G40" i="27"/>
  <c r="I39" i="27"/>
  <c r="F39" i="27"/>
  <c r="E39" i="27"/>
  <c r="D39" i="27"/>
  <c r="C39" i="27"/>
  <c r="I38" i="27"/>
  <c r="F38" i="27"/>
  <c r="F40" i="27" s="1"/>
  <c r="E38" i="27"/>
  <c r="E40" i="27" s="1"/>
  <c r="D38" i="27"/>
  <c r="C38" i="27" s="1"/>
  <c r="C40" i="27" s="1"/>
  <c r="K37" i="27"/>
  <c r="J37" i="27"/>
  <c r="H37" i="27"/>
  <c r="G37" i="27"/>
  <c r="I36" i="27"/>
  <c r="F36" i="27"/>
  <c r="E36" i="27"/>
  <c r="D36" i="27"/>
  <c r="C36" i="27" s="1"/>
  <c r="I35" i="27"/>
  <c r="I37" i="27" s="1"/>
  <c r="F35" i="27"/>
  <c r="F37" i="27" s="1"/>
  <c r="E35" i="27"/>
  <c r="E37" i="27" s="1"/>
  <c r="D35" i="27"/>
  <c r="D37" i="27" s="1"/>
  <c r="K34" i="27"/>
  <c r="J34" i="27"/>
  <c r="H34" i="27"/>
  <c r="G34" i="27"/>
  <c r="I33" i="27"/>
  <c r="F33" i="27"/>
  <c r="E33" i="27"/>
  <c r="D33" i="27"/>
  <c r="C33" i="27" s="1"/>
  <c r="I32" i="27"/>
  <c r="I34" i="27" s="1"/>
  <c r="F32" i="27"/>
  <c r="F34" i="27" s="1"/>
  <c r="E32" i="27"/>
  <c r="E34" i="27" s="1"/>
  <c r="D32" i="27"/>
  <c r="K31" i="27"/>
  <c r="J31" i="27"/>
  <c r="H31" i="27"/>
  <c r="G31" i="27"/>
  <c r="I30" i="27"/>
  <c r="F30" i="27"/>
  <c r="E30" i="27"/>
  <c r="D30" i="27"/>
  <c r="C30" i="27" s="1"/>
  <c r="I29" i="27"/>
  <c r="I31" i="27" s="1"/>
  <c r="F29" i="27"/>
  <c r="F31" i="27" s="1"/>
  <c r="E29" i="27"/>
  <c r="E31" i="27" s="1"/>
  <c r="D29" i="27"/>
  <c r="D31" i="27" s="1"/>
  <c r="K28" i="27"/>
  <c r="J28" i="27"/>
  <c r="H28" i="27"/>
  <c r="G28" i="27"/>
  <c r="I27" i="27"/>
  <c r="F27" i="27"/>
  <c r="E27" i="27"/>
  <c r="D27" i="27"/>
  <c r="C27" i="27" s="1"/>
  <c r="I26" i="27"/>
  <c r="I28" i="27" s="1"/>
  <c r="F26" i="27"/>
  <c r="F28" i="27" s="1"/>
  <c r="E26" i="27"/>
  <c r="E28" i="27" s="1"/>
  <c r="D26" i="27"/>
  <c r="C26" i="27" s="1"/>
  <c r="K25" i="27"/>
  <c r="J25" i="27"/>
  <c r="H25" i="27"/>
  <c r="G25" i="27"/>
  <c r="I24" i="27"/>
  <c r="F24" i="27"/>
  <c r="E24" i="27"/>
  <c r="D24" i="27"/>
  <c r="C24" i="27" s="1"/>
  <c r="I23" i="27"/>
  <c r="I25" i="27" s="1"/>
  <c r="F23" i="27"/>
  <c r="F25" i="27" s="1"/>
  <c r="E23" i="27"/>
  <c r="E25" i="27" s="1"/>
  <c r="D23" i="27"/>
  <c r="D25" i="27" s="1"/>
  <c r="K22" i="27"/>
  <c r="J22" i="27"/>
  <c r="H22" i="27"/>
  <c r="G22" i="27"/>
  <c r="I21" i="27"/>
  <c r="F21" i="27"/>
  <c r="E21" i="27"/>
  <c r="D21" i="27"/>
  <c r="C21" i="27" s="1"/>
  <c r="I20" i="27"/>
  <c r="F20" i="27"/>
  <c r="F22" i="27" s="1"/>
  <c r="E20" i="27"/>
  <c r="E22" i="27" s="1"/>
  <c r="D20" i="27"/>
  <c r="C20" i="27" s="1"/>
  <c r="K19" i="27"/>
  <c r="J19" i="27"/>
  <c r="H19" i="27"/>
  <c r="G19" i="27"/>
  <c r="I18" i="27"/>
  <c r="F18" i="27"/>
  <c r="E18" i="27"/>
  <c r="D18" i="27"/>
  <c r="C18" i="27" s="1"/>
  <c r="I17" i="27"/>
  <c r="I19" i="27" s="1"/>
  <c r="F17" i="27"/>
  <c r="F19" i="27" s="1"/>
  <c r="E17" i="27"/>
  <c r="E19" i="27" s="1"/>
  <c r="D17" i="27"/>
  <c r="D19" i="27" s="1"/>
  <c r="K16" i="27"/>
  <c r="J16" i="27"/>
  <c r="H16" i="27"/>
  <c r="G16" i="27"/>
  <c r="I15" i="27"/>
  <c r="F15" i="27"/>
  <c r="E15" i="27"/>
  <c r="D15" i="27"/>
  <c r="C15" i="27"/>
  <c r="I14" i="27"/>
  <c r="F14" i="27"/>
  <c r="F16" i="27" s="1"/>
  <c r="E14" i="27"/>
  <c r="D14" i="27"/>
  <c r="C14" i="27" s="1"/>
  <c r="C16" i="27" s="1"/>
  <c r="K13" i="27"/>
  <c r="J13" i="27"/>
  <c r="H13" i="27"/>
  <c r="G13" i="27"/>
  <c r="I12" i="27"/>
  <c r="F12" i="27"/>
  <c r="E12" i="27"/>
  <c r="D12" i="27"/>
  <c r="C12" i="27" s="1"/>
  <c r="I11" i="27"/>
  <c r="I13" i="27" s="1"/>
  <c r="F11" i="27"/>
  <c r="F13" i="27" s="1"/>
  <c r="E11" i="27"/>
  <c r="E13" i="27" s="1"/>
  <c r="D11" i="27"/>
  <c r="D13" i="27" s="1"/>
  <c r="K10" i="27"/>
  <c r="J10" i="27"/>
  <c r="H10" i="27"/>
  <c r="G10" i="27"/>
  <c r="I9" i="27"/>
  <c r="F9" i="27"/>
  <c r="E9" i="27"/>
  <c r="D9" i="27"/>
  <c r="C9" i="27" s="1"/>
  <c r="I8" i="27"/>
  <c r="F8" i="27"/>
  <c r="F10" i="27" s="1"/>
  <c r="E8" i="27"/>
  <c r="D8" i="27"/>
  <c r="K7" i="27"/>
  <c r="K73" i="27" s="1"/>
  <c r="J7" i="27"/>
  <c r="J73" i="27" s="1"/>
  <c r="H7" i="27"/>
  <c r="H73" i="27" s="1"/>
  <c r="G7" i="27"/>
  <c r="G73" i="27" s="1"/>
  <c r="I6" i="27"/>
  <c r="I72" i="27" s="1"/>
  <c r="F6" i="27"/>
  <c r="F72" i="27" s="1"/>
  <c r="E6" i="27"/>
  <c r="E72" i="27" s="1"/>
  <c r="D6" i="27"/>
  <c r="C6" i="27" s="1"/>
  <c r="I5" i="27"/>
  <c r="I71" i="27" s="1"/>
  <c r="F5" i="27"/>
  <c r="F71" i="27" s="1"/>
  <c r="E5" i="27"/>
  <c r="E71" i="27" s="1"/>
  <c r="D5" i="27"/>
  <c r="D71" i="27" s="1"/>
  <c r="C5" i="27"/>
  <c r="K78" i="26"/>
  <c r="J78" i="26"/>
  <c r="H78" i="26"/>
  <c r="G78" i="26"/>
  <c r="K77" i="26"/>
  <c r="J77" i="26"/>
  <c r="H77" i="26"/>
  <c r="G77" i="26"/>
  <c r="K76" i="26"/>
  <c r="J76" i="26"/>
  <c r="H76" i="26"/>
  <c r="G76" i="26"/>
  <c r="I75" i="26"/>
  <c r="F75" i="26"/>
  <c r="E75" i="26"/>
  <c r="D75" i="26"/>
  <c r="C75" i="26" s="1"/>
  <c r="I74" i="26"/>
  <c r="I76" i="26" s="1"/>
  <c r="F74" i="26"/>
  <c r="F76" i="26" s="1"/>
  <c r="E74" i="26"/>
  <c r="E76" i="26" s="1"/>
  <c r="D74" i="26"/>
  <c r="D76" i="26" s="1"/>
  <c r="K73" i="26"/>
  <c r="J73" i="26"/>
  <c r="H73" i="26"/>
  <c r="G73" i="26"/>
  <c r="I72" i="26"/>
  <c r="F72" i="26"/>
  <c r="E72" i="26"/>
  <c r="D72" i="26"/>
  <c r="C72" i="26"/>
  <c r="I71" i="26"/>
  <c r="I73" i="26" s="1"/>
  <c r="F71" i="26"/>
  <c r="F73" i="26" s="1"/>
  <c r="E71" i="26"/>
  <c r="E73" i="26" s="1"/>
  <c r="D71" i="26"/>
  <c r="C71" i="26" s="1"/>
  <c r="C73" i="26" s="1"/>
  <c r="K70" i="26"/>
  <c r="J70" i="26"/>
  <c r="H70" i="26"/>
  <c r="G70" i="26"/>
  <c r="I69" i="26"/>
  <c r="F69" i="26"/>
  <c r="E69" i="26"/>
  <c r="D69" i="26"/>
  <c r="C69" i="26" s="1"/>
  <c r="I68" i="26"/>
  <c r="I70" i="26" s="1"/>
  <c r="F68" i="26"/>
  <c r="F70" i="26" s="1"/>
  <c r="E68" i="26"/>
  <c r="E70" i="26" s="1"/>
  <c r="D68" i="26"/>
  <c r="D70" i="26" s="1"/>
  <c r="K67" i="26"/>
  <c r="J67" i="26"/>
  <c r="H67" i="26"/>
  <c r="G67" i="26"/>
  <c r="I66" i="26"/>
  <c r="F66" i="26"/>
  <c r="E66" i="26"/>
  <c r="D66" i="26"/>
  <c r="C66" i="26"/>
  <c r="I65" i="26"/>
  <c r="I67" i="26" s="1"/>
  <c r="F65" i="26"/>
  <c r="F67" i="26" s="1"/>
  <c r="E65" i="26"/>
  <c r="E67" i="26" s="1"/>
  <c r="D65" i="26"/>
  <c r="C65" i="26" s="1"/>
  <c r="C67" i="26" s="1"/>
  <c r="K64" i="26"/>
  <c r="J64" i="26"/>
  <c r="H64" i="26"/>
  <c r="G64" i="26"/>
  <c r="I63" i="26"/>
  <c r="F63" i="26"/>
  <c r="E63" i="26"/>
  <c r="D63" i="26"/>
  <c r="C63" i="26" s="1"/>
  <c r="I62" i="26"/>
  <c r="I64" i="26" s="1"/>
  <c r="F62" i="26"/>
  <c r="F64" i="26" s="1"/>
  <c r="E62" i="26"/>
  <c r="E64" i="26" s="1"/>
  <c r="D62" i="26"/>
  <c r="D64" i="26" s="1"/>
  <c r="K61" i="26"/>
  <c r="J61" i="26"/>
  <c r="H61" i="26"/>
  <c r="G61" i="26"/>
  <c r="I60" i="26"/>
  <c r="F60" i="26"/>
  <c r="E60" i="26"/>
  <c r="D60" i="26"/>
  <c r="C60" i="26"/>
  <c r="I59" i="26"/>
  <c r="F59" i="26"/>
  <c r="F61" i="26" s="1"/>
  <c r="E59" i="26"/>
  <c r="D59" i="26"/>
  <c r="C59" i="26" s="1"/>
  <c r="C61" i="26" s="1"/>
  <c r="K58" i="26"/>
  <c r="J58" i="26"/>
  <c r="H58" i="26"/>
  <c r="G58" i="26"/>
  <c r="I57" i="26"/>
  <c r="F57" i="26"/>
  <c r="E57" i="26"/>
  <c r="D57" i="26"/>
  <c r="C57" i="26" s="1"/>
  <c r="I56" i="26"/>
  <c r="I58" i="26" s="1"/>
  <c r="F56" i="26"/>
  <c r="F58" i="26" s="1"/>
  <c r="E56" i="26"/>
  <c r="E58" i="26" s="1"/>
  <c r="D56" i="26"/>
  <c r="D58" i="26" s="1"/>
  <c r="K55" i="26"/>
  <c r="J55" i="26"/>
  <c r="H55" i="26"/>
  <c r="G55" i="26"/>
  <c r="I54" i="26"/>
  <c r="F54" i="26"/>
  <c r="E54" i="26"/>
  <c r="D54" i="26"/>
  <c r="C54" i="26"/>
  <c r="I53" i="26"/>
  <c r="F53" i="26"/>
  <c r="F55" i="26" s="1"/>
  <c r="E53" i="26"/>
  <c r="D53" i="26"/>
  <c r="C53" i="26" s="1"/>
  <c r="C55" i="26" s="1"/>
  <c r="K52" i="26"/>
  <c r="J52" i="26"/>
  <c r="H52" i="26"/>
  <c r="G52" i="26"/>
  <c r="I51" i="26"/>
  <c r="F51" i="26"/>
  <c r="E51" i="26"/>
  <c r="D51" i="26"/>
  <c r="C51" i="26" s="1"/>
  <c r="I50" i="26"/>
  <c r="I52" i="26" s="1"/>
  <c r="F50" i="26"/>
  <c r="F52" i="26" s="1"/>
  <c r="E50" i="26"/>
  <c r="E52" i="26" s="1"/>
  <c r="D50" i="26"/>
  <c r="D52" i="26" s="1"/>
  <c r="K49" i="26"/>
  <c r="J49" i="26"/>
  <c r="H49" i="26"/>
  <c r="G49" i="26"/>
  <c r="I48" i="26"/>
  <c r="F48" i="26"/>
  <c r="E48" i="26"/>
  <c r="D48" i="26"/>
  <c r="C48" i="26"/>
  <c r="I47" i="26"/>
  <c r="F47" i="26"/>
  <c r="F49" i="26" s="1"/>
  <c r="E47" i="26"/>
  <c r="D47" i="26"/>
  <c r="C47" i="26" s="1"/>
  <c r="C49" i="26" s="1"/>
  <c r="K46" i="26"/>
  <c r="J46" i="26"/>
  <c r="H46" i="26"/>
  <c r="G46" i="26"/>
  <c r="I45" i="26"/>
  <c r="F45" i="26"/>
  <c r="E45" i="26"/>
  <c r="D45" i="26"/>
  <c r="C45" i="26" s="1"/>
  <c r="I44" i="26"/>
  <c r="I46" i="26" s="1"/>
  <c r="F44" i="26"/>
  <c r="F46" i="26" s="1"/>
  <c r="E44" i="26"/>
  <c r="E46" i="26" s="1"/>
  <c r="D44" i="26"/>
  <c r="D46" i="26" s="1"/>
  <c r="K43" i="26"/>
  <c r="J43" i="26"/>
  <c r="H43" i="26"/>
  <c r="G43" i="26"/>
  <c r="I42" i="26"/>
  <c r="F42" i="26"/>
  <c r="E42" i="26"/>
  <c r="D42" i="26"/>
  <c r="C42" i="26"/>
  <c r="I41" i="26"/>
  <c r="F41" i="26"/>
  <c r="F43" i="26" s="1"/>
  <c r="E41" i="26"/>
  <c r="D41" i="26"/>
  <c r="C41" i="26" s="1"/>
  <c r="C43" i="26" s="1"/>
  <c r="K40" i="26"/>
  <c r="J40" i="26"/>
  <c r="H40" i="26"/>
  <c r="G40" i="26"/>
  <c r="I39" i="26"/>
  <c r="F39" i="26"/>
  <c r="E39" i="26"/>
  <c r="D39" i="26"/>
  <c r="C39" i="26" s="1"/>
  <c r="I38" i="26"/>
  <c r="I40" i="26" s="1"/>
  <c r="F38" i="26"/>
  <c r="F40" i="26" s="1"/>
  <c r="E38" i="26"/>
  <c r="E40" i="26" s="1"/>
  <c r="D38" i="26"/>
  <c r="D40" i="26" s="1"/>
  <c r="K37" i="26"/>
  <c r="J37" i="26"/>
  <c r="H37" i="26"/>
  <c r="G37" i="26"/>
  <c r="I36" i="26"/>
  <c r="F36" i="26"/>
  <c r="E36" i="26"/>
  <c r="D36" i="26"/>
  <c r="C36" i="26"/>
  <c r="I35" i="26"/>
  <c r="F35" i="26"/>
  <c r="F37" i="26" s="1"/>
  <c r="E35" i="26"/>
  <c r="D35" i="26"/>
  <c r="C35" i="26" s="1"/>
  <c r="C37" i="26" s="1"/>
  <c r="K34" i="26"/>
  <c r="J34" i="26"/>
  <c r="H34" i="26"/>
  <c r="G34" i="26"/>
  <c r="I33" i="26"/>
  <c r="F33" i="26"/>
  <c r="E33" i="26"/>
  <c r="D33" i="26"/>
  <c r="C33" i="26" s="1"/>
  <c r="I32" i="26"/>
  <c r="I34" i="26" s="1"/>
  <c r="F32" i="26"/>
  <c r="F34" i="26" s="1"/>
  <c r="E32" i="26"/>
  <c r="E34" i="26" s="1"/>
  <c r="D32" i="26"/>
  <c r="D34" i="26" s="1"/>
  <c r="K31" i="26"/>
  <c r="J31" i="26"/>
  <c r="H31" i="26"/>
  <c r="G31" i="26"/>
  <c r="I30" i="26"/>
  <c r="F30" i="26"/>
  <c r="E30" i="26"/>
  <c r="D30" i="26"/>
  <c r="C30" i="26"/>
  <c r="I29" i="26"/>
  <c r="F29" i="26"/>
  <c r="F31" i="26" s="1"/>
  <c r="E29" i="26"/>
  <c r="D29" i="26"/>
  <c r="C29" i="26" s="1"/>
  <c r="C31" i="26" s="1"/>
  <c r="K28" i="26"/>
  <c r="J28" i="26"/>
  <c r="H28" i="26"/>
  <c r="G28" i="26"/>
  <c r="I27" i="26"/>
  <c r="F27" i="26"/>
  <c r="E27" i="26"/>
  <c r="D27" i="26"/>
  <c r="C27" i="26" s="1"/>
  <c r="I26" i="26"/>
  <c r="I28" i="26" s="1"/>
  <c r="F26" i="26"/>
  <c r="F28" i="26" s="1"/>
  <c r="E26" i="26"/>
  <c r="E28" i="26" s="1"/>
  <c r="D26" i="26"/>
  <c r="D28" i="26" s="1"/>
  <c r="K25" i="26"/>
  <c r="J25" i="26"/>
  <c r="H25" i="26"/>
  <c r="G25" i="26"/>
  <c r="I24" i="26"/>
  <c r="F24" i="26"/>
  <c r="E24" i="26"/>
  <c r="D24" i="26"/>
  <c r="C24" i="26"/>
  <c r="I23" i="26"/>
  <c r="F23" i="26"/>
  <c r="F25" i="26" s="1"/>
  <c r="E23" i="26"/>
  <c r="D23" i="26"/>
  <c r="C23" i="26" s="1"/>
  <c r="C25" i="26" s="1"/>
  <c r="K22" i="26"/>
  <c r="J22" i="26"/>
  <c r="H22" i="26"/>
  <c r="G22" i="26"/>
  <c r="I21" i="26"/>
  <c r="F21" i="26"/>
  <c r="E21" i="26"/>
  <c r="D21" i="26"/>
  <c r="C21" i="26" s="1"/>
  <c r="I20" i="26"/>
  <c r="I22" i="26" s="1"/>
  <c r="F20" i="26"/>
  <c r="F22" i="26" s="1"/>
  <c r="E20" i="26"/>
  <c r="E22" i="26" s="1"/>
  <c r="D20" i="26"/>
  <c r="D22" i="26" s="1"/>
  <c r="K19" i="26"/>
  <c r="J19" i="26"/>
  <c r="H19" i="26"/>
  <c r="G19" i="26"/>
  <c r="I18" i="26"/>
  <c r="F18" i="26"/>
  <c r="E18" i="26"/>
  <c r="D18" i="26"/>
  <c r="C18" i="26"/>
  <c r="I17" i="26"/>
  <c r="F17" i="26"/>
  <c r="F19" i="26" s="1"/>
  <c r="E17" i="26"/>
  <c r="D17" i="26"/>
  <c r="C17" i="26" s="1"/>
  <c r="C19" i="26" s="1"/>
  <c r="K16" i="26"/>
  <c r="J16" i="26"/>
  <c r="H16" i="26"/>
  <c r="G16" i="26"/>
  <c r="I15" i="26"/>
  <c r="F15" i="26"/>
  <c r="E15" i="26"/>
  <c r="D15" i="26"/>
  <c r="C15" i="26" s="1"/>
  <c r="I14" i="26"/>
  <c r="I16" i="26" s="1"/>
  <c r="F14" i="26"/>
  <c r="F16" i="26" s="1"/>
  <c r="E14" i="26"/>
  <c r="E16" i="26" s="1"/>
  <c r="D14" i="26"/>
  <c r="D16" i="26" s="1"/>
  <c r="K13" i="26"/>
  <c r="J13" i="26"/>
  <c r="H13" i="26"/>
  <c r="G13" i="26"/>
  <c r="I12" i="26"/>
  <c r="F12" i="26"/>
  <c r="E12" i="26"/>
  <c r="D12" i="26"/>
  <c r="C12" i="26"/>
  <c r="I11" i="26"/>
  <c r="F11" i="26"/>
  <c r="F13" i="26" s="1"/>
  <c r="E11" i="26"/>
  <c r="D11" i="26"/>
  <c r="C11" i="26" s="1"/>
  <c r="C13" i="26" s="1"/>
  <c r="K10" i="26"/>
  <c r="J10" i="26"/>
  <c r="H10" i="26"/>
  <c r="G10" i="26"/>
  <c r="I9" i="26"/>
  <c r="F9" i="26"/>
  <c r="E9" i="26"/>
  <c r="D9" i="26"/>
  <c r="C9" i="26" s="1"/>
  <c r="I8" i="26"/>
  <c r="I10" i="26" s="1"/>
  <c r="F8" i="26"/>
  <c r="F10" i="26" s="1"/>
  <c r="E8" i="26"/>
  <c r="E10" i="26" s="1"/>
  <c r="D8" i="26"/>
  <c r="D10" i="26" s="1"/>
  <c r="K7" i="26"/>
  <c r="K79" i="26" s="1"/>
  <c r="J7" i="26"/>
  <c r="H7" i="26"/>
  <c r="H79" i="26" s="1"/>
  <c r="G7" i="26"/>
  <c r="I6" i="26"/>
  <c r="I78" i="26" s="1"/>
  <c r="F6" i="26"/>
  <c r="E6" i="26"/>
  <c r="E78" i="26" s="1"/>
  <c r="D6" i="26"/>
  <c r="C6" i="26"/>
  <c r="C78" i="26" s="1"/>
  <c r="I5" i="26"/>
  <c r="I77" i="26" s="1"/>
  <c r="F5" i="26"/>
  <c r="F77" i="26" s="1"/>
  <c r="E5" i="26"/>
  <c r="E77" i="26" s="1"/>
  <c r="D5" i="26"/>
  <c r="C5" i="26" s="1"/>
  <c r="K28" i="25"/>
  <c r="J28" i="25"/>
  <c r="H28" i="25"/>
  <c r="G28" i="25"/>
  <c r="I27" i="25"/>
  <c r="F27" i="25"/>
  <c r="E27" i="25"/>
  <c r="D27" i="25"/>
  <c r="C27" i="25" s="1"/>
  <c r="I26" i="25"/>
  <c r="F26" i="25"/>
  <c r="E26" i="25"/>
  <c r="D26" i="25"/>
  <c r="I25" i="25"/>
  <c r="F25" i="25"/>
  <c r="E25" i="25"/>
  <c r="D25" i="25"/>
  <c r="I24" i="25"/>
  <c r="F24" i="25"/>
  <c r="E24" i="25"/>
  <c r="D24" i="25"/>
  <c r="I23" i="25"/>
  <c r="F23" i="25"/>
  <c r="E23" i="25"/>
  <c r="D23" i="25"/>
  <c r="I22" i="25"/>
  <c r="F22" i="25"/>
  <c r="E22" i="25"/>
  <c r="D22" i="25"/>
  <c r="I21" i="25"/>
  <c r="F21" i="25"/>
  <c r="E21" i="25"/>
  <c r="D21" i="25"/>
  <c r="I20" i="25"/>
  <c r="F20" i="25"/>
  <c r="E20" i="25"/>
  <c r="D20" i="25"/>
  <c r="I19" i="25"/>
  <c r="F19" i="25"/>
  <c r="E19" i="25"/>
  <c r="D19" i="25"/>
  <c r="C19" i="25"/>
  <c r="I18" i="25"/>
  <c r="F18" i="25"/>
  <c r="E18" i="25"/>
  <c r="D18" i="25"/>
  <c r="C18" i="25" s="1"/>
  <c r="I17" i="25"/>
  <c r="F17" i="25"/>
  <c r="E17" i="25"/>
  <c r="D17" i="25"/>
  <c r="C17" i="25" s="1"/>
  <c r="I16" i="25"/>
  <c r="F16" i="25"/>
  <c r="E16" i="25"/>
  <c r="D16" i="25"/>
  <c r="I15" i="25"/>
  <c r="F15" i="25"/>
  <c r="E15" i="25"/>
  <c r="D15" i="25"/>
  <c r="C15" i="25" s="1"/>
  <c r="I14" i="25"/>
  <c r="F14" i="25"/>
  <c r="E14" i="25"/>
  <c r="D14" i="25"/>
  <c r="I13" i="25"/>
  <c r="F13" i="25"/>
  <c r="E13" i="25"/>
  <c r="D13" i="25"/>
  <c r="C13" i="25"/>
  <c r="I12" i="25"/>
  <c r="F12" i="25"/>
  <c r="E12" i="25"/>
  <c r="D12" i="25"/>
  <c r="C12" i="25" s="1"/>
  <c r="I11" i="25"/>
  <c r="F11" i="25"/>
  <c r="E11" i="25"/>
  <c r="D11" i="25"/>
  <c r="C11" i="25" s="1"/>
  <c r="I10" i="25"/>
  <c r="F10" i="25"/>
  <c r="E10" i="25"/>
  <c r="D10" i="25"/>
  <c r="C10" i="25" s="1"/>
  <c r="I9" i="25"/>
  <c r="F9" i="25"/>
  <c r="E9" i="25"/>
  <c r="D9" i="25"/>
  <c r="C9" i="25" s="1"/>
  <c r="I8" i="25"/>
  <c r="F8" i="25"/>
  <c r="E8" i="25"/>
  <c r="D8" i="25"/>
  <c r="I7" i="25"/>
  <c r="F7" i="25"/>
  <c r="E7" i="25"/>
  <c r="D7" i="25"/>
  <c r="I6" i="25"/>
  <c r="F6" i="25"/>
  <c r="E6" i="25"/>
  <c r="D6" i="25"/>
  <c r="I5" i="25"/>
  <c r="I28" i="25" s="1"/>
  <c r="F5" i="25"/>
  <c r="E5" i="25"/>
  <c r="E28" i="25" s="1"/>
  <c r="D5" i="25"/>
  <c r="C5" i="25"/>
  <c r="K29" i="24"/>
  <c r="J29" i="24"/>
  <c r="H29" i="24"/>
  <c r="G29" i="24"/>
  <c r="I28" i="24"/>
  <c r="F28" i="24"/>
  <c r="E28" i="24"/>
  <c r="D28" i="24"/>
  <c r="C28" i="24" s="1"/>
  <c r="I27" i="24"/>
  <c r="F27" i="24"/>
  <c r="E27" i="24"/>
  <c r="D27" i="24"/>
  <c r="I26" i="24"/>
  <c r="F26" i="24"/>
  <c r="E26" i="24"/>
  <c r="D26" i="24"/>
  <c r="C26" i="24"/>
  <c r="I25" i="24"/>
  <c r="F25" i="24"/>
  <c r="E25" i="24"/>
  <c r="D25" i="24"/>
  <c r="C25" i="24" s="1"/>
  <c r="I24" i="24"/>
  <c r="F24" i="24"/>
  <c r="E24" i="24"/>
  <c r="D24" i="24"/>
  <c r="C24" i="24" s="1"/>
  <c r="I23" i="24"/>
  <c r="F23" i="24"/>
  <c r="E23" i="24"/>
  <c r="D23" i="24"/>
  <c r="I22" i="24"/>
  <c r="F22" i="24"/>
  <c r="E22" i="24"/>
  <c r="D22" i="24"/>
  <c r="C22" i="24"/>
  <c r="I21" i="24"/>
  <c r="F21" i="24"/>
  <c r="E21" i="24"/>
  <c r="D21" i="24"/>
  <c r="C21" i="24" s="1"/>
  <c r="I20" i="24"/>
  <c r="F20" i="24"/>
  <c r="E20" i="24"/>
  <c r="D20" i="24"/>
  <c r="C20" i="24" s="1"/>
  <c r="I19" i="24"/>
  <c r="F19" i="24"/>
  <c r="E19" i="24"/>
  <c r="D19" i="24"/>
  <c r="I18" i="24"/>
  <c r="F18" i="24"/>
  <c r="E18" i="24"/>
  <c r="D18" i="24"/>
  <c r="C18" i="24"/>
  <c r="I17" i="24"/>
  <c r="F17" i="24"/>
  <c r="E17" i="24"/>
  <c r="D17" i="24"/>
  <c r="C17" i="24" s="1"/>
  <c r="I16" i="24"/>
  <c r="F16" i="24"/>
  <c r="E16" i="24"/>
  <c r="D16" i="24"/>
  <c r="C16" i="24" s="1"/>
  <c r="I15" i="24"/>
  <c r="F15" i="24"/>
  <c r="E15" i="24"/>
  <c r="D15" i="24"/>
  <c r="I14" i="24"/>
  <c r="F14" i="24"/>
  <c r="E14" i="24"/>
  <c r="D14" i="24"/>
  <c r="C14" i="24"/>
  <c r="I13" i="24"/>
  <c r="F13" i="24"/>
  <c r="E13" i="24"/>
  <c r="D13" i="24"/>
  <c r="C13" i="24" s="1"/>
  <c r="I12" i="24"/>
  <c r="F12" i="24"/>
  <c r="E12" i="24"/>
  <c r="D12" i="24"/>
  <c r="C12" i="24" s="1"/>
  <c r="I11" i="24"/>
  <c r="F11" i="24"/>
  <c r="E11" i="24"/>
  <c r="D11" i="24"/>
  <c r="I10" i="24"/>
  <c r="F10" i="24"/>
  <c r="E10" i="24"/>
  <c r="D10" i="24"/>
  <c r="C10" i="24"/>
  <c r="I9" i="24"/>
  <c r="F9" i="24"/>
  <c r="E9" i="24"/>
  <c r="D9" i="24"/>
  <c r="C9" i="24" s="1"/>
  <c r="I8" i="24"/>
  <c r="F8" i="24"/>
  <c r="E8" i="24"/>
  <c r="D8" i="24"/>
  <c r="C8" i="24" s="1"/>
  <c r="I7" i="24"/>
  <c r="F7" i="24"/>
  <c r="E7" i="24"/>
  <c r="D7" i="24"/>
  <c r="C7" i="24"/>
  <c r="I6" i="24"/>
  <c r="F6" i="24"/>
  <c r="E6" i="24"/>
  <c r="D6" i="24"/>
  <c r="C6" i="24" s="1"/>
  <c r="I5" i="24"/>
  <c r="F5" i="24"/>
  <c r="F29" i="24" s="1"/>
  <c r="E5" i="24"/>
  <c r="D5" i="24"/>
  <c r="D29" i="24" s="1"/>
  <c r="C28" i="27" l="1"/>
  <c r="C52" i="27"/>
  <c r="D42" i="28"/>
  <c r="D10" i="29"/>
  <c r="D11" i="29"/>
  <c r="D59" i="29"/>
  <c r="D60" i="29"/>
  <c r="D61" i="29"/>
  <c r="D62" i="29"/>
  <c r="D63" i="29"/>
  <c r="B29" i="30"/>
  <c r="B30" i="30"/>
  <c r="D95" i="30"/>
  <c r="B94" i="30"/>
  <c r="C5" i="24"/>
  <c r="E29" i="24"/>
  <c r="I29" i="24"/>
  <c r="C11" i="24"/>
  <c r="C15" i="24"/>
  <c r="C19" i="24"/>
  <c r="C23" i="24"/>
  <c r="C27" i="24"/>
  <c r="D28" i="25"/>
  <c r="F28" i="25"/>
  <c r="C6" i="25"/>
  <c r="C7" i="25"/>
  <c r="C8" i="25"/>
  <c r="C14" i="25"/>
  <c r="C20" i="25"/>
  <c r="C21" i="25"/>
  <c r="C22" i="25"/>
  <c r="C23" i="25"/>
  <c r="C24" i="25"/>
  <c r="C25" i="25"/>
  <c r="C26" i="25"/>
  <c r="D78" i="26"/>
  <c r="F78" i="26"/>
  <c r="G79" i="26"/>
  <c r="J79" i="26"/>
  <c r="C8" i="26"/>
  <c r="E13" i="26"/>
  <c r="I13" i="26"/>
  <c r="C14" i="26"/>
  <c r="E19" i="26"/>
  <c r="I19" i="26"/>
  <c r="C20" i="26"/>
  <c r="E25" i="26"/>
  <c r="I25" i="26"/>
  <c r="C26" i="26"/>
  <c r="E31" i="26"/>
  <c r="I31" i="26"/>
  <c r="C32" i="26"/>
  <c r="E37" i="26"/>
  <c r="I37" i="26"/>
  <c r="C38" i="26"/>
  <c r="E43" i="26"/>
  <c r="I43" i="26"/>
  <c r="C44" i="26"/>
  <c r="E49" i="26"/>
  <c r="I49" i="26"/>
  <c r="C50" i="26"/>
  <c r="E55" i="26"/>
  <c r="I55" i="26"/>
  <c r="C56" i="26"/>
  <c r="E61" i="26"/>
  <c r="I61" i="26"/>
  <c r="C62" i="26"/>
  <c r="C68" i="26"/>
  <c r="C74" i="26"/>
  <c r="C8" i="27"/>
  <c r="C10" i="27" s="1"/>
  <c r="C22" i="27"/>
  <c r="C32" i="27"/>
  <c r="C34" i="27" s="1"/>
  <c r="C44" i="27"/>
  <c r="C46" i="27" s="1"/>
  <c r="C57" i="27"/>
  <c r="C59" i="27"/>
  <c r="C61" i="27" s="1"/>
  <c r="D10" i="28"/>
  <c r="D52" i="28" s="1"/>
  <c r="D14" i="28"/>
  <c r="D50" i="28" s="1"/>
  <c r="D18" i="28"/>
  <c r="D22" i="28"/>
  <c r="D26" i="28"/>
  <c r="D30" i="28"/>
  <c r="D16" i="29"/>
  <c r="D17" i="29"/>
  <c r="D18" i="29"/>
  <c r="D19" i="29"/>
  <c r="D20" i="29"/>
  <c r="D21" i="29"/>
  <c r="D27" i="29"/>
  <c r="D28" i="29"/>
  <c r="D29" i="29"/>
  <c r="D30" i="29"/>
  <c r="D31" i="29"/>
  <c r="D38" i="29"/>
  <c r="D39" i="29"/>
  <c r="D47" i="29"/>
  <c r="D55" i="29"/>
  <c r="B43" i="30"/>
  <c r="B49" i="30"/>
  <c r="B52" i="30"/>
  <c r="H54" i="30"/>
  <c r="B64" i="30"/>
  <c r="B66" i="30"/>
  <c r="C67" i="30"/>
  <c r="B67" i="30" s="1"/>
  <c r="B73" i="30"/>
  <c r="B74" i="30"/>
  <c r="B78" i="30"/>
  <c r="D78" i="30"/>
  <c r="H78" i="30"/>
  <c r="D79" i="30"/>
  <c r="B79" i="30" s="1"/>
  <c r="H80" i="30"/>
  <c r="D81" i="30"/>
  <c r="B81" i="30" s="1"/>
  <c r="C85" i="30"/>
  <c r="B85" i="30" s="1"/>
  <c r="B88" i="30" s="1"/>
  <c r="C86" i="30"/>
  <c r="B86" i="30" s="1"/>
  <c r="J88" i="30"/>
  <c r="E95" i="30"/>
  <c r="C92" i="30"/>
  <c r="B92" i="30" s="1"/>
  <c r="C99" i="30"/>
  <c r="B99" i="30" s="1"/>
  <c r="C100" i="30"/>
  <c r="B100" i="30" s="1"/>
  <c r="B101" i="30"/>
  <c r="B102" i="30"/>
  <c r="B107" i="30"/>
  <c r="C109" i="30"/>
  <c r="B109" i="30" s="1"/>
  <c r="B126" i="30"/>
  <c r="B127" i="30"/>
  <c r="C138" i="30"/>
  <c r="C139" i="30" s="1"/>
  <c r="B151" i="30"/>
  <c r="C199" i="30"/>
  <c r="B162" i="30"/>
  <c r="B163" i="30"/>
  <c r="B170" i="30"/>
  <c r="B171" i="30"/>
  <c r="B19" i="31"/>
  <c r="B35" i="31"/>
  <c r="H33" i="31"/>
  <c r="H35" i="31" s="1"/>
  <c r="B41" i="31"/>
  <c r="B56" i="31"/>
  <c r="B337" i="31"/>
  <c r="H342" i="31"/>
  <c r="B343" i="31"/>
  <c r="B347" i="31"/>
  <c r="B383" i="31"/>
  <c r="B395" i="31"/>
  <c r="B486" i="31"/>
  <c r="B488" i="31"/>
  <c r="B490" i="31" s="1"/>
  <c r="E490" i="31"/>
  <c r="B503" i="31"/>
  <c r="B505" i="31" s="1"/>
  <c r="D703" i="31"/>
  <c r="B858" i="31"/>
  <c r="B860" i="31" s="1"/>
  <c r="B1034" i="31"/>
  <c r="B1036" i="31" s="1"/>
  <c r="E57" i="32"/>
  <c r="C82" i="32"/>
  <c r="C268" i="32"/>
  <c r="E272" i="32"/>
  <c r="I272" i="32"/>
  <c r="C275" i="32"/>
  <c r="C307" i="32"/>
  <c r="D340" i="32"/>
  <c r="D342" i="32" s="1"/>
  <c r="B178" i="30"/>
  <c r="B179" i="30"/>
  <c r="B186" i="30"/>
  <c r="B187" i="30"/>
  <c r="H190" i="30"/>
  <c r="B211" i="30"/>
  <c r="B212" i="30" s="1"/>
  <c r="C12" i="31"/>
  <c r="B12" i="31" s="1"/>
  <c r="B14" i="31" s="1"/>
  <c r="B50" i="31"/>
  <c r="D68" i="31"/>
  <c r="D70" i="31" s="1"/>
  <c r="B100" i="31"/>
  <c r="B102" i="31" s="1"/>
  <c r="E102" i="31"/>
  <c r="C106" i="31"/>
  <c r="C108" i="31" s="1"/>
  <c r="B107" i="31"/>
  <c r="B116" i="31"/>
  <c r="B118" i="31"/>
  <c r="B120" i="31" s="1"/>
  <c r="E120" i="31"/>
  <c r="B302" i="31"/>
  <c r="D305" i="31"/>
  <c r="D307" i="31" s="1"/>
  <c r="B357" i="31"/>
  <c r="B359" i="31" s="1"/>
  <c r="E359" i="31"/>
  <c r="B377" i="31"/>
  <c r="B389" i="31"/>
  <c r="B397" i="31"/>
  <c r="B399" i="31"/>
  <c r="B401" i="31" s="1"/>
  <c r="E401" i="31"/>
  <c r="B409" i="31"/>
  <c r="B411" i="31"/>
  <c r="B413" i="31" s="1"/>
  <c r="E413" i="31"/>
  <c r="B421" i="31"/>
  <c r="B423" i="31"/>
  <c r="B425" i="31" s="1"/>
  <c r="E425" i="31"/>
  <c r="B458" i="31"/>
  <c r="B460" i="31" s="1"/>
  <c r="B468" i="31"/>
  <c r="B470" i="31"/>
  <c r="B472" i="31" s="1"/>
  <c r="E472" i="31"/>
  <c r="B499" i="31"/>
  <c r="B511" i="31"/>
  <c r="D529" i="31"/>
  <c r="D531" i="31" s="1"/>
  <c r="B539" i="31"/>
  <c r="B541" i="31"/>
  <c r="B543" i="31" s="1"/>
  <c r="E543" i="31"/>
  <c r="B551" i="31"/>
  <c r="C553" i="31"/>
  <c r="C555" i="31" s="1"/>
  <c r="B554" i="31"/>
  <c r="B556" i="31"/>
  <c r="B558" i="31" s="1"/>
  <c r="E558" i="31"/>
  <c r="B566" i="31"/>
  <c r="B568" i="31"/>
  <c r="B570" i="31" s="1"/>
  <c r="E570" i="31"/>
  <c r="B578" i="31"/>
  <c r="B580" i="31"/>
  <c r="B582" i="31" s="1"/>
  <c r="E582" i="31"/>
  <c r="D661" i="31"/>
  <c r="E593" i="31"/>
  <c r="B595" i="31"/>
  <c r="D597" i="31"/>
  <c r="B597" i="31" s="1"/>
  <c r="B598" i="31"/>
  <c r="E599" i="31"/>
  <c r="B604" i="31"/>
  <c r="H608" i="31"/>
  <c r="C609" i="31"/>
  <c r="B609" i="31" s="1"/>
  <c r="B610" i="31"/>
  <c r="C612" i="31"/>
  <c r="B612" i="31" s="1"/>
  <c r="C613" i="31"/>
  <c r="B613" i="31" s="1"/>
  <c r="D614" i="31"/>
  <c r="H615" i="31"/>
  <c r="D620" i="31"/>
  <c r="B625" i="31"/>
  <c r="C626" i="31"/>
  <c r="E629" i="31"/>
  <c r="D629" i="31"/>
  <c r="E632" i="31"/>
  <c r="H632" i="31"/>
  <c r="B637" i="31"/>
  <c r="C638" i="31"/>
  <c r="H641" i="31"/>
  <c r="E650" i="31"/>
  <c r="H650" i="31"/>
  <c r="B655" i="31"/>
  <c r="C656" i="31"/>
  <c r="D668" i="31"/>
  <c r="H668" i="31"/>
  <c r="E676" i="31"/>
  <c r="D676" i="31"/>
  <c r="D677" i="31"/>
  <c r="B687" i="31"/>
  <c r="C688" i="31"/>
  <c r="E691" i="31"/>
  <c r="D691" i="31"/>
  <c r="C695" i="31"/>
  <c r="B695" i="31" s="1"/>
  <c r="B696" i="31"/>
  <c r="D697" i="31"/>
  <c r="B702" i="31"/>
  <c r="B704" i="31"/>
  <c r="B705" i="31"/>
  <c r="C706" i="31"/>
  <c r="B708" i="31"/>
  <c r="H709" i="31"/>
  <c r="B741" i="31"/>
  <c r="C783" i="31"/>
  <c r="C758" i="31"/>
  <c r="C761" i="31"/>
  <c r="C764" i="31"/>
  <c r="C767" i="31"/>
  <c r="C768" i="31"/>
  <c r="C769" i="31"/>
  <c r="B769" i="31" s="1"/>
  <c r="B798" i="31"/>
  <c r="B800" i="31"/>
  <c r="H800" i="31"/>
  <c r="H802" i="31" s="1"/>
  <c r="D803" i="31"/>
  <c r="D805" i="31" s="1"/>
  <c r="D817" i="31"/>
  <c r="D819" i="31" s="1"/>
  <c r="D843" i="31" s="1"/>
  <c r="H817" i="31"/>
  <c r="H819" i="31" s="1"/>
  <c r="E822" i="31"/>
  <c r="D828" i="31"/>
  <c r="B829" i="31"/>
  <c r="B830" i="31"/>
  <c r="D832" i="31"/>
  <c r="B832" i="31" s="1"/>
  <c r="H832" i="31"/>
  <c r="B833" i="31"/>
  <c r="E837" i="31"/>
  <c r="B920" i="31"/>
  <c r="B922" i="31"/>
  <c r="B924" i="31" s="1"/>
  <c r="E924" i="31"/>
  <c r="B928" i="31"/>
  <c r="B930" i="31" s="1"/>
  <c r="H928" i="31"/>
  <c r="H930" i="31" s="1"/>
  <c r="B934" i="31"/>
  <c r="B936" i="31" s="1"/>
  <c r="H934" i="31"/>
  <c r="H936" i="31" s="1"/>
  <c r="B950" i="31"/>
  <c r="B952" i="31"/>
  <c r="B954" i="31" s="1"/>
  <c r="E954" i="31"/>
  <c r="D960" i="31"/>
  <c r="B962" i="31"/>
  <c r="B964" i="31"/>
  <c r="B966" i="31" s="1"/>
  <c r="E966" i="31"/>
  <c r="B977" i="31"/>
  <c r="B979" i="31"/>
  <c r="B989" i="31"/>
  <c r="B991" i="31"/>
  <c r="B1016" i="31"/>
  <c r="B1097" i="31"/>
  <c r="C1124" i="31"/>
  <c r="C1127" i="31" s="1"/>
  <c r="H1124" i="31"/>
  <c r="H1127" i="31" s="1"/>
  <c r="B1134" i="31"/>
  <c r="B1143" i="31" s="1"/>
  <c r="B1136" i="31"/>
  <c r="B1138" i="31" s="1"/>
  <c r="E1138" i="31"/>
  <c r="B1140" i="31"/>
  <c r="B1147" i="31"/>
  <c r="B1150" i="31" s="1"/>
  <c r="D11" i="32"/>
  <c r="C11" i="32" s="1"/>
  <c r="C14" i="32"/>
  <c r="C26" i="32"/>
  <c r="C27" i="32"/>
  <c r="D31" i="32"/>
  <c r="C31" i="32" s="1"/>
  <c r="C33" i="32"/>
  <c r="C34" i="32"/>
  <c r="C53" i="32"/>
  <c r="E54" i="32"/>
  <c r="C54" i="32" s="1"/>
  <c r="E55" i="32"/>
  <c r="C55" i="32" s="1"/>
  <c r="E56" i="32"/>
  <c r="E65" i="32" s="1"/>
  <c r="C57" i="32"/>
  <c r="C69" i="32"/>
  <c r="C71" i="32"/>
  <c r="C78" i="32"/>
  <c r="D79" i="32"/>
  <c r="C79" i="32" s="1"/>
  <c r="C80" i="32"/>
  <c r="I82" i="32"/>
  <c r="C83" i="32"/>
  <c r="C84" i="32"/>
  <c r="C92" i="32"/>
  <c r="C93" i="32"/>
  <c r="C108" i="32"/>
  <c r="C109" i="32"/>
  <c r="C116" i="32"/>
  <c r="C117" i="32"/>
  <c r="C118" i="32"/>
  <c r="C125" i="32"/>
  <c r="C126" i="32"/>
  <c r="C133" i="32"/>
  <c r="C134" i="32"/>
  <c r="C141" i="32"/>
  <c r="C142" i="32"/>
  <c r="C149" i="32"/>
  <c r="C156" i="32"/>
  <c r="C157" i="32"/>
  <c r="C165" i="32"/>
  <c r="C172" i="32"/>
  <c r="C173" i="32"/>
  <c r="C180" i="32"/>
  <c r="C181" i="32"/>
  <c r="C187" i="32"/>
  <c r="C188" i="32"/>
  <c r="C195" i="32"/>
  <c r="C196" i="32"/>
  <c r="I197" i="32"/>
  <c r="I203" i="32" s="1"/>
  <c r="E222" i="32"/>
  <c r="I222" i="32"/>
  <c r="D224" i="32"/>
  <c r="F224" i="32"/>
  <c r="C210" i="32"/>
  <c r="C211" i="32"/>
  <c r="C218" i="32"/>
  <c r="C219" i="32"/>
  <c r="E258" i="32"/>
  <c r="E259" i="32"/>
  <c r="D232" i="32"/>
  <c r="C232" i="32" s="1"/>
  <c r="C233" i="32"/>
  <c r="C234" i="32"/>
  <c r="C243" i="32"/>
  <c r="D244" i="32"/>
  <c r="C244" i="32" s="1"/>
  <c r="C245" i="32"/>
  <c r="C265" i="32"/>
  <c r="E281" i="32"/>
  <c r="I281" i="32"/>
  <c r="C272" i="32"/>
  <c r="C289" i="32"/>
  <c r="C290" i="32"/>
  <c r="C291" i="32"/>
  <c r="D292" i="32"/>
  <c r="C292" i="32" s="1"/>
  <c r="C293" i="32"/>
  <c r="C294" i="32"/>
  <c r="C295" i="32"/>
  <c r="C315" i="32"/>
  <c r="C317" i="32"/>
  <c r="C318" i="32"/>
  <c r="D319" i="32"/>
  <c r="C319" i="32" s="1"/>
  <c r="G324" i="32"/>
  <c r="C327" i="32"/>
  <c r="E328" i="32"/>
  <c r="E340" i="32" s="1"/>
  <c r="E342" i="32" s="1"/>
  <c r="C329" i="32"/>
  <c r="I329" i="32"/>
  <c r="I341" i="32" s="1"/>
  <c r="C333" i="32"/>
  <c r="C358" i="32"/>
  <c r="C359" i="32"/>
  <c r="C360" i="32"/>
  <c r="C375" i="32"/>
  <c r="C6" i="32"/>
  <c r="C13" i="32"/>
  <c r="C16" i="32"/>
  <c r="E61" i="32"/>
  <c r="C61" i="32" s="1"/>
  <c r="J66" i="32"/>
  <c r="C73" i="32"/>
  <c r="C77" i="32"/>
  <c r="C97" i="32"/>
  <c r="C160" i="32"/>
  <c r="C266" i="32"/>
  <c r="C270" i="32"/>
  <c r="I271" i="32"/>
  <c r="C301" i="32"/>
  <c r="I323" i="32"/>
  <c r="K324" i="32"/>
  <c r="I364" i="32"/>
  <c r="C365" i="32"/>
  <c r="C32" i="32"/>
  <c r="C44" i="32" s="1"/>
  <c r="C36" i="32"/>
  <c r="I63" i="32"/>
  <c r="E51" i="32"/>
  <c r="C51" i="32" s="1"/>
  <c r="E52" i="32"/>
  <c r="C52" i="32" s="1"/>
  <c r="C56" i="32"/>
  <c r="F56" i="32"/>
  <c r="F65" i="32" s="1"/>
  <c r="C99" i="32"/>
  <c r="C86" i="32"/>
  <c r="C91" i="32"/>
  <c r="C95" i="32"/>
  <c r="I97" i="32"/>
  <c r="C111" i="32"/>
  <c r="C120" i="32"/>
  <c r="C124" i="32"/>
  <c r="C128" i="32"/>
  <c r="C132" i="32"/>
  <c r="C136" i="32"/>
  <c r="C140" i="32"/>
  <c r="C144" i="32"/>
  <c r="C148" i="32"/>
  <c r="C158" i="32"/>
  <c r="F203" i="32"/>
  <c r="F204" i="32" s="1"/>
  <c r="I160" i="32"/>
  <c r="I202" i="32" s="1"/>
  <c r="C164" i="32"/>
  <c r="C167" i="32"/>
  <c r="C171" i="32"/>
  <c r="C175" i="32"/>
  <c r="C179" i="32"/>
  <c r="C186" i="32"/>
  <c r="C190" i="32"/>
  <c r="C194" i="32"/>
  <c r="C198" i="32"/>
  <c r="D223" i="32"/>
  <c r="D225" i="32" s="1"/>
  <c r="F223" i="32"/>
  <c r="F225" i="32" s="1"/>
  <c r="C213" i="32"/>
  <c r="C217" i="32"/>
  <c r="C223" i="32" s="1"/>
  <c r="C221" i="32"/>
  <c r="C228" i="32"/>
  <c r="I258" i="32"/>
  <c r="F260" i="32"/>
  <c r="F261" i="32" s="1"/>
  <c r="C231" i="32"/>
  <c r="I232" i="32"/>
  <c r="I259" i="32" s="1"/>
  <c r="I261" i="32" s="1"/>
  <c r="C237" i="32"/>
  <c r="C242" i="32"/>
  <c r="D247" i="32"/>
  <c r="C247" i="32" s="1"/>
  <c r="D248" i="32"/>
  <c r="C248" i="32" s="1"/>
  <c r="D249" i="32"/>
  <c r="C249" i="32" s="1"/>
  <c r="D250" i="32"/>
  <c r="C250" i="32" s="1"/>
  <c r="C251" i="32"/>
  <c r="C264" i="32"/>
  <c r="C279" i="32" s="1"/>
  <c r="I280" i="32"/>
  <c r="I282" i="32" s="1"/>
  <c r="C277" i="32"/>
  <c r="C321" i="32"/>
  <c r="C310" i="32"/>
  <c r="C322" i="32" s="1"/>
  <c r="C324" i="32" s="1"/>
  <c r="E311" i="32"/>
  <c r="C311" i="32" s="1"/>
  <c r="C323" i="32" s="1"/>
  <c r="C332" i="32"/>
  <c r="C341" i="32" s="1"/>
  <c r="I334" i="32"/>
  <c r="C364" i="32"/>
  <c r="C357" i="32"/>
  <c r="C363" i="32" s="1"/>
  <c r="C376" i="32"/>
  <c r="C378" i="32" s="1"/>
  <c r="C381" i="32"/>
  <c r="C384" i="32" s="1"/>
  <c r="C540" i="31"/>
  <c r="B538" i="31"/>
  <c r="B540" i="31" s="1"/>
  <c r="H620" i="31"/>
  <c r="C620" i="31"/>
  <c r="E6" i="31"/>
  <c r="H6" i="31"/>
  <c r="H8" i="31" s="1"/>
  <c r="J65" i="31"/>
  <c r="C64" i="31"/>
  <c r="E64" i="31"/>
  <c r="F65" i="31"/>
  <c r="I8" i="31"/>
  <c r="H12" i="31"/>
  <c r="H14" i="31" s="1"/>
  <c r="C15" i="31"/>
  <c r="B15" i="31" s="1"/>
  <c r="B17" i="31" s="1"/>
  <c r="E17" i="31"/>
  <c r="D23" i="31"/>
  <c r="H23" i="31"/>
  <c r="B24" i="31"/>
  <c r="B26" i="31" s="1"/>
  <c r="H24" i="31"/>
  <c r="H26" i="31" s="1"/>
  <c r="E27" i="31"/>
  <c r="E29" i="31" s="1"/>
  <c r="D29" i="31"/>
  <c r="B30" i="31"/>
  <c r="B32" i="31" s="1"/>
  <c r="H30" i="31"/>
  <c r="H32" i="31" s="1"/>
  <c r="B36" i="31"/>
  <c r="B38" i="31" s="1"/>
  <c r="H36" i="31"/>
  <c r="H38" i="31" s="1"/>
  <c r="D42" i="31"/>
  <c r="D44" i="31" s="1"/>
  <c r="H42" i="31"/>
  <c r="H44" i="31" s="1"/>
  <c r="B45" i="31"/>
  <c r="B47" i="31" s="1"/>
  <c r="D50" i="31"/>
  <c r="H50" i="31"/>
  <c r="B51" i="31"/>
  <c r="B53" i="31" s="1"/>
  <c r="D56" i="31"/>
  <c r="H56" i="31"/>
  <c r="B57" i="31"/>
  <c r="B59" i="31" s="1"/>
  <c r="D62" i="31"/>
  <c r="H62" i="31"/>
  <c r="C83" i="31"/>
  <c r="C85" i="31" s="1"/>
  <c r="E68" i="31"/>
  <c r="H68" i="31"/>
  <c r="H70" i="31" s="1"/>
  <c r="B69" i="31"/>
  <c r="B84" i="31" s="1"/>
  <c r="D84" i="31"/>
  <c r="H84" i="31"/>
  <c r="G70" i="31"/>
  <c r="B71" i="31"/>
  <c r="B73" i="31" s="1"/>
  <c r="D71" i="31"/>
  <c r="D73" i="31" s="1"/>
  <c r="D76" i="31"/>
  <c r="B78" i="31"/>
  <c r="B80" i="31"/>
  <c r="B82" i="31" s="1"/>
  <c r="E80" i="31"/>
  <c r="E82" i="31" s="1"/>
  <c r="H80" i="31"/>
  <c r="H82" i="31" s="1"/>
  <c r="C88" i="31"/>
  <c r="D90" i="31"/>
  <c r="C91" i="31"/>
  <c r="B91" i="31" s="1"/>
  <c r="B92" i="31"/>
  <c r="C97" i="31"/>
  <c r="C99" i="31" s="1"/>
  <c r="B98" i="31"/>
  <c r="D102" i="31"/>
  <c r="H102" i="31"/>
  <c r="B103" i="31"/>
  <c r="B105" i="31" s="1"/>
  <c r="H103" i="31"/>
  <c r="H105" i="31" s="1"/>
  <c r="B106" i="31"/>
  <c r="B108" i="31" s="1"/>
  <c r="H106" i="31"/>
  <c r="H108" i="31" s="1"/>
  <c r="B109" i="31"/>
  <c r="B111" i="31" s="1"/>
  <c r="D114" i="31"/>
  <c r="H114" i="31"/>
  <c r="B115" i="31"/>
  <c r="B117" i="31" s="1"/>
  <c r="D120" i="31"/>
  <c r="H120" i="31"/>
  <c r="B121" i="31"/>
  <c r="B123" i="31" s="1"/>
  <c r="G126" i="31"/>
  <c r="B132" i="31"/>
  <c r="B134" i="31" s="1"/>
  <c r="E134" i="31"/>
  <c r="B136" i="31"/>
  <c r="B138" i="31"/>
  <c r="B140" i="31" s="1"/>
  <c r="E140" i="31"/>
  <c r="B142" i="31"/>
  <c r="B144" i="31"/>
  <c r="B146" i="31" s="1"/>
  <c r="E146" i="31"/>
  <c r="B148" i="31"/>
  <c r="B150" i="31"/>
  <c r="B152" i="31" s="1"/>
  <c r="E152" i="31"/>
  <c r="B154" i="31"/>
  <c r="B156" i="31"/>
  <c r="B158" i="31" s="1"/>
  <c r="E158" i="31"/>
  <c r="B160" i="31"/>
  <c r="B162" i="31"/>
  <c r="B164" i="31" s="1"/>
  <c r="E164" i="31"/>
  <c r="B166" i="31"/>
  <c r="B168" i="31"/>
  <c r="B170" i="31" s="1"/>
  <c r="E170" i="31"/>
  <c r="B172" i="31"/>
  <c r="B174" i="31"/>
  <c r="B176" i="31" s="1"/>
  <c r="E176" i="31"/>
  <c r="B178" i="31"/>
  <c r="B180" i="31"/>
  <c r="B182" i="31" s="1"/>
  <c r="E182" i="31"/>
  <c r="B184" i="31"/>
  <c r="B186" i="31"/>
  <c r="B188" i="31" s="1"/>
  <c r="E188" i="31"/>
  <c r="B190" i="31"/>
  <c r="B192" i="31"/>
  <c r="B194" i="31" s="1"/>
  <c r="E194" i="31"/>
  <c r="B196" i="31"/>
  <c r="B198" i="31"/>
  <c r="B200" i="31" s="1"/>
  <c r="E200" i="31"/>
  <c r="B202" i="31"/>
  <c r="B204" i="31"/>
  <c r="B206" i="31" s="1"/>
  <c r="E206" i="31"/>
  <c r="B208" i="31"/>
  <c r="B210" i="31"/>
  <c r="B212" i="31" s="1"/>
  <c r="E212" i="31"/>
  <c r="B214" i="31"/>
  <c r="B216" i="31"/>
  <c r="B218" i="31" s="1"/>
  <c r="E218" i="31"/>
  <c r="B220" i="31"/>
  <c r="B222" i="31"/>
  <c r="B224" i="31" s="1"/>
  <c r="E224" i="31"/>
  <c r="B226" i="31"/>
  <c r="B228" i="31"/>
  <c r="B230" i="31" s="1"/>
  <c r="E230" i="31"/>
  <c r="B232" i="31"/>
  <c r="B234" i="31"/>
  <c r="B236" i="31" s="1"/>
  <c r="E236" i="31"/>
  <c r="B238" i="31"/>
  <c r="B240" i="31"/>
  <c r="B242" i="31" s="1"/>
  <c r="E242" i="31"/>
  <c r="B244" i="31"/>
  <c r="B251" i="31"/>
  <c r="D323" i="31"/>
  <c r="E252" i="31"/>
  <c r="E324" i="31" s="1"/>
  <c r="J253" i="31"/>
  <c r="D256" i="31"/>
  <c r="B257" i="31"/>
  <c r="B259" i="31" s="1"/>
  <c r="E259" i="31"/>
  <c r="B261" i="31"/>
  <c r="B263" i="31"/>
  <c r="B265" i="31" s="1"/>
  <c r="E263" i="31"/>
  <c r="E265" i="31" s="1"/>
  <c r="H263" i="31"/>
  <c r="H265" i="31" s="1"/>
  <c r="B267" i="31"/>
  <c r="B269" i="31"/>
  <c r="B271" i="31" s="1"/>
  <c r="E271" i="31"/>
  <c r="B273" i="31"/>
  <c r="B275" i="31"/>
  <c r="B277" i="31" s="1"/>
  <c r="E277" i="31"/>
  <c r="B279" i="31"/>
  <c r="B281" i="31"/>
  <c r="B283" i="31" s="1"/>
  <c r="E283" i="31"/>
  <c r="B285" i="31"/>
  <c r="B287" i="31"/>
  <c r="B289" i="31" s="1"/>
  <c r="E289" i="31"/>
  <c r="B291" i="31"/>
  <c r="B293" i="31"/>
  <c r="B295" i="31" s="1"/>
  <c r="E295" i="31"/>
  <c r="B297" i="31"/>
  <c r="B299" i="31"/>
  <c r="B301" i="31" s="1"/>
  <c r="E301" i="31"/>
  <c r="B303" i="31"/>
  <c r="B305" i="31"/>
  <c r="B307" i="31" s="1"/>
  <c r="E305" i="31"/>
  <c r="E307" i="31" s="1"/>
  <c r="H305" i="31"/>
  <c r="H307" i="31" s="1"/>
  <c r="B309" i="31"/>
  <c r="B311" i="31"/>
  <c r="B313" i="31" s="1"/>
  <c r="E313" i="31"/>
  <c r="B315" i="31"/>
  <c r="B317" i="31"/>
  <c r="B319" i="31" s="1"/>
  <c r="E319" i="31"/>
  <c r="B321" i="31"/>
  <c r="B328" i="31"/>
  <c r="D328" i="31"/>
  <c r="J349" i="31"/>
  <c r="D350" i="31"/>
  <c r="H350" i="31"/>
  <c r="I351" i="31"/>
  <c r="B332" i="31"/>
  <c r="E333" i="31"/>
  <c r="B335" i="31"/>
  <c r="E336" i="31"/>
  <c r="B339" i="31"/>
  <c r="H339" i="31"/>
  <c r="E342" i="31"/>
  <c r="B345" i="31"/>
  <c r="H345" i="31"/>
  <c r="D346" i="31"/>
  <c r="B346" i="31" s="1"/>
  <c r="E348" i="31"/>
  <c r="B354" i="31"/>
  <c r="D433" i="31"/>
  <c r="H433" i="31"/>
  <c r="G434" i="31"/>
  <c r="J434" i="31"/>
  <c r="D359" i="31"/>
  <c r="H359" i="31"/>
  <c r="B360" i="31"/>
  <c r="B362" i="31" s="1"/>
  <c r="D365" i="31"/>
  <c r="H365" i="31"/>
  <c r="B366" i="31"/>
  <c r="B368" i="31" s="1"/>
  <c r="H366" i="31"/>
  <c r="H368" i="31" s="1"/>
  <c r="B369" i="31"/>
  <c r="B371" i="31" s="1"/>
  <c r="H369" i="31"/>
  <c r="H371" i="31" s="1"/>
  <c r="B372" i="31"/>
  <c r="B374" i="31" s="1"/>
  <c r="D377" i="31"/>
  <c r="H377" i="31"/>
  <c r="B378" i="31"/>
  <c r="B380" i="31" s="1"/>
  <c r="D383" i="31"/>
  <c r="H383" i="31"/>
  <c r="B384" i="31"/>
  <c r="B386" i="31" s="1"/>
  <c r="D389" i="31"/>
  <c r="H389" i="31"/>
  <c r="B390" i="31"/>
  <c r="B392" i="31" s="1"/>
  <c r="D395" i="31"/>
  <c r="H395" i="31"/>
  <c r="B396" i="31"/>
  <c r="B398" i="31" s="1"/>
  <c r="D401" i="31"/>
  <c r="H401" i="31"/>
  <c r="B402" i="31"/>
  <c r="B404" i="31" s="1"/>
  <c r="D407" i="31"/>
  <c r="H407" i="31"/>
  <c r="B408" i="31"/>
  <c r="B410" i="31" s="1"/>
  <c r="D413" i="31"/>
  <c r="H413" i="31"/>
  <c r="B414" i="31"/>
  <c r="B416" i="31" s="1"/>
  <c r="D419" i="31"/>
  <c r="H419" i="31"/>
  <c r="B420" i="31"/>
  <c r="B422" i="31" s="1"/>
  <c r="D425" i="31"/>
  <c r="H425" i="31"/>
  <c r="B426" i="31"/>
  <c r="B428" i="31" s="1"/>
  <c r="D431" i="31"/>
  <c r="H431" i="31"/>
  <c r="C516" i="31"/>
  <c r="E516" i="31"/>
  <c r="E517" i="31" s="1"/>
  <c r="D440" i="31"/>
  <c r="D442" i="31" s="1"/>
  <c r="H440" i="31"/>
  <c r="H442" i="31" s="1"/>
  <c r="D443" i="31"/>
  <c r="D445" i="31" s="1"/>
  <c r="H443" i="31"/>
  <c r="H445" i="31" s="1"/>
  <c r="D446" i="31"/>
  <c r="D448" i="31" s="1"/>
  <c r="H446" i="31"/>
  <c r="H448" i="31" s="1"/>
  <c r="D449" i="31"/>
  <c r="D451" i="31" s="1"/>
  <c r="H449" i="31"/>
  <c r="H451" i="31" s="1"/>
  <c r="B452" i="31"/>
  <c r="B454" i="31" s="1"/>
  <c r="D452" i="31"/>
  <c r="D454" i="31" s="1"/>
  <c r="H452" i="31"/>
  <c r="H454" i="31" s="1"/>
  <c r="B455" i="31"/>
  <c r="B457" i="31" s="1"/>
  <c r="D460" i="31"/>
  <c r="H460" i="31"/>
  <c r="B461" i="31"/>
  <c r="B463" i="31" s="1"/>
  <c r="D466" i="31"/>
  <c r="H466" i="31"/>
  <c r="B467" i="31"/>
  <c r="B469" i="31" s="1"/>
  <c r="D472" i="31"/>
  <c r="H472" i="31"/>
  <c r="B473" i="31"/>
  <c r="B475" i="31" s="1"/>
  <c r="D490" i="31"/>
  <c r="H490" i="31"/>
  <c r="B491" i="31"/>
  <c r="B493" i="31" s="1"/>
  <c r="D499" i="31"/>
  <c r="H499" i="31"/>
  <c r="B500" i="31"/>
  <c r="B502" i="31" s="1"/>
  <c r="D505" i="31"/>
  <c r="H505" i="31"/>
  <c r="B506" i="31"/>
  <c r="B508" i="31" s="1"/>
  <c r="D511" i="31"/>
  <c r="H511" i="31"/>
  <c r="B512" i="31"/>
  <c r="B514" i="31" s="1"/>
  <c r="C587" i="31"/>
  <c r="E587" i="31"/>
  <c r="F588" i="31"/>
  <c r="I588" i="31"/>
  <c r="B523" i="31"/>
  <c r="B525" i="31" s="1"/>
  <c r="E525" i="31"/>
  <c r="B527" i="31"/>
  <c r="B529" i="31"/>
  <c r="B531" i="31" s="1"/>
  <c r="E529" i="31"/>
  <c r="E531" i="31" s="1"/>
  <c r="H529" i="31"/>
  <c r="H531" i="31" s="1"/>
  <c r="B532" i="31"/>
  <c r="B534" i="31" s="1"/>
  <c r="H617" i="31"/>
  <c r="C617" i="31"/>
  <c r="B617" i="31" s="1"/>
  <c r="C63" i="31"/>
  <c r="B64" i="31"/>
  <c r="G8" i="31"/>
  <c r="E14" i="31"/>
  <c r="E253" i="31"/>
  <c r="F253" i="31"/>
  <c r="B433" i="31"/>
  <c r="B516" i="31"/>
  <c r="G588" i="31"/>
  <c r="D537" i="31"/>
  <c r="H537" i="31"/>
  <c r="D543" i="31"/>
  <c r="H543" i="31"/>
  <c r="B544" i="31"/>
  <c r="B546" i="31" s="1"/>
  <c r="D549" i="31"/>
  <c r="H549" i="31"/>
  <c r="B550" i="31"/>
  <c r="B552" i="31" s="1"/>
  <c r="D558" i="31"/>
  <c r="H558" i="31"/>
  <c r="B559" i="31"/>
  <c r="B561" i="31" s="1"/>
  <c r="D564" i="31"/>
  <c r="H564" i="31"/>
  <c r="B565" i="31"/>
  <c r="B567" i="31" s="1"/>
  <c r="D570" i="31"/>
  <c r="H570" i="31"/>
  <c r="B571" i="31"/>
  <c r="B573" i="31" s="1"/>
  <c r="D576" i="31"/>
  <c r="H576" i="31"/>
  <c r="B577" i="31"/>
  <c r="B579" i="31" s="1"/>
  <c r="D582" i="31"/>
  <c r="H582" i="31"/>
  <c r="B583" i="31"/>
  <c r="B585" i="31" s="1"/>
  <c r="D591" i="31"/>
  <c r="B591" i="31" s="1"/>
  <c r="D594" i="31"/>
  <c r="I660" i="31"/>
  <c r="H597" i="31"/>
  <c r="B601" i="31"/>
  <c r="E602" i="31"/>
  <c r="D603" i="31"/>
  <c r="H603" i="31"/>
  <c r="E608" i="31"/>
  <c r="E611" i="31"/>
  <c r="H618" i="31"/>
  <c r="B622" i="31"/>
  <c r="B624" i="31"/>
  <c r="B628" i="31"/>
  <c r="B630" i="31"/>
  <c r="B634" i="31"/>
  <c r="B636" i="31"/>
  <c r="E636" i="31"/>
  <c r="H636" i="31"/>
  <c r="E641" i="31"/>
  <c r="B643" i="31"/>
  <c r="E644" i="31"/>
  <c r="B646" i="31"/>
  <c r="E646" i="31"/>
  <c r="H646" i="31"/>
  <c r="B648" i="31"/>
  <c r="B652" i="31"/>
  <c r="B654" i="31"/>
  <c r="E656" i="31"/>
  <c r="D656" i="31"/>
  <c r="B659" i="31"/>
  <c r="H659" i="31"/>
  <c r="D714" i="31"/>
  <c r="C668" i="31"/>
  <c r="B668" i="31" s="1"/>
  <c r="B675" i="31"/>
  <c r="B677" i="31"/>
  <c r="E677" i="31"/>
  <c r="H677" i="31"/>
  <c r="D680" i="31"/>
  <c r="B680" i="31" s="1"/>
  <c r="E683" i="31"/>
  <c r="H683" i="31"/>
  <c r="D683" i="31"/>
  <c r="B686" i="31"/>
  <c r="B690" i="31"/>
  <c r="C692" i="31"/>
  <c r="B692" i="31" s="1"/>
  <c r="C693" i="31"/>
  <c r="B693" i="31" s="1"/>
  <c r="D694" i="31"/>
  <c r="H695" i="31"/>
  <c r="B699" i="31"/>
  <c r="B701" i="31"/>
  <c r="H703" i="31"/>
  <c r="B707" i="31"/>
  <c r="C746" i="31"/>
  <c r="E746" i="31"/>
  <c r="F747" i="31"/>
  <c r="B721" i="31"/>
  <c r="B723" i="31" s="1"/>
  <c r="E723" i="31"/>
  <c r="B725" i="31"/>
  <c r="B727" i="31"/>
  <c r="B729" i="31" s="1"/>
  <c r="E729" i="31"/>
  <c r="I745" i="31"/>
  <c r="B734" i="31"/>
  <c r="C736" i="31"/>
  <c r="C738" i="31" s="1"/>
  <c r="B737" i="31"/>
  <c r="D741" i="31"/>
  <c r="H741" i="31"/>
  <c r="B742" i="31"/>
  <c r="B744" i="31" s="1"/>
  <c r="D750" i="31"/>
  <c r="D752" i="31" s="1"/>
  <c r="H750" i="31"/>
  <c r="H752" i="31" s="1"/>
  <c r="B751" i="31"/>
  <c r="B784" i="31" s="1"/>
  <c r="E752" i="31"/>
  <c r="E785" i="31" s="1"/>
  <c r="D753" i="31"/>
  <c r="D755" i="31" s="1"/>
  <c r="H753" i="31"/>
  <c r="H755" i="31" s="1"/>
  <c r="B756" i="31"/>
  <c r="B758" i="31" s="1"/>
  <c r="D756" i="31"/>
  <c r="D758" i="31" s="1"/>
  <c r="H756" i="31"/>
  <c r="H758" i="31" s="1"/>
  <c r="D759" i="31"/>
  <c r="D761" i="31" s="1"/>
  <c r="H759" i="31"/>
  <c r="H761" i="31" s="1"/>
  <c r="D762" i="31"/>
  <c r="D764" i="31" s="1"/>
  <c r="H762" i="31"/>
  <c r="H764" i="31" s="1"/>
  <c r="D765" i="31"/>
  <c r="D767" i="31" s="1"/>
  <c r="H765" i="31"/>
  <c r="H767" i="31" s="1"/>
  <c r="B768" i="31"/>
  <c r="B770" i="31" s="1"/>
  <c r="H768" i="31"/>
  <c r="H769" i="31"/>
  <c r="H784" i="31" s="1"/>
  <c r="B780" i="31"/>
  <c r="B782" i="31" s="1"/>
  <c r="H780" i="31"/>
  <c r="H782" i="31" s="1"/>
  <c r="B788" i="31"/>
  <c r="B789" i="31"/>
  <c r="G814" i="31"/>
  <c r="B792" i="31"/>
  <c r="C794" i="31"/>
  <c r="C796" i="31" s="1"/>
  <c r="B795" i="31"/>
  <c r="B797" i="31"/>
  <c r="B799" i="31" s="1"/>
  <c r="E799" i="31"/>
  <c r="B801" i="31"/>
  <c r="B803" i="31"/>
  <c r="B805" i="31" s="1"/>
  <c r="E803" i="31"/>
  <c r="E805" i="31" s="1"/>
  <c r="H803" i="31"/>
  <c r="H805" i="31" s="1"/>
  <c r="B806" i="31"/>
  <c r="B808" i="31" s="1"/>
  <c r="B810" i="31"/>
  <c r="B842" i="31"/>
  <c r="E819" i="31"/>
  <c r="B850" i="31"/>
  <c r="B853" i="31"/>
  <c r="B856" i="31"/>
  <c r="D860" i="31"/>
  <c r="H860" i="31"/>
  <c r="B861" i="31"/>
  <c r="B863" i="31" s="1"/>
  <c r="D866" i="31"/>
  <c r="H866" i="31"/>
  <c r="B867" i="31"/>
  <c r="B869" i="31" s="1"/>
  <c r="B875" i="31"/>
  <c r="H875" i="31"/>
  <c r="B876" i="31"/>
  <c r="H876" i="31"/>
  <c r="H897" i="31" s="1"/>
  <c r="B882" i="31"/>
  <c r="D903" i="31"/>
  <c r="C927" i="31"/>
  <c r="I927" i="31"/>
  <c r="C933" i="31"/>
  <c r="I933" i="31"/>
  <c r="C939" i="31"/>
  <c r="I939" i="31"/>
  <c r="B974" i="31"/>
  <c r="B976" i="31"/>
  <c r="B978" i="31" s="1"/>
  <c r="B980" i="31"/>
  <c r="B982" i="31"/>
  <c r="B984" i="31" s="1"/>
  <c r="E984" i="31"/>
  <c r="B986" i="31"/>
  <c r="B988" i="31"/>
  <c r="B990" i="31" s="1"/>
  <c r="E990" i="31"/>
  <c r="B992" i="31"/>
  <c r="B994" i="31"/>
  <c r="B996" i="31" s="1"/>
  <c r="E996" i="31"/>
  <c r="B1113" i="31"/>
  <c r="B603" i="31"/>
  <c r="D638" i="31"/>
  <c r="C714" i="31"/>
  <c r="B703" i="31"/>
  <c r="B706" i="31"/>
  <c r="B709" i="31"/>
  <c r="B712" i="31"/>
  <c r="C752" i="31"/>
  <c r="C819" i="31"/>
  <c r="I828" i="31"/>
  <c r="E831" i="31"/>
  <c r="D924" i="31"/>
  <c r="H924" i="31"/>
  <c r="B941" i="31"/>
  <c r="B942" i="31" s="1"/>
  <c r="B943" i="31"/>
  <c r="B945" i="31" s="1"/>
  <c r="E945" i="31"/>
  <c r="B949" i="31"/>
  <c r="D954" i="31"/>
  <c r="H954" i="31"/>
  <c r="B955" i="31"/>
  <c r="H960" i="31"/>
  <c r="B961" i="31"/>
  <c r="B967" i="31"/>
  <c r="B1005" i="31"/>
  <c r="C1011" i="31"/>
  <c r="C1013" i="31" s="1"/>
  <c r="B1012" i="31"/>
  <c r="B1027" i="31" s="1"/>
  <c r="D1016" i="31"/>
  <c r="H1016" i="31"/>
  <c r="B1017" i="31"/>
  <c r="H1022" i="31"/>
  <c r="B1023" i="31"/>
  <c r="B1031" i="31"/>
  <c r="B1037" i="31"/>
  <c r="B1052" i="31"/>
  <c r="C1056" i="31"/>
  <c r="B1054" i="31"/>
  <c r="B1056" i="31" s="1"/>
  <c r="B1058" i="31"/>
  <c r="B1059" i="31" s="1"/>
  <c r="C1062" i="31"/>
  <c r="B1060" i="31"/>
  <c r="B1062" i="31" s="1"/>
  <c r="B1064" i="31"/>
  <c r="B1065" i="31" s="1"/>
  <c r="C1068" i="31"/>
  <c r="B1066" i="31"/>
  <c r="B1068" i="31" s="1"/>
  <c r="B1070" i="31"/>
  <c r="B1071" i="31" s="1"/>
  <c r="C1074" i="31"/>
  <c r="B1072" i="31"/>
  <c r="B1074" i="31" s="1"/>
  <c r="B1076" i="31"/>
  <c r="B1077" i="31" s="1"/>
  <c r="C1080" i="31"/>
  <c r="B1078" i="31"/>
  <c r="B1080" i="31" s="1"/>
  <c r="B1082" i="31"/>
  <c r="B1083" i="31" s="1"/>
  <c r="C1086" i="31"/>
  <c r="B1084" i="31"/>
  <c r="B1086" i="31" s="1"/>
  <c r="B1088" i="31"/>
  <c r="B1089" i="31" s="1"/>
  <c r="C1092" i="31"/>
  <c r="B1090" i="31"/>
  <c r="B1092" i="31" s="1"/>
  <c r="B1094" i="31"/>
  <c r="B1095" i="31" s="1"/>
  <c r="C1098" i="31"/>
  <c r="B1096" i="31"/>
  <c r="B1098" i="31" s="1"/>
  <c r="B1100" i="31"/>
  <c r="B1101" i="31" s="1"/>
  <c r="C1104" i="31"/>
  <c r="B1102" i="31"/>
  <c r="B1104" i="31" s="1"/>
  <c r="B1106" i="31"/>
  <c r="B1107" i="31" s="1"/>
  <c r="B1108" i="31"/>
  <c r="B1110" i="31" s="1"/>
  <c r="B1133" i="31"/>
  <c r="D117" i="30"/>
  <c r="H117" i="30"/>
  <c r="E129" i="30"/>
  <c r="E135" i="30"/>
  <c r="B147" i="30"/>
  <c r="B150" i="30"/>
  <c r="B152" i="30" s="1"/>
  <c r="B158" i="30"/>
  <c r="B161" i="30"/>
  <c r="B165" i="30"/>
  <c r="B169" i="30"/>
  <c r="B173" i="30"/>
  <c r="B177" i="30"/>
  <c r="B181" i="30"/>
  <c r="B185" i="30"/>
  <c r="B189" i="30"/>
  <c r="B202" i="30"/>
  <c r="B204" i="30" s="1"/>
  <c r="B20" i="30"/>
  <c r="B24" i="30"/>
  <c r="B28" i="30"/>
  <c r="B32" i="30"/>
  <c r="H42" i="30"/>
  <c r="B42" i="30" s="1"/>
  <c r="B44" i="30" s="1"/>
  <c r="H60" i="30"/>
  <c r="B91" i="30"/>
  <c r="H92" i="30"/>
  <c r="J95" i="30"/>
  <c r="H94" i="30"/>
  <c r="B98" i="30"/>
  <c r="E104" i="30"/>
  <c r="H99" i="30"/>
  <c r="H104" i="30" s="1"/>
  <c r="D108" i="30"/>
  <c r="D111" i="30" s="1"/>
  <c r="H109" i="30"/>
  <c r="H111" i="30" s="1"/>
  <c r="J111" i="30"/>
  <c r="B121" i="30"/>
  <c r="B123" i="30" s="1"/>
  <c r="B138" i="30"/>
  <c r="B139" i="30" s="1"/>
  <c r="H138" i="30"/>
  <c r="H139" i="30" s="1"/>
  <c r="D9" i="29"/>
  <c r="D37" i="29"/>
  <c r="D41" i="29"/>
  <c r="D71" i="29" s="1"/>
  <c r="D45" i="29"/>
  <c r="D49" i="29"/>
  <c r="D53" i="29"/>
  <c r="E10" i="27"/>
  <c r="I10" i="27"/>
  <c r="C11" i="27"/>
  <c r="C13" i="27" s="1"/>
  <c r="E16" i="27"/>
  <c r="I16" i="27"/>
  <c r="C17" i="27"/>
  <c r="C19" i="27" s="1"/>
  <c r="I22" i="27"/>
  <c r="C23" i="27"/>
  <c r="C25" i="27" s="1"/>
  <c r="C29" i="27"/>
  <c r="C31" i="27" s="1"/>
  <c r="C35" i="27"/>
  <c r="C37" i="27" s="1"/>
  <c r="I40" i="27"/>
  <c r="C41" i="27"/>
  <c r="C43" i="27" s="1"/>
  <c r="C47" i="27"/>
  <c r="C49" i="27" s="1"/>
  <c r="C53" i="27"/>
  <c r="C55" i="27" s="1"/>
  <c r="C72" i="27"/>
  <c r="C58" i="27"/>
  <c r="C28" i="25"/>
  <c r="C16" i="25"/>
  <c r="C77" i="26"/>
  <c r="C7" i="26"/>
  <c r="F74" i="29"/>
  <c r="J74" i="29"/>
  <c r="G74" i="29"/>
  <c r="C29" i="24"/>
  <c r="C10" i="26"/>
  <c r="C16" i="26"/>
  <c r="C22" i="26"/>
  <c r="C28" i="26"/>
  <c r="C34" i="26"/>
  <c r="C40" i="26"/>
  <c r="C46" i="26"/>
  <c r="C52" i="26"/>
  <c r="C58" i="26"/>
  <c r="C64" i="26"/>
  <c r="C70" i="26"/>
  <c r="C76" i="26"/>
  <c r="F53" i="28"/>
  <c r="J53" i="28"/>
  <c r="D72" i="29"/>
  <c r="B21" i="30"/>
  <c r="B36" i="30"/>
  <c r="B60" i="30"/>
  <c r="H75" i="30"/>
  <c r="B95" i="30"/>
  <c r="B104" i="30"/>
  <c r="B129" i="30"/>
  <c r="B135" i="30"/>
  <c r="H147" i="30"/>
  <c r="H199" i="30"/>
  <c r="B27" i="31"/>
  <c r="B29" i="31" s="1"/>
  <c r="B79" i="31"/>
  <c r="C611" i="31"/>
  <c r="B611" i="31" s="1"/>
  <c r="H611" i="31"/>
  <c r="D7" i="26"/>
  <c r="F7" i="26"/>
  <c r="F79" i="26" s="1"/>
  <c r="D13" i="26"/>
  <c r="D19" i="26"/>
  <c r="D25" i="26"/>
  <c r="D31" i="26"/>
  <c r="D37" i="26"/>
  <c r="D43" i="26"/>
  <c r="D49" i="26"/>
  <c r="D55" i="26"/>
  <c r="D61" i="26"/>
  <c r="D67" i="26"/>
  <c r="D73" i="26"/>
  <c r="D77" i="26"/>
  <c r="C7" i="27"/>
  <c r="E7" i="27"/>
  <c r="E73" i="27" s="1"/>
  <c r="I7" i="27"/>
  <c r="D10" i="27"/>
  <c r="D16" i="27"/>
  <c r="D22" i="27"/>
  <c r="D28" i="27"/>
  <c r="D34" i="27"/>
  <c r="D40" i="27"/>
  <c r="D46" i="27"/>
  <c r="D52" i="27"/>
  <c r="D58" i="27"/>
  <c r="D64" i="27"/>
  <c r="D72" i="27"/>
  <c r="E71" i="29"/>
  <c r="E73" i="29"/>
  <c r="H74" i="29"/>
  <c r="L74" i="29"/>
  <c r="E36" i="30"/>
  <c r="C75" i="30"/>
  <c r="I75" i="30"/>
  <c r="C88" i="30"/>
  <c r="I88" i="30"/>
  <c r="C104" i="30"/>
  <c r="C123" i="30"/>
  <c r="I123" i="30"/>
  <c r="C129" i="30"/>
  <c r="C135" i="30"/>
  <c r="I135" i="30"/>
  <c r="C147" i="30"/>
  <c r="I147" i="30"/>
  <c r="J199" i="30"/>
  <c r="C204" i="30"/>
  <c r="C8" i="31"/>
  <c r="E8" i="31"/>
  <c r="E65" i="31" s="1"/>
  <c r="C14" i="31"/>
  <c r="C17" i="31"/>
  <c r="I17" i="31"/>
  <c r="C23" i="31"/>
  <c r="C29" i="31"/>
  <c r="G29" i="31"/>
  <c r="G65" i="31" s="1"/>
  <c r="I29" i="31"/>
  <c r="C50" i="31"/>
  <c r="C56" i="31"/>
  <c r="C62" i="31"/>
  <c r="F63" i="31"/>
  <c r="H63" i="31"/>
  <c r="J63" i="31"/>
  <c r="C70" i="31"/>
  <c r="E70" i="31"/>
  <c r="J73" i="31"/>
  <c r="C76" i="31"/>
  <c r="J79" i="31"/>
  <c r="C82" i="31"/>
  <c r="D83" i="31"/>
  <c r="D85" i="31" s="1"/>
  <c r="H83" i="31"/>
  <c r="H85" i="31" s="1"/>
  <c r="J83" i="31"/>
  <c r="J85" i="31" s="1"/>
  <c r="C93" i="31"/>
  <c r="F325" i="31"/>
  <c r="B439" i="31"/>
  <c r="C599" i="31"/>
  <c r="B599" i="31" s="1"/>
  <c r="H599" i="31"/>
  <c r="E7" i="26"/>
  <c r="E79" i="26" s="1"/>
  <c r="I7" i="26"/>
  <c r="I79" i="26" s="1"/>
  <c r="D7" i="27"/>
  <c r="F7" i="27"/>
  <c r="F73" i="27" s="1"/>
  <c r="D6" i="28"/>
  <c r="D51" i="28" s="1"/>
  <c r="D7" i="30"/>
  <c r="D10" i="30" s="1"/>
  <c r="B13" i="30"/>
  <c r="B14" i="30" s="1"/>
  <c r="D68" i="30"/>
  <c r="D75" i="30" s="1"/>
  <c r="B114" i="30"/>
  <c r="B117" i="30" s="1"/>
  <c r="D155" i="30"/>
  <c r="B155" i="30" s="1"/>
  <c r="D156" i="30"/>
  <c r="B156" i="30" s="1"/>
  <c r="D157" i="30"/>
  <c r="B157" i="30" s="1"/>
  <c r="D160" i="30"/>
  <c r="B160" i="30" s="1"/>
  <c r="D6" i="31"/>
  <c r="B18" i="31"/>
  <c r="B20" i="31" s="1"/>
  <c r="B68" i="31"/>
  <c r="E71" i="31"/>
  <c r="E73" i="31" s="1"/>
  <c r="E77" i="31"/>
  <c r="E79" i="31" s="1"/>
  <c r="B88" i="31"/>
  <c r="H88" i="31"/>
  <c r="B89" i="31"/>
  <c r="B125" i="31" s="1"/>
  <c r="C90" i="31"/>
  <c r="E90" i="31"/>
  <c r="I90" i="31"/>
  <c r="H91" i="31"/>
  <c r="H93" i="31" s="1"/>
  <c r="B246" i="31"/>
  <c r="B137" i="31"/>
  <c r="B143" i="31"/>
  <c r="B149" i="31"/>
  <c r="B155" i="31"/>
  <c r="B161" i="31"/>
  <c r="B167" i="31"/>
  <c r="B173" i="31"/>
  <c r="B179" i="31"/>
  <c r="B185" i="31"/>
  <c r="B191" i="31"/>
  <c r="B197" i="31"/>
  <c r="B203" i="31"/>
  <c r="B209" i="31"/>
  <c r="B215" i="31"/>
  <c r="B221" i="31"/>
  <c r="B227" i="31"/>
  <c r="B233" i="31"/>
  <c r="B239" i="31"/>
  <c r="B245" i="31"/>
  <c r="E256" i="31"/>
  <c r="B262" i="31"/>
  <c r="G325" i="31"/>
  <c r="J325" i="31"/>
  <c r="B268" i="31"/>
  <c r="B274" i="31"/>
  <c r="B280" i="31"/>
  <c r="B286" i="31"/>
  <c r="B292" i="31"/>
  <c r="B298" i="31"/>
  <c r="B304" i="31"/>
  <c r="B310" i="31"/>
  <c r="B316" i="31"/>
  <c r="B322" i="31"/>
  <c r="I325" i="31"/>
  <c r="B528" i="31"/>
  <c r="B620" i="31"/>
  <c r="B626" i="31"/>
  <c r="B632" i="31"/>
  <c r="B638" i="31"/>
  <c r="H638" i="31"/>
  <c r="B650" i="31"/>
  <c r="B656" i="31"/>
  <c r="B790" i="31"/>
  <c r="C102" i="31"/>
  <c r="C114" i="31"/>
  <c r="C120" i="31"/>
  <c r="D131" i="31"/>
  <c r="H131" i="31"/>
  <c r="C134" i="31"/>
  <c r="C140" i="31"/>
  <c r="C146" i="31"/>
  <c r="C152" i="31"/>
  <c r="C158" i="31"/>
  <c r="C164" i="31"/>
  <c r="C170" i="31"/>
  <c r="C176" i="31"/>
  <c r="C182" i="31"/>
  <c r="C188" i="31"/>
  <c r="C194" i="31"/>
  <c r="C200" i="31"/>
  <c r="C206" i="31"/>
  <c r="C212" i="31"/>
  <c r="C218" i="31"/>
  <c r="C224" i="31"/>
  <c r="C230" i="31"/>
  <c r="C236" i="31"/>
  <c r="C242" i="31"/>
  <c r="C246" i="31"/>
  <c r="C248" i="31" s="1"/>
  <c r="E246" i="31"/>
  <c r="E248" i="31" s="1"/>
  <c r="F256" i="31"/>
  <c r="C259" i="31"/>
  <c r="C265" i="31"/>
  <c r="G265" i="31"/>
  <c r="C271" i="31"/>
  <c r="C277" i="31"/>
  <c r="C283" i="31"/>
  <c r="C289" i="31"/>
  <c r="C295" i="31"/>
  <c r="C301" i="31"/>
  <c r="C307" i="31"/>
  <c r="J310" i="31"/>
  <c r="C313" i="31"/>
  <c r="C319" i="31"/>
  <c r="C323" i="31"/>
  <c r="J330" i="31"/>
  <c r="J333" i="31"/>
  <c r="J336" i="31"/>
  <c r="J348" i="31"/>
  <c r="G349" i="31"/>
  <c r="B356" i="31"/>
  <c r="B434" i="31" s="1"/>
  <c r="D356" i="31"/>
  <c r="D434" i="31" s="1"/>
  <c r="H356" i="31"/>
  <c r="H434" i="31" s="1"/>
  <c r="C359" i="31"/>
  <c r="C365" i="31"/>
  <c r="I368" i="31"/>
  <c r="I434" i="31" s="1"/>
  <c r="C377" i="31"/>
  <c r="C383" i="31"/>
  <c r="C389" i="31"/>
  <c r="C395" i="31"/>
  <c r="C401" i="31"/>
  <c r="C407" i="31"/>
  <c r="C413" i="31"/>
  <c r="C419" i="31"/>
  <c r="C425" i="31"/>
  <c r="C431" i="31"/>
  <c r="C433" i="31"/>
  <c r="C439" i="31"/>
  <c r="E439" i="31"/>
  <c r="C460" i="31"/>
  <c r="C466" i="31"/>
  <c r="C472" i="31"/>
  <c r="C490" i="31"/>
  <c r="C499" i="31"/>
  <c r="C505" i="31"/>
  <c r="C511" i="31"/>
  <c r="C515" i="31"/>
  <c r="C517" i="31" s="1"/>
  <c r="I515" i="31"/>
  <c r="I517" i="31" s="1"/>
  <c r="D522" i="31"/>
  <c r="D588" i="31" s="1"/>
  <c r="H522" i="31"/>
  <c r="C525" i="31"/>
  <c r="J528" i="31"/>
  <c r="J588" i="31" s="1"/>
  <c r="C531" i="31"/>
  <c r="C537" i="31"/>
  <c r="C543" i="31"/>
  <c r="C549" i="31"/>
  <c r="C558" i="31"/>
  <c r="C564" i="31"/>
  <c r="C570" i="31"/>
  <c r="C576" i="31"/>
  <c r="C582" i="31"/>
  <c r="C586" i="31"/>
  <c r="G586" i="31"/>
  <c r="I586" i="31"/>
  <c r="B661" i="31"/>
  <c r="G596" i="31"/>
  <c r="E596" i="31" s="1"/>
  <c r="I596" i="31"/>
  <c r="J602" i="31"/>
  <c r="I605" i="31"/>
  <c r="I614" i="31"/>
  <c r="J644" i="31"/>
  <c r="J647" i="31"/>
  <c r="C685" i="31"/>
  <c r="H697" i="31"/>
  <c r="C697" i="31"/>
  <c r="B697" i="31" s="1"/>
  <c r="B97" i="31"/>
  <c r="B99" i="31" s="1"/>
  <c r="H97" i="31"/>
  <c r="H99" i="31" s="1"/>
  <c r="B130" i="31"/>
  <c r="B247" i="31" s="1"/>
  <c r="D252" i="31"/>
  <c r="D324" i="31" s="1"/>
  <c r="D325" i="31" s="1"/>
  <c r="H252" i="31"/>
  <c r="H253" i="31" s="1"/>
  <c r="G253" i="31"/>
  <c r="I253" i="31"/>
  <c r="B254" i="31"/>
  <c r="C255" i="31"/>
  <c r="B255" i="31" s="1"/>
  <c r="H255" i="31"/>
  <c r="H256" i="31" s="1"/>
  <c r="J265" i="31"/>
  <c r="E308" i="31"/>
  <c r="E310" i="31" s="1"/>
  <c r="E328" i="31"/>
  <c r="H328" i="31"/>
  <c r="H349" i="31" s="1"/>
  <c r="B329" i="31"/>
  <c r="B350" i="31" s="1"/>
  <c r="C330" i="31"/>
  <c r="E330" i="31"/>
  <c r="E351" i="31" s="1"/>
  <c r="D331" i="31"/>
  <c r="C333" i="31"/>
  <c r="D334" i="31"/>
  <c r="B334" i="31" s="1"/>
  <c r="C336" i="31"/>
  <c r="C342" i="31"/>
  <c r="B342" i="31" s="1"/>
  <c r="E346" i="31"/>
  <c r="C356" i="31"/>
  <c r="C434" i="31" s="1"/>
  <c r="E356" i="31"/>
  <c r="E434" i="31" s="1"/>
  <c r="D439" i="31"/>
  <c r="H439" i="31"/>
  <c r="J442" i="31"/>
  <c r="B476" i="31"/>
  <c r="B478" i="31" s="1"/>
  <c r="H476" i="31"/>
  <c r="H478" i="31" s="1"/>
  <c r="B479" i="31"/>
  <c r="B481" i="31" s="1"/>
  <c r="H479" i="31"/>
  <c r="H481" i="31" s="1"/>
  <c r="B482" i="31"/>
  <c r="B484" i="31" s="1"/>
  <c r="H482" i="31"/>
  <c r="H484" i="31" s="1"/>
  <c r="B485" i="31"/>
  <c r="B487" i="31" s="1"/>
  <c r="H485" i="31"/>
  <c r="H487" i="31" s="1"/>
  <c r="B494" i="31"/>
  <c r="B496" i="31" s="1"/>
  <c r="H494" i="31"/>
  <c r="H496" i="31" s="1"/>
  <c r="B521" i="31"/>
  <c r="B587" i="31" s="1"/>
  <c r="E526" i="31"/>
  <c r="E528" i="31" s="1"/>
  <c r="E588" i="31" s="1"/>
  <c r="H526" i="31"/>
  <c r="H528" i="31" s="1"/>
  <c r="B553" i="31"/>
  <c r="B555" i="31" s="1"/>
  <c r="H553" i="31"/>
  <c r="H555" i="31" s="1"/>
  <c r="J660" i="31"/>
  <c r="C661" i="31"/>
  <c r="E661" i="31"/>
  <c r="F662" i="31"/>
  <c r="J593" i="31"/>
  <c r="C594" i="31"/>
  <c r="B594" i="31" s="1"/>
  <c r="E594" i="31"/>
  <c r="E660" i="31" s="1"/>
  <c r="H594" i="31"/>
  <c r="D600" i="31"/>
  <c r="B600" i="31" s="1"/>
  <c r="C602" i="31"/>
  <c r="C608" i="31"/>
  <c r="B608" i="31" s="1"/>
  <c r="H609" i="31"/>
  <c r="H613" i="31"/>
  <c r="H661" i="31" s="1"/>
  <c r="C623" i="31"/>
  <c r="B623" i="31" s="1"/>
  <c r="C629" i="31"/>
  <c r="B629" i="31" s="1"/>
  <c r="C635" i="31"/>
  <c r="B635" i="31" s="1"/>
  <c r="C641" i="31"/>
  <c r="B641" i="31" s="1"/>
  <c r="D642" i="31"/>
  <c r="B642" i="31" s="1"/>
  <c r="C644" i="31"/>
  <c r="D645" i="31"/>
  <c r="B645" i="31" s="1"/>
  <c r="C647" i="31"/>
  <c r="G647" i="31"/>
  <c r="E647" i="31" s="1"/>
  <c r="E662" i="31" s="1"/>
  <c r="C653" i="31"/>
  <c r="B653" i="31" s="1"/>
  <c r="D679" i="31"/>
  <c r="B679" i="31"/>
  <c r="H679" i="31"/>
  <c r="E682" i="31"/>
  <c r="B683" i="31"/>
  <c r="E685" i="31"/>
  <c r="B688" i="31"/>
  <c r="B726" i="31"/>
  <c r="B735" i="31"/>
  <c r="I814" i="31"/>
  <c r="B793" i="31"/>
  <c r="B802" i="31"/>
  <c r="J843" i="31"/>
  <c r="B840" i="31"/>
  <c r="B951" i="31"/>
  <c r="B957" i="31"/>
  <c r="B963" i="31"/>
  <c r="B969" i="31"/>
  <c r="B1004" i="31"/>
  <c r="B1142" i="31"/>
  <c r="B1132" i="31"/>
  <c r="J667" i="31"/>
  <c r="I670" i="31"/>
  <c r="G673" i="31"/>
  <c r="E673" i="31" s="1"/>
  <c r="I673" i="31"/>
  <c r="J682" i="31"/>
  <c r="J685" i="31"/>
  <c r="D685" i="31" s="1"/>
  <c r="I694" i="31"/>
  <c r="G713" i="31"/>
  <c r="I713" i="31"/>
  <c r="D720" i="31"/>
  <c r="D747" i="31" s="1"/>
  <c r="H720" i="31"/>
  <c r="C723" i="31"/>
  <c r="C729" i="31"/>
  <c r="I732" i="31"/>
  <c r="I747" i="31" s="1"/>
  <c r="C741" i="31"/>
  <c r="C745" i="31"/>
  <c r="E745" i="31"/>
  <c r="C779" i="31"/>
  <c r="I779" i="31"/>
  <c r="D783" i="31"/>
  <c r="J783" i="31"/>
  <c r="C790" i="31"/>
  <c r="E790" i="31"/>
  <c r="J793" i="31"/>
  <c r="C799" i="31"/>
  <c r="C805" i="31"/>
  <c r="J811" i="31"/>
  <c r="C812" i="31"/>
  <c r="G812" i="31"/>
  <c r="I812" i="31"/>
  <c r="I834" i="31"/>
  <c r="D841" i="31"/>
  <c r="H841" i="31"/>
  <c r="J841" i="31"/>
  <c r="J848" i="31"/>
  <c r="J851" i="31"/>
  <c r="J854" i="31"/>
  <c r="J857" i="31"/>
  <c r="C860" i="31"/>
  <c r="C866" i="31"/>
  <c r="C870" i="31"/>
  <c r="E870" i="31"/>
  <c r="B877" i="31"/>
  <c r="D877" i="31"/>
  <c r="H877" i="31"/>
  <c r="J883" i="31"/>
  <c r="J886" i="31"/>
  <c r="J889" i="31"/>
  <c r="J892" i="31"/>
  <c r="C895" i="31"/>
  <c r="I895" i="31"/>
  <c r="J896" i="31"/>
  <c r="C924" i="31"/>
  <c r="C945" i="31"/>
  <c r="C954" i="31"/>
  <c r="C960" i="31"/>
  <c r="C966" i="31"/>
  <c r="J102" i="32"/>
  <c r="D665" i="31"/>
  <c r="D713" i="31" s="1"/>
  <c r="H665" i="31"/>
  <c r="H713" i="31" s="1"/>
  <c r="B666" i="31"/>
  <c r="B714" i="31" s="1"/>
  <c r="C667" i="31"/>
  <c r="E667" i="31"/>
  <c r="C671" i="31"/>
  <c r="B671" i="31" s="1"/>
  <c r="C676" i="31"/>
  <c r="B676" i="31" s="1"/>
  <c r="E680" i="31"/>
  <c r="E713" i="31" s="1"/>
  <c r="C682" i="31"/>
  <c r="C691" i="31"/>
  <c r="B691" i="31" s="1"/>
  <c r="H693" i="31"/>
  <c r="H714" i="31" s="1"/>
  <c r="C700" i="31"/>
  <c r="B700" i="31" s="1"/>
  <c r="B719" i="31"/>
  <c r="B746" i="31" s="1"/>
  <c r="B736" i="31"/>
  <c r="B738" i="31" s="1"/>
  <c r="H736" i="31"/>
  <c r="H738" i="31" s="1"/>
  <c r="I770" i="31"/>
  <c r="I785" i="31" s="1"/>
  <c r="B771" i="31"/>
  <c r="B773" i="31" s="1"/>
  <c r="H771" i="31"/>
  <c r="H773" i="31" s="1"/>
  <c r="B774" i="31"/>
  <c r="B776" i="31" s="1"/>
  <c r="H774" i="31"/>
  <c r="H776" i="31" s="1"/>
  <c r="D790" i="31"/>
  <c r="H790" i="31"/>
  <c r="E791" i="31"/>
  <c r="E793" i="31" s="1"/>
  <c r="H791" i="31"/>
  <c r="H793" i="31" s="1"/>
  <c r="B794" i="31"/>
  <c r="B796" i="31" s="1"/>
  <c r="H794" i="31"/>
  <c r="H796" i="31" s="1"/>
  <c r="D809" i="31"/>
  <c r="D811" i="31" s="1"/>
  <c r="C822" i="31"/>
  <c r="B822" i="31" s="1"/>
  <c r="C831" i="31"/>
  <c r="B831" i="31" s="1"/>
  <c r="C837" i="31"/>
  <c r="B837" i="31" s="1"/>
  <c r="D846" i="31"/>
  <c r="H846" i="31"/>
  <c r="B847" i="31"/>
  <c r="B871" i="31" s="1"/>
  <c r="D849" i="31"/>
  <c r="D851" i="31" s="1"/>
  <c r="D852" i="31"/>
  <c r="D854" i="31" s="1"/>
  <c r="D855" i="31"/>
  <c r="D857" i="31" s="1"/>
  <c r="C877" i="31"/>
  <c r="E877" i="31"/>
  <c r="E898" i="31" s="1"/>
  <c r="I877" i="31"/>
  <c r="B878" i="31"/>
  <c r="B880" i="31" s="1"/>
  <c r="H878" i="31"/>
  <c r="H880" i="31" s="1"/>
  <c r="D881" i="31"/>
  <c r="D883" i="31" s="1"/>
  <c r="D884" i="31"/>
  <c r="D886" i="31" s="1"/>
  <c r="D887" i="31"/>
  <c r="D889" i="31" s="1"/>
  <c r="D890" i="31"/>
  <c r="D892" i="31" s="1"/>
  <c r="B901" i="31"/>
  <c r="H901" i="31"/>
  <c r="B902" i="31"/>
  <c r="B998" i="31" s="1"/>
  <c r="C903" i="31"/>
  <c r="E903" i="31"/>
  <c r="E999" i="31" s="1"/>
  <c r="I903" i="31"/>
  <c r="I999" i="31" s="1"/>
  <c r="B904" i="31"/>
  <c r="B906" i="31" s="1"/>
  <c r="H904" i="31"/>
  <c r="H906" i="31" s="1"/>
  <c r="B907" i="31"/>
  <c r="B909" i="31" s="1"/>
  <c r="H907" i="31"/>
  <c r="H909" i="31" s="1"/>
  <c r="B910" i="31"/>
  <c r="B912" i="31" s="1"/>
  <c r="H910" i="31"/>
  <c r="H912" i="31" s="1"/>
  <c r="B913" i="31"/>
  <c r="B915" i="31" s="1"/>
  <c r="H913" i="31"/>
  <c r="H915" i="31" s="1"/>
  <c r="B916" i="31"/>
  <c r="B918" i="31" s="1"/>
  <c r="H916" i="31"/>
  <c r="H918" i="31" s="1"/>
  <c r="B919" i="31"/>
  <c r="B921" i="31" s="1"/>
  <c r="H919" i="31"/>
  <c r="H921" i="31" s="1"/>
  <c r="B970" i="31"/>
  <c r="B972" i="31" s="1"/>
  <c r="D972" i="31"/>
  <c r="D999" i="31" s="1"/>
  <c r="H972" i="31"/>
  <c r="B975" i="31"/>
  <c r="B981" i="31"/>
  <c r="B987" i="31"/>
  <c r="B993" i="31"/>
  <c r="I1028" i="31"/>
  <c r="B1007" i="31"/>
  <c r="B1019" i="31"/>
  <c r="B1025" i="31"/>
  <c r="B1046" i="31"/>
  <c r="B1039" i="31"/>
  <c r="B1045" i="31"/>
  <c r="B1135" i="31"/>
  <c r="B1141" i="31"/>
  <c r="K45" i="32"/>
  <c r="F64" i="32"/>
  <c r="C101" i="32"/>
  <c r="C978" i="31"/>
  <c r="C984" i="31"/>
  <c r="C990" i="31"/>
  <c r="C996" i="31"/>
  <c r="C1004" i="31"/>
  <c r="E1004" i="31"/>
  <c r="E1028" i="31" s="1"/>
  <c r="C1016" i="31"/>
  <c r="C1022" i="31"/>
  <c r="C1026" i="31"/>
  <c r="I1026" i="31"/>
  <c r="D1033" i="31"/>
  <c r="D1048" i="31" s="1"/>
  <c r="H1033" i="31"/>
  <c r="H1048" i="31" s="1"/>
  <c r="C1036" i="31"/>
  <c r="C1042" i="31"/>
  <c r="C1046" i="31"/>
  <c r="E1046" i="31"/>
  <c r="B1053" i="31"/>
  <c r="D1053" i="31"/>
  <c r="D1119" i="31" s="1"/>
  <c r="H1053" i="31"/>
  <c r="H1119" i="31" s="1"/>
  <c r="E1056" i="31"/>
  <c r="E1062" i="31"/>
  <c r="E1068" i="31"/>
  <c r="E1074" i="31"/>
  <c r="E1080" i="31"/>
  <c r="E1086" i="31"/>
  <c r="E1092" i="31"/>
  <c r="E1098" i="31"/>
  <c r="E1104" i="31"/>
  <c r="E1110" i="31"/>
  <c r="E1118" i="31"/>
  <c r="E1124" i="31"/>
  <c r="E1127" i="31" s="1"/>
  <c r="C1132" i="31"/>
  <c r="E1132" i="31"/>
  <c r="E1144" i="31" s="1"/>
  <c r="C1138" i="31"/>
  <c r="C1142" i="31"/>
  <c r="D1149" i="31"/>
  <c r="D1152" i="31" s="1"/>
  <c r="H1149" i="31"/>
  <c r="H1152" i="31" s="1"/>
  <c r="C1150" i="31"/>
  <c r="E1150" i="31"/>
  <c r="J42" i="32"/>
  <c r="J44" i="32"/>
  <c r="K63" i="32"/>
  <c r="K66" i="32" s="1"/>
  <c r="D64" i="32"/>
  <c r="D66" i="32" s="1"/>
  <c r="H64" i="32"/>
  <c r="H66" i="32" s="1"/>
  <c r="K100" i="32"/>
  <c r="K102" i="32" s="1"/>
  <c r="D101" i="32"/>
  <c r="C151" i="32"/>
  <c r="J204" i="32"/>
  <c r="K342" i="32"/>
  <c r="D1004" i="31"/>
  <c r="D1028" i="31" s="1"/>
  <c r="H1004" i="31"/>
  <c r="B1008" i="31"/>
  <c r="B1010" i="31" s="1"/>
  <c r="H1008" i="31"/>
  <c r="H1010" i="31" s="1"/>
  <c r="B1011" i="31"/>
  <c r="B1013" i="31" s="1"/>
  <c r="H1011" i="31"/>
  <c r="H1013" i="31" s="1"/>
  <c r="B1032" i="31"/>
  <c r="B1047" i="31" s="1"/>
  <c r="C1053" i="31"/>
  <c r="C1119" i="31" s="1"/>
  <c r="E1053" i="31"/>
  <c r="B1122" i="31"/>
  <c r="B1125" i="31" s="1"/>
  <c r="B1124" i="31"/>
  <c r="B1127" i="31" s="1"/>
  <c r="D1132" i="31"/>
  <c r="D1144" i="31" s="1"/>
  <c r="H1132" i="31"/>
  <c r="H1144" i="31" s="1"/>
  <c r="B1148" i="31"/>
  <c r="B1151" i="31" s="1"/>
  <c r="C7" i="32"/>
  <c r="C43" i="32" s="1"/>
  <c r="E9" i="32"/>
  <c r="C9" i="32" s="1"/>
  <c r="C42" i="32" s="1"/>
  <c r="I9" i="32"/>
  <c r="I42" i="32" s="1"/>
  <c r="I10" i="32"/>
  <c r="I43" i="32" s="1"/>
  <c r="E48" i="32"/>
  <c r="E63" i="32" s="1"/>
  <c r="E49" i="32"/>
  <c r="E64" i="32" s="1"/>
  <c r="I49" i="32"/>
  <c r="I64" i="32" s="1"/>
  <c r="I66" i="32" s="1"/>
  <c r="C50" i="32"/>
  <c r="C65" i="32" s="1"/>
  <c r="F57" i="32"/>
  <c r="F63" i="32" s="1"/>
  <c r="E70" i="32"/>
  <c r="C70" i="32" s="1"/>
  <c r="I73" i="32"/>
  <c r="I100" i="32" s="1"/>
  <c r="I102" i="32" s="1"/>
  <c r="E76" i="32"/>
  <c r="C76" i="32" s="1"/>
  <c r="C105" i="32"/>
  <c r="C150" i="32" s="1"/>
  <c r="E150" i="32"/>
  <c r="I150" i="32"/>
  <c r="D151" i="32"/>
  <c r="D153" i="32" s="1"/>
  <c r="F151" i="32"/>
  <c r="F153" i="32" s="1"/>
  <c r="C107" i="32"/>
  <c r="C152" i="32" s="1"/>
  <c r="E152" i="32"/>
  <c r="I152" i="32"/>
  <c r="C203" i="32"/>
  <c r="K204" i="32"/>
  <c r="E225" i="32"/>
  <c r="I225" i="32"/>
  <c r="E261" i="32"/>
  <c r="F282" i="32"/>
  <c r="K282" i="32"/>
  <c r="E303" i="32"/>
  <c r="I303" i="32"/>
  <c r="I324" i="32"/>
  <c r="J324" i="32"/>
  <c r="C339" i="32"/>
  <c r="J342" i="32"/>
  <c r="D351" i="32"/>
  <c r="F351" i="32"/>
  <c r="K366" i="32"/>
  <c r="D378" i="32"/>
  <c r="E387" i="32"/>
  <c r="I387" i="32"/>
  <c r="D201" i="32"/>
  <c r="D203" i="32"/>
  <c r="J258" i="32"/>
  <c r="J260" i="32"/>
  <c r="D279" i="32"/>
  <c r="D281" i="32"/>
  <c r="J301" i="32"/>
  <c r="J303" i="32" s="1"/>
  <c r="D322" i="32"/>
  <c r="D324" i="32" s="1"/>
  <c r="D364" i="32"/>
  <c r="D366" i="32" s="1"/>
  <c r="J364" i="32"/>
  <c r="J366" i="32" s="1"/>
  <c r="F376" i="32"/>
  <c r="F378" i="32" s="1"/>
  <c r="E166" i="32"/>
  <c r="C166" i="32" s="1"/>
  <c r="C202" i="32" s="1"/>
  <c r="C207" i="32"/>
  <c r="C222" i="32" s="1"/>
  <c r="C209" i="32"/>
  <c r="C224" i="32" s="1"/>
  <c r="C229" i="32"/>
  <c r="C259" i="32" s="1"/>
  <c r="E274" i="32"/>
  <c r="C274" i="32" s="1"/>
  <c r="C280" i="32" s="1"/>
  <c r="C285" i="32"/>
  <c r="C300" i="32" s="1"/>
  <c r="C287" i="32"/>
  <c r="C302" i="32" s="1"/>
  <c r="C328" i="32"/>
  <c r="C340" i="32" s="1"/>
  <c r="I328" i="32"/>
  <c r="I340" i="32" s="1"/>
  <c r="I342" i="32" s="1"/>
  <c r="C345" i="32"/>
  <c r="C348" i="32" s="1"/>
  <c r="C347" i="32"/>
  <c r="C350" i="32" s="1"/>
  <c r="I362" i="32"/>
  <c r="I365" i="32" s="1"/>
  <c r="I366" i="32" s="1"/>
  <c r="C382" i="32"/>
  <c r="C385" i="32" s="1"/>
  <c r="C387" i="32" s="1"/>
  <c r="H95" i="30" l="1"/>
  <c r="C260" i="32"/>
  <c r="I204" i="32"/>
  <c r="D43" i="32"/>
  <c r="C784" i="31"/>
  <c r="H82" i="30"/>
  <c r="B82" i="30"/>
  <c r="C111" i="30"/>
  <c r="C1048" i="31"/>
  <c r="C898" i="31"/>
  <c r="E715" i="31"/>
  <c r="C872" i="31"/>
  <c r="J814" i="31"/>
  <c r="D53" i="28"/>
  <c r="D73" i="27"/>
  <c r="I73" i="27"/>
  <c r="C73" i="27"/>
  <c r="D73" i="29"/>
  <c r="B762" i="31"/>
  <c r="B764" i="31" s="1"/>
  <c r="E747" i="31"/>
  <c r="B446" i="31"/>
  <c r="B448" i="31" s="1"/>
  <c r="C366" i="32"/>
  <c r="D260" i="32"/>
  <c r="C201" i="32"/>
  <c r="C281" i="32"/>
  <c r="C282" i="32" s="1"/>
  <c r="D44" i="32"/>
  <c r="B817" i="31"/>
  <c r="C770" i="31"/>
  <c r="C785" i="31" s="1"/>
  <c r="D301" i="32"/>
  <c r="D303" i="32" s="1"/>
  <c r="D100" i="32"/>
  <c r="D102" i="32" s="1"/>
  <c r="D586" i="31"/>
  <c r="C95" i="30"/>
  <c r="D82" i="30"/>
  <c r="C100" i="32"/>
  <c r="C102" i="32" s="1"/>
  <c r="C204" i="32"/>
  <c r="I153" i="32"/>
  <c r="C153" i="32"/>
  <c r="C48" i="32"/>
  <c r="C63" i="32" s="1"/>
  <c r="I45" i="32"/>
  <c r="J45" i="32"/>
  <c r="E42" i="32"/>
  <c r="E45" i="32" s="1"/>
  <c r="E323" i="32"/>
  <c r="E324" i="32" s="1"/>
  <c r="F66" i="32"/>
  <c r="C45" i="32"/>
  <c r="C258" i="32"/>
  <c r="C261" i="32" s="1"/>
  <c r="D259" i="32"/>
  <c r="D258" i="32"/>
  <c r="E1119" i="31"/>
  <c r="B890" i="31"/>
  <c r="B892" i="31" s="1"/>
  <c r="B887" i="31"/>
  <c r="B889" i="31" s="1"/>
  <c r="B884" i="31"/>
  <c r="B886" i="31" s="1"/>
  <c r="B881" i="31"/>
  <c r="B883" i="31" s="1"/>
  <c r="B809" i="31"/>
  <c r="B811" i="31" s="1"/>
  <c r="D814" i="31"/>
  <c r="J898" i="31"/>
  <c r="C747" i="31"/>
  <c r="H660" i="31"/>
  <c r="C660" i="31"/>
  <c r="D349" i="31"/>
  <c r="B256" i="31"/>
  <c r="C588" i="31"/>
  <c r="I65" i="31"/>
  <c r="B897" i="31"/>
  <c r="E843" i="31"/>
  <c r="B813" i="31"/>
  <c r="D785" i="31"/>
  <c r="B440" i="31"/>
  <c r="B442" i="31" s="1"/>
  <c r="B432" i="31"/>
  <c r="H323" i="31"/>
  <c r="H65" i="31"/>
  <c r="H828" i="31"/>
  <c r="C828" i="31"/>
  <c r="B828" i="31" s="1"/>
  <c r="B1119" i="31"/>
  <c r="H898" i="31"/>
  <c r="H783" i="31"/>
  <c r="C713" i="31"/>
  <c r="B1118" i="31"/>
  <c r="B1117" i="31"/>
  <c r="H770" i="31"/>
  <c r="H785" i="31" s="1"/>
  <c r="B765" i="31"/>
  <c r="B767" i="31" s="1"/>
  <c r="B759" i="31"/>
  <c r="B761" i="31" s="1"/>
  <c r="B753" i="31"/>
  <c r="B755" i="31" s="1"/>
  <c r="B750" i="31"/>
  <c r="B752" i="31" s="1"/>
  <c r="B785" i="31" s="1"/>
  <c r="B449" i="31"/>
  <c r="B451" i="31" s="1"/>
  <c r="B443" i="31"/>
  <c r="B445" i="31" s="1"/>
  <c r="D515" i="31"/>
  <c r="D517" i="31" s="1"/>
  <c r="H432" i="31"/>
  <c r="B93" i="31"/>
  <c r="C124" i="31"/>
  <c r="C126" i="31" s="1"/>
  <c r="B42" i="31"/>
  <c r="B44" i="31" s="1"/>
  <c r="E63" i="31"/>
  <c r="B108" i="30"/>
  <c r="B111" i="30" s="1"/>
  <c r="H44" i="30"/>
  <c r="C71" i="27"/>
  <c r="B660" i="31"/>
  <c r="B997" i="31"/>
  <c r="B903" i="31"/>
  <c r="B999" i="31" s="1"/>
  <c r="D870" i="31"/>
  <c r="D848" i="31"/>
  <c r="D872" i="31" s="1"/>
  <c r="H673" i="31"/>
  <c r="C673" i="31"/>
  <c r="H670" i="31"/>
  <c r="C670" i="31"/>
  <c r="B670" i="31" s="1"/>
  <c r="J662" i="31"/>
  <c r="D593" i="31"/>
  <c r="C351" i="31"/>
  <c r="H644" i="31"/>
  <c r="D644" i="31"/>
  <c r="H605" i="31"/>
  <c r="C605" i="31"/>
  <c r="B605" i="31" s="1"/>
  <c r="H596" i="31"/>
  <c r="C596" i="31"/>
  <c r="H348" i="31"/>
  <c r="D348" i="31"/>
  <c r="B348" i="31" s="1"/>
  <c r="H333" i="31"/>
  <c r="D333" i="31"/>
  <c r="H124" i="31"/>
  <c r="H126" i="31" s="1"/>
  <c r="H90" i="31"/>
  <c r="B70" i="31"/>
  <c r="B85" i="31" s="1"/>
  <c r="B83" i="31"/>
  <c r="D8" i="31"/>
  <c r="D65" i="31" s="1"/>
  <c r="D63" i="31"/>
  <c r="E74" i="29"/>
  <c r="E280" i="32"/>
  <c r="E282" i="32" s="1"/>
  <c r="E202" i="32"/>
  <c r="E204" i="32" s="1"/>
  <c r="B898" i="31"/>
  <c r="J872" i="31"/>
  <c r="C814" i="31"/>
  <c r="B783" i="31"/>
  <c r="B1144" i="31"/>
  <c r="B1028" i="31"/>
  <c r="D812" i="31"/>
  <c r="B745" i="31"/>
  <c r="I715" i="31"/>
  <c r="B644" i="31"/>
  <c r="B685" i="31"/>
  <c r="H896" i="31"/>
  <c r="B896" i="31"/>
  <c r="E812" i="31"/>
  <c r="G715" i="31"/>
  <c r="B665" i="31"/>
  <c r="B713" i="31" s="1"/>
  <c r="I662" i="31"/>
  <c r="H588" i="31"/>
  <c r="B522" i="31"/>
  <c r="B588" i="31" s="1"/>
  <c r="E323" i="31"/>
  <c r="E325" i="31" s="1"/>
  <c r="B131" i="31"/>
  <c r="B814" i="31"/>
  <c r="D596" i="31"/>
  <c r="B586" i="31"/>
  <c r="C324" i="31"/>
  <c r="B248" i="31"/>
  <c r="B199" i="30"/>
  <c r="B515" i="31"/>
  <c r="B517" i="31" s="1"/>
  <c r="H515" i="31"/>
  <c r="H517" i="31" s="1"/>
  <c r="C65" i="31"/>
  <c r="D79" i="26"/>
  <c r="H997" i="31"/>
  <c r="H903" i="31"/>
  <c r="H999" i="31" s="1"/>
  <c r="H870" i="31"/>
  <c r="H848" i="31"/>
  <c r="H872" i="31" s="1"/>
  <c r="H834" i="31"/>
  <c r="H843" i="31" s="1"/>
  <c r="C834" i="31"/>
  <c r="B834" i="31" s="1"/>
  <c r="H694" i="31"/>
  <c r="C694" i="31"/>
  <c r="B694" i="31" s="1"/>
  <c r="H682" i="31"/>
  <c r="D682" i="31"/>
  <c r="B682" i="31" s="1"/>
  <c r="J715" i="31"/>
  <c r="H667" i="31"/>
  <c r="D667" i="31"/>
  <c r="B667" i="31" s="1"/>
  <c r="H647" i="31"/>
  <c r="D647" i="31"/>
  <c r="B647" i="31" s="1"/>
  <c r="H614" i="31"/>
  <c r="C614" i="31"/>
  <c r="B614" i="31" s="1"/>
  <c r="H602" i="31"/>
  <c r="D602" i="31"/>
  <c r="H336" i="31"/>
  <c r="D336" i="31"/>
  <c r="J351" i="31"/>
  <c r="H330" i="31"/>
  <c r="D330" i="31"/>
  <c r="B124" i="31"/>
  <c r="B126" i="31" s="1"/>
  <c r="B90" i="31"/>
  <c r="C351" i="32"/>
  <c r="C303" i="32"/>
  <c r="C225" i="32"/>
  <c r="D282" i="32"/>
  <c r="J261" i="32"/>
  <c r="D204" i="32"/>
  <c r="C342" i="32"/>
  <c r="E153" i="32"/>
  <c r="E100" i="32"/>
  <c r="E102" i="32" s="1"/>
  <c r="E66" i="32"/>
  <c r="H1028" i="31"/>
  <c r="B1149" i="31"/>
  <c r="B1152" i="31" s="1"/>
  <c r="C1144" i="31"/>
  <c r="B1033" i="31"/>
  <c r="B1048" i="31" s="1"/>
  <c r="C1028" i="31"/>
  <c r="H1026" i="31"/>
  <c r="C999" i="31"/>
  <c r="I898" i="31"/>
  <c r="B855" i="31"/>
  <c r="B857" i="31" s="1"/>
  <c r="B852" i="31"/>
  <c r="B854" i="31" s="1"/>
  <c r="B849" i="31"/>
  <c r="B851" i="31" s="1"/>
  <c r="B846" i="31"/>
  <c r="H814" i="31"/>
  <c r="C49" i="32"/>
  <c r="C64" i="32" s="1"/>
  <c r="C66" i="32" s="1"/>
  <c r="D898" i="31"/>
  <c r="E814" i="31"/>
  <c r="H747" i="31"/>
  <c r="B720" i="31"/>
  <c r="B747" i="31" s="1"/>
  <c r="B1026" i="31"/>
  <c r="I843" i="31"/>
  <c r="H812" i="31"/>
  <c r="H745" i="31"/>
  <c r="B602" i="31"/>
  <c r="H593" i="31"/>
  <c r="H662" i="31" s="1"/>
  <c r="B336" i="31"/>
  <c r="B333" i="31"/>
  <c r="E349" i="31"/>
  <c r="H324" i="31"/>
  <c r="H325" i="31" s="1"/>
  <c r="B252" i="31"/>
  <c r="H685" i="31"/>
  <c r="D896" i="31"/>
  <c r="D673" i="31"/>
  <c r="G662" i="31"/>
  <c r="D660" i="31"/>
  <c r="E586" i="31"/>
  <c r="C325" i="31"/>
  <c r="D253" i="31"/>
  <c r="B812" i="31"/>
  <c r="H586" i="31"/>
  <c r="B331" i="31"/>
  <c r="B349" i="31" s="1"/>
  <c r="C256" i="31"/>
  <c r="B6" i="31"/>
  <c r="D199" i="30"/>
  <c r="B323" i="31"/>
  <c r="B68" i="30"/>
  <c r="B75" i="30" s="1"/>
  <c r="B7" i="30"/>
  <c r="B10" i="30" s="1"/>
  <c r="D74" i="29"/>
  <c r="E83" i="31"/>
  <c r="E85" i="31" s="1"/>
  <c r="C79" i="26"/>
  <c r="B819" i="31" l="1"/>
  <c r="B841" i="31"/>
  <c r="D45" i="32"/>
  <c r="D351" i="31"/>
  <c r="B843" i="31"/>
  <c r="D261" i="32"/>
  <c r="B324" i="31"/>
  <c r="B253" i="31"/>
  <c r="B596" i="31"/>
  <c r="C662" i="31"/>
  <c r="D662" i="31"/>
  <c r="B593" i="31"/>
  <c r="B662" i="31" s="1"/>
  <c r="H351" i="31"/>
  <c r="D715" i="31"/>
  <c r="C715" i="31"/>
  <c r="C843" i="31"/>
  <c r="B330" i="31"/>
  <c r="B351" i="31" s="1"/>
  <c r="B673" i="31"/>
  <c r="B8" i="31"/>
  <c r="B65" i="31" s="1"/>
  <c r="B63" i="31"/>
  <c r="B870" i="31"/>
  <c r="B848" i="31"/>
  <c r="B872" i="31" s="1"/>
  <c r="B325" i="31"/>
  <c r="H715" i="31"/>
  <c r="B715" i="31"/>
  <c r="J377" i="23" l="1"/>
  <c r="I377" i="23"/>
  <c r="H377" i="23" s="1"/>
  <c r="G377" i="23"/>
  <c r="D377" i="23" s="1"/>
  <c r="F377" i="23"/>
  <c r="E377" i="23" s="1"/>
  <c r="J376" i="23"/>
  <c r="I376" i="23"/>
  <c r="H376" i="23" s="1"/>
  <c r="G376" i="23"/>
  <c r="F376" i="23"/>
  <c r="D376" i="23"/>
  <c r="J375" i="23"/>
  <c r="J378" i="23" s="1"/>
  <c r="I375" i="23"/>
  <c r="I378" i="23" s="1"/>
  <c r="G375" i="23"/>
  <c r="G378" i="23" s="1"/>
  <c r="F375" i="23"/>
  <c r="F378" i="23" s="1"/>
  <c r="E375" i="23"/>
  <c r="C375" i="23"/>
  <c r="H374" i="23"/>
  <c r="E374" i="23"/>
  <c r="D374" i="23"/>
  <c r="C374" i="23"/>
  <c r="B374" i="23"/>
  <c r="H373" i="23"/>
  <c r="E373" i="23"/>
  <c r="D373" i="23"/>
  <c r="C373" i="23"/>
  <c r="B373" i="23" s="1"/>
  <c r="H372" i="23"/>
  <c r="E372" i="23"/>
  <c r="D372" i="23"/>
  <c r="C372" i="23"/>
  <c r="B372" i="23" s="1"/>
  <c r="J368" i="23"/>
  <c r="I368" i="23"/>
  <c r="G368" i="23"/>
  <c r="F368" i="23"/>
  <c r="J367" i="23"/>
  <c r="I367" i="23"/>
  <c r="G367" i="23"/>
  <c r="F367" i="23"/>
  <c r="J366" i="23"/>
  <c r="J369" i="23" s="1"/>
  <c r="I366" i="23"/>
  <c r="I369" i="23" s="1"/>
  <c r="G366" i="23"/>
  <c r="G369" i="23" s="1"/>
  <c r="F366" i="23"/>
  <c r="F369" i="23" s="1"/>
  <c r="H365" i="23"/>
  <c r="E365" i="23"/>
  <c r="D365" i="23"/>
  <c r="C365" i="23"/>
  <c r="H364" i="23"/>
  <c r="E364" i="23"/>
  <c r="D364" i="23"/>
  <c r="C364" i="23"/>
  <c r="B364" i="23"/>
  <c r="H363" i="23"/>
  <c r="E363" i="23"/>
  <c r="D363" i="23"/>
  <c r="C363" i="23"/>
  <c r="B363" i="23" s="1"/>
  <c r="H362" i="23"/>
  <c r="H368" i="23" s="1"/>
  <c r="E362" i="23"/>
  <c r="E368" i="23" s="1"/>
  <c r="D362" i="23"/>
  <c r="D368" i="23" s="1"/>
  <c r="C362" i="23"/>
  <c r="C368" i="23" s="1"/>
  <c r="H361" i="23"/>
  <c r="H367" i="23" s="1"/>
  <c r="E361" i="23"/>
  <c r="E367" i="23" s="1"/>
  <c r="D361" i="23"/>
  <c r="D367" i="23" s="1"/>
  <c r="C361" i="23"/>
  <c r="H360" i="23"/>
  <c r="H366" i="23" s="1"/>
  <c r="H369" i="23" s="1"/>
  <c r="E360" i="23"/>
  <c r="E366" i="23" s="1"/>
  <c r="E369" i="23" s="1"/>
  <c r="D360" i="23"/>
  <c r="D366" i="23" s="1"/>
  <c r="D369" i="23" s="1"/>
  <c r="C360" i="23"/>
  <c r="C366" i="23" s="1"/>
  <c r="B360" i="23"/>
  <c r="B366" i="23" s="1"/>
  <c r="J356" i="23"/>
  <c r="I356" i="23"/>
  <c r="G356" i="23"/>
  <c r="F356" i="23"/>
  <c r="J355" i="23"/>
  <c r="I355" i="23"/>
  <c r="G355" i="23"/>
  <c r="F355" i="23"/>
  <c r="J354" i="23"/>
  <c r="J357" i="23" s="1"/>
  <c r="I354" i="23"/>
  <c r="I357" i="23" s="1"/>
  <c r="G354" i="23"/>
  <c r="G357" i="23" s="1"/>
  <c r="F354" i="23"/>
  <c r="F357" i="23" s="1"/>
  <c r="H353" i="23"/>
  <c r="E353" i="23"/>
  <c r="D353" i="23"/>
  <c r="C353" i="23"/>
  <c r="B353" i="23" s="1"/>
  <c r="H352" i="23"/>
  <c r="E352" i="23"/>
  <c r="D352" i="23"/>
  <c r="C352" i="23"/>
  <c r="B352" i="23"/>
  <c r="H351" i="23"/>
  <c r="E351" i="23"/>
  <c r="D351" i="23"/>
  <c r="C351" i="23"/>
  <c r="B351" i="23" s="1"/>
  <c r="H350" i="23"/>
  <c r="H356" i="23" s="1"/>
  <c r="E350" i="23"/>
  <c r="E356" i="23" s="1"/>
  <c r="D350" i="23"/>
  <c r="D356" i="23" s="1"/>
  <c r="C350" i="23"/>
  <c r="C356" i="23" s="1"/>
  <c r="B350" i="23"/>
  <c r="B356" i="23" s="1"/>
  <c r="H349" i="23"/>
  <c r="H355" i="23" s="1"/>
  <c r="E349" i="23"/>
  <c r="E355" i="23" s="1"/>
  <c r="D349" i="23"/>
  <c r="D355" i="23" s="1"/>
  <c r="C349" i="23"/>
  <c r="B349" i="23" s="1"/>
  <c r="B355" i="23" s="1"/>
  <c r="H348" i="23"/>
  <c r="H354" i="23" s="1"/>
  <c r="H357" i="23" s="1"/>
  <c r="E348" i="23"/>
  <c r="E354" i="23" s="1"/>
  <c r="E357" i="23" s="1"/>
  <c r="D348" i="23"/>
  <c r="D354" i="23" s="1"/>
  <c r="D357" i="23" s="1"/>
  <c r="C348" i="23"/>
  <c r="C354" i="23" s="1"/>
  <c r="B348" i="23"/>
  <c r="B354" i="23" s="1"/>
  <c r="B357" i="23" s="1"/>
  <c r="J344" i="23"/>
  <c r="I344" i="23"/>
  <c r="G344" i="23"/>
  <c r="F344" i="23"/>
  <c r="J343" i="23"/>
  <c r="I343" i="23"/>
  <c r="G343" i="23"/>
  <c r="F343" i="23"/>
  <c r="J342" i="23"/>
  <c r="J345" i="23" s="1"/>
  <c r="I342" i="23"/>
  <c r="I345" i="23" s="1"/>
  <c r="G342" i="23"/>
  <c r="G345" i="23" s="1"/>
  <c r="F342" i="23"/>
  <c r="F345" i="23" s="1"/>
  <c r="H341" i="23"/>
  <c r="H344" i="23" s="1"/>
  <c r="E341" i="23"/>
  <c r="E344" i="23" s="1"/>
  <c r="D341" i="23"/>
  <c r="D344" i="23" s="1"/>
  <c r="C341" i="23"/>
  <c r="C344" i="23" s="1"/>
  <c r="B341" i="23"/>
  <c r="B344" i="23" s="1"/>
  <c r="H340" i="23"/>
  <c r="H343" i="23" s="1"/>
  <c r="E340" i="23"/>
  <c r="E343" i="23" s="1"/>
  <c r="D340" i="23"/>
  <c r="D343" i="23" s="1"/>
  <c r="C340" i="23"/>
  <c r="C343" i="23" s="1"/>
  <c r="H339" i="23"/>
  <c r="H342" i="23" s="1"/>
  <c r="E339" i="23"/>
  <c r="E342" i="23" s="1"/>
  <c r="E345" i="23" s="1"/>
  <c r="D339" i="23"/>
  <c r="D342" i="23" s="1"/>
  <c r="D345" i="23" s="1"/>
  <c r="C339" i="23"/>
  <c r="C342" i="23" s="1"/>
  <c r="C345" i="23" s="1"/>
  <c r="J335" i="23"/>
  <c r="I335" i="23"/>
  <c r="G335" i="23"/>
  <c r="F335" i="23"/>
  <c r="J334" i="23"/>
  <c r="I334" i="23"/>
  <c r="G334" i="23"/>
  <c r="F334" i="23"/>
  <c r="J333" i="23"/>
  <c r="J336" i="23" s="1"/>
  <c r="I333" i="23"/>
  <c r="I336" i="23" s="1"/>
  <c r="G333" i="23"/>
  <c r="G336" i="23" s="1"/>
  <c r="F333" i="23"/>
  <c r="F336" i="23" s="1"/>
  <c r="H332" i="23"/>
  <c r="E332" i="23"/>
  <c r="D332" i="23"/>
  <c r="C332" i="23"/>
  <c r="B332" i="23"/>
  <c r="H331" i="23"/>
  <c r="E331" i="23"/>
  <c r="D331" i="23"/>
  <c r="C331" i="23"/>
  <c r="B331" i="23" s="1"/>
  <c r="H330" i="23"/>
  <c r="E330" i="23"/>
  <c r="D330" i="23"/>
  <c r="C330" i="23"/>
  <c r="B330" i="23" s="1"/>
  <c r="H329" i="23"/>
  <c r="E329" i="23"/>
  <c r="D329" i="23"/>
  <c r="C329" i="23"/>
  <c r="H328" i="23"/>
  <c r="E328" i="23"/>
  <c r="D328" i="23"/>
  <c r="C328" i="23"/>
  <c r="B328" i="23" s="1"/>
  <c r="H327" i="23"/>
  <c r="E327" i="23"/>
  <c r="D327" i="23"/>
  <c r="C327" i="23"/>
  <c r="H326" i="23"/>
  <c r="E326" i="23"/>
  <c r="D326" i="23"/>
  <c r="C326" i="23"/>
  <c r="H325" i="23"/>
  <c r="E325" i="23"/>
  <c r="D325" i="23"/>
  <c r="C325" i="23"/>
  <c r="H324" i="23"/>
  <c r="E324" i="23"/>
  <c r="D324" i="23"/>
  <c r="C324" i="23"/>
  <c r="B324" i="23"/>
  <c r="H323" i="23"/>
  <c r="H335" i="23" s="1"/>
  <c r="E323" i="23"/>
  <c r="E335" i="23" s="1"/>
  <c r="D323" i="23"/>
  <c r="D335" i="23" s="1"/>
  <c r="C323" i="23"/>
  <c r="B323" i="23" s="1"/>
  <c r="H322" i="23"/>
  <c r="H334" i="23" s="1"/>
  <c r="E322" i="23"/>
  <c r="E334" i="23" s="1"/>
  <c r="D322" i="23"/>
  <c r="D334" i="23" s="1"/>
  <c r="C322" i="23"/>
  <c r="C334" i="23" s="1"/>
  <c r="B322" i="23"/>
  <c r="H321" i="23"/>
  <c r="H333" i="23" s="1"/>
  <c r="H336" i="23" s="1"/>
  <c r="E321" i="23"/>
  <c r="E333" i="23" s="1"/>
  <c r="D321" i="23"/>
  <c r="D333" i="23" s="1"/>
  <c r="D336" i="23" s="1"/>
  <c r="C321" i="23"/>
  <c r="B321" i="23" s="1"/>
  <c r="J317" i="23"/>
  <c r="I317" i="23"/>
  <c r="G317" i="23"/>
  <c r="F317" i="23"/>
  <c r="J316" i="23"/>
  <c r="I316" i="23"/>
  <c r="G316" i="23"/>
  <c r="F316" i="23"/>
  <c r="J315" i="23"/>
  <c r="J318" i="23" s="1"/>
  <c r="I315" i="23"/>
  <c r="I318" i="23" s="1"/>
  <c r="G315" i="23"/>
  <c r="G318" i="23" s="1"/>
  <c r="F315" i="23"/>
  <c r="F318" i="23" s="1"/>
  <c r="H314" i="23"/>
  <c r="E314" i="23"/>
  <c r="D314" i="23"/>
  <c r="C314" i="23"/>
  <c r="B314" i="23"/>
  <c r="H313" i="23"/>
  <c r="E313" i="23"/>
  <c r="D313" i="23"/>
  <c r="C313" i="23"/>
  <c r="B313" i="23" s="1"/>
  <c r="H312" i="23"/>
  <c r="E312" i="23"/>
  <c r="D312" i="23"/>
  <c r="C312" i="23"/>
  <c r="B312" i="23" s="1"/>
  <c r="H311" i="23"/>
  <c r="E311" i="23"/>
  <c r="D311" i="23"/>
  <c r="C311" i="23"/>
  <c r="H310" i="23"/>
  <c r="E310" i="23"/>
  <c r="D310" i="23"/>
  <c r="C310" i="23"/>
  <c r="B310" i="23" s="1"/>
  <c r="H309" i="23"/>
  <c r="E309" i="23"/>
  <c r="D309" i="23"/>
  <c r="C309" i="23"/>
  <c r="H308" i="23"/>
  <c r="E308" i="23"/>
  <c r="D308" i="23"/>
  <c r="C308" i="23"/>
  <c r="B308" i="23" s="1"/>
  <c r="H307" i="23"/>
  <c r="E307" i="23"/>
  <c r="D307" i="23"/>
  <c r="C307" i="23"/>
  <c r="H306" i="23"/>
  <c r="E306" i="23"/>
  <c r="D306" i="23"/>
  <c r="C306" i="23"/>
  <c r="B306" i="23"/>
  <c r="H305" i="23"/>
  <c r="E305" i="23"/>
  <c r="D305" i="23"/>
  <c r="C305" i="23"/>
  <c r="B305" i="23" s="1"/>
  <c r="H304" i="23"/>
  <c r="E304" i="23"/>
  <c r="D304" i="23"/>
  <c r="C304" i="23"/>
  <c r="B304" i="23" s="1"/>
  <c r="H303" i="23"/>
  <c r="E303" i="23"/>
  <c r="D303" i="23"/>
  <c r="C303" i="23"/>
  <c r="H302" i="23"/>
  <c r="H317" i="23" s="1"/>
  <c r="E302" i="23"/>
  <c r="E317" i="23" s="1"/>
  <c r="D302" i="23"/>
  <c r="D317" i="23" s="1"/>
  <c r="C302" i="23"/>
  <c r="C317" i="23" s="1"/>
  <c r="B302" i="23"/>
  <c r="H301" i="23"/>
  <c r="H316" i="23" s="1"/>
  <c r="E301" i="23"/>
  <c r="E316" i="23" s="1"/>
  <c r="D301" i="23"/>
  <c r="D316" i="23" s="1"/>
  <c r="C301" i="23"/>
  <c r="C316" i="23" s="1"/>
  <c r="H300" i="23"/>
  <c r="H315" i="23" s="1"/>
  <c r="H318" i="23" s="1"/>
  <c r="E300" i="23"/>
  <c r="E315" i="23" s="1"/>
  <c r="E318" i="23" s="1"/>
  <c r="D300" i="23"/>
  <c r="D315" i="23" s="1"/>
  <c r="D318" i="23" s="1"/>
  <c r="C300" i="23"/>
  <c r="C315" i="23" s="1"/>
  <c r="C318" i="23" s="1"/>
  <c r="B300" i="23"/>
  <c r="J296" i="23"/>
  <c r="I296" i="23"/>
  <c r="G296" i="23"/>
  <c r="F296" i="23"/>
  <c r="J295" i="23"/>
  <c r="I295" i="23"/>
  <c r="G295" i="23"/>
  <c r="F295" i="23"/>
  <c r="J294" i="23"/>
  <c r="J297" i="23" s="1"/>
  <c r="I294" i="23"/>
  <c r="I297" i="23" s="1"/>
  <c r="G294" i="23"/>
  <c r="G297" i="23" s="1"/>
  <c r="F294" i="23"/>
  <c r="F297" i="23" s="1"/>
  <c r="H293" i="23"/>
  <c r="E293" i="23"/>
  <c r="D293" i="23"/>
  <c r="C293" i="23"/>
  <c r="B293" i="23" s="1"/>
  <c r="H292" i="23"/>
  <c r="E292" i="23"/>
  <c r="D292" i="23"/>
  <c r="C292" i="23"/>
  <c r="B292" i="23"/>
  <c r="H291" i="23"/>
  <c r="E291" i="23"/>
  <c r="D291" i="23"/>
  <c r="C291" i="23"/>
  <c r="B291" i="23" s="1"/>
  <c r="H290" i="23"/>
  <c r="E290" i="23"/>
  <c r="D290" i="23"/>
  <c r="C290" i="23"/>
  <c r="B290" i="23" s="1"/>
  <c r="H289" i="23"/>
  <c r="E289" i="23"/>
  <c r="D289" i="23"/>
  <c r="C289" i="23"/>
  <c r="H288" i="23"/>
  <c r="E288" i="23"/>
  <c r="D288" i="23"/>
  <c r="C288" i="23"/>
  <c r="B288" i="23" s="1"/>
  <c r="H287" i="23"/>
  <c r="E287" i="23"/>
  <c r="D287" i="23"/>
  <c r="C287" i="23"/>
  <c r="H286" i="23"/>
  <c r="E286" i="23"/>
  <c r="D286" i="23"/>
  <c r="C286" i="23"/>
  <c r="B286" i="23" s="1"/>
  <c r="H285" i="23"/>
  <c r="E285" i="23"/>
  <c r="D285" i="23"/>
  <c r="C285" i="23"/>
  <c r="H284" i="23"/>
  <c r="E284" i="23"/>
  <c r="D284" i="23"/>
  <c r="C284" i="23"/>
  <c r="B284" i="23"/>
  <c r="H283" i="23"/>
  <c r="E283" i="23"/>
  <c r="D283" i="23"/>
  <c r="C283" i="23"/>
  <c r="B283" i="23" s="1"/>
  <c r="H282" i="23"/>
  <c r="E282" i="23"/>
  <c r="D282" i="23"/>
  <c r="C282" i="23"/>
  <c r="B282" i="23" s="1"/>
  <c r="H281" i="23"/>
  <c r="H296" i="23" s="1"/>
  <c r="E281" i="23"/>
  <c r="E296" i="23" s="1"/>
  <c r="D281" i="23"/>
  <c r="D296" i="23" s="1"/>
  <c r="C281" i="23"/>
  <c r="C296" i="23" s="1"/>
  <c r="H280" i="23"/>
  <c r="H295" i="23" s="1"/>
  <c r="E280" i="23"/>
  <c r="E295" i="23" s="1"/>
  <c r="D280" i="23"/>
  <c r="D295" i="23" s="1"/>
  <c r="C280" i="23"/>
  <c r="C295" i="23" s="1"/>
  <c r="B280" i="23"/>
  <c r="H279" i="23"/>
  <c r="H294" i="23" s="1"/>
  <c r="H297" i="23" s="1"/>
  <c r="E279" i="23"/>
  <c r="E294" i="23" s="1"/>
  <c r="E297" i="23" s="1"/>
  <c r="D279" i="23"/>
  <c r="D294" i="23" s="1"/>
  <c r="D297" i="23" s="1"/>
  <c r="C279" i="23"/>
  <c r="C294" i="23" s="1"/>
  <c r="C297" i="23" s="1"/>
  <c r="G275" i="23"/>
  <c r="F275" i="23"/>
  <c r="G274" i="23"/>
  <c r="F274" i="23"/>
  <c r="J273" i="23"/>
  <c r="I273" i="23"/>
  <c r="G273" i="23"/>
  <c r="G276" i="23" s="1"/>
  <c r="F273" i="23"/>
  <c r="F276" i="23" s="1"/>
  <c r="J272" i="23"/>
  <c r="H272" i="23" s="1"/>
  <c r="E272" i="23"/>
  <c r="D272" i="23"/>
  <c r="C272" i="23"/>
  <c r="B272" i="23"/>
  <c r="H271" i="23"/>
  <c r="E271" i="23"/>
  <c r="D271" i="23"/>
  <c r="C271" i="23"/>
  <c r="B271" i="23" s="1"/>
  <c r="H270" i="23"/>
  <c r="E270" i="23"/>
  <c r="D270" i="23"/>
  <c r="C270" i="23"/>
  <c r="B270" i="23" s="1"/>
  <c r="J269" i="23"/>
  <c r="H269" i="23" s="1"/>
  <c r="E269" i="23"/>
  <c r="D269" i="23"/>
  <c r="C269" i="23"/>
  <c r="B269" i="23" s="1"/>
  <c r="J268" i="23"/>
  <c r="H268" i="23" s="1"/>
  <c r="E268" i="23"/>
  <c r="C268" i="23"/>
  <c r="H267" i="23"/>
  <c r="E267" i="23"/>
  <c r="D267" i="23"/>
  <c r="C267" i="23"/>
  <c r="J266" i="23"/>
  <c r="H266" i="23" s="1"/>
  <c r="E266" i="23"/>
  <c r="C266" i="23"/>
  <c r="J265" i="23"/>
  <c r="I265" i="23"/>
  <c r="I274" i="23" s="1"/>
  <c r="E265" i="23"/>
  <c r="D265" i="23"/>
  <c r="C265" i="23"/>
  <c r="B265" i="23" s="1"/>
  <c r="H264" i="23"/>
  <c r="E264" i="23"/>
  <c r="D264" i="23"/>
  <c r="C264" i="23"/>
  <c r="B264" i="23" s="1"/>
  <c r="J263" i="23"/>
  <c r="I263" i="23"/>
  <c r="I275" i="23" s="1"/>
  <c r="E263" i="23"/>
  <c r="D263" i="23"/>
  <c r="H262" i="23"/>
  <c r="E262" i="23"/>
  <c r="D262" i="23"/>
  <c r="C262" i="23"/>
  <c r="H261" i="23"/>
  <c r="E261" i="23"/>
  <c r="D261" i="23"/>
  <c r="C261" i="23"/>
  <c r="B261" i="23"/>
  <c r="J260" i="23"/>
  <c r="J275" i="23" s="1"/>
  <c r="H260" i="23"/>
  <c r="E260" i="23"/>
  <c r="E275" i="23" s="1"/>
  <c r="D260" i="23"/>
  <c r="C260" i="23"/>
  <c r="J259" i="23"/>
  <c r="J274" i="23" s="1"/>
  <c r="E259" i="23"/>
  <c r="E274" i="23" s="1"/>
  <c r="C259" i="23"/>
  <c r="C274" i="23" s="1"/>
  <c r="H258" i="23"/>
  <c r="H273" i="23" s="1"/>
  <c r="E258" i="23"/>
  <c r="E273" i="23" s="1"/>
  <c r="D258" i="23"/>
  <c r="D273" i="23" s="1"/>
  <c r="C258" i="23"/>
  <c r="C273" i="23" s="1"/>
  <c r="J254" i="23"/>
  <c r="I254" i="23"/>
  <c r="G254" i="23"/>
  <c r="F254" i="23"/>
  <c r="J253" i="23"/>
  <c r="I253" i="23"/>
  <c r="G253" i="23"/>
  <c r="F253" i="23"/>
  <c r="J252" i="23"/>
  <c r="J255" i="23" s="1"/>
  <c r="I252" i="23"/>
  <c r="I255" i="23" s="1"/>
  <c r="G252" i="23"/>
  <c r="G255" i="23" s="1"/>
  <c r="F252" i="23"/>
  <c r="F255" i="23" s="1"/>
  <c r="H251" i="23"/>
  <c r="E251" i="23"/>
  <c r="D251" i="23"/>
  <c r="C251" i="23"/>
  <c r="B251" i="23" s="1"/>
  <c r="H250" i="23"/>
  <c r="E250" i="23"/>
  <c r="D250" i="23"/>
  <c r="C250" i="23"/>
  <c r="B250" i="23" s="1"/>
  <c r="H249" i="23"/>
  <c r="E249" i="23"/>
  <c r="D249" i="23"/>
  <c r="C249" i="23"/>
  <c r="B249" i="23" s="1"/>
  <c r="H248" i="23"/>
  <c r="E248" i="23"/>
  <c r="D248" i="23"/>
  <c r="C248" i="23"/>
  <c r="B248" i="23" s="1"/>
  <c r="H247" i="23"/>
  <c r="E247" i="23"/>
  <c r="D247" i="23"/>
  <c r="C247" i="23"/>
  <c r="B247" i="23" s="1"/>
  <c r="H246" i="23"/>
  <c r="E246" i="23"/>
  <c r="D246" i="23"/>
  <c r="C246" i="23"/>
  <c r="B246" i="23" s="1"/>
  <c r="H245" i="23"/>
  <c r="E245" i="23"/>
  <c r="D245" i="23"/>
  <c r="C245" i="23"/>
  <c r="H244" i="23"/>
  <c r="E244" i="23"/>
  <c r="D244" i="23"/>
  <c r="C244" i="23"/>
  <c r="H243" i="23"/>
  <c r="E243" i="23"/>
  <c r="D243" i="23"/>
  <c r="C243" i="23"/>
  <c r="H242" i="23"/>
  <c r="E242" i="23"/>
  <c r="D242" i="23"/>
  <c r="C242" i="23"/>
  <c r="B242" i="23"/>
  <c r="H241" i="23"/>
  <c r="E241" i="23"/>
  <c r="D241" i="23"/>
  <c r="C241" i="23"/>
  <c r="B241" i="23" s="1"/>
  <c r="H240" i="23"/>
  <c r="E240" i="23"/>
  <c r="D240" i="23"/>
  <c r="C240" i="23"/>
  <c r="B240" i="23" s="1"/>
  <c r="H239" i="23"/>
  <c r="E239" i="23"/>
  <c r="D239" i="23"/>
  <c r="C239" i="23"/>
  <c r="B239" i="23" s="1"/>
  <c r="H238" i="23"/>
  <c r="E238" i="23"/>
  <c r="D238" i="23"/>
  <c r="C238" i="23"/>
  <c r="B238" i="23" s="1"/>
  <c r="H237" i="23"/>
  <c r="E237" i="23"/>
  <c r="D237" i="23"/>
  <c r="C237" i="23"/>
  <c r="H236" i="23"/>
  <c r="E236" i="23"/>
  <c r="D236" i="23"/>
  <c r="C236" i="23"/>
  <c r="H235" i="23"/>
  <c r="E235" i="23"/>
  <c r="D235" i="23"/>
  <c r="C235" i="23"/>
  <c r="H234" i="23"/>
  <c r="E234" i="23"/>
  <c r="D234" i="23"/>
  <c r="C234" i="23"/>
  <c r="B234" i="23"/>
  <c r="H233" i="23"/>
  <c r="E233" i="23"/>
  <c r="D233" i="23"/>
  <c r="C233" i="23"/>
  <c r="B233" i="23" s="1"/>
  <c r="H232" i="23"/>
  <c r="E232" i="23"/>
  <c r="D232" i="23"/>
  <c r="C232" i="23"/>
  <c r="B232" i="23" s="1"/>
  <c r="H231" i="23"/>
  <c r="E231" i="23"/>
  <c r="D231" i="23"/>
  <c r="C231" i="23"/>
  <c r="H230" i="23"/>
  <c r="E230" i="23"/>
  <c r="D230" i="23"/>
  <c r="C230" i="23"/>
  <c r="B230" i="23" s="1"/>
  <c r="H229" i="23"/>
  <c r="E229" i="23"/>
  <c r="D229" i="23"/>
  <c r="C229" i="23"/>
  <c r="H228" i="23"/>
  <c r="E228" i="23"/>
  <c r="D228" i="23"/>
  <c r="C228" i="23"/>
  <c r="B228" i="23" s="1"/>
  <c r="H227" i="23"/>
  <c r="H254" i="23" s="1"/>
  <c r="E227" i="23"/>
  <c r="E254" i="23" s="1"/>
  <c r="D227" i="23"/>
  <c r="D254" i="23" s="1"/>
  <c r="C227" i="23"/>
  <c r="C254" i="23" s="1"/>
  <c r="H226" i="23"/>
  <c r="H253" i="23" s="1"/>
  <c r="E226" i="23"/>
  <c r="E253" i="23" s="1"/>
  <c r="D226" i="23"/>
  <c r="D253" i="23" s="1"/>
  <c r="C226" i="23"/>
  <c r="C253" i="23" s="1"/>
  <c r="B226" i="23"/>
  <c r="H225" i="23"/>
  <c r="H252" i="23" s="1"/>
  <c r="E225" i="23"/>
  <c r="E252" i="23" s="1"/>
  <c r="E255" i="23" s="1"/>
  <c r="D225" i="23"/>
  <c r="D252" i="23" s="1"/>
  <c r="C225" i="23"/>
  <c r="C252" i="23" s="1"/>
  <c r="C255" i="23" s="1"/>
  <c r="J197" i="23"/>
  <c r="I197" i="23"/>
  <c r="G197" i="23"/>
  <c r="F197" i="23"/>
  <c r="J196" i="23"/>
  <c r="I196" i="23"/>
  <c r="G196" i="23"/>
  <c r="F196" i="23"/>
  <c r="J195" i="23"/>
  <c r="J198" i="23" s="1"/>
  <c r="I195" i="23"/>
  <c r="I198" i="23" s="1"/>
  <c r="G195" i="23"/>
  <c r="G198" i="23" s="1"/>
  <c r="F195" i="23"/>
  <c r="F198" i="23" s="1"/>
  <c r="H194" i="23"/>
  <c r="E194" i="23"/>
  <c r="D194" i="23"/>
  <c r="C194" i="23"/>
  <c r="B194" i="23" s="1"/>
  <c r="H193" i="23"/>
  <c r="E193" i="23"/>
  <c r="D193" i="23"/>
  <c r="C193" i="23"/>
  <c r="B193" i="23" s="1"/>
  <c r="H192" i="23"/>
  <c r="E192" i="23"/>
  <c r="D192" i="23"/>
  <c r="C192" i="23"/>
  <c r="H191" i="23"/>
  <c r="E191" i="23"/>
  <c r="D191" i="23"/>
  <c r="C191" i="23"/>
  <c r="B191" i="23" s="1"/>
  <c r="H190" i="23"/>
  <c r="E190" i="23"/>
  <c r="D190" i="23"/>
  <c r="C190" i="23"/>
  <c r="B190" i="23" s="1"/>
  <c r="H189" i="23"/>
  <c r="E189" i="23"/>
  <c r="D189" i="23"/>
  <c r="C189" i="23"/>
  <c r="B189" i="23" s="1"/>
  <c r="H188" i="23"/>
  <c r="E188" i="23"/>
  <c r="D188" i="23"/>
  <c r="C188" i="23"/>
  <c r="H187" i="23"/>
  <c r="E187" i="23"/>
  <c r="D187" i="23"/>
  <c r="C187" i="23"/>
  <c r="B187" i="23" s="1"/>
  <c r="H186" i="23"/>
  <c r="E186" i="23"/>
  <c r="D186" i="23"/>
  <c r="C186" i="23"/>
  <c r="H185" i="23"/>
  <c r="E185" i="23"/>
  <c r="D185" i="23"/>
  <c r="C185" i="23"/>
  <c r="H184" i="23"/>
  <c r="E184" i="23"/>
  <c r="D184" i="23"/>
  <c r="C184" i="23"/>
  <c r="H183" i="23"/>
  <c r="E183" i="23"/>
  <c r="D183" i="23"/>
  <c r="C183" i="23"/>
  <c r="B183" i="23"/>
  <c r="H182" i="23"/>
  <c r="E182" i="23"/>
  <c r="D182" i="23"/>
  <c r="C182" i="23"/>
  <c r="B182" i="23" s="1"/>
  <c r="H181" i="23"/>
  <c r="E181" i="23"/>
  <c r="D181" i="23"/>
  <c r="C181" i="23"/>
  <c r="B181" i="23" s="1"/>
  <c r="H180" i="23"/>
  <c r="E180" i="23"/>
  <c r="D180" i="23"/>
  <c r="C180" i="23"/>
  <c r="H179" i="23"/>
  <c r="E179" i="23"/>
  <c r="D179" i="23"/>
  <c r="C179" i="23"/>
  <c r="B179" i="23" s="1"/>
  <c r="H178" i="23"/>
  <c r="E178" i="23"/>
  <c r="D178" i="23"/>
  <c r="C178" i="23"/>
  <c r="H177" i="23"/>
  <c r="E177" i="23"/>
  <c r="D177" i="23"/>
  <c r="C177" i="23"/>
  <c r="H176" i="23"/>
  <c r="E176" i="23"/>
  <c r="D176" i="23"/>
  <c r="C176" i="23"/>
  <c r="H175" i="23"/>
  <c r="E175" i="23"/>
  <c r="D175" i="23"/>
  <c r="C175" i="23"/>
  <c r="B175" i="23"/>
  <c r="H174" i="23"/>
  <c r="E174" i="23"/>
  <c r="D174" i="23"/>
  <c r="C174" i="23"/>
  <c r="B174" i="23" s="1"/>
  <c r="H173" i="23"/>
  <c r="E173" i="23"/>
  <c r="D173" i="23"/>
  <c r="C173" i="23"/>
  <c r="B173" i="23" s="1"/>
  <c r="H172" i="23"/>
  <c r="E172" i="23"/>
  <c r="D172" i="23"/>
  <c r="C172" i="23"/>
  <c r="H171" i="23"/>
  <c r="E171" i="23"/>
  <c r="D171" i="23"/>
  <c r="C171" i="23"/>
  <c r="B171" i="23" s="1"/>
  <c r="H170" i="23"/>
  <c r="E170" i="23"/>
  <c r="D170" i="23"/>
  <c r="C170" i="23"/>
  <c r="H169" i="23"/>
  <c r="E169" i="23"/>
  <c r="D169" i="23"/>
  <c r="C169" i="23"/>
  <c r="H168" i="23"/>
  <c r="E168" i="23"/>
  <c r="D168" i="23"/>
  <c r="C168" i="23"/>
  <c r="H167" i="23"/>
  <c r="E167" i="23"/>
  <c r="D167" i="23"/>
  <c r="C167" i="23"/>
  <c r="B167" i="23"/>
  <c r="H166" i="23"/>
  <c r="E166" i="23"/>
  <c r="D166" i="23"/>
  <c r="C166" i="23"/>
  <c r="B166" i="23" s="1"/>
  <c r="H165" i="23"/>
  <c r="E165" i="23"/>
  <c r="D165" i="23"/>
  <c r="C165" i="23"/>
  <c r="B165" i="23" s="1"/>
  <c r="H164" i="23"/>
  <c r="E164" i="23"/>
  <c r="D164" i="23"/>
  <c r="C164" i="23"/>
  <c r="H163" i="23"/>
  <c r="E163" i="23"/>
  <c r="D163" i="23"/>
  <c r="C163" i="23"/>
  <c r="B163" i="23" s="1"/>
  <c r="H162" i="23"/>
  <c r="E162" i="23"/>
  <c r="D162" i="23"/>
  <c r="C162" i="23"/>
  <c r="H161" i="23"/>
  <c r="E161" i="23"/>
  <c r="D161" i="23"/>
  <c r="C161" i="23"/>
  <c r="H160" i="23"/>
  <c r="E160" i="23"/>
  <c r="D160" i="23"/>
  <c r="C160" i="23"/>
  <c r="H159" i="23"/>
  <c r="E159" i="23"/>
  <c r="D159" i="23"/>
  <c r="C159" i="23"/>
  <c r="B159" i="23"/>
  <c r="H158" i="23"/>
  <c r="E158" i="23"/>
  <c r="D158" i="23"/>
  <c r="C158" i="23"/>
  <c r="B158" i="23" s="1"/>
  <c r="H157" i="23"/>
  <c r="E157" i="23"/>
  <c r="D157" i="23"/>
  <c r="C157" i="23"/>
  <c r="B157" i="23" s="1"/>
  <c r="H156" i="23"/>
  <c r="E156" i="23"/>
  <c r="D156" i="23"/>
  <c r="C156" i="23"/>
  <c r="H155" i="23"/>
  <c r="E155" i="23"/>
  <c r="D155" i="23"/>
  <c r="C155" i="23"/>
  <c r="B155" i="23" s="1"/>
  <c r="H154" i="23"/>
  <c r="E154" i="23"/>
  <c r="D154" i="23"/>
  <c r="C154" i="23"/>
  <c r="H153" i="23"/>
  <c r="E153" i="23"/>
  <c r="D153" i="23"/>
  <c r="C153" i="23"/>
  <c r="H152" i="23"/>
  <c r="E152" i="23"/>
  <c r="D152" i="23"/>
  <c r="C152" i="23"/>
  <c r="H151" i="23"/>
  <c r="E151" i="23"/>
  <c r="D151" i="23"/>
  <c r="C151" i="23"/>
  <c r="B151" i="23"/>
  <c r="H150" i="23"/>
  <c r="E150" i="23"/>
  <c r="D150" i="23"/>
  <c r="C150" i="23"/>
  <c r="B150" i="23" s="1"/>
  <c r="H149" i="23"/>
  <c r="E149" i="23"/>
  <c r="E197" i="23" s="1"/>
  <c r="D149" i="23"/>
  <c r="C149" i="23"/>
  <c r="C197" i="23" s="1"/>
  <c r="H148" i="23"/>
  <c r="E148" i="23"/>
  <c r="E196" i="23" s="1"/>
  <c r="D148" i="23"/>
  <c r="C148" i="23"/>
  <c r="C196" i="23" s="1"/>
  <c r="H147" i="23"/>
  <c r="H195" i="23" s="1"/>
  <c r="E147" i="23"/>
  <c r="E195" i="23" s="1"/>
  <c r="E198" i="23" s="1"/>
  <c r="D147" i="23"/>
  <c r="D195" i="23" s="1"/>
  <c r="C147" i="23"/>
  <c r="C195" i="23" s="1"/>
  <c r="C198" i="23" s="1"/>
  <c r="J143" i="23"/>
  <c r="I143" i="23"/>
  <c r="G143" i="23"/>
  <c r="F143" i="23"/>
  <c r="J142" i="23"/>
  <c r="I142" i="23"/>
  <c r="G142" i="23"/>
  <c r="F142" i="23"/>
  <c r="J141" i="23"/>
  <c r="J144" i="23" s="1"/>
  <c r="I141" i="23"/>
  <c r="I144" i="23" s="1"/>
  <c r="G141" i="23"/>
  <c r="G144" i="23" s="1"/>
  <c r="F141" i="23"/>
  <c r="F144" i="23" s="1"/>
  <c r="H140" i="23"/>
  <c r="E140" i="23"/>
  <c r="D140" i="23"/>
  <c r="C140" i="23"/>
  <c r="H139" i="23"/>
  <c r="E139" i="23"/>
  <c r="D139" i="23"/>
  <c r="C139" i="23"/>
  <c r="H138" i="23"/>
  <c r="E138" i="23"/>
  <c r="D138" i="23"/>
  <c r="C138" i="23"/>
  <c r="B138" i="23"/>
  <c r="H137" i="23"/>
  <c r="E137" i="23"/>
  <c r="D137" i="23"/>
  <c r="C137" i="23"/>
  <c r="B137" i="23" s="1"/>
  <c r="H136" i="23"/>
  <c r="E136" i="23"/>
  <c r="D136" i="23"/>
  <c r="C136" i="23"/>
  <c r="B136" i="23" s="1"/>
  <c r="H135" i="23"/>
  <c r="E135" i="23"/>
  <c r="D135" i="23"/>
  <c r="C135" i="23"/>
  <c r="H134" i="23"/>
  <c r="E134" i="23"/>
  <c r="D134" i="23"/>
  <c r="C134" i="23"/>
  <c r="B134" i="23" s="1"/>
  <c r="H133" i="23"/>
  <c r="E133" i="23"/>
  <c r="D133" i="23"/>
  <c r="C133" i="23"/>
  <c r="H132" i="23"/>
  <c r="E132" i="23"/>
  <c r="D132" i="23"/>
  <c r="C132" i="23"/>
  <c r="H131" i="23"/>
  <c r="E131" i="23"/>
  <c r="D131" i="23"/>
  <c r="C131" i="23"/>
  <c r="H130" i="23"/>
  <c r="E130" i="23"/>
  <c r="D130" i="23"/>
  <c r="C130" i="23"/>
  <c r="B130" i="23"/>
  <c r="H129" i="23"/>
  <c r="E129" i="23"/>
  <c r="D129" i="23"/>
  <c r="C129" i="23"/>
  <c r="B129" i="23" s="1"/>
  <c r="H128" i="23"/>
  <c r="E128" i="23"/>
  <c r="D128" i="23"/>
  <c r="C128" i="23"/>
  <c r="B128" i="23" s="1"/>
  <c r="H127" i="23"/>
  <c r="E127" i="23"/>
  <c r="D127" i="23"/>
  <c r="C127" i="23"/>
  <c r="H126" i="23"/>
  <c r="E126" i="23"/>
  <c r="D126" i="23"/>
  <c r="C126" i="23"/>
  <c r="B126" i="23" s="1"/>
  <c r="H125" i="23"/>
  <c r="E125" i="23"/>
  <c r="D125" i="23"/>
  <c r="C125" i="23"/>
  <c r="H124" i="23"/>
  <c r="E124" i="23"/>
  <c r="D124" i="23"/>
  <c r="C124" i="23"/>
  <c r="H123" i="23"/>
  <c r="E123" i="23"/>
  <c r="D123" i="23"/>
  <c r="C123" i="23"/>
  <c r="H122" i="23"/>
  <c r="E122" i="23"/>
  <c r="D122" i="23"/>
  <c r="C122" i="23"/>
  <c r="B122" i="23"/>
  <c r="H121" i="23"/>
  <c r="E121" i="23"/>
  <c r="D121" i="23"/>
  <c r="C121" i="23"/>
  <c r="B121" i="23" s="1"/>
  <c r="H120" i="23"/>
  <c r="E120" i="23"/>
  <c r="D120" i="23"/>
  <c r="C120" i="23"/>
  <c r="B120" i="23" s="1"/>
  <c r="H119" i="23"/>
  <c r="E119" i="23"/>
  <c r="D119" i="23"/>
  <c r="C119" i="23"/>
  <c r="H118" i="23"/>
  <c r="E118" i="23"/>
  <c r="D118" i="23"/>
  <c r="C118" i="23"/>
  <c r="B118" i="23" s="1"/>
  <c r="H117" i="23"/>
  <c r="E117" i="23"/>
  <c r="D117" i="23"/>
  <c r="C117" i="23"/>
  <c r="H116" i="23"/>
  <c r="E116" i="23"/>
  <c r="D116" i="23"/>
  <c r="C116" i="23"/>
  <c r="H115" i="23"/>
  <c r="E115" i="23"/>
  <c r="D115" i="23"/>
  <c r="C115" i="23"/>
  <c r="H114" i="23"/>
  <c r="E114" i="23"/>
  <c r="D114" i="23"/>
  <c r="C114" i="23"/>
  <c r="B114" i="23"/>
  <c r="H113" i="23"/>
  <c r="E113" i="23"/>
  <c r="D113" i="23"/>
  <c r="C113" i="23"/>
  <c r="B113" i="23" s="1"/>
  <c r="H112" i="23"/>
  <c r="E112" i="23"/>
  <c r="D112" i="23"/>
  <c r="C112" i="23"/>
  <c r="B112" i="23" s="1"/>
  <c r="H111" i="23"/>
  <c r="E111" i="23"/>
  <c r="D111" i="23"/>
  <c r="C111" i="23"/>
  <c r="H110" i="23"/>
  <c r="E110" i="23"/>
  <c r="D110" i="23"/>
  <c r="C110" i="23"/>
  <c r="B110" i="23" s="1"/>
  <c r="H109" i="23"/>
  <c r="E109" i="23"/>
  <c r="D109" i="23"/>
  <c r="C109" i="23"/>
  <c r="H108" i="23"/>
  <c r="E108" i="23"/>
  <c r="D108" i="23"/>
  <c r="C108" i="23"/>
  <c r="B108" i="23"/>
  <c r="H107" i="23"/>
  <c r="E107" i="23"/>
  <c r="D107" i="23"/>
  <c r="C107" i="23"/>
  <c r="B107" i="23" s="1"/>
  <c r="H106" i="23"/>
  <c r="E106" i="23"/>
  <c r="D106" i="23"/>
  <c r="C106" i="23"/>
  <c r="B106" i="23" s="1"/>
  <c r="H105" i="23"/>
  <c r="E105" i="23"/>
  <c r="D105" i="23"/>
  <c r="C105" i="23"/>
  <c r="B105" i="23" s="1"/>
  <c r="H104" i="23"/>
  <c r="E104" i="23"/>
  <c r="D104" i="23"/>
  <c r="C104" i="23"/>
  <c r="B104" i="23" s="1"/>
  <c r="H103" i="23"/>
  <c r="E103" i="23"/>
  <c r="D103" i="23"/>
  <c r="C103" i="23"/>
  <c r="H102" i="23"/>
  <c r="E102" i="23"/>
  <c r="D102" i="23"/>
  <c r="C102" i="23"/>
  <c r="H101" i="23"/>
  <c r="E101" i="23"/>
  <c r="D101" i="23"/>
  <c r="C101" i="23"/>
  <c r="H100" i="23"/>
  <c r="E100" i="23"/>
  <c r="D100" i="23"/>
  <c r="C100" i="23"/>
  <c r="B100" i="23"/>
  <c r="H99" i="23"/>
  <c r="E99" i="23"/>
  <c r="D99" i="23"/>
  <c r="C99" i="23"/>
  <c r="B99" i="23" s="1"/>
  <c r="H98" i="23"/>
  <c r="E98" i="23"/>
  <c r="E143" i="23" s="1"/>
  <c r="D98" i="23"/>
  <c r="C98" i="23"/>
  <c r="C143" i="23" s="1"/>
  <c r="H97" i="23"/>
  <c r="H142" i="23" s="1"/>
  <c r="E97" i="23"/>
  <c r="E142" i="23" s="1"/>
  <c r="D97" i="23"/>
  <c r="D142" i="23" s="1"/>
  <c r="C97" i="23"/>
  <c r="C142" i="23" s="1"/>
  <c r="H96" i="23"/>
  <c r="H141" i="23" s="1"/>
  <c r="E96" i="23"/>
  <c r="D96" i="23"/>
  <c r="D141" i="23" s="1"/>
  <c r="C96" i="23"/>
  <c r="B96" i="23"/>
  <c r="J92" i="23"/>
  <c r="I92" i="23"/>
  <c r="G92" i="23"/>
  <c r="F92" i="23"/>
  <c r="J91" i="23"/>
  <c r="G91" i="23"/>
  <c r="F91" i="23"/>
  <c r="J90" i="23"/>
  <c r="J93" i="23" s="1"/>
  <c r="I90" i="23"/>
  <c r="G90" i="23"/>
  <c r="G93" i="23" s="1"/>
  <c r="F90" i="23"/>
  <c r="H89" i="23"/>
  <c r="E89" i="23"/>
  <c r="D89" i="23"/>
  <c r="C89" i="23"/>
  <c r="I88" i="23"/>
  <c r="H88" i="23" s="1"/>
  <c r="E88" i="23"/>
  <c r="D88" i="23"/>
  <c r="C88" i="23"/>
  <c r="B88" i="23" s="1"/>
  <c r="H87" i="23"/>
  <c r="E87" i="23"/>
  <c r="D87" i="23"/>
  <c r="C87" i="23"/>
  <c r="B87" i="23" s="1"/>
  <c r="H86" i="23"/>
  <c r="E86" i="23"/>
  <c r="D86" i="23"/>
  <c r="C86" i="23"/>
  <c r="B86" i="23" s="1"/>
  <c r="H85" i="23"/>
  <c r="E85" i="23"/>
  <c r="D85" i="23"/>
  <c r="C85" i="23"/>
  <c r="B85" i="23" s="1"/>
  <c r="H84" i="23"/>
  <c r="E84" i="23"/>
  <c r="D84" i="23"/>
  <c r="C84" i="23"/>
  <c r="H83" i="23"/>
  <c r="E83" i="23"/>
  <c r="D83" i="23"/>
  <c r="C83" i="23"/>
  <c r="H82" i="23"/>
  <c r="E82" i="23"/>
  <c r="D82" i="23"/>
  <c r="C82" i="23"/>
  <c r="H81" i="23"/>
  <c r="E81" i="23"/>
  <c r="D81" i="23"/>
  <c r="C81" i="23"/>
  <c r="B81" i="23"/>
  <c r="H80" i="23"/>
  <c r="E80" i="23"/>
  <c r="D80" i="23"/>
  <c r="C80" i="23"/>
  <c r="B80" i="23" s="1"/>
  <c r="I79" i="23"/>
  <c r="H79" i="23" s="1"/>
  <c r="E79" i="23"/>
  <c r="D79" i="23"/>
  <c r="C79" i="23"/>
  <c r="B79" i="23" s="1"/>
  <c r="H78" i="23"/>
  <c r="E78" i="23"/>
  <c r="D78" i="23"/>
  <c r="C78" i="23"/>
  <c r="B78" i="23" s="1"/>
  <c r="H77" i="23"/>
  <c r="E77" i="23"/>
  <c r="D77" i="23"/>
  <c r="C77" i="23"/>
  <c r="B77" i="23" s="1"/>
  <c r="I76" i="23"/>
  <c r="H76" i="23" s="1"/>
  <c r="E76" i="23"/>
  <c r="D76" i="23"/>
  <c r="C76" i="23"/>
  <c r="B76" i="23" s="1"/>
  <c r="H75" i="23"/>
  <c r="E75" i="23"/>
  <c r="D75" i="23"/>
  <c r="C75" i="23"/>
  <c r="B75" i="23" s="1"/>
  <c r="H74" i="23"/>
  <c r="E74" i="23"/>
  <c r="D74" i="23"/>
  <c r="C74" i="23"/>
  <c r="B74" i="23" s="1"/>
  <c r="I73" i="23"/>
  <c r="H73" i="23" s="1"/>
  <c r="E73" i="23"/>
  <c r="D73" i="23"/>
  <c r="C73" i="23"/>
  <c r="B73" i="23" s="1"/>
  <c r="H72" i="23"/>
  <c r="E72" i="23"/>
  <c r="D72" i="23"/>
  <c r="C72" i="23"/>
  <c r="B72" i="23" s="1"/>
  <c r="H71" i="23"/>
  <c r="E71" i="23"/>
  <c r="D71" i="23"/>
  <c r="C71" i="23"/>
  <c r="I70" i="23"/>
  <c r="H70" i="23" s="1"/>
  <c r="E70" i="23"/>
  <c r="D70" i="23"/>
  <c r="H69" i="23"/>
  <c r="E69" i="23"/>
  <c r="D69" i="23"/>
  <c r="C69" i="23"/>
  <c r="H68" i="23"/>
  <c r="E68" i="23"/>
  <c r="D68" i="23"/>
  <c r="C68" i="23"/>
  <c r="I67" i="23"/>
  <c r="H67" i="23" s="1"/>
  <c r="E67" i="23"/>
  <c r="D67" i="23"/>
  <c r="H66" i="23"/>
  <c r="E66" i="23"/>
  <c r="D66" i="23"/>
  <c r="C66" i="23"/>
  <c r="B66" i="23"/>
  <c r="H65" i="23"/>
  <c r="E65" i="23"/>
  <c r="D65" i="23"/>
  <c r="C65" i="23"/>
  <c r="B65" i="23" s="1"/>
  <c r="I64" i="23"/>
  <c r="H64" i="23" s="1"/>
  <c r="E64" i="23"/>
  <c r="D64" i="23"/>
  <c r="C64" i="23"/>
  <c r="B64" i="23" s="1"/>
  <c r="H63" i="23"/>
  <c r="E63" i="23"/>
  <c r="D63" i="23"/>
  <c r="C63" i="23"/>
  <c r="B63" i="23" s="1"/>
  <c r="H62" i="23"/>
  <c r="E62" i="23"/>
  <c r="E92" i="23" s="1"/>
  <c r="D62" i="23"/>
  <c r="C62" i="23"/>
  <c r="C92" i="23" s="1"/>
  <c r="H61" i="23"/>
  <c r="E61" i="23"/>
  <c r="E91" i="23" s="1"/>
  <c r="D61" i="23"/>
  <c r="C61" i="23"/>
  <c r="H60" i="23"/>
  <c r="H90" i="23" s="1"/>
  <c r="E60" i="23"/>
  <c r="D60" i="23"/>
  <c r="D90" i="23" s="1"/>
  <c r="C60" i="23"/>
  <c r="J56" i="23"/>
  <c r="I56" i="23"/>
  <c r="G56" i="23"/>
  <c r="F56" i="23"/>
  <c r="J55" i="23"/>
  <c r="I55" i="23"/>
  <c r="G55" i="23"/>
  <c r="F55" i="23"/>
  <c r="J54" i="23"/>
  <c r="J57" i="23" s="1"/>
  <c r="I54" i="23"/>
  <c r="I57" i="23" s="1"/>
  <c r="G54" i="23"/>
  <c r="G57" i="23" s="1"/>
  <c r="F54" i="23"/>
  <c r="F57" i="23" s="1"/>
  <c r="H53" i="23"/>
  <c r="E53" i="23"/>
  <c r="D53" i="23"/>
  <c r="C53" i="23"/>
  <c r="H52" i="23"/>
  <c r="E52" i="23"/>
  <c r="D52" i="23"/>
  <c r="C52" i="23"/>
  <c r="H51" i="23"/>
  <c r="E51" i="23"/>
  <c r="D51" i="23"/>
  <c r="C51" i="23"/>
  <c r="H50" i="23"/>
  <c r="E50" i="23"/>
  <c r="D50" i="23"/>
  <c r="C50" i="23"/>
  <c r="H49" i="23"/>
  <c r="E49" i="23"/>
  <c r="D49" i="23"/>
  <c r="C49" i="23"/>
  <c r="H48" i="23"/>
  <c r="E48" i="23"/>
  <c r="D48" i="23"/>
  <c r="C48" i="23"/>
  <c r="H47" i="23"/>
  <c r="E47" i="23"/>
  <c r="D47" i="23"/>
  <c r="C47" i="23"/>
  <c r="H46" i="23"/>
  <c r="E46" i="23"/>
  <c r="D46" i="23"/>
  <c r="C46" i="23"/>
  <c r="H45" i="23"/>
  <c r="E45" i="23"/>
  <c r="D45" i="23"/>
  <c r="C45" i="23"/>
  <c r="B45" i="23"/>
  <c r="H44" i="23"/>
  <c r="E44" i="23"/>
  <c r="D44" i="23"/>
  <c r="C44" i="23"/>
  <c r="B44" i="23" s="1"/>
  <c r="H43" i="23"/>
  <c r="E43" i="23"/>
  <c r="D43" i="23"/>
  <c r="C43" i="23"/>
  <c r="B43" i="23" s="1"/>
  <c r="H42" i="23"/>
  <c r="E42" i="23"/>
  <c r="D42" i="23"/>
  <c r="C42" i="23"/>
  <c r="B42" i="23" s="1"/>
  <c r="H41" i="23"/>
  <c r="E41" i="23"/>
  <c r="E56" i="23" s="1"/>
  <c r="D41" i="23"/>
  <c r="C41" i="23"/>
  <c r="C56" i="23" s="1"/>
  <c r="H40" i="23"/>
  <c r="H55" i="23" s="1"/>
  <c r="E40" i="23"/>
  <c r="D40" i="23"/>
  <c r="D55" i="23" s="1"/>
  <c r="C40" i="23"/>
  <c r="H39" i="23"/>
  <c r="H54" i="23" s="1"/>
  <c r="E39" i="23"/>
  <c r="D39" i="23"/>
  <c r="D54" i="23" s="1"/>
  <c r="C39" i="23"/>
  <c r="B39" i="23"/>
  <c r="J35" i="23"/>
  <c r="I35" i="23"/>
  <c r="G35" i="23"/>
  <c r="F35" i="23"/>
  <c r="J34" i="23"/>
  <c r="I34" i="23"/>
  <c r="G34" i="23"/>
  <c r="F34" i="23"/>
  <c r="J33" i="23"/>
  <c r="J36" i="23" s="1"/>
  <c r="I33" i="23"/>
  <c r="I36" i="23" s="1"/>
  <c r="G33" i="23"/>
  <c r="G36" i="23" s="1"/>
  <c r="F33" i="23"/>
  <c r="F36" i="23" s="1"/>
  <c r="H32" i="23"/>
  <c r="E32" i="23"/>
  <c r="D32" i="23"/>
  <c r="C32" i="23"/>
  <c r="B32" i="23" s="1"/>
  <c r="H31" i="23"/>
  <c r="E31" i="23"/>
  <c r="D31" i="23"/>
  <c r="C31" i="23"/>
  <c r="B31" i="23" s="1"/>
  <c r="H30" i="23"/>
  <c r="E30" i="23"/>
  <c r="D30" i="23"/>
  <c r="C30" i="23"/>
  <c r="H29" i="23"/>
  <c r="E29" i="23"/>
  <c r="D29" i="23"/>
  <c r="C29" i="23"/>
  <c r="B29" i="23"/>
  <c r="H28" i="23"/>
  <c r="E28" i="23"/>
  <c r="D28" i="23"/>
  <c r="C28" i="23"/>
  <c r="B28" i="23" s="1"/>
  <c r="H27" i="23"/>
  <c r="E27" i="23"/>
  <c r="D27" i="23"/>
  <c r="C27" i="23"/>
  <c r="B27" i="23" s="1"/>
  <c r="H26" i="23"/>
  <c r="E26" i="23"/>
  <c r="D26" i="23"/>
  <c r="C26" i="23"/>
  <c r="B26" i="23" s="1"/>
  <c r="H25" i="23"/>
  <c r="E25" i="23"/>
  <c r="D25" i="23"/>
  <c r="C25" i="23"/>
  <c r="B25" i="23" s="1"/>
  <c r="H24" i="23"/>
  <c r="E24" i="23"/>
  <c r="D24" i="23"/>
  <c r="C24" i="23"/>
  <c r="B24" i="23" s="1"/>
  <c r="H23" i="23"/>
  <c r="E23" i="23"/>
  <c r="D23" i="23"/>
  <c r="C23" i="23"/>
  <c r="B23" i="23" s="1"/>
  <c r="H22" i="23"/>
  <c r="E22" i="23"/>
  <c r="D22" i="23"/>
  <c r="C22" i="23"/>
  <c r="B22" i="23" s="1"/>
  <c r="H21" i="23"/>
  <c r="E21" i="23"/>
  <c r="D21" i="23"/>
  <c r="C21" i="23"/>
  <c r="B21" i="23" s="1"/>
  <c r="H20" i="23"/>
  <c r="E20" i="23"/>
  <c r="D20" i="23"/>
  <c r="C20" i="23"/>
  <c r="H19" i="23"/>
  <c r="E19" i="23"/>
  <c r="D19" i="23"/>
  <c r="C19" i="23"/>
  <c r="H18" i="23"/>
  <c r="E18" i="23"/>
  <c r="D18" i="23"/>
  <c r="C18" i="23"/>
  <c r="H17" i="23"/>
  <c r="E17" i="23"/>
  <c r="D17" i="23"/>
  <c r="C17" i="23"/>
  <c r="B17" i="23"/>
  <c r="H16" i="23"/>
  <c r="E16" i="23"/>
  <c r="D16" i="23"/>
  <c r="C16" i="23"/>
  <c r="B16" i="23" s="1"/>
  <c r="H15" i="23"/>
  <c r="E15" i="23"/>
  <c r="D15" i="23"/>
  <c r="C15" i="23"/>
  <c r="B15" i="23" s="1"/>
  <c r="H14" i="23"/>
  <c r="E14" i="23"/>
  <c r="D14" i="23"/>
  <c r="C14" i="23"/>
  <c r="B14" i="23" s="1"/>
  <c r="H13" i="23"/>
  <c r="E13" i="23"/>
  <c r="D13" i="23"/>
  <c r="C13" i="23"/>
  <c r="B13" i="23" s="1"/>
  <c r="H12" i="23"/>
  <c r="E12" i="23"/>
  <c r="D12" i="23"/>
  <c r="C12" i="23"/>
  <c r="B12" i="23" s="1"/>
  <c r="H11" i="23"/>
  <c r="E11" i="23"/>
  <c r="D11" i="23"/>
  <c r="C11" i="23"/>
  <c r="B11" i="23" s="1"/>
  <c r="H10" i="23"/>
  <c r="E10" i="23"/>
  <c r="D10" i="23"/>
  <c r="C10" i="23"/>
  <c r="B10" i="23" s="1"/>
  <c r="H9" i="23"/>
  <c r="E9" i="23"/>
  <c r="D9" i="23"/>
  <c r="C9" i="23"/>
  <c r="B9" i="23" s="1"/>
  <c r="H8" i="23"/>
  <c r="E8" i="23"/>
  <c r="E35" i="23" s="1"/>
  <c r="D8" i="23"/>
  <c r="C8" i="23"/>
  <c r="C35" i="23" s="1"/>
  <c r="H7" i="23"/>
  <c r="H34" i="23" s="1"/>
  <c r="E7" i="23"/>
  <c r="D7" i="23"/>
  <c r="D34" i="23" s="1"/>
  <c r="C7" i="23"/>
  <c r="B7" i="23"/>
  <c r="H6" i="23"/>
  <c r="E6" i="23"/>
  <c r="E33" i="23" s="1"/>
  <c r="D6" i="23"/>
  <c r="C6" i="23"/>
  <c r="C33" i="23" s="1"/>
  <c r="J1082" i="22"/>
  <c r="I1082" i="22"/>
  <c r="G1082" i="22"/>
  <c r="F1082" i="22"/>
  <c r="J1081" i="22"/>
  <c r="I1081" i="22"/>
  <c r="G1081" i="22"/>
  <c r="F1081" i="22"/>
  <c r="J1080" i="22"/>
  <c r="J1083" i="22" s="1"/>
  <c r="I1080" i="22"/>
  <c r="I1083" i="22" s="1"/>
  <c r="G1080" i="22"/>
  <c r="G1083" i="22" s="1"/>
  <c r="F1080" i="22"/>
  <c r="F1083" i="22" s="1"/>
  <c r="H1079" i="22"/>
  <c r="H1082" i="22" s="1"/>
  <c r="E1079" i="22"/>
  <c r="E1082" i="22" s="1"/>
  <c r="D1079" i="22"/>
  <c r="D1082" i="22" s="1"/>
  <c r="C1079" i="22"/>
  <c r="C1082" i="22" s="1"/>
  <c r="H1078" i="22"/>
  <c r="H1080" i="22" s="1"/>
  <c r="H1083" i="22" s="1"/>
  <c r="E1078" i="22"/>
  <c r="E1081" i="22" s="1"/>
  <c r="D1078" i="22"/>
  <c r="D1080" i="22" s="1"/>
  <c r="D1083" i="22" s="1"/>
  <c r="C1078" i="22"/>
  <c r="C1081" i="22" s="1"/>
  <c r="B1078" i="22"/>
  <c r="J1074" i="22"/>
  <c r="I1074" i="22"/>
  <c r="G1074" i="22"/>
  <c r="F1074" i="22"/>
  <c r="J1073" i="22"/>
  <c r="I1073" i="22"/>
  <c r="G1073" i="22"/>
  <c r="F1073" i="22"/>
  <c r="J1072" i="22"/>
  <c r="I1072" i="22"/>
  <c r="G1072" i="22"/>
  <c r="F1072" i="22"/>
  <c r="H1071" i="22"/>
  <c r="E1071" i="22"/>
  <c r="D1071" i="22"/>
  <c r="C1071" i="22"/>
  <c r="B1071" i="22" s="1"/>
  <c r="H1070" i="22"/>
  <c r="H1072" i="22" s="1"/>
  <c r="E1070" i="22"/>
  <c r="E1072" i="22" s="1"/>
  <c r="D1070" i="22"/>
  <c r="D1072" i="22" s="1"/>
  <c r="C1070" i="22"/>
  <c r="C1072" i="22" s="1"/>
  <c r="J1069" i="22"/>
  <c r="I1069" i="22"/>
  <c r="G1069" i="22"/>
  <c r="F1069" i="22"/>
  <c r="H1068" i="22"/>
  <c r="E1068" i="22"/>
  <c r="D1068" i="22"/>
  <c r="C1068" i="22"/>
  <c r="B1068" i="22"/>
  <c r="H1067" i="22"/>
  <c r="E1067" i="22"/>
  <c r="E1069" i="22" s="1"/>
  <c r="D1067" i="22"/>
  <c r="C1067" i="22"/>
  <c r="C1069" i="22" s="1"/>
  <c r="J1066" i="22"/>
  <c r="I1066" i="22"/>
  <c r="G1066" i="22"/>
  <c r="F1066" i="22"/>
  <c r="H1065" i="22"/>
  <c r="E1065" i="22"/>
  <c r="D1065" i="22"/>
  <c r="C1065" i="22"/>
  <c r="B1065" i="22" s="1"/>
  <c r="H1064" i="22"/>
  <c r="H1066" i="22" s="1"/>
  <c r="E1064" i="22"/>
  <c r="E1066" i="22" s="1"/>
  <c r="D1064" i="22"/>
  <c r="D1066" i="22" s="1"/>
  <c r="C1064" i="22"/>
  <c r="B1064" i="22" s="1"/>
  <c r="J1063" i="22"/>
  <c r="I1063" i="22"/>
  <c r="I1075" i="22" s="1"/>
  <c r="G1063" i="22"/>
  <c r="F1063" i="22"/>
  <c r="F1075" i="22" s="1"/>
  <c r="H1062" i="22"/>
  <c r="E1062" i="22"/>
  <c r="E1074" i="22" s="1"/>
  <c r="D1062" i="22"/>
  <c r="C1062" i="22"/>
  <c r="B1062" i="22" s="1"/>
  <c r="H1061" i="22"/>
  <c r="H1073" i="22" s="1"/>
  <c r="E1061" i="22"/>
  <c r="E1073" i="22" s="1"/>
  <c r="D1061" i="22"/>
  <c r="D1073" i="22" s="1"/>
  <c r="C1061" i="22"/>
  <c r="C1073" i="22" s="1"/>
  <c r="J1057" i="22"/>
  <c r="I1057" i="22"/>
  <c r="G1057" i="22"/>
  <c r="F1057" i="22"/>
  <c r="J1056" i="22"/>
  <c r="I1056" i="22"/>
  <c r="G1056" i="22"/>
  <c r="F1056" i="22"/>
  <c r="J1055" i="22"/>
  <c r="J1058" i="22" s="1"/>
  <c r="I1055" i="22"/>
  <c r="I1058" i="22" s="1"/>
  <c r="G1055" i="22"/>
  <c r="G1058" i="22" s="1"/>
  <c r="F1055" i="22"/>
  <c r="F1058" i="22" s="1"/>
  <c r="H1054" i="22"/>
  <c r="H1057" i="22" s="1"/>
  <c r="E1054" i="22"/>
  <c r="E1057" i="22" s="1"/>
  <c r="D1054" i="22"/>
  <c r="D1057" i="22" s="1"/>
  <c r="C1054" i="22"/>
  <c r="C1057" i="22" s="1"/>
  <c r="H1053" i="22"/>
  <c r="H1056" i="22" s="1"/>
  <c r="E1053" i="22"/>
  <c r="D1053" i="22"/>
  <c r="D1056" i="22" s="1"/>
  <c r="C1053" i="22"/>
  <c r="J1049" i="22"/>
  <c r="I1049" i="22"/>
  <c r="G1049" i="22"/>
  <c r="F1049" i="22"/>
  <c r="J1048" i="22"/>
  <c r="I1048" i="22"/>
  <c r="G1048" i="22"/>
  <c r="F1048" i="22"/>
  <c r="J1047" i="22"/>
  <c r="I1047" i="22"/>
  <c r="G1047" i="22"/>
  <c r="F1047" i="22"/>
  <c r="H1046" i="22"/>
  <c r="E1046" i="22"/>
  <c r="D1046" i="22"/>
  <c r="C1046" i="22"/>
  <c r="B1046" i="22"/>
  <c r="H1045" i="22"/>
  <c r="E1045" i="22"/>
  <c r="E1047" i="22" s="1"/>
  <c r="D1045" i="22"/>
  <c r="C1045" i="22"/>
  <c r="C1047" i="22" s="1"/>
  <c r="J1044" i="22"/>
  <c r="I1044" i="22"/>
  <c r="G1044" i="22"/>
  <c r="F1044" i="22"/>
  <c r="H1043" i="22"/>
  <c r="E1043" i="22"/>
  <c r="D1043" i="22"/>
  <c r="C1043" i="22"/>
  <c r="B1043" i="22" s="1"/>
  <c r="H1042" i="22"/>
  <c r="H1044" i="22" s="1"/>
  <c r="E1042" i="22"/>
  <c r="E1044" i="22" s="1"/>
  <c r="D1042" i="22"/>
  <c r="D1044" i="22" s="1"/>
  <c r="C1042" i="22"/>
  <c r="C1044" i="22" s="1"/>
  <c r="J1041" i="22"/>
  <c r="I1041" i="22"/>
  <c r="G1041" i="22"/>
  <c r="F1041" i="22"/>
  <c r="H1040" i="22"/>
  <c r="E1040" i="22"/>
  <c r="D1040" i="22"/>
  <c r="C1040" i="22"/>
  <c r="B1040" i="22" s="1"/>
  <c r="H1039" i="22"/>
  <c r="H1041" i="22" s="1"/>
  <c r="E1039" i="22"/>
  <c r="D1039" i="22"/>
  <c r="D1041" i="22" s="1"/>
  <c r="C1039" i="22"/>
  <c r="J1038" i="22"/>
  <c r="I1038" i="22"/>
  <c r="G1038" i="22"/>
  <c r="F1038" i="22"/>
  <c r="H1037" i="22"/>
  <c r="E1037" i="22"/>
  <c r="D1037" i="22"/>
  <c r="C1037" i="22"/>
  <c r="H1036" i="22"/>
  <c r="H1038" i="22" s="1"/>
  <c r="E1036" i="22"/>
  <c r="E1038" i="22" s="1"/>
  <c r="D1036" i="22"/>
  <c r="D1038" i="22" s="1"/>
  <c r="C1036" i="22"/>
  <c r="C1038" i="22" s="1"/>
  <c r="J1035" i="22"/>
  <c r="I1035" i="22"/>
  <c r="G1035" i="22"/>
  <c r="F1035" i="22"/>
  <c r="H1034" i="22"/>
  <c r="E1034" i="22"/>
  <c r="D1034" i="22"/>
  <c r="C1034" i="22"/>
  <c r="B1034" i="22"/>
  <c r="H1033" i="22"/>
  <c r="E1033" i="22"/>
  <c r="E1035" i="22" s="1"/>
  <c r="D1033" i="22"/>
  <c r="C1033" i="22"/>
  <c r="C1035" i="22" s="1"/>
  <c r="J1032" i="22"/>
  <c r="I1032" i="22"/>
  <c r="G1032" i="22"/>
  <c r="F1032" i="22"/>
  <c r="H1031" i="22"/>
  <c r="E1031" i="22"/>
  <c r="D1031" i="22"/>
  <c r="C1031" i="22"/>
  <c r="B1031" i="22" s="1"/>
  <c r="H1030" i="22"/>
  <c r="H1032" i="22" s="1"/>
  <c r="E1030" i="22"/>
  <c r="E1032" i="22" s="1"/>
  <c r="D1030" i="22"/>
  <c r="D1032" i="22" s="1"/>
  <c r="C1030" i="22"/>
  <c r="C1032" i="22" s="1"/>
  <c r="J1029" i="22"/>
  <c r="I1029" i="22"/>
  <c r="G1029" i="22"/>
  <c r="F1029" i="22"/>
  <c r="H1028" i="22"/>
  <c r="E1028" i="22"/>
  <c r="D1028" i="22"/>
  <c r="C1028" i="22"/>
  <c r="B1028" i="22" s="1"/>
  <c r="H1027" i="22"/>
  <c r="H1029" i="22" s="1"/>
  <c r="E1027" i="22"/>
  <c r="D1027" i="22"/>
  <c r="D1029" i="22" s="1"/>
  <c r="C1027" i="22"/>
  <c r="J1026" i="22"/>
  <c r="I1026" i="22"/>
  <c r="G1026" i="22"/>
  <c r="F1026" i="22"/>
  <c r="H1025" i="22"/>
  <c r="E1025" i="22"/>
  <c r="D1025" i="22"/>
  <c r="C1025" i="22"/>
  <c r="H1024" i="22"/>
  <c r="H1026" i="22" s="1"/>
  <c r="E1024" i="22"/>
  <c r="E1026" i="22" s="1"/>
  <c r="D1024" i="22"/>
  <c r="D1026" i="22" s="1"/>
  <c r="C1024" i="22"/>
  <c r="C1026" i="22" s="1"/>
  <c r="J1023" i="22"/>
  <c r="I1023" i="22"/>
  <c r="G1023" i="22"/>
  <c r="F1023" i="22"/>
  <c r="H1022" i="22"/>
  <c r="E1022" i="22"/>
  <c r="D1022" i="22"/>
  <c r="C1022" i="22"/>
  <c r="B1022" i="22"/>
  <c r="H1021" i="22"/>
  <c r="E1021" i="22"/>
  <c r="E1023" i="22" s="1"/>
  <c r="D1021" i="22"/>
  <c r="C1021" i="22"/>
  <c r="C1023" i="22" s="1"/>
  <c r="J1020" i="22"/>
  <c r="I1020" i="22"/>
  <c r="G1020" i="22"/>
  <c r="F1020" i="22"/>
  <c r="H1019" i="22"/>
  <c r="E1019" i="22"/>
  <c r="D1019" i="22"/>
  <c r="C1019" i="22"/>
  <c r="B1019" i="22" s="1"/>
  <c r="H1018" i="22"/>
  <c r="H1020" i="22" s="1"/>
  <c r="E1018" i="22"/>
  <c r="E1020" i="22" s="1"/>
  <c r="D1018" i="22"/>
  <c r="D1020" i="22" s="1"/>
  <c r="C1018" i="22"/>
  <c r="C1020" i="22" s="1"/>
  <c r="J1017" i="22"/>
  <c r="I1017" i="22"/>
  <c r="G1017" i="22"/>
  <c r="F1017" i="22"/>
  <c r="H1016" i="22"/>
  <c r="E1016" i="22"/>
  <c r="D1016" i="22"/>
  <c r="C1016" i="22"/>
  <c r="H1015" i="22"/>
  <c r="H1017" i="22" s="1"/>
  <c r="E1015" i="22"/>
  <c r="E1017" i="22" s="1"/>
  <c r="D1015" i="22"/>
  <c r="D1017" i="22" s="1"/>
  <c r="C1015" i="22"/>
  <c r="C1017" i="22" s="1"/>
  <c r="J1014" i="22"/>
  <c r="I1014" i="22"/>
  <c r="G1014" i="22"/>
  <c r="F1014" i="22"/>
  <c r="H1013" i="22"/>
  <c r="E1013" i="22"/>
  <c r="D1013" i="22"/>
  <c r="C1013" i="22"/>
  <c r="H1012" i="22"/>
  <c r="H1014" i="22" s="1"/>
  <c r="E1012" i="22"/>
  <c r="D1012" i="22"/>
  <c r="D1014" i="22" s="1"/>
  <c r="C1012" i="22"/>
  <c r="J1011" i="22"/>
  <c r="I1011" i="22"/>
  <c r="G1011" i="22"/>
  <c r="F1011" i="22"/>
  <c r="H1010" i="22"/>
  <c r="E1010" i="22"/>
  <c r="D1010" i="22"/>
  <c r="C1010" i="22"/>
  <c r="H1009" i="22"/>
  <c r="H1011" i="22" s="1"/>
  <c r="E1009" i="22"/>
  <c r="E1011" i="22" s="1"/>
  <c r="D1009" i="22"/>
  <c r="D1011" i="22" s="1"/>
  <c r="C1009" i="22"/>
  <c r="C1011" i="22" s="1"/>
  <c r="B1009" i="22"/>
  <c r="J1008" i="22"/>
  <c r="I1008" i="22"/>
  <c r="G1008" i="22"/>
  <c r="F1008" i="22"/>
  <c r="H1007" i="22"/>
  <c r="E1007" i="22"/>
  <c r="D1007" i="22"/>
  <c r="C1007" i="22"/>
  <c r="B1007" i="22" s="1"/>
  <c r="H1006" i="22"/>
  <c r="H1008" i="22" s="1"/>
  <c r="E1006" i="22"/>
  <c r="E1008" i="22" s="1"/>
  <c r="D1006" i="22"/>
  <c r="D1008" i="22" s="1"/>
  <c r="C1006" i="22"/>
  <c r="J1005" i="22"/>
  <c r="I1005" i="22"/>
  <c r="G1005" i="22"/>
  <c r="F1005" i="22"/>
  <c r="H1004" i="22"/>
  <c r="E1004" i="22"/>
  <c r="D1004" i="22"/>
  <c r="C1004" i="22"/>
  <c r="H1003" i="22"/>
  <c r="H1005" i="22" s="1"/>
  <c r="E1003" i="22"/>
  <c r="E1005" i="22" s="1"/>
  <c r="D1003" i="22"/>
  <c r="D1005" i="22" s="1"/>
  <c r="C1003" i="22"/>
  <c r="C1005" i="22" s="1"/>
  <c r="J1002" i="22"/>
  <c r="I1002" i="22"/>
  <c r="G1002" i="22"/>
  <c r="F1002" i="22"/>
  <c r="H1001" i="22"/>
  <c r="E1001" i="22"/>
  <c r="D1001" i="22"/>
  <c r="C1001" i="22"/>
  <c r="H1000" i="22"/>
  <c r="H1002" i="22" s="1"/>
  <c r="E1000" i="22"/>
  <c r="E1002" i="22" s="1"/>
  <c r="D1000" i="22"/>
  <c r="D1002" i="22" s="1"/>
  <c r="C1000" i="22"/>
  <c r="J999" i="22"/>
  <c r="I999" i="22"/>
  <c r="G999" i="22"/>
  <c r="F999" i="22"/>
  <c r="H998" i="22"/>
  <c r="E998" i="22"/>
  <c r="D998" i="22"/>
  <c r="C998" i="22"/>
  <c r="H997" i="22"/>
  <c r="H999" i="22" s="1"/>
  <c r="E997" i="22"/>
  <c r="E999" i="22" s="1"/>
  <c r="D997" i="22"/>
  <c r="D999" i="22" s="1"/>
  <c r="C997" i="22"/>
  <c r="C999" i="22" s="1"/>
  <c r="J996" i="22"/>
  <c r="I996" i="22"/>
  <c r="G996" i="22"/>
  <c r="F996" i="22"/>
  <c r="H995" i="22"/>
  <c r="E995" i="22"/>
  <c r="D995" i="22"/>
  <c r="C995" i="22"/>
  <c r="B995" i="22"/>
  <c r="H994" i="22"/>
  <c r="E994" i="22"/>
  <c r="E996" i="22" s="1"/>
  <c r="D994" i="22"/>
  <c r="C994" i="22"/>
  <c r="B994" i="22" s="1"/>
  <c r="B996" i="22" s="1"/>
  <c r="J993" i="22"/>
  <c r="I993" i="22"/>
  <c r="G993" i="22"/>
  <c r="F993" i="22"/>
  <c r="H992" i="22"/>
  <c r="E992" i="22"/>
  <c r="D992" i="22"/>
  <c r="C992" i="22"/>
  <c r="B992" i="22" s="1"/>
  <c r="H991" i="22"/>
  <c r="H993" i="22" s="1"/>
  <c r="E991" i="22"/>
  <c r="E993" i="22" s="1"/>
  <c r="D991" i="22"/>
  <c r="D993" i="22" s="1"/>
  <c r="C991" i="22"/>
  <c r="C993" i="22" s="1"/>
  <c r="J990" i="22"/>
  <c r="I990" i="22"/>
  <c r="G990" i="22"/>
  <c r="F990" i="22"/>
  <c r="H989" i="22"/>
  <c r="E989" i="22"/>
  <c r="D989" i="22"/>
  <c r="C989" i="22"/>
  <c r="B989" i="22" s="1"/>
  <c r="H988" i="22"/>
  <c r="E988" i="22"/>
  <c r="D988" i="22"/>
  <c r="D990" i="22" s="1"/>
  <c r="C988" i="22"/>
  <c r="J987" i="22"/>
  <c r="I987" i="22"/>
  <c r="G987" i="22"/>
  <c r="F987" i="22"/>
  <c r="H986" i="22"/>
  <c r="E986" i="22"/>
  <c r="D986" i="22"/>
  <c r="C986" i="22"/>
  <c r="H985" i="22"/>
  <c r="H987" i="22" s="1"/>
  <c r="E985" i="22"/>
  <c r="E987" i="22" s="1"/>
  <c r="D985" i="22"/>
  <c r="D987" i="22" s="1"/>
  <c r="C985" i="22"/>
  <c r="C987" i="22" s="1"/>
  <c r="J984" i="22"/>
  <c r="J1050" i="22" s="1"/>
  <c r="I984" i="22"/>
  <c r="G984" i="22"/>
  <c r="G1050" i="22" s="1"/>
  <c r="F984" i="22"/>
  <c r="H983" i="22"/>
  <c r="H1049" i="22" s="1"/>
  <c r="E983" i="22"/>
  <c r="D983" i="22"/>
  <c r="D1049" i="22" s="1"/>
  <c r="C983" i="22"/>
  <c r="B983" i="22"/>
  <c r="H982" i="22"/>
  <c r="E982" i="22"/>
  <c r="E1048" i="22" s="1"/>
  <c r="D982" i="22"/>
  <c r="C982" i="22"/>
  <c r="B982" i="22" s="1"/>
  <c r="J978" i="22"/>
  <c r="I978" i="22"/>
  <c r="G978" i="22"/>
  <c r="F978" i="22"/>
  <c r="J977" i="22"/>
  <c r="I977" i="22"/>
  <c r="G977" i="22"/>
  <c r="F977" i="22"/>
  <c r="J976" i="22"/>
  <c r="I976" i="22"/>
  <c r="G976" i="22"/>
  <c r="F976" i="22"/>
  <c r="H975" i="22"/>
  <c r="E975" i="22"/>
  <c r="D975" i="22"/>
  <c r="C975" i="22"/>
  <c r="B975" i="22" s="1"/>
  <c r="H974" i="22"/>
  <c r="H976" i="22" s="1"/>
  <c r="E974" i="22"/>
  <c r="D974" i="22"/>
  <c r="D976" i="22" s="1"/>
  <c r="C974" i="22"/>
  <c r="J973" i="22"/>
  <c r="I973" i="22"/>
  <c r="G973" i="22"/>
  <c r="F973" i="22"/>
  <c r="H972" i="22"/>
  <c r="E972" i="22"/>
  <c r="D972" i="22"/>
  <c r="C972" i="22"/>
  <c r="H971" i="22"/>
  <c r="H973" i="22" s="1"/>
  <c r="E971" i="22"/>
  <c r="E973" i="22" s="1"/>
  <c r="D971" i="22"/>
  <c r="D973" i="22" s="1"/>
  <c r="C971" i="22"/>
  <c r="C973" i="22" s="1"/>
  <c r="J970" i="22"/>
  <c r="I970" i="22"/>
  <c r="G970" i="22"/>
  <c r="F970" i="22"/>
  <c r="H969" i="22"/>
  <c r="E969" i="22"/>
  <c r="D969" i="22"/>
  <c r="C969" i="22"/>
  <c r="B969" i="22"/>
  <c r="H968" i="22"/>
  <c r="E968" i="22"/>
  <c r="E970" i="22" s="1"/>
  <c r="D968" i="22"/>
  <c r="C968" i="22"/>
  <c r="B968" i="22" s="1"/>
  <c r="B970" i="22" s="1"/>
  <c r="J967" i="22"/>
  <c r="I967" i="22"/>
  <c r="G967" i="22"/>
  <c r="F967" i="22"/>
  <c r="H966" i="22"/>
  <c r="E966" i="22"/>
  <c r="D966" i="22"/>
  <c r="C966" i="22"/>
  <c r="B966" i="22" s="1"/>
  <c r="H965" i="22"/>
  <c r="H967" i="22" s="1"/>
  <c r="E965" i="22"/>
  <c r="E967" i="22" s="1"/>
  <c r="D965" i="22"/>
  <c r="D967" i="22" s="1"/>
  <c r="C965" i="22"/>
  <c r="C967" i="22" s="1"/>
  <c r="J964" i="22"/>
  <c r="I964" i="22"/>
  <c r="I979" i="22" s="1"/>
  <c r="G964" i="22"/>
  <c r="F964" i="22"/>
  <c r="F979" i="22" s="1"/>
  <c r="H963" i="22"/>
  <c r="E963" i="22"/>
  <c r="E978" i="22" s="1"/>
  <c r="D963" i="22"/>
  <c r="C963" i="22"/>
  <c r="C978" i="22" s="1"/>
  <c r="H962" i="22"/>
  <c r="H964" i="22" s="1"/>
  <c r="E962" i="22"/>
  <c r="D962" i="22"/>
  <c r="D964" i="22" s="1"/>
  <c r="C962" i="22"/>
  <c r="J958" i="22"/>
  <c r="I958" i="22"/>
  <c r="G958" i="22"/>
  <c r="F958" i="22"/>
  <c r="J957" i="22"/>
  <c r="I957" i="22"/>
  <c r="G957" i="22"/>
  <c r="F957" i="22"/>
  <c r="J956" i="22"/>
  <c r="I956" i="22"/>
  <c r="G956" i="22"/>
  <c r="F956" i="22"/>
  <c r="H955" i="22"/>
  <c r="E955" i="22"/>
  <c r="D955" i="22"/>
  <c r="C955" i="22"/>
  <c r="H954" i="22"/>
  <c r="H956" i="22" s="1"/>
  <c r="E954" i="22"/>
  <c r="E956" i="22" s="1"/>
  <c r="D954" i="22"/>
  <c r="D956" i="22" s="1"/>
  <c r="C954" i="22"/>
  <c r="C956" i="22" s="1"/>
  <c r="B954" i="22"/>
  <c r="J953" i="22"/>
  <c r="I953" i="22"/>
  <c r="G953" i="22"/>
  <c r="F953" i="22"/>
  <c r="H952" i="22"/>
  <c r="E952" i="22"/>
  <c r="D952" i="22"/>
  <c r="C952" i="22"/>
  <c r="B952" i="22" s="1"/>
  <c r="H951" i="22"/>
  <c r="H953" i="22" s="1"/>
  <c r="E951" i="22"/>
  <c r="E953" i="22" s="1"/>
  <c r="D951" i="22"/>
  <c r="D953" i="22" s="1"/>
  <c r="C951" i="22"/>
  <c r="C953" i="22" s="1"/>
  <c r="J950" i="22"/>
  <c r="I950" i="22"/>
  <c r="G950" i="22"/>
  <c r="F950" i="22"/>
  <c r="H949" i="22"/>
  <c r="E949" i="22"/>
  <c r="D949" i="22"/>
  <c r="C949" i="22"/>
  <c r="B949" i="22" s="1"/>
  <c r="H948" i="22"/>
  <c r="H950" i="22" s="1"/>
  <c r="E948" i="22"/>
  <c r="E950" i="22" s="1"/>
  <c r="D948" i="22"/>
  <c r="D950" i="22" s="1"/>
  <c r="C948" i="22"/>
  <c r="C950" i="22" s="1"/>
  <c r="J947" i="22"/>
  <c r="I947" i="22"/>
  <c r="G947" i="22"/>
  <c r="F947" i="22"/>
  <c r="H946" i="22"/>
  <c r="E946" i="22"/>
  <c r="D946" i="22"/>
  <c r="C946" i="22"/>
  <c r="B946" i="22"/>
  <c r="H945" i="22"/>
  <c r="E945" i="22"/>
  <c r="E947" i="22" s="1"/>
  <c r="D945" i="22"/>
  <c r="C945" i="22"/>
  <c r="C947" i="22" s="1"/>
  <c r="J944" i="22"/>
  <c r="I944" i="22"/>
  <c r="G944" i="22"/>
  <c r="F944" i="22"/>
  <c r="H943" i="22"/>
  <c r="E943" i="22"/>
  <c r="D943" i="22"/>
  <c r="C943" i="22"/>
  <c r="B943" i="22" s="1"/>
  <c r="H942" i="22"/>
  <c r="H944" i="22" s="1"/>
  <c r="E942" i="22"/>
  <c r="E944" i="22" s="1"/>
  <c r="D942" i="22"/>
  <c r="D944" i="22" s="1"/>
  <c r="C942" i="22"/>
  <c r="C944" i="22" s="1"/>
  <c r="J941" i="22"/>
  <c r="I941" i="22"/>
  <c r="G941" i="22"/>
  <c r="F941" i="22"/>
  <c r="H940" i="22"/>
  <c r="E940" i="22"/>
  <c r="D940" i="22"/>
  <c r="C940" i="22"/>
  <c r="B940" i="22" s="1"/>
  <c r="H939" i="22"/>
  <c r="H941" i="22" s="1"/>
  <c r="E939" i="22"/>
  <c r="D939" i="22"/>
  <c r="D941" i="22" s="1"/>
  <c r="C939" i="22"/>
  <c r="J938" i="22"/>
  <c r="I938" i="22"/>
  <c r="G938" i="22"/>
  <c r="F938" i="22"/>
  <c r="H937" i="22"/>
  <c r="E937" i="22"/>
  <c r="D937" i="22"/>
  <c r="C937" i="22"/>
  <c r="H936" i="22"/>
  <c r="H938" i="22" s="1"/>
  <c r="E936" i="22"/>
  <c r="E938" i="22" s="1"/>
  <c r="D936" i="22"/>
  <c r="D938" i="22" s="1"/>
  <c r="C936" i="22"/>
  <c r="C938" i="22" s="1"/>
  <c r="J935" i="22"/>
  <c r="J959" i="22" s="1"/>
  <c r="I935" i="22"/>
  <c r="G935" i="22"/>
  <c r="G959" i="22" s="1"/>
  <c r="F935" i="22"/>
  <c r="H934" i="22"/>
  <c r="H958" i="22" s="1"/>
  <c r="E934" i="22"/>
  <c r="D934" i="22"/>
  <c r="D958" i="22" s="1"/>
  <c r="C934" i="22"/>
  <c r="B934" i="22"/>
  <c r="H933" i="22"/>
  <c r="E933" i="22"/>
  <c r="E957" i="22" s="1"/>
  <c r="D933" i="22"/>
  <c r="C933" i="22"/>
  <c r="C957" i="22" s="1"/>
  <c r="J929" i="22"/>
  <c r="I929" i="22"/>
  <c r="G929" i="22"/>
  <c r="F929" i="22"/>
  <c r="J928" i="22"/>
  <c r="I928" i="22"/>
  <c r="G928" i="22"/>
  <c r="F928" i="22"/>
  <c r="J927" i="22"/>
  <c r="I927" i="22"/>
  <c r="G927" i="22"/>
  <c r="F927" i="22"/>
  <c r="H926" i="22"/>
  <c r="E926" i="22"/>
  <c r="D926" i="22"/>
  <c r="C926" i="22"/>
  <c r="B926" i="22" s="1"/>
  <c r="H925" i="22"/>
  <c r="H927" i="22" s="1"/>
  <c r="E925" i="22"/>
  <c r="E927" i="22" s="1"/>
  <c r="D925" i="22"/>
  <c r="D927" i="22" s="1"/>
  <c r="C925" i="22"/>
  <c r="C927" i="22" s="1"/>
  <c r="J924" i="22"/>
  <c r="I924" i="22"/>
  <c r="G924" i="22"/>
  <c r="F924" i="22"/>
  <c r="H923" i="22"/>
  <c r="E923" i="22"/>
  <c r="D923" i="22"/>
  <c r="C923" i="22"/>
  <c r="H922" i="22"/>
  <c r="H924" i="22" s="1"/>
  <c r="E922" i="22"/>
  <c r="E924" i="22" s="1"/>
  <c r="D922" i="22"/>
  <c r="D924" i="22" s="1"/>
  <c r="C922" i="22"/>
  <c r="J921" i="22"/>
  <c r="I921" i="22"/>
  <c r="G921" i="22"/>
  <c r="F921" i="22"/>
  <c r="H920" i="22"/>
  <c r="E920" i="22"/>
  <c r="D920" i="22"/>
  <c r="C920" i="22"/>
  <c r="H919" i="22"/>
  <c r="H921" i="22" s="1"/>
  <c r="E919" i="22"/>
  <c r="E921" i="22" s="1"/>
  <c r="D919" i="22"/>
  <c r="D921" i="22" s="1"/>
  <c r="C919" i="22"/>
  <c r="C921" i="22" s="1"/>
  <c r="J918" i="22"/>
  <c r="I918" i="22"/>
  <c r="G918" i="22"/>
  <c r="F918" i="22"/>
  <c r="H917" i="22"/>
  <c r="E917" i="22"/>
  <c r="D917" i="22"/>
  <c r="C917" i="22"/>
  <c r="B917" i="22"/>
  <c r="H916" i="22"/>
  <c r="E916" i="22"/>
  <c r="E918" i="22" s="1"/>
  <c r="D916" i="22"/>
  <c r="C916" i="22"/>
  <c r="B916" i="22" s="1"/>
  <c r="B918" i="22" s="1"/>
  <c r="J915" i="22"/>
  <c r="I915" i="22"/>
  <c r="G915" i="22"/>
  <c r="F915" i="22"/>
  <c r="H914" i="22"/>
  <c r="E914" i="22"/>
  <c r="D914" i="22"/>
  <c r="C914" i="22"/>
  <c r="B914" i="22" s="1"/>
  <c r="H913" i="22"/>
  <c r="H915" i="22" s="1"/>
  <c r="E913" i="22"/>
  <c r="E915" i="22" s="1"/>
  <c r="D913" i="22"/>
  <c r="D915" i="22" s="1"/>
  <c r="C913" i="22"/>
  <c r="C915" i="22" s="1"/>
  <c r="J912" i="22"/>
  <c r="I912" i="22"/>
  <c r="G912" i="22"/>
  <c r="F912" i="22"/>
  <c r="H911" i="22"/>
  <c r="E911" i="22"/>
  <c r="D911" i="22"/>
  <c r="C911" i="22"/>
  <c r="B911" i="22" s="1"/>
  <c r="H910" i="22"/>
  <c r="E910" i="22"/>
  <c r="D910" i="22"/>
  <c r="D912" i="22" s="1"/>
  <c r="C910" i="22"/>
  <c r="J909" i="22"/>
  <c r="I909" i="22"/>
  <c r="G909" i="22"/>
  <c r="F909" i="22"/>
  <c r="H908" i="22"/>
  <c r="E908" i="22"/>
  <c r="D908" i="22"/>
  <c r="C908" i="22"/>
  <c r="H907" i="22"/>
  <c r="H909" i="22" s="1"/>
  <c r="E907" i="22"/>
  <c r="E909" i="22" s="1"/>
  <c r="D907" i="22"/>
  <c r="D909" i="22" s="1"/>
  <c r="C907" i="22"/>
  <c r="C909" i="22" s="1"/>
  <c r="J906" i="22"/>
  <c r="I906" i="22"/>
  <c r="G906" i="22"/>
  <c r="F906" i="22"/>
  <c r="H905" i="22"/>
  <c r="E905" i="22"/>
  <c r="D905" i="22"/>
  <c r="C905" i="22"/>
  <c r="B905" i="22"/>
  <c r="H904" i="22"/>
  <c r="E904" i="22"/>
  <c r="E906" i="22" s="1"/>
  <c r="D904" i="22"/>
  <c r="C904" i="22"/>
  <c r="B904" i="22" s="1"/>
  <c r="B906" i="22" s="1"/>
  <c r="J903" i="22"/>
  <c r="I903" i="22"/>
  <c r="G903" i="22"/>
  <c r="F903" i="22"/>
  <c r="H902" i="22"/>
  <c r="E902" i="22"/>
  <c r="D902" i="22"/>
  <c r="C902" i="22"/>
  <c r="B902" i="22" s="1"/>
  <c r="H901" i="22"/>
  <c r="H903" i="22" s="1"/>
  <c r="E901" i="22"/>
  <c r="E903" i="22" s="1"/>
  <c r="D901" i="22"/>
  <c r="D903" i="22" s="1"/>
  <c r="C901" i="22"/>
  <c r="C903" i="22" s="1"/>
  <c r="J900" i="22"/>
  <c r="I900" i="22"/>
  <c r="G900" i="22"/>
  <c r="F900" i="22"/>
  <c r="H899" i="22"/>
  <c r="E899" i="22"/>
  <c r="D899" i="22"/>
  <c r="C899" i="22"/>
  <c r="B899" i="22" s="1"/>
  <c r="H898" i="22"/>
  <c r="E898" i="22"/>
  <c r="D898" i="22"/>
  <c r="C898" i="22"/>
  <c r="J897" i="22"/>
  <c r="I897" i="22"/>
  <c r="G897" i="22"/>
  <c r="F897" i="22"/>
  <c r="H896" i="22"/>
  <c r="E896" i="22"/>
  <c r="D896" i="22"/>
  <c r="C896" i="22"/>
  <c r="H895" i="22"/>
  <c r="H897" i="22" s="1"/>
  <c r="E895" i="22"/>
  <c r="E897" i="22" s="1"/>
  <c r="D895" i="22"/>
  <c r="D897" i="22" s="1"/>
  <c r="C895" i="22"/>
  <c r="C897" i="22" s="1"/>
  <c r="J894" i="22"/>
  <c r="I894" i="22"/>
  <c r="G894" i="22"/>
  <c r="F894" i="22"/>
  <c r="H893" i="22"/>
  <c r="E893" i="22"/>
  <c r="D893" i="22"/>
  <c r="C893" i="22"/>
  <c r="B893" i="22"/>
  <c r="H892" i="22"/>
  <c r="E892" i="22"/>
  <c r="E894" i="22" s="1"/>
  <c r="D892" i="22"/>
  <c r="C892" i="22"/>
  <c r="B892" i="22" s="1"/>
  <c r="B894" i="22" s="1"/>
  <c r="J891" i="22"/>
  <c r="I891" i="22"/>
  <c r="G891" i="22"/>
  <c r="F891" i="22"/>
  <c r="H890" i="22"/>
  <c r="E890" i="22"/>
  <c r="D890" i="22"/>
  <c r="C890" i="22"/>
  <c r="B890" i="22" s="1"/>
  <c r="H889" i="22"/>
  <c r="H891" i="22" s="1"/>
  <c r="E889" i="22"/>
  <c r="E891" i="22" s="1"/>
  <c r="D889" i="22"/>
  <c r="D891" i="22" s="1"/>
  <c r="C889" i="22"/>
  <c r="C891" i="22" s="1"/>
  <c r="J888" i="22"/>
  <c r="I888" i="22"/>
  <c r="G888" i="22"/>
  <c r="F888" i="22"/>
  <c r="H887" i="22"/>
  <c r="E887" i="22"/>
  <c r="D887" i="22"/>
  <c r="C887" i="22"/>
  <c r="B887" i="22" s="1"/>
  <c r="H886" i="22"/>
  <c r="E886" i="22"/>
  <c r="D886" i="22"/>
  <c r="C886" i="22"/>
  <c r="J885" i="22"/>
  <c r="I885" i="22"/>
  <c r="G885" i="22"/>
  <c r="F885" i="22"/>
  <c r="H884" i="22"/>
  <c r="E884" i="22"/>
  <c r="D884" i="22"/>
  <c r="C884" i="22"/>
  <c r="H883" i="22"/>
  <c r="H885" i="22" s="1"/>
  <c r="E883" i="22"/>
  <c r="E885" i="22" s="1"/>
  <c r="D883" i="22"/>
  <c r="D885" i="22" s="1"/>
  <c r="C883" i="22"/>
  <c r="C885" i="22" s="1"/>
  <c r="J882" i="22"/>
  <c r="I882" i="22"/>
  <c r="G882" i="22"/>
  <c r="F882" i="22"/>
  <c r="H881" i="22"/>
  <c r="E881" i="22"/>
  <c r="D881" i="22"/>
  <c r="C881" i="22"/>
  <c r="B881" i="22"/>
  <c r="H880" i="22"/>
  <c r="E880" i="22"/>
  <c r="E882" i="22" s="1"/>
  <c r="D880" i="22"/>
  <c r="C880" i="22"/>
  <c r="B880" i="22" s="1"/>
  <c r="B882" i="22" s="1"/>
  <c r="J879" i="22"/>
  <c r="I879" i="22"/>
  <c r="G879" i="22"/>
  <c r="F879" i="22"/>
  <c r="H878" i="22"/>
  <c r="E878" i="22"/>
  <c r="D878" i="22"/>
  <c r="C878" i="22"/>
  <c r="B878" i="22" s="1"/>
  <c r="H877" i="22"/>
  <c r="H879" i="22" s="1"/>
  <c r="E877" i="22"/>
  <c r="E879" i="22" s="1"/>
  <c r="D877" i="22"/>
  <c r="D879" i="22" s="1"/>
  <c r="C877" i="22"/>
  <c r="C879" i="22" s="1"/>
  <c r="J876" i="22"/>
  <c r="I876" i="22"/>
  <c r="G876" i="22"/>
  <c r="F876" i="22"/>
  <c r="H875" i="22"/>
  <c r="E875" i="22"/>
  <c r="D875" i="22"/>
  <c r="C875" i="22"/>
  <c r="B875" i="22" s="1"/>
  <c r="H874" i="22"/>
  <c r="E874" i="22"/>
  <c r="D874" i="22"/>
  <c r="C874" i="22"/>
  <c r="J873" i="22"/>
  <c r="I873" i="22"/>
  <c r="G873" i="22"/>
  <c r="F873" i="22"/>
  <c r="H872" i="22"/>
  <c r="E872" i="22"/>
  <c r="D872" i="22"/>
  <c r="C872" i="22"/>
  <c r="H871" i="22"/>
  <c r="H873" i="22" s="1"/>
  <c r="E871" i="22"/>
  <c r="E873" i="22" s="1"/>
  <c r="D871" i="22"/>
  <c r="D873" i="22" s="1"/>
  <c r="C871" i="22"/>
  <c r="C873" i="22" s="1"/>
  <c r="J870" i="22"/>
  <c r="I870" i="22"/>
  <c r="G870" i="22"/>
  <c r="F870" i="22"/>
  <c r="H869" i="22"/>
  <c r="E869" i="22"/>
  <c r="D869" i="22"/>
  <c r="C869" i="22"/>
  <c r="B869" i="22"/>
  <c r="H868" i="22"/>
  <c r="E868" i="22"/>
  <c r="E870" i="22" s="1"/>
  <c r="D868" i="22"/>
  <c r="C868" i="22"/>
  <c r="C870" i="22" s="1"/>
  <c r="J867" i="22"/>
  <c r="I867" i="22"/>
  <c r="G867" i="22"/>
  <c r="F867" i="22"/>
  <c r="H866" i="22"/>
  <c r="E866" i="22"/>
  <c r="D866" i="22"/>
  <c r="C866" i="22"/>
  <c r="B866" i="22" s="1"/>
  <c r="H865" i="22"/>
  <c r="H867" i="22" s="1"/>
  <c r="E865" i="22"/>
  <c r="E867" i="22" s="1"/>
  <c r="D865" i="22"/>
  <c r="D867" i="22" s="1"/>
  <c r="C865" i="22"/>
  <c r="C867" i="22" s="1"/>
  <c r="J864" i="22"/>
  <c r="I864" i="22"/>
  <c r="G864" i="22"/>
  <c r="F864" i="22"/>
  <c r="H863" i="22"/>
  <c r="E863" i="22"/>
  <c r="D863" i="22"/>
  <c r="C863" i="22"/>
  <c r="B863" i="22" s="1"/>
  <c r="H862" i="22"/>
  <c r="E862" i="22"/>
  <c r="D862" i="22"/>
  <c r="C862" i="22"/>
  <c r="J861" i="22"/>
  <c r="I861" i="22"/>
  <c r="G861" i="22"/>
  <c r="F861" i="22"/>
  <c r="H860" i="22"/>
  <c r="E860" i="22"/>
  <c r="D860" i="22"/>
  <c r="C860" i="22"/>
  <c r="H859" i="22"/>
  <c r="H861" i="22" s="1"/>
  <c r="E859" i="22"/>
  <c r="E861" i="22" s="1"/>
  <c r="D859" i="22"/>
  <c r="D861" i="22" s="1"/>
  <c r="C859" i="22"/>
  <c r="C861" i="22" s="1"/>
  <c r="J858" i="22"/>
  <c r="I858" i="22"/>
  <c r="G858" i="22"/>
  <c r="F858" i="22"/>
  <c r="H857" i="22"/>
  <c r="E857" i="22"/>
  <c r="D857" i="22"/>
  <c r="C857" i="22"/>
  <c r="B857" i="22"/>
  <c r="H856" i="22"/>
  <c r="E856" i="22"/>
  <c r="E858" i="22" s="1"/>
  <c r="D856" i="22"/>
  <c r="C856" i="22"/>
  <c r="C858" i="22" s="1"/>
  <c r="J855" i="22"/>
  <c r="I855" i="22"/>
  <c r="G855" i="22"/>
  <c r="F855" i="22"/>
  <c r="H854" i="22"/>
  <c r="E854" i="22"/>
  <c r="D854" i="22"/>
  <c r="C854" i="22"/>
  <c r="B854" i="22" s="1"/>
  <c r="H853" i="22"/>
  <c r="H855" i="22" s="1"/>
  <c r="E853" i="22"/>
  <c r="E855" i="22" s="1"/>
  <c r="D853" i="22"/>
  <c r="D855" i="22" s="1"/>
  <c r="C853" i="22"/>
  <c r="C855" i="22" s="1"/>
  <c r="J852" i="22"/>
  <c r="I852" i="22"/>
  <c r="G852" i="22"/>
  <c r="F852" i="22"/>
  <c r="H851" i="22"/>
  <c r="E851" i="22"/>
  <c r="D851" i="22"/>
  <c r="C851" i="22"/>
  <c r="B851" i="22" s="1"/>
  <c r="H850" i="22"/>
  <c r="E850" i="22"/>
  <c r="D850" i="22"/>
  <c r="C850" i="22"/>
  <c r="J849" i="22"/>
  <c r="I849" i="22"/>
  <c r="G849" i="22"/>
  <c r="F849" i="22"/>
  <c r="H848" i="22"/>
  <c r="E848" i="22"/>
  <c r="D848" i="22"/>
  <c r="C848" i="22"/>
  <c r="H847" i="22"/>
  <c r="H849" i="22" s="1"/>
  <c r="E847" i="22"/>
  <c r="E849" i="22" s="1"/>
  <c r="D847" i="22"/>
  <c r="D849" i="22" s="1"/>
  <c r="C847" i="22"/>
  <c r="C849" i="22" s="1"/>
  <c r="J846" i="22"/>
  <c r="I846" i="22"/>
  <c r="G846" i="22"/>
  <c r="F846" i="22"/>
  <c r="H845" i="22"/>
  <c r="E845" i="22"/>
  <c r="D845" i="22"/>
  <c r="C845" i="22"/>
  <c r="B845" i="22"/>
  <c r="H844" i="22"/>
  <c r="E844" i="22"/>
  <c r="E846" i="22" s="1"/>
  <c r="D844" i="22"/>
  <c r="C844" i="22"/>
  <c r="C846" i="22" s="1"/>
  <c r="J843" i="22"/>
  <c r="I843" i="22"/>
  <c r="G843" i="22"/>
  <c r="F843" i="22"/>
  <c r="H842" i="22"/>
  <c r="E842" i="22"/>
  <c r="D842" i="22"/>
  <c r="C842" i="22"/>
  <c r="B842" i="22" s="1"/>
  <c r="H841" i="22"/>
  <c r="H843" i="22" s="1"/>
  <c r="E841" i="22"/>
  <c r="E843" i="22" s="1"/>
  <c r="D841" i="22"/>
  <c r="D843" i="22" s="1"/>
  <c r="C841" i="22"/>
  <c r="C843" i="22" s="1"/>
  <c r="J840" i="22"/>
  <c r="I840" i="22"/>
  <c r="G840" i="22"/>
  <c r="F840" i="22"/>
  <c r="H839" i="22"/>
  <c r="E839" i="22"/>
  <c r="D839" i="22"/>
  <c r="C839" i="22"/>
  <c r="B839" i="22" s="1"/>
  <c r="H838" i="22"/>
  <c r="E838" i="22"/>
  <c r="D838" i="22"/>
  <c r="C838" i="22"/>
  <c r="J837" i="22"/>
  <c r="I837" i="22"/>
  <c r="G837" i="22"/>
  <c r="F837" i="22"/>
  <c r="H836" i="22"/>
  <c r="E836" i="22"/>
  <c r="D836" i="22"/>
  <c r="C836" i="22"/>
  <c r="H835" i="22"/>
  <c r="H837" i="22" s="1"/>
  <c r="E835" i="22"/>
  <c r="E837" i="22" s="1"/>
  <c r="D835" i="22"/>
  <c r="D837" i="22" s="1"/>
  <c r="C835" i="22"/>
  <c r="C837" i="22" s="1"/>
  <c r="J834" i="22"/>
  <c r="I834" i="22"/>
  <c r="G834" i="22"/>
  <c r="G930" i="22" s="1"/>
  <c r="F834" i="22"/>
  <c r="H833" i="22"/>
  <c r="H929" i="22" s="1"/>
  <c r="E833" i="22"/>
  <c r="D833" i="22"/>
  <c r="D929" i="22" s="1"/>
  <c r="C833" i="22"/>
  <c r="B833" i="22"/>
  <c r="H832" i="22"/>
  <c r="E832" i="22"/>
  <c r="E928" i="22" s="1"/>
  <c r="D832" i="22"/>
  <c r="C832" i="22"/>
  <c r="C928" i="22" s="1"/>
  <c r="J828" i="22"/>
  <c r="I828" i="22"/>
  <c r="G828" i="22"/>
  <c r="F828" i="22"/>
  <c r="J827" i="22"/>
  <c r="I827" i="22"/>
  <c r="G827" i="22"/>
  <c r="F827" i="22"/>
  <c r="J826" i="22"/>
  <c r="I826" i="22"/>
  <c r="G826" i="22"/>
  <c r="F826" i="22"/>
  <c r="H825" i="22"/>
  <c r="E825" i="22"/>
  <c r="D825" i="22"/>
  <c r="C825" i="22"/>
  <c r="B825" i="22" s="1"/>
  <c r="H824" i="22"/>
  <c r="H826" i="22" s="1"/>
  <c r="E824" i="22"/>
  <c r="D824" i="22"/>
  <c r="D826" i="22" s="1"/>
  <c r="C824" i="22"/>
  <c r="J823" i="22"/>
  <c r="I823" i="22"/>
  <c r="G823" i="22"/>
  <c r="F823" i="22"/>
  <c r="H822" i="22"/>
  <c r="E822" i="22"/>
  <c r="D822" i="22"/>
  <c r="C822" i="22"/>
  <c r="H821" i="22"/>
  <c r="H823" i="22" s="1"/>
  <c r="E821" i="22"/>
  <c r="E823" i="22" s="1"/>
  <c r="D821" i="22"/>
  <c r="D823" i="22" s="1"/>
  <c r="C821" i="22"/>
  <c r="C823" i="22" s="1"/>
  <c r="J820" i="22"/>
  <c r="I820" i="22"/>
  <c r="G820" i="22"/>
  <c r="F820" i="22"/>
  <c r="H819" i="22"/>
  <c r="E819" i="22"/>
  <c r="D819" i="22"/>
  <c r="C819" i="22"/>
  <c r="H818" i="22"/>
  <c r="H820" i="22" s="1"/>
  <c r="E818" i="22"/>
  <c r="D818" i="22"/>
  <c r="D820" i="22" s="1"/>
  <c r="C818" i="22"/>
  <c r="J817" i="22"/>
  <c r="I817" i="22"/>
  <c r="G817" i="22"/>
  <c r="F817" i="22"/>
  <c r="H816" i="22"/>
  <c r="E816" i="22"/>
  <c r="D816" i="22"/>
  <c r="C816" i="22"/>
  <c r="H815" i="22"/>
  <c r="H817" i="22" s="1"/>
  <c r="E815" i="22"/>
  <c r="E817" i="22" s="1"/>
  <c r="D815" i="22"/>
  <c r="D817" i="22" s="1"/>
  <c r="C815" i="22"/>
  <c r="C817" i="22" s="1"/>
  <c r="B815" i="22"/>
  <c r="J814" i="22"/>
  <c r="I814" i="22"/>
  <c r="I829" i="22" s="1"/>
  <c r="G814" i="22"/>
  <c r="F814" i="22"/>
  <c r="F829" i="22" s="1"/>
  <c r="H813" i="22"/>
  <c r="E813" i="22"/>
  <c r="E828" i="22" s="1"/>
  <c r="D813" i="22"/>
  <c r="C813" i="22"/>
  <c r="C828" i="22" s="1"/>
  <c r="H812" i="22"/>
  <c r="E812" i="22"/>
  <c r="D812" i="22"/>
  <c r="C812" i="22"/>
  <c r="J808" i="22"/>
  <c r="I808" i="22"/>
  <c r="G808" i="22"/>
  <c r="F808" i="22"/>
  <c r="J807" i="22"/>
  <c r="I807" i="22"/>
  <c r="G807" i="22"/>
  <c r="F807" i="22"/>
  <c r="J806" i="22"/>
  <c r="I806" i="22"/>
  <c r="G806" i="22"/>
  <c r="F806" i="22"/>
  <c r="H805" i="22"/>
  <c r="E805" i="22"/>
  <c r="D805" i="22"/>
  <c r="C805" i="22"/>
  <c r="B805" i="22" s="1"/>
  <c r="H804" i="22"/>
  <c r="E804" i="22"/>
  <c r="D804" i="22"/>
  <c r="C804" i="22"/>
  <c r="J803" i="22"/>
  <c r="I803" i="22"/>
  <c r="G803" i="22"/>
  <c r="F803" i="22"/>
  <c r="H802" i="22"/>
  <c r="E802" i="22"/>
  <c r="D802" i="22"/>
  <c r="C802" i="22"/>
  <c r="H801" i="22"/>
  <c r="H803" i="22" s="1"/>
  <c r="E801" i="22"/>
  <c r="E803" i="22" s="1"/>
  <c r="D801" i="22"/>
  <c r="D803" i="22" s="1"/>
  <c r="C801" i="22"/>
  <c r="C803" i="22" s="1"/>
  <c r="J800" i="22"/>
  <c r="I800" i="22"/>
  <c r="G800" i="22"/>
  <c r="F800" i="22"/>
  <c r="H799" i="22"/>
  <c r="E799" i="22"/>
  <c r="D799" i="22"/>
  <c r="C799" i="22"/>
  <c r="B799" i="22"/>
  <c r="H798" i="22"/>
  <c r="E798" i="22"/>
  <c r="E800" i="22" s="1"/>
  <c r="D798" i="22"/>
  <c r="C798" i="22"/>
  <c r="C800" i="22" s="1"/>
  <c r="J797" i="22"/>
  <c r="I797" i="22"/>
  <c r="G797" i="22"/>
  <c r="F797" i="22"/>
  <c r="H796" i="22"/>
  <c r="E796" i="22"/>
  <c r="D796" i="22"/>
  <c r="C796" i="22"/>
  <c r="B796" i="22" s="1"/>
  <c r="H795" i="22"/>
  <c r="H797" i="22" s="1"/>
  <c r="E795" i="22"/>
  <c r="E797" i="22" s="1"/>
  <c r="D795" i="22"/>
  <c r="D797" i="22" s="1"/>
  <c r="C795" i="22"/>
  <c r="C797" i="22" s="1"/>
  <c r="J794" i="22"/>
  <c r="I794" i="22"/>
  <c r="G794" i="22"/>
  <c r="F794" i="22"/>
  <c r="H793" i="22"/>
  <c r="E793" i="22"/>
  <c r="D793" i="22"/>
  <c r="C793" i="22"/>
  <c r="B793" i="22" s="1"/>
  <c r="H792" i="22"/>
  <c r="E792" i="22"/>
  <c r="D792" i="22"/>
  <c r="C792" i="22"/>
  <c r="J791" i="22"/>
  <c r="I791" i="22"/>
  <c r="G791" i="22"/>
  <c r="F791" i="22"/>
  <c r="H790" i="22"/>
  <c r="E790" i="22"/>
  <c r="D790" i="22"/>
  <c r="C790" i="22"/>
  <c r="H789" i="22"/>
  <c r="H791" i="22" s="1"/>
  <c r="E789" i="22"/>
  <c r="E791" i="22" s="1"/>
  <c r="D789" i="22"/>
  <c r="D791" i="22" s="1"/>
  <c r="C789" i="22"/>
  <c r="C791" i="22" s="1"/>
  <c r="J788" i="22"/>
  <c r="I788" i="22"/>
  <c r="G788" i="22"/>
  <c r="F788" i="22"/>
  <c r="H787" i="22"/>
  <c r="E787" i="22"/>
  <c r="D787" i="22"/>
  <c r="C787" i="22"/>
  <c r="B787" i="22"/>
  <c r="H786" i="22"/>
  <c r="E786" i="22"/>
  <c r="E788" i="22" s="1"/>
  <c r="D786" i="22"/>
  <c r="C786" i="22"/>
  <c r="C788" i="22" s="1"/>
  <c r="J785" i="22"/>
  <c r="I785" i="22"/>
  <c r="I809" i="22" s="1"/>
  <c r="G785" i="22"/>
  <c r="F785" i="22"/>
  <c r="F809" i="22" s="1"/>
  <c r="H784" i="22"/>
  <c r="E784" i="22"/>
  <c r="E808" i="22" s="1"/>
  <c r="D784" i="22"/>
  <c r="C784" i="22"/>
  <c r="C808" i="22" s="1"/>
  <c r="H783" i="22"/>
  <c r="E783" i="22"/>
  <c r="E807" i="22" s="1"/>
  <c r="D783" i="22"/>
  <c r="C783" i="22"/>
  <c r="C807" i="22" s="1"/>
  <c r="J779" i="22"/>
  <c r="I779" i="22"/>
  <c r="G779" i="22"/>
  <c r="F779" i="22"/>
  <c r="J778" i="22"/>
  <c r="I778" i="22"/>
  <c r="G778" i="22"/>
  <c r="F778" i="22"/>
  <c r="J777" i="22"/>
  <c r="I777" i="22"/>
  <c r="G777" i="22"/>
  <c r="F777" i="22"/>
  <c r="H776" i="22"/>
  <c r="E776" i="22"/>
  <c r="D776" i="22"/>
  <c r="C776" i="22"/>
  <c r="H775" i="22"/>
  <c r="H777" i="22" s="1"/>
  <c r="E775" i="22"/>
  <c r="E777" i="22" s="1"/>
  <c r="D775" i="22"/>
  <c r="D777" i="22" s="1"/>
  <c r="C775" i="22"/>
  <c r="C777" i="22" s="1"/>
  <c r="J774" i="22"/>
  <c r="I774" i="22"/>
  <c r="G774" i="22"/>
  <c r="F774" i="22"/>
  <c r="H773" i="22"/>
  <c r="E773" i="22"/>
  <c r="D773" i="22"/>
  <c r="C773" i="22"/>
  <c r="H772" i="22"/>
  <c r="H774" i="22" s="1"/>
  <c r="E772" i="22"/>
  <c r="D772" i="22"/>
  <c r="D774" i="22" s="1"/>
  <c r="C772" i="22"/>
  <c r="J771" i="22"/>
  <c r="I771" i="22"/>
  <c r="G771" i="22"/>
  <c r="F771" i="22"/>
  <c r="H770" i="22"/>
  <c r="E770" i="22"/>
  <c r="D770" i="22"/>
  <c r="C770" i="22"/>
  <c r="H769" i="22"/>
  <c r="H771" i="22" s="1"/>
  <c r="E769" i="22"/>
  <c r="E771" i="22" s="1"/>
  <c r="D769" i="22"/>
  <c r="D771" i="22" s="1"/>
  <c r="C769" i="22"/>
  <c r="C771" i="22" s="1"/>
  <c r="B769" i="22"/>
  <c r="J768" i="22"/>
  <c r="I768" i="22"/>
  <c r="G768" i="22"/>
  <c r="F768" i="22"/>
  <c r="H767" i="22"/>
  <c r="E767" i="22"/>
  <c r="D767" i="22"/>
  <c r="C767" i="22"/>
  <c r="B767" i="22" s="1"/>
  <c r="H766" i="22"/>
  <c r="H768" i="22" s="1"/>
  <c r="E766" i="22"/>
  <c r="D766" i="22"/>
  <c r="D768" i="22" s="1"/>
  <c r="C766" i="22"/>
  <c r="J765" i="22"/>
  <c r="I765" i="22"/>
  <c r="G765" i="22"/>
  <c r="F765" i="22"/>
  <c r="H764" i="22"/>
  <c r="E764" i="22"/>
  <c r="D764" i="22"/>
  <c r="C764" i="22"/>
  <c r="H763" i="22"/>
  <c r="H765" i="22" s="1"/>
  <c r="E763" i="22"/>
  <c r="E765" i="22" s="1"/>
  <c r="D763" i="22"/>
  <c r="D765" i="22" s="1"/>
  <c r="C763" i="22"/>
  <c r="C765" i="22" s="1"/>
  <c r="J762" i="22"/>
  <c r="I762" i="22"/>
  <c r="G762" i="22"/>
  <c r="F762" i="22"/>
  <c r="H761" i="22"/>
  <c r="E761" i="22"/>
  <c r="D761" i="22"/>
  <c r="C761" i="22"/>
  <c r="H760" i="22"/>
  <c r="H762" i="22" s="1"/>
  <c r="E760" i="22"/>
  <c r="D760" i="22"/>
  <c r="D762" i="22" s="1"/>
  <c r="C760" i="22"/>
  <c r="J759" i="22"/>
  <c r="J780" i="22" s="1"/>
  <c r="I759" i="22"/>
  <c r="G759" i="22"/>
  <c r="G780" i="22" s="1"/>
  <c r="F759" i="22"/>
  <c r="H758" i="22"/>
  <c r="H779" i="22" s="1"/>
  <c r="E758" i="22"/>
  <c r="D758" i="22"/>
  <c r="D779" i="22" s="1"/>
  <c r="C758" i="22"/>
  <c r="H757" i="22"/>
  <c r="H759" i="22" s="1"/>
  <c r="H780" i="22" s="1"/>
  <c r="E757" i="22"/>
  <c r="D757" i="22"/>
  <c r="D759" i="22" s="1"/>
  <c r="D780" i="22" s="1"/>
  <c r="C757" i="22"/>
  <c r="B757" i="22"/>
  <c r="J753" i="22"/>
  <c r="I753" i="22"/>
  <c r="G753" i="22"/>
  <c r="F753" i="22"/>
  <c r="J752" i="22"/>
  <c r="I752" i="22"/>
  <c r="G752" i="22"/>
  <c r="F752" i="22"/>
  <c r="J751" i="22"/>
  <c r="I751" i="22"/>
  <c r="G751" i="22"/>
  <c r="F751" i="22"/>
  <c r="H750" i="22"/>
  <c r="E750" i="22"/>
  <c r="D750" i="22"/>
  <c r="C750" i="22"/>
  <c r="B750" i="22" s="1"/>
  <c r="H749" i="22"/>
  <c r="H751" i="22" s="1"/>
  <c r="E749" i="22"/>
  <c r="D749" i="22"/>
  <c r="D751" i="22" s="1"/>
  <c r="C749" i="22"/>
  <c r="J748" i="22"/>
  <c r="I748" i="22"/>
  <c r="G748" i="22"/>
  <c r="F748" i="22"/>
  <c r="H747" i="22"/>
  <c r="E747" i="22"/>
  <c r="D747" i="22"/>
  <c r="C747" i="22"/>
  <c r="H746" i="22"/>
  <c r="H748" i="22" s="1"/>
  <c r="E746" i="22"/>
  <c r="E748" i="22" s="1"/>
  <c r="D746" i="22"/>
  <c r="D748" i="22" s="1"/>
  <c r="C746" i="22"/>
  <c r="C748" i="22" s="1"/>
  <c r="J745" i="22"/>
  <c r="I745" i="22"/>
  <c r="G745" i="22"/>
  <c r="F745" i="22"/>
  <c r="H744" i="22"/>
  <c r="E744" i="22"/>
  <c r="D744" i="22"/>
  <c r="C744" i="22"/>
  <c r="H743" i="22"/>
  <c r="H745" i="22" s="1"/>
  <c r="E743" i="22"/>
  <c r="D743" i="22"/>
  <c r="D745" i="22" s="1"/>
  <c r="C743" i="22"/>
  <c r="J742" i="22"/>
  <c r="I742" i="22"/>
  <c r="G742" i="22"/>
  <c r="F742" i="22"/>
  <c r="H741" i="22"/>
  <c r="E741" i="22"/>
  <c r="D741" i="22"/>
  <c r="C741" i="22"/>
  <c r="H740" i="22"/>
  <c r="H742" i="22" s="1"/>
  <c r="E740" i="22"/>
  <c r="E742" i="22" s="1"/>
  <c r="D740" i="22"/>
  <c r="D742" i="22" s="1"/>
  <c r="C740" i="22"/>
  <c r="C742" i="22" s="1"/>
  <c r="B740" i="22"/>
  <c r="J739" i="22"/>
  <c r="I739" i="22"/>
  <c r="G739" i="22"/>
  <c r="F739" i="22"/>
  <c r="H738" i="22"/>
  <c r="E738" i="22"/>
  <c r="D738" i="22"/>
  <c r="C738" i="22"/>
  <c r="B738" i="22" s="1"/>
  <c r="H737" i="22"/>
  <c r="H739" i="22" s="1"/>
  <c r="E737" i="22"/>
  <c r="D737" i="22"/>
  <c r="D739" i="22" s="1"/>
  <c r="C737" i="22"/>
  <c r="J736" i="22"/>
  <c r="I736" i="22"/>
  <c r="G736" i="22"/>
  <c r="F736" i="22"/>
  <c r="H735" i="22"/>
  <c r="E735" i="22"/>
  <c r="D735" i="22"/>
  <c r="C735" i="22"/>
  <c r="H734" i="22"/>
  <c r="H736" i="22" s="1"/>
  <c r="E734" i="22"/>
  <c r="E736" i="22" s="1"/>
  <c r="D734" i="22"/>
  <c r="D736" i="22" s="1"/>
  <c r="C734" i="22"/>
  <c r="C736" i="22" s="1"/>
  <c r="J733" i="22"/>
  <c r="I733" i="22"/>
  <c r="G733" i="22"/>
  <c r="F733" i="22"/>
  <c r="H732" i="22"/>
  <c r="E732" i="22"/>
  <c r="D732" i="22"/>
  <c r="C732" i="22"/>
  <c r="H731" i="22"/>
  <c r="H733" i="22" s="1"/>
  <c r="H754" i="22" s="1"/>
  <c r="E731" i="22"/>
  <c r="D731" i="22"/>
  <c r="D733" i="22" s="1"/>
  <c r="D754" i="22" s="1"/>
  <c r="C731" i="22"/>
  <c r="J727" i="22"/>
  <c r="I727" i="22"/>
  <c r="G727" i="22"/>
  <c r="F727" i="22"/>
  <c r="J726" i="22"/>
  <c r="I726" i="22"/>
  <c r="G726" i="22"/>
  <c r="F726" i="22"/>
  <c r="J725" i="22"/>
  <c r="I725" i="22"/>
  <c r="G725" i="22"/>
  <c r="F725" i="22"/>
  <c r="H724" i="22"/>
  <c r="E724" i="22"/>
  <c r="D724" i="22"/>
  <c r="C724" i="22"/>
  <c r="B724" i="22"/>
  <c r="H723" i="22"/>
  <c r="E723" i="22"/>
  <c r="E725" i="22" s="1"/>
  <c r="D723" i="22"/>
  <c r="C723" i="22"/>
  <c r="C725" i="22" s="1"/>
  <c r="J722" i="22"/>
  <c r="I722" i="22"/>
  <c r="G722" i="22"/>
  <c r="F722" i="22"/>
  <c r="H721" i="22"/>
  <c r="E721" i="22"/>
  <c r="D721" i="22"/>
  <c r="C721" i="22"/>
  <c r="B721" i="22" s="1"/>
  <c r="H720" i="22"/>
  <c r="E720" i="22"/>
  <c r="D720" i="22"/>
  <c r="C720" i="22"/>
  <c r="J719" i="22"/>
  <c r="I719" i="22"/>
  <c r="G719" i="22"/>
  <c r="F719" i="22"/>
  <c r="H718" i="22"/>
  <c r="E718" i="22"/>
  <c r="D718" i="22"/>
  <c r="C718" i="22"/>
  <c r="H717" i="22"/>
  <c r="H719" i="22" s="1"/>
  <c r="E717" i="22"/>
  <c r="E719" i="22" s="1"/>
  <c r="D717" i="22"/>
  <c r="D719" i="22" s="1"/>
  <c r="C717" i="22"/>
  <c r="C719" i="22" s="1"/>
  <c r="B717" i="22"/>
  <c r="J716" i="22"/>
  <c r="I716" i="22"/>
  <c r="G716" i="22"/>
  <c r="F716" i="22"/>
  <c r="H715" i="22"/>
  <c r="E715" i="22"/>
  <c r="D715" i="22"/>
  <c r="C715" i="22"/>
  <c r="B715" i="22" s="1"/>
  <c r="H714" i="22"/>
  <c r="H716" i="22" s="1"/>
  <c r="E714" i="22"/>
  <c r="E716" i="22" s="1"/>
  <c r="D714" i="22"/>
  <c r="D716" i="22" s="1"/>
  <c r="C714" i="22"/>
  <c r="C716" i="22" s="1"/>
  <c r="J713" i="22"/>
  <c r="I713" i="22"/>
  <c r="G713" i="22"/>
  <c r="F713" i="22"/>
  <c r="H712" i="22"/>
  <c r="E712" i="22"/>
  <c r="D712" i="22"/>
  <c r="C712" i="22"/>
  <c r="B712" i="22" s="1"/>
  <c r="H711" i="22"/>
  <c r="E711" i="22"/>
  <c r="D711" i="22"/>
  <c r="C711" i="22"/>
  <c r="J710" i="22"/>
  <c r="I710" i="22"/>
  <c r="G710" i="22"/>
  <c r="F710" i="22"/>
  <c r="H709" i="22"/>
  <c r="E709" i="22"/>
  <c r="D709" i="22"/>
  <c r="C709" i="22"/>
  <c r="H708" i="22"/>
  <c r="H710" i="22" s="1"/>
  <c r="E708" i="22"/>
  <c r="E710" i="22" s="1"/>
  <c r="D708" i="22"/>
  <c r="D710" i="22" s="1"/>
  <c r="C708" i="22"/>
  <c r="C710" i="22" s="1"/>
  <c r="J707" i="22"/>
  <c r="I707" i="22"/>
  <c r="G707" i="22"/>
  <c r="F707" i="22"/>
  <c r="H706" i="22"/>
  <c r="E706" i="22"/>
  <c r="D706" i="22"/>
  <c r="C706" i="22"/>
  <c r="B706" i="22"/>
  <c r="H705" i="22"/>
  <c r="E705" i="22"/>
  <c r="E707" i="22" s="1"/>
  <c r="D705" i="22"/>
  <c r="C705" i="22"/>
  <c r="B705" i="22" s="1"/>
  <c r="B707" i="22" s="1"/>
  <c r="J704" i="22"/>
  <c r="I704" i="22"/>
  <c r="G704" i="22"/>
  <c r="F704" i="22"/>
  <c r="H703" i="22"/>
  <c r="E703" i="22"/>
  <c r="D703" i="22"/>
  <c r="C703" i="22"/>
  <c r="B703" i="22" s="1"/>
  <c r="H702" i="22"/>
  <c r="H704" i="22" s="1"/>
  <c r="E702" i="22"/>
  <c r="E704" i="22" s="1"/>
  <c r="D702" i="22"/>
  <c r="D704" i="22" s="1"/>
  <c r="C702" i="22"/>
  <c r="C704" i="22" s="1"/>
  <c r="J701" i="22"/>
  <c r="I701" i="22"/>
  <c r="G701" i="22"/>
  <c r="F701" i="22"/>
  <c r="H700" i="22"/>
  <c r="E700" i="22"/>
  <c r="D700" i="22"/>
  <c r="C700" i="22"/>
  <c r="B700" i="22" s="1"/>
  <c r="H699" i="22"/>
  <c r="E699" i="22"/>
  <c r="D699" i="22"/>
  <c r="C699" i="22"/>
  <c r="J698" i="22"/>
  <c r="I698" i="22"/>
  <c r="G698" i="22"/>
  <c r="F698" i="22"/>
  <c r="H697" i="22"/>
  <c r="E697" i="22"/>
  <c r="D697" i="22"/>
  <c r="C697" i="22"/>
  <c r="H696" i="22"/>
  <c r="H698" i="22" s="1"/>
  <c r="E696" i="22"/>
  <c r="E698" i="22" s="1"/>
  <c r="D696" i="22"/>
  <c r="D698" i="22" s="1"/>
  <c r="C696" i="22"/>
  <c r="C698" i="22" s="1"/>
  <c r="J695" i="22"/>
  <c r="J728" i="22" s="1"/>
  <c r="I695" i="22"/>
  <c r="G695" i="22"/>
  <c r="G728" i="22" s="1"/>
  <c r="F695" i="22"/>
  <c r="H694" i="22"/>
  <c r="H727" i="22" s="1"/>
  <c r="E694" i="22"/>
  <c r="D694" i="22"/>
  <c r="D727" i="22" s="1"/>
  <c r="C694" i="22"/>
  <c r="B694" i="22"/>
  <c r="H693" i="22"/>
  <c r="E693" i="22"/>
  <c r="E726" i="22" s="1"/>
  <c r="D693" i="22"/>
  <c r="C693" i="22"/>
  <c r="C726" i="22" s="1"/>
  <c r="J689" i="22"/>
  <c r="I689" i="22"/>
  <c r="G689" i="22"/>
  <c r="F689" i="22"/>
  <c r="J688" i="22"/>
  <c r="I688" i="22"/>
  <c r="G688" i="22"/>
  <c r="F688" i="22"/>
  <c r="J687" i="22"/>
  <c r="I687" i="22"/>
  <c r="G687" i="22"/>
  <c r="F687" i="22"/>
  <c r="H686" i="22"/>
  <c r="E686" i="22"/>
  <c r="D686" i="22"/>
  <c r="C686" i="22"/>
  <c r="B686" i="22" s="1"/>
  <c r="H685" i="22"/>
  <c r="H687" i="22" s="1"/>
  <c r="E685" i="22"/>
  <c r="D685" i="22"/>
  <c r="D687" i="22" s="1"/>
  <c r="C685" i="22"/>
  <c r="J684" i="22"/>
  <c r="I684" i="22"/>
  <c r="G684" i="22"/>
  <c r="F684" i="22"/>
  <c r="H683" i="22"/>
  <c r="E683" i="22"/>
  <c r="D683" i="22"/>
  <c r="C683" i="22"/>
  <c r="H682" i="22"/>
  <c r="H684" i="22" s="1"/>
  <c r="E682" i="22"/>
  <c r="E684" i="22" s="1"/>
  <c r="D682" i="22"/>
  <c r="D684" i="22" s="1"/>
  <c r="C682" i="22"/>
  <c r="C684" i="22" s="1"/>
  <c r="J681" i="22"/>
  <c r="I681" i="22"/>
  <c r="G681" i="22"/>
  <c r="F681" i="22"/>
  <c r="H680" i="22"/>
  <c r="E680" i="22"/>
  <c r="D680" i="22"/>
  <c r="C680" i="22"/>
  <c r="H679" i="22"/>
  <c r="H681" i="22" s="1"/>
  <c r="E679" i="22"/>
  <c r="D679" i="22"/>
  <c r="D681" i="22" s="1"/>
  <c r="C679" i="22"/>
  <c r="J678" i="22"/>
  <c r="I678" i="22"/>
  <c r="G678" i="22"/>
  <c r="F678" i="22"/>
  <c r="H677" i="22"/>
  <c r="E677" i="22"/>
  <c r="D677" i="22"/>
  <c r="C677" i="22"/>
  <c r="H676" i="22"/>
  <c r="H678" i="22" s="1"/>
  <c r="E676" i="22"/>
  <c r="E678" i="22" s="1"/>
  <c r="D676" i="22"/>
  <c r="D678" i="22" s="1"/>
  <c r="C676" i="22"/>
  <c r="C678" i="22" s="1"/>
  <c r="B676" i="22"/>
  <c r="J675" i="22"/>
  <c r="I675" i="22"/>
  <c r="G675" i="22"/>
  <c r="F675" i="22"/>
  <c r="H674" i="22"/>
  <c r="E674" i="22"/>
  <c r="D674" i="22"/>
  <c r="C674" i="22"/>
  <c r="B674" i="22" s="1"/>
  <c r="H673" i="22"/>
  <c r="H675" i="22" s="1"/>
  <c r="E673" i="22"/>
  <c r="D673" i="22"/>
  <c r="D675" i="22" s="1"/>
  <c r="C673" i="22"/>
  <c r="J672" i="22"/>
  <c r="I672" i="22"/>
  <c r="G672" i="22"/>
  <c r="F672" i="22"/>
  <c r="H671" i="22"/>
  <c r="E671" i="22"/>
  <c r="D671" i="22"/>
  <c r="C671" i="22"/>
  <c r="H670" i="22"/>
  <c r="H672" i="22" s="1"/>
  <c r="E670" i="22"/>
  <c r="E672" i="22" s="1"/>
  <c r="D670" i="22"/>
  <c r="D672" i="22" s="1"/>
  <c r="C670" i="22"/>
  <c r="C672" i="22" s="1"/>
  <c r="J669" i="22"/>
  <c r="I669" i="22"/>
  <c r="G669" i="22"/>
  <c r="F669" i="22"/>
  <c r="H668" i="22"/>
  <c r="E668" i="22"/>
  <c r="D668" i="22"/>
  <c r="C668" i="22"/>
  <c r="H667" i="22"/>
  <c r="H669" i="22" s="1"/>
  <c r="E667" i="22"/>
  <c r="D667" i="22"/>
  <c r="D669" i="22" s="1"/>
  <c r="C667" i="22"/>
  <c r="J666" i="22"/>
  <c r="I666" i="22"/>
  <c r="G666" i="22"/>
  <c r="F666" i="22"/>
  <c r="H665" i="22"/>
  <c r="E665" i="22"/>
  <c r="D665" i="22"/>
  <c r="C665" i="22"/>
  <c r="H664" i="22"/>
  <c r="H666" i="22" s="1"/>
  <c r="E664" i="22"/>
  <c r="E666" i="22" s="1"/>
  <c r="D664" i="22"/>
  <c r="D666" i="22" s="1"/>
  <c r="C664" i="22"/>
  <c r="C666" i="22" s="1"/>
  <c r="B664" i="22"/>
  <c r="J663" i="22"/>
  <c r="I663" i="22"/>
  <c r="I690" i="22" s="1"/>
  <c r="G663" i="22"/>
  <c r="F663" i="22"/>
  <c r="F690" i="22" s="1"/>
  <c r="H662" i="22"/>
  <c r="E662" i="22"/>
  <c r="E689" i="22" s="1"/>
  <c r="D662" i="22"/>
  <c r="C662" i="22"/>
  <c r="C689" i="22" s="1"/>
  <c r="H661" i="22"/>
  <c r="H663" i="22" s="1"/>
  <c r="E661" i="22"/>
  <c r="E688" i="22" s="1"/>
  <c r="D661" i="22"/>
  <c r="D663" i="22" s="1"/>
  <c r="C661" i="22"/>
  <c r="C688" i="22" s="1"/>
  <c r="J657" i="22"/>
  <c r="I657" i="22"/>
  <c r="G657" i="22"/>
  <c r="F657" i="22"/>
  <c r="J656" i="22"/>
  <c r="I656" i="22"/>
  <c r="G656" i="22"/>
  <c r="F656" i="22"/>
  <c r="J655" i="22"/>
  <c r="I655" i="22"/>
  <c r="G655" i="22"/>
  <c r="F655" i="22"/>
  <c r="H654" i="22"/>
  <c r="E654" i="22"/>
  <c r="D654" i="22"/>
  <c r="C654" i="22"/>
  <c r="H653" i="22"/>
  <c r="H655" i="22" s="1"/>
  <c r="E653" i="22"/>
  <c r="E655" i="22" s="1"/>
  <c r="D653" i="22"/>
  <c r="D655" i="22" s="1"/>
  <c r="C653" i="22"/>
  <c r="C655" i="22" s="1"/>
  <c r="J652" i="22"/>
  <c r="I652" i="22"/>
  <c r="G652" i="22"/>
  <c r="F652" i="22"/>
  <c r="H651" i="22"/>
  <c r="E651" i="22"/>
  <c r="D651" i="22"/>
  <c r="C651" i="22"/>
  <c r="H650" i="22"/>
  <c r="H652" i="22" s="1"/>
  <c r="E650" i="22"/>
  <c r="D650" i="22"/>
  <c r="D652" i="22" s="1"/>
  <c r="C650" i="22"/>
  <c r="B650" i="22"/>
  <c r="J649" i="22"/>
  <c r="I649" i="22"/>
  <c r="G649" i="22"/>
  <c r="F649" i="22"/>
  <c r="H648" i="22"/>
  <c r="E648" i="22"/>
  <c r="D648" i="22"/>
  <c r="C648" i="22"/>
  <c r="B648" i="22" s="1"/>
  <c r="H647" i="22"/>
  <c r="H649" i="22" s="1"/>
  <c r="E647" i="22"/>
  <c r="D647" i="22"/>
  <c r="D649" i="22" s="1"/>
  <c r="C647" i="22"/>
  <c r="J646" i="22"/>
  <c r="I646" i="22"/>
  <c r="G646" i="22"/>
  <c r="F646" i="22"/>
  <c r="H645" i="22"/>
  <c r="E645" i="22"/>
  <c r="D645" i="22"/>
  <c r="C645" i="22"/>
  <c r="H644" i="22"/>
  <c r="H646" i="22" s="1"/>
  <c r="E644" i="22"/>
  <c r="E646" i="22" s="1"/>
  <c r="D644" i="22"/>
  <c r="D646" i="22" s="1"/>
  <c r="C644" i="22"/>
  <c r="C646" i="22" s="1"/>
  <c r="J643" i="22"/>
  <c r="I643" i="22"/>
  <c r="G643" i="22"/>
  <c r="F643" i="22"/>
  <c r="H642" i="22"/>
  <c r="E642" i="22"/>
  <c r="D642" i="22"/>
  <c r="C642" i="22"/>
  <c r="H641" i="22"/>
  <c r="H643" i="22" s="1"/>
  <c r="E641" i="22"/>
  <c r="D641" i="22"/>
  <c r="D643" i="22" s="1"/>
  <c r="C641" i="22"/>
  <c r="J640" i="22"/>
  <c r="I640" i="22"/>
  <c r="G640" i="22"/>
  <c r="F640" i="22"/>
  <c r="H639" i="22"/>
  <c r="E639" i="22"/>
  <c r="D639" i="22"/>
  <c r="C639" i="22"/>
  <c r="H638" i="22"/>
  <c r="H640" i="22" s="1"/>
  <c r="E638" i="22"/>
  <c r="E640" i="22" s="1"/>
  <c r="D638" i="22"/>
  <c r="D640" i="22" s="1"/>
  <c r="C638" i="22"/>
  <c r="C640" i="22" s="1"/>
  <c r="B638" i="22"/>
  <c r="J637" i="22"/>
  <c r="I637" i="22"/>
  <c r="G637" i="22"/>
  <c r="F637" i="22"/>
  <c r="H636" i="22"/>
  <c r="E636" i="22"/>
  <c r="D636" i="22"/>
  <c r="C636" i="22"/>
  <c r="B636" i="22" s="1"/>
  <c r="H635" i="22"/>
  <c r="H637" i="22" s="1"/>
  <c r="E635" i="22"/>
  <c r="D635" i="22"/>
  <c r="D637" i="22" s="1"/>
  <c r="C635" i="22"/>
  <c r="B635" i="22" s="1"/>
  <c r="J634" i="22"/>
  <c r="I634" i="22"/>
  <c r="G634" i="22"/>
  <c r="F634" i="22"/>
  <c r="H633" i="22"/>
  <c r="E633" i="22"/>
  <c r="D633" i="22"/>
  <c r="C633" i="22"/>
  <c r="H632" i="22"/>
  <c r="H634" i="22" s="1"/>
  <c r="E632" i="22"/>
  <c r="E634" i="22" s="1"/>
  <c r="D632" i="22"/>
  <c r="D634" i="22" s="1"/>
  <c r="C632" i="22"/>
  <c r="C634" i="22" s="1"/>
  <c r="J631" i="22"/>
  <c r="I631" i="22"/>
  <c r="G631" i="22"/>
  <c r="F631" i="22"/>
  <c r="H630" i="22"/>
  <c r="E630" i="22"/>
  <c r="D630" i="22"/>
  <c r="C630" i="22"/>
  <c r="B630" i="22"/>
  <c r="H629" i="22"/>
  <c r="E629" i="22"/>
  <c r="E631" i="22" s="1"/>
  <c r="D629" i="22"/>
  <c r="C629" i="22"/>
  <c r="B629" i="22" s="1"/>
  <c r="B631" i="22" s="1"/>
  <c r="J628" i="22"/>
  <c r="I628" i="22"/>
  <c r="G628" i="22"/>
  <c r="F628" i="22"/>
  <c r="H627" i="22"/>
  <c r="E627" i="22"/>
  <c r="D627" i="22"/>
  <c r="C627" i="22"/>
  <c r="B627" i="22" s="1"/>
  <c r="H626" i="22"/>
  <c r="H628" i="22" s="1"/>
  <c r="E626" i="22"/>
  <c r="E628" i="22" s="1"/>
  <c r="D626" i="22"/>
  <c r="D628" i="22" s="1"/>
  <c r="C626" i="22"/>
  <c r="C628" i="22" s="1"/>
  <c r="J625" i="22"/>
  <c r="I625" i="22"/>
  <c r="G625" i="22"/>
  <c r="F625" i="22"/>
  <c r="H624" i="22"/>
  <c r="E624" i="22"/>
  <c r="D624" i="22"/>
  <c r="C624" i="22"/>
  <c r="B624" i="22" s="1"/>
  <c r="H623" i="22"/>
  <c r="E623" i="22"/>
  <c r="D623" i="22"/>
  <c r="C623" i="22"/>
  <c r="J622" i="22"/>
  <c r="I622" i="22"/>
  <c r="G622" i="22"/>
  <c r="F622" i="22"/>
  <c r="H621" i="22"/>
  <c r="E621" i="22"/>
  <c r="D621" i="22"/>
  <c r="C621" i="22"/>
  <c r="H620" i="22"/>
  <c r="H622" i="22" s="1"/>
  <c r="E620" i="22"/>
  <c r="E622" i="22" s="1"/>
  <c r="D620" i="22"/>
  <c r="D622" i="22" s="1"/>
  <c r="C620" i="22"/>
  <c r="C622" i="22" s="1"/>
  <c r="J619" i="22"/>
  <c r="I619" i="22"/>
  <c r="G619" i="22"/>
  <c r="F619" i="22"/>
  <c r="H618" i="22"/>
  <c r="E618" i="22"/>
  <c r="D618" i="22"/>
  <c r="C618" i="22"/>
  <c r="B618" i="22"/>
  <c r="H617" i="22"/>
  <c r="E617" i="22"/>
  <c r="E619" i="22" s="1"/>
  <c r="D617" i="22"/>
  <c r="C617" i="22"/>
  <c r="B617" i="22" s="1"/>
  <c r="B619" i="22" s="1"/>
  <c r="J616" i="22"/>
  <c r="I616" i="22"/>
  <c r="I658" i="22" s="1"/>
  <c r="G616" i="22"/>
  <c r="F616" i="22"/>
  <c r="F658" i="22" s="1"/>
  <c r="H615" i="22"/>
  <c r="E615" i="22"/>
  <c r="E657" i="22" s="1"/>
  <c r="D615" i="22"/>
  <c r="C615" i="22"/>
  <c r="B615" i="22" s="1"/>
  <c r="H614" i="22"/>
  <c r="E614" i="22"/>
  <c r="E656" i="22" s="1"/>
  <c r="D614" i="22"/>
  <c r="C614" i="22"/>
  <c r="C656" i="22" s="1"/>
  <c r="J610" i="22"/>
  <c r="I610" i="22"/>
  <c r="G610" i="22"/>
  <c r="F610" i="22"/>
  <c r="J609" i="22"/>
  <c r="I609" i="22"/>
  <c r="G609" i="22"/>
  <c r="F609" i="22"/>
  <c r="J608" i="22"/>
  <c r="I608" i="22"/>
  <c r="G608" i="22"/>
  <c r="F608" i="22"/>
  <c r="H607" i="22"/>
  <c r="E607" i="22"/>
  <c r="D607" i="22"/>
  <c r="C607" i="22"/>
  <c r="B607" i="22" s="1"/>
  <c r="H606" i="22"/>
  <c r="E606" i="22"/>
  <c r="D606" i="22"/>
  <c r="C606" i="22"/>
  <c r="J605" i="22"/>
  <c r="I605" i="22"/>
  <c r="G605" i="22"/>
  <c r="F605" i="22"/>
  <c r="H604" i="22"/>
  <c r="E604" i="22"/>
  <c r="D604" i="22"/>
  <c r="C604" i="22"/>
  <c r="H603" i="22"/>
  <c r="H605" i="22" s="1"/>
  <c r="E603" i="22"/>
  <c r="E605" i="22" s="1"/>
  <c r="D603" i="22"/>
  <c r="D605" i="22" s="1"/>
  <c r="C603" i="22"/>
  <c r="C605" i="22" s="1"/>
  <c r="J602" i="22"/>
  <c r="I602" i="22"/>
  <c r="G602" i="22"/>
  <c r="F602" i="22"/>
  <c r="H601" i="22"/>
  <c r="E601" i="22"/>
  <c r="D601" i="22"/>
  <c r="C601" i="22"/>
  <c r="B601" i="22"/>
  <c r="H600" i="22"/>
  <c r="E600" i="22"/>
  <c r="E602" i="22" s="1"/>
  <c r="D600" i="22"/>
  <c r="C600" i="22"/>
  <c r="C602" i="22" s="1"/>
  <c r="J599" i="22"/>
  <c r="I599" i="22"/>
  <c r="G599" i="22"/>
  <c r="F599" i="22"/>
  <c r="H598" i="22"/>
  <c r="E598" i="22"/>
  <c r="D598" i="22"/>
  <c r="C598" i="22"/>
  <c r="B598" i="22" s="1"/>
  <c r="H597" i="22"/>
  <c r="H599" i="22" s="1"/>
  <c r="E597" i="22"/>
  <c r="E599" i="22" s="1"/>
  <c r="D597" i="22"/>
  <c r="D599" i="22" s="1"/>
  <c r="C597" i="22"/>
  <c r="C599" i="22" s="1"/>
  <c r="J596" i="22"/>
  <c r="I596" i="22"/>
  <c r="G596" i="22"/>
  <c r="F596" i="22"/>
  <c r="H595" i="22"/>
  <c r="E595" i="22"/>
  <c r="D595" i="22"/>
  <c r="C595" i="22"/>
  <c r="B595" i="22" s="1"/>
  <c r="H594" i="22"/>
  <c r="E594" i="22"/>
  <c r="D594" i="22"/>
  <c r="C594" i="22"/>
  <c r="J593" i="22"/>
  <c r="I593" i="22"/>
  <c r="G593" i="22"/>
  <c r="F593" i="22"/>
  <c r="H592" i="22"/>
  <c r="E592" i="22"/>
  <c r="D592" i="22"/>
  <c r="C592" i="22"/>
  <c r="H591" i="22"/>
  <c r="H593" i="22" s="1"/>
  <c r="E591" i="22"/>
  <c r="E593" i="22" s="1"/>
  <c r="D591" i="22"/>
  <c r="D593" i="22" s="1"/>
  <c r="C591" i="22"/>
  <c r="C593" i="22" s="1"/>
  <c r="J590" i="22"/>
  <c r="I590" i="22"/>
  <c r="G590" i="22"/>
  <c r="F590" i="22"/>
  <c r="H589" i="22"/>
  <c r="E589" i="22"/>
  <c r="D589" i="22"/>
  <c r="C589" i="22"/>
  <c r="B589" i="22"/>
  <c r="H588" i="22"/>
  <c r="E588" i="22"/>
  <c r="E590" i="22" s="1"/>
  <c r="D588" i="22"/>
  <c r="C588" i="22"/>
  <c r="C590" i="22" s="1"/>
  <c r="J587" i="22"/>
  <c r="I587" i="22"/>
  <c r="G587" i="22"/>
  <c r="F587" i="22"/>
  <c r="H586" i="22"/>
  <c r="E586" i="22"/>
  <c r="D586" i="22"/>
  <c r="C586" i="22"/>
  <c r="H585" i="22"/>
  <c r="H587" i="22" s="1"/>
  <c r="E585" i="22"/>
  <c r="E587" i="22" s="1"/>
  <c r="D585" i="22"/>
  <c r="D587" i="22" s="1"/>
  <c r="C585" i="22"/>
  <c r="C587" i="22" s="1"/>
  <c r="J584" i="22"/>
  <c r="I584" i="22"/>
  <c r="G584" i="22"/>
  <c r="F584" i="22"/>
  <c r="H583" i="22"/>
  <c r="E583" i="22"/>
  <c r="D583" i="22"/>
  <c r="C583" i="22"/>
  <c r="H582" i="22"/>
  <c r="H584" i="22" s="1"/>
  <c r="E582" i="22"/>
  <c r="D582" i="22"/>
  <c r="D584" i="22" s="1"/>
  <c r="C582" i="22"/>
  <c r="B582" i="22"/>
  <c r="J581" i="22"/>
  <c r="I581" i="22"/>
  <c r="G581" i="22"/>
  <c r="F581" i="22"/>
  <c r="H580" i="22"/>
  <c r="E580" i="22"/>
  <c r="D580" i="22"/>
  <c r="C580" i="22"/>
  <c r="B580" i="22" s="1"/>
  <c r="H579" i="22"/>
  <c r="H581" i="22" s="1"/>
  <c r="E579" i="22"/>
  <c r="D579" i="22"/>
  <c r="D581" i="22" s="1"/>
  <c r="C579" i="22"/>
  <c r="J578" i="22"/>
  <c r="I578" i="22"/>
  <c r="G578" i="22"/>
  <c r="F578" i="22"/>
  <c r="H577" i="22"/>
  <c r="E577" i="22"/>
  <c r="D577" i="22"/>
  <c r="C577" i="22"/>
  <c r="H576" i="22"/>
  <c r="H578" i="22" s="1"/>
  <c r="E576" i="22"/>
  <c r="E578" i="22" s="1"/>
  <c r="D576" i="22"/>
  <c r="D578" i="22" s="1"/>
  <c r="C576" i="22"/>
  <c r="C578" i="22" s="1"/>
  <c r="J575" i="22"/>
  <c r="I575" i="22"/>
  <c r="G575" i="22"/>
  <c r="F575" i="22"/>
  <c r="H574" i="22"/>
  <c r="E574" i="22"/>
  <c r="D574" i="22"/>
  <c r="C574" i="22"/>
  <c r="H573" i="22"/>
  <c r="H575" i="22" s="1"/>
  <c r="E573" i="22"/>
  <c r="D573" i="22"/>
  <c r="D575" i="22" s="1"/>
  <c r="C573" i="22"/>
  <c r="J572" i="22"/>
  <c r="I572" i="22"/>
  <c r="G572" i="22"/>
  <c r="F572" i="22"/>
  <c r="H571" i="22"/>
  <c r="E571" i="22"/>
  <c r="D571" i="22"/>
  <c r="C571" i="22"/>
  <c r="H570" i="22"/>
  <c r="H572" i="22" s="1"/>
  <c r="E570" i="22"/>
  <c r="E572" i="22" s="1"/>
  <c r="D570" i="22"/>
  <c r="D572" i="22" s="1"/>
  <c r="C570" i="22"/>
  <c r="C572" i="22" s="1"/>
  <c r="B570" i="22"/>
  <c r="J569" i="22"/>
  <c r="I569" i="22"/>
  <c r="G569" i="22"/>
  <c r="F569" i="22"/>
  <c r="H568" i="22"/>
  <c r="E568" i="22"/>
  <c r="D568" i="22"/>
  <c r="C568" i="22"/>
  <c r="B568" i="22" s="1"/>
  <c r="H567" i="22"/>
  <c r="H569" i="22" s="1"/>
  <c r="E567" i="22"/>
  <c r="D567" i="22"/>
  <c r="D569" i="22" s="1"/>
  <c r="C567" i="22"/>
  <c r="J566" i="22"/>
  <c r="I566" i="22"/>
  <c r="G566" i="22"/>
  <c r="F566" i="22"/>
  <c r="H565" i="22"/>
  <c r="E565" i="22"/>
  <c r="D565" i="22"/>
  <c r="C565" i="22"/>
  <c r="H564" i="22"/>
  <c r="E564" i="22"/>
  <c r="E566" i="22" s="1"/>
  <c r="D564" i="22"/>
  <c r="C564" i="22"/>
  <c r="C566" i="22" s="1"/>
  <c r="J560" i="22"/>
  <c r="I560" i="22"/>
  <c r="G560" i="22"/>
  <c r="F560" i="22"/>
  <c r="J559" i="22"/>
  <c r="I559" i="22"/>
  <c r="G559" i="22"/>
  <c r="F559" i="22"/>
  <c r="J558" i="22"/>
  <c r="I558" i="22"/>
  <c r="G558" i="22"/>
  <c r="F558" i="22"/>
  <c r="H557" i="22"/>
  <c r="E557" i="22"/>
  <c r="D557" i="22"/>
  <c r="C557" i="22"/>
  <c r="H556" i="22"/>
  <c r="H558" i="22" s="1"/>
  <c r="E556" i="22"/>
  <c r="E558" i="22" s="1"/>
  <c r="D556" i="22"/>
  <c r="D558" i="22" s="1"/>
  <c r="C556" i="22"/>
  <c r="C558" i="22" s="1"/>
  <c r="J555" i="22"/>
  <c r="I555" i="22"/>
  <c r="G555" i="22"/>
  <c r="F555" i="22"/>
  <c r="H554" i="22"/>
  <c r="E554" i="22"/>
  <c r="D554" i="22"/>
  <c r="C554" i="22"/>
  <c r="B554" i="22"/>
  <c r="H553" i="22"/>
  <c r="E553" i="22"/>
  <c r="E555" i="22" s="1"/>
  <c r="D553" i="22"/>
  <c r="C553" i="22"/>
  <c r="C555" i="22" s="1"/>
  <c r="J552" i="22"/>
  <c r="I552" i="22"/>
  <c r="G552" i="22"/>
  <c r="F552" i="22"/>
  <c r="H551" i="22"/>
  <c r="E551" i="22"/>
  <c r="D551" i="22"/>
  <c r="C551" i="22"/>
  <c r="B551" i="22" s="1"/>
  <c r="H550" i="22"/>
  <c r="E550" i="22"/>
  <c r="D550" i="22"/>
  <c r="C550" i="22"/>
  <c r="J549" i="22"/>
  <c r="I549" i="22"/>
  <c r="G549" i="22"/>
  <c r="F549" i="22"/>
  <c r="H548" i="22"/>
  <c r="E548" i="22"/>
  <c r="D548" i="22"/>
  <c r="C548" i="22"/>
  <c r="H547" i="22"/>
  <c r="H549" i="22" s="1"/>
  <c r="E547" i="22"/>
  <c r="E549" i="22" s="1"/>
  <c r="D547" i="22"/>
  <c r="D549" i="22" s="1"/>
  <c r="C547" i="22"/>
  <c r="C549" i="22" s="1"/>
  <c r="J546" i="22"/>
  <c r="I546" i="22"/>
  <c r="G546" i="22"/>
  <c r="F546" i="22"/>
  <c r="H545" i="22"/>
  <c r="E545" i="22"/>
  <c r="D545" i="22"/>
  <c r="C545" i="22"/>
  <c r="H544" i="22"/>
  <c r="H546" i="22" s="1"/>
  <c r="E544" i="22"/>
  <c r="E546" i="22" s="1"/>
  <c r="D544" i="22"/>
  <c r="D546" i="22" s="1"/>
  <c r="C544" i="22"/>
  <c r="C546" i="22" s="1"/>
  <c r="B544" i="22"/>
  <c r="J543" i="22"/>
  <c r="I543" i="22"/>
  <c r="G543" i="22"/>
  <c r="F543" i="22"/>
  <c r="H542" i="22"/>
  <c r="E542" i="22"/>
  <c r="D542" i="22"/>
  <c r="C542" i="22"/>
  <c r="B542" i="22" s="1"/>
  <c r="H541" i="22"/>
  <c r="H543" i="22" s="1"/>
  <c r="E541" i="22"/>
  <c r="D541" i="22"/>
  <c r="D543" i="22" s="1"/>
  <c r="C541" i="22"/>
  <c r="J540" i="22"/>
  <c r="I540" i="22"/>
  <c r="G540" i="22"/>
  <c r="F540" i="22"/>
  <c r="H539" i="22"/>
  <c r="E539" i="22"/>
  <c r="D539" i="22"/>
  <c r="C539" i="22"/>
  <c r="H538" i="22"/>
  <c r="H540" i="22" s="1"/>
  <c r="E538" i="22"/>
  <c r="E540" i="22" s="1"/>
  <c r="D538" i="22"/>
  <c r="D540" i="22" s="1"/>
  <c r="C538" i="22"/>
  <c r="C540" i="22" s="1"/>
  <c r="J537" i="22"/>
  <c r="I537" i="22"/>
  <c r="G537" i="22"/>
  <c r="F537" i="22"/>
  <c r="H536" i="22"/>
  <c r="E536" i="22"/>
  <c r="D536" i="22"/>
  <c r="C536" i="22"/>
  <c r="H535" i="22"/>
  <c r="H537" i="22" s="1"/>
  <c r="E535" i="22"/>
  <c r="D535" i="22"/>
  <c r="D537" i="22" s="1"/>
  <c r="C535" i="22"/>
  <c r="J534" i="22"/>
  <c r="I534" i="22"/>
  <c r="G534" i="22"/>
  <c r="F534" i="22"/>
  <c r="H533" i="22"/>
  <c r="E533" i="22"/>
  <c r="D533" i="22"/>
  <c r="C533" i="22"/>
  <c r="H532" i="22"/>
  <c r="H534" i="22" s="1"/>
  <c r="E532" i="22"/>
  <c r="E534" i="22" s="1"/>
  <c r="D532" i="22"/>
  <c r="D534" i="22" s="1"/>
  <c r="C532" i="22"/>
  <c r="C534" i="22" s="1"/>
  <c r="B532" i="22"/>
  <c r="J531" i="22"/>
  <c r="I531" i="22"/>
  <c r="G531" i="22"/>
  <c r="F531" i="22"/>
  <c r="H530" i="22"/>
  <c r="E530" i="22"/>
  <c r="D530" i="22"/>
  <c r="C530" i="22"/>
  <c r="B530" i="22" s="1"/>
  <c r="H529" i="22"/>
  <c r="H531" i="22" s="1"/>
  <c r="E529" i="22"/>
  <c r="D529" i="22"/>
  <c r="D531" i="22" s="1"/>
  <c r="C529" i="22"/>
  <c r="J528" i="22"/>
  <c r="I528" i="22"/>
  <c r="G528" i="22"/>
  <c r="F528" i="22"/>
  <c r="H527" i="22"/>
  <c r="E527" i="22"/>
  <c r="D527" i="22"/>
  <c r="C527" i="22"/>
  <c r="H526" i="22"/>
  <c r="H528" i="22" s="1"/>
  <c r="E526" i="22"/>
  <c r="E528" i="22" s="1"/>
  <c r="D526" i="22"/>
  <c r="D528" i="22" s="1"/>
  <c r="C526" i="22"/>
  <c r="C528" i="22" s="1"/>
  <c r="J525" i="22"/>
  <c r="I525" i="22"/>
  <c r="G525" i="22"/>
  <c r="F525" i="22"/>
  <c r="H524" i="22"/>
  <c r="E524" i="22"/>
  <c r="D524" i="22"/>
  <c r="C524" i="22"/>
  <c r="H523" i="22"/>
  <c r="H525" i="22" s="1"/>
  <c r="E523" i="22"/>
  <c r="D523" i="22"/>
  <c r="D525" i="22" s="1"/>
  <c r="C523" i="22"/>
  <c r="J522" i="22"/>
  <c r="I522" i="22"/>
  <c r="G522" i="22"/>
  <c r="F522" i="22"/>
  <c r="H521" i="22"/>
  <c r="E521" i="22"/>
  <c r="D521" i="22"/>
  <c r="C521" i="22"/>
  <c r="H520" i="22"/>
  <c r="H522" i="22" s="1"/>
  <c r="E520" i="22"/>
  <c r="E522" i="22" s="1"/>
  <c r="D520" i="22"/>
  <c r="D522" i="22" s="1"/>
  <c r="C520" i="22"/>
  <c r="C522" i="22" s="1"/>
  <c r="B520" i="22"/>
  <c r="J519" i="22"/>
  <c r="I519" i="22"/>
  <c r="G519" i="22"/>
  <c r="F519" i="22"/>
  <c r="H518" i="22"/>
  <c r="E518" i="22"/>
  <c r="D518" i="22"/>
  <c r="C518" i="22"/>
  <c r="B518" i="22" s="1"/>
  <c r="H517" i="22"/>
  <c r="H519" i="22" s="1"/>
  <c r="E517" i="22"/>
  <c r="D517" i="22"/>
  <c r="D519" i="22" s="1"/>
  <c r="C517" i="22"/>
  <c r="J516" i="22"/>
  <c r="I516" i="22"/>
  <c r="G516" i="22"/>
  <c r="F516" i="22"/>
  <c r="H515" i="22"/>
  <c r="E515" i="22"/>
  <c r="D515" i="22"/>
  <c r="C515" i="22"/>
  <c r="H514" i="22"/>
  <c r="H516" i="22" s="1"/>
  <c r="E514" i="22"/>
  <c r="E516" i="22" s="1"/>
  <c r="D514" i="22"/>
  <c r="D516" i="22" s="1"/>
  <c r="C514" i="22"/>
  <c r="C516" i="22" s="1"/>
  <c r="J513" i="22"/>
  <c r="I513" i="22"/>
  <c r="G513" i="22"/>
  <c r="F513" i="22"/>
  <c r="H512" i="22"/>
  <c r="E512" i="22"/>
  <c r="D512" i="22"/>
  <c r="C512" i="22"/>
  <c r="H511" i="22"/>
  <c r="H513" i="22" s="1"/>
  <c r="E511" i="22"/>
  <c r="D511" i="22"/>
  <c r="D513" i="22" s="1"/>
  <c r="C511" i="22"/>
  <c r="J510" i="22"/>
  <c r="I510" i="22"/>
  <c r="G510" i="22"/>
  <c r="F510" i="22"/>
  <c r="H509" i="22"/>
  <c r="E509" i="22"/>
  <c r="D509" i="22"/>
  <c r="C509" i="22"/>
  <c r="H508" i="22"/>
  <c r="H510" i="22" s="1"/>
  <c r="E508" i="22"/>
  <c r="E510" i="22" s="1"/>
  <c r="D508" i="22"/>
  <c r="D510" i="22" s="1"/>
  <c r="C508" i="22"/>
  <c r="C510" i="22" s="1"/>
  <c r="B508" i="22"/>
  <c r="J507" i="22"/>
  <c r="I507" i="22"/>
  <c r="G507" i="22"/>
  <c r="F507" i="22"/>
  <c r="H506" i="22"/>
  <c r="E506" i="22"/>
  <c r="D506" i="22"/>
  <c r="C506" i="22"/>
  <c r="B506" i="22" s="1"/>
  <c r="H505" i="22"/>
  <c r="H507" i="22" s="1"/>
  <c r="E505" i="22"/>
  <c r="D505" i="22"/>
  <c r="D507" i="22" s="1"/>
  <c r="C505" i="22"/>
  <c r="J504" i="22"/>
  <c r="I504" i="22"/>
  <c r="G504" i="22"/>
  <c r="F504" i="22"/>
  <c r="H503" i="22"/>
  <c r="E503" i="22"/>
  <c r="D503" i="22"/>
  <c r="C503" i="22"/>
  <c r="H502" i="22"/>
  <c r="H504" i="22" s="1"/>
  <c r="E502" i="22"/>
  <c r="E504" i="22" s="1"/>
  <c r="D502" i="22"/>
  <c r="D504" i="22" s="1"/>
  <c r="C502" i="22"/>
  <c r="C504" i="22" s="1"/>
  <c r="J501" i="22"/>
  <c r="I501" i="22"/>
  <c r="G501" i="22"/>
  <c r="F501" i="22"/>
  <c r="H500" i="22"/>
  <c r="E500" i="22"/>
  <c r="D500" i="22"/>
  <c r="C500" i="22"/>
  <c r="H499" i="22"/>
  <c r="H501" i="22" s="1"/>
  <c r="E499" i="22"/>
  <c r="D499" i="22"/>
  <c r="D501" i="22" s="1"/>
  <c r="C499" i="22"/>
  <c r="J498" i="22"/>
  <c r="I498" i="22"/>
  <c r="G498" i="22"/>
  <c r="F498" i="22"/>
  <c r="H497" i="22"/>
  <c r="E497" i="22"/>
  <c r="D497" i="22"/>
  <c r="C497" i="22"/>
  <c r="H496" i="22"/>
  <c r="H498" i="22" s="1"/>
  <c r="E496" i="22"/>
  <c r="E498" i="22" s="1"/>
  <c r="D496" i="22"/>
  <c r="D498" i="22" s="1"/>
  <c r="C496" i="22"/>
  <c r="C498" i="22" s="1"/>
  <c r="B496" i="22"/>
  <c r="J495" i="22"/>
  <c r="I495" i="22"/>
  <c r="I561" i="22" s="1"/>
  <c r="G495" i="22"/>
  <c r="F495" i="22"/>
  <c r="F561" i="22" s="1"/>
  <c r="H494" i="22"/>
  <c r="E494" i="22"/>
  <c r="E560" i="22" s="1"/>
  <c r="D494" i="22"/>
  <c r="C494" i="22"/>
  <c r="C560" i="22" s="1"/>
  <c r="H493" i="22"/>
  <c r="H559" i="22" s="1"/>
  <c r="E493" i="22"/>
  <c r="D493" i="22"/>
  <c r="D559" i="22" s="1"/>
  <c r="C493" i="22"/>
  <c r="J489" i="22"/>
  <c r="I489" i="22"/>
  <c r="G489" i="22"/>
  <c r="F489" i="22"/>
  <c r="J488" i="22"/>
  <c r="I488" i="22"/>
  <c r="G488" i="22"/>
  <c r="F488" i="22"/>
  <c r="J487" i="22"/>
  <c r="I487" i="22"/>
  <c r="G487" i="22"/>
  <c r="F487" i="22"/>
  <c r="H486" i="22"/>
  <c r="E486" i="22"/>
  <c r="D486" i="22"/>
  <c r="C486" i="22"/>
  <c r="B486" i="22"/>
  <c r="H485" i="22"/>
  <c r="E485" i="22"/>
  <c r="E487" i="22" s="1"/>
  <c r="D485" i="22"/>
  <c r="C485" i="22"/>
  <c r="B485" i="22" s="1"/>
  <c r="B487" i="22" s="1"/>
  <c r="J484" i="22"/>
  <c r="I484" i="22"/>
  <c r="G484" i="22"/>
  <c r="F484" i="22"/>
  <c r="H483" i="22"/>
  <c r="E483" i="22"/>
  <c r="D483" i="22"/>
  <c r="C483" i="22"/>
  <c r="B483" i="22" s="1"/>
  <c r="H482" i="22"/>
  <c r="H484" i="22" s="1"/>
  <c r="E482" i="22"/>
  <c r="E484" i="22" s="1"/>
  <c r="D482" i="22"/>
  <c r="D484" i="22" s="1"/>
  <c r="C482" i="22"/>
  <c r="C484" i="22" s="1"/>
  <c r="J481" i="22"/>
  <c r="I481" i="22"/>
  <c r="G481" i="22"/>
  <c r="F481" i="22"/>
  <c r="H480" i="22"/>
  <c r="E480" i="22"/>
  <c r="D480" i="22"/>
  <c r="C480" i="22"/>
  <c r="B480" i="22" s="1"/>
  <c r="H479" i="22"/>
  <c r="H481" i="22" s="1"/>
  <c r="E479" i="22"/>
  <c r="D479" i="22"/>
  <c r="D481" i="22" s="1"/>
  <c r="C479" i="22"/>
  <c r="J478" i="22"/>
  <c r="I478" i="22"/>
  <c r="G478" i="22"/>
  <c r="F478" i="22"/>
  <c r="H477" i="22"/>
  <c r="E477" i="22"/>
  <c r="D477" i="22"/>
  <c r="C477" i="22"/>
  <c r="H476" i="22"/>
  <c r="H478" i="22" s="1"/>
  <c r="E476" i="22"/>
  <c r="E478" i="22" s="1"/>
  <c r="D476" i="22"/>
  <c r="D478" i="22" s="1"/>
  <c r="C476" i="22"/>
  <c r="C478" i="22" s="1"/>
  <c r="J475" i="22"/>
  <c r="I475" i="22"/>
  <c r="G475" i="22"/>
  <c r="F475" i="22"/>
  <c r="H474" i="22"/>
  <c r="E474" i="22"/>
  <c r="D474" i="22"/>
  <c r="C474" i="22"/>
  <c r="B474" i="22"/>
  <c r="H473" i="22"/>
  <c r="E473" i="22"/>
  <c r="E475" i="22" s="1"/>
  <c r="D473" i="22"/>
  <c r="C473" i="22"/>
  <c r="C475" i="22" s="1"/>
  <c r="J472" i="22"/>
  <c r="I472" i="22"/>
  <c r="G472" i="22"/>
  <c r="F472" i="22"/>
  <c r="H471" i="22"/>
  <c r="E471" i="22"/>
  <c r="D471" i="22"/>
  <c r="C471" i="22"/>
  <c r="H470" i="22"/>
  <c r="H472" i="22" s="1"/>
  <c r="E470" i="22"/>
  <c r="E472" i="22" s="1"/>
  <c r="D470" i="22"/>
  <c r="D472" i="22" s="1"/>
  <c r="C470" i="22"/>
  <c r="C472" i="22" s="1"/>
  <c r="J469" i="22"/>
  <c r="I469" i="22"/>
  <c r="G469" i="22"/>
  <c r="F469" i="22"/>
  <c r="H468" i="22"/>
  <c r="E468" i="22"/>
  <c r="D468" i="22"/>
  <c r="C468" i="22"/>
  <c r="H467" i="22"/>
  <c r="H469" i="22" s="1"/>
  <c r="E467" i="22"/>
  <c r="D467" i="22"/>
  <c r="D469" i="22" s="1"/>
  <c r="C467" i="22"/>
  <c r="J466" i="22"/>
  <c r="I466" i="22"/>
  <c r="G466" i="22"/>
  <c r="F466" i="22"/>
  <c r="H465" i="22"/>
  <c r="E465" i="22"/>
  <c r="D465" i="22"/>
  <c r="C465" i="22"/>
  <c r="H464" i="22"/>
  <c r="H466" i="22" s="1"/>
  <c r="E464" i="22"/>
  <c r="E466" i="22" s="1"/>
  <c r="D464" i="22"/>
  <c r="D466" i="22" s="1"/>
  <c r="C464" i="22"/>
  <c r="C466" i="22" s="1"/>
  <c r="B464" i="22"/>
  <c r="J463" i="22"/>
  <c r="I463" i="22"/>
  <c r="G463" i="22"/>
  <c r="F463" i="22"/>
  <c r="H462" i="22"/>
  <c r="E462" i="22"/>
  <c r="D462" i="22"/>
  <c r="C462" i="22"/>
  <c r="B462" i="22" s="1"/>
  <c r="H461" i="22"/>
  <c r="H463" i="22" s="1"/>
  <c r="E461" i="22"/>
  <c r="E463" i="22" s="1"/>
  <c r="D461" i="22"/>
  <c r="D463" i="22" s="1"/>
  <c r="C461" i="22"/>
  <c r="J460" i="22"/>
  <c r="I460" i="22"/>
  <c r="G460" i="22"/>
  <c r="F460" i="22"/>
  <c r="H459" i="22"/>
  <c r="E459" i="22"/>
  <c r="D459" i="22"/>
  <c r="C459" i="22"/>
  <c r="H458" i="22"/>
  <c r="H460" i="22" s="1"/>
  <c r="E458" i="22"/>
  <c r="E460" i="22" s="1"/>
  <c r="D458" i="22"/>
  <c r="D460" i="22" s="1"/>
  <c r="C458" i="22"/>
  <c r="C460" i="22" s="1"/>
  <c r="J457" i="22"/>
  <c r="I457" i="22"/>
  <c r="G457" i="22"/>
  <c r="F457" i="22"/>
  <c r="H456" i="22"/>
  <c r="E456" i="22"/>
  <c r="D456" i="22"/>
  <c r="C456" i="22"/>
  <c r="H455" i="22"/>
  <c r="H457" i="22" s="1"/>
  <c r="E455" i="22"/>
  <c r="E457" i="22" s="1"/>
  <c r="D455" i="22"/>
  <c r="D457" i="22" s="1"/>
  <c r="C455" i="22"/>
  <c r="J454" i="22"/>
  <c r="I454" i="22"/>
  <c r="G454" i="22"/>
  <c r="F454" i="22"/>
  <c r="H453" i="22"/>
  <c r="E453" i="22"/>
  <c r="D453" i="22"/>
  <c r="C453" i="22"/>
  <c r="H452" i="22"/>
  <c r="H454" i="22" s="1"/>
  <c r="E452" i="22"/>
  <c r="E454" i="22" s="1"/>
  <c r="D452" i="22"/>
  <c r="D454" i="22" s="1"/>
  <c r="C452" i="22"/>
  <c r="C454" i="22" s="1"/>
  <c r="B452" i="22"/>
  <c r="J451" i="22"/>
  <c r="I451" i="22"/>
  <c r="G451" i="22"/>
  <c r="F451" i="22"/>
  <c r="H450" i="22"/>
  <c r="E450" i="22"/>
  <c r="D450" i="22"/>
  <c r="C450" i="22"/>
  <c r="B450" i="22" s="1"/>
  <c r="H449" i="22"/>
  <c r="H451" i="22" s="1"/>
  <c r="E449" i="22"/>
  <c r="D449" i="22"/>
  <c r="D451" i="22" s="1"/>
  <c r="C449" i="22"/>
  <c r="J448" i="22"/>
  <c r="I448" i="22"/>
  <c r="G448" i="22"/>
  <c r="F448" i="22"/>
  <c r="H447" i="22"/>
  <c r="E447" i="22"/>
  <c r="D447" i="22"/>
  <c r="C447" i="22"/>
  <c r="H446" i="22"/>
  <c r="H448" i="22" s="1"/>
  <c r="E446" i="22"/>
  <c r="E448" i="22" s="1"/>
  <c r="D446" i="22"/>
  <c r="D448" i="22" s="1"/>
  <c r="C446" i="22"/>
  <c r="C448" i="22" s="1"/>
  <c r="J445" i="22"/>
  <c r="I445" i="22"/>
  <c r="G445" i="22"/>
  <c r="F445" i="22"/>
  <c r="H444" i="22"/>
  <c r="E444" i="22"/>
  <c r="D444" i="22"/>
  <c r="C444" i="22"/>
  <c r="B444" i="22"/>
  <c r="H443" i="22"/>
  <c r="E443" i="22"/>
  <c r="E445" i="22" s="1"/>
  <c r="D443" i="22"/>
  <c r="C443" i="22"/>
  <c r="B443" i="22" s="1"/>
  <c r="B445" i="22" s="1"/>
  <c r="J442" i="22"/>
  <c r="I442" i="22"/>
  <c r="G442" i="22"/>
  <c r="F442" i="22"/>
  <c r="H441" i="22"/>
  <c r="E441" i="22"/>
  <c r="D441" i="22"/>
  <c r="C441" i="22"/>
  <c r="B441" i="22" s="1"/>
  <c r="H440" i="22"/>
  <c r="H442" i="22" s="1"/>
  <c r="E440" i="22"/>
  <c r="E442" i="22" s="1"/>
  <c r="D440" i="22"/>
  <c r="D442" i="22" s="1"/>
  <c r="C440" i="22"/>
  <c r="C442" i="22" s="1"/>
  <c r="J439" i="22"/>
  <c r="I439" i="22"/>
  <c r="G439" i="22"/>
  <c r="F439" i="22"/>
  <c r="H438" i="22"/>
  <c r="E438" i="22"/>
  <c r="D438" i="22"/>
  <c r="C438" i="22"/>
  <c r="B438" i="22" s="1"/>
  <c r="H437" i="22"/>
  <c r="H439" i="22" s="1"/>
  <c r="E437" i="22"/>
  <c r="D437" i="22"/>
  <c r="D439" i="22" s="1"/>
  <c r="C437" i="22"/>
  <c r="J436" i="22"/>
  <c r="I436" i="22"/>
  <c r="G436" i="22"/>
  <c r="F436" i="22"/>
  <c r="H435" i="22"/>
  <c r="E435" i="22"/>
  <c r="D435" i="22"/>
  <c r="C435" i="22"/>
  <c r="H434" i="22"/>
  <c r="H436" i="22" s="1"/>
  <c r="E434" i="22"/>
  <c r="D434" i="22"/>
  <c r="D436" i="22" s="1"/>
  <c r="C434" i="22"/>
  <c r="C436" i="22" s="1"/>
  <c r="B434" i="22"/>
  <c r="J433" i="22"/>
  <c r="I433" i="22"/>
  <c r="G433" i="22"/>
  <c r="F433" i="22"/>
  <c r="H432" i="22"/>
  <c r="E432" i="22"/>
  <c r="D432" i="22"/>
  <c r="C432" i="22"/>
  <c r="B432" i="22" s="1"/>
  <c r="H431" i="22"/>
  <c r="H433" i="22" s="1"/>
  <c r="E431" i="22"/>
  <c r="D431" i="22"/>
  <c r="D433" i="22" s="1"/>
  <c r="C431" i="22"/>
  <c r="J430" i="22"/>
  <c r="I430" i="22"/>
  <c r="G430" i="22"/>
  <c r="F430" i="22"/>
  <c r="H429" i="22"/>
  <c r="E429" i="22"/>
  <c r="D429" i="22"/>
  <c r="C429" i="22"/>
  <c r="H428" i="22"/>
  <c r="H430" i="22" s="1"/>
  <c r="E428" i="22"/>
  <c r="E430" i="22" s="1"/>
  <c r="D428" i="22"/>
  <c r="D430" i="22" s="1"/>
  <c r="C428" i="22"/>
  <c r="C430" i="22" s="1"/>
  <c r="J427" i="22"/>
  <c r="I427" i="22"/>
  <c r="G427" i="22"/>
  <c r="F427" i="22"/>
  <c r="H426" i="22"/>
  <c r="E426" i="22"/>
  <c r="D426" i="22"/>
  <c r="C426" i="22"/>
  <c r="H425" i="22"/>
  <c r="H427" i="22" s="1"/>
  <c r="E425" i="22"/>
  <c r="E427" i="22" s="1"/>
  <c r="D425" i="22"/>
  <c r="D427" i="22" s="1"/>
  <c r="C425" i="22"/>
  <c r="J424" i="22"/>
  <c r="I424" i="22"/>
  <c r="G424" i="22"/>
  <c r="F424" i="22"/>
  <c r="H423" i="22"/>
  <c r="E423" i="22"/>
  <c r="D423" i="22"/>
  <c r="C423" i="22"/>
  <c r="H422" i="22"/>
  <c r="H424" i="22" s="1"/>
  <c r="E422" i="22"/>
  <c r="E424" i="22" s="1"/>
  <c r="D422" i="22"/>
  <c r="D424" i="22" s="1"/>
  <c r="C422" i="22"/>
  <c r="C424" i="22" s="1"/>
  <c r="B422" i="22"/>
  <c r="J421" i="22"/>
  <c r="I421" i="22"/>
  <c r="I490" i="22" s="1"/>
  <c r="G421" i="22"/>
  <c r="F421" i="22"/>
  <c r="F490" i="22" s="1"/>
  <c r="H420" i="22"/>
  <c r="E420" i="22"/>
  <c r="E489" i="22" s="1"/>
  <c r="D420" i="22"/>
  <c r="C420" i="22"/>
  <c r="C489" i="22" s="1"/>
  <c r="H419" i="22"/>
  <c r="E419" i="22"/>
  <c r="D419" i="22"/>
  <c r="C419" i="22"/>
  <c r="C488" i="22" s="1"/>
  <c r="J415" i="22"/>
  <c r="I415" i="22"/>
  <c r="G415" i="22"/>
  <c r="F415" i="22"/>
  <c r="J414" i="22"/>
  <c r="I414" i="22"/>
  <c r="G414" i="22"/>
  <c r="F414" i="22"/>
  <c r="J413" i="22"/>
  <c r="I413" i="22"/>
  <c r="G413" i="22"/>
  <c r="F413" i="22"/>
  <c r="H412" i="22"/>
  <c r="E412" i="22"/>
  <c r="D412" i="22"/>
  <c r="C412" i="22"/>
  <c r="B412" i="22" s="1"/>
  <c r="H411" i="22"/>
  <c r="H413" i="22" s="1"/>
  <c r="E411" i="22"/>
  <c r="E413" i="22" s="1"/>
  <c r="D411" i="22"/>
  <c r="D413" i="22" s="1"/>
  <c r="C411" i="22"/>
  <c r="C413" i="22" s="1"/>
  <c r="J410" i="22"/>
  <c r="I410" i="22"/>
  <c r="G410" i="22"/>
  <c r="F410" i="22"/>
  <c r="H409" i="22"/>
  <c r="E409" i="22"/>
  <c r="D409" i="22"/>
  <c r="C409" i="22"/>
  <c r="H408" i="22"/>
  <c r="H410" i="22" s="1"/>
  <c r="E408" i="22"/>
  <c r="E410" i="22" s="1"/>
  <c r="D408" i="22"/>
  <c r="D410" i="22" s="1"/>
  <c r="C408" i="22"/>
  <c r="C410" i="22" s="1"/>
  <c r="J407" i="22"/>
  <c r="I407" i="22"/>
  <c r="G407" i="22"/>
  <c r="F407" i="22"/>
  <c r="H406" i="22"/>
  <c r="E406" i="22"/>
  <c r="D406" i="22"/>
  <c r="C406" i="22"/>
  <c r="H405" i="22"/>
  <c r="H407" i="22" s="1"/>
  <c r="E405" i="22"/>
  <c r="E407" i="22" s="1"/>
  <c r="D405" i="22"/>
  <c r="D407" i="22" s="1"/>
  <c r="C405" i="22"/>
  <c r="C407" i="22" s="1"/>
  <c r="J404" i="22"/>
  <c r="I404" i="22"/>
  <c r="G404" i="22"/>
  <c r="F404" i="22"/>
  <c r="H403" i="22"/>
  <c r="E403" i="22"/>
  <c r="D403" i="22"/>
  <c r="C403" i="22"/>
  <c r="B403" i="22"/>
  <c r="H402" i="22"/>
  <c r="E402" i="22"/>
  <c r="E404" i="22" s="1"/>
  <c r="D402" i="22"/>
  <c r="C402" i="22"/>
  <c r="C404" i="22" s="1"/>
  <c r="J401" i="22"/>
  <c r="I401" i="22"/>
  <c r="G401" i="22"/>
  <c r="F401" i="22"/>
  <c r="H400" i="22"/>
  <c r="E400" i="22"/>
  <c r="D400" i="22"/>
  <c r="C400" i="22"/>
  <c r="B400" i="22" s="1"/>
  <c r="H399" i="22"/>
  <c r="H401" i="22" s="1"/>
  <c r="E399" i="22"/>
  <c r="E401" i="22" s="1"/>
  <c r="D399" i="22"/>
  <c r="D401" i="22" s="1"/>
  <c r="C399" i="22"/>
  <c r="C401" i="22" s="1"/>
  <c r="J398" i="22"/>
  <c r="I398" i="22"/>
  <c r="G398" i="22"/>
  <c r="F398" i="22"/>
  <c r="H397" i="22"/>
  <c r="E397" i="22"/>
  <c r="D397" i="22"/>
  <c r="C397" i="22"/>
  <c r="B397" i="22" s="1"/>
  <c r="H396" i="22"/>
  <c r="H398" i="22" s="1"/>
  <c r="E396" i="22"/>
  <c r="D396" i="22"/>
  <c r="D398" i="22" s="1"/>
  <c r="C396" i="22"/>
  <c r="J395" i="22"/>
  <c r="I395" i="22"/>
  <c r="G395" i="22"/>
  <c r="F395" i="22"/>
  <c r="H394" i="22"/>
  <c r="E394" i="22"/>
  <c r="D394" i="22"/>
  <c r="C394" i="22"/>
  <c r="H393" i="22"/>
  <c r="H395" i="22" s="1"/>
  <c r="E393" i="22"/>
  <c r="E395" i="22" s="1"/>
  <c r="D393" i="22"/>
  <c r="D395" i="22" s="1"/>
  <c r="C393" i="22"/>
  <c r="C395" i="22" s="1"/>
  <c r="J392" i="22"/>
  <c r="I392" i="22"/>
  <c r="G392" i="22"/>
  <c r="F392" i="22"/>
  <c r="H391" i="22"/>
  <c r="E391" i="22"/>
  <c r="D391" i="22"/>
  <c r="C391" i="22"/>
  <c r="B391" i="22"/>
  <c r="H390" i="22"/>
  <c r="E390" i="22"/>
  <c r="E392" i="22" s="1"/>
  <c r="D390" i="22"/>
  <c r="C390" i="22"/>
  <c r="C392" i="22" s="1"/>
  <c r="J389" i="22"/>
  <c r="I389" i="22"/>
  <c r="G389" i="22"/>
  <c r="F389" i="22"/>
  <c r="H388" i="22"/>
  <c r="E388" i="22"/>
  <c r="D388" i="22"/>
  <c r="C388" i="22"/>
  <c r="B388" i="22" s="1"/>
  <c r="H387" i="22"/>
  <c r="H389" i="22" s="1"/>
  <c r="E387" i="22"/>
  <c r="E389" i="22" s="1"/>
  <c r="D387" i="22"/>
  <c r="D389" i="22" s="1"/>
  <c r="C387" i="22"/>
  <c r="C389" i="22" s="1"/>
  <c r="J386" i="22"/>
  <c r="I386" i="22"/>
  <c r="G386" i="22"/>
  <c r="F386" i="22"/>
  <c r="H385" i="22"/>
  <c r="E385" i="22"/>
  <c r="D385" i="22"/>
  <c r="C385" i="22"/>
  <c r="B385" i="22" s="1"/>
  <c r="H384" i="22"/>
  <c r="H386" i="22" s="1"/>
  <c r="E384" i="22"/>
  <c r="D384" i="22"/>
  <c r="D386" i="22" s="1"/>
  <c r="C384" i="22"/>
  <c r="J383" i="22"/>
  <c r="I383" i="22"/>
  <c r="G383" i="22"/>
  <c r="F383" i="22"/>
  <c r="H382" i="22"/>
  <c r="E382" i="22"/>
  <c r="D382" i="22"/>
  <c r="C382" i="22"/>
  <c r="H381" i="22"/>
  <c r="H383" i="22" s="1"/>
  <c r="E381" i="22"/>
  <c r="E383" i="22" s="1"/>
  <c r="D381" i="22"/>
  <c r="D383" i="22" s="1"/>
  <c r="C381" i="22"/>
  <c r="C383" i="22" s="1"/>
  <c r="J380" i="22"/>
  <c r="I380" i="22"/>
  <c r="G380" i="22"/>
  <c r="F380" i="22"/>
  <c r="H379" i="22"/>
  <c r="E379" i="22"/>
  <c r="D379" i="22"/>
  <c r="C379" i="22"/>
  <c r="H378" i="22"/>
  <c r="H380" i="22" s="1"/>
  <c r="E378" i="22"/>
  <c r="E380" i="22" s="1"/>
  <c r="D378" i="22"/>
  <c r="D380" i="22" s="1"/>
  <c r="C378" i="22"/>
  <c r="C380" i="22" s="1"/>
  <c r="B378" i="22"/>
  <c r="J377" i="22"/>
  <c r="I377" i="22"/>
  <c r="G377" i="22"/>
  <c r="F377" i="22"/>
  <c r="H376" i="22"/>
  <c r="E376" i="22"/>
  <c r="D376" i="22"/>
  <c r="C376" i="22"/>
  <c r="B376" i="22" s="1"/>
  <c r="H375" i="22"/>
  <c r="H377" i="22" s="1"/>
  <c r="E375" i="22"/>
  <c r="E377" i="22" s="1"/>
  <c r="D375" i="22"/>
  <c r="D377" i="22" s="1"/>
  <c r="C375" i="22"/>
  <c r="J374" i="22"/>
  <c r="I374" i="22"/>
  <c r="G374" i="22"/>
  <c r="F374" i="22"/>
  <c r="H373" i="22"/>
  <c r="E373" i="22"/>
  <c r="D373" i="22"/>
  <c r="C373" i="22"/>
  <c r="B373" i="22" s="1"/>
  <c r="H372" i="22"/>
  <c r="H374" i="22" s="1"/>
  <c r="E372" i="22"/>
  <c r="E374" i="22" s="1"/>
  <c r="D372" i="22"/>
  <c r="D374" i="22" s="1"/>
  <c r="C372" i="22"/>
  <c r="C374" i="22" s="1"/>
  <c r="J371" i="22"/>
  <c r="I371" i="22"/>
  <c r="G371" i="22"/>
  <c r="F371" i="22"/>
  <c r="H370" i="22"/>
  <c r="E370" i="22"/>
  <c r="D370" i="22"/>
  <c r="C370" i="22"/>
  <c r="B370" i="22"/>
  <c r="H369" i="22"/>
  <c r="E369" i="22"/>
  <c r="E371" i="22" s="1"/>
  <c r="D369" i="22"/>
  <c r="C369" i="22"/>
  <c r="B369" i="22" s="1"/>
  <c r="B371" i="22" s="1"/>
  <c r="J368" i="22"/>
  <c r="I368" i="22"/>
  <c r="G368" i="22"/>
  <c r="F368" i="22"/>
  <c r="H367" i="22"/>
  <c r="E367" i="22"/>
  <c r="D367" i="22"/>
  <c r="C367" i="22"/>
  <c r="B367" i="22" s="1"/>
  <c r="H366" i="22"/>
  <c r="H368" i="22" s="1"/>
  <c r="E366" i="22"/>
  <c r="E368" i="22" s="1"/>
  <c r="D366" i="22"/>
  <c r="D368" i="22" s="1"/>
  <c r="C366" i="22"/>
  <c r="C368" i="22" s="1"/>
  <c r="J365" i="22"/>
  <c r="I365" i="22"/>
  <c r="G365" i="22"/>
  <c r="F365" i="22"/>
  <c r="H364" i="22"/>
  <c r="E364" i="22"/>
  <c r="D364" i="22"/>
  <c r="C364" i="22"/>
  <c r="B364" i="22" s="1"/>
  <c r="H363" i="22"/>
  <c r="H365" i="22" s="1"/>
  <c r="E363" i="22"/>
  <c r="D363" i="22"/>
  <c r="D365" i="22" s="1"/>
  <c r="C363" i="22"/>
  <c r="J362" i="22"/>
  <c r="I362" i="22"/>
  <c r="G362" i="22"/>
  <c r="F362" i="22"/>
  <c r="H361" i="22"/>
  <c r="E361" i="22"/>
  <c r="D361" i="22"/>
  <c r="C361" i="22"/>
  <c r="H360" i="22"/>
  <c r="H362" i="22" s="1"/>
  <c r="E360" i="22"/>
  <c r="E362" i="22" s="1"/>
  <c r="D360" i="22"/>
  <c r="D362" i="22" s="1"/>
  <c r="C360" i="22"/>
  <c r="C362" i="22" s="1"/>
  <c r="J359" i="22"/>
  <c r="I359" i="22"/>
  <c r="G359" i="22"/>
  <c r="F359" i="22"/>
  <c r="H358" i="22"/>
  <c r="E358" i="22"/>
  <c r="D358" i="22"/>
  <c r="C358" i="22"/>
  <c r="B358" i="22"/>
  <c r="H357" i="22"/>
  <c r="E357" i="22"/>
  <c r="E359" i="22" s="1"/>
  <c r="D357" i="22"/>
  <c r="C357" i="22"/>
  <c r="B357" i="22" s="1"/>
  <c r="B359" i="22" s="1"/>
  <c r="J356" i="22"/>
  <c r="I356" i="22"/>
  <c r="G356" i="22"/>
  <c r="F356" i="22"/>
  <c r="H355" i="22"/>
  <c r="E355" i="22"/>
  <c r="D355" i="22"/>
  <c r="C355" i="22"/>
  <c r="B355" i="22" s="1"/>
  <c r="H354" i="22"/>
  <c r="H356" i="22" s="1"/>
  <c r="E354" i="22"/>
  <c r="E356" i="22" s="1"/>
  <c r="D354" i="22"/>
  <c r="D356" i="22" s="1"/>
  <c r="C354" i="22"/>
  <c r="C356" i="22" s="1"/>
  <c r="J353" i="22"/>
  <c r="I353" i="22"/>
  <c r="G353" i="22"/>
  <c r="F353" i="22"/>
  <c r="H352" i="22"/>
  <c r="E352" i="22"/>
  <c r="D352" i="22"/>
  <c r="C352" i="22"/>
  <c r="B352" i="22" s="1"/>
  <c r="H351" i="22"/>
  <c r="E351" i="22"/>
  <c r="D351" i="22"/>
  <c r="C351" i="22"/>
  <c r="J350" i="22"/>
  <c r="I350" i="22"/>
  <c r="G350" i="22"/>
  <c r="F350" i="22"/>
  <c r="H349" i="22"/>
  <c r="E349" i="22"/>
  <c r="D349" i="22"/>
  <c r="C349" i="22"/>
  <c r="H348" i="22"/>
  <c r="H350" i="22" s="1"/>
  <c r="E348" i="22"/>
  <c r="E350" i="22" s="1"/>
  <c r="D348" i="22"/>
  <c r="D350" i="22" s="1"/>
  <c r="C348" i="22"/>
  <c r="C350" i="22" s="1"/>
  <c r="J347" i="22"/>
  <c r="I347" i="22"/>
  <c r="G347" i="22"/>
  <c r="F347" i="22"/>
  <c r="H346" i="22"/>
  <c r="E346" i="22"/>
  <c r="D346" i="22"/>
  <c r="C346" i="22"/>
  <c r="B346" i="22"/>
  <c r="H345" i="22"/>
  <c r="E345" i="22"/>
  <c r="E347" i="22" s="1"/>
  <c r="D345" i="22"/>
  <c r="C345" i="22"/>
  <c r="B345" i="22" s="1"/>
  <c r="B347" i="22" s="1"/>
  <c r="J344" i="22"/>
  <c r="I344" i="22"/>
  <c r="G344" i="22"/>
  <c r="F344" i="22"/>
  <c r="H343" i="22"/>
  <c r="E343" i="22"/>
  <c r="D343" i="22"/>
  <c r="C343" i="22"/>
  <c r="B343" i="22" s="1"/>
  <c r="H342" i="22"/>
  <c r="H344" i="22" s="1"/>
  <c r="E342" i="22"/>
  <c r="E344" i="22" s="1"/>
  <c r="D342" i="22"/>
  <c r="D344" i="22" s="1"/>
  <c r="C342" i="22"/>
  <c r="C344" i="22" s="1"/>
  <c r="J341" i="22"/>
  <c r="I341" i="22"/>
  <c r="I416" i="22" s="1"/>
  <c r="G341" i="22"/>
  <c r="F341" i="22"/>
  <c r="F416" i="22" s="1"/>
  <c r="H340" i="22"/>
  <c r="E340" i="22"/>
  <c r="E415" i="22" s="1"/>
  <c r="D340" i="22"/>
  <c r="C340" i="22"/>
  <c r="C415" i="22" s="1"/>
  <c r="H339" i="22"/>
  <c r="H341" i="22" s="1"/>
  <c r="E339" i="22"/>
  <c r="D339" i="22"/>
  <c r="D341" i="22" s="1"/>
  <c r="C339" i="22"/>
  <c r="I336" i="22"/>
  <c r="F336" i="22"/>
  <c r="J335" i="22"/>
  <c r="I335" i="22"/>
  <c r="G335" i="22"/>
  <c r="F335" i="22"/>
  <c r="J334" i="22"/>
  <c r="I334" i="22"/>
  <c r="F334" i="22"/>
  <c r="J333" i="22"/>
  <c r="H333" i="22" s="1"/>
  <c r="G333" i="22"/>
  <c r="E333" i="22" s="1"/>
  <c r="C333" i="22"/>
  <c r="H332" i="22"/>
  <c r="E332" i="22"/>
  <c r="D332" i="22"/>
  <c r="C332" i="22"/>
  <c r="H331" i="22"/>
  <c r="E331" i="22"/>
  <c r="D331" i="22"/>
  <c r="C331" i="22"/>
  <c r="J330" i="22"/>
  <c r="H330" i="22" s="1"/>
  <c r="G330" i="22"/>
  <c r="E330" i="22" s="1"/>
  <c r="D330" i="22"/>
  <c r="C330" i="22"/>
  <c r="B330" i="22"/>
  <c r="H329" i="22"/>
  <c r="E329" i="22"/>
  <c r="D329" i="22"/>
  <c r="C329" i="22"/>
  <c r="B329" i="22" s="1"/>
  <c r="H328" i="22"/>
  <c r="E328" i="22"/>
  <c r="D328" i="22"/>
  <c r="C328" i="22"/>
  <c r="B328" i="22" s="1"/>
  <c r="J327" i="22"/>
  <c r="H327" i="22" s="1"/>
  <c r="C327" i="22"/>
  <c r="H326" i="22"/>
  <c r="E326" i="22"/>
  <c r="D326" i="22"/>
  <c r="C326" i="22"/>
  <c r="B326" i="22" s="1"/>
  <c r="H325" i="22"/>
  <c r="G325" i="22"/>
  <c r="G327" i="22" s="1"/>
  <c r="C325" i="22"/>
  <c r="J324" i="22"/>
  <c r="H324" i="22" s="1"/>
  <c r="G324" i="22"/>
  <c r="E324" i="22" s="1"/>
  <c r="D324" i="22"/>
  <c r="C324" i="22"/>
  <c r="H323" i="22"/>
  <c r="E323" i="22"/>
  <c r="D323" i="22"/>
  <c r="C323" i="22"/>
  <c r="H322" i="22"/>
  <c r="E322" i="22"/>
  <c r="D322" i="22"/>
  <c r="C322" i="22"/>
  <c r="J321" i="22"/>
  <c r="H321" i="22" s="1"/>
  <c r="G321" i="22"/>
  <c r="E321" i="22" s="1"/>
  <c r="D321" i="22"/>
  <c r="C321" i="22"/>
  <c r="B321" i="22"/>
  <c r="H320" i="22"/>
  <c r="E320" i="22"/>
  <c r="D320" i="22"/>
  <c r="C320" i="22"/>
  <c r="B320" i="22" s="1"/>
  <c r="H319" i="22"/>
  <c r="E319" i="22"/>
  <c r="D319" i="22"/>
  <c r="C319" i="22"/>
  <c r="B319" i="22" s="1"/>
  <c r="J318" i="22"/>
  <c r="H318" i="22" s="1"/>
  <c r="C318" i="22"/>
  <c r="H317" i="22"/>
  <c r="E317" i="22"/>
  <c r="D317" i="22"/>
  <c r="C317" i="22"/>
  <c r="B317" i="22" s="1"/>
  <c r="H316" i="22"/>
  <c r="G316" i="22"/>
  <c r="G334" i="22" s="1"/>
  <c r="C316" i="22"/>
  <c r="J315" i="22"/>
  <c r="J336" i="22" s="1"/>
  <c r="G315" i="22"/>
  <c r="E315" i="22" s="1"/>
  <c r="D315" i="22"/>
  <c r="C315" i="22"/>
  <c r="H314" i="22"/>
  <c r="H335" i="22" s="1"/>
  <c r="E314" i="22"/>
  <c r="D314" i="22"/>
  <c r="D335" i="22" s="1"/>
  <c r="C314" i="22"/>
  <c r="H313" i="22"/>
  <c r="H334" i="22" s="1"/>
  <c r="E313" i="22"/>
  <c r="D313" i="22"/>
  <c r="C313" i="22"/>
  <c r="J309" i="22"/>
  <c r="I309" i="22"/>
  <c r="G309" i="22"/>
  <c r="F309" i="22"/>
  <c r="J308" i="22"/>
  <c r="I308" i="22"/>
  <c r="G308" i="22"/>
  <c r="F308" i="22"/>
  <c r="J307" i="22"/>
  <c r="I307" i="22"/>
  <c r="G307" i="22"/>
  <c r="F307" i="22"/>
  <c r="H306" i="22"/>
  <c r="E306" i="22"/>
  <c r="D306" i="22"/>
  <c r="C306" i="22"/>
  <c r="B306" i="22"/>
  <c r="H305" i="22"/>
  <c r="E305" i="22"/>
  <c r="E307" i="22" s="1"/>
  <c r="D305" i="22"/>
  <c r="C305" i="22"/>
  <c r="B305" i="22" s="1"/>
  <c r="B307" i="22" s="1"/>
  <c r="J304" i="22"/>
  <c r="I304" i="22"/>
  <c r="G304" i="22"/>
  <c r="F304" i="22"/>
  <c r="H303" i="22"/>
  <c r="E303" i="22"/>
  <c r="D303" i="22"/>
  <c r="C303" i="22"/>
  <c r="B303" i="22" s="1"/>
  <c r="H302" i="22"/>
  <c r="H304" i="22" s="1"/>
  <c r="E302" i="22"/>
  <c r="E304" i="22" s="1"/>
  <c r="D302" i="22"/>
  <c r="D304" i="22" s="1"/>
  <c r="C302" i="22"/>
  <c r="C304" i="22" s="1"/>
  <c r="J301" i="22"/>
  <c r="I301" i="22"/>
  <c r="G301" i="22"/>
  <c r="F301" i="22"/>
  <c r="H300" i="22"/>
  <c r="E300" i="22"/>
  <c r="D300" i="22"/>
  <c r="C300" i="22"/>
  <c r="B300" i="22" s="1"/>
  <c r="H299" i="22"/>
  <c r="E299" i="22"/>
  <c r="D299" i="22"/>
  <c r="D301" i="22" s="1"/>
  <c r="C299" i="22"/>
  <c r="J298" i="22"/>
  <c r="I298" i="22"/>
  <c r="G298" i="22"/>
  <c r="F298" i="22"/>
  <c r="H297" i="22"/>
  <c r="E297" i="22"/>
  <c r="D297" i="22"/>
  <c r="C297" i="22"/>
  <c r="H296" i="22"/>
  <c r="H298" i="22" s="1"/>
  <c r="E296" i="22"/>
  <c r="E298" i="22" s="1"/>
  <c r="D296" i="22"/>
  <c r="D298" i="22" s="1"/>
  <c r="C296" i="22"/>
  <c r="C298" i="22" s="1"/>
  <c r="J295" i="22"/>
  <c r="I295" i="22"/>
  <c r="G295" i="22"/>
  <c r="F295" i="22"/>
  <c r="H294" i="22"/>
  <c r="E294" i="22"/>
  <c r="D294" i="22"/>
  <c r="C294" i="22"/>
  <c r="B294" i="22"/>
  <c r="H293" i="22"/>
  <c r="E293" i="22"/>
  <c r="E295" i="22" s="1"/>
  <c r="D293" i="22"/>
  <c r="C293" i="22"/>
  <c r="B293" i="22" s="1"/>
  <c r="B295" i="22" s="1"/>
  <c r="J292" i="22"/>
  <c r="I292" i="22"/>
  <c r="G292" i="22"/>
  <c r="F292" i="22"/>
  <c r="H291" i="22"/>
  <c r="E291" i="22"/>
  <c r="D291" i="22"/>
  <c r="C291" i="22"/>
  <c r="B291" i="22" s="1"/>
  <c r="H290" i="22"/>
  <c r="H292" i="22" s="1"/>
  <c r="E290" i="22"/>
  <c r="E292" i="22" s="1"/>
  <c r="D290" i="22"/>
  <c r="D292" i="22" s="1"/>
  <c r="C290" i="22"/>
  <c r="C292" i="22" s="1"/>
  <c r="J289" i="22"/>
  <c r="I289" i="22"/>
  <c r="G289" i="22"/>
  <c r="F289" i="22"/>
  <c r="H288" i="22"/>
  <c r="E288" i="22"/>
  <c r="D288" i="22"/>
  <c r="C288" i="22"/>
  <c r="B288" i="22" s="1"/>
  <c r="H287" i="22"/>
  <c r="E287" i="22"/>
  <c r="D287" i="22"/>
  <c r="C287" i="22"/>
  <c r="J286" i="22"/>
  <c r="I286" i="22"/>
  <c r="G286" i="22"/>
  <c r="F286" i="22"/>
  <c r="H285" i="22"/>
  <c r="E285" i="22"/>
  <c r="D285" i="22"/>
  <c r="C285" i="22"/>
  <c r="H284" i="22"/>
  <c r="H286" i="22" s="1"/>
  <c r="E284" i="22"/>
  <c r="E286" i="22" s="1"/>
  <c r="D284" i="22"/>
  <c r="D286" i="22" s="1"/>
  <c r="C284" i="22"/>
  <c r="C286" i="22" s="1"/>
  <c r="J283" i="22"/>
  <c r="I283" i="22"/>
  <c r="G283" i="22"/>
  <c r="F283" i="22"/>
  <c r="H282" i="22"/>
  <c r="E282" i="22"/>
  <c r="D282" i="22"/>
  <c r="C282" i="22"/>
  <c r="B282" i="22"/>
  <c r="H281" i="22"/>
  <c r="E281" i="22"/>
  <c r="E283" i="22" s="1"/>
  <c r="D281" i="22"/>
  <c r="C281" i="22"/>
  <c r="B281" i="22" s="1"/>
  <c r="B283" i="22" s="1"/>
  <c r="J280" i="22"/>
  <c r="I280" i="22"/>
  <c r="G280" i="22"/>
  <c r="F280" i="22"/>
  <c r="H279" i="22"/>
  <c r="E279" i="22"/>
  <c r="D279" i="22"/>
  <c r="C279" i="22"/>
  <c r="B279" i="22" s="1"/>
  <c r="H278" i="22"/>
  <c r="H280" i="22" s="1"/>
  <c r="E278" i="22"/>
  <c r="E280" i="22" s="1"/>
  <c r="D278" i="22"/>
  <c r="D280" i="22" s="1"/>
  <c r="C278" i="22"/>
  <c r="C280" i="22" s="1"/>
  <c r="J277" i="22"/>
  <c r="I277" i="22"/>
  <c r="G277" i="22"/>
  <c r="F277" i="22"/>
  <c r="H276" i="22"/>
  <c r="E276" i="22"/>
  <c r="D276" i="22"/>
  <c r="C276" i="22"/>
  <c r="B276" i="22" s="1"/>
  <c r="H275" i="22"/>
  <c r="E275" i="22"/>
  <c r="D275" i="22"/>
  <c r="C275" i="22"/>
  <c r="J274" i="22"/>
  <c r="I274" i="22"/>
  <c r="G274" i="22"/>
  <c r="F274" i="22"/>
  <c r="H273" i="22"/>
  <c r="E273" i="22"/>
  <c r="D273" i="22"/>
  <c r="C273" i="22"/>
  <c r="H272" i="22"/>
  <c r="H274" i="22" s="1"/>
  <c r="E272" i="22"/>
  <c r="E274" i="22" s="1"/>
  <c r="D272" i="22"/>
  <c r="D274" i="22" s="1"/>
  <c r="C272" i="22"/>
  <c r="C274" i="22" s="1"/>
  <c r="J271" i="22"/>
  <c r="I271" i="22"/>
  <c r="G271" i="22"/>
  <c r="F271" i="22"/>
  <c r="H270" i="22"/>
  <c r="E270" i="22"/>
  <c r="D270" i="22"/>
  <c r="C270" i="22"/>
  <c r="B270" i="22"/>
  <c r="H269" i="22"/>
  <c r="E269" i="22"/>
  <c r="E271" i="22" s="1"/>
  <c r="D269" i="22"/>
  <c r="C269" i="22"/>
  <c r="B269" i="22" s="1"/>
  <c r="B271" i="22" s="1"/>
  <c r="J268" i="22"/>
  <c r="I268" i="22"/>
  <c r="G268" i="22"/>
  <c r="F268" i="22"/>
  <c r="H267" i="22"/>
  <c r="E267" i="22"/>
  <c r="D267" i="22"/>
  <c r="C267" i="22"/>
  <c r="B267" i="22" s="1"/>
  <c r="H266" i="22"/>
  <c r="H268" i="22" s="1"/>
  <c r="E266" i="22"/>
  <c r="E268" i="22" s="1"/>
  <c r="D266" i="22"/>
  <c r="D268" i="22" s="1"/>
  <c r="C266" i="22"/>
  <c r="C268" i="22" s="1"/>
  <c r="J265" i="22"/>
  <c r="I265" i="22"/>
  <c r="G265" i="22"/>
  <c r="F265" i="22"/>
  <c r="H264" i="22"/>
  <c r="E264" i="22"/>
  <c r="D264" i="22"/>
  <c r="C264" i="22"/>
  <c r="B264" i="22" s="1"/>
  <c r="H263" i="22"/>
  <c r="E263" i="22"/>
  <c r="D263" i="22"/>
  <c r="C263" i="22"/>
  <c r="J262" i="22"/>
  <c r="I262" i="22"/>
  <c r="G262" i="22"/>
  <c r="F262" i="22"/>
  <c r="H261" i="22"/>
  <c r="E261" i="22"/>
  <c r="D261" i="22"/>
  <c r="C261" i="22"/>
  <c r="H260" i="22"/>
  <c r="H262" i="22" s="1"/>
  <c r="E260" i="22"/>
  <c r="E262" i="22" s="1"/>
  <c r="D260" i="22"/>
  <c r="D262" i="22" s="1"/>
  <c r="C260" i="22"/>
  <c r="C262" i="22" s="1"/>
  <c r="J259" i="22"/>
  <c r="I259" i="22"/>
  <c r="G259" i="22"/>
  <c r="F259" i="22"/>
  <c r="H258" i="22"/>
  <c r="E258" i="22"/>
  <c r="D258" i="22"/>
  <c r="C258" i="22"/>
  <c r="B258" i="22"/>
  <c r="H257" i="22"/>
  <c r="E257" i="22"/>
  <c r="E259" i="22" s="1"/>
  <c r="D257" i="22"/>
  <c r="C257" i="22"/>
  <c r="B257" i="22" s="1"/>
  <c r="B259" i="22" s="1"/>
  <c r="J256" i="22"/>
  <c r="I256" i="22"/>
  <c r="G256" i="22"/>
  <c r="F256" i="22"/>
  <c r="H255" i="22"/>
  <c r="E255" i="22"/>
  <c r="D255" i="22"/>
  <c r="C255" i="22"/>
  <c r="B255" i="22" s="1"/>
  <c r="H254" i="22"/>
  <c r="H256" i="22" s="1"/>
  <c r="E254" i="22"/>
  <c r="E256" i="22" s="1"/>
  <c r="D254" i="22"/>
  <c r="D256" i="22" s="1"/>
  <c r="C254" i="22"/>
  <c r="C256" i="22" s="1"/>
  <c r="J253" i="22"/>
  <c r="I253" i="22"/>
  <c r="G253" i="22"/>
  <c r="F253" i="22"/>
  <c r="H252" i="22"/>
  <c r="E252" i="22"/>
  <c r="D252" i="22"/>
  <c r="C252" i="22"/>
  <c r="B252" i="22" s="1"/>
  <c r="H251" i="22"/>
  <c r="E251" i="22"/>
  <c r="D251" i="22"/>
  <c r="C251" i="22"/>
  <c r="J247" i="22"/>
  <c r="I247" i="22"/>
  <c r="G247" i="22"/>
  <c r="F247" i="22"/>
  <c r="J246" i="22"/>
  <c r="I246" i="22"/>
  <c r="G246" i="22"/>
  <c r="F246" i="22"/>
  <c r="J245" i="22"/>
  <c r="I245" i="22"/>
  <c r="G245" i="22"/>
  <c r="F245" i="22"/>
  <c r="H244" i="22"/>
  <c r="E244" i="22"/>
  <c r="D244" i="22"/>
  <c r="C244" i="22"/>
  <c r="H243" i="22"/>
  <c r="H245" i="22" s="1"/>
  <c r="E243" i="22"/>
  <c r="D243" i="22"/>
  <c r="D245" i="22" s="1"/>
  <c r="C243" i="22"/>
  <c r="J242" i="22"/>
  <c r="I242" i="22"/>
  <c r="G242" i="22"/>
  <c r="F242" i="22"/>
  <c r="H241" i="22"/>
  <c r="E241" i="22"/>
  <c r="D241" i="22"/>
  <c r="C241" i="22"/>
  <c r="H240" i="22"/>
  <c r="H242" i="22" s="1"/>
  <c r="E240" i="22"/>
  <c r="E242" i="22" s="1"/>
  <c r="D240" i="22"/>
  <c r="D242" i="22" s="1"/>
  <c r="C240" i="22"/>
  <c r="C242" i="22" s="1"/>
  <c r="B240" i="22"/>
  <c r="J239" i="22"/>
  <c r="I239" i="22"/>
  <c r="G239" i="22"/>
  <c r="F239" i="22"/>
  <c r="H238" i="22"/>
  <c r="E238" i="22"/>
  <c r="D238" i="22"/>
  <c r="C238" i="22"/>
  <c r="B238" i="22" s="1"/>
  <c r="H237" i="22"/>
  <c r="H239" i="22" s="1"/>
  <c r="E237" i="22"/>
  <c r="D237" i="22"/>
  <c r="D239" i="22" s="1"/>
  <c r="C237" i="22"/>
  <c r="J236" i="22"/>
  <c r="I236" i="22"/>
  <c r="G236" i="22"/>
  <c r="F236" i="22"/>
  <c r="H235" i="22"/>
  <c r="E235" i="22"/>
  <c r="D235" i="22"/>
  <c r="C235" i="22"/>
  <c r="H234" i="22"/>
  <c r="H236" i="22" s="1"/>
  <c r="E234" i="22"/>
  <c r="E236" i="22" s="1"/>
  <c r="D234" i="22"/>
  <c r="D236" i="22" s="1"/>
  <c r="C234" i="22"/>
  <c r="C236" i="22" s="1"/>
  <c r="J233" i="22"/>
  <c r="I233" i="22"/>
  <c r="G233" i="22"/>
  <c r="F233" i="22"/>
  <c r="H232" i="22"/>
  <c r="E232" i="22"/>
  <c r="D232" i="22"/>
  <c r="C232" i="22"/>
  <c r="H231" i="22"/>
  <c r="H233" i="22" s="1"/>
  <c r="E231" i="22"/>
  <c r="D231" i="22"/>
  <c r="D233" i="22" s="1"/>
  <c r="C231" i="22"/>
  <c r="J230" i="22"/>
  <c r="I230" i="22"/>
  <c r="G230" i="22"/>
  <c r="F230" i="22"/>
  <c r="H229" i="22"/>
  <c r="E229" i="22"/>
  <c r="D229" i="22"/>
  <c r="C229" i="22"/>
  <c r="H228" i="22"/>
  <c r="H230" i="22" s="1"/>
  <c r="E228" i="22"/>
  <c r="E230" i="22" s="1"/>
  <c r="D228" i="22"/>
  <c r="D230" i="22" s="1"/>
  <c r="C228" i="22"/>
  <c r="C230" i="22" s="1"/>
  <c r="B228" i="22"/>
  <c r="J227" i="22"/>
  <c r="I227" i="22"/>
  <c r="G227" i="22"/>
  <c r="F227" i="22"/>
  <c r="H226" i="22"/>
  <c r="E226" i="22"/>
  <c r="D226" i="22"/>
  <c r="C226" i="22"/>
  <c r="B226" i="22" s="1"/>
  <c r="H225" i="22"/>
  <c r="H227" i="22" s="1"/>
  <c r="E225" i="22"/>
  <c r="D225" i="22"/>
  <c r="D227" i="22" s="1"/>
  <c r="C225" i="22"/>
  <c r="J224" i="22"/>
  <c r="I224" i="22"/>
  <c r="G224" i="22"/>
  <c r="F224" i="22"/>
  <c r="H223" i="22"/>
  <c r="E223" i="22"/>
  <c r="D223" i="22"/>
  <c r="C223" i="22"/>
  <c r="H222" i="22"/>
  <c r="H224" i="22" s="1"/>
  <c r="E222" i="22"/>
  <c r="E224" i="22" s="1"/>
  <c r="D222" i="22"/>
  <c r="D224" i="22" s="1"/>
  <c r="C222" i="22"/>
  <c r="C224" i="22" s="1"/>
  <c r="J221" i="22"/>
  <c r="I221" i="22"/>
  <c r="G221" i="22"/>
  <c r="F221" i="22"/>
  <c r="H220" i="22"/>
  <c r="E220" i="22"/>
  <c r="D220" i="22"/>
  <c r="C220" i="22"/>
  <c r="H219" i="22"/>
  <c r="H221" i="22" s="1"/>
  <c r="E219" i="22"/>
  <c r="D219" i="22"/>
  <c r="D221" i="22" s="1"/>
  <c r="C219" i="22"/>
  <c r="J218" i="22"/>
  <c r="I218" i="22"/>
  <c r="G218" i="22"/>
  <c r="F218" i="22"/>
  <c r="H217" i="22"/>
  <c r="E217" i="22"/>
  <c r="D217" i="22"/>
  <c r="C217" i="22"/>
  <c r="H216" i="22"/>
  <c r="H218" i="22" s="1"/>
  <c r="E216" i="22"/>
  <c r="E218" i="22" s="1"/>
  <c r="D216" i="22"/>
  <c r="D218" i="22" s="1"/>
  <c r="C216" i="22"/>
  <c r="C218" i="22" s="1"/>
  <c r="B216" i="22"/>
  <c r="J215" i="22"/>
  <c r="I215" i="22"/>
  <c r="G215" i="22"/>
  <c r="F215" i="22"/>
  <c r="H214" i="22"/>
  <c r="E214" i="22"/>
  <c r="D214" i="22"/>
  <c r="C214" i="22"/>
  <c r="B214" i="22" s="1"/>
  <c r="H213" i="22"/>
  <c r="H215" i="22" s="1"/>
  <c r="E213" i="22"/>
  <c r="D213" i="22"/>
  <c r="D215" i="22" s="1"/>
  <c r="C213" i="22"/>
  <c r="J212" i="22"/>
  <c r="I212" i="22"/>
  <c r="G212" i="22"/>
  <c r="F212" i="22"/>
  <c r="H211" i="22"/>
  <c r="E211" i="22"/>
  <c r="D211" i="22"/>
  <c r="C211" i="22"/>
  <c r="H210" i="22"/>
  <c r="H212" i="22" s="1"/>
  <c r="E210" i="22"/>
  <c r="E212" i="22" s="1"/>
  <c r="D210" i="22"/>
  <c r="D212" i="22" s="1"/>
  <c r="C210" i="22"/>
  <c r="C212" i="22" s="1"/>
  <c r="J209" i="22"/>
  <c r="I209" i="22"/>
  <c r="G209" i="22"/>
  <c r="F209" i="22"/>
  <c r="H208" i="22"/>
  <c r="E208" i="22"/>
  <c r="D208" i="22"/>
  <c r="C208" i="22"/>
  <c r="H207" i="22"/>
  <c r="H209" i="22" s="1"/>
  <c r="E207" i="22"/>
  <c r="D207" i="22"/>
  <c r="D209" i="22" s="1"/>
  <c r="C207" i="22"/>
  <c r="J206" i="22"/>
  <c r="I206" i="22"/>
  <c r="G206" i="22"/>
  <c r="F206" i="22"/>
  <c r="H205" i="22"/>
  <c r="E205" i="22"/>
  <c r="D205" i="22"/>
  <c r="C205" i="22"/>
  <c r="H204" i="22"/>
  <c r="H206" i="22" s="1"/>
  <c r="E204" i="22"/>
  <c r="E206" i="22" s="1"/>
  <c r="D204" i="22"/>
  <c r="D206" i="22" s="1"/>
  <c r="C204" i="22"/>
  <c r="C206" i="22" s="1"/>
  <c r="B204" i="22"/>
  <c r="J203" i="22"/>
  <c r="I203" i="22"/>
  <c r="G203" i="22"/>
  <c r="F203" i="22"/>
  <c r="H202" i="22"/>
  <c r="E202" i="22"/>
  <c r="D202" i="22"/>
  <c r="C202" i="22"/>
  <c r="B202" i="22" s="1"/>
  <c r="H201" i="22"/>
  <c r="H203" i="22" s="1"/>
  <c r="E201" i="22"/>
  <c r="D201" i="22"/>
  <c r="D203" i="22" s="1"/>
  <c r="C201" i="22"/>
  <c r="J200" i="22"/>
  <c r="I200" i="22"/>
  <c r="G200" i="22"/>
  <c r="F200" i="22"/>
  <c r="H199" i="22"/>
  <c r="E199" i="22"/>
  <c r="D199" i="22"/>
  <c r="C199" i="22"/>
  <c r="H198" i="22"/>
  <c r="H200" i="22" s="1"/>
  <c r="E198" i="22"/>
  <c r="E200" i="22" s="1"/>
  <c r="D198" i="22"/>
  <c r="D200" i="22" s="1"/>
  <c r="C198" i="22"/>
  <c r="C200" i="22" s="1"/>
  <c r="J197" i="22"/>
  <c r="I197" i="22"/>
  <c r="G197" i="22"/>
  <c r="F197" i="22"/>
  <c r="H196" i="22"/>
  <c r="E196" i="22"/>
  <c r="D196" i="22"/>
  <c r="C196" i="22"/>
  <c r="H195" i="22"/>
  <c r="H197" i="22" s="1"/>
  <c r="E195" i="22"/>
  <c r="D195" i="22"/>
  <c r="D197" i="22" s="1"/>
  <c r="C195" i="22"/>
  <c r="J194" i="22"/>
  <c r="I194" i="22"/>
  <c r="G194" i="22"/>
  <c r="F194" i="22"/>
  <c r="H193" i="22"/>
  <c r="E193" i="22"/>
  <c r="D193" i="22"/>
  <c r="C193" i="22"/>
  <c r="H192" i="22"/>
  <c r="H194" i="22" s="1"/>
  <c r="E192" i="22"/>
  <c r="E194" i="22" s="1"/>
  <c r="D192" i="22"/>
  <c r="D194" i="22" s="1"/>
  <c r="C192" i="22"/>
  <c r="C194" i="22" s="1"/>
  <c r="B192" i="22"/>
  <c r="J191" i="22"/>
  <c r="I191" i="22"/>
  <c r="G191" i="22"/>
  <c r="F191" i="22"/>
  <c r="H190" i="22"/>
  <c r="E190" i="22"/>
  <c r="D190" i="22"/>
  <c r="C190" i="22"/>
  <c r="B190" i="22" s="1"/>
  <c r="H189" i="22"/>
  <c r="H191" i="22" s="1"/>
  <c r="E189" i="22"/>
  <c r="D189" i="22"/>
  <c r="D191" i="22" s="1"/>
  <c r="C189" i="22"/>
  <c r="J188" i="22"/>
  <c r="I188" i="22"/>
  <c r="G188" i="22"/>
  <c r="F188" i="22"/>
  <c r="H187" i="22"/>
  <c r="E187" i="22"/>
  <c r="D187" i="22"/>
  <c r="C187" i="22"/>
  <c r="H186" i="22"/>
  <c r="H188" i="22" s="1"/>
  <c r="E186" i="22"/>
  <c r="E188" i="22" s="1"/>
  <c r="D186" i="22"/>
  <c r="D188" i="22" s="1"/>
  <c r="C186" i="22"/>
  <c r="C188" i="22" s="1"/>
  <c r="J185" i="22"/>
  <c r="I185" i="22"/>
  <c r="G185" i="22"/>
  <c r="F185" i="22"/>
  <c r="H184" i="22"/>
  <c r="E184" i="22"/>
  <c r="D184" i="22"/>
  <c r="C184" i="22"/>
  <c r="H183" i="22"/>
  <c r="H185" i="22" s="1"/>
  <c r="E183" i="22"/>
  <c r="D183" i="22"/>
  <c r="D185" i="22" s="1"/>
  <c r="C183" i="22"/>
  <c r="J182" i="22"/>
  <c r="I182" i="22"/>
  <c r="G182" i="22"/>
  <c r="F182" i="22"/>
  <c r="H181" i="22"/>
  <c r="E181" i="22"/>
  <c r="D181" i="22"/>
  <c r="C181" i="22"/>
  <c r="H180" i="22"/>
  <c r="H182" i="22" s="1"/>
  <c r="E180" i="22"/>
  <c r="E182" i="22" s="1"/>
  <c r="D180" i="22"/>
  <c r="D182" i="22" s="1"/>
  <c r="C180" i="22"/>
  <c r="C182" i="22" s="1"/>
  <c r="B180" i="22"/>
  <c r="J179" i="22"/>
  <c r="I179" i="22"/>
  <c r="G179" i="22"/>
  <c r="F179" i="22"/>
  <c r="H178" i="22"/>
  <c r="E178" i="22"/>
  <c r="D178" i="22"/>
  <c r="C178" i="22"/>
  <c r="B178" i="22" s="1"/>
  <c r="H177" i="22"/>
  <c r="H179" i="22" s="1"/>
  <c r="E177" i="22"/>
  <c r="D177" i="22"/>
  <c r="D179" i="22" s="1"/>
  <c r="C177" i="22"/>
  <c r="J176" i="22"/>
  <c r="I176" i="22"/>
  <c r="G176" i="22"/>
  <c r="F176" i="22"/>
  <c r="H175" i="22"/>
  <c r="E175" i="22"/>
  <c r="D175" i="22"/>
  <c r="C175" i="22"/>
  <c r="H174" i="22"/>
  <c r="H176" i="22" s="1"/>
  <c r="E174" i="22"/>
  <c r="E176" i="22" s="1"/>
  <c r="D174" i="22"/>
  <c r="D176" i="22" s="1"/>
  <c r="C174" i="22"/>
  <c r="C176" i="22" s="1"/>
  <c r="J173" i="22"/>
  <c r="I173" i="22"/>
  <c r="G173" i="22"/>
  <c r="F173" i="22"/>
  <c r="H172" i="22"/>
  <c r="E172" i="22"/>
  <c r="D172" i="22"/>
  <c r="C172" i="22"/>
  <c r="H171" i="22"/>
  <c r="H173" i="22" s="1"/>
  <c r="E171" i="22"/>
  <c r="D171" i="22"/>
  <c r="D173" i="22" s="1"/>
  <c r="C171" i="22"/>
  <c r="J170" i="22"/>
  <c r="I170" i="22"/>
  <c r="G170" i="22"/>
  <c r="F170" i="22"/>
  <c r="H169" i="22"/>
  <c r="E169" i="22"/>
  <c r="D169" i="22"/>
  <c r="C169" i="22"/>
  <c r="H168" i="22"/>
  <c r="H170" i="22" s="1"/>
  <c r="E168" i="22"/>
  <c r="E170" i="22" s="1"/>
  <c r="D168" i="22"/>
  <c r="D170" i="22" s="1"/>
  <c r="C168" i="22"/>
  <c r="C170" i="22" s="1"/>
  <c r="B168" i="22"/>
  <c r="J167" i="22"/>
  <c r="I167" i="22"/>
  <c r="G167" i="22"/>
  <c r="F167" i="22"/>
  <c r="H166" i="22"/>
  <c r="E166" i="22"/>
  <c r="D166" i="22"/>
  <c r="C166" i="22"/>
  <c r="B166" i="22" s="1"/>
  <c r="H165" i="22"/>
  <c r="H167" i="22" s="1"/>
  <c r="E165" i="22"/>
  <c r="D165" i="22"/>
  <c r="D167" i="22" s="1"/>
  <c r="C165" i="22"/>
  <c r="J164" i="22"/>
  <c r="I164" i="22"/>
  <c r="G164" i="22"/>
  <c r="F164" i="22"/>
  <c r="H163" i="22"/>
  <c r="E163" i="22"/>
  <c r="D163" i="22"/>
  <c r="C163" i="22"/>
  <c r="H162" i="22"/>
  <c r="H164" i="22" s="1"/>
  <c r="E162" i="22"/>
  <c r="E164" i="22" s="1"/>
  <c r="D162" i="22"/>
  <c r="D164" i="22" s="1"/>
  <c r="C162" i="22"/>
  <c r="C164" i="22" s="1"/>
  <c r="J161" i="22"/>
  <c r="I161" i="22"/>
  <c r="G161" i="22"/>
  <c r="F161" i="22"/>
  <c r="H160" i="22"/>
  <c r="E160" i="22"/>
  <c r="D160" i="22"/>
  <c r="C160" i="22"/>
  <c r="H159" i="22"/>
  <c r="H161" i="22" s="1"/>
  <c r="E159" i="22"/>
  <c r="D159" i="22"/>
  <c r="D161" i="22" s="1"/>
  <c r="C159" i="22"/>
  <c r="J158" i="22"/>
  <c r="I158" i="22"/>
  <c r="G158" i="22"/>
  <c r="F158" i="22"/>
  <c r="H157" i="22"/>
  <c r="E157" i="22"/>
  <c r="D157" i="22"/>
  <c r="C157" i="22"/>
  <c r="H156" i="22"/>
  <c r="H158" i="22" s="1"/>
  <c r="E156" i="22"/>
  <c r="E158" i="22" s="1"/>
  <c r="D156" i="22"/>
  <c r="D158" i="22" s="1"/>
  <c r="C156" i="22"/>
  <c r="C158" i="22" s="1"/>
  <c r="B156" i="22"/>
  <c r="J155" i="22"/>
  <c r="I155" i="22"/>
  <c r="G155" i="22"/>
  <c r="F155" i="22"/>
  <c r="H154" i="22"/>
  <c r="E154" i="22"/>
  <c r="D154" i="22"/>
  <c r="C154" i="22"/>
  <c r="B154" i="22" s="1"/>
  <c r="H153" i="22"/>
  <c r="H155" i="22" s="1"/>
  <c r="E153" i="22"/>
  <c r="D153" i="22"/>
  <c r="D155" i="22" s="1"/>
  <c r="C153" i="22"/>
  <c r="J152" i="22"/>
  <c r="I152" i="22"/>
  <c r="G152" i="22"/>
  <c r="F152" i="22"/>
  <c r="H151" i="22"/>
  <c r="E151" i="22"/>
  <c r="D151" i="22"/>
  <c r="C151" i="22"/>
  <c r="H150" i="22"/>
  <c r="H152" i="22" s="1"/>
  <c r="E150" i="22"/>
  <c r="E152" i="22" s="1"/>
  <c r="D150" i="22"/>
  <c r="D152" i="22" s="1"/>
  <c r="C150" i="22"/>
  <c r="C152" i="22" s="1"/>
  <c r="J149" i="22"/>
  <c r="I149" i="22"/>
  <c r="G149" i="22"/>
  <c r="F149" i="22"/>
  <c r="H148" i="22"/>
  <c r="E148" i="22"/>
  <c r="D148" i="22"/>
  <c r="C148" i="22"/>
  <c r="H147" i="22"/>
  <c r="H149" i="22" s="1"/>
  <c r="E147" i="22"/>
  <c r="D147" i="22"/>
  <c r="D149" i="22" s="1"/>
  <c r="C147" i="22"/>
  <c r="J146" i="22"/>
  <c r="I146" i="22"/>
  <c r="G146" i="22"/>
  <c r="F146" i="22"/>
  <c r="H145" i="22"/>
  <c r="E145" i="22"/>
  <c r="D145" i="22"/>
  <c r="C145" i="22"/>
  <c r="H144" i="22"/>
  <c r="H146" i="22" s="1"/>
  <c r="E144" i="22"/>
  <c r="E146" i="22" s="1"/>
  <c r="D144" i="22"/>
  <c r="D146" i="22" s="1"/>
  <c r="C144" i="22"/>
  <c r="C146" i="22" s="1"/>
  <c r="B144" i="22"/>
  <c r="J143" i="22"/>
  <c r="I143" i="22"/>
  <c r="G143" i="22"/>
  <c r="F143" i="22"/>
  <c r="H142" i="22"/>
  <c r="E142" i="22"/>
  <c r="D142" i="22"/>
  <c r="C142" i="22"/>
  <c r="B142" i="22" s="1"/>
  <c r="H141" i="22"/>
  <c r="H143" i="22" s="1"/>
  <c r="E141" i="22"/>
  <c r="D141" i="22"/>
  <c r="D143" i="22" s="1"/>
  <c r="C141" i="22"/>
  <c r="J140" i="22"/>
  <c r="I140" i="22"/>
  <c r="G140" i="22"/>
  <c r="F140" i="22"/>
  <c r="H139" i="22"/>
  <c r="E139" i="22"/>
  <c r="D139" i="22"/>
  <c r="C139" i="22"/>
  <c r="H138" i="22"/>
  <c r="H140" i="22" s="1"/>
  <c r="E138" i="22"/>
  <c r="E140" i="22" s="1"/>
  <c r="D138" i="22"/>
  <c r="D140" i="22" s="1"/>
  <c r="C138" i="22"/>
  <c r="C140" i="22" s="1"/>
  <c r="J137" i="22"/>
  <c r="I137" i="22"/>
  <c r="G137" i="22"/>
  <c r="F137" i="22"/>
  <c r="H136" i="22"/>
  <c r="E136" i="22"/>
  <c r="D136" i="22"/>
  <c r="C136" i="22"/>
  <c r="H135" i="22"/>
  <c r="H137" i="22" s="1"/>
  <c r="E135" i="22"/>
  <c r="D135" i="22"/>
  <c r="D137" i="22" s="1"/>
  <c r="C135" i="22"/>
  <c r="J134" i="22"/>
  <c r="I134" i="22"/>
  <c r="G134" i="22"/>
  <c r="F134" i="22"/>
  <c r="H133" i="22"/>
  <c r="E133" i="22"/>
  <c r="D133" i="22"/>
  <c r="C133" i="22"/>
  <c r="H132" i="22"/>
  <c r="H134" i="22" s="1"/>
  <c r="E132" i="22"/>
  <c r="E134" i="22" s="1"/>
  <c r="D132" i="22"/>
  <c r="D134" i="22" s="1"/>
  <c r="C132" i="22"/>
  <c r="C134" i="22" s="1"/>
  <c r="B132" i="22"/>
  <c r="J131" i="22"/>
  <c r="I131" i="22"/>
  <c r="I248" i="22" s="1"/>
  <c r="G131" i="22"/>
  <c r="F131" i="22"/>
  <c r="F248" i="22" s="1"/>
  <c r="H130" i="22"/>
  <c r="E130" i="22"/>
  <c r="E247" i="22" s="1"/>
  <c r="D130" i="22"/>
  <c r="C130" i="22"/>
  <c r="C247" i="22" s="1"/>
  <c r="H129" i="22"/>
  <c r="H131" i="22" s="1"/>
  <c r="E129" i="22"/>
  <c r="E246" i="22" s="1"/>
  <c r="D129" i="22"/>
  <c r="D131" i="22" s="1"/>
  <c r="C129" i="22"/>
  <c r="C246" i="22" s="1"/>
  <c r="J125" i="22"/>
  <c r="I125" i="22"/>
  <c r="G125" i="22"/>
  <c r="F125" i="22"/>
  <c r="J124" i="22"/>
  <c r="I124" i="22"/>
  <c r="G124" i="22"/>
  <c r="F124" i="22"/>
  <c r="J123" i="22"/>
  <c r="I123" i="22"/>
  <c r="G123" i="22"/>
  <c r="F123" i="22"/>
  <c r="H122" i="22"/>
  <c r="E122" i="22"/>
  <c r="D122" i="22"/>
  <c r="C122" i="22"/>
  <c r="B122" i="22" s="1"/>
  <c r="H121" i="22"/>
  <c r="E121" i="22"/>
  <c r="D121" i="22"/>
  <c r="C121" i="22"/>
  <c r="J120" i="22"/>
  <c r="I120" i="22"/>
  <c r="G120" i="22"/>
  <c r="F120" i="22"/>
  <c r="H119" i="22"/>
  <c r="E119" i="22"/>
  <c r="D119" i="22"/>
  <c r="C119" i="22"/>
  <c r="H118" i="22"/>
  <c r="H120" i="22" s="1"/>
  <c r="E118" i="22"/>
  <c r="E120" i="22" s="1"/>
  <c r="D118" i="22"/>
  <c r="D120" i="22" s="1"/>
  <c r="C118" i="22"/>
  <c r="C120" i="22" s="1"/>
  <c r="J117" i="22"/>
  <c r="I117" i="22"/>
  <c r="G117" i="22"/>
  <c r="F117" i="22"/>
  <c r="H116" i="22"/>
  <c r="E116" i="22"/>
  <c r="D116" i="22"/>
  <c r="C116" i="22"/>
  <c r="B116" i="22"/>
  <c r="H115" i="22"/>
  <c r="E115" i="22"/>
  <c r="E117" i="22" s="1"/>
  <c r="D115" i="22"/>
  <c r="C115" i="22"/>
  <c r="B115" i="22" s="1"/>
  <c r="B117" i="22" s="1"/>
  <c r="J114" i="22"/>
  <c r="I114" i="22"/>
  <c r="G114" i="22"/>
  <c r="F114" i="22"/>
  <c r="H113" i="22"/>
  <c r="E113" i="22"/>
  <c r="D113" i="22"/>
  <c r="C113" i="22"/>
  <c r="B113" i="22" s="1"/>
  <c r="H112" i="22"/>
  <c r="H114" i="22" s="1"/>
  <c r="E112" i="22"/>
  <c r="E114" i="22" s="1"/>
  <c r="D112" i="22"/>
  <c r="D114" i="22" s="1"/>
  <c r="C112" i="22"/>
  <c r="C114" i="22" s="1"/>
  <c r="J111" i="22"/>
  <c r="I111" i="22"/>
  <c r="G111" i="22"/>
  <c r="F111" i="22"/>
  <c r="H110" i="22"/>
  <c r="E110" i="22"/>
  <c r="D110" i="22"/>
  <c r="C110" i="22"/>
  <c r="B110" i="22" s="1"/>
  <c r="H109" i="22"/>
  <c r="E109" i="22"/>
  <c r="D109" i="22"/>
  <c r="C109" i="22"/>
  <c r="J108" i="22"/>
  <c r="I108" i="22"/>
  <c r="G108" i="22"/>
  <c r="F108" i="22"/>
  <c r="H107" i="22"/>
  <c r="E107" i="22"/>
  <c r="D107" i="22"/>
  <c r="C107" i="22"/>
  <c r="H106" i="22"/>
  <c r="H108" i="22" s="1"/>
  <c r="E106" i="22"/>
  <c r="E108" i="22" s="1"/>
  <c r="D106" i="22"/>
  <c r="D108" i="22" s="1"/>
  <c r="C106" i="22"/>
  <c r="C108" i="22" s="1"/>
  <c r="J105" i="22"/>
  <c r="I105" i="22"/>
  <c r="G105" i="22"/>
  <c r="F105" i="22"/>
  <c r="H104" i="22"/>
  <c r="E104" i="22"/>
  <c r="D104" i="22"/>
  <c r="C104" i="22"/>
  <c r="B104" i="22"/>
  <c r="H103" i="22"/>
  <c r="E103" i="22"/>
  <c r="E105" i="22" s="1"/>
  <c r="D103" i="22"/>
  <c r="C103" i="22"/>
  <c r="B103" i="22" s="1"/>
  <c r="B105" i="22" s="1"/>
  <c r="J102" i="22"/>
  <c r="I102" i="22"/>
  <c r="G102" i="22"/>
  <c r="F102" i="22"/>
  <c r="H101" i="22"/>
  <c r="E101" i="22"/>
  <c r="D101" i="22"/>
  <c r="C101" i="22"/>
  <c r="B101" i="22" s="1"/>
  <c r="H100" i="22"/>
  <c r="H102" i="22" s="1"/>
  <c r="E100" i="22"/>
  <c r="E102" i="22" s="1"/>
  <c r="D100" i="22"/>
  <c r="D102" i="22" s="1"/>
  <c r="C100" i="22"/>
  <c r="C102" i="22" s="1"/>
  <c r="J99" i="22"/>
  <c r="I99" i="22"/>
  <c r="G99" i="22"/>
  <c r="F99" i="22"/>
  <c r="H98" i="22"/>
  <c r="E98" i="22"/>
  <c r="D98" i="22"/>
  <c r="C98" i="22"/>
  <c r="B98" i="22" s="1"/>
  <c r="H97" i="22"/>
  <c r="E97" i="22"/>
  <c r="D97" i="22"/>
  <c r="C97" i="22"/>
  <c r="J96" i="22"/>
  <c r="I96" i="22"/>
  <c r="G96" i="22"/>
  <c r="F96" i="22"/>
  <c r="H95" i="22"/>
  <c r="E95" i="22"/>
  <c r="D95" i="22"/>
  <c r="C95" i="22"/>
  <c r="H94" i="22"/>
  <c r="H96" i="22" s="1"/>
  <c r="E94" i="22"/>
  <c r="E96" i="22" s="1"/>
  <c r="D94" i="22"/>
  <c r="D96" i="22" s="1"/>
  <c r="C94" i="22"/>
  <c r="C96" i="22" s="1"/>
  <c r="J93" i="22"/>
  <c r="I93" i="22"/>
  <c r="G93" i="22"/>
  <c r="F93" i="22"/>
  <c r="H92" i="22"/>
  <c r="E92" i="22"/>
  <c r="D92" i="22"/>
  <c r="C92" i="22"/>
  <c r="B92" i="22"/>
  <c r="H91" i="22"/>
  <c r="E91" i="22"/>
  <c r="E93" i="22" s="1"/>
  <c r="D91" i="22"/>
  <c r="C91" i="22"/>
  <c r="B91" i="22" s="1"/>
  <c r="B93" i="22" s="1"/>
  <c r="J90" i="22"/>
  <c r="I90" i="22"/>
  <c r="I126" i="22" s="1"/>
  <c r="G90" i="22"/>
  <c r="F90" i="22"/>
  <c r="F126" i="22" s="1"/>
  <c r="H89" i="22"/>
  <c r="E89" i="22"/>
  <c r="E125" i="22" s="1"/>
  <c r="D89" i="22"/>
  <c r="C89" i="22"/>
  <c r="B89" i="22" s="1"/>
  <c r="H88" i="22"/>
  <c r="E88" i="22"/>
  <c r="E124" i="22" s="1"/>
  <c r="D88" i="22"/>
  <c r="C88" i="22"/>
  <c r="C124" i="22" s="1"/>
  <c r="J84" i="22"/>
  <c r="I84" i="22"/>
  <c r="G84" i="22"/>
  <c r="F84" i="22"/>
  <c r="J83" i="22"/>
  <c r="I83" i="22"/>
  <c r="G83" i="22"/>
  <c r="F83" i="22"/>
  <c r="J82" i="22"/>
  <c r="I82" i="22"/>
  <c r="G82" i="22"/>
  <c r="F82" i="22"/>
  <c r="H81" i="22"/>
  <c r="E81" i="22"/>
  <c r="D81" i="22"/>
  <c r="C81" i="22"/>
  <c r="H80" i="22"/>
  <c r="H82" i="22" s="1"/>
  <c r="E80" i="22"/>
  <c r="E82" i="22" s="1"/>
  <c r="D80" i="22"/>
  <c r="D82" i="22" s="1"/>
  <c r="C80" i="22"/>
  <c r="C82" i="22" s="1"/>
  <c r="J79" i="22"/>
  <c r="I79" i="22"/>
  <c r="G79" i="22"/>
  <c r="F79" i="22"/>
  <c r="H78" i="22"/>
  <c r="E78" i="22"/>
  <c r="D78" i="22"/>
  <c r="C78" i="22"/>
  <c r="H77" i="22"/>
  <c r="H79" i="22" s="1"/>
  <c r="E77" i="22"/>
  <c r="D77" i="22"/>
  <c r="D79" i="22" s="1"/>
  <c r="C77" i="22"/>
  <c r="J76" i="22"/>
  <c r="I76" i="22"/>
  <c r="G76" i="22"/>
  <c r="F76" i="22"/>
  <c r="H75" i="22"/>
  <c r="E75" i="22"/>
  <c r="D75" i="22"/>
  <c r="C75" i="22"/>
  <c r="H74" i="22"/>
  <c r="H76" i="22" s="1"/>
  <c r="E74" i="22"/>
  <c r="E76" i="22" s="1"/>
  <c r="D74" i="22"/>
  <c r="D76" i="22" s="1"/>
  <c r="C74" i="22"/>
  <c r="C76" i="22" s="1"/>
  <c r="B74" i="22"/>
  <c r="J73" i="22"/>
  <c r="I73" i="22"/>
  <c r="G73" i="22"/>
  <c r="F73" i="22"/>
  <c r="H72" i="22"/>
  <c r="E72" i="22"/>
  <c r="D72" i="22"/>
  <c r="C72" i="22"/>
  <c r="B72" i="22" s="1"/>
  <c r="H71" i="22"/>
  <c r="H73" i="22" s="1"/>
  <c r="E71" i="22"/>
  <c r="D71" i="22"/>
  <c r="D73" i="22" s="1"/>
  <c r="C71" i="22"/>
  <c r="J70" i="22"/>
  <c r="I70" i="22"/>
  <c r="G70" i="22"/>
  <c r="F70" i="22"/>
  <c r="H69" i="22"/>
  <c r="E69" i="22"/>
  <c r="D69" i="22"/>
  <c r="C69" i="22"/>
  <c r="H68" i="22"/>
  <c r="E68" i="22"/>
  <c r="E70" i="22" s="1"/>
  <c r="D68" i="22"/>
  <c r="C68" i="22"/>
  <c r="C70" i="22" s="1"/>
  <c r="J64" i="22"/>
  <c r="I64" i="22"/>
  <c r="G64" i="22"/>
  <c r="F64" i="22"/>
  <c r="J63" i="22"/>
  <c r="I63" i="22"/>
  <c r="G63" i="22"/>
  <c r="F63" i="22"/>
  <c r="J62" i="22"/>
  <c r="I62" i="22"/>
  <c r="G62" i="22"/>
  <c r="F62" i="22"/>
  <c r="H61" i="22"/>
  <c r="E61" i="22"/>
  <c r="D61" i="22"/>
  <c r="C61" i="22"/>
  <c r="H60" i="22"/>
  <c r="H62" i="22" s="1"/>
  <c r="E60" i="22"/>
  <c r="D60" i="22"/>
  <c r="D62" i="22" s="1"/>
  <c r="C60" i="22"/>
  <c r="J59" i="22"/>
  <c r="I59" i="22"/>
  <c r="G59" i="22"/>
  <c r="F59" i="22"/>
  <c r="H58" i="22"/>
  <c r="E58" i="22"/>
  <c r="D58" i="22"/>
  <c r="C58" i="22"/>
  <c r="H57" i="22"/>
  <c r="H59" i="22" s="1"/>
  <c r="E57" i="22"/>
  <c r="E59" i="22" s="1"/>
  <c r="D57" i="22"/>
  <c r="D59" i="22" s="1"/>
  <c r="C57" i="22"/>
  <c r="C59" i="22" s="1"/>
  <c r="B57" i="22"/>
  <c r="J56" i="22"/>
  <c r="I56" i="22"/>
  <c r="G56" i="22"/>
  <c r="F56" i="22"/>
  <c r="H55" i="22"/>
  <c r="E55" i="22"/>
  <c r="D55" i="22"/>
  <c r="C55" i="22"/>
  <c r="B55" i="22" s="1"/>
  <c r="H54" i="22"/>
  <c r="H56" i="22" s="1"/>
  <c r="E54" i="22"/>
  <c r="D54" i="22"/>
  <c r="D56" i="22" s="1"/>
  <c r="C54" i="22"/>
  <c r="J53" i="22"/>
  <c r="I53" i="22"/>
  <c r="G53" i="22"/>
  <c r="F53" i="22"/>
  <c r="H52" i="22"/>
  <c r="E52" i="22"/>
  <c r="D52" i="22"/>
  <c r="C52" i="22"/>
  <c r="H51" i="22"/>
  <c r="H53" i="22" s="1"/>
  <c r="E51" i="22"/>
  <c r="E53" i="22" s="1"/>
  <c r="D51" i="22"/>
  <c r="D53" i="22" s="1"/>
  <c r="C51" i="22"/>
  <c r="C53" i="22" s="1"/>
  <c r="J50" i="22"/>
  <c r="I50" i="22"/>
  <c r="G50" i="22"/>
  <c r="F50" i="22"/>
  <c r="H49" i="22"/>
  <c r="E49" i="22"/>
  <c r="D49" i="22"/>
  <c r="C49" i="22"/>
  <c r="H48" i="22"/>
  <c r="H50" i="22" s="1"/>
  <c r="E48" i="22"/>
  <c r="D48" i="22"/>
  <c r="D50" i="22" s="1"/>
  <c r="C48" i="22"/>
  <c r="J47" i="22"/>
  <c r="I47" i="22"/>
  <c r="G47" i="22"/>
  <c r="F47" i="22"/>
  <c r="H46" i="22"/>
  <c r="E46" i="22"/>
  <c r="D46" i="22"/>
  <c r="C46" i="22"/>
  <c r="H45" i="22"/>
  <c r="H47" i="22" s="1"/>
  <c r="E45" i="22"/>
  <c r="E47" i="22" s="1"/>
  <c r="D45" i="22"/>
  <c r="D47" i="22" s="1"/>
  <c r="C45" i="22"/>
  <c r="C47" i="22" s="1"/>
  <c r="B45" i="22"/>
  <c r="J44" i="22"/>
  <c r="I44" i="22"/>
  <c r="G44" i="22"/>
  <c r="F44" i="22"/>
  <c r="H43" i="22"/>
  <c r="E43" i="22"/>
  <c r="D43" i="22"/>
  <c r="C43" i="22"/>
  <c r="B43" i="22" s="1"/>
  <c r="H42" i="22"/>
  <c r="H44" i="22" s="1"/>
  <c r="E42" i="22"/>
  <c r="D42" i="22"/>
  <c r="D44" i="22" s="1"/>
  <c r="C42" i="22"/>
  <c r="J41" i="22"/>
  <c r="I41" i="22"/>
  <c r="G41" i="22"/>
  <c r="F41" i="22"/>
  <c r="H40" i="22"/>
  <c r="E40" i="22"/>
  <c r="D40" i="22"/>
  <c r="C40" i="22"/>
  <c r="H39" i="22"/>
  <c r="H41" i="22" s="1"/>
  <c r="E39" i="22"/>
  <c r="E41" i="22" s="1"/>
  <c r="D39" i="22"/>
  <c r="D41" i="22" s="1"/>
  <c r="C39" i="22"/>
  <c r="C41" i="22" s="1"/>
  <c r="J38" i="22"/>
  <c r="I38" i="22"/>
  <c r="G38" i="22"/>
  <c r="F38" i="22"/>
  <c r="H37" i="22"/>
  <c r="E37" i="22"/>
  <c r="D37" i="22"/>
  <c r="C37" i="22"/>
  <c r="H36" i="22"/>
  <c r="H38" i="22" s="1"/>
  <c r="E36" i="22"/>
  <c r="D36" i="22"/>
  <c r="D38" i="22" s="1"/>
  <c r="C36" i="22"/>
  <c r="J35" i="22"/>
  <c r="I35" i="22"/>
  <c r="G35" i="22"/>
  <c r="F35" i="22"/>
  <c r="H34" i="22"/>
  <c r="E34" i="22"/>
  <c r="D34" i="22"/>
  <c r="C34" i="22"/>
  <c r="H33" i="22"/>
  <c r="H35" i="22" s="1"/>
  <c r="E33" i="22"/>
  <c r="E35" i="22" s="1"/>
  <c r="D33" i="22"/>
  <c r="D35" i="22" s="1"/>
  <c r="C33" i="22"/>
  <c r="C35" i="22" s="1"/>
  <c r="B33" i="22"/>
  <c r="J32" i="22"/>
  <c r="I32" i="22"/>
  <c r="G32" i="22"/>
  <c r="F32" i="22"/>
  <c r="H31" i="22"/>
  <c r="E31" i="22"/>
  <c r="D31" i="22"/>
  <c r="C31" i="22"/>
  <c r="B31" i="22" s="1"/>
  <c r="H30" i="22"/>
  <c r="H32" i="22" s="1"/>
  <c r="E30" i="22"/>
  <c r="D30" i="22"/>
  <c r="D32" i="22" s="1"/>
  <c r="C30" i="22"/>
  <c r="J29" i="22"/>
  <c r="I29" i="22"/>
  <c r="G29" i="22"/>
  <c r="F29" i="22"/>
  <c r="H28" i="22"/>
  <c r="E28" i="22"/>
  <c r="D28" i="22"/>
  <c r="C28" i="22"/>
  <c r="H27" i="22"/>
  <c r="H29" i="22" s="1"/>
  <c r="E27" i="22"/>
  <c r="E29" i="22" s="1"/>
  <c r="D27" i="22"/>
  <c r="D29" i="22" s="1"/>
  <c r="C27" i="22"/>
  <c r="C29" i="22" s="1"/>
  <c r="J26" i="22"/>
  <c r="I26" i="22"/>
  <c r="G26" i="22"/>
  <c r="F26" i="22"/>
  <c r="H25" i="22"/>
  <c r="E25" i="22"/>
  <c r="D25" i="22"/>
  <c r="C25" i="22"/>
  <c r="H24" i="22"/>
  <c r="H26" i="22" s="1"/>
  <c r="E24" i="22"/>
  <c r="D24" i="22"/>
  <c r="D26" i="22" s="1"/>
  <c r="C24" i="22"/>
  <c r="J23" i="22"/>
  <c r="I23" i="22"/>
  <c r="G23" i="22"/>
  <c r="F23" i="22"/>
  <c r="H22" i="22"/>
  <c r="E22" i="22"/>
  <c r="D22" i="22"/>
  <c r="C22" i="22"/>
  <c r="H21" i="22"/>
  <c r="H23" i="22" s="1"/>
  <c r="E21" i="22"/>
  <c r="E23" i="22" s="1"/>
  <c r="D21" i="22"/>
  <c r="D23" i="22" s="1"/>
  <c r="C21" i="22"/>
  <c r="C23" i="22" s="1"/>
  <c r="B21" i="22"/>
  <c r="J20" i="22"/>
  <c r="I20" i="22"/>
  <c r="G20" i="22"/>
  <c r="F20" i="22"/>
  <c r="H19" i="22"/>
  <c r="E19" i="22"/>
  <c r="D19" i="22"/>
  <c r="C19" i="22"/>
  <c r="B19" i="22" s="1"/>
  <c r="H18" i="22"/>
  <c r="H20" i="22" s="1"/>
  <c r="E18" i="22"/>
  <c r="D18" i="22"/>
  <c r="D20" i="22" s="1"/>
  <c r="C18" i="22"/>
  <c r="J17" i="22"/>
  <c r="I17" i="22"/>
  <c r="G17" i="22"/>
  <c r="F17" i="22"/>
  <c r="H16" i="22"/>
  <c r="E16" i="22"/>
  <c r="D16" i="22"/>
  <c r="C16" i="22"/>
  <c r="H15" i="22"/>
  <c r="H17" i="22" s="1"/>
  <c r="E15" i="22"/>
  <c r="E17" i="22" s="1"/>
  <c r="D15" i="22"/>
  <c r="D17" i="22" s="1"/>
  <c r="C15" i="22"/>
  <c r="C17" i="22" s="1"/>
  <c r="J14" i="22"/>
  <c r="I14" i="22"/>
  <c r="G14" i="22"/>
  <c r="F14" i="22"/>
  <c r="H13" i="22"/>
  <c r="E13" i="22"/>
  <c r="D13" i="22"/>
  <c r="C13" i="22"/>
  <c r="H12" i="22"/>
  <c r="H14" i="22" s="1"/>
  <c r="E12" i="22"/>
  <c r="D12" i="22"/>
  <c r="D14" i="22" s="1"/>
  <c r="C12" i="22"/>
  <c r="J11" i="22"/>
  <c r="I11" i="22"/>
  <c r="G11" i="22"/>
  <c r="F11" i="22"/>
  <c r="H10" i="22"/>
  <c r="E10" i="22"/>
  <c r="D10" i="22"/>
  <c r="C10" i="22"/>
  <c r="H9" i="22"/>
  <c r="H11" i="22" s="1"/>
  <c r="E9" i="22"/>
  <c r="E11" i="22" s="1"/>
  <c r="D9" i="22"/>
  <c r="D11" i="22" s="1"/>
  <c r="C9" i="22"/>
  <c r="C11" i="22" s="1"/>
  <c r="B9" i="22"/>
  <c r="J8" i="22"/>
  <c r="I8" i="22"/>
  <c r="I65" i="22" s="1"/>
  <c r="G8" i="22"/>
  <c r="F8" i="22"/>
  <c r="F65" i="22" s="1"/>
  <c r="H7" i="22"/>
  <c r="E7" i="22"/>
  <c r="E64" i="22" s="1"/>
  <c r="D7" i="22"/>
  <c r="C7" i="22"/>
  <c r="C64" i="22" s="1"/>
  <c r="H6" i="22"/>
  <c r="E6" i="22"/>
  <c r="D6" i="22"/>
  <c r="C6" i="22"/>
  <c r="J208" i="21"/>
  <c r="I208" i="21"/>
  <c r="G208" i="21"/>
  <c r="F208" i="21"/>
  <c r="H207" i="21"/>
  <c r="H208" i="21" s="1"/>
  <c r="E207" i="21"/>
  <c r="E208" i="21" s="1"/>
  <c r="D207" i="21"/>
  <c r="D208" i="21" s="1"/>
  <c r="C207" i="21"/>
  <c r="C208" i="21" s="1"/>
  <c r="J204" i="21"/>
  <c r="I204" i="21"/>
  <c r="G204" i="21"/>
  <c r="F204" i="21"/>
  <c r="H203" i="21"/>
  <c r="H204" i="21" s="1"/>
  <c r="E203" i="21"/>
  <c r="E204" i="21" s="1"/>
  <c r="D203" i="21"/>
  <c r="D204" i="21" s="1"/>
  <c r="C203" i="21"/>
  <c r="C204" i="21" s="1"/>
  <c r="J200" i="21"/>
  <c r="I200" i="21"/>
  <c r="G200" i="21"/>
  <c r="F200" i="21"/>
  <c r="H199" i="21"/>
  <c r="E199" i="21"/>
  <c r="D199" i="21"/>
  <c r="C199" i="21"/>
  <c r="B199" i="21" s="1"/>
  <c r="H198" i="21"/>
  <c r="H200" i="21" s="1"/>
  <c r="E198" i="21"/>
  <c r="E200" i="21" s="1"/>
  <c r="D198" i="21"/>
  <c r="D200" i="21" s="1"/>
  <c r="C198" i="21"/>
  <c r="C200" i="21" s="1"/>
  <c r="J195" i="21"/>
  <c r="I195" i="21"/>
  <c r="G195" i="21"/>
  <c r="F195" i="21"/>
  <c r="H194" i="21"/>
  <c r="E194" i="21"/>
  <c r="D194" i="21"/>
  <c r="C194" i="21"/>
  <c r="H193" i="21"/>
  <c r="E193" i="21"/>
  <c r="D193" i="21"/>
  <c r="C193" i="21"/>
  <c r="B193" i="21"/>
  <c r="H192" i="21"/>
  <c r="E192" i="21"/>
  <c r="D192" i="21"/>
  <c r="C192" i="21"/>
  <c r="B192" i="21" s="1"/>
  <c r="H191" i="21"/>
  <c r="E191" i="21"/>
  <c r="D191" i="21"/>
  <c r="C191" i="21"/>
  <c r="B191" i="21" s="1"/>
  <c r="H190" i="21"/>
  <c r="E190" i="21"/>
  <c r="D190" i="21"/>
  <c r="C190" i="21"/>
  <c r="B190" i="21" s="1"/>
  <c r="H189" i="21"/>
  <c r="E189" i="21"/>
  <c r="D189" i="21"/>
  <c r="C189" i="21"/>
  <c r="B189" i="21" s="1"/>
  <c r="H188" i="21"/>
  <c r="E188" i="21"/>
  <c r="D188" i="21"/>
  <c r="C188" i="21"/>
  <c r="H187" i="21"/>
  <c r="E187" i="21"/>
  <c r="D187" i="21"/>
  <c r="C187" i="21"/>
  <c r="B187" i="21" s="1"/>
  <c r="H186" i="21"/>
  <c r="E186" i="21"/>
  <c r="D186" i="21"/>
  <c r="C186" i="21"/>
  <c r="H185" i="21"/>
  <c r="E185" i="21"/>
  <c r="D185" i="21"/>
  <c r="C185" i="21"/>
  <c r="H184" i="21"/>
  <c r="E184" i="21"/>
  <c r="D184" i="21"/>
  <c r="C184" i="21"/>
  <c r="H183" i="21"/>
  <c r="E183" i="21"/>
  <c r="D183" i="21"/>
  <c r="C183" i="21"/>
  <c r="B183" i="21"/>
  <c r="H182" i="21"/>
  <c r="E182" i="21"/>
  <c r="D182" i="21"/>
  <c r="C182" i="21"/>
  <c r="B182" i="21" s="1"/>
  <c r="H181" i="21"/>
  <c r="E181" i="21"/>
  <c r="D181" i="21"/>
  <c r="C181" i="21"/>
  <c r="B181" i="21" s="1"/>
  <c r="H180" i="21"/>
  <c r="E180" i="21"/>
  <c r="D180" i="21"/>
  <c r="C180" i="21"/>
  <c r="H179" i="21"/>
  <c r="E179" i="21"/>
  <c r="D179" i="21"/>
  <c r="C179" i="21"/>
  <c r="B179" i="21" s="1"/>
  <c r="H178" i="21"/>
  <c r="E178" i="21"/>
  <c r="D178" i="21"/>
  <c r="C178" i="21"/>
  <c r="H177" i="21"/>
  <c r="E177" i="21"/>
  <c r="D177" i="21"/>
  <c r="C177" i="21"/>
  <c r="H176" i="21"/>
  <c r="E176" i="21"/>
  <c r="D176" i="21"/>
  <c r="C176" i="21"/>
  <c r="H175" i="21"/>
  <c r="E175" i="21"/>
  <c r="D175" i="21"/>
  <c r="C175" i="21"/>
  <c r="B175" i="21"/>
  <c r="H174" i="21"/>
  <c r="E174" i="21"/>
  <c r="D174" i="21"/>
  <c r="C174" i="21"/>
  <c r="B174" i="21" s="1"/>
  <c r="H173" i="21"/>
  <c r="E173" i="21"/>
  <c r="D173" i="21"/>
  <c r="C173" i="21"/>
  <c r="B173" i="21" s="1"/>
  <c r="H172" i="21"/>
  <c r="E172" i="21"/>
  <c r="D172" i="21"/>
  <c r="C172" i="21"/>
  <c r="H171" i="21"/>
  <c r="E171" i="21"/>
  <c r="D171" i="21"/>
  <c r="C171" i="21"/>
  <c r="B171" i="21" s="1"/>
  <c r="H170" i="21"/>
  <c r="E170" i="21"/>
  <c r="D170" i="21"/>
  <c r="C170" i="21"/>
  <c r="H169" i="21"/>
  <c r="E169" i="21"/>
  <c r="D169" i="21"/>
  <c r="C169" i="21"/>
  <c r="H168" i="21"/>
  <c r="E168" i="21"/>
  <c r="D168" i="21"/>
  <c r="C168" i="21"/>
  <c r="H167" i="21"/>
  <c r="E167" i="21"/>
  <c r="D167" i="21"/>
  <c r="C167" i="21"/>
  <c r="B167" i="21"/>
  <c r="H166" i="21"/>
  <c r="E166" i="21"/>
  <c r="D166" i="21"/>
  <c r="C166" i="21"/>
  <c r="B166" i="21" s="1"/>
  <c r="H165" i="21"/>
  <c r="E165" i="21"/>
  <c r="D165" i="21"/>
  <c r="C165" i="21"/>
  <c r="B165" i="21" s="1"/>
  <c r="H164" i="21"/>
  <c r="E164" i="21"/>
  <c r="D164" i="21"/>
  <c r="C164" i="21"/>
  <c r="H163" i="21"/>
  <c r="E163" i="21"/>
  <c r="D163" i="21"/>
  <c r="C163" i="21"/>
  <c r="B163" i="21" s="1"/>
  <c r="H162" i="21"/>
  <c r="E162" i="21"/>
  <c r="D162" i="21"/>
  <c r="C162" i="21"/>
  <c r="H161" i="21"/>
  <c r="E161" i="21"/>
  <c r="D161" i="21"/>
  <c r="C161" i="21"/>
  <c r="H160" i="21"/>
  <c r="E160" i="21"/>
  <c r="D160" i="21"/>
  <c r="C160" i="21"/>
  <c r="H159" i="21"/>
  <c r="E159" i="21"/>
  <c r="D159" i="21"/>
  <c r="C159" i="21"/>
  <c r="H158" i="21"/>
  <c r="E158" i="21"/>
  <c r="D158" i="21"/>
  <c r="C158" i="21"/>
  <c r="H157" i="21"/>
  <c r="E157" i="21"/>
  <c r="D157" i="21"/>
  <c r="C157" i="21"/>
  <c r="H156" i="21"/>
  <c r="E156" i="21"/>
  <c r="D156" i="21"/>
  <c r="C156" i="21"/>
  <c r="H155" i="21"/>
  <c r="E155" i="21"/>
  <c r="D155" i="21"/>
  <c r="C155" i="21"/>
  <c r="B155" i="21"/>
  <c r="H154" i="21"/>
  <c r="E154" i="21"/>
  <c r="D154" i="21"/>
  <c r="C154" i="21"/>
  <c r="B154" i="21" s="1"/>
  <c r="H153" i="21"/>
  <c r="E153" i="21"/>
  <c r="D153" i="21"/>
  <c r="C153" i="21"/>
  <c r="B153" i="21" s="1"/>
  <c r="H152" i="21"/>
  <c r="E152" i="21"/>
  <c r="D152" i="21"/>
  <c r="C152" i="21"/>
  <c r="B152" i="21" s="1"/>
  <c r="H151" i="21"/>
  <c r="E151" i="21"/>
  <c r="E195" i="21" s="1"/>
  <c r="D151" i="21"/>
  <c r="C151" i="21"/>
  <c r="C195" i="21" s="1"/>
  <c r="J148" i="21"/>
  <c r="I148" i="21"/>
  <c r="G148" i="21"/>
  <c r="F148" i="21"/>
  <c r="H147" i="21"/>
  <c r="E147" i="21"/>
  <c r="D147" i="21"/>
  <c r="C147" i="21"/>
  <c r="B147" i="21"/>
  <c r="H146" i="21"/>
  <c r="E146" i="21"/>
  <c r="E148" i="21" s="1"/>
  <c r="D146" i="21"/>
  <c r="C146" i="21"/>
  <c r="C148" i="21" s="1"/>
  <c r="J143" i="21"/>
  <c r="I143" i="21"/>
  <c r="G143" i="21"/>
  <c r="F143" i="21"/>
  <c r="H142" i="21"/>
  <c r="E142" i="21"/>
  <c r="D142" i="21"/>
  <c r="C142" i="21"/>
  <c r="B142" i="21" s="1"/>
  <c r="H141" i="21"/>
  <c r="E141" i="21"/>
  <c r="D141" i="21"/>
  <c r="C141" i="21"/>
  <c r="B141" i="21" s="1"/>
  <c r="H140" i="21"/>
  <c r="E140" i="21"/>
  <c r="D140" i="21"/>
  <c r="C140" i="21"/>
  <c r="H139" i="21"/>
  <c r="E139" i="21"/>
  <c r="D139" i="21"/>
  <c r="C139" i="21"/>
  <c r="B139" i="21" s="1"/>
  <c r="H138" i="21"/>
  <c r="H143" i="21" s="1"/>
  <c r="E138" i="21"/>
  <c r="D138" i="21"/>
  <c r="D143" i="21" s="1"/>
  <c r="C138" i="21"/>
  <c r="J135" i="21"/>
  <c r="I135" i="21"/>
  <c r="G135" i="21"/>
  <c r="F135" i="21"/>
  <c r="H134" i="21"/>
  <c r="H135" i="21" s="1"/>
  <c r="E134" i="21"/>
  <c r="E135" i="21" s="1"/>
  <c r="D134" i="21"/>
  <c r="D135" i="21" s="1"/>
  <c r="C134" i="21"/>
  <c r="C135" i="21" s="1"/>
  <c r="J131" i="21"/>
  <c r="I131" i="21"/>
  <c r="G131" i="21"/>
  <c r="F131" i="21"/>
  <c r="H130" i="21"/>
  <c r="E130" i="21"/>
  <c r="D130" i="21"/>
  <c r="C130" i="21"/>
  <c r="H129" i="21"/>
  <c r="E129" i="21"/>
  <c r="D129" i="21"/>
  <c r="C129" i="21"/>
  <c r="H128" i="21"/>
  <c r="H131" i="21" s="1"/>
  <c r="E128" i="21"/>
  <c r="E131" i="21" s="1"/>
  <c r="D128" i="21"/>
  <c r="D131" i="21" s="1"/>
  <c r="C128" i="21"/>
  <c r="C131" i="21" s="1"/>
  <c r="J125" i="21"/>
  <c r="I125" i="21"/>
  <c r="G125" i="21"/>
  <c r="F125" i="21"/>
  <c r="H124" i="21"/>
  <c r="E124" i="21"/>
  <c r="D124" i="21"/>
  <c r="C124" i="21"/>
  <c r="H123" i="21"/>
  <c r="E123" i="21"/>
  <c r="D123" i="21"/>
  <c r="C123" i="21"/>
  <c r="H122" i="21"/>
  <c r="H125" i="21" s="1"/>
  <c r="E122" i="21"/>
  <c r="E125" i="21" s="1"/>
  <c r="D122" i="21"/>
  <c r="D125" i="21" s="1"/>
  <c r="C122" i="21"/>
  <c r="C125" i="21" s="1"/>
  <c r="J119" i="21"/>
  <c r="I119" i="21"/>
  <c r="G119" i="21"/>
  <c r="F119" i="21"/>
  <c r="H118" i="21"/>
  <c r="E118" i="21"/>
  <c r="D118" i="21"/>
  <c r="C118" i="21"/>
  <c r="H117" i="21"/>
  <c r="E117" i="21"/>
  <c r="D117" i="21"/>
  <c r="C117" i="21"/>
  <c r="B117" i="21"/>
  <c r="H116" i="21"/>
  <c r="E116" i="21"/>
  <c r="E119" i="21" s="1"/>
  <c r="D116" i="21"/>
  <c r="C116" i="21"/>
  <c r="C119" i="21" s="1"/>
  <c r="J113" i="21"/>
  <c r="I113" i="21"/>
  <c r="G113" i="21"/>
  <c r="F113" i="21"/>
  <c r="H112" i="21"/>
  <c r="E112" i="21"/>
  <c r="B112" i="21" s="1"/>
  <c r="D112" i="21"/>
  <c r="C112" i="21"/>
  <c r="H111" i="21"/>
  <c r="E111" i="21"/>
  <c r="D111" i="21"/>
  <c r="C111" i="21"/>
  <c r="H110" i="21"/>
  <c r="H113" i="21" s="1"/>
  <c r="E110" i="21"/>
  <c r="D110" i="21"/>
  <c r="D113" i="21" s="1"/>
  <c r="C110" i="21"/>
  <c r="B110" i="21"/>
  <c r="J107" i="21"/>
  <c r="I107" i="21"/>
  <c r="G107" i="21"/>
  <c r="F107" i="21"/>
  <c r="H106" i="21"/>
  <c r="E106" i="21"/>
  <c r="D106" i="21"/>
  <c r="C106" i="21"/>
  <c r="B106" i="21" s="1"/>
  <c r="H105" i="21"/>
  <c r="E105" i="21"/>
  <c r="D105" i="21"/>
  <c r="C105" i="21"/>
  <c r="B105" i="21" s="1"/>
  <c r="H104" i="21"/>
  <c r="E104" i="21"/>
  <c r="D104" i="21"/>
  <c r="C104" i="21"/>
  <c r="H103" i="21"/>
  <c r="H107" i="21" s="1"/>
  <c r="E103" i="21"/>
  <c r="D103" i="21"/>
  <c r="D107" i="21" s="1"/>
  <c r="C103" i="21"/>
  <c r="J100" i="21"/>
  <c r="I100" i="21"/>
  <c r="G100" i="21"/>
  <c r="F100" i="21"/>
  <c r="H99" i="21"/>
  <c r="E99" i="21"/>
  <c r="D99" i="21"/>
  <c r="C99" i="21"/>
  <c r="B99" i="21"/>
  <c r="H98" i="21"/>
  <c r="E98" i="21"/>
  <c r="D98" i="21"/>
  <c r="C98" i="21"/>
  <c r="B98" i="21" s="1"/>
  <c r="H97" i="21"/>
  <c r="E97" i="21"/>
  <c r="D97" i="21"/>
  <c r="C97" i="21"/>
  <c r="B97" i="21" s="1"/>
  <c r="H96" i="21"/>
  <c r="E96" i="21"/>
  <c r="D96" i="21"/>
  <c r="C96" i="21"/>
  <c r="B96" i="21" s="1"/>
  <c r="H95" i="21"/>
  <c r="E95" i="21"/>
  <c r="D95" i="21"/>
  <c r="C95" i="21"/>
  <c r="H94" i="21"/>
  <c r="H100" i="21" s="1"/>
  <c r="E94" i="21"/>
  <c r="D94" i="21"/>
  <c r="D100" i="21" s="1"/>
  <c r="C94" i="21"/>
  <c r="B94" i="21"/>
  <c r="J91" i="21"/>
  <c r="I91" i="21"/>
  <c r="G91" i="21"/>
  <c r="F91" i="21"/>
  <c r="H90" i="21"/>
  <c r="E90" i="21"/>
  <c r="D90" i="21"/>
  <c r="C90" i="21"/>
  <c r="B90" i="21" s="1"/>
  <c r="H89" i="21"/>
  <c r="E89" i="21"/>
  <c r="D89" i="21"/>
  <c r="C89" i="21"/>
  <c r="B89" i="21" s="1"/>
  <c r="H88" i="21"/>
  <c r="E88" i="21"/>
  <c r="D88" i="21"/>
  <c r="C88" i="21"/>
  <c r="H87" i="21"/>
  <c r="H91" i="21" s="1"/>
  <c r="E87" i="21"/>
  <c r="E91" i="21" s="1"/>
  <c r="D87" i="21"/>
  <c r="D91" i="21" s="1"/>
  <c r="C87" i="21"/>
  <c r="C91" i="21" s="1"/>
  <c r="J84" i="21"/>
  <c r="I84" i="21"/>
  <c r="G84" i="21"/>
  <c r="F84" i="21"/>
  <c r="H83" i="21"/>
  <c r="E83" i="21"/>
  <c r="D83" i="21"/>
  <c r="C83" i="21"/>
  <c r="H82" i="21"/>
  <c r="E82" i="21"/>
  <c r="D82" i="21"/>
  <c r="C82" i="21"/>
  <c r="B82" i="21"/>
  <c r="H81" i="21"/>
  <c r="E81" i="21"/>
  <c r="E84" i="21" s="1"/>
  <c r="D81" i="21"/>
  <c r="C81" i="21"/>
  <c r="C84" i="21" s="1"/>
  <c r="J78" i="21"/>
  <c r="I78" i="21"/>
  <c r="G78" i="21"/>
  <c r="F78" i="21"/>
  <c r="H77" i="21"/>
  <c r="E77" i="21"/>
  <c r="D77" i="21"/>
  <c r="C77" i="21"/>
  <c r="H76" i="21"/>
  <c r="E76" i="21"/>
  <c r="D76" i="21"/>
  <c r="C76" i="21"/>
  <c r="B76" i="21"/>
  <c r="H75" i="21"/>
  <c r="E75" i="21"/>
  <c r="E78" i="21" s="1"/>
  <c r="D75" i="21"/>
  <c r="C75" i="21"/>
  <c r="C78" i="21" s="1"/>
  <c r="J72" i="21"/>
  <c r="I72" i="21"/>
  <c r="G72" i="21"/>
  <c r="F72" i="21"/>
  <c r="H71" i="21"/>
  <c r="E71" i="21"/>
  <c r="D71" i="21"/>
  <c r="C71" i="21"/>
  <c r="B71" i="21" s="1"/>
  <c r="H70" i="21"/>
  <c r="E70" i="21"/>
  <c r="D70" i="21"/>
  <c r="C70" i="21"/>
  <c r="B70" i="21" s="1"/>
  <c r="H69" i="21"/>
  <c r="E69" i="21"/>
  <c r="D69" i="21"/>
  <c r="C69" i="21"/>
  <c r="H68" i="21"/>
  <c r="E68" i="21"/>
  <c r="D68" i="21"/>
  <c r="C68" i="21"/>
  <c r="H67" i="21"/>
  <c r="E67" i="21"/>
  <c r="D67" i="21"/>
  <c r="C67" i="21"/>
  <c r="H66" i="21"/>
  <c r="E66" i="21"/>
  <c r="D66" i="21"/>
  <c r="C66" i="21"/>
  <c r="H65" i="21"/>
  <c r="E65" i="21"/>
  <c r="D65" i="21"/>
  <c r="C65" i="21"/>
  <c r="H64" i="21"/>
  <c r="E64" i="21"/>
  <c r="D64" i="21"/>
  <c r="C64" i="21"/>
  <c r="B64" i="21"/>
  <c r="H63" i="21"/>
  <c r="E63" i="21"/>
  <c r="D63" i="21"/>
  <c r="C63" i="21"/>
  <c r="B63" i="21" s="1"/>
  <c r="H62" i="21"/>
  <c r="E62" i="21"/>
  <c r="D62" i="21"/>
  <c r="C62" i="21"/>
  <c r="B62" i="21" s="1"/>
  <c r="H61" i="21"/>
  <c r="E61" i="21"/>
  <c r="E72" i="21" s="1"/>
  <c r="D61" i="21"/>
  <c r="C61" i="21"/>
  <c r="C72" i="21" s="1"/>
  <c r="J58" i="21"/>
  <c r="I58" i="21"/>
  <c r="G58" i="21"/>
  <c r="F58" i="21"/>
  <c r="H57" i="21"/>
  <c r="E57" i="21"/>
  <c r="D57" i="21"/>
  <c r="C57" i="21"/>
  <c r="B57" i="21" s="1"/>
  <c r="H56" i="21"/>
  <c r="E56" i="21"/>
  <c r="D56" i="21"/>
  <c r="C56" i="21"/>
  <c r="B56" i="21" s="1"/>
  <c r="H55" i="21"/>
  <c r="E55" i="21"/>
  <c r="D55" i="21"/>
  <c r="C55" i="21"/>
  <c r="H54" i="21"/>
  <c r="E54" i="21"/>
  <c r="D54" i="21"/>
  <c r="C54" i="21"/>
  <c r="H53" i="21"/>
  <c r="E53" i="21"/>
  <c r="D53" i="21"/>
  <c r="C53" i="21"/>
  <c r="H52" i="21"/>
  <c r="E52" i="21"/>
  <c r="D52" i="21"/>
  <c r="C52" i="21"/>
  <c r="B52" i="21"/>
  <c r="H51" i="21"/>
  <c r="E51" i="21"/>
  <c r="E58" i="21" s="1"/>
  <c r="D51" i="21"/>
  <c r="C51" i="21"/>
  <c r="C58" i="21" s="1"/>
  <c r="J48" i="21"/>
  <c r="I48" i="21"/>
  <c r="G48" i="21"/>
  <c r="F48" i="21"/>
  <c r="H47" i="21"/>
  <c r="E47" i="21"/>
  <c r="D47" i="21"/>
  <c r="C47" i="21"/>
  <c r="B47" i="21" s="1"/>
  <c r="H46" i="21"/>
  <c r="H48" i="21" s="1"/>
  <c r="E46" i="21"/>
  <c r="E48" i="21" s="1"/>
  <c r="D46" i="21"/>
  <c r="D48" i="21" s="1"/>
  <c r="C46" i="21"/>
  <c r="C48" i="21" s="1"/>
  <c r="J43" i="21"/>
  <c r="I43" i="21"/>
  <c r="G43" i="21"/>
  <c r="F43" i="21"/>
  <c r="H42" i="21"/>
  <c r="E42" i="21"/>
  <c r="B42" i="21" s="1"/>
  <c r="D42" i="21"/>
  <c r="C42" i="21"/>
  <c r="H41" i="21"/>
  <c r="E41" i="21"/>
  <c r="D41" i="21"/>
  <c r="C41" i="21"/>
  <c r="H40" i="21"/>
  <c r="E40" i="21"/>
  <c r="D40" i="21"/>
  <c r="C40" i="21"/>
  <c r="H39" i="21"/>
  <c r="E39" i="21"/>
  <c r="D39" i="21"/>
  <c r="C39" i="21"/>
  <c r="H38" i="21"/>
  <c r="H43" i="21" s="1"/>
  <c r="E38" i="21"/>
  <c r="D38" i="21"/>
  <c r="D43" i="21" s="1"/>
  <c r="C38" i="21"/>
  <c r="B38" i="21"/>
  <c r="J35" i="21"/>
  <c r="I35" i="21"/>
  <c r="G35" i="21"/>
  <c r="F35" i="21"/>
  <c r="H34" i="21"/>
  <c r="E34" i="21"/>
  <c r="B34" i="21" s="1"/>
  <c r="D34" i="21"/>
  <c r="C34" i="21"/>
  <c r="H33" i="21"/>
  <c r="E33" i="21"/>
  <c r="D33" i="21"/>
  <c r="C33" i="21"/>
  <c r="H32" i="21"/>
  <c r="E32" i="21"/>
  <c r="D32" i="21"/>
  <c r="C32" i="21"/>
  <c r="B32" i="21"/>
  <c r="H31" i="21"/>
  <c r="E31" i="21"/>
  <c r="B31" i="21" s="1"/>
  <c r="D31" i="21"/>
  <c r="C31" i="21"/>
  <c r="H30" i="21"/>
  <c r="E30" i="21"/>
  <c r="B30" i="21" s="1"/>
  <c r="D30" i="21"/>
  <c r="C30" i="21"/>
  <c r="H29" i="21"/>
  <c r="E29" i="21"/>
  <c r="D29" i="21"/>
  <c r="C29" i="21"/>
  <c r="H28" i="21"/>
  <c r="E28" i="21"/>
  <c r="D28" i="21"/>
  <c r="C28" i="21"/>
  <c r="B28" i="21"/>
  <c r="H27" i="21"/>
  <c r="E27" i="21"/>
  <c r="B27" i="21" s="1"/>
  <c r="D27" i="21"/>
  <c r="C27" i="21"/>
  <c r="H26" i="21"/>
  <c r="E26" i="21"/>
  <c r="B26" i="21" s="1"/>
  <c r="D26" i="21"/>
  <c r="C26" i="21"/>
  <c r="H25" i="21"/>
  <c r="E25" i="21"/>
  <c r="D25" i="21"/>
  <c r="C25" i="21"/>
  <c r="H24" i="21"/>
  <c r="E24" i="21"/>
  <c r="B24" i="21" s="1"/>
  <c r="D24" i="21"/>
  <c r="C24" i="21"/>
  <c r="C35" i="21" s="1"/>
  <c r="J21" i="21"/>
  <c r="I21" i="21"/>
  <c r="G21" i="21"/>
  <c r="F21" i="21"/>
  <c r="H20" i="21"/>
  <c r="E20" i="21"/>
  <c r="D20" i="21"/>
  <c r="C20" i="21"/>
  <c r="H19" i="21"/>
  <c r="E19" i="21"/>
  <c r="D19" i="21"/>
  <c r="C19" i="21"/>
  <c r="H18" i="21"/>
  <c r="E18" i="21"/>
  <c r="D18" i="21"/>
  <c r="C18" i="21"/>
  <c r="B18" i="21"/>
  <c r="H17" i="21"/>
  <c r="E17" i="21"/>
  <c r="B17" i="21" s="1"/>
  <c r="D17" i="21"/>
  <c r="C17" i="21"/>
  <c r="C21" i="21" s="1"/>
  <c r="J14" i="21"/>
  <c r="I14" i="21"/>
  <c r="G14" i="21"/>
  <c r="F14" i="21"/>
  <c r="H13" i="21"/>
  <c r="H14" i="21" s="1"/>
  <c r="E13" i="21"/>
  <c r="E14" i="21" s="1"/>
  <c r="D13" i="21"/>
  <c r="D14" i="21" s="1"/>
  <c r="C13" i="21"/>
  <c r="C14" i="21" s="1"/>
  <c r="J10" i="21"/>
  <c r="I10" i="21"/>
  <c r="G10" i="21"/>
  <c r="F10" i="21"/>
  <c r="H9" i="21"/>
  <c r="E9" i="21"/>
  <c r="D9" i="21"/>
  <c r="C9" i="21"/>
  <c r="B9" i="21" s="1"/>
  <c r="H8" i="21"/>
  <c r="E8" i="21"/>
  <c r="D8" i="21"/>
  <c r="C8" i="21"/>
  <c r="B8" i="21" s="1"/>
  <c r="H7" i="21"/>
  <c r="E7" i="21"/>
  <c r="D7" i="21"/>
  <c r="C7" i="21"/>
  <c r="H6" i="21"/>
  <c r="H10" i="21" s="1"/>
  <c r="E6" i="21"/>
  <c r="E10" i="21" s="1"/>
  <c r="D6" i="21"/>
  <c r="D10" i="21" s="1"/>
  <c r="C6" i="21"/>
  <c r="C10" i="21" s="1"/>
  <c r="K70" i="20"/>
  <c r="J70" i="20"/>
  <c r="H70" i="20"/>
  <c r="G70" i="20"/>
  <c r="K69" i="20"/>
  <c r="J69" i="20"/>
  <c r="H69" i="20"/>
  <c r="G69" i="20"/>
  <c r="K68" i="20"/>
  <c r="J68" i="20"/>
  <c r="J71" i="20" s="1"/>
  <c r="H68" i="20"/>
  <c r="H71" i="20" s="1"/>
  <c r="G68" i="20"/>
  <c r="I67" i="20"/>
  <c r="F67" i="20"/>
  <c r="E67" i="20"/>
  <c r="D67" i="20"/>
  <c r="I66" i="20"/>
  <c r="F66" i="20"/>
  <c r="E66" i="20"/>
  <c r="D66" i="20"/>
  <c r="I65" i="20"/>
  <c r="F65" i="20"/>
  <c r="E65" i="20"/>
  <c r="D65" i="20"/>
  <c r="I64" i="20"/>
  <c r="F64" i="20"/>
  <c r="E64" i="20"/>
  <c r="D64" i="20"/>
  <c r="I63" i="20"/>
  <c r="F63" i="20"/>
  <c r="E63" i="20"/>
  <c r="D63" i="20"/>
  <c r="I62" i="20"/>
  <c r="F62" i="20"/>
  <c r="E62" i="20"/>
  <c r="D62" i="20"/>
  <c r="I61" i="20"/>
  <c r="F61" i="20"/>
  <c r="E61" i="20"/>
  <c r="D61" i="20"/>
  <c r="C61" i="20"/>
  <c r="I60" i="20"/>
  <c r="F60" i="20"/>
  <c r="E60" i="20"/>
  <c r="D60" i="20"/>
  <c r="C60" i="20" s="1"/>
  <c r="I59" i="20"/>
  <c r="F59" i="20"/>
  <c r="E59" i="20"/>
  <c r="D59" i="20"/>
  <c r="C59" i="20" s="1"/>
  <c r="I58" i="20"/>
  <c r="F58" i="20"/>
  <c r="E58" i="20"/>
  <c r="D58" i="20"/>
  <c r="I57" i="20"/>
  <c r="F57" i="20"/>
  <c r="E57" i="20"/>
  <c r="D57" i="20"/>
  <c r="C57" i="20" s="1"/>
  <c r="I56" i="20"/>
  <c r="F56" i="20"/>
  <c r="E56" i="20"/>
  <c r="D56" i="20"/>
  <c r="I55" i="20"/>
  <c r="F55" i="20"/>
  <c r="E55" i="20"/>
  <c r="D55" i="20"/>
  <c r="I54" i="20"/>
  <c r="F54" i="20"/>
  <c r="E54" i="20"/>
  <c r="D54" i="20"/>
  <c r="I53" i="20"/>
  <c r="F53" i="20"/>
  <c r="E53" i="20"/>
  <c r="D53" i="20"/>
  <c r="C53" i="20"/>
  <c r="I52" i="20"/>
  <c r="F52" i="20"/>
  <c r="E52" i="20"/>
  <c r="D52" i="20"/>
  <c r="C52" i="20" s="1"/>
  <c r="I51" i="20"/>
  <c r="F51" i="20"/>
  <c r="E51" i="20"/>
  <c r="D51" i="20"/>
  <c r="C51" i="20" s="1"/>
  <c r="I50" i="20"/>
  <c r="F50" i="20"/>
  <c r="E50" i="20"/>
  <c r="D50" i="20"/>
  <c r="C50" i="20" s="1"/>
  <c r="I49" i="20"/>
  <c r="F49" i="20"/>
  <c r="E49" i="20"/>
  <c r="D49" i="20"/>
  <c r="C49" i="20" s="1"/>
  <c r="I48" i="20"/>
  <c r="F48" i="20"/>
  <c r="E48" i="20"/>
  <c r="D48" i="20"/>
  <c r="I47" i="20"/>
  <c r="F47" i="20"/>
  <c r="E47" i="20"/>
  <c r="D47" i="20"/>
  <c r="I46" i="20"/>
  <c r="F46" i="20"/>
  <c r="E46" i="20"/>
  <c r="D46" i="20"/>
  <c r="I45" i="20"/>
  <c r="F45" i="20"/>
  <c r="E45" i="20"/>
  <c r="D45" i="20"/>
  <c r="C45" i="20"/>
  <c r="I44" i="20"/>
  <c r="F44" i="20"/>
  <c r="E44" i="20"/>
  <c r="D44" i="20"/>
  <c r="C44" i="20" s="1"/>
  <c r="I43" i="20"/>
  <c r="F43" i="20"/>
  <c r="E43" i="20"/>
  <c r="D43" i="20"/>
  <c r="C43" i="20" s="1"/>
  <c r="I42" i="20"/>
  <c r="F42" i="20"/>
  <c r="E42" i="20"/>
  <c r="D42" i="20"/>
  <c r="C42" i="20" s="1"/>
  <c r="I41" i="20"/>
  <c r="F41" i="20"/>
  <c r="E41" i="20"/>
  <c r="D41" i="20"/>
  <c r="C41" i="20" s="1"/>
  <c r="I40" i="20"/>
  <c r="F40" i="20"/>
  <c r="E40" i="20"/>
  <c r="D40" i="20"/>
  <c r="C40" i="20" s="1"/>
  <c r="I39" i="20"/>
  <c r="F39" i="20"/>
  <c r="E39" i="20"/>
  <c r="D39" i="20"/>
  <c r="C39" i="20" s="1"/>
  <c r="I38" i="20"/>
  <c r="F38" i="20"/>
  <c r="E38" i="20"/>
  <c r="D38" i="20"/>
  <c r="I37" i="20"/>
  <c r="F37" i="20"/>
  <c r="E37" i="20"/>
  <c r="D37" i="20"/>
  <c r="I36" i="20"/>
  <c r="F36" i="20"/>
  <c r="E36" i="20"/>
  <c r="D36" i="20"/>
  <c r="I35" i="20"/>
  <c r="F35" i="20"/>
  <c r="E35" i="20"/>
  <c r="D35" i="20"/>
  <c r="C35" i="20"/>
  <c r="I34" i="20"/>
  <c r="F34" i="20"/>
  <c r="E34" i="20"/>
  <c r="D34" i="20"/>
  <c r="C34" i="20" s="1"/>
  <c r="I33" i="20"/>
  <c r="F33" i="20"/>
  <c r="E33" i="20"/>
  <c r="D33" i="20"/>
  <c r="C33" i="20" s="1"/>
  <c r="I32" i="20"/>
  <c r="F32" i="20"/>
  <c r="E32" i="20"/>
  <c r="D32" i="20"/>
  <c r="C32" i="20" s="1"/>
  <c r="I31" i="20"/>
  <c r="F31" i="20"/>
  <c r="E31" i="20"/>
  <c r="D31" i="20"/>
  <c r="C31" i="20" s="1"/>
  <c r="I30" i="20"/>
  <c r="F30" i="20"/>
  <c r="E30" i="20"/>
  <c r="D30" i="20"/>
  <c r="I29" i="20"/>
  <c r="F29" i="20"/>
  <c r="E29" i="20"/>
  <c r="D29" i="20"/>
  <c r="I28" i="20"/>
  <c r="F28" i="20"/>
  <c r="E28" i="20"/>
  <c r="D28" i="20"/>
  <c r="I27" i="20"/>
  <c r="F27" i="20"/>
  <c r="E27" i="20"/>
  <c r="D27" i="20"/>
  <c r="C27" i="20"/>
  <c r="I26" i="20"/>
  <c r="F26" i="20"/>
  <c r="E26" i="20"/>
  <c r="D26" i="20"/>
  <c r="C26" i="20" s="1"/>
  <c r="I25" i="20"/>
  <c r="F25" i="20"/>
  <c r="E25" i="20"/>
  <c r="D25" i="20"/>
  <c r="C25" i="20" s="1"/>
  <c r="I24" i="20"/>
  <c r="F24" i="20"/>
  <c r="E24" i="20"/>
  <c r="D24" i="20"/>
  <c r="C24" i="20" s="1"/>
  <c r="I23" i="20"/>
  <c r="F23" i="20"/>
  <c r="E23" i="20"/>
  <c r="D23" i="20"/>
  <c r="C23" i="20" s="1"/>
  <c r="I22" i="20"/>
  <c r="F22" i="20"/>
  <c r="E22" i="20"/>
  <c r="D22" i="20"/>
  <c r="I21" i="20"/>
  <c r="F21" i="20"/>
  <c r="E21" i="20"/>
  <c r="D21" i="20"/>
  <c r="I20" i="20"/>
  <c r="F20" i="20"/>
  <c r="E20" i="20"/>
  <c r="D20" i="20"/>
  <c r="I19" i="20"/>
  <c r="F19" i="20"/>
  <c r="E19" i="20"/>
  <c r="D19" i="20"/>
  <c r="I18" i="20"/>
  <c r="F18" i="20"/>
  <c r="E18" i="20"/>
  <c r="D18" i="20"/>
  <c r="I17" i="20"/>
  <c r="F17" i="20"/>
  <c r="E17" i="20"/>
  <c r="D17" i="20"/>
  <c r="C17" i="20"/>
  <c r="I16" i="20"/>
  <c r="F16" i="20"/>
  <c r="E16" i="20"/>
  <c r="D16" i="20"/>
  <c r="C16" i="20" s="1"/>
  <c r="I15" i="20"/>
  <c r="F15" i="20"/>
  <c r="E15" i="20"/>
  <c r="D15" i="20"/>
  <c r="C15" i="20" s="1"/>
  <c r="I14" i="20"/>
  <c r="F14" i="20"/>
  <c r="E14" i="20"/>
  <c r="D14" i="20"/>
  <c r="C14" i="20" s="1"/>
  <c r="I13" i="20"/>
  <c r="F13" i="20"/>
  <c r="E13" i="20"/>
  <c r="D13" i="20"/>
  <c r="C13" i="20" s="1"/>
  <c r="I12" i="20"/>
  <c r="F12" i="20"/>
  <c r="E12" i="20"/>
  <c r="D12" i="20"/>
  <c r="I11" i="20"/>
  <c r="F11" i="20"/>
  <c r="E11" i="20"/>
  <c r="D11" i="20"/>
  <c r="I10" i="20"/>
  <c r="F10" i="20"/>
  <c r="E10" i="20"/>
  <c r="D10" i="20"/>
  <c r="I9" i="20"/>
  <c r="F9" i="20"/>
  <c r="E9" i="20"/>
  <c r="D9" i="20"/>
  <c r="C9" i="20"/>
  <c r="I8" i="20"/>
  <c r="F8" i="20"/>
  <c r="E8" i="20"/>
  <c r="D8" i="20"/>
  <c r="C8" i="20" s="1"/>
  <c r="I7" i="20"/>
  <c r="F7" i="20"/>
  <c r="F70" i="20" s="1"/>
  <c r="E7" i="20"/>
  <c r="D7" i="20"/>
  <c r="D70" i="20" s="1"/>
  <c r="I6" i="20"/>
  <c r="I69" i="20" s="1"/>
  <c r="F6" i="20"/>
  <c r="E6" i="20"/>
  <c r="E69" i="20" s="1"/>
  <c r="D6" i="20"/>
  <c r="I5" i="20"/>
  <c r="I68" i="20" s="1"/>
  <c r="F5" i="20"/>
  <c r="E5" i="20"/>
  <c r="E68" i="20" s="1"/>
  <c r="D5" i="20"/>
  <c r="C5" i="20"/>
  <c r="K52" i="19"/>
  <c r="J52" i="19"/>
  <c r="H52" i="19"/>
  <c r="G52" i="19"/>
  <c r="K51" i="19"/>
  <c r="J51" i="19"/>
  <c r="H51" i="19"/>
  <c r="G51" i="19"/>
  <c r="K50" i="19"/>
  <c r="K53" i="19" s="1"/>
  <c r="J50" i="19"/>
  <c r="J53" i="19" s="1"/>
  <c r="H50" i="19"/>
  <c r="H53" i="19" s="1"/>
  <c r="G50" i="19"/>
  <c r="G53" i="19" s="1"/>
  <c r="I49" i="19"/>
  <c r="F49" i="19"/>
  <c r="E49" i="19"/>
  <c r="D49" i="19"/>
  <c r="C49" i="19" s="1"/>
  <c r="I48" i="19"/>
  <c r="F48" i="19"/>
  <c r="E48" i="19"/>
  <c r="D48" i="19"/>
  <c r="C48" i="19" s="1"/>
  <c r="I47" i="19"/>
  <c r="F47" i="19"/>
  <c r="E47" i="19"/>
  <c r="D47" i="19"/>
  <c r="I46" i="19"/>
  <c r="F46" i="19"/>
  <c r="E46" i="19"/>
  <c r="D46" i="19"/>
  <c r="C46" i="19"/>
  <c r="I45" i="19"/>
  <c r="F45" i="19"/>
  <c r="E45" i="19"/>
  <c r="D45" i="19"/>
  <c r="C45" i="19" s="1"/>
  <c r="I44" i="19"/>
  <c r="F44" i="19"/>
  <c r="E44" i="19"/>
  <c r="D44" i="19"/>
  <c r="C44" i="19" s="1"/>
  <c r="I43" i="19"/>
  <c r="F43" i="19"/>
  <c r="E43" i="19"/>
  <c r="D43" i="19"/>
  <c r="I42" i="19"/>
  <c r="F42" i="19"/>
  <c r="E42" i="19"/>
  <c r="D42" i="19"/>
  <c r="C42" i="19"/>
  <c r="I41" i="19"/>
  <c r="F41" i="19"/>
  <c r="E41" i="19"/>
  <c r="D41" i="19"/>
  <c r="C41" i="19" s="1"/>
  <c r="I40" i="19"/>
  <c r="F40" i="19"/>
  <c r="E40" i="19"/>
  <c r="D40" i="19"/>
  <c r="C40" i="19" s="1"/>
  <c r="I39" i="19"/>
  <c r="F39" i="19"/>
  <c r="E39" i="19"/>
  <c r="D39" i="19"/>
  <c r="I38" i="19"/>
  <c r="F38" i="19"/>
  <c r="E38" i="19"/>
  <c r="D38" i="19"/>
  <c r="C38" i="19"/>
  <c r="I37" i="19"/>
  <c r="F37" i="19"/>
  <c r="E37" i="19"/>
  <c r="D37" i="19"/>
  <c r="C37" i="19" s="1"/>
  <c r="I36" i="19"/>
  <c r="F36" i="19"/>
  <c r="E36" i="19"/>
  <c r="D36" i="19"/>
  <c r="C36" i="19" s="1"/>
  <c r="I35" i="19"/>
  <c r="F35" i="19"/>
  <c r="E35" i="19"/>
  <c r="D35" i="19"/>
  <c r="I34" i="19"/>
  <c r="F34" i="19"/>
  <c r="E34" i="19"/>
  <c r="D34" i="19"/>
  <c r="C34" i="19"/>
  <c r="I33" i="19"/>
  <c r="F33" i="19"/>
  <c r="E33" i="19"/>
  <c r="D33" i="19"/>
  <c r="C33" i="19" s="1"/>
  <c r="I32" i="19"/>
  <c r="F32" i="19"/>
  <c r="E32" i="19"/>
  <c r="D32" i="19"/>
  <c r="C32" i="19" s="1"/>
  <c r="I31" i="19"/>
  <c r="F31" i="19"/>
  <c r="E31" i="19"/>
  <c r="D31" i="19"/>
  <c r="I30" i="19"/>
  <c r="F30" i="19"/>
  <c r="E30" i="19"/>
  <c r="D30" i="19"/>
  <c r="C30" i="19"/>
  <c r="I29" i="19"/>
  <c r="F29" i="19"/>
  <c r="E29" i="19"/>
  <c r="D29" i="19"/>
  <c r="C29" i="19" s="1"/>
  <c r="I28" i="19"/>
  <c r="F28" i="19"/>
  <c r="E28" i="19"/>
  <c r="D28" i="19"/>
  <c r="C28" i="19" s="1"/>
  <c r="I27" i="19"/>
  <c r="F27" i="19"/>
  <c r="E27" i="19"/>
  <c r="D27" i="19"/>
  <c r="I26" i="19"/>
  <c r="F26" i="19"/>
  <c r="E26" i="19"/>
  <c r="D26" i="19"/>
  <c r="C26" i="19"/>
  <c r="I25" i="19"/>
  <c r="F25" i="19"/>
  <c r="E25" i="19"/>
  <c r="D25" i="19"/>
  <c r="C25" i="19" s="1"/>
  <c r="I24" i="19"/>
  <c r="F24" i="19"/>
  <c r="E24" i="19"/>
  <c r="D24" i="19"/>
  <c r="C24" i="19" s="1"/>
  <c r="I23" i="19"/>
  <c r="F23" i="19"/>
  <c r="E23" i="19"/>
  <c r="D23" i="19"/>
  <c r="I22" i="19"/>
  <c r="F22" i="19"/>
  <c r="E22" i="19"/>
  <c r="D22" i="19"/>
  <c r="C22" i="19"/>
  <c r="I21" i="19"/>
  <c r="F21" i="19"/>
  <c r="E21" i="19"/>
  <c r="D21" i="19"/>
  <c r="C21" i="19" s="1"/>
  <c r="I20" i="19"/>
  <c r="F20" i="19"/>
  <c r="E20" i="19"/>
  <c r="D20" i="19"/>
  <c r="C20" i="19" s="1"/>
  <c r="I19" i="19"/>
  <c r="F19" i="19"/>
  <c r="E19" i="19"/>
  <c r="D19" i="19"/>
  <c r="I18" i="19"/>
  <c r="F18" i="19"/>
  <c r="E18" i="19"/>
  <c r="D18" i="19"/>
  <c r="C18" i="19"/>
  <c r="I17" i="19"/>
  <c r="F17" i="19"/>
  <c r="E17" i="19"/>
  <c r="D17" i="19"/>
  <c r="C17" i="19" s="1"/>
  <c r="I16" i="19"/>
  <c r="F16" i="19"/>
  <c r="E16" i="19"/>
  <c r="D16" i="19"/>
  <c r="C16" i="19" s="1"/>
  <c r="I15" i="19"/>
  <c r="F15" i="19"/>
  <c r="E15" i="19"/>
  <c r="D15" i="19"/>
  <c r="I14" i="19"/>
  <c r="F14" i="19"/>
  <c r="E14" i="19"/>
  <c r="D14" i="19"/>
  <c r="C14" i="19"/>
  <c r="I13" i="19"/>
  <c r="F13" i="19"/>
  <c r="E13" i="19"/>
  <c r="D13" i="19"/>
  <c r="C13" i="19" s="1"/>
  <c r="I12" i="19"/>
  <c r="F12" i="19"/>
  <c r="E12" i="19"/>
  <c r="D12" i="19"/>
  <c r="C12" i="19" s="1"/>
  <c r="I11" i="19"/>
  <c r="F11" i="19"/>
  <c r="E11" i="19"/>
  <c r="D11" i="19"/>
  <c r="I10" i="19"/>
  <c r="F10" i="19"/>
  <c r="E10" i="19"/>
  <c r="D10" i="19"/>
  <c r="C10" i="19"/>
  <c r="I9" i="19"/>
  <c r="F9" i="19"/>
  <c r="E9" i="19"/>
  <c r="D9" i="19"/>
  <c r="C9" i="19" s="1"/>
  <c r="I8" i="19"/>
  <c r="F8" i="19"/>
  <c r="E8" i="19"/>
  <c r="D8" i="19"/>
  <c r="C8" i="19" s="1"/>
  <c r="I7" i="19"/>
  <c r="I52" i="19" s="1"/>
  <c r="F7" i="19"/>
  <c r="E7" i="19"/>
  <c r="E52" i="19" s="1"/>
  <c r="D7" i="19"/>
  <c r="I6" i="19"/>
  <c r="I51" i="19" s="1"/>
  <c r="F6" i="19"/>
  <c r="E6" i="19"/>
  <c r="E51" i="19" s="1"/>
  <c r="D6" i="19"/>
  <c r="C6" i="19"/>
  <c r="I5" i="19"/>
  <c r="F5" i="19"/>
  <c r="F50" i="19" s="1"/>
  <c r="E5" i="19"/>
  <c r="D5" i="19"/>
  <c r="D50" i="19" s="1"/>
  <c r="K75" i="18"/>
  <c r="K83" i="18" s="1"/>
  <c r="J75" i="18"/>
  <c r="J83" i="18" s="1"/>
  <c r="H75" i="18"/>
  <c r="H83" i="18" s="1"/>
  <c r="G75" i="18"/>
  <c r="G83" i="18" s="1"/>
  <c r="K74" i="18"/>
  <c r="K82" i="18" s="1"/>
  <c r="J74" i="18"/>
  <c r="J82" i="18" s="1"/>
  <c r="H74" i="18"/>
  <c r="H82" i="18" s="1"/>
  <c r="G74" i="18"/>
  <c r="G82" i="18" s="1"/>
  <c r="K73" i="18"/>
  <c r="J73" i="18"/>
  <c r="H73" i="18"/>
  <c r="G73" i="18"/>
  <c r="I72" i="18"/>
  <c r="F72" i="18"/>
  <c r="E72" i="18"/>
  <c r="D72" i="18"/>
  <c r="C72" i="18" s="1"/>
  <c r="I71" i="18"/>
  <c r="I73" i="18" s="1"/>
  <c r="F71" i="18"/>
  <c r="E71" i="18"/>
  <c r="E73" i="18" s="1"/>
  <c r="D71" i="18"/>
  <c r="C71" i="18"/>
  <c r="K70" i="18"/>
  <c r="J70" i="18"/>
  <c r="H70" i="18"/>
  <c r="G70" i="18"/>
  <c r="I69" i="18"/>
  <c r="F69" i="18"/>
  <c r="E69" i="18"/>
  <c r="D69" i="18"/>
  <c r="C69" i="18" s="1"/>
  <c r="I68" i="18"/>
  <c r="I70" i="18" s="1"/>
  <c r="F68" i="18"/>
  <c r="E68" i="18"/>
  <c r="E70" i="18" s="1"/>
  <c r="D68" i="18"/>
  <c r="K67" i="18"/>
  <c r="J67" i="18"/>
  <c r="H67" i="18"/>
  <c r="G67" i="18"/>
  <c r="I66" i="18"/>
  <c r="F66" i="18"/>
  <c r="E66" i="18"/>
  <c r="D66" i="18"/>
  <c r="I65" i="18"/>
  <c r="I67" i="18" s="1"/>
  <c r="F65" i="18"/>
  <c r="F67" i="18" s="1"/>
  <c r="E65" i="18"/>
  <c r="E67" i="18" s="1"/>
  <c r="D65" i="18"/>
  <c r="D67" i="18" s="1"/>
  <c r="C65" i="18"/>
  <c r="K64" i="18"/>
  <c r="J64" i="18"/>
  <c r="H64" i="18"/>
  <c r="G64" i="18"/>
  <c r="I63" i="18"/>
  <c r="F63" i="18"/>
  <c r="E63" i="18"/>
  <c r="D63" i="18"/>
  <c r="C63" i="18" s="1"/>
  <c r="I62" i="18"/>
  <c r="I64" i="18" s="1"/>
  <c r="F62" i="18"/>
  <c r="E62" i="18"/>
  <c r="E64" i="18" s="1"/>
  <c r="D62" i="18"/>
  <c r="K61" i="18"/>
  <c r="J61" i="18"/>
  <c r="H61" i="18"/>
  <c r="G61" i="18"/>
  <c r="I60" i="18"/>
  <c r="F60" i="18"/>
  <c r="E60" i="18"/>
  <c r="D60" i="18"/>
  <c r="I59" i="18"/>
  <c r="I61" i="18" s="1"/>
  <c r="F59" i="18"/>
  <c r="F61" i="18" s="1"/>
  <c r="E59" i="18"/>
  <c r="E61" i="18" s="1"/>
  <c r="D59" i="18"/>
  <c r="D61" i="18" s="1"/>
  <c r="C59" i="18"/>
  <c r="K58" i="18"/>
  <c r="J58" i="18"/>
  <c r="H58" i="18"/>
  <c r="G58" i="18"/>
  <c r="I57" i="18"/>
  <c r="F57" i="18"/>
  <c r="E57" i="18"/>
  <c r="D57" i="18"/>
  <c r="C57" i="18" s="1"/>
  <c r="I56" i="18"/>
  <c r="I58" i="18" s="1"/>
  <c r="F56" i="18"/>
  <c r="E56" i="18"/>
  <c r="E58" i="18" s="1"/>
  <c r="D56" i="18"/>
  <c r="K55" i="18"/>
  <c r="J55" i="18"/>
  <c r="H55" i="18"/>
  <c r="G55" i="18"/>
  <c r="I54" i="18"/>
  <c r="F54" i="18"/>
  <c r="E54" i="18"/>
  <c r="D54" i="18"/>
  <c r="I53" i="18"/>
  <c r="I55" i="18" s="1"/>
  <c r="F53" i="18"/>
  <c r="F55" i="18" s="1"/>
  <c r="E53" i="18"/>
  <c r="E55" i="18" s="1"/>
  <c r="D53" i="18"/>
  <c r="D55" i="18" s="1"/>
  <c r="C53" i="18"/>
  <c r="K52" i="18"/>
  <c r="J52" i="18"/>
  <c r="H52" i="18"/>
  <c r="G52" i="18"/>
  <c r="I51" i="18"/>
  <c r="F51" i="18"/>
  <c r="E51" i="18"/>
  <c r="D51" i="18"/>
  <c r="C51" i="18" s="1"/>
  <c r="I50" i="18"/>
  <c r="I52" i="18" s="1"/>
  <c r="F50" i="18"/>
  <c r="E50" i="18"/>
  <c r="E52" i="18" s="1"/>
  <c r="D50" i="18"/>
  <c r="K49" i="18"/>
  <c r="J49" i="18"/>
  <c r="H49" i="18"/>
  <c r="G49" i="18"/>
  <c r="I48" i="18"/>
  <c r="F48" i="18"/>
  <c r="E48" i="18"/>
  <c r="D48" i="18"/>
  <c r="I47" i="18"/>
  <c r="I49" i="18" s="1"/>
  <c r="F47" i="18"/>
  <c r="F49" i="18" s="1"/>
  <c r="E47" i="18"/>
  <c r="E49" i="18" s="1"/>
  <c r="D47" i="18"/>
  <c r="D49" i="18" s="1"/>
  <c r="C47" i="18"/>
  <c r="K46" i="18"/>
  <c r="J46" i="18"/>
  <c r="H46" i="18"/>
  <c r="G46" i="18"/>
  <c r="I45" i="18"/>
  <c r="F45" i="18"/>
  <c r="E45" i="18"/>
  <c r="D45" i="18"/>
  <c r="C45" i="18" s="1"/>
  <c r="I44" i="18"/>
  <c r="I46" i="18" s="1"/>
  <c r="F44" i="18"/>
  <c r="E44" i="18"/>
  <c r="E46" i="18" s="1"/>
  <c r="D44" i="18"/>
  <c r="K43" i="18"/>
  <c r="J43" i="18"/>
  <c r="H43" i="18"/>
  <c r="G43" i="18"/>
  <c r="I42" i="18"/>
  <c r="F42" i="18"/>
  <c r="E42" i="18"/>
  <c r="D42" i="18"/>
  <c r="I41" i="18"/>
  <c r="I43" i="18" s="1"/>
  <c r="F41" i="18"/>
  <c r="F43" i="18" s="1"/>
  <c r="E41" i="18"/>
  <c r="E43" i="18" s="1"/>
  <c r="D41" i="18"/>
  <c r="D43" i="18" s="1"/>
  <c r="C41" i="18"/>
  <c r="K40" i="18"/>
  <c r="J40" i="18"/>
  <c r="H40" i="18"/>
  <c r="G40" i="18"/>
  <c r="I39" i="18"/>
  <c r="F39" i="18"/>
  <c r="E39" i="18"/>
  <c r="D39" i="18"/>
  <c r="C39" i="18" s="1"/>
  <c r="I38" i="18"/>
  <c r="I40" i="18" s="1"/>
  <c r="F38" i="18"/>
  <c r="E38" i="18"/>
  <c r="E40" i="18" s="1"/>
  <c r="D38" i="18"/>
  <c r="C38" i="18"/>
  <c r="K37" i="18"/>
  <c r="J37" i="18"/>
  <c r="H37" i="18"/>
  <c r="G37" i="18"/>
  <c r="I36" i="18"/>
  <c r="F36" i="18"/>
  <c r="E36" i="18"/>
  <c r="D36" i="18"/>
  <c r="C36" i="18" s="1"/>
  <c r="I35" i="18"/>
  <c r="I37" i="18" s="1"/>
  <c r="F35" i="18"/>
  <c r="E35" i="18"/>
  <c r="E37" i="18" s="1"/>
  <c r="D35" i="18"/>
  <c r="C35" i="18"/>
  <c r="K34" i="18"/>
  <c r="J34" i="18"/>
  <c r="H34" i="18"/>
  <c r="G34" i="18"/>
  <c r="I33" i="18"/>
  <c r="F33" i="18"/>
  <c r="E33" i="18"/>
  <c r="D33" i="18"/>
  <c r="C33" i="18" s="1"/>
  <c r="I32" i="18"/>
  <c r="I34" i="18" s="1"/>
  <c r="F32" i="18"/>
  <c r="E32" i="18"/>
  <c r="E34" i="18" s="1"/>
  <c r="D32" i="18"/>
  <c r="C32" i="18"/>
  <c r="K31" i="18"/>
  <c r="J31" i="18"/>
  <c r="H31" i="18"/>
  <c r="G31" i="18"/>
  <c r="I30" i="18"/>
  <c r="F30" i="18"/>
  <c r="E30" i="18"/>
  <c r="D30" i="18"/>
  <c r="C30" i="18" s="1"/>
  <c r="I29" i="18"/>
  <c r="I31" i="18" s="1"/>
  <c r="F29" i="18"/>
  <c r="E29" i="18"/>
  <c r="E31" i="18" s="1"/>
  <c r="D29" i="18"/>
  <c r="K28" i="18"/>
  <c r="J28" i="18"/>
  <c r="H28" i="18"/>
  <c r="G28" i="18"/>
  <c r="I27" i="18"/>
  <c r="F27" i="18"/>
  <c r="E27" i="18"/>
  <c r="D27" i="18"/>
  <c r="C27" i="18"/>
  <c r="I26" i="18"/>
  <c r="F26" i="18"/>
  <c r="F28" i="18" s="1"/>
  <c r="E26" i="18"/>
  <c r="D26" i="18"/>
  <c r="C26" i="18" s="1"/>
  <c r="C28" i="18" s="1"/>
  <c r="K25" i="18"/>
  <c r="J25" i="18"/>
  <c r="H25" i="18"/>
  <c r="G25" i="18"/>
  <c r="I24" i="18"/>
  <c r="F24" i="18"/>
  <c r="E24" i="18"/>
  <c r="D24" i="18"/>
  <c r="C24" i="18" s="1"/>
  <c r="I23" i="18"/>
  <c r="I25" i="18" s="1"/>
  <c r="F23" i="18"/>
  <c r="F25" i="18" s="1"/>
  <c r="E23" i="18"/>
  <c r="E25" i="18" s="1"/>
  <c r="D23" i="18"/>
  <c r="D25" i="18" s="1"/>
  <c r="K22" i="18"/>
  <c r="J22" i="18"/>
  <c r="H22" i="18"/>
  <c r="G22" i="18"/>
  <c r="I21" i="18"/>
  <c r="F21" i="18"/>
  <c r="E21" i="18"/>
  <c r="D21" i="18"/>
  <c r="C21" i="18"/>
  <c r="I20" i="18"/>
  <c r="F20" i="18"/>
  <c r="F22" i="18" s="1"/>
  <c r="E20" i="18"/>
  <c r="D20" i="18"/>
  <c r="C20" i="18" s="1"/>
  <c r="C22" i="18" s="1"/>
  <c r="K19" i="18"/>
  <c r="J19" i="18"/>
  <c r="H19" i="18"/>
  <c r="G19" i="18"/>
  <c r="I18" i="18"/>
  <c r="F18" i="18"/>
  <c r="E18" i="18"/>
  <c r="D18" i="18"/>
  <c r="C18" i="18" s="1"/>
  <c r="I17" i="18"/>
  <c r="I19" i="18" s="1"/>
  <c r="F17" i="18"/>
  <c r="F19" i="18" s="1"/>
  <c r="E17" i="18"/>
  <c r="E19" i="18" s="1"/>
  <c r="D17" i="18"/>
  <c r="D19" i="18" s="1"/>
  <c r="K16" i="18"/>
  <c r="J16" i="18"/>
  <c r="H16" i="18"/>
  <c r="G16" i="18"/>
  <c r="I15" i="18"/>
  <c r="F15" i="18"/>
  <c r="E15" i="18"/>
  <c r="D15" i="18"/>
  <c r="C15" i="18"/>
  <c r="I14" i="18"/>
  <c r="F14" i="18"/>
  <c r="F16" i="18" s="1"/>
  <c r="E14" i="18"/>
  <c r="D14" i="18"/>
  <c r="C14" i="18" s="1"/>
  <c r="C16" i="18" s="1"/>
  <c r="K13" i="18"/>
  <c r="J13" i="18"/>
  <c r="H13" i="18"/>
  <c r="G13" i="18"/>
  <c r="I12" i="18"/>
  <c r="F12" i="18"/>
  <c r="E12" i="18"/>
  <c r="D12" i="18"/>
  <c r="C12" i="18" s="1"/>
  <c r="I11" i="18"/>
  <c r="I13" i="18" s="1"/>
  <c r="F11" i="18"/>
  <c r="F13" i="18" s="1"/>
  <c r="E11" i="18"/>
  <c r="E13" i="18" s="1"/>
  <c r="D11" i="18"/>
  <c r="D13" i="18" s="1"/>
  <c r="K10" i="18"/>
  <c r="J10" i="18"/>
  <c r="H10" i="18"/>
  <c r="G10" i="18"/>
  <c r="I9" i="18"/>
  <c r="F9" i="18"/>
  <c r="E9" i="18"/>
  <c r="D9" i="18"/>
  <c r="C9" i="18"/>
  <c r="I8" i="18"/>
  <c r="F8" i="18"/>
  <c r="F10" i="18" s="1"/>
  <c r="E8" i="18"/>
  <c r="D8" i="18"/>
  <c r="C8" i="18" s="1"/>
  <c r="C10" i="18" s="1"/>
  <c r="K7" i="18"/>
  <c r="J7" i="18"/>
  <c r="J76" i="18" s="1"/>
  <c r="J84" i="18" s="1"/>
  <c r="H7" i="18"/>
  <c r="G7" i="18"/>
  <c r="G76" i="18" s="1"/>
  <c r="G84" i="18" s="1"/>
  <c r="I6" i="18"/>
  <c r="F6" i="18"/>
  <c r="F75" i="18" s="1"/>
  <c r="F83" i="18" s="1"/>
  <c r="E6" i="18"/>
  <c r="D6" i="18"/>
  <c r="D75" i="18" s="1"/>
  <c r="D83" i="18" s="1"/>
  <c r="I5" i="18"/>
  <c r="I74" i="18" s="1"/>
  <c r="I82" i="18" s="1"/>
  <c r="F5" i="18"/>
  <c r="F7" i="18" s="1"/>
  <c r="E5" i="18"/>
  <c r="E74" i="18" s="1"/>
  <c r="E82" i="18" s="1"/>
  <c r="D5" i="18"/>
  <c r="D7" i="18" s="1"/>
  <c r="K78" i="17"/>
  <c r="J78" i="17"/>
  <c r="H78" i="17"/>
  <c r="G78" i="17"/>
  <c r="K77" i="17"/>
  <c r="J77" i="17"/>
  <c r="H77" i="17"/>
  <c r="G77" i="17"/>
  <c r="K76" i="17"/>
  <c r="J76" i="17"/>
  <c r="H76" i="17"/>
  <c r="G76" i="17"/>
  <c r="I75" i="17"/>
  <c r="F75" i="17"/>
  <c r="E75" i="17"/>
  <c r="D75" i="17"/>
  <c r="I74" i="17"/>
  <c r="I76" i="17" s="1"/>
  <c r="F74" i="17"/>
  <c r="F76" i="17" s="1"/>
  <c r="E74" i="17"/>
  <c r="E76" i="17" s="1"/>
  <c r="D74" i="17"/>
  <c r="D76" i="17" s="1"/>
  <c r="C74" i="17"/>
  <c r="K73" i="17"/>
  <c r="J73" i="17"/>
  <c r="H73" i="17"/>
  <c r="G73" i="17"/>
  <c r="I72" i="17"/>
  <c r="F72" i="17"/>
  <c r="E72" i="17"/>
  <c r="D72" i="17"/>
  <c r="C72" i="17" s="1"/>
  <c r="I71" i="17"/>
  <c r="I73" i="17" s="1"/>
  <c r="F71" i="17"/>
  <c r="E71" i="17"/>
  <c r="E73" i="17" s="1"/>
  <c r="D71" i="17"/>
  <c r="K70" i="17"/>
  <c r="J70" i="17"/>
  <c r="H70" i="17"/>
  <c r="G70" i="17"/>
  <c r="I69" i="17"/>
  <c r="F69" i="17"/>
  <c r="E69" i="17"/>
  <c r="D69" i="17"/>
  <c r="I68" i="17"/>
  <c r="I70" i="17" s="1"/>
  <c r="F68" i="17"/>
  <c r="F70" i="17" s="1"/>
  <c r="E68" i="17"/>
  <c r="E70" i="17" s="1"/>
  <c r="D68" i="17"/>
  <c r="D70" i="17" s="1"/>
  <c r="C68" i="17"/>
  <c r="K67" i="17"/>
  <c r="J67" i="17"/>
  <c r="H67" i="17"/>
  <c r="G67" i="17"/>
  <c r="I66" i="17"/>
  <c r="F66" i="17"/>
  <c r="E66" i="17"/>
  <c r="D66" i="17"/>
  <c r="C66" i="17" s="1"/>
  <c r="I65" i="17"/>
  <c r="I67" i="17" s="1"/>
  <c r="F65" i="17"/>
  <c r="E65" i="17"/>
  <c r="E67" i="17" s="1"/>
  <c r="D65" i="17"/>
  <c r="K64" i="17"/>
  <c r="J64" i="17"/>
  <c r="H64" i="17"/>
  <c r="G64" i="17"/>
  <c r="I63" i="17"/>
  <c r="F63" i="17"/>
  <c r="E63" i="17"/>
  <c r="D63" i="17"/>
  <c r="I62" i="17"/>
  <c r="I64" i="17" s="1"/>
  <c r="F62" i="17"/>
  <c r="F64" i="17" s="1"/>
  <c r="E62" i="17"/>
  <c r="E64" i="17" s="1"/>
  <c r="D62" i="17"/>
  <c r="D64" i="17" s="1"/>
  <c r="C62" i="17"/>
  <c r="K61" i="17"/>
  <c r="J61" i="17"/>
  <c r="H61" i="17"/>
  <c r="G61" i="17"/>
  <c r="I60" i="17"/>
  <c r="F60" i="17"/>
  <c r="E60" i="17"/>
  <c r="D60" i="17"/>
  <c r="C60" i="17" s="1"/>
  <c r="I59" i="17"/>
  <c r="I61" i="17" s="1"/>
  <c r="F59" i="17"/>
  <c r="E59" i="17"/>
  <c r="E61" i="17" s="1"/>
  <c r="D59" i="17"/>
  <c r="K58" i="17"/>
  <c r="J58" i="17"/>
  <c r="H58" i="17"/>
  <c r="G58" i="17"/>
  <c r="I57" i="17"/>
  <c r="F57" i="17"/>
  <c r="E57" i="17"/>
  <c r="D57" i="17"/>
  <c r="I56" i="17"/>
  <c r="I58" i="17" s="1"/>
  <c r="F56" i="17"/>
  <c r="F58" i="17" s="1"/>
  <c r="E56" i="17"/>
  <c r="E58" i="17" s="1"/>
  <c r="D56" i="17"/>
  <c r="D58" i="17" s="1"/>
  <c r="C56" i="17"/>
  <c r="K55" i="17"/>
  <c r="J55" i="17"/>
  <c r="H55" i="17"/>
  <c r="G55" i="17"/>
  <c r="I54" i="17"/>
  <c r="F54" i="17"/>
  <c r="E54" i="17"/>
  <c r="D54" i="17"/>
  <c r="C54" i="17" s="1"/>
  <c r="I53" i="17"/>
  <c r="I55" i="17" s="1"/>
  <c r="F53" i="17"/>
  <c r="E53" i="17"/>
  <c r="E55" i="17" s="1"/>
  <c r="D53" i="17"/>
  <c r="K52" i="17"/>
  <c r="J52" i="17"/>
  <c r="H52" i="17"/>
  <c r="G52" i="17"/>
  <c r="I51" i="17"/>
  <c r="F51" i="17"/>
  <c r="E51" i="17"/>
  <c r="D51" i="17"/>
  <c r="I50" i="17"/>
  <c r="I52" i="17" s="1"/>
  <c r="F50" i="17"/>
  <c r="F52" i="17" s="1"/>
  <c r="E50" i="17"/>
  <c r="E52" i="17" s="1"/>
  <c r="D50" i="17"/>
  <c r="D52" i="17" s="1"/>
  <c r="C50" i="17"/>
  <c r="K49" i="17"/>
  <c r="J49" i="17"/>
  <c r="H49" i="17"/>
  <c r="G49" i="17"/>
  <c r="I48" i="17"/>
  <c r="F48" i="17"/>
  <c r="E48" i="17"/>
  <c r="D48" i="17"/>
  <c r="C48" i="17" s="1"/>
  <c r="I47" i="17"/>
  <c r="I49" i="17" s="1"/>
  <c r="F47" i="17"/>
  <c r="E47" i="17"/>
  <c r="E49" i="17" s="1"/>
  <c r="D47" i="17"/>
  <c r="K46" i="17"/>
  <c r="J46" i="17"/>
  <c r="H46" i="17"/>
  <c r="G46" i="17"/>
  <c r="I45" i="17"/>
  <c r="F45" i="17"/>
  <c r="E45" i="17"/>
  <c r="D45" i="17"/>
  <c r="I44" i="17"/>
  <c r="I46" i="17" s="1"/>
  <c r="F44" i="17"/>
  <c r="F46" i="17" s="1"/>
  <c r="E44" i="17"/>
  <c r="E46" i="17" s="1"/>
  <c r="D44" i="17"/>
  <c r="D46" i="17" s="1"/>
  <c r="C44" i="17"/>
  <c r="K43" i="17"/>
  <c r="J43" i="17"/>
  <c r="H43" i="17"/>
  <c r="G43" i="17"/>
  <c r="I42" i="17"/>
  <c r="F42" i="17"/>
  <c r="E42" i="17"/>
  <c r="D42" i="17"/>
  <c r="C42" i="17" s="1"/>
  <c r="I41" i="17"/>
  <c r="I43" i="17" s="1"/>
  <c r="F41" i="17"/>
  <c r="E41" i="17"/>
  <c r="E43" i="17" s="1"/>
  <c r="D41" i="17"/>
  <c r="K40" i="17"/>
  <c r="J40" i="17"/>
  <c r="H40" i="17"/>
  <c r="G40" i="17"/>
  <c r="I39" i="17"/>
  <c r="F39" i="17"/>
  <c r="E39" i="17"/>
  <c r="D39" i="17"/>
  <c r="I38" i="17"/>
  <c r="I40" i="17" s="1"/>
  <c r="F38" i="17"/>
  <c r="F40" i="17" s="1"/>
  <c r="E38" i="17"/>
  <c r="E40" i="17" s="1"/>
  <c r="D38" i="17"/>
  <c r="D40" i="17" s="1"/>
  <c r="C38" i="17"/>
  <c r="K37" i="17"/>
  <c r="J37" i="17"/>
  <c r="H37" i="17"/>
  <c r="G37" i="17"/>
  <c r="I36" i="17"/>
  <c r="F36" i="17"/>
  <c r="E36" i="17"/>
  <c r="D36" i="17"/>
  <c r="C36" i="17" s="1"/>
  <c r="I35" i="17"/>
  <c r="I37" i="17" s="1"/>
  <c r="F35" i="17"/>
  <c r="E35" i="17"/>
  <c r="E37" i="17" s="1"/>
  <c r="D35" i="17"/>
  <c r="C35" i="17" s="1"/>
  <c r="C37" i="17" s="1"/>
  <c r="K34" i="17"/>
  <c r="J34" i="17"/>
  <c r="H34" i="17"/>
  <c r="G34" i="17"/>
  <c r="I33" i="17"/>
  <c r="F33" i="17"/>
  <c r="E33" i="17"/>
  <c r="D33" i="17"/>
  <c r="C33" i="17" s="1"/>
  <c r="I32" i="17"/>
  <c r="I34" i="17" s="1"/>
  <c r="F32" i="17"/>
  <c r="F34" i="17" s="1"/>
  <c r="E32" i="17"/>
  <c r="E34" i="17" s="1"/>
  <c r="D32" i="17"/>
  <c r="D34" i="17" s="1"/>
  <c r="K31" i="17"/>
  <c r="J31" i="17"/>
  <c r="H31" i="17"/>
  <c r="G31" i="17"/>
  <c r="I30" i="17"/>
  <c r="F30" i="17"/>
  <c r="E30" i="17"/>
  <c r="D30" i="17"/>
  <c r="C30" i="17"/>
  <c r="I29" i="17"/>
  <c r="F29" i="17"/>
  <c r="F31" i="17" s="1"/>
  <c r="E29" i="17"/>
  <c r="D29" i="17"/>
  <c r="C29" i="17" s="1"/>
  <c r="C31" i="17" s="1"/>
  <c r="K28" i="17"/>
  <c r="J28" i="17"/>
  <c r="H28" i="17"/>
  <c r="G28" i="17"/>
  <c r="I27" i="17"/>
  <c r="F27" i="17"/>
  <c r="E27" i="17"/>
  <c r="D27" i="17"/>
  <c r="C27" i="17" s="1"/>
  <c r="I26" i="17"/>
  <c r="I28" i="17" s="1"/>
  <c r="F26" i="17"/>
  <c r="F28" i="17" s="1"/>
  <c r="E26" i="17"/>
  <c r="E28" i="17" s="1"/>
  <c r="D26" i="17"/>
  <c r="D28" i="17" s="1"/>
  <c r="K25" i="17"/>
  <c r="J25" i="17"/>
  <c r="H25" i="17"/>
  <c r="G25" i="17"/>
  <c r="I24" i="17"/>
  <c r="F24" i="17"/>
  <c r="E24" i="17"/>
  <c r="D24" i="17"/>
  <c r="C24" i="17"/>
  <c r="I23" i="17"/>
  <c r="F23" i="17"/>
  <c r="F25" i="17" s="1"/>
  <c r="E23" i="17"/>
  <c r="D23" i="17"/>
  <c r="C23" i="17" s="1"/>
  <c r="C25" i="17" s="1"/>
  <c r="K22" i="17"/>
  <c r="J22" i="17"/>
  <c r="H22" i="17"/>
  <c r="G22" i="17"/>
  <c r="I21" i="17"/>
  <c r="F21" i="17"/>
  <c r="E21" i="17"/>
  <c r="D21" i="17"/>
  <c r="C21" i="17" s="1"/>
  <c r="I20" i="17"/>
  <c r="I22" i="17" s="1"/>
  <c r="F20" i="17"/>
  <c r="F22" i="17" s="1"/>
  <c r="E20" i="17"/>
  <c r="E22" i="17" s="1"/>
  <c r="D20" i="17"/>
  <c r="D22" i="17" s="1"/>
  <c r="K19" i="17"/>
  <c r="J19" i="17"/>
  <c r="H19" i="17"/>
  <c r="G19" i="17"/>
  <c r="I18" i="17"/>
  <c r="F18" i="17"/>
  <c r="E18" i="17"/>
  <c r="D18" i="17"/>
  <c r="C18" i="17"/>
  <c r="I17" i="17"/>
  <c r="F17" i="17"/>
  <c r="F19" i="17" s="1"/>
  <c r="E17" i="17"/>
  <c r="D17" i="17"/>
  <c r="C17" i="17" s="1"/>
  <c r="C19" i="17" s="1"/>
  <c r="K16" i="17"/>
  <c r="J16" i="17"/>
  <c r="H16" i="17"/>
  <c r="G16" i="17"/>
  <c r="I15" i="17"/>
  <c r="F15" i="17"/>
  <c r="E15" i="17"/>
  <c r="D15" i="17"/>
  <c r="C15" i="17" s="1"/>
  <c r="I14" i="17"/>
  <c r="I16" i="17" s="1"/>
  <c r="F14" i="17"/>
  <c r="F16" i="17" s="1"/>
  <c r="E14" i="17"/>
  <c r="E16" i="17" s="1"/>
  <c r="D14" i="17"/>
  <c r="D16" i="17" s="1"/>
  <c r="K13" i="17"/>
  <c r="J13" i="17"/>
  <c r="H13" i="17"/>
  <c r="G13" i="17"/>
  <c r="I12" i="17"/>
  <c r="F12" i="17"/>
  <c r="E12" i="17"/>
  <c r="D12" i="17"/>
  <c r="C12" i="17"/>
  <c r="I11" i="17"/>
  <c r="F11" i="17"/>
  <c r="F13" i="17" s="1"/>
  <c r="E11" i="17"/>
  <c r="D11" i="17"/>
  <c r="C11" i="17" s="1"/>
  <c r="C13" i="17" s="1"/>
  <c r="K10" i="17"/>
  <c r="J10" i="17"/>
  <c r="H10" i="17"/>
  <c r="G10" i="17"/>
  <c r="I9" i="17"/>
  <c r="F9" i="17"/>
  <c r="E9" i="17"/>
  <c r="D9" i="17"/>
  <c r="C9" i="17" s="1"/>
  <c r="I8" i="17"/>
  <c r="I10" i="17" s="1"/>
  <c r="F8" i="17"/>
  <c r="F10" i="17" s="1"/>
  <c r="E8" i="17"/>
  <c r="E10" i="17" s="1"/>
  <c r="D8" i="17"/>
  <c r="D10" i="17" s="1"/>
  <c r="K7" i="17"/>
  <c r="K79" i="17" s="1"/>
  <c r="J7" i="17"/>
  <c r="H7" i="17"/>
  <c r="H79" i="17" s="1"/>
  <c r="G7" i="17"/>
  <c r="I6" i="17"/>
  <c r="I78" i="17" s="1"/>
  <c r="F6" i="17"/>
  <c r="E6" i="17"/>
  <c r="E78" i="17" s="1"/>
  <c r="D6" i="17"/>
  <c r="C6" i="17"/>
  <c r="I5" i="17"/>
  <c r="I77" i="17" s="1"/>
  <c r="F5" i="17"/>
  <c r="F77" i="17" s="1"/>
  <c r="E5" i="17"/>
  <c r="E77" i="17" s="1"/>
  <c r="D5" i="17"/>
  <c r="C5" i="17" s="1"/>
  <c r="J26" i="16"/>
  <c r="I26" i="16"/>
  <c r="G26" i="16"/>
  <c r="F26" i="16"/>
  <c r="H25" i="16"/>
  <c r="E25" i="16"/>
  <c r="D25" i="16"/>
  <c r="C25" i="16"/>
  <c r="B25" i="16" s="1"/>
  <c r="H24" i="16"/>
  <c r="E24" i="16"/>
  <c r="D24" i="16"/>
  <c r="C24" i="16"/>
  <c r="H23" i="16"/>
  <c r="E23" i="16"/>
  <c r="D23" i="16"/>
  <c r="C23" i="16"/>
  <c r="B23" i="16"/>
  <c r="H22" i="16"/>
  <c r="E22" i="16"/>
  <c r="D22" i="16"/>
  <c r="C22" i="16"/>
  <c r="B22" i="16" s="1"/>
  <c r="H21" i="16"/>
  <c r="E21" i="16"/>
  <c r="D21" i="16"/>
  <c r="C21" i="16"/>
  <c r="B21" i="16" s="1"/>
  <c r="H20" i="16"/>
  <c r="E20" i="16"/>
  <c r="D20" i="16"/>
  <c r="C20" i="16"/>
  <c r="H19" i="16"/>
  <c r="E19" i="16"/>
  <c r="D19" i="16"/>
  <c r="C19" i="16"/>
  <c r="B19" i="16"/>
  <c r="H18" i="16"/>
  <c r="E18" i="16"/>
  <c r="D18" i="16"/>
  <c r="C18" i="16"/>
  <c r="B18" i="16" s="1"/>
  <c r="H17" i="16"/>
  <c r="E17" i="16"/>
  <c r="D17" i="16"/>
  <c r="C17" i="16"/>
  <c r="B17" i="16" s="1"/>
  <c r="H16" i="16"/>
  <c r="E16" i="16"/>
  <c r="D16" i="16"/>
  <c r="C16" i="16"/>
  <c r="H15" i="16"/>
  <c r="E15" i="16"/>
  <c r="D15" i="16"/>
  <c r="C15" i="16"/>
  <c r="B15" i="16"/>
  <c r="H14" i="16"/>
  <c r="E14" i="16"/>
  <c r="D14" i="16"/>
  <c r="C14" i="16"/>
  <c r="B14" i="16" s="1"/>
  <c r="H13" i="16"/>
  <c r="E13" i="16"/>
  <c r="D13" i="16"/>
  <c r="C13" i="16"/>
  <c r="B13" i="16" s="1"/>
  <c r="H12" i="16"/>
  <c r="E12" i="16"/>
  <c r="D12" i="16"/>
  <c r="C12" i="16"/>
  <c r="H11" i="16"/>
  <c r="E11" i="16"/>
  <c r="D11" i="16"/>
  <c r="C11" i="16"/>
  <c r="B11" i="16"/>
  <c r="H10" i="16"/>
  <c r="E10" i="16"/>
  <c r="D10" i="16"/>
  <c r="C10" i="16"/>
  <c r="B10" i="16" s="1"/>
  <c r="H9" i="16"/>
  <c r="E9" i="16"/>
  <c r="D9" i="16"/>
  <c r="C9" i="16"/>
  <c r="B9" i="16" s="1"/>
  <c r="H8" i="16"/>
  <c r="E8" i="16"/>
  <c r="D8" i="16"/>
  <c r="C8" i="16"/>
  <c r="H7" i="16"/>
  <c r="E7" i="16"/>
  <c r="D7" i="16"/>
  <c r="C7" i="16"/>
  <c r="B7" i="16"/>
  <c r="H6" i="16"/>
  <c r="E6" i="16"/>
  <c r="D6" i="16"/>
  <c r="C6" i="16"/>
  <c r="B6" i="16" s="1"/>
  <c r="H5" i="16"/>
  <c r="E5" i="16"/>
  <c r="E26" i="16" s="1"/>
  <c r="D5" i="16"/>
  <c r="C5" i="16"/>
  <c r="C26" i="16" s="1"/>
  <c r="J29" i="15"/>
  <c r="I29" i="15"/>
  <c r="G29" i="15"/>
  <c r="F29" i="15"/>
  <c r="H28" i="15"/>
  <c r="E28" i="15"/>
  <c r="D28" i="15"/>
  <c r="C28" i="15"/>
  <c r="B28" i="15"/>
  <c r="H27" i="15"/>
  <c r="E27" i="15"/>
  <c r="D27" i="15"/>
  <c r="C27" i="15"/>
  <c r="B27" i="15" s="1"/>
  <c r="H26" i="15"/>
  <c r="E26" i="15"/>
  <c r="D26" i="15"/>
  <c r="C26" i="15"/>
  <c r="H25" i="15"/>
  <c r="E25" i="15"/>
  <c r="D25" i="15"/>
  <c r="C25" i="15"/>
  <c r="B25" i="15"/>
  <c r="H24" i="15"/>
  <c r="E24" i="15"/>
  <c r="D24" i="15"/>
  <c r="C24" i="15"/>
  <c r="B24" i="15" s="1"/>
  <c r="H23" i="15"/>
  <c r="E23" i="15"/>
  <c r="D23" i="15"/>
  <c r="C23" i="15"/>
  <c r="B23" i="15" s="1"/>
  <c r="H22" i="15"/>
  <c r="E22" i="15"/>
  <c r="D22" i="15"/>
  <c r="C22" i="15"/>
  <c r="H21" i="15"/>
  <c r="E21" i="15"/>
  <c r="D21" i="15"/>
  <c r="C21" i="15"/>
  <c r="B21" i="15"/>
  <c r="H20" i="15"/>
  <c r="E20" i="15"/>
  <c r="D20" i="15"/>
  <c r="C20" i="15"/>
  <c r="B20" i="15" s="1"/>
  <c r="H19" i="15"/>
  <c r="E19" i="15"/>
  <c r="D19" i="15"/>
  <c r="C19" i="15"/>
  <c r="B19" i="15"/>
  <c r="H18" i="15"/>
  <c r="E18" i="15"/>
  <c r="D18" i="15"/>
  <c r="C18" i="15"/>
  <c r="B18" i="15" s="1"/>
  <c r="H17" i="15"/>
  <c r="E17" i="15"/>
  <c r="D17" i="15"/>
  <c r="C17" i="15"/>
  <c r="B17" i="15" s="1"/>
  <c r="H16" i="15"/>
  <c r="E16" i="15"/>
  <c r="D16" i="15"/>
  <c r="C16" i="15"/>
  <c r="H15" i="15"/>
  <c r="E15" i="15"/>
  <c r="D15" i="15"/>
  <c r="C15" i="15"/>
  <c r="B15" i="15"/>
  <c r="H14" i="15"/>
  <c r="E14" i="15"/>
  <c r="D14" i="15"/>
  <c r="C14" i="15"/>
  <c r="B14" i="15" s="1"/>
  <c r="H13" i="15"/>
  <c r="E13" i="15"/>
  <c r="D13" i="15"/>
  <c r="C13" i="15"/>
  <c r="B13" i="15" s="1"/>
  <c r="H12" i="15"/>
  <c r="E12" i="15"/>
  <c r="D12" i="15"/>
  <c r="C12" i="15"/>
  <c r="H11" i="15"/>
  <c r="E11" i="15"/>
  <c r="D11" i="15"/>
  <c r="C11" i="15"/>
  <c r="B11" i="15"/>
  <c r="H10" i="15"/>
  <c r="E10" i="15"/>
  <c r="D10" i="15"/>
  <c r="C10" i="15"/>
  <c r="B10" i="15" s="1"/>
  <c r="H9" i="15"/>
  <c r="E9" i="15"/>
  <c r="D9" i="15"/>
  <c r="C9" i="15"/>
  <c r="B9" i="15" s="1"/>
  <c r="H8" i="15"/>
  <c r="E8" i="15"/>
  <c r="D8" i="15"/>
  <c r="C8" i="15"/>
  <c r="H7" i="15"/>
  <c r="E7" i="15"/>
  <c r="D7" i="15"/>
  <c r="C7" i="15"/>
  <c r="B7" i="15"/>
  <c r="H6" i="15"/>
  <c r="E6" i="15"/>
  <c r="D6" i="15"/>
  <c r="C6" i="15"/>
  <c r="B6" i="15" s="1"/>
  <c r="H5" i="15"/>
  <c r="E5" i="15"/>
  <c r="E29" i="15" s="1"/>
  <c r="D5" i="15"/>
  <c r="C5" i="15"/>
  <c r="C29" i="15" s="1"/>
  <c r="B5" i="15" l="1"/>
  <c r="D29" i="15"/>
  <c r="H29" i="15"/>
  <c r="B8" i="15"/>
  <c r="B12" i="15"/>
  <c r="B16" i="15"/>
  <c r="B22" i="15"/>
  <c r="B26" i="15"/>
  <c r="B5" i="16"/>
  <c r="D26" i="16"/>
  <c r="H26" i="16"/>
  <c r="B8" i="16"/>
  <c r="B12" i="16"/>
  <c r="B16" i="16"/>
  <c r="B20" i="16"/>
  <c r="B24" i="16"/>
  <c r="D78" i="17"/>
  <c r="F78" i="17"/>
  <c r="G79" i="17"/>
  <c r="J79" i="17"/>
  <c r="C8" i="17"/>
  <c r="E13" i="17"/>
  <c r="I13" i="17"/>
  <c r="C14" i="17"/>
  <c r="E19" i="17"/>
  <c r="I19" i="17"/>
  <c r="C20" i="17"/>
  <c r="E25" i="17"/>
  <c r="I25" i="17"/>
  <c r="C26" i="17"/>
  <c r="E31" i="17"/>
  <c r="I31" i="17"/>
  <c r="C32" i="17"/>
  <c r="C34" i="18"/>
  <c r="C37" i="18"/>
  <c r="C40" i="18"/>
  <c r="C73" i="18"/>
  <c r="B229" i="23"/>
  <c r="B235" i="23"/>
  <c r="B236" i="23"/>
  <c r="B237" i="23"/>
  <c r="B244" i="23"/>
  <c r="B245" i="23"/>
  <c r="B309" i="23"/>
  <c r="B326" i="23"/>
  <c r="B327" i="23"/>
  <c r="B339" i="23"/>
  <c r="B342" i="23" s="1"/>
  <c r="F37" i="17"/>
  <c r="C39" i="17"/>
  <c r="C78" i="17" s="1"/>
  <c r="C41" i="17"/>
  <c r="C43" i="17" s="1"/>
  <c r="F43" i="17"/>
  <c r="C45" i="17"/>
  <c r="C47" i="17"/>
  <c r="C49" i="17" s="1"/>
  <c r="F49" i="17"/>
  <c r="C51" i="17"/>
  <c r="C53" i="17"/>
  <c r="C55" i="17" s="1"/>
  <c r="F55" i="17"/>
  <c r="C57" i="17"/>
  <c r="C59" i="17"/>
  <c r="C61" i="17" s="1"/>
  <c r="F61" i="17"/>
  <c r="C63" i="17"/>
  <c r="C64" i="17" s="1"/>
  <c r="C65" i="17"/>
  <c r="C67" i="17" s="1"/>
  <c r="F67" i="17"/>
  <c r="C69" i="17"/>
  <c r="C70" i="17" s="1"/>
  <c r="C71" i="17"/>
  <c r="C73" i="17" s="1"/>
  <c r="F73" i="17"/>
  <c r="C75" i="17"/>
  <c r="C76" i="17" s="1"/>
  <c r="C5" i="18"/>
  <c r="E75" i="18"/>
  <c r="E83" i="18" s="1"/>
  <c r="I75" i="18"/>
  <c r="I83" i="18" s="1"/>
  <c r="H76" i="18"/>
  <c r="H84" i="18" s="1"/>
  <c r="K76" i="18"/>
  <c r="K84" i="18" s="1"/>
  <c r="E10" i="18"/>
  <c r="I10" i="18"/>
  <c r="C11" i="18"/>
  <c r="E16" i="18"/>
  <c r="I16" i="18"/>
  <c r="C17" i="18"/>
  <c r="C19" i="18" s="1"/>
  <c r="E22" i="18"/>
  <c r="I22" i="18"/>
  <c r="C23" i="18"/>
  <c r="C25" i="18" s="1"/>
  <c r="E28" i="18"/>
  <c r="I28" i="18"/>
  <c r="D31" i="18"/>
  <c r="F31" i="18"/>
  <c r="F76" i="18" s="1"/>
  <c r="F84" i="18" s="1"/>
  <c r="D34" i="18"/>
  <c r="F34" i="18"/>
  <c r="D37" i="18"/>
  <c r="F37" i="18"/>
  <c r="D40" i="18"/>
  <c r="F40" i="18"/>
  <c r="C42" i="18"/>
  <c r="C44" i="18"/>
  <c r="C46" i="18" s="1"/>
  <c r="F46" i="18"/>
  <c r="C48" i="18"/>
  <c r="C49" i="18" s="1"/>
  <c r="C50" i="18"/>
  <c r="C52" i="18" s="1"/>
  <c r="F52" i="18"/>
  <c r="C54" i="18"/>
  <c r="C55" i="18" s="1"/>
  <c r="C56" i="18"/>
  <c r="C58" i="18" s="1"/>
  <c r="F58" i="18"/>
  <c r="C60" i="18"/>
  <c r="C61" i="18" s="1"/>
  <c r="C62" i="18"/>
  <c r="C64" i="18" s="1"/>
  <c r="F64" i="18"/>
  <c r="C66" i="18"/>
  <c r="C67" i="18" s="1"/>
  <c r="C68" i="18"/>
  <c r="C70" i="18" s="1"/>
  <c r="F70" i="18"/>
  <c r="D73" i="18"/>
  <c r="F73" i="18"/>
  <c r="E50" i="19"/>
  <c r="E53" i="19" s="1"/>
  <c r="I50" i="19"/>
  <c r="I53" i="19" s="1"/>
  <c r="D51" i="19"/>
  <c r="D53" i="19" s="1"/>
  <c r="F51" i="19"/>
  <c r="F53" i="19" s="1"/>
  <c r="D52" i="19"/>
  <c r="F52" i="19"/>
  <c r="C11" i="19"/>
  <c r="C15" i="19"/>
  <c r="C51" i="19" s="1"/>
  <c r="C19" i="19"/>
  <c r="C23" i="19"/>
  <c r="C27" i="19"/>
  <c r="C31" i="19"/>
  <c r="C35" i="19"/>
  <c r="C39" i="19"/>
  <c r="C43" i="19"/>
  <c r="C47" i="19"/>
  <c r="D68" i="20"/>
  <c r="F68" i="20"/>
  <c r="D69" i="20"/>
  <c r="F69" i="20"/>
  <c r="C7" i="20"/>
  <c r="E70" i="20"/>
  <c r="I70" i="20"/>
  <c r="C10" i="20"/>
  <c r="C11" i="20"/>
  <c r="C12" i="20"/>
  <c r="C18" i="20"/>
  <c r="C19" i="20"/>
  <c r="C20" i="20"/>
  <c r="C21" i="20"/>
  <c r="C22" i="20"/>
  <c r="C28" i="20"/>
  <c r="C29" i="20"/>
  <c r="C30" i="20"/>
  <c r="C36" i="20"/>
  <c r="C37" i="20"/>
  <c r="C38" i="20"/>
  <c r="C46" i="20"/>
  <c r="C47" i="20"/>
  <c r="C48" i="20"/>
  <c r="C54" i="20"/>
  <c r="C55" i="20"/>
  <c r="C56" i="20"/>
  <c r="C62" i="20"/>
  <c r="C63" i="20"/>
  <c r="C64" i="20"/>
  <c r="C65" i="20"/>
  <c r="C66" i="20"/>
  <c r="C67" i="20"/>
  <c r="B6" i="21"/>
  <c r="D21" i="21"/>
  <c r="H21" i="21"/>
  <c r="B20" i="21"/>
  <c r="D35" i="21"/>
  <c r="H35" i="21"/>
  <c r="B29" i="21"/>
  <c r="B33" i="21"/>
  <c r="C43" i="21"/>
  <c r="E43" i="21"/>
  <c r="B40" i="21"/>
  <c r="B41" i="21"/>
  <c r="D58" i="21"/>
  <c r="H58" i="21"/>
  <c r="B53" i="21"/>
  <c r="B54" i="21"/>
  <c r="B55" i="21"/>
  <c r="D72" i="21"/>
  <c r="H72" i="21"/>
  <c r="B65" i="21"/>
  <c r="B66" i="21"/>
  <c r="B67" i="21"/>
  <c r="B68" i="21"/>
  <c r="B69" i="21"/>
  <c r="D78" i="21"/>
  <c r="H78" i="21"/>
  <c r="B77" i="21"/>
  <c r="B81" i="21"/>
  <c r="D84" i="21"/>
  <c r="H84" i="21"/>
  <c r="B83" i="21"/>
  <c r="B87" i="21"/>
  <c r="C100" i="21"/>
  <c r="E100" i="21"/>
  <c r="B95" i="21"/>
  <c r="E107" i="21"/>
  <c r="B104" i="21"/>
  <c r="C113" i="21"/>
  <c r="E113" i="21"/>
  <c r="B111" i="21"/>
  <c r="D119" i="21"/>
  <c r="H119" i="21"/>
  <c r="B118" i="21"/>
  <c r="B123" i="21"/>
  <c r="B124" i="21"/>
  <c r="B129" i="21"/>
  <c r="B130" i="21"/>
  <c r="C143" i="21"/>
  <c r="E143" i="21"/>
  <c r="D148" i="21"/>
  <c r="H148" i="21"/>
  <c r="B151" i="21"/>
  <c r="D195" i="21"/>
  <c r="H195" i="21"/>
  <c r="B156" i="21"/>
  <c r="B157" i="21"/>
  <c r="B158" i="21"/>
  <c r="B159" i="21"/>
  <c r="B160" i="21"/>
  <c r="B161" i="21"/>
  <c r="B162" i="21"/>
  <c r="B169" i="21"/>
  <c r="B170" i="21"/>
  <c r="B177" i="21"/>
  <c r="B178" i="21"/>
  <c r="B185" i="21"/>
  <c r="B186" i="21"/>
  <c r="B194" i="21"/>
  <c r="B198" i="21"/>
  <c r="B200" i="21" s="1"/>
  <c r="D63" i="22"/>
  <c r="H63" i="22"/>
  <c r="B13" i="22"/>
  <c r="B15" i="22"/>
  <c r="B25" i="22"/>
  <c r="B27" i="22"/>
  <c r="B37" i="22"/>
  <c r="B39" i="22"/>
  <c r="B49" i="22"/>
  <c r="B51" i="22"/>
  <c r="B61" i="22"/>
  <c r="B68" i="22"/>
  <c r="D83" i="22"/>
  <c r="H83" i="22"/>
  <c r="D84" i="22"/>
  <c r="H84" i="22"/>
  <c r="G85" i="22"/>
  <c r="J85" i="22"/>
  <c r="B78" i="22"/>
  <c r="B80" i="22"/>
  <c r="D124" i="22"/>
  <c r="H124" i="22"/>
  <c r="B95" i="22"/>
  <c r="B125" i="22" s="1"/>
  <c r="B97" i="22"/>
  <c r="B99" i="22" s="1"/>
  <c r="E99" i="22"/>
  <c r="B107" i="22"/>
  <c r="B109" i="22"/>
  <c r="B111" i="22" s="1"/>
  <c r="E111" i="22"/>
  <c r="B119" i="22"/>
  <c r="B121" i="22"/>
  <c r="B123" i="22" s="1"/>
  <c r="E123" i="22"/>
  <c r="D248" i="22"/>
  <c r="H248" i="22"/>
  <c r="B136" i="22"/>
  <c r="B138" i="22"/>
  <c r="B148" i="22"/>
  <c r="B150" i="22"/>
  <c r="B160" i="22"/>
  <c r="B162" i="22"/>
  <c r="B172" i="22"/>
  <c r="B174" i="22"/>
  <c r="B184" i="22"/>
  <c r="B186" i="22"/>
  <c r="B196" i="22"/>
  <c r="B198" i="22"/>
  <c r="B208" i="22"/>
  <c r="B210" i="22"/>
  <c r="B220" i="22"/>
  <c r="B222" i="22"/>
  <c r="B232" i="22"/>
  <c r="B234" i="22"/>
  <c r="B244" i="22"/>
  <c r="C308" i="22"/>
  <c r="E308" i="22"/>
  <c r="D309" i="22"/>
  <c r="H309" i="22"/>
  <c r="G310" i="22"/>
  <c r="J310" i="22"/>
  <c r="B261" i="22"/>
  <c r="B309" i="22" s="1"/>
  <c r="B263" i="22"/>
  <c r="B265" i="22" s="1"/>
  <c r="E265" i="22"/>
  <c r="B273" i="22"/>
  <c r="B275" i="22"/>
  <c r="B277" i="22" s="1"/>
  <c r="E277" i="22"/>
  <c r="B285" i="22"/>
  <c r="B287" i="22"/>
  <c r="B289" i="22" s="1"/>
  <c r="E289" i="22"/>
  <c r="B297" i="22"/>
  <c r="B299" i="22"/>
  <c r="B301" i="22" s="1"/>
  <c r="E301" i="22"/>
  <c r="D307" i="22"/>
  <c r="H307" i="22"/>
  <c r="C334" i="22"/>
  <c r="C335" i="22"/>
  <c r="E335" i="22"/>
  <c r="C336" i="22"/>
  <c r="H315" i="22"/>
  <c r="D316" i="22"/>
  <c r="B316" i="22" s="1"/>
  <c r="B323" i="22"/>
  <c r="B324" i="22"/>
  <c r="D325" i="22"/>
  <c r="B325" i="22" s="1"/>
  <c r="B332" i="22"/>
  <c r="D333" i="22"/>
  <c r="B333" i="22" s="1"/>
  <c r="C414" i="22"/>
  <c r="E414" i="22"/>
  <c r="B340" i="22"/>
  <c r="D415" i="22"/>
  <c r="H415" i="22"/>
  <c r="G416" i="22"/>
  <c r="J416" i="22"/>
  <c r="B349" i="22"/>
  <c r="B351" i="22"/>
  <c r="B353" i="22" s="1"/>
  <c r="E353" i="22"/>
  <c r="D359" i="22"/>
  <c r="B361" i="22"/>
  <c r="B363" i="22"/>
  <c r="B365" i="22" s="1"/>
  <c r="E365" i="22"/>
  <c r="D371" i="22"/>
  <c r="H371" i="22"/>
  <c r="B372" i="22"/>
  <c r="B382" i="22"/>
  <c r="C386" i="22"/>
  <c r="E386" i="22"/>
  <c r="D392" i="22"/>
  <c r="H392" i="22"/>
  <c r="B394" i="22"/>
  <c r="C398" i="22"/>
  <c r="E398" i="22"/>
  <c r="D404" i="22"/>
  <c r="H404" i="22"/>
  <c r="B406" i="22"/>
  <c r="B409" i="22"/>
  <c r="B411" i="22"/>
  <c r="B413" i="22" s="1"/>
  <c r="D489" i="22"/>
  <c r="H489" i="22"/>
  <c r="G490" i="22"/>
  <c r="J490" i="22"/>
  <c r="B426" i="22"/>
  <c r="B428" i="22"/>
  <c r="B435" i="22"/>
  <c r="B437" i="22"/>
  <c r="B439" i="22" s="1"/>
  <c r="E439" i="22"/>
  <c r="D445" i="22"/>
  <c r="H445" i="22"/>
  <c r="B447" i="22"/>
  <c r="B449" i="22"/>
  <c r="B451" i="22" s="1"/>
  <c r="E451" i="22"/>
  <c r="B453" i="22"/>
  <c r="B454" i="22" s="1"/>
  <c r="B456" i="22"/>
  <c r="B458" i="22"/>
  <c r="B468" i="22"/>
  <c r="B470" i="22"/>
  <c r="D475" i="22"/>
  <c r="B477" i="22"/>
  <c r="B479" i="22"/>
  <c r="B481" i="22" s="1"/>
  <c r="E481" i="22"/>
  <c r="D487" i="22"/>
  <c r="H487" i="22"/>
  <c r="E559" i="22"/>
  <c r="B494" i="22"/>
  <c r="D560" i="22"/>
  <c r="H560" i="22"/>
  <c r="G561" i="22"/>
  <c r="J561" i="22"/>
  <c r="B500" i="22"/>
  <c r="B502" i="22"/>
  <c r="B512" i="22"/>
  <c r="B514" i="22"/>
  <c r="B524" i="22"/>
  <c r="B526" i="22"/>
  <c r="B536" i="22"/>
  <c r="B538" i="22"/>
  <c r="B548" i="22"/>
  <c r="C552" i="22"/>
  <c r="E552" i="22"/>
  <c r="B557" i="22"/>
  <c r="B564" i="22"/>
  <c r="D609" i="22"/>
  <c r="H609" i="22"/>
  <c r="D610" i="22"/>
  <c r="H610" i="22"/>
  <c r="G611" i="22"/>
  <c r="J611" i="22"/>
  <c r="B574" i="22"/>
  <c r="B576" i="22"/>
  <c r="B583" i="22"/>
  <c r="B585" i="22"/>
  <c r="B592" i="22"/>
  <c r="C596" i="22"/>
  <c r="E596" i="22"/>
  <c r="B604" i="22"/>
  <c r="C608" i="22"/>
  <c r="E608" i="22"/>
  <c r="D656" i="22"/>
  <c r="H656" i="22"/>
  <c r="B621" i="22"/>
  <c r="B623" i="22"/>
  <c r="B625" i="22" s="1"/>
  <c r="E625" i="22"/>
  <c r="B633" i="22"/>
  <c r="B642" i="22"/>
  <c r="B644" i="22"/>
  <c r="B651" i="22"/>
  <c r="B653" i="22"/>
  <c r="D690" i="22"/>
  <c r="H690" i="22"/>
  <c r="B668" i="22"/>
  <c r="B670" i="22"/>
  <c r="B680" i="22"/>
  <c r="B682" i="22"/>
  <c r="B697" i="22"/>
  <c r="B699" i="22"/>
  <c r="B701" i="22" s="1"/>
  <c r="E701" i="22"/>
  <c r="B709" i="22"/>
  <c r="B711" i="22"/>
  <c r="B713" i="22" s="1"/>
  <c r="E713" i="22"/>
  <c r="C722" i="22"/>
  <c r="E722" i="22"/>
  <c r="C752" i="22"/>
  <c r="E752" i="22"/>
  <c r="C753" i="22"/>
  <c r="E753" i="22"/>
  <c r="F754" i="22"/>
  <c r="I754" i="22"/>
  <c r="B734" i="22"/>
  <c r="B744" i="22"/>
  <c r="B746" i="22"/>
  <c r="C778" i="22"/>
  <c r="E778" i="22"/>
  <c r="B761" i="22"/>
  <c r="B763" i="22"/>
  <c r="B773" i="22"/>
  <c r="B775" i="22"/>
  <c r="D807" i="22"/>
  <c r="H807" i="22"/>
  <c r="B790" i="22"/>
  <c r="C794" i="22"/>
  <c r="E794" i="22"/>
  <c r="B802" i="22"/>
  <c r="C806" i="22"/>
  <c r="E806" i="22"/>
  <c r="D827" i="22"/>
  <c r="H827" i="22"/>
  <c r="B819" i="22"/>
  <c r="B821" i="22"/>
  <c r="D928" i="22"/>
  <c r="B836" i="22"/>
  <c r="C840" i="22"/>
  <c r="E840" i="22"/>
  <c r="B848" i="22"/>
  <c r="C852" i="22"/>
  <c r="E852" i="22"/>
  <c r="B860" i="22"/>
  <c r="C864" i="22"/>
  <c r="E864" i="22"/>
  <c r="B872" i="22"/>
  <c r="B874" i="22"/>
  <c r="B876" i="22" s="1"/>
  <c r="E876" i="22"/>
  <c r="B884" i="22"/>
  <c r="B886" i="22"/>
  <c r="B888" i="22" s="1"/>
  <c r="E888" i="22"/>
  <c r="B896" i="22"/>
  <c r="B898" i="22"/>
  <c r="B900" i="22" s="1"/>
  <c r="E900" i="22"/>
  <c r="B908" i="22"/>
  <c r="B910" i="22"/>
  <c r="B912" i="22" s="1"/>
  <c r="E912" i="22"/>
  <c r="D918" i="22"/>
  <c r="H918" i="22"/>
  <c r="B920" i="22"/>
  <c r="B922" i="22"/>
  <c r="B923" i="22"/>
  <c r="B925" i="22"/>
  <c r="D957" i="22"/>
  <c r="H957" i="22"/>
  <c r="C958" i="22"/>
  <c r="E958" i="22"/>
  <c r="F959" i="22"/>
  <c r="I959" i="22"/>
  <c r="B937" i="22"/>
  <c r="C941" i="22"/>
  <c r="E941" i="22"/>
  <c r="D947" i="22"/>
  <c r="H947" i="22"/>
  <c r="B948" i="22"/>
  <c r="C977" i="22"/>
  <c r="E977" i="22"/>
  <c r="B963" i="22"/>
  <c r="D978" i="22"/>
  <c r="H978" i="22"/>
  <c r="G979" i="22"/>
  <c r="J979" i="22"/>
  <c r="D970" i="22"/>
  <c r="D979" i="22" s="1"/>
  <c r="B972" i="22"/>
  <c r="B974" i="22"/>
  <c r="B976" i="22" s="1"/>
  <c r="E976" i="22"/>
  <c r="D1048" i="22"/>
  <c r="H1048" i="22"/>
  <c r="C1049" i="22"/>
  <c r="E1049" i="22"/>
  <c r="F1050" i="22"/>
  <c r="I1050" i="22"/>
  <c r="B986" i="22"/>
  <c r="B988" i="22"/>
  <c r="B990" i="22" s="1"/>
  <c r="E990" i="22"/>
  <c r="D996" i="22"/>
  <c r="H996" i="22"/>
  <c r="B998" i="22"/>
  <c r="B1000" i="22"/>
  <c r="B1001" i="22"/>
  <c r="B1003" i="22"/>
  <c r="B1013" i="22"/>
  <c r="B1015" i="22"/>
  <c r="D1023" i="22"/>
  <c r="H1023" i="22"/>
  <c r="B1025" i="22"/>
  <c r="C1029" i="22"/>
  <c r="E1029" i="22"/>
  <c r="D1035" i="22"/>
  <c r="B1037" i="22"/>
  <c r="C1041" i="22"/>
  <c r="E1041" i="22"/>
  <c r="D1047" i="22"/>
  <c r="H1047" i="22"/>
  <c r="C1055" i="22"/>
  <c r="E1055" i="22"/>
  <c r="E1058" i="22" s="1"/>
  <c r="B1054" i="22"/>
  <c r="B1057" i="22" s="1"/>
  <c r="D1074" i="22"/>
  <c r="H1074" i="22"/>
  <c r="G1075" i="22"/>
  <c r="J1075" i="22"/>
  <c r="D1069" i="22"/>
  <c r="H1069" i="22"/>
  <c r="B1070" i="22"/>
  <c r="B6" i="23"/>
  <c r="D33" i="23"/>
  <c r="H33" i="23"/>
  <c r="C34" i="23"/>
  <c r="C36" i="23" s="1"/>
  <c r="E34" i="23"/>
  <c r="E36" i="23" s="1"/>
  <c r="B8" i="23"/>
  <c r="D35" i="23"/>
  <c r="H35" i="23"/>
  <c r="B18" i="23"/>
  <c r="B19" i="23"/>
  <c r="B20" i="23"/>
  <c r="B30" i="23"/>
  <c r="C54" i="23"/>
  <c r="E54" i="23"/>
  <c r="C55" i="23"/>
  <c r="E55" i="23"/>
  <c r="B41" i="23"/>
  <c r="D56" i="23"/>
  <c r="H56" i="23"/>
  <c r="B46" i="23"/>
  <c r="B47" i="23"/>
  <c r="B48" i="23"/>
  <c r="B54" i="23" s="1"/>
  <c r="B49" i="23"/>
  <c r="B50" i="23"/>
  <c r="B51" i="23"/>
  <c r="B52" i="23"/>
  <c r="B53" i="23"/>
  <c r="C90" i="23"/>
  <c r="E90" i="23"/>
  <c r="E93" i="23" s="1"/>
  <c r="B61" i="23"/>
  <c r="D91" i="23"/>
  <c r="H91" i="23"/>
  <c r="D92" i="23"/>
  <c r="H92" i="23"/>
  <c r="C67" i="23"/>
  <c r="B67" i="23" s="1"/>
  <c r="B68" i="23"/>
  <c r="B69" i="23"/>
  <c r="C70" i="23"/>
  <c r="B70" i="23" s="1"/>
  <c r="B71" i="23"/>
  <c r="B83" i="23"/>
  <c r="B84" i="23"/>
  <c r="B89" i="23"/>
  <c r="F93" i="23"/>
  <c r="C141" i="23"/>
  <c r="C144" i="23" s="1"/>
  <c r="E141" i="23"/>
  <c r="E144" i="23" s="1"/>
  <c r="B98" i="23"/>
  <c r="D143" i="23"/>
  <c r="D144" i="23" s="1"/>
  <c r="H143" i="23"/>
  <c r="H144" i="23" s="1"/>
  <c r="B101" i="23"/>
  <c r="B102" i="23"/>
  <c r="B103" i="23"/>
  <c r="B109" i="23"/>
  <c r="B116" i="23"/>
  <c r="B117" i="23"/>
  <c r="B124" i="23"/>
  <c r="B125" i="23"/>
  <c r="B132" i="23"/>
  <c r="B133" i="23"/>
  <c r="B140" i="23"/>
  <c r="B147" i="23"/>
  <c r="D196" i="23"/>
  <c r="H196" i="23"/>
  <c r="B153" i="23"/>
  <c r="B154" i="23"/>
  <c r="B161" i="23"/>
  <c r="B162" i="23"/>
  <c r="B169" i="23"/>
  <c r="B170" i="23"/>
  <c r="B177" i="23"/>
  <c r="B178" i="23"/>
  <c r="B185" i="23"/>
  <c r="B186" i="23"/>
  <c r="C263" i="23"/>
  <c r="B263" i="23" s="1"/>
  <c r="H265" i="23"/>
  <c r="B267" i="23"/>
  <c r="D268" i="23"/>
  <c r="B268" i="23" s="1"/>
  <c r="B287" i="23"/>
  <c r="C377" i="23"/>
  <c r="B377" i="23" s="1"/>
  <c r="B33" i="23"/>
  <c r="B35" i="23"/>
  <c r="B56" i="23"/>
  <c r="B82" i="23"/>
  <c r="B91" i="23" s="1"/>
  <c r="B253" i="23"/>
  <c r="B262" i="23"/>
  <c r="H263" i="23"/>
  <c r="E376" i="23"/>
  <c r="E378" i="23" s="1"/>
  <c r="B34" i="23"/>
  <c r="B111" i="23"/>
  <c r="B115" i="23"/>
  <c r="B119" i="23"/>
  <c r="B143" i="23" s="1"/>
  <c r="B123" i="23"/>
  <c r="B127" i="23"/>
  <c r="B131" i="23"/>
  <c r="B135" i="23"/>
  <c r="B139" i="23"/>
  <c r="B149" i="23"/>
  <c r="D197" i="23"/>
  <c r="D198" i="23" s="1"/>
  <c r="H197" i="23"/>
  <c r="H198" i="23" s="1"/>
  <c r="B152" i="23"/>
  <c r="B156" i="23"/>
  <c r="B160" i="23"/>
  <c r="B164" i="23"/>
  <c r="B168" i="23"/>
  <c r="B172" i="23"/>
  <c r="B176" i="23"/>
  <c r="B180" i="23"/>
  <c r="B184" i="23"/>
  <c r="B188" i="23"/>
  <c r="B192" i="23"/>
  <c r="B231" i="23"/>
  <c r="B243" i="23"/>
  <c r="B259" i="23"/>
  <c r="D259" i="23"/>
  <c r="D274" i="23" s="1"/>
  <c r="H259" i="23"/>
  <c r="H274" i="23" s="1"/>
  <c r="B260" i="23"/>
  <c r="H275" i="23"/>
  <c r="B285" i="23"/>
  <c r="B289" i="23"/>
  <c r="B295" i="23" s="1"/>
  <c r="B303" i="23"/>
  <c r="B315" i="23" s="1"/>
  <c r="B307" i="23"/>
  <c r="B311" i="23"/>
  <c r="B317" i="23" s="1"/>
  <c r="B333" i="23"/>
  <c r="B325" i="23"/>
  <c r="B334" i="23" s="1"/>
  <c r="B329" i="23"/>
  <c r="B335" i="23" s="1"/>
  <c r="B361" i="23"/>
  <c r="B367" i="23" s="1"/>
  <c r="B362" i="23"/>
  <c r="B365" i="23"/>
  <c r="H336" i="22"/>
  <c r="B375" i="22"/>
  <c r="B377" i="22" s="1"/>
  <c r="B379" i="22"/>
  <c r="B415" i="22" s="1"/>
  <c r="B381" i="22"/>
  <c r="B383" i="22" s="1"/>
  <c r="B387" i="22"/>
  <c r="B389" i="22" s="1"/>
  <c r="B393" i="22"/>
  <c r="B395" i="22" s="1"/>
  <c r="B399" i="22"/>
  <c r="B401" i="22" s="1"/>
  <c r="B405" i="22"/>
  <c r="B407" i="22" s="1"/>
  <c r="B436" i="22"/>
  <c r="B455" i="22"/>
  <c r="B457" i="22" s="1"/>
  <c r="B459" i="22"/>
  <c r="B461" i="22"/>
  <c r="B463" i="22" s="1"/>
  <c r="B465" i="22"/>
  <c r="B467" i="22"/>
  <c r="B469" i="22" s="1"/>
  <c r="E469" i="22"/>
  <c r="B471" i="22"/>
  <c r="B473" i="22"/>
  <c r="B475" i="22" s="1"/>
  <c r="H475" i="22"/>
  <c r="B476" i="22"/>
  <c r="B482" i="22"/>
  <c r="B493" i="22"/>
  <c r="B497" i="22"/>
  <c r="B499" i="22"/>
  <c r="B501" i="22" s="1"/>
  <c r="E501" i="22"/>
  <c r="B503" i="22"/>
  <c r="B505" i="22"/>
  <c r="B507" i="22" s="1"/>
  <c r="E507" i="22"/>
  <c r="B509" i="22"/>
  <c r="B511" i="22"/>
  <c r="B513" i="22" s="1"/>
  <c r="E513" i="22"/>
  <c r="B515" i="22"/>
  <c r="B517" i="22"/>
  <c r="B519" i="22" s="1"/>
  <c r="E519" i="22"/>
  <c r="B521" i="22"/>
  <c r="C8" i="22"/>
  <c r="E8" i="22"/>
  <c r="B7" i="22"/>
  <c r="D64" i="22"/>
  <c r="H64" i="22"/>
  <c r="G65" i="22"/>
  <c r="J65" i="22"/>
  <c r="B10" i="22"/>
  <c r="B11" i="22" s="1"/>
  <c r="C14" i="22"/>
  <c r="E14" i="22"/>
  <c r="B16" i="22"/>
  <c r="B17" i="22" s="1"/>
  <c r="C20" i="22"/>
  <c r="E20" i="22"/>
  <c r="B22" i="22"/>
  <c r="B23" i="22" s="1"/>
  <c r="C26" i="22"/>
  <c r="E26" i="22"/>
  <c r="B28" i="22"/>
  <c r="B29" i="22" s="1"/>
  <c r="C32" i="22"/>
  <c r="E32" i="22"/>
  <c r="B34" i="22"/>
  <c r="B35" i="22" s="1"/>
  <c r="C38" i="22"/>
  <c r="E38" i="22"/>
  <c r="B40" i="22"/>
  <c r="B41" i="22" s="1"/>
  <c r="C44" i="22"/>
  <c r="E44" i="22"/>
  <c r="B46" i="22"/>
  <c r="B47" i="22" s="1"/>
  <c r="C50" i="22"/>
  <c r="E50" i="22"/>
  <c r="B52" i="22"/>
  <c r="B53" i="22" s="1"/>
  <c r="C56" i="22"/>
  <c r="E56" i="22"/>
  <c r="B58" i="22"/>
  <c r="B59" i="22" s="1"/>
  <c r="C62" i="22"/>
  <c r="E62" i="22"/>
  <c r="C84" i="22"/>
  <c r="E84" i="22"/>
  <c r="F85" i="22"/>
  <c r="I85" i="22"/>
  <c r="B71" i="22"/>
  <c r="B73" i="22" s="1"/>
  <c r="E73" i="22"/>
  <c r="E85" i="22" s="1"/>
  <c r="B75" i="22"/>
  <c r="B76" i="22" s="1"/>
  <c r="B77" i="22"/>
  <c r="B79" i="22" s="1"/>
  <c r="E79" i="22"/>
  <c r="B81" i="22"/>
  <c r="B82" i="22" s="1"/>
  <c r="B88" i="22"/>
  <c r="D125" i="22"/>
  <c r="H125" i="22"/>
  <c r="G126" i="22"/>
  <c r="J126" i="22"/>
  <c r="D93" i="22"/>
  <c r="H93" i="22"/>
  <c r="B94" i="22"/>
  <c r="D99" i="22"/>
  <c r="H99" i="22"/>
  <c r="B100" i="22"/>
  <c r="D105" i="22"/>
  <c r="H105" i="22"/>
  <c r="B106" i="22"/>
  <c r="D111" i="22"/>
  <c r="H111" i="22"/>
  <c r="B112" i="22"/>
  <c r="D117" i="22"/>
  <c r="H117" i="22"/>
  <c r="B118" i="22"/>
  <c r="D123" i="22"/>
  <c r="H123" i="22"/>
  <c r="B130" i="22"/>
  <c r="D247" i="22"/>
  <c r="H247" i="22"/>
  <c r="G248" i="22"/>
  <c r="J248" i="22"/>
  <c r="B133" i="22"/>
  <c r="B134" i="22" s="1"/>
  <c r="B135" i="22"/>
  <c r="B137" i="22" s="1"/>
  <c r="E137" i="22"/>
  <c r="B139" i="22"/>
  <c r="B140" i="22" s="1"/>
  <c r="B141" i="22"/>
  <c r="B143" i="22" s="1"/>
  <c r="E143" i="22"/>
  <c r="B145" i="22"/>
  <c r="B146" i="22" s="1"/>
  <c r="B147" i="22"/>
  <c r="B149" i="22" s="1"/>
  <c r="E149" i="22"/>
  <c r="B151" i="22"/>
  <c r="B152" i="22" s="1"/>
  <c r="B153" i="22"/>
  <c r="B155" i="22" s="1"/>
  <c r="E155" i="22"/>
  <c r="B157" i="22"/>
  <c r="B158" i="22" s="1"/>
  <c r="B159" i="22"/>
  <c r="B161" i="22" s="1"/>
  <c r="E161" i="22"/>
  <c r="B163" i="22"/>
  <c r="B164" i="22" s="1"/>
  <c r="B165" i="22"/>
  <c r="B167" i="22" s="1"/>
  <c r="E167" i="22"/>
  <c r="B169" i="22"/>
  <c r="B170" i="22" s="1"/>
  <c r="B171" i="22"/>
  <c r="B173" i="22" s="1"/>
  <c r="E173" i="22"/>
  <c r="B175" i="22"/>
  <c r="B176" i="22" s="1"/>
  <c r="B177" i="22"/>
  <c r="B179" i="22" s="1"/>
  <c r="E179" i="22"/>
  <c r="B181" i="22"/>
  <c r="B182" i="22" s="1"/>
  <c r="B183" i="22"/>
  <c r="B185" i="22" s="1"/>
  <c r="E185" i="22"/>
  <c r="B187" i="22"/>
  <c r="B188" i="22" s="1"/>
  <c r="B189" i="22"/>
  <c r="B191" i="22" s="1"/>
  <c r="E191" i="22"/>
  <c r="B193" i="22"/>
  <c r="B194" i="22" s="1"/>
  <c r="B195" i="22"/>
  <c r="B197" i="22" s="1"/>
  <c r="E197" i="22"/>
  <c r="B199" i="22"/>
  <c r="B200" i="22" s="1"/>
  <c r="B201" i="22"/>
  <c r="B203" i="22" s="1"/>
  <c r="E203" i="22"/>
  <c r="B205" i="22"/>
  <c r="B206" i="22" s="1"/>
  <c r="B207" i="22"/>
  <c r="B209" i="22" s="1"/>
  <c r="E209" i="22"/>
  <c r="B211" i="22"/>
  <c r="B212" i="22" s="1"/>
  <c r="B213" i="22"/>
  <c r="B215" i="22" s="1"/>
  <c r="E215" i="22"/>
  <c r="B217" i="22"/>
  <c r="B218" i="22" s="1"/>
  <c r="B219" i="22"/>
  <c r="B221" i="22" s="1"/>
  <c r="E221" i="22"/>
  <c r="B223" i="22"/>
  <c r="B224" i="22" s="1"/>
  <c r="B225" i="22"/>
  <c r="B227" i="22" s="1"/>
  <c r="E227" i="22"/>
  <c r="B229" i="22"/>
  <c r="B230" i="22" s="1"/>
  <c r="B231" i="22"/>
  <c r="B233" i="22" s="1"/>
  <c r="E233" i="22"/>
  <c r="B235" i="22"/>
  <c r="B236" i="22" s="1"/>
  <c r="B237" i="22"/>
  <c r="B239" i="22" s="1"/>
  <c r="E239" i="22"/>
  <c r="B241" i="22"/>
  <c r="B242" i="22" s="1"/>
  <c r="B243" i="22"/>
  <c r="B245" i="22" s="1"/>
  <c r="E245" i="22"/>
  <c r="D253" i="22"/>
  <c r="H253" i="22"/>
  <c r="C309" i="22"/>
  <c r="E309" i="22"/>
  <c r="F310" i="22"/>
  <c r="I310" i="22"/>
  <c r="B254" i="22"/>
  <c r="D259" i="22"/>
  <c r="H259" i="22"/>
  <c r="B260" i="22"/>
  <c r="D265" i="22"/>
  <c r="H265" i="22"/>
  <c r="B266" i="22"/>
  <c r="D271" i="22"/>
  <c r="H271" i="22"/>
  <c r="B272" i="22"/>
  <c r="D277" i="22"/>
  <c r="H277" i="22"/>
  <c r="B278" i="22"/>
  <c r="D283" i="22"/>
  <c r="H283" i="22"/>
  <c r="B284" i="22"/>
  <c r="D289" i="22"/>
  <c r="H289" i="22"/>
  <c r="B290" i="22"/>
  <c r="D295" i="22"/>
  <c r="H295" i="22"/>
  <c r="B296" i="22"/>
  <c r="H301" i="22"/>
  <c r="B302" i="22"/>
  <c r="B314" i="22"/>
  <c r="B322" i="22"/>
  <c r="B331" i="22"/>
  <c r="B342" i="22"/>
  <c r="D347" i="22"/>
  <c r="H347" i="22"/>
  <c r="B348" i="22"/>
  <c r="D353" i="22"/>
  <c r="H353" i="22"/>
  <c r="B354" i="22"/>
  <c r="H359" i="22"/>
  <c r="B360" i="22"/>
  <c r="B366" i="22"/>
  <c r="B419" i="22"/>
  <c r="B423" i="22"/>
  <c r="B425" i="22"/>
  <c r="B427" i="22" s="1"/>
  <c r="B429" i="22"/>
  <c r="B431" i="22"/>
  <c r="B433" i="22" s="1"/>
  <c r="E433" i="22"/>
  <c r="E436" i="22"/>
  <c r="B440" i="22"/>
  <c r="B442" i="22" s="1"/>
  <c r="B446" i="22"/>
  <c r="B448" i="22" s="1"/>
  <c r="B460" i="22"/>
  <c r="B466" i="22"/>
  <c r="B472" i="22"/>
  <c r="B498" i="22"/>
  <c r="B504" i="22"/>
  <c r="B510" i="22"/>
  <c r="B516" i="22"/>
  <c r="B522" i="22"/>
  <c r="B523" i="22"/>
  <c r="B525" i="22" s="1"/>
  <c r="E525" i="22"/>
  <c r="B527" i="22"/>
  <c r="B528" i="22" s="1"/>
  <c r="B529" i="22"/>
  <c r="B531" i="22" s="1"/>
  <c r="E531" i="22"/>
  <c r="B533" i="22"/>
  <c r="B534" i="22" s="1"/>
  <c r="B535" i="22"/>
  <c r="B537" i="22" s="1"/>
  <c r="E537" i="22"/>
  <c r="B539" i="22"/>
  <c r="B540" i="22" s="1"/>
  <c r="B541" i="22"/>
  <c r="B543" i="22" s="1"/>
  <c r="E543" i="22"/>
  <c r="B545" i="22"/>
  <c r="B546" i="22" s="1"/>
  <c r="B547" i="22"/>
  <c r="D552" i="22"/>
  <c r="H552" i="22"/>
  <c r="B553" i="22"/>
  <c r="B555" i="22" s="1"/>
  <c r="D555" i="22"/>
  <c r="H555" i="22"/>
  <c r="B556" i="22"/>
  <c r="C610" i="22"/>
  <c r="E610" i="22"/>
  <c r="F611" i="22"/>
  <c r="I611" i="22"/>
  <c r="B567" i="22"/>
  <c r="B569" i="22" s="1"/>
  <c r="E569" i="22"/>
  <c r="B571" i="22"/>
  <c r="B573" i="22"/>
  <c r="B575" i="22" s="1"/>
  <c r="E575" i="22"/>
  <c r="B577" i="22"/>
  <c r="B579" i="22"/>
  <c r="B581" i="22" s="1"/>
  <c r="E581" i="22"/>
  <c r="C584" i="22"/>
  <c r="E584" i="22"/>
  <c r="B586" i="22"/>
  <c r="B588" i="22"/>
  <c r="B590" i="22" s="1"/>
  <c r="D590" i="22"/>
  <c r="H590" i="22"/>
  <c r="B591" i="22"/>
  <c r="D596" i="22"/>
  <c r="H596" i="22"/>
  <c r="B597" i="22"/>
  <c r="D602" i="22"/>
  <c r="H602" i="22"/>
  <c r="B603" i="22"/>
  <c r="D608" i="22"/>
  <c r="H608" i="22"/>
  <c r="B614" i="22"/>
  <c r="D657" i="22"/>
  <c r="H657" i="22"/>
  <c r="G658" i="22"/>
  <c r="J658" i="22"/>
  <c r="D619" i="22"/>
  <c r="H619" i="22"/>
  <c r="B620" i="22"/>
  <c r="D625" i="22"/>
  <c r="H625" i="22"/>
  <c r="B626" i="22"/>
  <c r="D631" i="22"/>
  <c r="H631" i="22"/>
  <c r="B632" i="22"/>
  <c r="C637" i="22"/>
  <c r="E637" i="22"/>
  <c r="B639" i="22"/>
  <c r="B641" i="22"/>
  <c r="B643" i="22" s="1"/>
  <c r="E643" i="22"/>
  <c r="B645" i="22"/>
  <c r="B647" i="22"/>
  <c r="B649" i="22" s="1"/>
  <c r="E649" i="22"/>
  <c r="C652" i="22"/>
  <c r="E652" i="22"/>
  <c r="B654" i="22"/>
  <c r="B662" i="22"/>
  <c r="D689" i="22"/>
  <c r="H689" i="22"/>
  <c r="G690" i="22"/>
  <c r="J690" i="22"/>
  <c r="B665" i="22"/>
  <c r="B667" i="22"/>
  <c r="B669" i="22" s="1"/>
  <c r="E669" i="22"/>
  <c r="B671" i="22"/>
  <c r="B673" i="22"/>
  <c r="B675" i="22" s="1"/>
  <c r="E675" i="22"/>
  <c r="B677" i="22"/>
  <c r="B679" i="22"/>
  <c r="B681" i="22" s="1"/>
  <c r="E681" i="22"/>
  <c r="B683" i="22"/>
  <c r="B685" i="22"/>
  <c r="B687" i="22" s="1"/>
  <c r="E687" i="22"/>
  <c r="D695" i="22"/>
  <c r="H695" i="22"/>
  <c r="C727" i="22"/>
  <c r="E727" i="22"/>
  <c r="F728" i="22"/>
  <c r="I728" i="22"/>
  <c r="B696" i="22"/>
  <c r="D701" i="22"/>
  <c r="H701" i="22"/>
  <c r="B702" i="22"/>
  <c r="D707" i="22"/>
  <c r="H707" i="22"/>
  <c r="B708" i="22"/>
  <c r="D713" i="22"/>
  <c r="H713" i="22"/>
  <c r="B714" i="22"/>
  <c r="B718" i="22"/>
  <c r="B720" i="22"/>
  <c r="B722" i="22" s="1"/>
  <c r="D722" i="22"/>
  <c r="H722" i="22"/>
  <c r="B723" i="22"/>
  <c r="B725" i="22" s="1"/>
  <c r="D725" i="22"/>
  <c r="H725" i="22"/>
  <c r="B732" i="22"/>
  <c r="D753" i="22"/>
  <c r="H753" i="22"/>
  <c r="G754" i="22"/>
  <c r="J754" i="22"/>
  <c r="B735" i="22"/>
  <c r="B737" i="22"/>
  <c r="B739" i="22" s="1"/>
  <c r="E739" i="22"/>
  <c r="B741" i="22"/>
  <c r="B743" i="22"/>
  <c r="B745" i="22" s="1"/>
  <c r="E745" i="22"/>
  <c r="B747" i="22"/>
  <c r="B749" i="22"/>
  <c r="B751" i="22" s="1"/>
  <c r="E751" i="22"/>
  <c r="C779" i="22"/>
  <c r="E779" i="22"/>
  <c r="F780" i="22"/>
  <c r="I780" i="22"/>
  <c r="C762" i="22"/>
  <c r="E762" i="22"/>
  <c r="B764" i="22"/>
  <c r="C768" i="22"/>
  <c r="E768" i="22"/>
  <c r="B770" i="22"/>
  <c r="C774" i="22"/>
  <c r="E774" i="22"/>
  <c r="B776" i="22"/>
  <c r="B783" i="22"/>
  <c r="D808" i="22"/>
  <c r="H808" i="22"/>
  <c r="G809" i="22"/>
  <c r="J809" i="22"/>
  <c r="D788" i="22"/>
  <c r="H788" i="22"/>
  <c r="B789" i="22"/>
  <c r="D794" i="22"/>
  <c r="H794" i="22"/>
  <c r="B795" i="22"/>
  <c r="D800" i="22"/>
  <c r="H800" i="22"/>
  <c r="B801" i="22"/>
  <c r="D806" i="22"/>
  <c r="H806" i="22"/>
  <c r="C814" i="22"/>
  <c r="E814" i="22"/>
  <c r="B813" i="22"/>
  <c r="D828" i="22"/>
  <c r="H828" i="22"/>
  <c r="G829" i="22"/>
  <c r="J829" i="22"/>
  <c r="B816" i="22"/>
  <c r="C820" i="22"/>
  <c r="E820" i="22"/>
  <c r="B822" i="22"/>
  <c r="C826" i="22"/>
  <c r="E826" i="22"/>
  <c r="I930" i="22"/>
  <c r="B835" i="22"/>
  <c r="D840" i="22"/>
  <c r="H840" i="22"/>
  <c r="B841" i="22"/>
  <c r="D846" i="22"/>
  <c r="H846" i="22"/>
  <c r="B847" i="22"/>
  <c r="D852" i="22"/>
  <c r="H852" i="22"/>
  <c r="B853" i="22"/>
  <c r="D858" i="22"/>
  <c r="H858" i="22"/>
  <c r="B859" i="22"/>
  <c r="D864" i="22"/>
  <c r="H864" i="22"/>
  <c r="B865" i="22"/>
  <c r="B871" i="22"/>
  <c r="D876" i="22"/>
  <c r="H876" i="22"/>
  <c r="B877" i="22"/>
  <c r="D882" i="22"/>
  <c r="H882" i="22"/>
  <c r="B883" i="22"/>
  <c r="D888" i="22"/>
  <c r="H888" i="22"/>
  <c r="B889" i="22"/>
  <c r="D894" i="22"/>
  <c r="H894" i="22"/>
  <c r="B895" i="22"/>
  <c r="D900" i="22"/>
  <c r="H900" i="22"/>
  <c r="B901" i="22"/>
  <c r="D906" i="22"/>
  <c r="H906" i="22"/>
  <c r="B907" i="22"/>
  <c r="H912" i="22"/>
  <c r="B913" i="22"/>
  <c r="B919" i="22"/>
  <c r="B936" i="22"/>
  <c r="B942" i="22"/>
  <c r="B965" i="22"/>
  <c r="H970" i="22"/>
  <c r="H979" i="22" s="1"/>
  <c r="B971" i="22"/>
  <c r="B1002" i="22"/>
  <c r="B1004" i="22"/>
  <c r="B1005" i="22" s="1"/>
  <c r="B1006" i="22"/>
  <c r="B1008" i="22" s="1"/>
  <c r="B1010" i="22"/>
  <c r="B1012" i="22"/>
  <c r="B1014" i="22" s="1"/>
  <c r="E1014" i="22"/>
  <c r="B1016" i="22"/>
  <c r="B1017" i="22" s="1"/>
  <c r="B1018" i="22"/>
  <c r="B1024" i="22"/>
  <c r="B1030" i="22"/>
  <c r="H1035" i="22"/>
  <c r="B1036" i="22"/>
  <c r="B1042" i="22"/>
  <c r="B1066" i="22"/>
  <c r="B572" i="22"/>
  <c r="B578" i="22"/>
  <c r="B584" i="22"/>
  <c r="B587" i="22"/>
  <c r="B657" i="22"/>
  <c r="B637" i="22"/>
  <c r="B640" i="22"/>
  <c r="B646" i="22"/>
  <c r="B652" i="22"/>
  <c r="B655" i="22"/>
  <c r="B666" i="22"/>
  <c r="B672" i="22"/>
  <c r="B678" i="22"/>
  <c r="B684" i="22"/>
  <c r="B727" i="22"/>
  <c r="B719" i="22"/>
  <c r="B736" i="22"/>
  <c r="B742" i="22"/>
  <c r="B748" i="22"/>
  <c r="B765" i="22"/>
  <c r="B771" i="22"/>
  <c r="B777" i="22"/>
  <c r="B817" i="22"/>
  <c r="B823" i="22"/>
  <c r="B924" i="22"/>
  <c r="B955" i="22"/>
  <c r="B958" i="22" s="1"/>
  <c r="B985" i="22"/>
  <c r="B987" i="22" s="1"/>
  <c r="H990" i="22"/>
  <c r="B991" i="22"/>
  <c r="B993" i="22" s="1"/>
  <c r="B997" i="22"/>
  <c r="B999" i="22" s="1"/>
  <c r="B1011" i="22"/>
  <c r="B1061" i="22"/>
  <c r="B100" i="21"/>
  <c r="B103" i="21"/>
  <c r="B107" i="21" s="1"/>
  <c r="B140" i="21"/>
  <c r="B7" i="21"/>
  <c r="B10" i="21" s="1"/>
  <c r="B19" i="21"/>
  <c r="B21" i="21" s="1"/>
  <c r="B25" i="21"/>
  <c r="B39" i="21"/>
  <c r="B43" i="21" s="1"/>
  <c r="B46" i="21"/>
  <c r="B84" i="21"/>
  <c r="B88" i="21"/>
  <c r="B91" i="21" s="1"/>
  <c r="B113" i="21"/>
  <c r="B164" i="21"/>
  <c r="B168" i="21"/>
  <c r="B172" i="21"/>
  <c r="B176" i="21"/>
  <c r="B180" i="21"/>
  <c r="B184" i="21"/>
  <c r="B188" i="21"/>
  <c r="C68" i="20"/>
  <c r="C58" i="20"/>
  <c r="C70" i="20" s="1"/>
  <c r="E71" i="20"/>
  <c r="I71" i="20"/>
  <c r="B26" i="16"/>
  <c r="C10" i="17"/>
  <c r="C16" i="17"/>
  <c r="C22" i="17"/>
  <c r="C28" i="17"/>
  <c r="C34" i="17"/>
  <c r="C40" i="17"/>
  <c r="C46" i="17"/>
  <c r="C52" i="17"/>
  <c r="C58" i="17"/>
  <c r="C43" i="18"/>
  <c r="C77" i="17"/>
  <c r="C7" i="17"/>
  <c r="D71" i="20"/>
  <c r="F71" i="20"/>
  <c r="C13" i="18"/>
  <c r="D7" i="17"/>
  <c r="F7" i="17"/>
  <c r="F79" i="17" s="1"/>
  <c r="D13" i="17"/>
  <c r="D19" i="17"/>
  <c r="D25" i="17"/>
  <c r="D31" i="17"/>
  <c r="D37" i="17"/>
  <c r="D43" i="17"/>
  <c r="D49" i="17"/>
  <c r="D55" i="17"/>
  <c r="D61" i="17"/>
  <c r="D67" i="17"/>
  <c r="D73" i="17"/>
  <c r="D77" i="17"/>
  <c r="E7" i="18"/>
  <c r="E76" i="18" s="1"/>
  <c r="E84" i="18" s="1"/>
  <c r="I7" i="18"/>
  <c r="I76" i="18" s="1"/>
  <c r="I84" i="18" s="1"/>
  <c r="D10" i="18"/>
  <c r="D16" i="18"/>
  <c r="D22" i="18"/>
  <c r="D28" i="18"/>
  <c r="C29" i="18"/>
  <c r="C31" i="18" s="1"/>
  <c r="D46" i="18"/>
  <c r="D52" i="18"/>
  <c r="D58" i="18"/>
  <c r="D64" i="18"/>
  <c r="D70" i="18"/>
  <c r="D74" i="18"/>
  <c r="D82" i="18" s="1"/>
  <c r="F74" i="18"/>
  <c r="F82" i="18" s="1"/>
  <c r="G71" i="20"/>
  <c r="K71" i="20"/>
  <c r="E21" i="21"/>
  <c r="B35" i="21"/>
  <c r="D327" i="22"/>
  <c r="B327" i="22" s="1"/>
  <c r="E327" i="22"/>
  <c r="E7" i="17"/>
  <c r="E79" i="17" s="1"/>
  <c r="I7" i="17"/>
  <c r="I79" i="17" s="1"/>
  <c r="C6" i="18"/>
  <c r="C75" i="18" s="1"/>
  <c r="C83" i="18" s="1"/>
  <c r="C5" i="19"/>
  <c r="C50" i="19" s="1"/>
  <c r="C7" i="19"/>
  <c r="C52" i="19" s="1"/>
  <c r="C6" i="20"/>
  <c r="C69" i="20" s="1"/>
  <c r="B13" i="21"/>
  <c r="B14" i="21" s="1"/>
  <c r="E35" i="21"/>
  <c r="B48" i="21"/>
  <c r="B124" i="22"/>
  <c r="B96" i="22"/>
  <c r="B102" i="22"/>
  <c r="B108" i="22"/>
  <c r="B114" i="22"/>
  <c r="B120" i="22"/>
  <c r="B256" i="22"/>
  <c r="B262" i="22"/>
  <c r="B268" i="22"/>
  <c r="B274" i="22"/>
  <c r="B280" i="22"/>
  <c r="B286" i="22"/>
  <c r="B292" i="22"/>
  <c r="B298" i="22"/>
  <c r="B304" i="22"/>
  <c r="B335" i="22"/>
  <c r="B344" i="22"/>
  <c r="B350" i="22"/>
  <c r="B356" i="22"/>
  <c r="B362" i="22"/>
  <c r="B368" i="22"/>
  <c r="B374" i="22"/>
  <c r="B380" i="22"/>
  <c r="E488" i="22"/>
  <c r="E421" i="22"/>
  <c r="E490" i="22" s="1"/>
  <c r="B495" i="22"/>
  <c r="C107" i="21"/>
  <c r="B116" i="21"/>
  <c r="B119" i="21" s="1"/>
  <c r="B122" i="21"/>
  <c r="B125" i="21" s="1"/>
  <c r="B128" i="21"/>
  <c r="B131" i="21" s="1"/>
  <c r="B134" i="21"/>
  <c r="B135" i="21" s="1"/>
  <c r="B138" i="21"/>
  <c r="B143" i="21" s="1"/>
  <c r="B146" i="21"/>
  <c r="B148" i="21" s="1"/>
  <c r="B6" i="22"/>
  <c r="D8" i="22"/>
  <c r="D65" i="22" s="1"/>
  <c r="H8" i="22"/>
  <c r="H65" i="22" s="1"/>
  <c r="B12" i="22"/>
  <c r="B14" i="22" s="1"/>
  <c r="B18" i="22"/>
  <c r="B20" i="22" s="1"/>
  <c r="B24" i="22"/>
  <c r="B26" i="22" s="1"/>
  <c r="B30" i="22"/>
  <c r="B32" i="22" s="1"/>
  <c r="B36" i="22"/>
  <c r="B38" i="22" s="1"/>
  <c r="B42" i="22"/>
  <c r="B44" i="22" s="1"/>
  <c r="B48" i="22"/>
  <c r="B50" i="22" s="1"/>
  <c r="B54" i="22"/>
  <c r="B56" i="22" s="1"/>
  <c r="B60" i="22"/>
  <c r="B62" i="22" s="1"/>
  <c r="C63" i="22"/>
  <c r="E63" i="22"/>
  <c r="D70" i="22"/>
  <c r="D85" i="22" s="1"/>
  <c r="H70" i="22"/>
  <c r="H85" i="22" s="1"/>
  <c r="C73" i="22"/>
  <c r="C79" i="22"/>
  <c r="C83" i="22"/>
  <c r="E83" i="22"/>
  <c r="B90" i="22"/>
  <c r="D90" i="22"/>
  <c r="D126" i="22" s="1"/>
  <c r="H90" i="22"/>
  <c r="H126" i="22" s="1"/>
  <c r="C93" i="22"/>
  <c r="C99" i="22"/>
  <c r="C105" i="22"/>
  <c r="C111" i="22"/>
  <c r="C117" i="22"/>
  <c r="C123" i="22"/>
  <c r="C125" i="22"/>
  <c r="C131" i="22"/>
  <c r="E131" i="22"/>
  <c r="E248" i="22" s="1"/>
  <c r="C137" i="22"/>
  <c r="C143" i="22"/>
  <c r="C149" i="22"/>
  <c r="C155" i="22"/>
  <c r="C161" i="22"/>
  <c r="C167" i="22"/>
  <c r="C173" i="22"/>
  <c r="C179" i="22"/>
  <c r="C185" i="22"/>
  <c r="C191" i="22"/>
  <c r="C197" i="22"/>
  <c r="C203" i="22"/>
  <c r="C209" i="22"/>
  <c r="C215" i="22"/>
  <c r="C221" i="22"/>
  <c r="C227" i="22"/>
  <c r="C233" i="22"/>
  <c r="C239" i="22"/>
  <c r="C245" i="22"/>
  <c r="D246" i="22"/>
  <c r="H246" i="22"/>
  <c r="C253" i="22"/>
  <c r="E253" i="22"/>
  <c r="E310" i="22" s="1"/>
  <c r="C259" i="22"/>
  <c r="C265" i="22"/>
  <c r="C271" i="22"/>
  <c r="C277" i="22"/>
  <c r="C283" i="22"/>
  <c r="C289" i="22"/>
  <c r="C295" i="22"/>
  <c r="C301" i="22"/>
  <c r="C307" i="22"/>
  <c r="D308" i="22"/>
  <c r="H308" i="22"/>
  <c r="C341" i="22"/>
  <c r="E341" i="22"/>
  <c r="E416" i="22" s="1"/>
  <c r="C347" i="22"/>
  <c r="C353" i="22"/>
  <c r="C359" i="22"/>
  <c r="C365" i="22"/>
  <c r="C371" i="22"/>
  <c r="C377" i="22"/>
  <c r="B384" i="22"/>
  <c r="B386" i="22" s="1"/>
  <c r="B390" i="22"/>
  <c r="B392" i="22" s="1"/>
  <c r="B396" i="22"/>
  <c r="B398" i="22" s="1"/>
  <c r="B402" i="22"/>
  <c r="B404" i="22" s="1"/>
  <c r="B408" i="22"/>
  <c r="B410" i="22" s="1"/>
  <c r="D414" i="22"/>
  <c r="H414" i="22"/>
  <c r="B420" i="22"/>
  <c r="B489" i="22" s="1"/>
  <c r="B424" i="22"/>
  <c r="B430" i="22"/>
  <c r="B478" i="22"/>
  <c r="B484" i="22"/>
  <c r="B549" i="22"/>
  <c r="B558" i="22"/>
  <c r="B593" i="22"/>
  <c r="B599" i="22"/>
  <c r="B605" i="22"/>
  <c r="B656" i="22"/>
  <c r="B622" i="22"/>
  <c r="B628" i="22"/>
  <c r="B634" i="22"/>
  <c r="B698" i="22"/>
  <c r="B704" i="22"/>
  <c r="B710" i="22"/>
  <c r="B716" i="22"/>
  <c r="B791" i="22"/>
  <c r="B797" i="22"/>
  <c r="B803" i="22"/>
  <c r="B837" i="22"/>
  <c r="B843" i="22"/>
  <c r="B849" i="22"/>
  <c r="B855" i="22"/>
  <c r="B861" i="22"/>
  <c r="B867" i="22"/>
  <c r="B488" i="22"/>
  <c r="D421" i="22"/>
  <c r="D490" i="22" s="1"/>
  <c r="D488" i="22"/>
  <c r="H421" i="22"/>
  <c r="H490" i="22" s="1"/>
  <c r="H488" i="22"/>
  <c r="B51" i="21"/>
  <c r="B58" i="21" s="1"/>
  <c r="B61" i="21"/>
  <c r="B72" i="21" s="1"/>
  <c r="B75" i="21"/>
  <c r="B78" i="21" s="1"/>
  <c r="B203" i="21"/>
  <c r="B204" i="21" s="1"/>
  <c r="B207" i="21"/>
  <c r="B208" i="21" s="1"/>
  <c r="B69" i="22"/>
  <c r="B84" i="22" s="1"/>
  <c r="C90" i="22"/>
  <c r="C126" i="22" s="1"/>
  <c r="E90" i="22"/>
  <c r="E126" i="22" s="1"/>
  <c r="B129" i="22"/>
  <c r="B251" i="22"/>
  <c r="B313" i="22"/>
  <c r="B334" i="22" s="1"/>
  <c r="B315" i="22"/>
  <c r="E316" i="22"/>
  <c r="G318" i="22"/>
  <c r="E325" i="22"/>
  <c r="B339" i="22"/>
  <c r="C421" i="22"/>
  <c r="B984" i="22"/>
  <c r="C1058" i="22"/>
  <c r="C427" i="22"/>
  <c r="C433" i="22"/>
  <c r="C439" i="22"/>
  <c r="C445" i="22"/>
  <c r="C451" i="22"/>
  <c r="C457" i="22"/>
  <c r="C463" i="22"/>
  <c r="C469" i="22"/>
  <c r="C481" i="22"/>
  <c r="C487" i="22"/>
  <c r="C495" i="22"/>
  <c r="E495" i="22"/>
  <c r="E561" i="22" s="1"/>
  <c r="C501" i="22"/>
  <c r="C507" i="22"/>
  <c r="C513" i="22"/>
  <c r="C519" i="22"/>
  <c r="C525" i="22"/>
  <c r="C531" i="22"/>
  <c r="C537" i="22"/>
  <c r="C543" i="22"/>
  <c r="B550" i="22"/>
  <c r="B552" i="22" s="1"/>
  <c r="C559" i="22"/>
  <c r="D566" i="22"/>
  <c r="D611" i="22" s="1"/>
  <c r="H566" i="22"/>
  <c r="H611" i="22" s="1"/>
  <c r="C569" i="22"/>
  <c r="C575" i="22"/>
  <c r="C581" i="22"/>
  <c r="B594" i="22"/>
  <c r="B596" i="22" s="1"/>
  <c r="B600" i="22"/>
  <c r="B602" i="22" s="1"/>
  <c r="B606" i="22"/>
  <c r="B608" i="22" s="1"/>
  <c r="C609" i="22"/>
  <c r="E609" i="22"/>
  <c r="B616" i="22"/>
  <c r="B658" i="22" s="1"/>
  <c r="D616" i="22"/>
  <c r="D658" i="22" s="1"/>
  <c r="H616" i="22"/>
  <c r="H658" i="22" s="1"/>
  <c r="C619" i="22"/>
  <c r="C625" i="22"/>
  <c r="C631" i="22"/>
  <c r="C643" i="22"/>
  <c r="C649" i="22"/>
  <c r="C657" i="22"/>
  <c r="C663" i="22"/>
  <c r="E663" i="22"/>
  <c r="E690" i="22" s="1"/>
  <c r="C669" i="22"/>
  <c r="C675" i="22"/>
  <c r="C681" i="22"/>
  <c r="C687" i="22"/>
  <c r="D688" i="22"/>
  <c r="H688" i="22"/>
  <c r="C695" i="22"/>
  <c r="E695" i="22"/>
  <c r="E728" i="22" s="1"/>
  <c r="C701" i="22"/>
  <c r="C707" i="22"/>
  <c r="C713" i="22"/>
  <c r="D726" i="22"/>
  <c r="H726" i="22"/>
  <c r="C733" i="22"/>
  <c r="E733" i="22"/>
  <c r="E754" i="22" s="1"/>
  <c r="C739" i="22"/>
  <c r="C745" i="22"/>
  <c r="C751" i="22"/>
  <c r="D752" i="22"/>
  <c r="H752" i="22"/>
  <c r="B758" i="22"/>
  <c r="B779" i="22" s="1"/>
  <c r="C759" i="22"/>
  <c r="C780" i="22" s="1"/>
  <c r="E759" i="22"/>
  <c r="E780" i="22" s="1"/>
  <c r="B760" i="22"/>
  <c r="B762" i="22" s="1"/>
  <c r="B766" i="22"/>
  <c r="B768" i="22" s="1"/>
  <c r="B772" i="22"/>
  <c r="B774" i="22" s="1"/>
  <c r="D778" i="22"/>
  <c r="H778" i="22"/>
  <c r="B784" i="22"/>
  <c r="B808" i="22" s="1"/>
  <c r="C785" i="22"/>
  <c r="C809" i="22" s="1"/>
  <c r="E785" i="22"/>
  <c r="E809" i="22" s="1"/>
  <c r="B786" i="22"/>
  <c r="B788" i="22" s="1"/>
  <c r="B792" i="22"/>
  <c r="B794" i="22" s="1"/>
  <c r="B798" i="22"/>
  <c r="B800" i="22" s="1"/>
  <c r="B804" i="22"/>
  <c r="B806" i="22" s="1"/>
  <c r="B812" i="22"/>
  <c r="D814" i="22"/>
  <c r="D829" i="22" s="1"/>
  <c r="H814" i="22"/>
  <c r="H829" i="22" s="1"/>
  <c r="B818" i="22"/>
  <c r="B820" i="22" s="1"/>
  <c r="B824" i="22"/>
  <c r="B826" i="22" s="1"/>
  <c r="C827" i="22"/>
  <c r="E827" i="22"/>
  <c r="B832" i="22"/>
  <c r="H928" i="22"/>
  <c r="C929" i="22"/>
  <c r="E929" i="22"/>
  <c r="D834" i="22"/>
  <c r="F930" i="22"/>
  <c r="H834" i="22"/>
  <c r="J930" i="22"/>
  <c r="B838" i="22"/>
  <c r="B840" i="22" s="1"/>
  <c r="B844" i="22"/>
  <c r="B846" i="22" s="1"/>
  <c r="B850" i="22"/>
  <c r="B852" i="22" s="1"/>
  <c r="B856" i="22"/>
  <c r="B858" i="22" s="1"/>
  <c r="B862" i="22"/>
  <c r="B864" i="22" s="1"/>
  <c r="B868" i="22"/>
  <c r="B870" i="22" s="1"/>
  <c r="D870" i="22"/>
  <c r="H870" i="22"/>
  <c r="B873" i="22"/>
  <c r="B879" i="22"/>
  <c r="B885" i="22"/>
  <c r="B891" i="22"/>
  <c r="B897" i="22"/>
  <c r="B903" i="22"/>
  <c r="B909" i="22"/>
  <c r="B915" i="22"/>
  <c r="B921" i="22"/>
  <c r="B927" i="22"/>
  <c r="B938" i="22"/>
  <c r="B944" i="22"/>
  <c r="B950" i="22"/>
  <c r="B956" i="22"/>
  <c r="B967" i="22"/>
  <c r="B973" i="22"/>
  <c r="B1020" i="22"/>
  <c r="B1026" i="22"/>
  <c r="B1032" i="22"/>
  <c r="B1038" i="22"/>
  <c r="B1044" i="22"/>
  <c r="B1074" i="22"/>
  <c r="B1072" i="22"/>
  <c r="B36" i="23"/>
  <c r="D36" i="23"/>
  <c r="H36" i="23"/>
  <c r="D495" i="22"/>
  <c r="D561" i="22" s="1"/>
  <c r="H495" i="22"/>
  <c r="H561" i="22" s="1"/>
  <c r="B565" i="22"/>
  <c r="B610" i="22" s="1"/>
  <c r="C616" i="22"/>
  <c r="C658" i="22" s="1"/>
  <c r="E616" i="22"/>
  <c r="E658" i="22" s="1"/>
  <c r="B661" i="22"/>
  <c r="B693" i="22"/>
  <c r="B731" i="22"/>
  <c r="B785" i="22"/>
  <c r="D785" i="22"/>
  <c r="D809" i="22" s="1"/>
  <c r="H785" i="22"/>
  <c r="H809" i="22" s="1"/>
  <c r="B929" i="22"/>
  <c r="C834" i="22"/>
  <c r="E834" i="22"/>
  <c r="E930" i="22" s="1"/>
  <c r="C876" i="22"/>
  <c r="C882" i="22"/>
  <c r="C888" i="22"/>
  <c r="C894" i="22"/>
  <c r="C900" i="22"/>
  <c r="C906" i="22"/>
  <c r="C912" i="22"/>
  <c r="C918" i="22"/>
  <c r="C924" i="22"/>
  <c r="B933" i="22"/>
  <c r="D935" i="22"/>
  <c r="D959" i="22" s="1"/>
  <c r="H935" i="22"/>
  <c r="H959" i="22" s="1"/>
  <c r="B939" i="22"/>
  <c r="B941" i="22" s="1"/>
  <c r="B945" i="22"/>
  <c r="B947" i="22" s="1"/>
  <c r="B951" i="22"/>
  <c r="B953" i="22" s="1"/>
  <c r="C964" i="22"/>
  <c r="E964" i="22"/>
  <c r="E979" i="22" s="1"/>
  <c r="C970" i="22"/>
  <c r="C976" i="22"/>
  <c r="D977" i="22"/>
  <c r="H977" i="22"/>
  <c r="C984" i="22"/>
  <c r="E984" i="22"/>
  <c r="E1050" i="22" s="1"/>
  <c r="C990" i="22"/>
  <c r="C996" i="22"/>
  <c r="C1002" i="22"/>
  <c r="C1008" i="22"/>
  <c r="C1014" i="22"/>
  <c r="B1021" i="22"/>
  <c r="B1023" i="22" s="1"/>
  <c r="B1027" i="22"/>
  <c r="B1029" i="22" s="1"/>
  <c r="B1033" i="22"/>
  <c r="B1035" i="22" s="1"/>
  <c r="B1039" i="22"/>
  <c r="B1041" i="22" s="1"/>
  <c r="B1045" i="22"/>
  <c r="B1047" i="22" s="1"/>
  <c r="C1048" i="22"/>
  <c r="B1053" i="22"/>
  <c r="B1056" i="22" s="1"/>
  <c r="D1055" i="22"/>
  <c r="D1058" i="22" s="1"/>
  <c r="H1055" i="22"/>
  <c r="H1058" i="22" s="1"/>
  <c r="C1056" i="22"/>
  <c r="E1056" i="22"/>
  <c r="B1063" i="22"/>
  <c r="D1063" i="22"/>
  <c r="D1075" i="22" s="1"/>
  <c r="H1063" i="22"/>
  <c r="H1075" i="22" s="1"/>
  <c r="C1066" i="22"/>
  <c r="B1067" i="22"/>
  <c r="B1069" i="22" s="1"/>
  <c r="C1074" i="22"/>
  <c r="B1079" i="22"/>
  <c r="B1082" i="22" s="1"/>
  <c r="C1080" i="22"/>
  <c r="C1083" i="22" s="1"/>
  <c r="E1080" i="22"/>
  <c r="E1083" i="22" s="1"/>
  <c r="B1081" i="22"/>
  <c r="D1081" i="22"/>
  <c r="H1081" i="22"/>
  <c r="I276" i="23"/>
  <c r="C935" i="22"/>
  <c r="C959" i="22" s="1"/>
  <c r="E935" i="22"/>
  <c r="E959" i="22" s="1"/>
  <c r="B962" i="22"/>
  <c r="D984" i="22"/>
  <c r="D1050" i="22" s="1"/>
  <c r="H984" i="22"/>
  <c r="H1050" i="22" s="1"/>
  <c r="C1063" i="22"/>
  <c r="C1075" i="22" s="1"/>
  <c r="E1063" i="22"/>
  <c r="E1075" i="22" s="1"/>
  <c r="D57" i="23"/>
  <c r="H57" i="23"/>
  <c r="D93" i="23"/>
  <c r="H93" i="23"/>
  <c r="D255" i="23"/>
  <c r="H255" i="23"/>
  <c r="E276" i="23"/>
  <c r="J276" i="23"/>
  <c r="E336" i="23"/>
  <c r="H345" i="23"/>
  <c r="I91" i="23"/>
  <c r="I93" i="23" s="1"/>
  <c r="B148" i="23"/>
  <c r="B196" i="23" s="1"/>
  <c r="B258" i="23"/>
  <c r="B273" i="23" s="1"/>
  <c r="D266" i="23"/>
  <c r="D275" i="23" s="1"/>
  <c r="D276" i="23" s="1"/>
  <c r="C333" i="23"/>
  <c r="C335" i="23"/>
  <c r="B340" i="23"/>
  <c r="B343" i="23" s="1"/>
  <c r="B345" i="23" s="1"/>
  <c r="C355" i="23"/>
  <c r="C357" i="23" s="1"/>
  <c r="C367" i="23"/>
  <c r="C369" i="23" s="1"/>
  <c r="B40" i="23"/>
  <c r="B55" i="23" s="1"/>
  <c r="B60" i="23"/>
  <c r="B90" i="23" s="1"/>
  <c r="B62" i="23"/>
  <c r="B92" i="23" s="1"/>
  <c r="B97" i="23"/>
  <c r="B142" i="23" s="1"/>
  <c r="B225" i="23"/>
  <c r="B252" i="23" s="1"/>
  <c r="B227" i="23"/>
  <c r="B254" i="23" s="1"/>
  <c r="B279" i="23"/>
  <c r="B294" i="23" s="1"/>
  <c r="B281" i="23"/>
  <c r="B296" i="23" s="1"/>
  <c r="B301" i="23"/>
  <c r="B316" i="23" s="1"/>
  <c r="D375" i="23"/>
  <c r="D378" i="23" s="1"/>
  <c r="H375" i="23"/>
  <c r="H378" i="23" s="1"/>
  <c r="C376" i="23"/>
  <c r="B376" i="23" s="1"/>
  <c r="B375" i="23" l="1"/>
  <c r="B378" i="23" s="1"/>
  <c r="C336" i="23"/>
  <c r="C53" i="19"/>
  <c r="H416" i="22"/>
  <c r="D416" i="22"/>
  <c r="B368" i="23"/>
  <c r="C275" i="23"/>
  <c r="C276" i="23" s="1"/>
  <c r="C57" i="23"/>
  <c r="B29" i="15"/>
  <c r="B57" i="23"/>
  <c r="D76" i="18"/>
  <c r="D84" i="18" s="1"/>
  <c r="C79" i="17"/>
  <c r="B195" i="21"/>
  <c r="B1049" i="22"/>
  <c r="E611" i="22"/>
  <c r="B560" i="22"/>
  <c r="B369" i="23"/>
  <c r="H276" i="23"/>
  <c r="B274" i="23"/>
  <c r="B195" i="23"/>
  <c r="B141" i="23"/>
  <c r="E57" i="23"/>
  <c r="B978" i="22"/>
  <c r="C91" i="23"/>
  <c r="C93" i="23" s="1"/>
  <c r="D334" i="22"/>
  <c r="B318" i="23"/>
  <c r="B336" i="23"/>
  <c r="B144" i="23"/>
  <c r="B93" i="23"/>
  <c r="B197" i="23"/>
  <c r="B198" i="23" s="1"/>
  <c r="C611" i="22"/>
  <c r="E829" i="22"/>
  <c r="B753" i="22"/>
  <c r="H728" i="22"/>
  <c r="B689" i="22"/>
  <c r="D310" i="22"/>
  <c r="B247" i="22"/>
  <c r="E65" i="22"/>
  <c r="B809" i="22"/>
  <c r="E334" i="22"/>
  <c r="B421" i="22"/>
  <c r="B490" i="22" s="1"/>
  <c r="B126" i="22"/>
  <c r="C85" i="22"/>
  <c r="B828" i="22"/>
  <c r="C829" i="22"/>
  <c r="D728" i="22"/>
  <c r="H310" i="22"/>
  <c r="B64" i="22"/>
  <c r="C65" i="22"/>
  <c r="B83" i="22"/>
  <c r="B733" i="22"/>
  <c r="B754" i="22" s="1"/>
  <c r="B752" i="22"/>
  <c r="B663" i="22"/>
  <c r="B690" i="22" s="1"/>
  <c r="B688" i="22"/>
  <c r="B827" i="22"/>
  <c r="B814" i="22"/>
  <c r="B829" i="22" s="1"/>
  <c r="B341" i="22"/>
  <c r="B416" i="22" s="1"/>
  <c r="B414" i="22"/>
  <c r="D318" i="22"/>
  <c r="E318" i="22"/>
  <c r="E336" i="22" s="1"/>
  <c r="B253" i="22"/>
  <c r="B310" i="22" s="1"/>
  <c r="B308" i="22"/>
  <c r="B63" i="22"/>
  <c r="B8" i="22"/>
  <c r="B65" i="22" s="1"/>
  <c r="B297" i="23"/>
  <c r="B255" i="23"/>
  <c r="C378" i="23"/>
  <c r="B266" i="23"/>
  <c r="B275" i="23" s="1"/>
  <c r="B1080" i="22"/>
  <c r="B1083" i="22" s="1"/>
  <c r="B778" i="22"/>
  <c r="C728" i="22"/>
  <c r="C690" i="22"/>
  <c r="B566" i="22"/>
  <c r="B611" i="22" s="1"/>
  <c r="C561" i="22"/>
  <c r="B1048" i="22"/>
  <c r="B609" i="22"/>
  <c r="C310" i="22"/>
  <c r="B70" i="22"/>
  <c r="B85" i="22" s="1"/>
  <c r="B561" i="22"/>
  <c r="C7" i="18"/>
  <c r="C76" i="18" s="1"/>
  <c r="C84" i="18" s="1"/>
  <c r="D79" i="17"/>
  <c r="B964" i="22"/>
  <c r="B979" i="22" s="1"/>
  <c r="B977" i="22"/>
  <c r="B957" i="22"/>
  <c r="B935" i="22"/>
  <c r="B959" i="22" s="1"/>
  <c r="B695" i="22"/>
  <c r="B728" i="22" s="1"/>
  <c r="B726" i="22"/>
  <c r="B928" i="22"/>
  <c r="B834" i="22"/>
  <c r="B930" i="22" s="1"/>
  <c r="B131" i="22"/>
  <c r="B248" i="22" s="1"/>
  <c r="B246" i="22"/>
  <c r="B276" i="23"/>
  <c r="B1075" i="22"/>
  <c r="C1050" i="22"/>
  <c r="C979" i="22"/>
  <c r="B1073" i="22"/>
  <c r="C930" i="22"/>
  <c r="H930" i="22"/>
  <c r="D930" i="22"/>
  <c r="C754" i="22"/>
  <c r="B1055" i="22"/>
  <c r="B1058" i="22" s="1"/>
  <c r="B1050" i="22"/>
  <c r="B759" i="22"/>
  <c r="B780" i="22" s="1"/>
  <c r="C490" i="22"/>
  <c r="B807" i="22"/>
  <c r="C416" i="22"/>
  <c r="C248" i="22"/>
  <c r="B559" i="22"/>
  <c r="G336" i="22"/>
  <c r="C74" i="18"/>
  <c r="C82" i="18" s="1"/>
  <c r="C71" i="20"/>
  <c r="B318" i="22" l="1"/>
  <c r="B336" i="22" s="1"/>
  <c r="D336" i="22"/>
  <c r="S80" i="13" l="1"/>
  <c r="S65" i="13"/>
  <c r="S86" i="13" s="1"/>
  <c r="C47" i="4" l="1"/>
  <c r="D47" i="4"/>
  <c r="F47" i="4"/>
  <c r="G47" i="4"/>
  <c r="I47" i="4"/>
  <c r="C48" i="4"/>
  <c r="D48" i="4"/>
  <c r="F48" i="4"/>
  <c r="G48" i="4"/>
  <c r="I48" i="4"/>
  <c r="J48" i="4"/>
  <c r="J47" i="4"/>
  <c r="C74" i="4"/>
  <c r="D74" i="4"/>
  <c r="F74" i="4"/>
  <c r="G74" i="4"/>
  <c r="I74" i="4"/>
  <c r="C75" i="4"/>
  <c r="D75" i="4"/>
  <c r="F75" i="4"/>
  <c r="G75" i="4"/>
  <c r="I75" i="4"/>
  <c r="J75" i="4"/>
  <c r="J74" i="4"/>
  <c r="J73" i="4"/>
  <c r="I73" i="4"/>
  <c r="G73" i="4"/>
  <c r="F73" i="4"/>
  <c r="D73" i="4"/>
  <c r="C73" i="4"/>
  <c r="H72" i="4"/>
  <c r="E72" i="4"/>
  <c r="B72" i="4"/>
  <c r="H71" i="4"/>
  <c r="E71" i="4"/>
  <c r="B71" i="4"/>
  <c r="B73" i="4" s="1"/>
  <c r="J70" i="4"/>
  <c r="I70" i="4"/>
  <c r="G70" i="4"/>
  <c r="F70" i="4"/>
  <c r="D70" i="4"/>
  <c r="C70" i="4"/>
  <c r="H69" i="4"/>
  <c r="E69" i="4"/>
  <c r="B69" i="4"/>
  <c r="H68" i="4"/>
  <c r="H70" i="4" s="1"/>
  <c r="E68" i="4"/>
  <c r="E70" i="4" s="1"/>
  <c r="B68" i="4"/>
  <c r="B70" i="4" s="1"/>
  <c r="J67" i="4"/>
  <c r="I67" i="4"/>
  <c r="G67" i="4"/>
  <c r="F67" i="4"/>
  <c r="D67" i="4"/>
  <c r="C67" i="4"/>
  <c r="H66" i="4"/>
  <c r="E66" i="4"/>
  <c r="B66" i="4"/>
  <c r="H65" i="4"/>
  <c r="H67" i="4" s="1"/>
  <c r="E65" i="4"/>
  <c r="B65" i="4"/>
  <c r="J64" i="4"/>
  <c r="I64" i="4"/>
  <c r="G64" i="4"/>
  <c r="F64" i="4"/>
  <c r="D64" i="4"/>
  <c r="C64" i="4"/>
  <c r="H63" i="4"/>
  <c r="E63" i="4"/>
  <c r="B63" i="4"/>
  <c r="H62" i="4"/>
  <c r="E62" i="4"/>
  <c r="B62" i="4"/>
  <c r="J61" i="4"/>
  <c r="I61" i="4"/>
  <c r="G61" i="4"/>
  <c r="F61" i="4"/>
  <c r="D61" i="4"/>
  <c r="C61" i="4"/>
  <c r="H60" i="4"/>
  <c r="E60" i="4"/>
  <c r="B60" i="4"/>
  <c r="H59" i="4"/>
  <c r="E59" i="4"/>
  <c r="B59" i="4"/>
  <c r="C92" i="4"/>
  <c r="D92" i="4"/>
  <c r="F92" i="4"/>
  <c r="G92" i="4"/>
  <c r="I92" i="4"/>
  <c r="C93" i="4"/>
  <c r="D93" i="4"/>
  <c r="F93" i="4"/>
  <c r="G93" i="4"/>
  <c r="I93" i="4"/>
  <c r="J93" i="4"/>
  <c r="J92" i="4"/>
  <c r="C101" i="4"/>
  <c r="D101" i="4"/>
  <c r="F101" i="4"/>
  <c r="G101" i="4"/>
  <c r="I101" i="4"/>
  <c r="C102" i="4"/>
  <c r="D102" i="4"/>
  <c r="F102" i="4"/>
  <c r="G102" i="4"/>
  <c r="I102" i="4"/>
  <c r="J102" i="4"/>
  <c r="J101" i="4"/>
  <c r="J100" i="4"/>
  <c r="I100" i="4"/>
  <c r="G100" i="4"/>
  <c r="F100" i="4"/>
  <c r="D100" i="4"/>
  <c r="C100" i="4"/>
  <c r="J97" i="4"/>
  <c r="J103" i="4" s="1"/>
  <c r="I97" i="4"/>
  <c r="I103" i="4" s="1"/>
  <c r="G97" i="4"/>
  <c r="G103" i="4" s="1"/>
  <c r="F97" i="4"/>
  <c r="F103" i="4" s="1"/>
  <c r="D97" i="4"/>
  <c r="D103" i="4" s="1"/>
  <c r="C97" i="4"/>
  <c r="C103" i="4" s="1"/>
  <c r="J91" i="4"/>
  <c r="I91" i="4"/>
  <c r="G91" i="4"/>
  <c r="F91" i="4"/>
  <c r="D91" i="4"/>
  <c r="C91" i="4"/>
  <c r="J88" i="4"/>
  <c r="I88" i="4"/>
  <c r="G88" i="4"/>
  <c r="F88" i="4"/>
  <c r="D88" i="4"/>
  <c r="C88" i="4"/>
  <c r="J85" i="4"/>
  <c r="I85" i="4"/>
  <c r="G85" i="4"/>
  <c r="F85" i="4"/>
  <c r="D85" i="4"/>
  <c r="C85" i="4"/>
  <c r="J82" i="4"/>
  <c r="I82" i="4"/>
  <c r="G82" i="4"/>
  <c r="F82" i="4"/>
  <c r="D82" i="4"/>
  <c r="C82" i="4"/>
  <c r="J79" i="4"/>
  <c r="J94" i="4" s="1"/>
  <c r="I79" i="4"/>
  <c r="I94" i="4" s="1"/>
  <c r="G79" i="4"/>
  <c r="G94" i="4" s="1"/>
  <c r="F79" i="4"/>
  <c r="F94" i="4" s="1"/>
  <c r="D79" i="4"/>
  <c r="D94" i="4" s="1"/>
  <c r="C79" i="4"/>
  <c r="C94" i="4" s="1"/>
  <c r="J58" i="4"/>
  <c r="I58" i="4"/>
  <c r="G58" i="4"/>
  <c r="F58" i="4"/>
  <c r="D58" i="4"/>
  <c r="C58" i="4"/>
  <c r="J55" i="4"/>
  <c r="I55" i="4"/>
  <c r="G55" i="4"/>
  <c r="F55" i="4"/>
  <c r="D55" i="4"/>
  <c r="C55" i="4"/>
  <c r="J52" i="4"/>
  <c r="J76" i="4" s="1"/>
  <c r="I52" i="4"/>
  <c r="I76" i="4" s="1"/>
  <c r="G52" i="4"/>
  <c r="G76" i="4" s="1"/>
  <c r="F52" i="4"/>
  <c r="F76" i="4" s="1"/>
  <c r="D52" i="4"/>
  <c r="C52" i="4"/>
  <c r="C76" i="4" s="1"/>
  <c r="J46" i="4"/>
  <c r="I46" i="4"/>
  <c r="G46" i="4"/>
  <c r="F46" i="4"/>
  <c r="D46" i="4"/>
  <c r="C46" i="4"/>
  <c r="J43" i="4"/>
  <c r="I43" i="4"/>
  <c r="G43" i="4"/>
  <c r="F43" i="4"/>
  <c r="D43" i="4"/>
  <c r="C43" i="4"/>
  <c r="J40" i="4"/>
  <c r="I40" i="4"/>
  <c r="G40" i="4"/>
  <c r="F40" i="4"/>
  <c r="D40" i="4"/>
  <c r="C40" i="4"/>
  <c r="J37" i="4"/>
  <c r="I37" i="4"/>
  <c r="G37" i="4"/>
  <c r="F37" i="4"/>
  <c r="D37" i="4"/>
  <c r="C37" i="4"/>
  <c r="J34" i="4"/>
  <c r="I34" i="4"/>
  <c r="G34" i="4"/>
  <c r="F34" i="4"/>
  <c r="D34" i="4"/>
  <c r="C34" i="4"/>
  <c r="J31" i="4"/>
  <c r="I31" i="4"/>
  <c r="G31" i="4"/>
  <c r="F31" i="4"/>
  <c r="D31" i="4"/>
  <c r="C31" i="4"/>
  <c r="J28" i="4"/>
  <c r="I28" i="4"/>
  <c r="G28" i="4"/>
  <c r="F28" i="4"/>
  <c r="D28" i="4"/>
  <c r="C28" i="4"/>
  <c r="J25" i="4"/>
  <c r="I25" i="4"/>
  <c r="G25" i="4"/>
  <c r="F25" i="4"/>
  <c r="D25" i="4"/>
  <c r="C25" i="4"/>
  <c r="J22" i="4"/>
  <c r="I22" i="4"/>
  <c r="G22" i="4"/>
  <c r="F22" i="4"/>
  <c r="D22" i="4"/>
  <c r="C22" i="4"/>
  <c r="J19" i="4"/>
  <c r="I19" i="4"/>
  <c r="G19" i="4"/>
  <c r="F19" i="4"/>
  <c r="D19" i="4"/>
  <c r="C19" i="4"/>
  <c r="J16" i="4"/>
  <c r="I16" i="4"/>
  <c r="G16" i="4"/>
  <c r="F16" i="4"/>
  <c r="D16" i="4"/>
  <c r="C16" i="4"/>
  <c r="J13" i="4"/>
  <c r="I13" i="4"/>
  <c r="G13" i="4"/>
  <c r="F13" i="4"/>
  <c r="D13" i="4"/>
  <c r="C13" i="4"/>
  <c r="J10" i="4"/>
  <c r="I10" i="4"/>
  <c r="G10" i="4"/>
  <c r="F10" i="4"/>
  <c r="D10" i="4"/>
  <c r="C10" i="4"/>
  <c r="C7" i="4"/>
  <c r="C49" i="4" s="1"/>
  <c r="D7" i="4"/>
  <c r="D49" i="4" s="1"/>
  <c r="F7" i="4"/>
  <c r="F49" i="4" s="1"/>
  <c r="G7" i="4"/>
  <c r="G49" i="4" s="1"/>
  <c r="I7" i="4"/>
  <c r="I49" i="4" s="1"/>
  <c r="J7" i="4"/>
  <c r="J49" i="4" s="1"/>
  <c r="C35" i="5"/>
  <c r="D35" i="5"/>
  <c r="F35" i="5"/>
  <c r="G35" i="5"/>
  <c r="I35" i="5"/>
  <c r="C36" i="5"/>
  <c r="D36" i="5"/>
  <c r="F36" i="5"/>
  <c r="G36" i="5"/>
  <c r="I36" i="5"/>
  <c r="J36" i="5"/>
  <c r="J34" i="5"/>
  <c r="I34" i="5"/>
  <c r="G34" i="5"/>
  <c r="F34" i="5"/>
  <c r="D34" i="5"/>
  <c r="C34" i="5"/>
  <c r="J31" i="5"/>
  <c r="I31" i="5"/>
  <c r="G31" i="5"/>
  <c r="F31" i="5"/>
  <c r="D31" i="5"/>
  <c r="C31" i="5"/>
  <c r="J28" i="5"/>
  <c r="I28" i="5"/>
  <c r="G28" i="5"/>
  <c r="F28" i="5"/>
  <c r="D28" i="5"/>
  <c r="C28" i="5"/>
  <c r="J25" i="5"/>
  <c r="I25" i="5"/>
  <c r="G25" i="5"/>
  <c r="F25" i="5"/>
  <c r="D25" i="5"/>
  <c r="C25" i="5"/>
  <c r="J22" i="5"/>
  <c r="I22" i="5"/>
  <c r="G22" i="5"/>
  <c r="F22" i="5"/>
  <c r="D22" i="5"/>
  <c r="C22" i="5"/>
  <c r="J19" i="5"/>
  <c r="I19" i="5"/>
  <c r="G19" i="5"/>
  <c r="F19" i="5"/>
  <c r="D19" i="5"/>
  <c r="C19" i="5"/>
  <c r="J16" i="5"/>
  <c r="I16" i="5"/>
  <c r="G16" i="5"/>
  <c r="F16" i="5"/>
  <c r="D16" i="5"/>
  <c r="C16" i="5"/>
  <c r="J13" i="5"/>
  <c r="I13" i="5"/>
  <c r="G13" i="5"/>
  <c r="F13" i="5"/>
  <c r="D13" i="5"/>
  <c r="C13" i="5"/>
  <c r="J10" i="5"/>
  <c r="I10" i="5"/>
  <c r="G10" i="5"/>
  <c r="F10" i="5"/>
  <c r="D10" i="5"/>
  <c r="C10" i="5"/>
  <c r="C7" i="5"/>
  <c r="C37" i="5" s="1"/>
  <c r="D7" i="5"/>
  <c r="F7" i="5"/>
  <c r="F37" i="5" s="1"/>
  <c r="G7" i="5"/>
  <c r="G37" i="5" s="1"/>
  <c r="I7" i="5"/>
  <c r="I37" i="5" s="1"/>
  <c r="J7" i="5"/>
  <c r="J37" i="5" s="1"/>
  <c r="D37" i="5" l="1"/>
  <c r="H73" i="4"/>
  <c r="H61" i="4"/>
  <c r="J106" i="4"/>
  <c r="E67" i="4"/>
  <c r="H64" i="4"/>
  <c r="E73" i="4"/>
  <c r="I106" i="4"/>
  <c r="G106" i="4"/>
  <c r="F106" i="4"/>
  <c r="J105" i="4"/>
  <c r="G105" i="4"/>
  <c r="I104" i="4"/>
  <c r="F104" i="4"/>
  <c r="J104" i="4"/>
  <c r="I105" i="4"/>
  <c r="F105" i="4"/>
  <c r="G104" i="4"/>
  <c r="C105" i="4"/>
  <c r="C104" i="4"/>
  <c r="C106" i="4"/>
  <c r="D76" i="4"/>
  <c r="B61" i="4"/>
  <c r="B64" i="4"/>
  <c r="B67" i="4"/>
  <c r="D106" i="4"/>
  <c r="D104" i="4"/>
  <c r="D105" i="4"/>
  <c r="E64" i="4"/>
  <c r="E61" i="4"/>
  <c r="B33" i="5" l="1"/>
  <c r="B32" i="5"/>
  <c r="B30" i="5"/>
  <c r="B29" i="5"/>
  <c r="B31" i="5" s="1"/>
  <c r="B27" i="5"/>
  <c r="B26" i="5"/>
  <c r="B28" i="5" s="1"/>
  <c r="B24" i="5"/>
  <c r="B23" i="5"/>
  <c r="B25" i="5" s="1"/>
  <c r="B21" i="5"/>
  <c r="B20" i="5"/>
  <c r="B22" i="5" s="1"/>
  <c r="B18" i="5"/>
  <c r="B17" i="5"/>
  <c r="B19" i="5" s="1"/>
  <c r="B15" i="5"/>
  <c r="B14" i="5"/>
  <c r="B16" i="5" s="1"/>
  <c r="B12" i="5"/>
  <c r="B11" i="5"/>
  <c r="B13" i="5" s="1"/>
  <c r="B9" i="5"/>
  <c r="B8" i="5"/>
  <c r="B10" i="5" s="1"/>
  <c r="B6" i="5"/>
  <c r="B36" i="5" s="1"/>
  <c r="B5" i="5"/>
  <c r="E33" i="5"/>
  <c r="E32" i="5"/>
  <c r="E34" i="5" s="1"/>
  <c r="E30" i="5"/>
  <c r="E29" i="5"/>
  <c r="E31" i="5" s="1"/>
  <c r="E27" i="5"/>
  <c r="E26" i="5"/>
  <c r="E28" i="5" s="1"/>
  <c r="E24" i="5"/>
  <c r="E23" i="5"/>
  <c r="E25" i="5" s="1"/>
  <c r="E21" i="5"/>
  <c r="E20" i="5"/>
  <c r="E22" i="5" s="1"/>
  <c r="E18" i="5"/>
  <c r="E17" i="5"/>
  <c r="E19" i="5" s="1"/>
  <c r="E15" i="5"/>
  <c r="E14" i="5"/>
  <c r="E16" i="5" s="1"/>
  <c r="E12" i="5"/>
  <c r="E11" i="5"/>
  <c r="E13" i="5" s="1"/>
  <c r="E9" i="5"/>
  <c r="E8" i="5"/>
  <c r="E10" i="5" s="1"/>
  <c r="E6" i="5"/>
  <c r="E36" i="5" s="1"/>
  <c r="E5" i="5"/>
  <c r="H6" i="5"/>
  <c r="H8" i="5"/>
  <c r="H10" i="5" s="1"/>
  <c r="H9" i="5"/>
  <c r="H11" i="5"/>
  <c r="H13" i="5" s="1"/>
  <c r="H12" i="5"/>
  <c r="H14" i="5"/>
  <c r="H16" i="5" s="1"/>
  <c r="H15" i="5"/>
  <c r="H17" i="5"/>
  <c r="H19" i="5" s="1"/>
  <c r="H18" i="5"/>
  <c r="H20" i="5"/>
  <c r="H22" i="5" s="1"/>
  <c r="H21" i="5"/>
  <c r="H23" i="5"/>
  <c r="H25" i="5" s="1"/>
  <c r="H24" i="5"/>
  <c r="H26" i="5"/>
  <c r="H28" i="5" s="1"/>
  <c r="H27" i="5"/>
  <c r="H29" i="5"/>
  <c r="H31" i="5" s="1"/>
  <c r="H30" i="5"/>
  <c r="H32" i="5"/>
  <c r="H34" i="5" s="1"/>
  <c r="H33" i="5"/>
  <c r="H5" i="5"/>
  <c r="E35" i="5" l="1"/>
  <c r="E7" i="5"/>
  <c r="E37" i="5" s="1"/>
  <c r="H36" i="5"/>
  <c r="H35" i="5"/>
  <c r="H7" i="5"/>
  <c r="H37" i="5" s="1"/>
  <c r="B7" i="5"/>
  <c r="B35" i="5"/>
  <c r="B34" i="5"/>
  <c r="C26" i="6"/>
  <c r="D26" i="6"/>
  <c r="F26" i="6"/>
  <c r="G26" i="6"/>
  <c r="I26" i="6"/>
  <c r="C27" i="6"/>
  <c r="D27" i="6"/>
  <c r="F27" i="6"/>
  <c r="G27" i="6"/>
  <c r="I27" i="6"/>
  <c r="J27" i="6"/>
  <c r="J26" i="6"/>
  <c r="J25" i="6"/>
  <c r="I25" i="6"/>
  <c r="G25" i="6"/>
  <c r="F25" i="6"/>
  <c r="D25" i="6"/>
  <c r="C25" i="6"/>
  <c r="J22" i="6"/>
  <c r="I22" i="6"/>
  <c r="G22" i="6"/>
  <c r="F22" i="6"/>
  <c r="D22" i="6"/>
  <c r="C22" i="6"/>
  <c r="J19" i="6"/>
  <c r="I19" i="6"/>
  <c r="G19" i="6"/>
  <c r="F19" i="6"/>
  <c r="D19" i="6"/>
  <c r="C19" i="6"/>
  <c r="J16" i="6"/>
  <c r="I16" i="6"/>
  <c r="G16" i="6"/>
  <c r="F16" i="6"/>
  <c r="D16" i="6"/>
  <c r="C16" i="6"/>
  <c r="J13" i="6"/>
  <c r="I13" i="6"/>
  <c r="G13" i="6"/>
  <c r="F13" i="6"/>
  <c r="D13" i="6"/>
  <c r="C13" i="6"/>
  <c r="J10" i="6"/>
  <c r="I10" i="6"/>
  <c r="G10" i="6"/>
  <c r="F10" i="6"/>
  <c r="D10" i="6"/>
  <c r="C10" i="6"/>
  <c r="C7" i="6"/>
  <c r="D7" i="6"/>
  <c r="F7" i="6"/>
  <c r="G7" i="6"/>
  <c r="I7" i="6"/>
  <c r="J7" i="6"/>
  <c r="B24" i="6"/>
  <c r="B23" i="6"/>
  <c r="B25" i="6" s="1"/>
  <c r="B21" i="6"/>
  <c r="B20" i="6"/>
  <c r="B18" i="6"/>
  <c r="B17" i="6"/>
  <c r="B19" i="6" s="1"/>
  <c r="B15" i="6"/>
  <c r="B14" i="6"/>
  <c r="B12" i="6"/>
  <c r="B11" i="6"/>
  <c r="B13" i="6" s="1"/>
  <c r="B9" i="6"/>
  <c r="B8" i="6"/>
  <c r="B6" i="6"/>
  <c r="B27" i="6" s="1"/>
  <c r="B5" i="6"/>
  <c r="B26" i="6" s="1"/>
  <c r="E24" i="6"/>
  <c r="E23" i="6"/>
  <c r="E25" i="6" s="1"/>
  <c r="E21" i="6"/>
  <c r="E20" i="6"/>
  <c r="E18" i="6"/>
  <c r="E17" i="6"/>
  <c r="E15" i="6"/>
  <c r="E14" i="6"/>
  <c r="E12" i="6"/>
  <c r="E11" i="6"/>
  <c r="E13" i="6" s="1"/>
  <c r="E9" i="6"/>
  <c r="E8" i="6"/>
  <c r="E6" i="6"/>
  <c r="E27" i="6" s="1"/>
  <c r="E5" i="6"/>
  <c r="E26" i="6" s="1"/>
  <c r="H6" i="6"/>
  <c r="H8" i="6"/>
  <c r="H9" i="6"/>
  <c r="H11" i="6"/>
  <c r="H12" i="6"/>
  <c r="H14" i="6"/>
  <c r="H15" i="6"/>
  <c r="H17" i="6"/>
  <c r="H18" i="6"/>
  <c r="H20" i="6"/>
  <c r="H21" i="6"/>
  <c r="H23" i="6"/>
  <c r="H25" i="6" s="1"/>
  <c r="H24" i="6"/>
  <c r="H5" i="6"/>
  <c r="B5" i="4"/>
  <c r="E5" i="4"/>
  <c r="H5" i="4"/>
  <c r="B6" i="4"/>
  <c r="E6" i="4"/>
  <c r="H6" i="4"/>
  <c r="B8" i="4"/>
  <c r="E8" i="4"/>
  <c r="H8" i="4"/>
  <c r="B9" i="4"/>
  <c r="E9" i="4"/>
  <c r="H9" i="4"/>
  <c r="B11" i="4"/>
  <c r="E11" i="4"/>
  <c r="H11" i="4"/>
  <c r="B12" i="4"/>
  <c r="E12" i="4"/>
  <c r="H12" i="4"/>
  <c r="B14" i="4"/>
  <c r="E14" i="4"/>
  <c r="H14" i="4"/>
  <c r="B15" i="4"/>
  <c r="E15" i="4"/>
  <c r="H15" i="4"/>
  <c r="B17" i="4"/>
  <c r="E17" i="4"/>
  <c r="H17" i="4"/>
  <c r="B18" i="4"/>
  <c r="E18" i="4"/>
  <c r="H18" i="4"/>
  <c r="B20" i="4"/>
  <c r="E20" i="4"/>
  <c r="H20" i="4"/>
  <c r="B21" i="4"/>
  <c r="E21" i="4"/>
  <c r="H21" i="4"/>
  <c r="B23" i="4"/>
  <c r="E23" i="4"/>
  <c r="H23" i="4"/>
  <c r="B24" i="4"/>
  <c r="E24" i="4"/>
  <c r="H24" i="4"/>
  <c r="B26" i="4"/>
  <c r="E26" i="4"/>
  <c r="H26" i="4"/>
  <c r="B27" i="4"/>
  <c r="E27" i="4"/>
  <c r="H27" i="4"/>
  <c r="B29" i="4"/>
  <c r="E29" i="4"/>
  <c r="H29" i="4"/>
  <c r="B30" i="4"/>
  <c r="E30" i="4"/>
  <c r="H30" i="4"/>
  <c r="B32" i="4"/>
  <c r="E32" i="4"/>
  <c r="H32" i="4"/>
  <c r="B33" i="4"/>
  <c r="E33" i="4"/>
  <c r="H33" i="4"/>
  <c r="B35" i="4"/>
  <c r="E35" i="4"/>
  <c r="H35" i="4"/>
  <c r="B36" i="4"/>
  <c r="E36" i="4"/>
  <c r="H36" i="4"/>
  <c r="B38" i="4"/>
  <c r="E38" i="4"/>
  <c r="H38" i="4"/>
  <c r="B39" i="4"/>
  <c r="E39" i="4"/>
  <c r="H39" i="4"/>
  <c r="B41" i="4"/>
  <c r="E41" i="4"/>
  <c r="H41" i="4"/>
  <c r="B42" i="4"/>
  <c r="E42" i="4"/>
  <c r="H42" i="4"/>
  <c r="B44" i="4"/>
  <c r="E44" i="4"/>
  <c r="H44" i="4"/>
  <c r="B45" i="4"/>
  <c r="E45" i="4"/>
  <c r="H45" i="4"/>
  <c r="B50" i="4"/>
  <c r="E50" i="4"/>
  <c r="H50" i="4"/>
  <c r="B51" i="4"/>
  <c r="E51" i="4"/>
  <c r="H51" i="4"/>
  <c r="B53" i="4"/>
  <c r="E53" i="4"/>
  <c r="H53" i="4"/>
  <c r="B54" i="4"/>
  <c r="E54" i="4"/>
  <c r="H54" i="4"/>
  <c r="B56" i="4"/>
  <c r="E56" i="4"/>
  <c r="H56" i="4"/>
  <c r="B57" i="4"/>
  <c r="E57" i="4"/>
  <c r="H57" i="4"/>
  <c r="B77" i="4"/>
  <c r="E77" i="4"/>
  <c r="H77" i="4"/>
  <c r="B78" i="4"/>
  <c r="E78" i="4"/>
  <c r="H78" i="4"/>
  <c r="B80" i="4"/>
  <c r="E80" i="4"/>
  <c r="H80" i="4"/>
  <c r="B81" i="4"/>
  <c r="E81" i="4"/>
  <c r="H81" i="4"/>
  <c r="B83" i="4"/>
  <c r="E83" i="4"/>
  <c r="H83" i="4"/>
  <c r="B84" i="4"/>
  <c r="E84" i="4"/>
  <c r="H84" i="4"/>
  <c r="B86" i="4"/>
  <c r="E86" i="4"/>
  <c r="H86" i="4"/>
  <c r="B87" i="4"/>
  <c r="E87" i="4"/>
  <c r="H87" i="4"/>
  <c r="B89" i="4"/>
  <c r="E89" i="4"/>
  <c r="H89" i="4"/>
  <c r="B90" i="4"/>
  <c r="E90" i="4"/>
  <c r="H90" i="4"/>
  <c r="B95" i="4"/>
  <c r="E95" i="4"/>
  <c r="H95" i="4"/>
  <c r="B96" i="4"/>
  <c r="E96" i="4"/>
  <c r="H96" i="4"/>
  <c r="B98" i="4"/>
  <c r="E98" i="4"/>
  <c r="H98" i="4"/>
  <c r="B99" i="4"/>
  <c r="E99" i="4"/>
  <c r="H99" i="4"/>
  <c r="H91" i="4" l="1"/>
  <c r="H85" i="4"/>
  <c r="B82" i="4"/>
  <c r="H58" i="4"/>
  <c r="H46" i="4"/>
  <c r="B46" i="4"/>
  <c r="H43" i="4"/>
  <c r="B43" i="4"/>
  <c r="B40" i="4"/>
  <c r="H37" i="4"/>
  <c r="B34" i="4"/>
  <c r="B31" i="4"/>
  <c r="B37" i="5"/>
  <c r="H48" i="4"/>
  <c r="B48" i="4"/>
  <c r="E47" i="4"/>
  <c r="E48" i="4"/>
  <c r="H47" i="4"/>
  <c r="B47" i="4"/>
  <c r="B22" i="4"/>
  <c r="H55" i="4"/>
  <c r="H88" i="4"/>
  <c r="H25" i="4"/>
  <c r="H28" i="4"/>
  <c r="H22" i="4"/>
  <c r="H100" i="4"/>
  <c r="H82" i="4"/>
  <c r="H40" i="4"/>
  <c r="H34" i="4"/>
  <c r="H31" i="4"/>
  <c r="H19" i="4"/>
  <c r="H16" i="4"/>
  <c r="H13" i="4"/>
  <c r="B100" i="4"/>
  <c r="B88" i="4"/>
  <c r="B37" i="4"/>
  <c r="B28" i="4"/>
  <c r="B25" i="4"/>
  <c r="B19" i="4"/>
  <c r="H52" i="4"/>
  <c r="H76" i="4" s="1"/>
  <c r="H74" i="4"/>
  <c r="H75" i="4"/>
  <c r="E74" i="4"/>
  <c r="E75" i="4"/>
  <c r="B52" i="4"/>
  <c r="B91" i="4"/>
  <c r="B75" i="4"/>
  <c r="B58" i="4"/>
  <c r="B85" i="4"/>
  <c r="B55" i="4"/>
  <c r="B74" i="4"/>
  <c r="B16" i="4"/>
  <c r="B13" i="4"/>
  <c r="H10" i="4"/>
  <c r="B10" i="4"/>
  <c r="B101" i="4"/>
  <c r="B97" i="4"/>
  <c r="B103" i="4" s="1"/>
  <c r="E101" i="4"/>
  <c r="E97" i="4"/>
  <c r="E92" i="4"/>
  <c r="E79" i="4"/>
  <c r="E7" i="4"/>
  <c r="E102" i="4"/>
  <c r="E100" i="4"/>
  <c r="H102" i="4"/>
  <c r="B102" i="4"/>
  <c r="E91" i="4"/>
  <c r="E88" i="4"/>
  <c r="E85" i="4"/>
  <c r="E82" i="4"/>
  <c r="H93" i="4"/>
  <c r="B93" i="4"/>
  <c r="E58" i="4"/>
  <c r="E55" i="4"/>
  <c r="E52" i="4"/>
  <c r="E46" i="4"/>
  <c r="E43" i="4"/>
  <c r="E40" i="4"/>
  <c r="E37" i="4"/>
  <c r="E34" i="4"/>
  <c r="E31" i="4"/>
  <c r="E28" i="4"/>
  <c r="E25" i="4"/>
  <c r="E22" i="4"/>
  <c r="E19" i="4"/>
  <c r="E16" i="4"/>
  <c r="E13" i="4"/>
  <c r="E10" i="4"/>
  <c r="H101" i="4"/>
  <c r="H97" i="4"/>
  <c r="H103" i="4" s="1"/>
  <c r="H92" i="4"/>
  <c r="H79" i="4"/>
  <c r="H94" i="4" s="1"/>
  <c r="B92" i="4"/>
  <c r="B79" i="4"/>
  <c r="B94" i="4" s="1"/>
  <c r="H7" i="4"/>
  <c r="H49" i="4" s="1"/>
  <c r="B7" i="4"/>
  <c r="B49" i="4" s="1"/>
  <c r="E93" i="4"/>
  <c r="C28" i="6"/>
  <c r="B22" i="6"/>
  <c r="B16" i="6"/>
  <c r="B10" i="6"/>
  <c r="D28" i="6"/>
  <c r="B7" i="6"/>
  <c r="E19" i="6"/>
  <c r="E10" i="6"/>
  <c r="F28" i="6"/>
  <c r="E22" i="6"/>
  <c r="E16" i="6"/>
  <c r="G28" i="6"/>
  <c r="E7" i="6"/>
  <c r="H22" i="6"/>
  <c r="H16" i="6"/>
  <c r="H13" i="6"/>
  <c r="I28" i="6"/>
  <c r="H7" i="6"/>
  <c r="H19" i="6"/>
  <c r="H27" i="6"/>
  <c r="H10" i="6"/>
  <c r="J28" i="6"/>
  <c r="H26" i="6"/>
  <c r="E49" i="4" l="1"/>
  <c r="E76" i="4"/>
  <c r="H104" i="4"/>
  <c r="H105" i="4"/>
  <c r="H106" i="4"/>
  <c r="E105" i="4"/>
  <c r="E104" i="4"/>
  <c r="B76" i="4"/>
  <c r="B104" i="4"/>
  <c r="B105" i="4"/>
  <c r="E94" i="4"/>
  <c r="E103" i="4"/>
  <c r="B28" i="6"/>
  <c r="E28" i="6"/>
  <c r="H28" i="6"/>
  <c r="J35" i="5"/>
  <c r="D127" i="8"/>
  <c r="E127" i="8"/>
  <c r="F127" i="8"/>
  <c r="G127" i="8"/>
  <c r="D128" i="8"/>
  <c r="E128" i="8"/>
  <c r="F128" i="8"/>
  <c r="G128" i="8"/>
  <c r="H128" i="8"/>
  <c r="E7" i="10"/>
  <c r="E106" i="4" l="1"/>
  <c r="B106" i="4"/>
  <c r="C31" i="7"/>
  <c r="D31" i="7"/>
  <c r="E31" i="7"/>
  <c r="F31" i="7"/>
  <c r="C32" i="7"/>
  <c r="D32" i="7"/>
  <c r="E32" i="7"/>
  <c r="F32" i="7"/>
  <c r="G32" i="7"/>
  <c r="G31" i="7"/>
  <c r="G30" i="7"/>
  <c r="F30" i="7"/>
  <c r="E30" i="7"/>
  <c r="D30" i="7"/>
  <c r="C30" i="7"/>
  <c r="G27" i="7"/>
  <c r="F27" i="7"/>
  <c r="E27" i="7"/>
  <c r="D27" i="7"/>
  <c r="C27" i="7"/>
  <c r="G24" i="7"/>
  <c r="F24" i="7"/>
  <c r="E24" i="7"/>
  <c r="D24" i="7"/>
  <c r="C24" i="7"/>
  <c r="G21" i="7"/>
  <c r="F21" i="7"/>
  <c r="E21" i="7"/>
  <c r="D21" i="7"/>
  <c r="C21" i="7"/>
  <c r="G18" i="7"/>
  <c r="F18" i="7"/>
  <c r="E18" i="7"/>
  <c r="D18" i="7"/>
  <c r="C18" i="7"/>
  <c r="G15" i="7"/>
  <c r="F15" i="7"/>
  <c r="E15" i="7"/>
  <c r="D15" i="7"/>
  <c r="C15" i="7"/>
  <c r="G12" i="7"/>
  <c r="F12" i="7"/>
  <c r="E12" i="7"/>
  <c r="D12" i="7"/>
  <c r="C12" i="7"/>
  <c r="G9" i="7"/>
  <c r="F9" i="7"/>
  <c r="E9" i="7"/>
  <c r="D9" i="7"/>
  <c r="C9" i="7"/>
  <c r="C6" i="7"/>
  <c r="D6" i="7"/>
  <c r="E6" i="7"/>
  <c r="E33" i="7" s="1"/>
  <c r="F6" i="7"/>
  <c r="F33" i="7" s="1"/>
  <c r="G6" i="7"/>
  <c r="G33" i="7" s="1"/>
  <c r="C33" i="7" l="1"/>
  <c r="D33" i="7"/>
  <c r="H126" i="8"/>
  <c r="G126" i="8"/>
  <c r="F126" i="8"/>
  <c r="E126" i="8"/>
  <c r="D126" i="8"/>
  <c r="H123" i="8"/>
  <c r="G123" i="8"/>
  <c r="F123" i="8"/>
  <c r="E123" i="8"/>
  <c r="D123" i="8"/>
  <c r="H120" i="8"/>
  <c r="G120" i="8"/>
  <c r="F120" i="8"/>
  <c r="E120" i="8"/>
  <c r="D120" i="8"/>
  <c r="H117" i="8"/>
  <c r="G117" i="8"/>
  <c r="F117" i="8"/>
  <c r="E117" i="8"/>
  <c r="D117" i="8"/>
  <c r="H114" i="8"/>
  <c r="G114" i="8"/>
  <c r="F114" i="8"/>
  <c r="E114" i="8"/>
  <c r="D114" i="8"/>
  <c r="H111" i="8"/>
  <c r="G111" i="8"/>
  <c r="F111" i="8"/>
  <c r="E111" i="8"/>
  <c r="D111" i="8"/>
  <c r="H108" i="8"/>
  <c r="G108" i="8"/>
  <c r="F108" i="8"/>
  <c r="E108" i="8"/>
  <c r="D108" i="8"/>
  <c r="H105" i="8"/>
  <c r="G105" i="8"/>
  <c r="F105" i="8"/>
  <c r="E105" i="8"/>
  <c r="D105" i="8"/>
  <c r="H102" i="8"/>
  <c r="G102" i="8"/>
  <c r="F102" i="8"/>
  <c r="E102" i="8"/>
  <c r="D102" i="8"/>
  <c r="H99" i="8"/>
  <c r="G99" i="8"/>
  <c r="F99" i="8"/>
  <c r="E99" i="8"/>
  <c r="D99" i="8"/>
  <c r="H96" i="8"/>
  <c r="G96" i="8"/>
  <c r="F96" i="8"/>
  <c r="E96" i="8"/>
  <c r="D96" i="8"/>
  <c r="H93" i="8"/>
  <c r="G93" i="8"/>
  <c r="F93" i="8"/>
  <c r="E93" i="8"/>
  <c r="D93" i="8"/>
  <c r="H90" i="8"/>
  <c r="G90" i="8"/>
  <c r="F90" i="8"/>
  <c r="E90" i="8"/>
  <c r="D90" i="8"/>
  <c r="H87" i="8"/>
  <c r="G87" i="8"/>
  <c r="F87" i="8"/>
  <c r="E87" i="8"/>
  <c r="D87" i="8"/>
  <c r="H84" i="8"/>
  <c r="G84" i="8"/>
  <c r="F84" i="8"/>
  <c r="E84" i="8"/>
  <c r="D84" i="8"/>
  <c r="H81" i="8"/>
  <c r="G81" i="8"/>
  <c r="F81" i="8"/>
  <c r="E81" i="8"/>
  <c r="D81" i="8"/>
  <c r="H78" i="8"/>
  <c r="G78" i="8"/>
  <c r="F78" i="8"/>
  <c r="E78" i="8"/>
  <c r="D78" i="8"/>
  <c r="H75" i="8"/>
  <c r="G75" i="8"/>
  <c r="F75" i="8"/>
  <c r="E75" i="8"/>
  <c r="D75" i="8"/>
  <c r="H72" i="8"/>
  <c r="G72" i="8"/>
  <c r="F72" i="8"/>
  <c r="E72" i="8"/>
  <c r="D72" i="8"/>
  <c r="H69" i="8"/>
  <c r="G69" i="8"/>
  <c r="F69" i="8"/>
  <c r="E69" i="8"/>
  <c r="D69" i="8"/>
  <c r="H66" i="8"/>
  <c r="G66" i="8"/>
  <c r="F66" i="8"/>
  <c r="E66" i="8"/>
  <c r="D66" i="8"/>
  <c r="H63" i="8"/>
  <c r="G63" i="8"/>
  <c r="F63" i="8"/>
  <c r="E63" i="8"/>
  <c r="D63" i="8"/>
  <c r="H60" i="8"/>
  <c r="G60" i="8"/>
  <c r="F60" i="8"/>
  <c r="E60" i="8"/>
  <c r="D60" i="8"/>
  <c r="H57" i="8"/>
  <c r="G57" i="8"/>
  <c r="F57" i="8"/>
  <c r="E57" i="8"/>
  <c r="D57" i="8"/>
  <c r="H54" i="8"/>
  <c r="G54" i="8"/>
  <c r="F54" i="8"/>
  <c r="E54" i="8"/>
  <c r="D54" i="8"/>
  <c r="H51" i="8"/>
  <c r="G51" i="8"/>
  <c r="F51" i="8"/>
  <c r="E51" i="8"/>
  <c r="D51" i="8"/>
  <c r="H48" i="8"/>
  <c r="G48" i="8"/>
  <c r="F48" i="8"/>
  <c r="E48" i="8"/>
  <c r="D48" i="8"/>
  <c r="H45" i="8"/>
  <c r="G45" i="8"/>
  <c r="F45" i="8"/>
  <c r="E45" i="8"/>
  <c r="D45" i="8"/>
  <c r="H42" i="8"/>
  <c r="G42" i="8"/>
  <c r="F42" i="8"/>
  <c r="E42" i="8"/>
  <c r="D42" i="8"/>
  <c r="H39" i="8"/>
  <c r="G39" i="8"/>
  <c r="F39" i="8"/>
  <c r="E39" i="8"/>
  <c r="D39" i="8"/>
  <c r="H36" i="8"/>
  <c r="G36" i="8"/>
  <c r="F36" i="8"/>
  <c r="E36" i="8"/>
  <c r="D36" i="8"/>
  <c r="H33" i="8"/>
  <c r="G33" i="8"/>
  <c r="F33" i="8"/>
  <c r="E33" i="8"/>
  <c r="D33" i="8"/>
  <c r="H30" i="8"/>
  <c r="G30" i="8"/>
  <c r="F30" i="8"/>
  <c r="E30" i="8"/>
  <c r="D30" i="8"/>
  <c r="H27" i="8"/>
  <c r="G27" i="8"/>
  <c r="F27" i="8"/>
  <c r="E27" i="8"/>
  <c r="D27" i="8"/>
  <c r="H24" i="8"/>
  <c r="G24" i="8"/>
  <c r="F24" i="8"/>
  <c r="E24" i="8"/>
  <c r="D24" i="8"/>
  <c r="H21" i="8"/>
  <c r="G21" i="8"/>
  <c r="F21" i="8"/>
  <c r="E21" i="8"/>
  <c r="D21" i="8"/>
  <c r="H18" i="8"/>
  <c r="G18" i="8"/>
  <c r="F18" i="8"/>
  <c r="E18" i="8"/>
  <c r="D18" i="8"/>
  <c r="H15" i="8"/>
  <c r="G15" i="8"/>
  <c r="F15" i="8"/>
  <c r="E15" i="8"/>
  <c r="D15" i="8"/>
  <c r="H12" i="8"/>
  <c r="G12" i="8"/>
  <c r="F12" i="8"/>
  <c r="E12" i="8"/>
  <c r="D12" i="8"/>
  <c r="H9" i="8"/>
  <c r="G9" i="8"/>
  <c r="F9" i="8"/>
  <c r="E9" i="8"/>
  <c r="D9" i="8"/>
  <c r="D6" i="8"/>
  <c r="E6" i="8"/>
  <c r="E129" i="8" s="1"/>
  <c r="F6" i="8"/>
  <c r="G6" i="8"/>
  <c r="G129" i="8" s="1"/>
  <c r="H127" i="8"/>
  <c r="F129" i="8" l="1"/>
  <c r="D129" i="8"/>
  <c r="H6" i="8"/>
  <c r="H129" i="8" s="1"/>
  <c r="C70" i="9"/>
  <c r="D70" i="9"/>
  <c r="E70" i="9"/>
  <c r="F70" i="9"/>
  <c r="C71" i="9"/>
  <c r="D71" i="9"/>
  <c r="E71" i="9"/>
  <c r="F71" i="9"/>
  <c r="G71" i="9"/>
  <c r="G70" i="9"/>
  <c r="G69" i="9"/>
  <c r="F69" i="9"/>
  <c r="E69" i="9"/>
  <c r="D69" i="9"/>
  <c r="C69" i="9"/>
  <c r="G66" i="9"/>
  <c r="F66" i="9"/>
  <c r="E66" i="9"/>
  <c r="D66" i="9"/>
  <c r="C66" i="9"/>
  <c r="G63" i="9"/>
  <c r="F63" i="9"/>
  <c r="E63" i="9"/>
  <c r="D63" i="9"/>
  <c r="C63" i="9"/>
  <c r="C60" i="9"/>
  <c r="D60" i="9"/>
  <c r="E60" i="9"/>
  <c r="F60" i="9"/>
  <c r="G60" i="9" l="1"/>
  <c r="G57" i="9"/>
  <c r="F57" i="9"/>
  <c r="E57" i="9"/>
  <c r="D57" i="9"/>
  <c r="C57" i="9"/>
  <c r="G54" i="9"/>
  <c r="F54" i="9"/>
  <c r="E54" i="9"/>
  <c r="D54" i="9"/>
  <c r="C54" i="9"/>
  <c r="G51" i="9"/>
  <c r="F51" i="9"/>
  <c r="E51" i="9"/>
  <c r="D51" i="9"/>
  <c r="C51" i="9"/>
  <c r="G48" i="9"/>
  <c r="F48" i="9"/>
  <c r="E48" i="9"/>
  <c r="D48" i="9"/>
  <c r="C48" i="9"/>
  <c r="G45" i="9"/>
  <c r="F45" i="9"/>
  <c r="E45" i="9"/>
  <c r="D45" i="9"/>
  <c r="C45" i="9"/>
  <c r="G42" i="9"/>
  <c r="F42" i="9"/>
  <c r="E42" i="9"/>
  <c r="D42" i="9"/>
  <c r="C42" i="9"/>
  <c r="G39" i="9"/>
  <c r="F39" i="9"/>
  <c r="E39" i="9"/>
  <c r="D39" i="9"/>
  <c r="C39" i="9"/>
  <c r="G36" i="9"/>
  <c r="F36" i="9"/>
  <c r="E36" i="9"/>
  <c r="D36" i="9"/>
  <c r="C36" i="9"/>
  <c r="G33" i="9"/>
  <c r="F33" i="9"/>
  <c r="E33" i="9"/>
  <c r="D33" i="9"/>
  <c r="C33" i="9"/>
  <c r="G30" i="9"/>
  <c r="F30" i="9"/>
  <c r="E30" i="9"/>
  <c r="D30" i="9"/>
  <c r="C30" i="9"/>
  <c r="G27" i="9"/>
  <c r="F27" i="9"/>
  <c r="E27" i="9"/>
  <c r="D27" i="9"/>
  <c r="C27" i="9"/>
  <c r="G24" i="9"/>
  <c r="F24" i="9"/>
  <c r="E24" i="9"/>
  <c r="D24" i="9"/>
  <c r="C24" i="9"/>
  <c r="G21" i="9"/>
  <c r="F21" i="9"/>
  <c r="E21" i="9"/>
  <c r="D21" i="9"/>
  <c r="C21" i="9"/>
  <c r="G18" i="9"/>
  <c r="F18" i="9"/>
  <c r="E18" i="9"/>
  <c r="D18" i="9"/>
  <c r="C18" i="9"/>
  <c r="G15" i="9"/>
  <c r="F15" i="9"/>
  <c r="E15" i="9"/>
  <c r="D15" i="9"/>
  <c r="C15" i="9"/>
  <c r="G12" i="9"/>
  <c r="F12" i="9"/>
  <c r="E12" i="9"/>
  <c r="D12" i="9"/>
  <c r="C12" i="9"/>
  <c r="G9" i="9"/>
  <c r="F9" i="9"/>
  <c r="E9" i="9"/>
  <c r="D9" i="9"/>
  <c r="C9" i="9"/>
  <c r="C6" i="9"/>
  <c r="D6" i="9"/>
  <c r="E6" i="9"/>
  <c r="F6" i="9"/>
  <c r="G6" i="9"/>
  <c r="J80" i="10"/>
  <c r="J65" i="10"/>
  <c r="J86" i="10" s="1"/>
  <c r="D80" i="10"/>
  <c r="E80" i="10"/>
  <c r="G80" i="10"/>
  <c r="D81" i="10"/>
  <c r="E81" i="10"/>
  <c r="G81" i="10"/>
  <c r="H81" i="10"/>
  <c r="H80" i="10"/>
  <c r="D65" i="10"/>
  <c r="E65" i="10"/>
  <c r="G65" i="10"/>
  <c r="D66" i="10"/>
  <c r="E66" i="10"/>
  <c r="G66" i="10"/>
  <c r="H66" i="10"/>
  <c r="H65" i="10"/>
  <c r="D86" i="10"/>
  <c r="E86" i="10"/>
  <c r="G86" i="10"/>
  <c r="D87" i="10"/>
  <c r="E87" i="10"/>
  <c r="G87" i="10"/>
  <c r="H87" i="10"/>
  <c r="H85" i="10"/>
  <c r="G85" i="10"/>
  <c r="E85" i="10"/>
  <c r="D85" i="10"/>
  <c r="H79" i="10"/>
  <c r="G79" i="10"/>
  <c r="E79" i="10"/>
  <c r="D79" i="10"/>
  <c r="C78" i="10"/>
  <c r="F78" i="10"/>
  <c r="H76" i="10"/>
  <c r="G76" i="10"/>
  <c r="E76" i="10"/>
  <c r="D76" i="10"/>
  <c r="H73" i="10"/>
  <c r="G73" i="10"/>
  <c r="E73" i="10"/>
  <c r="D73" i="10"/>
  <c r="H70" i="10"/>
  <c r="H82" i="10" s="1"/>
  <c r="G70" i="10"/>
  <c r="G82" i="10" s="1"/>
  <c r="E70" i="10"/>
  <c r="E82" i="10" s="1"/>
  <c r="D70" i="10"/>
  <c r="D82" i="10" s="1"/>
  <c r="H64" i="10"/>
  <c r="G64" i="10"/>
  <c r="E64" i="10"/>
  <c r="D64" i="10"/>
  <c r="H61" i="10"/>
  <c r="G61" i="10"/>
  <c r="E61" i="10"/>
  <c r="D61" i="10"/>
  <c r="H58" i="10"/>
  <c r="G58" i="10"/>
  <c r="E58" i="10"/>
  <c r="D58" i="10"/>
  <c r="H55" i="10"/>
  <c r="G55" i="10"/>
  <c r="E55" i="10"/>
  <c r="D55" i="10"/>
  <c r="H52" i="10"/>
  <c r="G52" i="10"/>
  <c r="E52" i="10"/>
  <c r="D52" i="10"/>
  <c r="H49" i="10"/>
  <c r="G49" i="10"/>
  <c r="E49" i="10"/>
  <c r="D49" i="10"/>
  <c r="H46" i="10"/>
  <c r="G46" i="10"/>
  <c r="E46" i="10"/>
  <c r="D46" i="10"/>
  <c r="H43" i="10"/>
  <c r="G43" i="10"/>
  <c r="E43" i="10"/>
  <c r="D43" i="10"/>
  <c r="H40" i="10"/>
  <c r="G40" i="10"/>
  <c r="E40" i="10"/>
  <c r="D40" i="10"/>
  <c r="C41" i="10"/>
  <c r="F41" i="10"/>
  <c r="H37" i="10"/>
  <c r="G37" i="10"/>
  <c r="E37" i="10"/>
  <c r="D37" i="10"/>
  <c r="H34" i="10"/>
  <c r="G34" i="10"/>
  <c r="E34" i="10"/>
  <c r="D34" i="10"/>
  <c r="H31" i="10"/>
  <c r="G31" i="10"/>
  <c r="E31" i="10"/>
  <c r="D31" i="10"/>
  <c r="H28" i="10"/>
  <c r="G28" i="10"/>
  <c r="E28" i="10"/>
  <c r="D28" i="10"/>
  <c r="H25" i="10"/>
  <c r="G25" i="10"/>
  <c r="E25" i="10"/>
  <c r="D25" i="10"/>
  <c r="H22" i="10"/>
  <c r="G22" i="10"/>
  <c r="E22" i="10"/>
  <c r="D22" i="10"/>
  <c r="H19" i="10"/>
  <c r="G19" i="10"/>
  <c r="E19" i="10"/>
  <c r="D19" i="10"/>
  <c r="H16" i="10"/>
  <c r="G16" i="10"/>
  <c r="E16" i="10"/>
  <c r="D16" i="10"/>
  <c r="H13" i="10"/>
  <c r="G13" i="10"/>
  <c r="E13" i="10"/>
  <c r="D13" i="10"/>
  <c r="H10" i="10"/>
  <c r="G10" i="10"/>
  <c r="E10" i="10"/>
  <c r="E67" i="10" s="1"/>
  <c r="E88" i="10" s="1"/>
  <c r="D10" i="10"/>
  <c r="D7" i="10"/>
  <c r="G7" i="10"/>
  <c r="H7" i="10"/>
  <c r="C84" i="10"/>
  <c r="C83" i="10"/>
  <c r="C85" i="10" s="1"/>
  <c r="C77" i="10"/>
  <c r="C79" i="10" s="1"/>
  <c r="C75" i="10"/>
  <c r="C74" i="10"/>
  <c r="C72" i="10"/>
  <c r="C71" i="10"/>
  <c r="C69" i="10"/>
  <c r="C81" i="10" s="1"/>
  <c r="C68" i="10"/>
  <c r="C80" i="10" s="1"/>
  <c r="C63" i="10"/>
  <c r="C62" i="10"/>
  <c r="C60" i="10"/>
  <c r="C59" i="10"/>
  <c r="C57" i="10"/>
  <c r="C56" i="10"/>
  <c r="C54" i="10"/>
  <c r="C53" i="10"/>
  <c r="C51" i="10"/>
  <c r="C50" i="10"/>
  <c r="C48" i="10"/>
  <c r="C47" i="10"/>
  <c r="C45" i="10"/>
  <c r="C44" i="10"/>
  <c r="C42" i="10"/>
  <c r="C43" i="10" s="1"/>
  <c r="C39" i="10"/>
  <c r="C38" i="10"/>
  <c r="C40" i="10" s="1"/>
  <c r="C36" i="10"/>
  <c r="C35" i="10"/>
  <c r="C37" i="10" s="1"/>
  <c r="C33" i="10"/>
  <c r="C32" i="10"/>
  <c r="C34" i="10" s="1"/>
  <c r="C30" i="10"/>
  <c r="C29" i="10"/>
  <c r="C31" i="10" s="1"/>
  <c r="C27" i="10"/>
  <c r="C26" i="10"/>
  <c r="C28" i="10" s="1"/>
  <c r="C24" i="10"/>
  <c r="C23" i="10"/>
  <c r="C25" i="10" s="1"/>
  <c r="C21" i="10"/>
  <c r="C20" i="10"/>
  <c r="C22" i="10" s="1"/>
  <c r="C18" i="10"/>
  <c r="C17" i="10"/>
  <c r="C19" i="10" s="1"/>
  <c r="C15" i="10"/>
  <c r="C14" i="10"/>
  <c r="C16" i="10" s="1"/>
  <c r="C12" i="10"/>
  <c r="C11" i="10"/>
  <c r="C13" i="10" s="1"/>
  <c r="C9" i="10"/>
  <c r="C8" i="10"/>
  <c r="C10" i="10" s="1"/>
  <c r="C6" i="10"/>
  <c r="C5" i="10"/>
  <c r="F6" i="10"/>
  <c r="F8" i="10"/>
  <c r="F9" i="10"/>
  <c r="F11" i="10"/>
  <c r="F12" i="10"/>
  <c r="F14" i="10"/>
  <c r="F15" i="10"/>
  <c r="F17" i="10"/>
  <c r="F18" i="10"/>
  <c r="F20" i="10"/>
  <c r="F21" i="10"/>
  <c r="F23" i="10"/>
  <c r="F24" i="10"/>
  <c r="F26" i="10"/>
  <c r="F27" i="10"/>
  <c r="F29" i="10"/>
  <c r="F30" i="10"/>
  <c r="F32" i="10"/>
  <c r="F34" i="10" s="1"/>
  <c r="F33" i="10"/>
  <c r="F35" i="10"/>
  <c r="F36" i="10"/>
  <c r="F38" i="10"/>
  <c r="F39" i="10"/>
  <c r="F42" i="10"/>
  <c r="F44" i="10"/>
  <c r="F45" i="10"/>
  <c r="F47" i="10"/>
  <c r="F48" i="10"/>
  <c r="F50" i="10"/>
  <c r="F51" i="10"/>
  <c r="F53" i="10"/>
  <c r="F54" i="10"/>
  <c r="F56" i="10"/>
  <c r="F57" i="10"/>
  <c r="F59" i="10"/>
  <c r="F60" i="10"/>
  <c r="F62" i="10"/>
  <c r="F63" i="10"/>
  <c r="F68" i="10"/>
  <c r="F69" i="10"/>
  <c r="F71" i="10"/>
  <c r="F72" i="10"/>
  <c r="F74" i="10"/>
  <c r="F75" i="10"/>
  <c r="F77" i="10"/>
  <c r="F79" i="10" s="1"/>
  <c r="F83" i="10"/>
  <c r="F84" i="10"/>
  <c r="F5" i="10"/>
  <c r="D66" i="12"/>
  <c r="D65" i="12"/>
  <c r="D63" i="12"/>
  <c r="D62" i="12"/>
  <c r="D47" i="12"/>
  <c r="D39" i="12"/>
  <c r="D38" i="12"/>
  <c r="D36" i="12"/>
  <c r="D35" i="12"/>
  <c r="D30" i="12"/>
  <c r="D29" i="12"/>
  <c r="D27" i="12"/>
  <c r="D26" i="12"/>
  <c r="D24" i="12"/>
  <c r="D23" i="12"/>
  <c r="D21" i="12"/>
  <c r="D20" i="12"/>
  <c r="D15" i="12"/>
  <c r="D14" i="12"/>
  <c r="D11" i="12"/>
  <c r="D9" i="12"/>
  <c r="D8" i="12"/>
  <c r="D5" i="12"/>
  <c r="H42" i="12"/>
  <c r="H75" i="12"/>
  <c r="H74" i="12"/>
  <c r="H66" i="12"/>
  <c r="H65" i="12"/>
  <c r="H63" i="12"/>
  <c r="H62" i="12"/>
  <c r="H56" i="12"/>
  <c r="H54" i="12"/>
  <c r="H53" i="12"/>
  <c r="H47" i="12"/>
  <c r="H44" i="12"/>
  <c r="H41" i="12"/>
  <c r="H38" i="12"/>
  <c r="H36" i="12"/>
  <c r="H35" i="12"/>
  <c r="H30" i="12"/>
  <c r="H29" i="12"/>
  <c r="H27" i="12"/>
  <c r="H26" i="12"/>
  <c r="H24" i="12"/>
  <c r="H23" i="12"/>
  <c r="H21" i="12"/>
  <c r="H20" i="12"/>
  <c r="H15" i="12"/>
  <c r="H14" i="12"/>
  <c r="H9" i="12"/>
  <c r="H78" i="12" s="1"/>
  <c r="H8" i="12"/>
  <c r="L75" i="12"/>
  <c r="L74" i="12"/>
  <c r="L63" i="12"/>
  <c r="L66" i="12"/>
  <c r="L65" i="12"/>
  <c r="L53" i="12"/>
  <c r="L41" i="12"/>
  <c r="L38" i="12"/>
  <c r="L39" i="12"/>
  <c r="L36" i="12"/>
  <c r="L35" i="12"/>
  <c r="L29" i="12"/>
  <c r="L26" i="12"/>
  <c r="L24" i="12"/>
  <c r="L23" i="12"/>
  <c r="L21" i="12"/>
  <c r="L20" i="12"/>
  <c r="L15" i="12"/>
  <c r="L14" i="12"/>
  <c r="L9" i="12"/>
  <c r="L8" i="12"/>
  <c r="D77" i="12"/>
  <c r="E77" i="12"/>
  <c r="F77" i="12"/>
  <c r="I77" i="12"/>
  <c r="J77" i="12"/>
  <c r="M77" i="12"/>
  <c r="D78" i="12"/>
  <c r="E78" i="12"/>
  <c r="F78" i="12"/>
  <c r="I78" i="12"/>
  <c r="J78" i="12"/>
  <c r="M78" i="12"/>
  <c r="N78" i="12"/>
  <c r="N76" i="12"/>
  <c r="M76" i="12"/>
  <c r="L76" i="12"/>
  <c r="J76" i="12"/>
  <c r="I76" i="12"/>
  <c r="H76" i="12"/>
  <c r="F76" i="12"/>
  <c r="E76" i="12"/>
  <c r="D76" i="12"/>
  <c r="N73" i="12"/>
  <c r="M73" i="12"/>
  <c r="L73" i="12"/>
  <c r="J73" i="12"/>
  <c r="I73" i="12"/>
  <c r="H73" i="12"/>
  <c r="F73" i="12"/>
  <c r="E73" i="12"/>
  <c r="D73" i="12"/>
  <c r="N70" i="12"/>
  <c r="M70" i="12"/>
  <c r="L70" i="12"/>
  <c r="J70" i="12"/>
  <c r="I70" i="12"/>
  <c r="H70" i="12"/>
  <c r="F70" i="12"/>
  <c r="E70" i="12"/>
  <c r="D70" i="12"/>
  <c r="N67" i="12"/>
  <c r="M67" i="12"/>
  <c r="L67" i="12"/>
  <c r="J67" i="12"/>
  <c r="I67" i="12"/>
  <c r="H67" i="12"/>
  <c r="F67" i="12"/>
  <c r="E67" i="12"/>
  <c r="D67" i="12"/>
  <c r="N64" i="12"/>
  <c r="M64" i="12"/>
  <c r="L64" i="12"/>
  <c r="J64" i="12"/>
  <c r="I64" i="12"/>
  <c r="H64" i="12"/>
  <c r="F64" i="12"/>
  <c r="E64" i="12"/>
  <c r="D64" i="12"/>
  <c r="D61" i="12"/>
  <c r="E61" i="12"/>
  <c r="F61" i="12"/>
  <c r="H61" i="12"/>
  <c r="I61" i="12"/>
  <c r="J61" i="12"/>
  <c r="L61" i="12"/>
  <c r="M61" i="12"/>
  <c r="C76" i="10" l="1"/>
  <c r="C73" i="10"/>
  <c r="C64" i="10"/>
  <c r="C61" i="10"/>
  <c r="C58" i="10"/>
  <c r="C55" i="10"/>
  <c r="C52" i="10"/>
  <c r="C49" i="10"/>
  <c r="C65" i="10"/>
  <c r="C86" i="10" s="1"/>
  <c r="C46" i="10"/>
  <c r="C66" i="10"/>
  <c r="C87" i="10" s="1"/>
  <c r="D67" i="10"/>
  <c r="D88" i="10" s="1"/>
  <c r="F85" i="10"/>
  <c r="F76" i="10"/>
  <c r="F73" i="10"/>
  <c r="F81" i="10"/>
  <c r="F80" i="10"/>
  <c r="F64" i="10"/>
  <c r="F61" i="10"/>
  <c r="F58" i="10"/>
  <c r="F55" i="10"/>
  <c r="F52" i="10"/>
  <c r="F49" i="10"/>
  <c r="F46" i="10"/>
  <c r="F65" i="10"/>
  <c r="F86" i="10" s="1"/>
  <c r="F43" i="10"/>
  <c r="F40" i="10"/>
  <c r="F37" i="10"/>
  <c r="F31" i="10"/>
  <c r="F28" i="10"/>
  <c r="F25" i="10"/>
  <c r="F22" i="10"/>
  <c r="F19" i="10"/>
  <c r="F16" i="10"/>
  <c r="F13" i="10"/>
  <c r="G67" i="10"/>
  <c r="G88" i="10" s="1"/>
  <c r="F66" i="10"/>
  <c r="F10" i="10"/>
  <c r="H67" i="10"/>
  <c r="H88" i="10" s="1"/>
  <c r="C7" i="10"/>
  <c r="C70" i="10"/>
  <c r="F7" i="10"/>
  <c r="F70" i="10"/>
  <c r="L78" i="12"/>
  <c r="D72" i="9"/>
  <c r="C72" i="9"/>
  <c r="E72" i="9"/>
  <c r="G72" i="9"/>
  <c r="F72" i="9"/>
  <c r="H77" i="12"/>
  <c r="L77" i="12"/>
  <c r="N61" i="12"/>
  <c r="N58" i="12"/>
  <c r="M58" i="12"/>
  <c r="L58" i="12"/>
  <c r="J58" i="12"/>
  <c r="I58" i="12"/>
  <c r="H58" i="12"/>
  <c r="F58" i="12"/>
  <c r="E58" i="12"/>
  <c r="D58" i="12"/>
  <c r="N55" i="12"/>
  <c r="M55" i="12"/>
  <c r="L55" i="12"/>
  <c r="J55" i="12"/>
  <c r="I55" i="12"/>
  <c r="H55" i="12"/>
  <c r="F55" i="12"/>
  <c r="E55" i="12"/>
  <c r="D55" i="12"/>
  <c r="N52" i="12"/>
  <c r="M52" i="12"/>
  <c r="L52" i="12"/>
  <c r="J52" i="12"/>
  <c r="I52" i="12"/>
  <c r="H52" i="12"/>
  <c r="F52" i="12"/>
  <c r="E52" i="12"/>
  <c r="D52" i="12"/>
  <c r="N49" i="12"/>
  <c r="M49" i="12"/>
  <c r="L49" i="12"/>
  <c r="J49" i="12"/>
  <c r="I49" i="12"/>
  <c r="H49" i="12"/>
  <c r="F49" i="12"/>
  <c r="E49" i="12"/>
  <c r="D49" i="12"/>
  <c r="N46" i="12"/>
  <c r="M46" i="12"/>
  <c r="L46" i="12"/>
  <c r="J46" i="12"/>
  <c r="I46" i="12"/>
  <c r="H46" i="12"/>
  <c r="F46" i="12"/>
  <c r="E46" i="12"/>
  <c r="D46" i="12"/>
  <c r="N43" i="12"/>
  <c r="M43" i="12"/>
  <c r="L43" i="12"/>
  <c r="J43" i="12"/>
  <c r="I43" i="12"/>
  <c r="H43" i="12"/>
  <c r="F43" i="12"/>
  <c r="E43" i="12"/>
  <c r="D43" i="12"/>
  <c r="N40" i="12"/>
  <c r="M40" i="12"/>
  <c r="L40" i="12"/>
  <c r="J40" i="12"/>
  <c r="I40" i="12"/>
  <c r="H40" i="12"/>
  <c r="F40" i="12"/>
  <c r="E40" i="12"/>
  <c r="D40" i="12"/>
  <c r="N37" i="12"/>
  <c r="M37" i="12"/>
  <c r="L37" i="12"/>
  <c r="J37" i="12"/>
  <c r="I37" i="12"/>
  <c r="H37" i="12"/>
  <c r="F37" i="12"/>
  <c r="E37" i="12"/>
  <c r="D37" i="12"/>
  <c r="N34" i="12"/>
  <c r="M34" i="12"/>
  <c r="L34" i="12"/>
  <c r="J34" i="12"/>
  <c r="I34" i="12"/>
  <c r="H34" i="12"/>
  <c r="F34" i="12"/>
  <c r="E34" i="12"/>
  <c r="D34" i="12"/>
  <c r="N31" i="12"/>
  <c r="M31" i="12"/>
  <c r="L31" i="12"/>
  <c r="J31" i="12"/>
  <c r="I31" i="12"/>
  <c r="H31" i="12"/>
  <c r="F31" i="12"/>
  <c r="E31" i="12"/>
  <c r="D31" i="12"/>
  <c r="N28" i="12"/>
  <c r="M28" i="12"/>
  <c r="L28" i="12"/>
  <c r="J28" i="12"/>
  <c r="I28" i="12"/>
  <c r="H28" i="12"/>
  <c r="F28" i="12"/>
  <c r="E28" i="12"/>
  <c r="D28" i="12"/>
  <c r="N25" i="12"/>
  <c r="M25" i="12"/>
  <c r="L25" i="12"/>
  <c r="J25" i="12"/>
  <c r="I25" i="12"/>
  <c r="H25" i="12"/>
  <c r="F25" i="12"/>
  <c r="E25" i="12"/>
  <c r="D25" i="12"/>
  <c r="N22" i="12"/>
  <c r="M22" i="12"/>
  <c r="L22" i="12"/>
  <c r="J22" i="12"/>
  <c r="I22" i="12"/>
  <c r="H22" i="12"/>
  <c r="F22" i="12"/>
  <c r="E22" i="12"/>
  <c r="D22" i="12"/>
  <c r="N19" i="12"/>
  <c r="M19" i="12"/>
  <c r="L19" i="12"/>
  <c r="J19" i="12"/>
  <c r="I19" i="12"/>
  <c r="H19" i="12"/>
  <c r="F19" i="12"/>
  <c r="E19" i="12"/>
  <c r="D19" i="12"/>
  <c r="N16" i="12"/>
  <c r="M16" i="12"/>
  <c r="L16" i="12"/>
  <c r="J16" i="12"/>
  <c r="I16" i="12"/>
  <c r="H16" i="12"/>
  <c r="F16" i="12"/>
  <c r="E16" i="12"/>
  <c r="D16" i="12"/>
  <c r="N13" i="12"/>
  <c r="M13" i="12"/>
  <c r="L13" i="12"/>
  <c r="J13" i="12"/>
  <c r="I13" i="12"/>
  <c r="H13" i="12"/>
  <c r="F13" i="12"/>
  <c r="E13" i="12"/>
  <c r="D13" i="12"/>
  <c r="N10" i="12"/>
  <c r="M10" i="12"/>
  <c r="L10" i="12"/>
  <c r="J10" i="12"/>
  <c r="I10" i="12"/>
  <c r="H10" i="12"/>
  <c r="F10" i="12"/>
  <c r="E10" i="12"/>
  <c r="D10" i="12"/>
  <c r="D7" i="12"/>
  <c r="E7" i="12"/>
  <c r="F7" i="12"/>
  <c r="H7" i="12"/>
  <c r="I7" i="12"/>
  <c r="J7" i="12"/>
  <c r="L7" i="12"/>
  <c r="M7" i="12"/>
  <c r="N7" i="12"/>
  <c r="C75" i="12"/>
  <c r="C74" i="12"/>
  <c r="C72" i="12"/>
  <c r="C71" i="12"/>
  <c r="C69" i="12"/>
  <c r="C68" i="12"/>
  <c r="C66" i="12"/>
  <c r="C65" i="12"/>
  <c r="C63" i="12"/>
  <c r="C62" i="12"/>
  <c r="C60" i="12"/>
  <c r="C59" i="12"/>
  <c r="C57" i="12"/>
  <c r="C56" i="12"/>
  <c r="C54" i="12"/>
  <c r="C53" i="12"/>
  <c r="C51" i="12"/>
  <c r="C50" i="12"/>
  <c r="C48" i="12"/>
  <c r="C47" i="12"/>
  <c r="C45" i="12"/>
  <c r="C44" i="12"/>
  <c r="C42" i="12"/>
  <c r="C41" i="12"/>
  <c r="C39" i="12"/>
  <c r="C38" i="12"/>
  <c r="C36" i="12"/>
  <c r="C35" i="12"/>
  <c r="C33" i="12"/>
  <c r="C32" i="12"/>
  <c r="C30" i="12"/>
  <c r="C29" i="12"/>
  <c r="C27" i="12"/>
  <c r="C26" i="12"/>
  <c r="C24" i="12"/>
  <c r="C23" i="12"/>
  <c r="C21" i="12"/>
  <c r="C20" i="12"/>
  <c r="C18" i="12"/>
  <c r="C17" i="12"/>
  <c r="C15" i="12"/>
  <c r="C14" i="12"/>
  <c r="C12" i="12"/>
  <c r="C11" i="12"/>
  <c r="C9" i="12"/>
  <c r="C8" i="12"/>
  <c r="C6" i="12"/>
  <c r="C78" i="12" s="1"/>
  <c r="C5" i="12"/>
  <c r="C77" i="12" s="1"/>
  <c r="G75" i="12"/>
  <c r="G74" i="12"/>
  <c r="G72" i="12"/>
  <c r="G71" i="12"/>
  <c r="G69" i="12"/>
  <c r="G68" i="12"/>
  <c r="G66" i="12"/>
  <c r="G65" i="12"/>
  <c r="G63" i="12"/>
  <c r="G62" i="12"/>
  <c r="G60" i="12"/>
  <c r="G59" i="12"/>
  <c r="G57" i="12"/>
  <c r="G56" i="12"/>
  <c r="G54" i="12"/>
  <c r="G53" i="12"/>
  <c r="G51" i="12"/>
  <c r="G50" i="12"/>
  <c r="G48" i="12"/>
  <c r="G47" i="12"/>
  <c r="G45" i="12"/>
  <c r="G44" i="12"/>
  <c r="G42" i="12"/>
  <c r="G41" i="12"/>
  <c r="G39" i="12"/>
  <c r="G38" i="12"/>
  <c r="G36" i="12"/>
  <c r="G35" i="12"/>
  <c r="G33" i="12"/>
  <c r="G32" i="12"/>
  <c r="G30" i="12"/>
  <c r="G29" i="12"/>
  <c r="G27" i="12"/>
  <c r="G26" i="12"/>
  <c r="G24" i="12"/>
  <c r="G23" i="12"/>
  <c r="G21" i="12"/>
  <c r="G20" i="12"/>
  <c r="G18" i="12"/>
  <c r="G17" i="12"/>
  <c r="G15" i="12"/>
  <c r="G14" i="12"/>
  <c r="G12" i="12"/>
  <c r="G11" i="12"/>
  <c r="G9" i="12"/>
  <c r="G8" i="12"/>
  <c r="G6" i="12"/>
  <c r="G78" i="12" s="1"/>
  <c r="G5" i="12"/>
  <c r="G77" i="12" s="1"/>
  <c r="K6" i="12"/>
  <c r="K8" i="12"/>
  <c r="K9" i="12"/>
  <c r="K11" i="12"/>
  <c r="K12" i="12"/>
  <c r="K14" i="12"/>
  <c r="K15" i="12"/>
  <c r="K17" i="12"/>
  <c r="K18" i="12"/>
  <c r="K20" i="12"/>
  <c r="K21" i="12"/>
  <c r="K23" i="12"/>
  <c r="K24" i="12"/>
  <c r="K26" i="12"/>
  <c r="K27" i="12"/>
  <c r="K29" i="12"/>
  <c r="K30" i="12"/>
  <c r="K32" i="12"/>
  <c r="K33" i="12"/>
  <c r="K35" i="12"/>
  <c r="K36" i="12"/>
  <c r="K38" i="12"/>
  <c r="K39" i="12"/>
  <c r="K41" i="12"/>
  <c r="K42" i="12"/>
  <c r="K44" i="12"/>
  <c r="K45" i="12"/>
  <c r="K47" i="12"/>
  <c r="K48" i="12"/>
  <c r="K50" i="12"/>
  <c r="K51" i="12"/>
  <c r="K53" i="12"/>
  <c r="K54" i="12"/>
  <c r="K56" i="12"/>
  <c r="K57" i="12"/>
  <c r="K59" i="12"/>
  <c r="K60" i="12"/>
  <c r="K62" i="12"/>
  <c r="K63" i="12"/>
  <c r="K65" i="12"/>
  <c r="K66" i="12"/>
  <c r="K68" i="12"/>
  <c r="K69" i="12"/>
  <c r="K71" i="12"/>
  <c r="K72" i="12"/>
  <c r="K74" i="12"/>
  <c r="K75" i="12"/>
  <c r="K5" i="12"/>
  <c r="K7" i="12" s="1"/>
  <c r="C82" i="10" l="1"/>
  <c r="C67" i="10"/>
  <c r="F82" i="10"/>
  <c r="F87" i="10"/>
  <c r="F67" i="10"/>
  <c r="F88" i="10" s="1"/>
  <c r="N79" i="12"/>
  <c r="C10" i="12"/>
  <c r="M79" i="12"/>
  <c r="D79" i="12"/>
  <c r="C58" i="12"/>
  <c r="C52" i="12"/>
  <c r="C46" i="12"/>
  <c r="C40" i="12"/>
  <c r="C28" i="12"/>
  <c r="E79" i="12"/>
  <c r="C76" i="12"/>
  <c r="C73" i="12"/>
  <c r="C70" i="12"/>
  <c r="C67" i="12"/>
  <c r="C64" i="12"/>
  <c r="C61" i="12"/>
  <c r="C55" i="12"/>
  <c r="C49" i="12"/>
  <c r="C43" i="12"/>
  <c r="C37" i="12"/>
  <c r="C34" i="12"/>
  <c r="C31" i="12"/>
  <c r="C25" i="12"/>
  <c r="C22" i="12"/>
  <c r="C19" i="12"/>
  <c r="C16" i="12"/>
  <c r="C13" i="12"/>
  <c r="F79" i="12"/>
  <c r="C7" i="12"/>
  <c r="H79" i="12"/>
  <c r="I79" i="12"/>
  <c r="G76" i="12"/>
  <c r="G73" i="12"/>
  <c r="G70" i="12"/>
  <c r="G67" i="12"/>
  <c r="G64" i="12"/>
  <c r="G61" i="12"/>
  <c r="G58" i="12"/>
  <c r="G55" i="12"/>
  <c r="G52" i="12"/>
  <c r="G49" i="12"/>
  <c r="G46" i="12"/>
  <c r="G43" i="12"/>
  <c r="G40" i="12"/>
  <c r="G37" i="12"/>
  <c r="G34" i="12"/>
  <c r="G31" i="12"/>
  <c r="G28" i="12"/>
  <c r="G25" i="12"/>
  <c r="G22" i="12"/>
  <c r="G19" i="12"/>
  <c r="G16" i="12"/>
  <c r="G13" i="12"/>
  <c r="J79" i="12"/>
  <c r="G10" i="12"/>
  <c r="G7" i="12"/>
  <c r="K76" i="12"/>
  <c r="K73" i="12"/>
  <c r="K70" i="12"/>
  <c r="K64" i="12"/>
  <c r="K61" i="12"/>
  <c r="K78" i="12"/>
  <c r="L79" i="12"/>
  <c r="K77" i="12"/>
  <c r="K67" i="12"/>
  <c r="K52" i="12"/>
  <c r="K40" i="12"/>
  <c r="K58" i="12"/>
  <c r="K55" i="12"/>
  <c r="K49" i="12"/>
  <c r="K46" i="12"/>
  <c r="K43" i="12"/>
  <c r="K37" i="12"/>
  <c r="K34" i="12"/>
  <c r="K31" i="12"/>
  <c r="K28" i="12"/>
  <c r="K25" i="12"/>
  <c r="K22" i="12"/>
  <c r="K19" i="12"/>
  <c r="K16" i="12"/>
  <c r="K13" i="12"/>
  <c r="K10" i="12"/>
  <c r="C88" i="10" l="1"/>
  <c r="C79" i="12"/>
  <c r="G79" i="12"/>
  <c r="K79" i="12"/>
  <c r="G80" i="13"/>
  <c r="H80" i="13"/>
  <c r="I80" i="13"/>
  <c r="K80" i="13"/>
  <c r="L80" i="13"/>
  <c r="M80" i="13"/>
  <c r="O80" i="13"/>
  <c r="P80" i="13"/>
  <c r="G81" i="13"/>
  <c r="H81" i="13"/>
  <c r="I81" i="13"/>
  <c r="K81" i="13"/>
  <c r="L81" i="13"/>
  <c r="M81" i="13"/>
  <c r="O81" i="13"/>
  <c r="P81" i="13"/>
  <c r="Q81" i="13"/>
  <c r="Q80" i="13"/>
  <c r="G65" i="13"/>
  <c r="H65" i="13"/>
  <c r="I65" i="13"/>
  <c r="K65" i="13"/>
  <c r="L65" i="13"/>
  <c r="M65" i="13"/>
  <c r="O65" i="13"/>
  <c r="P65" i="13"/>
  <c r="G66" i="13"/>
  <c r="H66" i="13"/>
  <c r="I66" i="13"/>
  <c r="K66" i="13"/>
  <c r="L66" i="13"/>
  <c r="M66" i="13"/>
  <c r="O66" i="13"/>
  <c r="P66" i="13"/>
  <c r="Q66" i="13"/>
  <c r="Q65" i="13"/>
  <c r="Q85" i="13"/>
  <c r="P85" i="13"/>
  <c r="O85" i="13"/>
  <c r="M85" i="13"/>
  <c r="L85" i="13"/>
  <c r="K85" i="13"/>
  <c r="I85" i="13"/>
  <c r="H85" i="13"/>
  <c r="G85" i="13"/>
  <c r="Q79" i="13"/>
  <c r="P79" i="13"/>
  <c r="O79" i="13"/>
  <c r="M79" i="13"/>
  <c r="L79" i="13"/>
  <c r="K79" i="13"/>
  <c r="I79" i="13"/>
  <c r="H79" i="13"/>
  <c r="G79" i="13"/>
  <c r="Q76" i="13"/>
  <c r="P76" i="13"/>
  <c r="O76" i="13"/>
  <c r="M76" i="13"/>
  <c r="L76" i="13"/>
  <c r="K76" i="13"/>
  <c r="I76" i="13"/>
  <c r="H76" i="13"/>
  <c r="G76" i="13"/>
  <c r="Q73" i="13"/>
  <c r="P73" i="13"/>
  <c r="O73" i="13"/>
  <c r="M73" i="13"/>
  <c r="L73" i="13"/>
  <c r="K73" i="13"/>
  <c r="I73" i="13"/>
  <c r="H73" i="13"/>
  <c r="G73" i="13"/>
  <c r="Q70" i="13"/>
  <c r="Q82" i="13" s="1"/>
  <c r="P70" i="13"/>
  <c r="O70" i="13"/>
  <c r="M70" i="13"/>
  <c r="L70" i="13"/>
  <c r="L82" i="13" s="1"/>
  <c r="K70" i="13"/>
  <c r="K82" i="13" s="1"/>
  <c r="I70" i="13"/>
  <c r="I82" i="13" s="1"/>
  <c r="H70" i="13"/>
  <c r="G70" i="13"/>
  <c r="Q64" i="13"/>
  <c r="P64" i="13"/>
  <c r="O64" i="13"/>
  <c r="M64" i="13"/>
  <c r="L64" i="13"/>
  <c r="K64" i="13"/>
  <c r="I64" i="13"/>
  <c r="H64" i="13"/>
  <c r="G64" i="13"/>
  <c r="Q61" i="13"/>
  <c r="P61" i="13"/>
  <c r="O61" i="13"/>
  <c r="M61" i="13"/>
  <c r="L61" i="13"/>
  <c r="K61" i="13"/>
  <c r="I61" i="13"/>
  <c r="H61" i="13"/>
  <c r="G61" i="13"/>
  <c r="Q58" i="13"/>
  <c r="P58" i="13"/>
  <c r="O58" i="13"/>
  <c r="M58" i="13"/>
  <c r="L58" i="13"/>
  <c r="K58" i="13"/>
  <c r="I58" i="13"/>
  <c r="H58" i="13"/>
  <c r="G58" i="13"/>
  <c r="Q55" i="13"/>
  <c r="P55" i="13"/>
  <c r="O55" i="13"/>
  <c r="M55" i="13"/>
  <c r="L55" i="13"/>
  <c r="K55" i="13"/>
  <c r="I55" i="13"/>
  <c r="H55" i="13"/>
  <c r="G55" i="13"/>
  <c r="Q52" i="13"/>
  <c r="P52" i="13"/>
  <c r="O52" i="13"/>
  <c r="M52" i="13"/>
  <c r="L52" i="13"/>
  <c r="K52" i="13"/>
  <c r="I52" i="13"/>
  <c r="H52" i="13"/>
  <c r="G52" i="13"/>
  <c r="Q49" i="13"/>
  <c r="P49" i="13"/>
  <c r="O49" i="13"/>
  <c r="M49" i="13"/>
  <c r="L49" i="13"/>
  <c r="K49" i="13"/>
  <c r="I49" i="13"/>
  <c r="H49" i="13"/>
  <c r="G49" i="13"/>
  <c r="Q46" i="13"/>
  <c r="P46" i="13"/>
  <c r="O46" i="13"/>
  <c r="M46" i="13"/>
  <c r="L46" i="13"/>
  <c r="K46" i="13"/>
  <c r="I46" i="13"/>
  <c r="H46" i="13"/>
  <c r="G46" i="13"/>
  <c r="Q43" i="13"/>
  <c r="P43" i="13"/>
  <c r="O43" i="13"/>
  <c r="M43" i="13"/>
  <c r="L43" i="13"/>
  <c r="K43" i="13"/>
  <c r="I43" i="13"/>
  <c r="H43" i="13"/>
  <c r="G43" i="13"/>
  <c r="Q40" i="13"/>
  <c r="P40" i="13"/>
  <c r="O40" i="13"/>
  <c r="M40" i="13"/>
  <c r="L40" i="13"/>
  <c r="K40" i="13"/>
  <c r="I40" i="13"/>
  <c r="H40" i="13"/>
  <c r="G40" i="13"/>
  <c r="Q37" i="13"/>
  <c r="P37" i="13"/>
  <c r="O37" i="13"/>
  <c r="M37" i="13"/>
  <c r="L37" i="13"/>
  <c r="K37" i="13"/>
  <c r="I37" i="13"/>
  <c r="H37" i="13"/>
  <c r="G37" i="13"/>
  <c r="Q34" i="13"/>
  <c r="P34" i="13"/>
  <c r="O34" i="13"/>
  <c r="M34" i="13"/>
  <c r="L34" i="13"/>
  <c r="K34" i="13"/>
  <c r="I34" i="13"/>
  <c r="H34" i="13"/>
  <c r="G34" i="13"/>
  <c r="Q31" i="13"/>
  <c r="P31" i="13"/>
  <c r="O31" i="13"/>
  <c r="M31" i="13"/>
  <c r="L31" i="13"/>
  <c r="K31" i="13"/>
  <c r="I31" i="13"/>
  <c r="H31" i="13"/>
  <c r="G31" i="13"/>
  <c r="Q28" i="13"/>
  <c r="P28" i="13"/>
  <c r="O28" i="13"/>
  <c r="M28" i="13"/>
  <c r="L28" i="13"/>
  <c r="K28" i="13"/>
  <c r="I28" i="13"/>
  <c r="H28" i="13"/>
  <c r="G28" i="13"/>
  <c r="Q25" i="13"/>
  <c r="P25" i="13"/>
  <c r="O25" i="13"/>
  <c r="M25" i="13"/>
  <c r="L25" i="13"/>
  <c r="K25" i="13"/>
  <c r="I25" i="13"/>
  <c r="H25" i="13"/>
  <c r="G25" i="13"/>
  <c r="Q22" i="13"/>
  <c r="P22" i="13"/>
  <c r="O22" i="13"/>
  <c r="M22" i="13"/>
  <c r="L22" i="13"/>
  <c r="K22" i="13"/>
  <c r="I22" i="13"/>
  <c r="H22" i="13"/>
  <c r="G22" i="13"/>
  <c r="Q19" i="13"/>
  <c r="P19" i="13"/>
  <c r="O19" i="13"/>
  <c r="M19" i="13"/>
  <c r="L19" i="13"/>
  <c r="K19" i="13"/>
  <c r="I19" i="13"/>
  <c r="H19" i="13"/>
  <c r="G19" i="13"/>
  <c r="Q16" i="13"/>
  <c r="P16" i="13"/>
  <c r="O16" i="13"/>
  <c r="M16" i="13"/>
  <c r="L16" i="13"/>
  <c r="K16" i="13"/>
  <c r="I16" i="13"/>
  <c r="H16" i="13"/>
  <c r="G16" i="13"/>
  <c r="Q13" i="13"/>
  <c r="P13" i="13"/>
  <c r="O13" i="13"/>
  <c r="M13" i="13"/>
  <c r="L13" i="13"/>
  <c r="K13" i="13"/>
  <c r="I13" i="13"/>
  <c r="H13" i="13"/>
  <c r="G13" i="13"/>
  <c r="Q10" i="13"/>
  <c r="P10" i="13"/>
  <c r="O10" i="13"/>
  <c r="M10" i="13"/>
  <c r="L10" i="13"/>
  <c r="K10" i="13"/>
  <c r="I10" i="13"/>
  <c r="H10" i="13"/>
  <c r="G10" i="13"/>
  <c r="G7" i="13"/>
  <c r="H7" i="13"/>
  <c r="I7" i="13"/>
  <c r="K7" i="13"/>
  <c r="L7" i="13"/>
  <c r="M7" i="13"/>
  <c r="O7" i="13"/>
  <c r="P7" i="13"/>
  <c r="Q7" i="13"/>
  <c r="F84" i="13"/>
  <c r="F83" i="13"/>
  <c r="F78" i="13"/>
  <c r="F77" i="13"/>
  <c r="F75" i="13"/>
  <c r="F74" i="13"/>
  <c r="F72" i="13"/>
  <c r="F71" i="13"/>
  <c r="F69" i="13"/>
  <c r="F81" i="13" s="1"/>
  <c r="F68" i="13"/>
  <c r="F80" i="13" s="1"/>
  <c r="F63" i="13"/>
  <c r="F62" i="13"/>
  <c r="F60" i="13"/>
  <c r="F59" i="13"/>
  <c r="F57" i="13"/>
  <c r="F56" i="13"/>
  <c r="F54" i="13"/>
  <c r="F53" i="13"/>
  <c r="F51" i="13"/>
  <c r="F50" i="13"/>
  <c r="F48" i="13"/>
  <c r="F47" i="13"/>
  <c r="F45" i="13"/>
  <c r="F44" i="13"/>
  <c r="F42" i="13"/>
  <c r="F41" i="13"/>
  <c r="F39" i="13"/>
  <c r="F38" i="13"/>
  <c r="F36" i="13"/>
  <c r="F35" i="13"/>
  <c r="F33" i="13"/>
  <c r="F32" i="13"/>
  <c r="F30" i="13"/>
  <c r="F29" i="13"/>
  <c r="F27" i="13"/>
  <c r="F26" i="13"/>
  <c r="F24" i="13"/>
  <c r="F23" i="13"/>
  <c r="F21" i="13"/>
  <c r="F20" i="13"/>
  <c r="F18" i="13"/>
  <c r="F17" i="13"/>
  <c r="F15" i="13"/>
  <c r="F14" i="13"/>
  <c r="F12" i="13"/>
  <c r="F11" i="13"/>
  <c r="F9" i="13"/>
  <c r="F8" i="13"/>
  <c r="F6" i="13"/>
  <c r="F66" i="13" s="1"/>
  <c r="F5" i="13"/>
  <c r="F65" i="13" s="1"/>
  <c r="J84" i="13"/>
  <c r="J83" i="13"/>
  <c r="J78" i="13"/>
  <c r="J77" i="13"/>
  <c r="J75" i="13"/>
  <c r="J74" i="13"/>
  <c r="J72" i="13"/>
  <c r="J71" i="13"/>
  <c r="J69" i="13"/>
  <c r="J81" i="13" s="1"/>
  <c r="J68" i="13"/>
  <c r="J63" i="13"/>
  <c r="J62" i="13"/>
  <c r="J60" i="13"/>
  <c r="J59" i="13"/>
  <c r="J57" i="13"/>
  <c r="J56" i="13"/>
  <c r="J54" i="13"/>
  <c r="J53" i="13"/>
  <c r="J51" i="13"/>
  <c r="J50" i="13"/>
  <c r="J48" i="13"/>
  <c r="J47" i="13"/>
  <c r="J45" i="13"/>
  <c r="J44" i="13"/>
  <c r="J42" i="13"/>
  <c r="J41" i="13"/>
  <c r="J39" i="13"/>
  <c r="J38" i="13"/>
  <c r="J36" i="13"/>
  <c r="J35" i="13"/>
  <c r="J33" i="13"/>
  <c r="J32" i="13"/>
  <c r="J30" i="13"/>
  <c r="J29" i="13"/>
  <c r="J27" i="13"/>
  <c r="J26" i="13"/>
  <c r="J24" i="13"/>
  <c r="J23" i="13"/>
  <c r="J21" i="13"/>
  <c r="J20" i="13"/>
  <c r="J18" i="13"/>
  <c r="J17" i="13"/>
  <c r="J15" i="13"/>
  <c r="J14" i="13"/>
  <c r="J12" i="13"/>
  <c r="J11" i="13"/>
  <c r="J9" i="13"/>
  <c r="J8" i="13"/>
  <c r="J6" i="13"/>
  <c r="J66" i="13" s="1"/>
  <c r="J5" i="13"/>
  <c r="J65" i="13" s="1"/>
  <c r="N6" i="13"/>
  <c r="N8" i="13"/>
  <c r="N9" i="13"/>
  <c r="N11" i="13"/>
  <c r="N12" i="13"/>
  <c r="N14" i="13"/>
  <c r="N15" i="13"/>
  <c r="N17" i="13"/>
  <c r="N18" i="13"/>
  <c r="N20" i="13"/>
  <c r="N21" i="13"/>
  <c r="N23" i="13"/>
  <c r="N24" i="13"/>
  <c r="N26" i="13"/>
  <c r="N27" i="13"/>
  <c r="N29" i="13"/>
  <c r="N30" i="13"/>
  <c r="N32" i="13"/>
  <c r="N33" i="13"/>
  <c r="N35" i="13"/>
  <c r="N36" i="13"/>
  <c r="N38" i="13"/>
  <c r="N39" i="13"/>
  <c r="N41" i="13"/>
  <c r="N42" i="13"/>
  <c r="N44" i="13"/>
  <c r="N45" i="13"/>
  <c r="N47" i="13"/>
  <c r="N48" i="13"/>
  <c r="N50" i="13"/>
  <c r="N51" i="13"/>
  <c r="N53" i="13"/>
  <c r="N54" i="13"/>
  <c r="N56" i="13"/>
  <c r="N57" i="13"/>
  <c r="N59" i="13"/>
  <c r="N60" i="13"/>
  <c r="N62" i="13"/>
  <c r="N63" i="13"/>
  <c r="N68" i="13"/>
  <c r="N69" i="13"/>
  <c r="N71" i="13"/>
  <c r="N72" i="13"/>
  <c r="N74" i="13"/>
  <c r="N75" i="13"/>
  <c r="N77" i="13"/>
  <c r="N78" i="13"/>
  <c r="N83" i="13"/>
  <c r="N84" i="13"/>
  <c r="N5" i="13"/>
  <c r="N7" i="13" s="1"/>
  <c r="F58" i="13" l="1"/>
  <c r="G82" i="13"/>
  <c r="F43" i="13"/>
  <c r="G67" i="13"/>
  <c r="F73" i="13"/>
  <c r="F79" i="13"/>
  <c r="H82" i="13"/>
  <c r="F40" i="13"/>
  <c r="F64" i="13"/>
  <c r="F52" i="13"/>
  <c r="F46" i="13"/>
  <c r="F34" i="13"/>
  <c r="F22" i="13"/>
  <c r="F16" i="13"/>
  <c r="H67" i="13"/>
  <c r="F76" i="13"/>
  <c r="F70" i="13"/>
  <c r="F85" i="13"/>
  <c r="F61" i="13"/>
  <c r="F55" i="13"/>
  <c r="F49" i="13"/>
  <c r="F37" i="13"/>
  <c r="F31" i="13"/>
  <c r="F28" i="13"/>
  <c r="F25" i="13"/>
  <c r="F19" i="13"/>
  <c r="F13" i="13"/>
  <c r="F10" i="13"/>
  <c r="I67" i="13"/>
  <c r="F7" i="13"/>
  <c r="J79" i="13"/>
  <c r="J76" i="13"/>
  <c r="K67" i="13"/>
  <c r="L67" i="13"/>
  <c r="J73" i="13"/>
  <c r="M82" i="13"/>
  <c r="J70" i="13"/>
  <c r="J80" i="13"/>
  <c r="J85" i="13"/>
  <c r="J40" i="13"/>
  <c r="J64" i="13"/>
  <c r="J61" i="13"/>
  <c r="J58" i="13"/>
  <c r="J55" i="13"/>
  <c r="J52" i="13"/>
  <c r="J46" i="13"/>
  <c r="J43" i="13"/>
  <c r="J49" i="13"/>
  <c r="J37" i="13"/>
  <c r="J34" i="13"/>
  <c r="J31" i="13"/>
  <c r="J28" i="13"/>
  <c r="J25" i="13"/>
  <c r="J22" i="13"/>
  <c r="J19" i="13"/>
  <c r="J16" i="13"/>
  <c r="J13" i="13"/>
  <c r="J10" i="13"/>
  <c r="M67" i="13"/>
  <c r="J7" i="13"/>
  <c r="N85" i="13"/>
  <c r="O82" i="13"/>
  <c r="N37" i="13"/>
  <c r="N31" i="13"/>
  <c r="N25" i="13"/>
  <c r="N19" i="13"/>
  <c r="O67" i="13"/>
  <c r="P82" i="13"/>
  <c r="N79" i="13"/>
  <c r="N64" i="13"/>
  <c r="N58" i="13"/>
  <c r="N52" i="13"/>
  <c r="N46" i="13"/>
  <c r="P67" i="13"/>
  <c r="N10" i="13"/>
  <c r="N73" i="13"/>
  <c r="N81" i="13"/>
  <c r="N76" i="13"/>
  <c r="N80" i="13"/>
  <c r="N70" i="13"/>
  <c r="N40" i="13"/>
  <c r="N61" i="13"/>
  <c r="N55" i="13"/>
  <c r="N43" i="13"/>
  <c r="N49" i="13"/>
  <c r="N34" i="13"/>
  <c r="N28" i="13"/>
  <c r="N22" i="13"/>
  <c r="N16" i="13"/>
  <c r="N66" i="13"/>
  <c r="N13" i="13"/>
  <c r="Q67" i="13"/>
  <c r="N65" i="13"/>
  <c r="F82" i="13" l="1"/>
  <c r="F67" i="13"/>
  <c r="J82" i="13"/>
  <c r="J67" i="13"/>
  <c r="N82" i="13"/>
  <c r="N67" i="13"/>
  <c r="H87" i="13" l="1"/>
  <c r="K87" i="13"/>
  <c r="P87" i="13"/>
  <c r="G86" i="13"/>
  <c r="I86" i="13"/>
  <c r="L86" i="13"/>
  <c r="O86" i="13"/>
  <c r="G87" i="13"/>
  <c r="O87" i="13"/>
  <c r="Q87" i="13"/>
  <c r="H86" i="13"/>
  <c r="K86" i="13"/>
  <c r="M86" i="13"/>
  <c r="P86" i="13"/>
  <c r="I87" i="13"/>
  <c r="L87" i="13"/>
  <c r="M87" i="13" l="1"/>
  <c r="P88" i="13"/>
  <c r="Q88" i="13" l="1"/>
  <c r="Q86" i="13"/>
  <c r="D10" i="14" l="1"/>
  <c r="E10" i="14"/>
  <c r="G10" i="14"/>
  <c r="H10" i="14"/>
  <c r="J10" i="14"/>
  <c r="K21" i="14" l="1"/>
  <c r="J21" i="14"/>
  <c r="H21" i="14"/>
  <c r="G21" i="14"/>
  <c r="E21" i="14"/>
  <c r="D21" i="14"/>
  <c r="K20" i="14"/>
  <c r="J20" i="14"/>
  <c r="H20" i="14"/>
  <c r="G20" i="14"/>
  <c r="E20" i="14"/>
  <c r="D20" i="14"/>
  <c r="K19" i="14"/>
  <c r="J19" i="14"/>
  <c r="H19" i="14"/>
  <c r="G19" i="14"/>
  <c r="E19" i="14"/>
  <c r="D19" i="14"/>
  <c r="I18" i="14"/>
  <c r="F18" i="14"/>
  <c r="C18" i="14"/>
  <c r="I17" i="14"/>
  <c r="F17" i="14"/>
  <c r="C17" i="14"/>
  <c r="K16" i="14"/>
  <c r="J16" i="14"/>
  <c r="H16" i="14"/>
  <c r="G16" i="14"/>
  <c r="E16" i="14"/>
  <c r="D16" i="14"/>
  <c r="I15" i="14"/>
  <c r="F15" i="14"/>
  <c r="C15" i="14"/>
  <c r="I14" i="14"/>
  <c r="F14" i="14"/>
  <c r="C14" i="14"/>
  <c r="K13" i="14"/>
  <c r="J13" i="14"/>
  <c r="H13" i="14"/>
  <c r="G13" i="14"/>
  <c r="E13" i="14"/>
  <c r="D13" i="14"/>
  <c r="I12" i="14"/>
  <c r="F12" i="14"/>
  <c r="C12" i="14"/>
  <c r="I11" i="14"/>
  <c r="F11" i="14"/>
  <c r="C11" i="14"/>
  <c r="K10" i="14"/>
  <c r="I9" i="14"/>
  <c r="F9" i="14"/>
  <c r="C9" i="14"/>
  <c r="I8" i="14"/>
  <c r="I10" i="14" s="1"/>
  <c r="F8" i="14"/>
  <c r="C8" i="14"/>
  <c r="K7" i="14"/>
  <c r="J7" i="14"/>
  <c r="H7" i="14"/>
  <c r="G7" i="14"/>
  <c r="E7" i="14"/>
  <c r="D7" i="14"/>
  <c r="C7" i="14" s="1"/>
  <c r="I6" i="14"/>
  <c r="F6" i="14"/>
  <c r="C6" i="14"/>
  <c r="I5" i="14"/>
  <c r="F5" i="14"/>
  <c r="C5" i="14"/>
  <c r="O88" i="13"/>
  <c r="M88" i="13"/>
  <c r="L88" i="13"/>
  <c r="K88" i="13"/>
  <c r="I88" i="13"/>
  <c r="H88" i="13"/>
  <c r="G88" i="13"/>
  <c r="J87" i="13"/>
  <c r="N77" i="12"/>
  <c r="G21" i="11"/>
  <c r="F21" i="11"/>
  <c r="D21" i="11"/>
  <c r="C21" i="11"/>
  <c r="G20" i="11"/>
  <c r="F20" i="11"/>
  <c r="D20" i="11"/>
  <c r="C20" i="11"/>
  <c r="G19" i="11"/>
  <c r="F19" i="11"/>
  <c r="D19" i="11"/>
  <c r="C19" i="11"/>
  <c r="E18" i="11"/>
  <c r="B18" i="11"/>
  <c r="E17" i="11"/>
  <c r="E19" i="11" s="1"/>
  <c r="B17" i="11"/>
  <c r="B19" i="11" s="1"/>
  <c r="G16" i="11"/>
  <c r="F16" i="11"/>
  <c r="D16" i="11"/>
  <c r="C16" i="11"/>
  <c r="E15" i="11"/>
  <c r="B15" i="11"/>
  <c r="E14" i="11"/>
  <c r="E16" i="11" s="1"/>
  <c r="B14" i="11"/>
  <c r="B16" i="11" s="1"/>
  <c r="G13" i="11"/>
  <c r="F13" i="11"/>
  <c r="D13" i="11"/>
  <c r="C13" i="11"/>
  <c r="E12" i="11"/>
  <c r="B12" i="11"/>
  <c r="E11" i="11"/>
  <c r="E13" i="11" s="1"/>
  <c r="B11" i="11"/>
  <c r="B13" i="11" s="1"/>
  <c r="G10" i="11"/>
  <c r="F10" i="11"/>
  <c r="D10" i="11"/>
  <c r="C10" i="11"/>
  <c r="E9" i="11"/>
  <c r="B9" i="11"/>
  <c r="E8" i="11"/>
  <c r="E10" i="11" s="1"/>
  <c r="B8" i="11"/>
  <c r="G7" i="11"/>
  <c r="G22" i="11" s="1"/>
  <c r="F7" i="11"/>
  <c r="F22" i="11" s="1"/>
  <c r="D7" i="11"/>
  <c r="D22" i="11" s="1"/>
  <c r="C7" i="11"/>
  <c r="C22" i="11" s="1"/>
  <c r="E6" i="11"/>
  <c r="E21" i="11" s="1"/>
  <c r="B6" i="11"/>
  <c r="B21" i="11" s="1"/>
  <c r="E5" i="11"/>
  <c r="E20" i="11" s="1"/>
  <c r="B5" i="11"/>
  <c r="B20" i="11" s="1"/>
  <c r="H86" i="10"/>
  <c r="B10" i="11" l="1"/>
  <c r="C10" i="14"/>
  <c r="F13" i="14"/>
  <c r="N87" i="13"/>
  <c r="E22" i="14"/>
  <c r="C13" i="14"/>
  <c r="C19" i="14"/>
  <c r="F86" i="13"/>
  <c r="F87" i="13"/>
  <c r="K22" i="14"/>
  <c r="F10" i="14"/>
  <c r="I13" i="14"/>
  <c r="F16" i="14"/>
  <c r="D22" i="14"/>
  <c r="C16" i="14"/>
  <c r="C21" i="14"/>
  <c r="C22" i="14"/>
  <c r="C20" i="14"/>
  <c r="G22" i="14"/>
  <c r="F19" i="14"/>
  <c r="H22" i="14"/>
  <c r="F21" i="14"/>
  <c r="F20" i="14"/>
  <c r="J22" i="14"/>
  <c r="I19" i="14"/>
  <c r="I16" i="14"/>
  <c r="I21" i="14"/>
  <c r="I7" i="14"/>
  <c r="F7" i="14"/>
  <c r="I20" i="14"/>
  <c r="E7" i="11"/>
  <c r="E22" i="11" s="1"/>
  <c r="B7" i="11"/>
  <c r="B22" i="11" l="1"/>
  <c r="N88" i="13"/>
  <c r="J86" i="13"/>
  <c r="N86" i="13"/>
  <c r="F88" i="13"/>
  <c r="F22" i="14"/>
  <c r="I22" i="14"/>
  <c r="J88" i="13" l="1"/>
</calcChain>
</file>

<file path=xl/sharedStrings.xml><?xml version="1.0" encoding="utf-8"?>
<sst xmlns="http://schemas.openxmlformats.org/spreadsheetml/2006/main" count="20897" uniqueCount="1055">
  <si>
    <t>جدول (1-11)</t>
  </si>
  <si>
    <t>خريجو العام السابق</t>
  </si>
  <si>
    <t>المقيدون</t>
  </si>
  <si>
    <t>المستجدون</t>
  </si>
  <si>
    <t>المجموع</t>
  </si>
  <si>
    <t>على حسابهم الخاص</t>
  </si>
  <si>
    <t>مبتعثون</t>
  </si>
  <si>
    <t>الجنس</t>
  </si>
  <si>
    <t xml:space="preserve">الملحقية الثقافية </t>
  </si>
  <si>
    <t>ذكر</t>
  </si>
  <si>
    <t>أنثى</t>
  </si>
  <si>
    <t>الملحقية الثقافية السعودية في الجزائر</t>
  </si>
  <si>
    <t xml:space="preserve">جملة </t>
  </si>
  <si>
    <t>الملحقية الثقافية السعودية في قطر</t>
  </si>
  <si>
    <t>الملحقية الثقافية السعودية في الكويت</t>
  </si>
  <si>
    <t>الملحقية الثقافية السعودية في سوريا</t>
  </si>
  <si>
    <t>الملحقية الثقافية السعودية في عمان</t>
  </si>
  <si>
    <t>الملحقية الثقافية السعودية في الامارات</t>
  </si>
  <si>
    <t>الملحقية الثقافية السعودية في المغرب</t>
  </si>
  <si>
    <t>الملحقية الثقافية السعودية في تونس</t>
  </si>
  <si>
    <t>الملحقية الثقافية السعودية في البحرين</t>
  </si>
  <si>
    <t>الملحقية الثقافية السعودية في مصر</t>
  </si>
  <si>
    <t>الملحقية الثقافية السعودية في السودان</t>
  </si>
  <si>
    <t>الملحقية الثقافية السعودية في الأردن</t>
  </si>
  <si>
    <t>الملحقية الثقافية السعودية  في لبنان</t>
  </si>
  <si>
    <t>الملحقية الثقافية السعودية في اليمن</t>
  </si>
  <si>
    <t xml:space="preserve">ذكر </t>
  </si>
  <si>
    <t xml:space="preserve">أنثى </t>
  </si>
  <si>
    <t>مجموع الأقطار العربية</t>
  </si>
  <si>
    <t>الملحقية الثقافية السعودية في تركيا</t>
  </si>
  <si>
    <t>الملحقية الثقافية السعودية في باكستان</t>
  </si>
  <si>
    <t>الملحقية الثقافية السعودية في أستراليا</t>
  </si>
  <si>
    <t>الملحقية الثقافية السعودية في المانيا</t>
  </si>
  <si>
    <t>الملحقية الثقافية السعودية في النمسا</t>
  </si>
  <si>
    <t>الملحقية الثقافية السعودية في بريطانيا</t>
  </si>
  <si>
    <t>الملحقية الثقافية السعودية في فرنسا</t>
  </si>
  <si>
    <t>الملحقية الثقافية السعودية في إيطاليا</t>
  </si>
  <si>
    <t>مجموع الأقطار الأوروبية</t>
  </si>
  <si>
    <t>الملحقية الثقافية السعودية في أمريكا</t>
  </si>
  <si>
    <t>الملحقية الثقافية السعودية في كندا</t>
  </si>
  <si>
    <t>مجموع الأقطار الأمريكية</t>
  </si>
  <si>
    <t xml:space="preserve">الإجمالي العام </t>
  </si>
  <si>
    <t>جدول (1-10)</t>
  </si>
  <si>
    <t xml:space="preserve">مجال الدراسة </t>
  </si>
  <si>
    <t>علوم إنسانية</t>
  </si>
  <si>
    <t>تربية وتعليم</t>
  </si>
  <si>
    <t>علوم اجتماعية</t>
  </si>
  <si>
    <t>علوم طبيعية</t>
  </si>
  <si>
    <t>علوم هندسية</t>
  </si>
  <si>
    <t>علوم طبية</t>
  </si>
  <si>
    <t>علوم زراعية</t>
  </si>
  <si>
    <t>قانون</t>
  </si>
  <si>
    <t>فنون جميلة</t>
  </si>
  <si>
    <t>أخرى</t>
  </si>
  <si>
    <t>جدول (1-9)</t>
  </si>
  <si>
    <t xml:space="preserve">مستوى الدراسة </t>
  </si>
  <si>
    <t>دكتوراه</t>
  </si>
  <si>
    <t>ماجستير</t>
  </si>
  <si>
    <t>زمالة</t>
  </si>
  <si>
    <t>دبلوم عالي</t>
  </si>
  <si>
    <t>بكالوريوس</t>
  </si>
  <si>
    <t>دبلوم متوسط</t>
  </si>
  <si>
    <t>جدول (1-8)</t>
  </si>
  <si>
    <t>الإداريون والفنيون</t>
  </si>
  <si>
    <t>أعضاء هيئة التدريس</t>
  </si>
  <si>
    <t>مركز خدمة المجتمع</t>
  </si>
  <si>
    <t>الجهة</t>
  </si>
  <si>
    <t>كلية خدمة المجتمع والتعليم المستمر</t>
  </si>
  <si>
    <t>جامعة أم القرى</t>
  </si>
  <si>
    <t>عمادة خدمة المجتمع والتعليم المستمر</t>
  </si>
  <si>
    <t>جامعة الامام محمد بن سعود الاسلامية</t>
  </si>
  <si>
    <t>كلية الدراسات التطبيقية وخدمة المجتمع</t>
  </si>
  <si>
    <t>جامعة الملك سعود</t>
  </si>
  <si>
    <t>جامعة الملك عبدالعزيز</t>
  </si>
  <si>
    <t>جامعة الملك فيصل</t>
  </si>
  <si>
    <t>جامعة الملك خالد</t>
  </si>
  <si>
    <t>جامعة طيبة</t>
  </si>
  <si>
    <t>جامعة الطائف</t>
  </si>
  <si>
    <t>جدول (1-7)</t>
  </si>
  <si>
    <t>كلية المجتمع</t>
  </si>
  <si>
    <t>كلية المجتمع بمكة المكرمة</t>
  </si>
  <si>
    <t>كلية المجتمع بالخرج</t>
  </si>
  <si>
    <t>كلية المجتمع بشقراء</t>
  </si>
  <si>
    <t>كلية المجتمع بالرياض</t>
  </si>
  <si>
    <t>كلية المجتمع بالأفلاج (ليلى)</t>
  </si>
  <si>
    <t>كلية المجتمع بالمجمعة</t>
  </si>
  <si>
    <t>كلية المجتمع بحريملاء</t>
  </si>
  <si>
    <t>كلية المجتمع بالدوادمي</t>
  </si>
  <si>
    <t>كلية المجتمع بجدة</t>
  </si>
  <si>
    <t>كلية المجتمع بحفر الباطن</t>
  </si>
  <si>
    <t>جامعة الملك فهد للبترول والمعادن</t>
  </si>
  <si>
    <t>كلية المجتمع بالدمام</t>
  </si>
  <si>
    <t>كلية المجتمع للبنات بالقطيف</t>
  </si>
  <si>
    <t>كلية المجتمع للبنات بالأحساء</t>
  </si>
  <si>
    <t>كلية المجتمع ببيشة</t>
  </si>
  <si>
    <t>كلية المجتمع بخميس مشيط</t>
  </si>
  <si>
    <t>كلية المجتمع للبنات بأبها</t>
  </si>
  <si>
    <t>كلية المجتمع بالنماص</t>
  </si>
  <si>
    <t>كلية المجتمع بمحايل عسير</t>
  </si>
  <si>
    <t>كلية المجتمع ببريدة</t>
  </si>
  <si>
    <t>جامعة القصيم</t>
  </si>
  <si>
    <t xml:space="preserve">كلية المجتمع بعنيزة </t>
  </si>
  <si>
    <t>كلية المجتمع بالحناكية</t>
  </si>
  <si>
    <t>كلية المجتمع بالمدينة المنورة</t>
  </si>
  <si>
    <t>كلية المجتمع برنية</t>
  </si>
  <si>
    <t>كلية المجتمع بجازان</t>
  </si>
  <si>
    <t>جامعة جازان</t>
  </si>
  <si>
    <t>كلية المجتمع بأبي عريش</t>
  </si>
  <si>
    <t>كلية المجتمع بحائل</t>
  </si>
  <si>
    <t>جامعة حائل</t>
  </si>
  <si>
    <t>كلية المجتمع بالقريات</t>
  </si>
  <si>
    <t>جامعة الجوف</t>
  </si>
  <si>
    <t xml:space="preserve">كلية المجتمع للبنات بسكاكا </t>
  </si>
  <si>
    <t xml:space="preserve">كلية المجتمع للبنات بطبرجل </t>
  </si>
  <si>
    <t>كلية المجتمع بتبوك</t>
  </si>
  <si>
    <t>جامعة تبوك</t>
  </si>
  <si>
    <t>كلية المجتمع بالباحة</t>
  </si>
  <si>
    <t>جامعة الباحة</t>
  </si>
  <si>
    <t>كلية المجتمع للبنات بالمندق</t>
  </si>
  <si>
    <t>جامعة نجران</t>
  </si>
  <si>
    <t>كلية المجتمع بضرماء</t>
  </si>
  <si>
    <t>جامعة الأميرة نورة بنت عبدالرحمن</t>
  </si>
  <si>
    <t>كلية المجتمع للبنات بعرعر</t>
  </si>
  <si>
    <t>جامعة الحدود الشمالية</t>
  </si>
  <si>
    <t>كلية المجتمع برفحاء</t>
  </si>
  <si>
    <t>جدول (1-6)</t>
  </si>
  <si>
    <t>التعليم العالي الأهلي</t>
  </si>
  <si>
    <t>جامعة الأمير سلطان الأهلية بالرياض</t>
  </si>
  <si>
    <t>الجامعة العربية المفتوحة</t>
  </si>
  <si>
    <t>جامعة الأمير محمد بن فهد الأهلية بالدمام</t>
  </si>
  <si>
    <t>جامعة عفت الأهلية</t>
  </si>
  <si>
    <t>جامعة اليمامة الأهلية</t>
  </si>
  <si>
    <t>جامعة الفيصل</t>
  </si>
  <si>
    <t>كلية دار الحكمة الأهلية بجدة</t>
  </si>
  <si>
    <t>كلية الأمير سلطان للسياحة والإدارة بأبها</t>
  </si>
  <si>
    <t>كلية الباحة الأهلية للعلوم</t>
  </si>
  <si>
    <t>كلية إدارة الأعمال الأهلية بجدة</t>
  </si>
  <si>
    <t>كلية الدكتور سليمان فقيه للعلوم والتمريض الأهلية</t>
  </si>
  <si>
    <t>كلية ابن سينا الأهلية للعلوم الطبية بجدة</t>
  </si>
  <si>
    <t>كليات القصيم الأهلية</t>
  </si>
  <si>
    <t>كلية الأمير فهد بن سلطان الأهلية بتبوك</t>
  </si>
  <si>
    <t>كلية الريادة للعلوم الصحية الأهلية</t>
  </si>
  <si>
    <t>جدول (1-5)</t>
  </si>
  <si>
    <t>الكليات</t>
  </si>
  <si>
    <t xml:space="preserve">الجهة </t>
  </si>
  <si>
    <t>غير سعودي</t>
  </si>
  <si>
    <t>سعودي</t>
  </si>
  <si>
    <t>الجامعة الاسلامية</t>
  </si>
  <si>
    <t>جامعة الملك سعود بن عبد العزيز للعلوم الصحية</t>
  </si>
  <si>
    <t xml:space="preserve">جامعة الحدود الشمالية </t>
  </si>
  <si>
    <t>إجمالي الجامعات</t>
  </si>
  <si>
    <t>الكليات التقنية</t>
  </si>
  <si>
    <t>كلية الأمير سلطان العسكرية للعلوم الصحية بالظهران</t>
  </si>
  <si>
    <t>معهد الادارة العامة</t>
  </si>
  <si>
    <t>إجمالي الجهات الأخرى</t>
  </si>
  <si>
    <t>التعليم العالي الاهلي</t>
  </si>
  <si>
    <t>جدول (1-4)</t>
  </si>
  <si>
    <t xml:space="preserve"> المؤهل العلمي </t>
  </si>
  <si>
    <t>جدول (1-3)</t>
  </si>
  <si>
    <t xml:space="preserve"> مجال الدراسة</t>
  </si>
  <si>
    <t>دراسات عليا</t>
  </si>
  <si>
    <t>البرامج الرئيسية</t>
  </si>
  <si>
    <t>الدراسات الإسلامية</t>
  </si>
  <si>
    <t>تدريب معلمين</t>
  </si>
  <si>
    <t>علوم التربية</t>
  </si>
  <si>
    <t>الفنون</t>
  </si>
  <si>
    <t>الدراسات الإنسانية</t>
  </si>
  <si>
    <t>العلوم الاجتماعية والسلوكية</t>
  </si>
  <si>
    <t>الصحافة والاعلام</t>
  </si>
  <si>
    <t>الأعمال التجارية والإدارة</t>
  </si>
  <si>
    <t>القانون</t>
  </si>
  <si>
    <t>علوم الحياة</t>
  </si>
  <si>
    <t>العلوم الفيزيائية</t>
  </si>
  <si>
    <t>الرياضيات والإحصاء</t>
  </si>
  <si>
    <t>المعلوماتية</t>
  </si>
  <si>
    <t>الهندسة والصناعات الهندسية</t>
  </si>
  <si>
    <t>الصناعات الإنتاجية والتحويلية</t>
  </si>
  <si>
    <t>الهندسة المعمارية والبناء</t>
  </si>
  <si>
    <t>الزراعة والحراجة وصيد الأسماك</t>
  </si>
  <si>
    <t>الطب البيطري</t>
  </si>
  <si>
    <t>الصحة</t>
  </si>
  <si>
    <t>الخدمات الاجتماعية</t>
  </si>
  <si>
    <t>الخدمات الشخصية</t>
  </si>
  <si>
    <t>حماية البيئة</t>
  </si>
  <si>
    <t>جدول (1-2)</t>
  </si>
  <si>
    <t>جدول (1-1)</t>
  </si>
  <si>
    <t>مستوى</t>
  </si>
  <si>
    <t>الدراسة</t>
  </si>
  <si>
    <t xml:space="preserve">إجمالي </t>
  </si>
  <si>
    <t>عمادة التعليم الموازي والمستمر</t>
  </si>
  <si>
    <t>كليات الجبيل وينبع</t>
  </si>
  <si>
    <t>خلاصة إحصائية عن أعضاء هيئة التدريس والإداريين والفنيين حسب الجهة لعام 1429 - 1430 هـ</t>
  </si>
  <si>
    <t>كلية البترجي الأهلية للعلوم الطبية والتقنية بجدة</t>
  </si>
  <si>
    <t>كلية سعد للتمريض والعلوم الصحية الأهلية بالخبر</t>
  </si>
  <si>
    <t>كليات دار العلوم الأهلية</t>
  </si>
  <si>
    <t>كليات بريدة الأهلية</t>
  </si>
  <si>
    <t>كلية المجتمع بوادي الدواسر</t>
  </si>
  <si>
    <t xml:space="preserve">كلية المجتمع بالقويعية </t>
  </si>
  <si>
    <t>كلية المجتمع للبنات برابغ</t>
  </si>
  <si>
    <t xml:space="preserve">كلية المجتمع للبنات برجال ألمع </t>
  </si>
  <si>
    <t xml:space="preserve">جامعة القصيم </t>
  </si>
  <si>
    <t>كلية الأمير سلطان للسياحة والإدارة بجدة</t>
  </si>
  <si>
    <t>خلاصة إحصائية عن الدارسين في الخارج حسب مستوى الدراسة لعام 1429 - 1430 هـ</t>
  </si>
  <si>
    <t>كلية محمد المانع الأهلية للعلوم الطبية بالخبر</t>
  </si>
  <si>
    <t>كليات الرياض لطب الأسنان والصيدلة الأهلية</t>
  </si>
  <si>
    <t>معهد الإدارة العامة</t>
  </si>
  <si>
    <t>جامعة الإمام محمد بن سعود الإسلامية</t>
  </si>
  <si>
    <t>الجامعة الإسلامية</t>
  </si>
  <si>
    <t>كلية المجتمع للبنات</t>
  </si>
  <si>
    <t>كلية المجتمع للبنين</t>
  </si>
  <si>
    <t>خلاصة إحصائية عن الدارسين في الخارج حسب مجال الدراسة لعام 1429 - 1430 هـ</t>
  </si>
  <si>
    <t>الملحقية الثقافية السعودية في ماليزيا</t>
  </si>
  <si>
    <t>الملحقية الثقافية السعودية في الهند</t>
  </si>
  <si>
    <t>الملحقية الثقافية السعودية في اليابان</t>
  </si>
  <si>
    <t>الملحقية الثقافية السعودية في الصين</t>
  </si>
  <si>
    <t>الملحقية الثقافية السعودية في سنغافوره</t>
  </si>
  <si>
    <t xml:space="preserve">مجموع أقطار شرق آسيا </t>
  </si>
  <si>
    <t>خلاصة إحصائية عن الدارسين في الخارج حسب الملحقية الثقافية لعام 1429 - 1430 هـ</t>
  </si>
  <si>
    <t>خلاصة إحصائية عن الطلبة حسب مستوى الدراسة لعام 1429 - 1430 هـ</t>
  </si>
  <si>
    <t xml:space="preserve"> خلاصة إحصائية عن الطلبة حسب الجهة لعام  1429 - 1430 هـ</t>
  </si>
  <si>
    <t xml:space="preserve"> خلاصة إحصائية عن الطلبة حسب مجال الدراسة لعام 1429 - 1430 هـ</t>
  </si>
  <si>
    <t>خلاصة إحصائية عن أعضاء هيئة التدريس والإداريين والفنيين حسب المؤهل العلمي لعام 1429 - 1430 هـ</t>
  </si>
  <si>
    <t>خلاصة إحصائية عن التعليم العالي الأهلي لعام 1429 - 1430 هـ</t>
  </si>
  <si>
    <t>خلاصة إحصائية عن كليات المجتمع لعام  1429 - 1430 هـ</t>
  </si>
  <si>
    <t>خلاصة إحصائية عن مراكز خدمة المجتمع لعام 1429 - 1430 هـ</t>
  </si>
  <si>
    <t>الطلبة المستجدون في مرحلة الدبلوم المتوسط حسب الجهة عام  1429 - 1430 هـ</t>
  </si>
  <si>
    <t>جدول (2-1)</t>
  </si>
  <si>
    <t>جملة</t>
  </si>
  <si>
    <t>كليات الجبيل و ينبع</t>
  </si>
  <si>
    <t>الطلبة المستجدون في مرحلة الدبلوم متوسط حسب مجال الدراسة عام  1429 - 1430 هـ</t>
  </si>
  <si>
    <t>جدول (2-2)</t>
  </si>
  <si>
    <t>الطلبة المستجدون في مرحلة البكالوريوس حسب الجهة عام  1429 - 1430 هـ</t>
  </si>
  <si>
    <t>جدول (2-3)</t>
  </si>
  <si>
    <t xml:space="preserve">منتظم 
</t>
  </si>
  <si>
    <t xml:space="preserve">منتسب 
</t>
  </si>
  <si>
    <t xml:space="preserve">جامعة الأميرة نورة بنت عبدالرحمن </t>
  </si>
  <si>
    <t xml:space="preserve">منتظم </t>
  </si>
  <si>
    <t xml:space="preserve">منتسب </t>
  </si>
  <si>
    <t>الطلبة المستجدون في مرحلة البكالوريوس حسب مجال الدراسة للعام 1429 - 1430 هـ</t>
  </si>
  <si>
    <t>جدول (2-4)</t>
  </si>
  <si>
    <t>مجال الدراسة</t>
  </si>
  <si>
    <t>الطلبة المستجدون في مرحلة  الدراسات العليا حسب الجهة   1429 - 1430 هـ</t>
  </si>
  <si>
    <t>جدول (2-5)</t>
  </si>
  <si>
    <t xml:space="preserve">دكتوراه </t>
  </si>
  <si>
    <t xml:space="preserve">المجموع </t>
  </si>
  <si>
    <t xml:space="preserve">إجمالي الدراسات العليا </t>
  </si>
  <si>
    <t>الطلبة المستجدون في مرحلة الدراسات العليا حسب مجال الدراسة عام  1429 - 1430 هـ</t>
  </si>
  <si>
    <t>جدول (2-6)</t>
  </si>
  <si>
    <t xml:space="preserve">الطلبة المستجدون في مرحلة الدبلوم المتوسط 1429-1430هــ </t>
  </si>
  <si>
    <t>معهد تعليم اللغة العربية لغير الناطقين بها</t>
  </si>
  <si>
    <t>كلية المعلمين بمكة المكرمة</t>
  </si>
  <si>
    <t xml:space="preserve">كلية المجتمع بشقراء </t>
  </si>
  <si>
    <t>معهد تعليم اللغة العربية بالرياض</t>
  </si>
  <si>
    <t xml:space="preserve">كلية المجتمع بالخرج </t>
  </si>
  <si>
    <t xml:space="preserve">معهد اللغة العربية </t>
  </si>
  <si>
    <t>كلية طب الاسنان</t>
  </si>
  <si>
    <t>كلية المعلمين</t>
  </si>
  <si>
    <t xml:space="preserve">كلية الدراسات التطبيقية وخدمة المجتمع </t>
  </si>
  <si>
    <t xml:space="preserve">كلية المجتمع بالافلاج </t>
  </si>
  <si>
    <t xml:space="preserve">كلية المجتمع بالدودامي </t>
  </si>
  <si>
    <t>دبلومات عمادة  خدمة المجتمع</t>
  </si>
  <si>
    <t xml:space="preserve">كلية العلوم الصحية بجدة </t>
  </si>
  <si>
    <t>الدبلوم العام التربوي</t>
  </si>
  <si>
    <t>كلية المجتمع للبنات بالإحساء</t>
  </si>
  <si>
    <t>كلية العلوم الصحية بالدمام</t>
  </si>
  <si>
    <t>كلية العلوم الصحية للبنات بحفرالباطن</t>
  </si>
  <si>
    <t>كلية العلوم الصحية بالإحساء</t>
  </si>
  <si>
    <t>كلية العلوم الصحية للبنات بالقطيف</t>
  </si>
  <si>
    <t>كلية خدمة المجتمع للبنات بأبها</t>
  </si>
  <si>
    <t xml:space="preserve">الكلية الصحية للبنات بمحايل عسير </t>
  </si>
  <si>
    <t xml:space="preserve">الكلية الصحية بأبها </t>
  </si>
  <si>
    <t>الكلية الصحية للبنات بالنماص</t>
  </si>
  <si>
    <t xml:space="preserve">الكلية الصحية للبنات ببيشة </t>
  </si>
  <si>
    <t xml:space="preserve">كلية خدمة المجتمع بعقلة الصقور </t>
  </si>
  <si>
    <t>كلية المعلمين بالطائف</t>
  </si>
  <si>
    <t>الكليات الصحية</t>
  </si>
  <si>
    <t>كلية العلوم الصحية للبنات بالقريات</t>
  </si>
  <si>
    <t>كلية العلوم الصحية للبنين بسكاكا</t>
  </si>
  <si>
    <t>كلية العلوم الصحية للبنات بسكاكا</t>
  </si>
  <si>
    <t>كلية المعلمين بجازان</t>
  </si>
  <si>
    <t xml:space="preserve">كلية العلوم الصحية </t>
  </si>
  <si>
    <t xml:space="preserve">كلية علوم الحاسب </t>
  </si>
  <si>
    <t>المعهد الصحي للبنات بالوجة</t>
  </si>
  <si>
    <t>كلية المجتمع بنات</t>
  </si>
  <si>
    <t>كلية المجتمع بنين</t>
  </si>
  <si>
    <t xml:space="preserve">كلية العلوم الصحية للبنات </t>
  </si>
  <si>
    <t>كلية المعلمين بعرعر</t>
  </si>
  <si>
    <t>كلية العلوم الصحية للبنات بعرعر</t>
  </si>
  <si>
    <t xml:space="preserve">كلية المجتمع بطريف </t>
  </si>
  <si>
    <t xml:space="preserve">كلية الأمير سلطان للسياحة والإدارة بأبها </t>
  </si>
  <si>
    <t>الكلية التقنية بالرياض</t>
  </si>
  <si>
    <t>الكلية التقنية بالمدينة المنورة</t>
  </si>
  <si>
    <t>الكلية التقنية ببريدة</t>
  </si>
  <si>
    <t>الكلية التقنية بالباحة</t>
  </si>
  <si>
    <t>الكلية التقنية بالاحساء</t>
  </si>
  <si>
    <t>الكلية التقنية بالدمام</t>
  </si>
  <si>
    <t>الكلية التقنية بحائل</t>
  </si>
  <si>
    <t>الكلية التقنية بجدة</t>
  </si>
  <si>
    <t>الكلية التقنية بابها</t>
  </si>
  <si>
    <t>الكلية التقنية بمكة المكرمة</t>
  </si>
  <si>
    <t>كلية الاتصالات والالكترونيات بجدة</t>
  </si>
  <si>
    <t>كلية الاتصالات والمعلومات  بالرياض</t>
  </si>
  <si>
    <t>الكلية التقنية بالرس</t>
  </si>
  <si>
    <t>الكلية التقنية بتبوك</t>
  </si>
  <si>
    <t>الكلية التقنية بجازان</t>
  </si>
  <si>
    <t>الكلية التقنية بنجران</t>
  </si>
  <si>
    <t>الكلية التقنية الزراعية ببريدة</t>
  </si>
  <si>
    <t>الكلية التقنية ببيشة</t>
  </si>
  <si>
    <t>الكلية التقنية بعرعر</t>
  </si>
  <si>
    <t>الكلية التقنية بالخرج</t>
  </si>
  <si>
    <t>الكلية التقنية بالدوادمي</t>
  </si>
  <si>
    <t>الكلية التقنية بالطائف</t>
  </si>
  <si>
    <t>الكلية التقنية بالقنفذة</t>
  </si>
  <si>
    <t>الكلية التقنية بالجوف</t>
  </si>
  <si>
    <t>الكلية التقنية بالمجمعة</t>
  </si>
  <si>
    <t>الكلية التقنية بوادي الدواسر</t>
  </si>
  <si>
    <t>الكلية التقنية بالزلفي</t>
  </si>
  <si>
    <t>الكلية التقنية بحفر الباطن</t>
  </si>
  <si>
    <t>كلية التقنية بخميس مشيط</t>
  </si>
  <si>
    <t>كلية التقنية بالقريات</t>
  </si>
  <si>
    <t>كلية التقنية بعنيزة</t>
  </si>
  <si>
    <t>كلية التقنية بينبع</t>
  </si>
  <si>
    <t>كلية السياحة والفندقة بالمدينة المنورة</t>
  </si>
  <si>
    <t>الكلية التقنية بالقطيف</t>
  </si>
  <si>
    <t xml:space="preserve">الكلية التقنية بالقويعية </t>
  </si>
  <si>
    <t>المعهد العالي التقني للبنات بالأحساء</t>
  </si>
  <si>
    <t>المعهد العالي التقني للبنات بريدة</t>
  </si>
  <si>
    <t>المعهد العالي التقني للبنات بالباحة</t>
  </si>
  <si>
    <t>المعهد العالي التقني للبنات بالرياض</t>
  </si>
  <si>
    <t>المعهد العالي التقني للبنات بالمدينة المنورة</t>
  </si>
  <si>
    <t>المعهد العالي التقني للبنات بتبوك</t>
  </si>
  <si>
    <t xml:space="preserve">المعهد العالي التقني للبنات بجدة </t>
  </si>
  <si>
    <t xml:space="preserve">المعهد العالي التقني للبنات بحائل </t>
  </si>
  <si>
    <t>المعهد العالي التقني للبنات بنجران</t>
  </si>
  <si>
    <t>كلية الجبيل الصناعية</t>
  </si>
  <si>
    <t>كلية ينبع الصناعية</t>
  </si>
  <si>
    <t>كلية الأمير سلطان العسكرية للعلوم الصحية</t>
  </si>
  <si>
    <t>الطلبة المستجدون في مرحلة البكالوريوس 1429-1430هــ</t>
  </si>
  <si>
    <t>كلية المعلمين بالقنفذة</t>
  </si>
  <si>
    <t>كلية الشريعة والدراسات الإسلامية</t>
  </si>
  <si>
    <t xml:space="preserve">كلية التربية بمكة المكرمة </t>
  </si>
  <si>
    <t>كلية اللغة العربية وآدابها</t>
  </si>
  <si>
    <t>كلية العلوم الاجتماعية</t>
  </si>
  <si>
    <t xml:space="preserve">كلية الهندسة والعمارة الإسلامية </t>
  </si>
  <si>
    <t>كلية الطب</t>
  </si>
  <si>
    <t>كلية العلوم التطبيقية</t>
  </si>
  <si>
    <t>كلية الدعوة وأصول الدين</t>
  </si>
  <si>
    <t>كلية العلوم الطبية التطبيقية</t>
  </si>
  <si>
    <t>كلية الصيدلة</t>
  </si>
  <si>
    <t>كلية الحاسب الآلي ونظم المعلومات</t>
  </si>
  <si>
    <t>كلية التربية للإقتصاد المنزلي بمكة المكرمة</t>
  </si>
  <si>
    <t>كلية التربية للبنات الأقسام العلمية بمكة المكرمة</t>
  </si>
  <si>
    <t>كلية التربية للبنات بالقنفذة</t>
  </si>
  <si>
    <t>الكلية الجامعية للبنات بالليث</t>
  </si>
  <si>
    <t>كلية التربية لإعداد المعلمات بمكة المكرمة</t>
  </si>
  <si>
    <t>كلية التربية للبنات الأقسام الأدبية بمكة المكرمة</t>
  </si>
  <si>
    <t>كلية القرآن الكريم والدراسات الاسلامية</t>
  </si>
  <si>
    <t>كلية الحديث الشريف والدراسات الاسلامية</t>
  </si>
  <si>
    <t>كلية الشريعة</t>
  </si>
  <si>
    <t>كلية الدعوة و اصول الدين</t>
  </si>
  <si>
    <t>كلية اللغة العربية</t>
  </si>
  <si>
    <t>كلية أصول الدين</t>
  </si>
  <si>
    <t>كلية الدعوة الإعلام</t>
  </si>
  <si>
    <t>كلية العلوم الإجتماعية</t>
  </si>
  <si>
    <t>كلية اللغات والترجمة</t>
  </si>
  <si>
    <t>كلية علوم الحاسب والمعلومات</t>
  </si>
  <si>
    <t>كلية الشريعة والدراسات الإسلامية بالإحساء</t>
  </si>
  <si>
    <t>كلية العلوم</t>
  </si>
  <si>
    <t>كلية الاقتصاد والعلوم الإدارية</t>
  </si>
  <si>
    <t xml:space="preserve">عمادة خدمة المجتمع والتعليم المستمر </t>
  </si>
  <si>
    <t>عمادة السنة التحضيرية</t>
  </si>
  <si>
    <t>كلية الآداب</t>
  </si>
  <si>
    <t xml:space="preserve">كلية الهندسة </t>
  </si>
  <si>
    <t>كلية ادارة الاعمال</t>
  </si>
  <si>
    <t>كلية الانظمة والعلوم السياسية</t>
  </si>
  <si>
    <t>كلية علوم الأغذية والزراعة</t>
  </si>
  <si>
    <t>كلية التربية</t>
  </si>
  <si>
    <t>كلية التمريض</t>
  </si>
  <si>
    <t xml:space="preserve">كلية العلوم الطبية التطبيقية </t>
  </si>
  <si>
    <t>كلية السياحة والآثار</t>
  </si>
  <si>
    <t>كلية العمارة والتخطيط</t>
  </si>
  <si>
    <t>كلية التربية البدنية والرياضة</t>
  </si>
  <si>
    <t>كلية العلوم الصحية بالرياض</t>
  </si>
  <si>
    <t>البرنامج الموحد للكليات الصحية بالخرج</t>
  </si>
  <si>
    <t>كلية هندسة وعلوم الحاسب بالخرج</t>
  </si>
  <si>
    <t>كلية طب الاسنان بالخرج</t>
  </si>
  <si>
    <t>كلية الهندسة بالخرج</t>
  </si>
  <si>
    <t>كلية العلوم الطبية التطبيقية بالخرج</t>
  </si>
  <si>
    <t>كلية ادارة الأعمال بالخرج</t>
  </si>
  <si>
    <t>كلية الطب بالخرج</t>
  </si>
  <si>
    <t>كلية العلوم والدراسات الانسانية بالخرج</t>
  </si>
  <si>
    <t>كلية العلوم الصحية بالخرج</t>
  </si>
  <si>
    <t>كلية الآداب بوادي الدواسر</t>
  </si>
  <si>
    <t>كلية العلوم بوادي الدواسر</t>
  </si>
  <si>
    <t>كلية العلوم الصحية بالدوادمي</t>
  </si>
  <si>
    <t>كلية العلوم بالدوادمي</t>
  </si>
  <si>
    <t>كلية الهندسة بالمجمعة</t>
  </si>
  <si>
    <t>كلية العلوم الصحية بالمجمعة</t>
  </si>
  <si>
    <t>كلية العلوم الطبية التطبيقية بالمجمعة</t>
  </si>
  <si>
    <t>كلية العلوم الادارية والانسانية بالمجمعة</t>
  </si>
  <si>
    <t>كلية العلوم الصحية بشقراء</t>
  </si>
  <si>
    <t>كلية العلوم والآداب بشقراء</t>
  </si>
  <si>
    <t>كلية الاقتصاد والإدارة</t>
  </si>
  <si>
    <t>كلية الآداب والعلوم الإنسانية</t>
  </si>
  <si>
    <t>كلية الحاسبات وتقنية المعلومات بجدة</t>
  </si>
  <si>
    <t>كلية تصاميم البيئة</t>
  </si>
  <si>
    <t>كلية طب الأسنان</t>
  </si>
  <si>
    <t>كلية الأرصاد والبيئة وزراعة المناطق الجافة</t>
  </si>
  <si>
    <t>كلية الاقتصاد المنزلي</t>
  </si>
  <si>
    <t xml:space="preserve"> كلية التربية للبنات الأقسام العلمية بجدة</t>
  </si>
  <si>
    <t>كلية التربية للبنات الأقسام الأدبية بجدة</t>
  </si>
  <si>
    <t>كلية التربية لإعداد المعلمات بجدة</t>
  </si>
  <si>
    <t>كلية التربية للبنات للاقتصاد المنزلي والتربية الفنية بجدة</t>
  </si>
  <si>
    <t>السنة التحضيرية علمي</t>
  </si>
  <si>
    <t>السنة التحضيرية اداري وانساني</t>
  </si>
  <si>
    <t>السنة التحضيرية علمي برابغ</t>
  </si>
  <si>
    <t>كلية المعلمين بجدة</t>
  </si>
  <si>
    <t xml:space="preserve">كلية الطب </t>
  </si>
  <si>
    <t>كلية الهندسة بجدة</t>
  </si>
  <si>
    <t>عمادة التعليم عن بعد - السنة التحضيرية اداري وانساني</t>
  </si>
  <si>
    <t>كلية العلوم الهندسية</t>
  </si>
  <si>
    <t>كلية الهندسة التطبيقية</t>
  </si>
  <si>
    <t>كلية الادارة الصناعية</t>
  </si>
  <si>
    <t>كلية علوم وهندسة الحاسب الالي</t>
  </si>
  <si>
    <t xml:space="preserve">السنة التحضيرية </t>
  </si>
  <si>
    <t>كلية التصاميم البيئة</t>
  </si>
  <si>
    <t>كلية الطب البيطري والثروة الحيوانية بالأحساء</t>
  </si>
  <si>
    <t>كلية العلوم الزراعية والأغذية بالأحساء</t>
  </si>
  <si>
    <t>كلية المعلمين بالدمام</t>
  </si>
  <si>
    <t>كلية التربية بالأحساء</t>
  </si>
  <si>
    <t>كلية العلوم الإدارية والتخطيط بالأحساء</t>
  </si>
  <si>
    <t>كلية الطب بالأحساء</t>
  </si>
  <si>
    <t>كلية العلوم بالأحساء</t>
  </si>
  <si>
    <t>كلية علوم الحاسب وتقنية المعلومات بالأحساء</t>
  </si>
  <si>
    <t>كلية العمارة والتخطيط بالدمام</t>
  </si>
  <si>
    <t>كلية الطب بالدمام</t>
  </si>
  <si>
    <t>كلية طب الأسنان بالدمام</t>
  </si>
  <si>
    <t>كلية العلوم الطبية التطبيقية بالدمام</t>
  </si>
  <si>
    <t>كلية التمريض بالدمام</t>
  </si>
  <si>
    <t>كلية الصيدلة الإكلينيكية بالأحساء</t>
  </si>
  <si>
    <t>كلية التربية للبنات الاقسام الأدبية بالأحساء</t>
  </si>
  <si>
    <t>كلية التربية للبنات بالجبيل</t>
  </si>
  <si>
    <t>كلية التربية للبنات بالخفجي</t>
  </si>
  <si>
    <t>كلية التربية للبنات الاقسام الأدبية بحفر الباطن</t>
  </si>
  <si>
    <t>كلية الاداب بالدمام</t>
  </si>
  <si>
    <t>كلية التربية للبنات الأقسام العلمية بحفر الباطن</t>
  </si>
  <si>
    <t>كلية العلوم للبنات بالدمام</t>
  </si>
  <si>
    <t>كلية التربية للبنات بالنعيرية</t>
  </si>
  <si>
    <t>كلية التربية للبنات الاقسام العلمية بالأحساء</t>
  </si>
  <si>
    <t>كلية الهندسة بالأحساء</t>
  </si>
  <si>
    <t xml:space="preserve">كلية الهندسة بالدمام </t>
  </si>
  <si>
    <t>كلية علوم الحاسب الآلي</t>
  </si>
  <si>
    <t>كلية اللغة العربية والعلوم الإجتماعية والإدارية</t>
  </si>
  <si>
    <t>كلية الشريعة وأصول الدين</t>
  </si>
  <si>
    <t>كلية الهندسة</t>
  </si>
  <si>
    <t xml:space="preserve">كلية العلوم </t>
  </si>
  <si>
    <t>كلية التربية للبنات بخميس مشيط</t>
  </si>
  <si>
    <t>كلية التربية للبنات الأقسام العلمية بأبها</t>
  </si>
  <si>
    <t>كلية التربية للبنات الأقسام الأدبية بأبها</t>
  </si>
  <si>
    <t>كلية التربية للبنات الأقسام العلمية ببيشة</t>
  </si>
  <si>
    <t>كلية التربية للبنات الأقسام الأدبية ببيشة</t>
  </si>
  <si>
    <t>كلية التربية للبنات بظهران الجنوب</t>
  </si>
  <si>
    <t>كلية التربية للبنات بمحايل عسير</t>
  </si>
  <si>
    <t xml:space="preserve">كلية التربية للمعلمات بالنماص </t>
  </si>
  <si>
    <t>كلية التربية للبنات ببلقرن</t>
  </si>
  <si>
    <t>كلية التربية للبنات بسراة عبيده</t>
  </si>
  <si>
    <t>كلية العلوم والآداب ببيشة</t>
  </si>
  <si>
    <t xml:space="preserve">كلية التمريض بأبها </t>
  </si>
  <si>
    <t>كلية العلوم والآداب بمحايل عسير</t>
  </si>
  <si>
    <t>كلية المعلمين بالرس</t>
  </si>
  <si>
    <t>كلية اللغة العربية والدرسات الإجتماعية</t>
  </si>
  <si>
    <t>كلية الاقتصاد والادارة</t>
  </si>
  <si>
    <t xml:space="preserve">كلية الزراعة والطب البيطري </t>
  </si>
  <si>
    <t>كلية العلوم بالزلفي</t>
  </si>
  <si>
    <t>كلية الحاسب</t>
  </si>
  <si>
    <t>كلية التربية الأقسام العلمية ببريدة</t>
  </si>
  <si>
    <t xml:space="preserve">كلية التربية للاقتصاد المنزلي والتربية الفنية للبنات ببريدة </t>
  </si>
  <si>
    <t xml:space="preserve">كلية التربية لإعداد المعلمات ببريدة </t>
  </si>
  <si>
    <t>كلية التربية للبنات بالمذنب</t>
  </si>
  <si>
    <t xml:space="preserve">كلية التربية للبنات بعنيزة </t>
  </si>
  <si>
    <t>كلية التربية الاقسام الأدبية ببريدة</t>
  </si>
  <si>
    <t>كلية التربية بالرس</t>
  </si>
  <si>
    <t>كلية التربية لإعداد المعلمات بالبكيرية</t>
  </si>
  <si>
    <t xml:space="preserve">كلية المعلمين بالمدينة المنورة </t>
  </si>
  <si>
    <t>كلية التربية للبنات بمحافظة العلا</t>
  </si>
  <si>
    <t xml:space="preserve">كلية التربية الأقسام الأدبية </t>
  </si>
  <si>
    <t>كلية التربية الأقسام العلمية</t>
  </si>
  <si>
    <t>كلية التربية للبنات بينبع</t>
  </si>
  <si>
    <t>كلية العلوم التطبيقية بينبع</t>
  </si>
  <si>
    <t xml:space="preserve">كلية العلوم الصحية للبنين بالمدينة المنورة </t>
  </si>
  <si>
    <t xml:space="preserve">كلية العلوم الصحية للبنات بالمدينة المنورة </t>
  </si>
  <si>
    <t>كلية العلوم الصحية للبنات بينبع</t>
  </si>
  <si>
    <t xml:space="preserve">كلية التربية والعلوم الإنسانية </t>
  </si>
  <si>
    <t>عمادة الخدمات التعليمية</t>
  </si>
  <si>
    <t>المعهد الصحي بالعلا</t>
  </si>
  <si>
    <t>كلية التربية للبنات بالمدينة المنورة</t>
  </si>
  <si>
    <t xml:space="preserve">كلية التربية </t>
  </si>
  <si>
    <t>كلية الطب والعلوم الطبية</t>
  </si>
  <si>
    <t>كلية الحاسبات ونظم المعلومات</t>
  </si>
  <si>
    <t>كلية العلوم الإدارية والمالية</t>
  </si>
  <si>
    <t>كلية العلوم والتربية بالخرمة</t>
  </si>
  <si>
    <t>كلية الاداب والتربية بتربة</t>
  </si>
  <si>
    <t>كلية العلوم والآداب برنية</t>
  </si>
  <si>
    <t xml:space="preserve">كلية التربية للبنات بدومة الجندل </t>
  </si>
  <si>
    <t xml:space="preserve">كلية التربية للبنات بالقريات </t>
  </si>
  <si>
    <t>كلية التربية للبنبن بسكاكا</t>
  </si>
  <si>
    <t>كلية التربية للبنات بسكاكا</t>
  </si>
  <si>
    <t xml:space="preserve">كلية الطب بسكاكا </t>
  </si>
  <si>
    <t>كلية العلوم للبنات بالقريات</t>
  </si>
  <si>
    <t>كلية التربية الأقسام الأدبية بجازان</t>
  </si>
  <si>
    <t xml:space="preserve">كلية التربية للبنات بفرسان </t>
  </si>
  <si>
    <t xml:space="preserve">كلية التربية الأقسام العلمية بجازان </t>
  </si>
  <si>
    <t>كلية التربية للمعلمات بصامطه</t>
  </si>
  <si>
    <t>كلية التربية للبنات بصبياء</t>
  </si>
  <si>
    <t>كلية علوم وهندسة الحاسب الآلي</t>
  </si>
  <si>
    <t>كلية التربية للبنات الأقسام الأدبية بحائل</t>
  </si>
  <si>
    <t>كلية التربية للبنات الأقسام العلمية بحائل</t>
  </si>
  <si>
    <t>الكلية الجامعية للبنات بمحافظة ضباء</t>
  </si>
  <si>
    <t>كلية التربية والآداب</t>
  </si>
  <si>
    <t>كلية الحاسب الآلي</t>
  </si>
  <si>
    <t>كلية المعلمين بالباحة</t>
  </si>
  <si>
    <t>كلية التربية للبنات بالمخواة</t>
  </si>
  <si>
    <t>كلية إعداد المعلمات ببلجرشي</t>
  </si>
  <si>
    <t>كلية التربية للبنات الأقسام العلمية بالباحة</t>
  </si>
  <si>
    <t>كلية التربية للبنات الاقسام الأدبية بالباحة</t>
  </si>
  <si>
    <t>كلية التربية للبنات بنجران</t>
  </si>
  <si>
    <t>كلية التربية للبنات بشروره</t>
  </si>
  <si>
    <t>السنة التحضيرية</t>
  </si>
  <si>
    <t xml:space="preserve">كلية العلوم الإدارية </t>
  </si>
  <si>
    <t>كلية التربية الأقسام العلمية بالرياض</t>
  </si>
  <si>
    <t>كلية التربية الأقسام الأدبية بالرياض</t>
  </si>
  <si>
    <t>كلية التربية للاقتصاد المنزلي والتربية الفنية بالرياض</t>
  </si>
  <si>
    <t>كلية الخدمة الاجتماعية بالرياض</t>
  </si>
  <si>
    <t>كلية التربية لإعداد المعلمات بالرياض</t>
  </si>
  <si>
    <t>كلية التربية بالأفلاج (ليلى)</t>
  </si>
  <si>
    <t>كلية التربية للمعلمات بحوطة بني تميم</t>
  </si>
  <si>
    <t>كلية التربية بحريملاء</t>
  </si>
  <si>
    <t>كلية التربية بالقويعية</t>
  </si>
  <si>
    <t>كلية التربية للمعلمات بالزلفي</t>
  </si>
  <si>
    <t>كلية التربية بساجر</t>
  </si>
  <si>
    <t>كلية التربية للمعلمات بعفيف</t>
  </si>
  <si>
    <t>كلية التربية لإعداد المعلمات بالدلم</t>
  </si>
  <si>
    <t>كلية التربية بالمجمعة</t>
  </si>
  <si>
    <t>كلية التربية الأقسام الأدبية بالخرج</t>
  </si>
  <si>
    <t>كلية التربية بوادي الدواسر</t>
  </si>
  <si>
    <t xml:space="preserve">كلية التربية الأقسام الأدبية بشقراء </t>
  </si>
  <si>
    <t>كلية التربية الأقسام العلمية بشقراء</t>
  </si>
  <si>
    <t>كلية التربية للمعلمات الأقسام الأدبية بالدوادمي</t>
  </si>
  <si>
    <t>كلية التربية للمعلمات الأقسام العلمية بالدوادمي</t>
  </si>
  <si>
    <t>كلية الآداب بالرياض</t>
  </si>
  <si>
    <t>كلية التربية الأقسام العلمية بالخرج</t>
  </si>
  <si>
    <t>كلية التربية للمعلمات بحوطة سدير</t>
  </si>
  <si>
    <t xml:space="preserve">كلية التربية للمعلمات بالمزاحمية </t>
  </si>
  <si>
    <t xml:space="preserve">كلية إدارة الأعمال </t>
  </si>
  <si>
    <t xml:space="preserve">كلية اللغات والترجمة الفورية </t>
  </si>
  <si>
    <t xml:space="preserve">كلية العلاج الطبيعي </t>
  </si>
  <si>
    <t xml:space="preserve">كلية الصيدلة </t>
  </si>
  <si>
    <t>كلية رياض الأطفال</t>
  </si>
  <si>
    <t>كلية العلوم بعرعر</t>
  </si>
  <si>
    <t>كلية التربية للبنات بعرعر</t>
  </si>
  <si>
    <t xml:space="preserve">كلية التربية للبنات برفحاء </t>
  </si>
  <si>
    <t>كلية العلوم الطبية</t>
  </si>
  <si>
    <t>كلية الحاسبات وتقنية المعلومات برفحاء</t>
  </si>
  <si>
    <t>كلية التمريض بالرياض</t>
  </si>
  <si>
    <t>كلية التمريض بجدة</t>
  </si>
  <si>
    <t>كلية التمريض بالأحساء</t>
  </si>
  <si>
    <t>كلية الدكتور سليمان فقيه للتمريض والعلوم الطبية</t>
  </si>
  <si>
    <t xml:space="preserve">كلية الرياض لطب الأسنان والصيدلة </t>
  </si>
  <si>
    <t>كلية ابن سينا الأهلية بجدة</t>
  </si>
  <si>
    <t xml:space="preserve">كلية البترجي الأهلية للعلوم الطبية والتقنية بجدة </t>
  </si>
  <si>
    <t>كلية سعد للتمريض والعلوم الصحية بالخبر</t>
  </si>
  <si>
    <t xml:space="preserve">كليات بريدة الأهلية </t>
  </si>
  <si>
    <t>كلية الجبيل الجامعية</t>
  </si>
  <si>
    <t>كلية ينبع الجامعية</t>
  </si>
  <si>
    <t>الطلبة المستجدون في مرحلة الدراسات العليا 1429-1430هــ</t>
  </si>
  <si>
    <t>المجموع الكلي</t>
  </si>
  <si>
    <t>المعهد العالي للأمر بالمعروف والنهي عن المنكر</t>
  </si>
  <si>
    <t>المعهد العالي للقضاء</t>
  </si>
  <si>
    <t xml:space="preserve">كلية الشريعة </t>
  </si>
  <si>
    <t xml:space="preserve">كلية اللغة العربية </t>
  </si>
  <si>
    <t xml:space="preserve">كلية أصول الدين </t>
  </si>
  <si>
    <t>كلية الدعوة والإعلام</t>
  </si>
  <si>
    <t xml:space="preserve">كلية العلوم الإجتماعية </t>
  </si>
  <si>
    <t xml:space="preserve">كلية اللغات والترجمة </t>
  </si>
  <si>
    <t xml:space="preserve">كلية الاقتصاد والعلوم الادارية </t>
  </si>
  <si>
    <t xml:space="preserve">معهد تعليم اللغة العربية </t>
  </si>
  <si>
    <t xml:space="preserve">كلية علوم الأغذية والزراعة </t>
  </si>
  <si>
    <t>كلية الحاسبات وتقنية المعلومات</t>
  </si>
  <si>
    <t>كلية الهندسة والعلوم التطبيقية</t>
  </si>
  <si>
    <t>كلية علوم الأرض</t>
  </si>
  <si>
    <t>كلية علوم البحار</t>
  </si>
  <si>
    <t xml:space="preserve">عمادة خدمة المجتمع </t>
  </si>
  <si>
    <t>عمادة خدمة المجتمع - الاقتصاد والادارة</t>
  </si>
  <si>
    <t>عمادة خدمة المجتمع - الطب</t>
  </si>
  <si>
    <t>الدبلوم التربوي العام</t>
  </si>
  <si>
    <t>كلية الآداب بالدمام</t>
  </si>
  <si>
    <t>كلية العلوم الإنسانية</t>
  </si>
  <si>
    <t>المركز الجامعي لدراسة الطالبات بالمنسك</t>
  </si>
  <si>
    <t xml:space="preserve">جامعة طيبة </t>
  </si>
  <si>
    <t>المعهد العالي للأئمة و الخطباء</t>
  </si>
  <si>
    <t>كلية التربية والعلوم الإنسانية</t>
  </si>
  <si>
    <t>كلية المجتمع برنيه</t>
  </si>
  <si>
    <t>الصحة العامة والمعلوماتية الصحية</t>
  </si>
  <si>
    <t>مركز الملك عبد الله العالمي للأبحاث الطبية</t>
  </si>
  <si>
    <t>الطلبة المقيدون في مرحلة الدبلوم المتوسط حسب الجهة عام 1429 - 1430 هـ</t>
  </si>
  <si>
    <t>جدول (3-1)</t>
  </si>
  <si>
    <t xml:space="preserve">الطلبة المقيدون في مرحلة الدبلوم المتوسط حسب مجال الدراسة عام 1429 - 1430 هـ </t>
  </si>
  <si>
    <t>جدول (3-2)</t>
  </si>
  <si>
    <t>الطلبة المقيدون في مرحلة البكالوريوس حسب الجهة عام 1429 - 1430 هـ</t>
  </si>
  <si>
    <t>جدول (3-3)</t>
  </si>
  <si>
    <t>الطلبة المقيدون في مرحلة البكالوريوس حسب مجال الدراسة 1429 - 1430 هـ</t>
  </si>
  <si>
    <t>جدول (3-4)</t>
  </si>
  <si>
    <t>الطلبة المقيدون في مرحلة الدراسات العليا حسب الجهة عام 1429 - 1430 هـ</t>
  </si>
  <si>
    <t>جدول (3-5)</t>
  </si>
  <si>
    <t>الطلبة المقيدون في مرحلة الدراسات العليا حسب مجال الدراسة عام 1429 - 1430 هـ</t>
  </si>
  <si>
    <t>جدول (3-6)</t>
  </si>
  <si>
    <t>الطلبة المقيدون في مرحلة الدبلوم المتوسط 1429-1430هــ</t>
  </si>
  <si>
    <t>كلية المجتمع بالأفلاج</t>
  </si>
  <si>
    <t xml:space="preserve"> كلية المجتمع بحريملاء</t>
  </si>
  <si>
    <t>كلية المجتمع بالقويعية</t>
  </si>
  <si>
    <t>معهد اللغة العربية</t>
  </si>
  <si>
    <t>دبلومات عمادة خدمة المجتمع</t>
  </si>
  <si>
    <t>كلية العلوم الصحية بجدة</t>
  </si>
  <si>
    <t>كلية المعلمين بالإحساء</t>
  </si>
  <si>
    <t>كلية المعلمين بأبها</t>
  </si>
  <si>
    <t>عمادة خدمة المجتمع للبنات بأبها</t>
  </si>
  <si>
    <t>كلية خدمة المجتمع بعقلة الصقور</t>
  </si>
  <si>
    <t>كلية العلوم الصحيه للبنين بسكاكا</t>
  </si>
  <si>
    <t xml:space="preserve">العلوم الصحية </t>
  </si>
  <si>
    <t>كلية المجتمع بطريف</t>
  </si>
  <si>
    <t>الكلية التقنية بالإحساء</t>
  </si>
  <si>
    <t>المعهد العالي التقني للبنات ببريدة</t>
  </si>
  <si>
    <t>الطلبة المقيدون في مرحلة البكالوريوس 1429-1430هــ</t>
  </si>
  <si>
    <t xml:space="preserve">كلية الحاسب الآلي ونظم المعلومات </t>
  </si>
  <si>
    <t xml:space="preserve">كلية اللغة العربية   </t>
  </si>
  <si>
    <t xml:space="preserve">كلية أصول الدين  </t>
  </si>
  <si>
    <t xml:space="preserve">كلية الدعوة والإعلام </t>
  </si>
  <si>
    <t xml:space="preserve">كلية علوم الحاسب والمعلومات </t>
  </si>
  <si>
    <t>كلية الشريعة والدراسات 
الإسلامية بالإحساء</t>
  </si>
  <si>
    <t>كلية الاقتصاد والعلوم الادارية</t>
  </si>
  <si>
    <t>كلية العلوم والاداب بشقراء</t>
  </si>
  <si>
    <t>كلية العلوم الطبية التطبيقية بجدة</t>
  </si>
  <si>
    <t>كلية التربية للبنات الاقسام العلمية بجدة</t>
  </si>
  <si>
    <t>كلية التربية للبنات الاقسام الادبية بجدة</t>
  </si>
  <si>
    <t>كلية التربية للبنات للاقتصاد المنزلي والتربية الفنية  بجدة</t>
  </si>
  <si>
    <t>كلية المجتمع بجدة - السنة الانتقالية</t>
  </si>
  <si>
    <t>كلية العلوم الطبيعية</t>
  </si>
  <si>
    <t>تحضيري علمي برابغ</t>
  </si>
  <si>
    <t>كلية الإدارة الصناعية</t>
  </si>
  <si>
    <t>كلية المعلمين بالأحساء</t>
  </si>
  <si>
    <t>كلية التربية للبنات الأقسام الأدبية بالأحساء</t>
  </si>
  <si>
    <t>كلية التربية للبنات الأقسام الأدبية بحفر الباطن</t>
  </si>
  <si>
    <t>كلية التربية للبنات الأقسام العلمية بالأحساء</t>
  </si>
  <si>
    <t>كلية الهندسة بالدمام</t>
  </si>
  <si>
    <t>كلية المعلمين ببيشة</t>
  </si>
  <si>
    <t>كلية اللغة العربية والعلوم الاجتماعية والإدارية</t>
  </si>
  <si>
    <t xml:space="preserve">كلية التربية الأقسام الأدبية ببريدة </t>
  </si>
  <si>
    <t>كلية التربية للبنات بعنيزة</t>
  </si>
  <si>
    <t>كلية المعلمين بالمدينة المنورة</t>
  </si>
  <si>
    <t>كلية علوم وهندسة الحاسبات</t>
  </si>
  <si>
    <t>كلية العلوم الصحية للبنين بالمدينة المنورة</t>
  </si>
  <si>
    <t>كلية التربية الأقسام الأدبية بالطائف</t>
  </si>
  <si>
    <t>كلية التربية الأقسام العلمية بالطائف</t>
  </si>
  <si>
    <t>كلية الآداب والتربية بتربة</t>
  </si>
  <si>
    <t xml:space="preserve">كلية العلوم للبنات بالقريات </t>
  </si>
  <si>
    <t>.</t>
  </si>
  <si>
    <t xml:space="preserve">كلية التربية للبنين بحائل </t>
  </si>
  <si>
    <t xml:space="preserve">كلية الحاسب الآلي </t>
  </si>
  <si>
    <t>كلية التربية للبنات الأقسام الأدبية بالباحة</t>
  </si>
  <si>
    <t>كلية التربية الأقسام الأدبية بشقراء</t>
  </si>
  <si>
    <t>كلية إدارة الأعمال</t>
  </si>
  <si>
    <t xml:space="preserve">كلية العلوم الطبية </t>
  </si>
  <si>
    <t>كلية الرياض لطب الأسنان والصيدلة الأهلية</t>
  </si>
  <si>
    <t>الطلبة المقيدون في مرحلة الدرسات العليا 1429-1430هــ</t>
  </si>
  <si>
    <t>كلية ادارة الأعمال</t>
  </si>
  <si>
    <t>كلية الانطمة والعلوم السياسية</t>
  </si>
  <si>
    <t>كلية التربية للبنات الأقسام العلمية بجدة</t>
  </si>
  <si>
    <t>كلية علوم الارض</t>
  </si>
  <si>
    <t xml:space="preserve">كلية الشريعة وأصول الدين </t>
  </si>
  <si>
    <t>كلية اللغة العربية والدرسات الاجتماعية</t>
  </si>
  <si>
    <t>المعهد العالي للأئمة والخطباء</t>
  </si>
  <si>
    <t xml:space="preserve">كلية التربية للبنات بالمدينة المنورة </t>
  </si>
  <si>
    <t xml:space="preserve">كلية المجتمع برنيه </t>
  </si>
  <si>
    <t>الجامعة العربية المفتوحة الأهلية</t>
  </si>
  <si>
    <t>الطلبة الخريجون في مرحلة الدبلوم المتوسط حسب الجهة عام  1428 - 1429 هـ</t>
  </si>
  <si>
    <t>جدول (4-1)</t>
  </si>
  <si>
    <t xml:space="preserve">الجامعة الإسلامية </t>
  </si>
  <si>
    <t>الطلبة الخريجون في مرحلة الدبلوم المتوسط حسب مجال الدراسة عام 1428 - 1429 هـ</t>
  </si>
  <si>
    <t>جدول (4-2)</t>
  </si>
  <si>
    <t>الطلبة الخريجون في مرحلة البكالوريوس حسب الجهة عام 1428 - 1429 هـ</t>
  </si>
  <si>
    <t>جدول (4-3)</t>
  </si>
  <si>
    <t>الطلبة الخريجون في مرحلة البكالوريوس حسب مجال الدراسة عام 1428 - 1429 هـ</t>
  </si>
  <si>
    <t>جدول (4-4)</t>
  </si>
  <si>
    <t>الطلبة الخريجون في مرحلة الدراسات العليا حسب الجهة عام 1428 - 1429 هـ</t>
  </si>
  <si>
    <t>جدول (4-5)</t>
  </si>
  <si>
    <t xml:space="preserve">جامعةالقصيم </t>
  </si>
  <si>
    <t>التعلم العالي الأهلي</t>
  </si>
  <si>
    <t>الطلبة الخريجون في مرحلة الدراسات العليا حسب مجال الدراسة عام 1428 - 1429 هـ</t>
  </si>
  <si>
    <t>جدول (4-6)</t>
  </si>
  <si>
    <t>الطلبة الخريجون في مرحلة الدبلوم المتوسط 1428-1429هــ</t>
  </si>
  <si>
    <t xml:space="preserve">معهد اللغة العربية لغير الناطقين بها </t>
  </si>
  <si>
    <t>كلية المجتمع  للبنات برابغ</t>
  </si>
  <si>
    <t>كلية العلوم الصحية</t>
  </si>
  <si>
    <t>كلية العلوم الصحية بالاحساء</t>
  </si>
  <si>
    <t xml:space="preserve">كلية المجتمع بحائل </t>
  </si>
  <si>
    <t xml:space="preserve">الكلية التقنية بالقريات </t>
  </si>
  <si>
    <t xml:space="preserve">الكلية التقنية بخميس مشيط </t>
  </si>
  <si>
    <t>الكلية التقنية بينبع</t>
  </si>
  <si>
    <t xml:space="preserve">الكلية التقنية بالقطيف </t>
  </si>
  <si>
    <t>الطلبة الخريجون في مرحلة البكالوريوس 1428-1429هـ</t>
  </si>
  <si>
    <t>التربية للبنات بالقنفذة</t>
  </si>
  <si>
    <t xml:space="preserve">كلية الشريعة والدراسات الإسلامية بالأحساء </t>
  </si>
  <si>
    <t>كلية علوم الأغذية و الزراعة</t>
  </si>
  <si>
    <t>كلية علوم الحاسب الآلي والمعلومات</t>
  </si>
  <si>
    <t xml:space="preserve">كلية المعلمين </t>
  </si>
  <si>
    <t>كلية التربية للبنات  لإعداد المعلمات  بجدة</t>
  </si>
  <si>
    <t>كلية الحاسب الآلي وتقنية المعلومات</t>
  </si>
  <si>
    <t xml:space="preserve">كلية طب الأسنان بالدمام </t>
  </si>
  <si>
    <t xml:space="preserve">كلية الطب بالإحساء </t>
  </si>
  <si>
    <t>كلية التربية الأقسام الأدبية ببريدة</t>
  </si>
  <si>
    <t xml:space="preserve">كلية التربية والعلوم الأنسانية </t>
  </si>
  <si>
    <t>كلية التربية للبنات بالخرمة</t>
  </si>
  <si>
    <t>كلية التربية للبنات بتربة</t>
  </si>
  <si>
    <t>كلية التربية للأقسام الأدبية بالطائف</t>
  </si>
  <si>
    <t>كلية التربية للأقسام العلمية بالطائف</t>
  </si>
  <si>
    <t xml:space="preserve">كلية الحاسبات ونظم المعلومات </t>
  </si>
  <si>
    <t>كلية التربية للبنات  بنجران</t>
  </si>
  <si>
    <t xml:space="preserve">كلية الأمير فهد بن سلطان الأهلية </t>
  </si>
  <si>
    <t>الطلبة الخريجون في مرحلة الدراسات العليا 1428-1429هــ</t>
  </si>
  <si>
    <t>معهد تعليم اللغة العربية</t>
  </si>
  <si>
    <t>الحاسبات وتقنية المعلومات بجدة</t>
  </si>
  <si>
    <t>كلية التربية للبنات الاقسام الادبية</t>
  </si>
  <si>
    <t>كلية التربية والعلوم الأنسانية</t>
  </si>
  <si>
    <t>أعضاء هيئة التدريس حسب الجهة والمرتبة العلمية 1429 - 1430 هـ</t>
  </si>
  <si>
    <t>جدول (5-1)</t>
  </si>
  <si>
    <t>مدرس</t>
  </si>
  <si>
    <t>معيد</t>
  </si>
  <si>
    <t>محاضر</t>
  </si>
  <si>
    <t>أستاذ مساعد</t>
  </si>
  <si>
    <t>أستاذ مشارك</t>
  </si>
  <si>
    <t>أستاذ</t>
  </si>
  <si>
    <t>الجنسية</t>
  </si>
  <si>
    <t>أعضاء هيئة التدريس حسب الجهة والكلية والمرتبة العلمية 1429 - 1430 هـ</t>
  </si>
  <si>
    <t>جدول (5-2)</t>
  </si>
  <si>
    <t xml:space="preserve">إدارة الجامعة والعمادات المساندة </t>
  </si>
  <si>
    <t>المعاهد البحثية</t>
  </si>
  <si>
    <t xml:space="preserve">كلية القران الكريم </t>
  </si>
  <si>
    <t>كلية الحديث الشريف</t>
  </si>
  <si>
    <t>الكلية الجامعية بالليث</t>
  </si>
  <si>
    <t xml:space="preserve">كلية التربية للإعداد المعلمات بمكة المكرمة </t>
  </si>
  <si>
    <t xml:space="preserve">كلية الآداب والعلوم الإدارية </t>
  </si>
  <si>
    <t>كلية القرآن الكريم والدراسات الإسلامية</t>
  </si>
  <si>
    <t>كلية الحديث الشريف والدراسات الإسلامية</t>
  </si>
  <si>
    <t>المعهد العالي للقضاء بالرياض</t>
  </si>
  <si>
    <t>كلية المعلمين بالرياض</t>
  </si>
  <si>
    <t>كلية التربية البدنية بالرياض</t>
  </si>
  <si>
    <t>إدارة الجامعة والعمادات المساندة</t>
  </si>
  <si>
    <t>مستشفى الملك خالد الجامعي</t>
  </si>
  <si>
    <t xml:space="preserve">كلية الأنظمة والعلوم السياسة </t>
  </si>
  <si>
    <t xml:space="preserve">كلية الهندسة بالخرج </t>
  </si>
  <si>
    <t>كلية العلوم والدراسات الإنسانية بالخرج</t>
  </si>
  <si>
    <t>كلية التربية للإقتصاد المنزلي والتربية الفنيه بجدة</t>
  </si>
  <si>
    <t>كلية التربية للإعداد المعلمات بجدة</t>
  </si>
  <si>
    <t>عمادة التطوير الأكاديمي</t>
  </si>
  <si>
    <t>كلية الدراسات المساندة والتطبيقية</t>
  </si>
  <si>
    <t>كلية الأداب بالدمام</t>
  </si>
  <si>
    <t>كلية العلوم الصحية للبنات بالنماص</t>
  </si>
  <si>
    <t>الكلية الصحية للبنات بمحايل عسير</t>
  </si>
  <si>
    <t>كلية العلوم والاداب بيشة</t>
  </si>
  <si>
    <t>كلبة الحاسب</t>
  </si>
  <si>
    <t>كلية التربية للبنات بالطائف</t>
  </si>
  <si>
    <t>كلية العلوم الصحية بالطائف</t>
  </si>
  <si>
    <t>كلية التربية للبنات الأقسام الأدبية بجازان</t>
  </si>
  <si>
    <t>كلية التربية للبنات الأقسام العلمية</t>
  </si>
  <si>
    <t>كلية العلوم الصحيه للبنين سكاكا</t>
  </si>
  <si>
    <t>كلية التربية للمعلمات بنجران</t>
  </si>
  <si>
    <t xml:space="preserve">كلية المجتمع للبنات </t>
  </si>
  <si>
    <t>شعبة كلية التربية لإعداد المعلمات بالدلم</t>
  </si>
  <si>
    <t>كلية التربية بشقراء</t>
  </si>
  <si>
    <t>كلية التربية بالدوادمي</t>
  </si>
  <si>
    <t>كلية المعلمين في عرعر</t>
  </si>
  <si>
    <t xml:space="preserve">الكلية التقنية بالمدينة المنورة </t>
  </si>
  <si>
    <t>الكلية التقنية بأبها</t>
  </si>
  <si>
    <t>كلية الاتصالات والإلكترونيات بجدة</t>
  </si>
  <si>
    <t>كلية الاتصالات والمعلومات بالرياض</t>
  </si>
  <si>
    <t xml:space="preserve">التعليم العالي الأهلي </t>
  </si>
  <si>
    <t xml:space="preserve">كليات الرياض لطب الأسنان والصيدلة </t>
  </si>
  <si>
    <t>كلية الأمير سلطان للسياحة والإدارة الأهلية بجدة</t>
  </si>
  <si>
    <t>أعضاء هيئة التدريس حسب الجهة والمؤهل العلمي 1429 - 1430 هـ</t>
  </si>
  <si>
    <t>جدول (5-3)</t>
  </si>
  <si>
    <t>أعضاء هيئة التدريس حسب الجهة والكلية والمؤهل العلمي 1429 - 1430 هـ</t>
  </si>
  <si>
    <t>جدول (5-4)</t>
  </si>
  <si>
    <t xml:space="preserve">الجنسية </t>
  </si>
  <si>
    <t>جامعة الامام محمد بن سعود الإسلامية</t>
  </si>
  <si>
    <t>كلية العلوم بالخرج</t>
  </si>
  <si>
    <t>كلية التربية للإقتصاد المنزلي والتربية الفنيه للبنات بجدة</t>
  </si>
  <si>
    <t>كلية العلوم الصحية بالأحساء</t>
  </si>
  <si>
    <t>كلية المعلمين  ببيشة</t>
  </si>
  <si>
    <t>كلية العلوم والآداب بيشة</t>
  </si>
  <si>
    <t>كلية التربية بالمذنب</t>
  </si>
  <si>
    <t>الكليات الصحية بالطائف</t>
  </si>
  <si>
    <t>كلية التربية للبنات بالدوادمي</t>
  </si>
  <si>
    <t xml:space="preserve">كلبة التربية المعلمات بالمزاحمية </t>
  </si>
  <si>
    <t>الكلية التقنية بالمدينة</t>
  </si>
  <si>
    <t xml:space="preserve">الكلية التقنية الزراعية ببريدة </t>
  </si>
  <si>
    <t>سعودي أو</t>
  </si>
  <si>
    <t xml:space="preserve"> </t>
  </si>
  <si>
    <t>كلية سعد للتمريض والعلوم الصحية الاهلية بالخبر</t>
  </si>
  <si>
    <t>الإداريون والفنيون حسب الجهة  1429 - 1430 هـ</t>
  </si>
  <si>
    <t>جدول (6-1)</t>
  </si>
  <si>
    <t>الإداريون والفنيون حسب الجهة والكلية 1429 - 1430 هـ</t>
  </si>
  <si>
    <t>جدول (6-2)</t>
  </si>
  <si>
    <t>مستشفى الملك عبدالعزيز الجامعي</t>
  </si>
  <si>
    <t>إدارات الجامعة والعمادات المساندة والمراكز</t>
  </si>
  <si>
    <t>المستشفى الجامعي</t>
  </si>
  <si>
    <t xml:space="preserve">كلية التربية للبنات الأقسام الأدبية بجدة </t>
  </si>
  <si>
    <t xml:space="preserve">كلية المعلمين بجدة </t>
  </si>
  <si>
    <t>كلية المعلمين با لأحساء</t>
  </si>
  <si>
    <t>إدارة الجامعة والعمادات</t>
  </si>
  <si>
    <t xml:space="preserve">المستشفى البيطري التعليمي - محطة التدريب والأبحاث الزراعية والبيطرية بالأحساء </t>
  </si>
  <si>
    <t>مستشفى الملك فهد الجامعي بالخبر</t>
  </si>
  <si>
    <t>كلية التربية بالبكيرية</t>
  </si>
  <si>
    <t>كلية التربية بعقلة الصقور</t>
  </si>
  <si>
    <t xml:space="preserve">كلية العلوم الصحية ببريدة </t>
  </si>
  <si>
    <t xml:space="preserve">كلية العلوم الصحية بعنيزة </t>
  </si>
  <si>
    <t>كلية العلوم الصحية بالبكيرية</t>
  </si>
  <si>
    <t xml:space="preserve">كلية العلوم الصحية بالرس </t>
  </si>
  <si>
    <t>كلية العمارة</t>
  </si>
  <si>
    <t>كلية التربية لإعداد المعلمات</t>
  </si>
  <si>
    <t xml:space="preserve">كلية التربية الأقسام العلمية </t>
  </si>
  <si>
    <t>إدارة الجامعه والعمادات المساندة</t>
  </si>
  <si>
    <t xml:space="preserve">التربية للبنين بحائل </t>
  </si>
  <si>
    <t>كلية العلوم الصحية للبنين سكاكا</t>
  </si>
  <si>
    <t>كلية العلوم الإدارية</t>
  </si>
  <si>
    <t xml:space="preserve">كلية المجتمع للبنين </t>
  </si>
  <si>
    <t>كلية التربية للمعلمات بحريملاء</t>
  </si>
  <si>
    <t xml:space="preserve">الجامعة العربية المفتوحة </t>
  </si>
  <si>
    <t>الإداريون والفنيون حسب الجهة والمؤهل العلمي 1429 - 1430 هـ</t>
  </si>
  <si>
    <t>جدول (6-3)</t>
  </si>
  <si>
    <t>الإداريون والفنيون حسب الجهة والكلية والمؤهل العلمي 1429 - 1430 هـ</t>
  </si>
  <si>
    <t>جدول (6-4)</t>
  </si>
  <si>
    <t xml:space="preserve">كلية التربية للبنات للاقتصاد المنزلي والتربية الفنية بجدة </t>
  </si>
  <si>
    <t>كلية التربية للبنات الاقسام الأدبية بجدة</t>
  </si>
  <si>
    <t xml:space="preserve">كلية العلوم الصحية بالدمام </t>
  </si>
  <si>
    <t>كلية الاتصالات والاكترونيات بجدة</t>
  </si>
  <si>
    <t>جمله</t>
  </si>
  <si>
    <t xml:space="preserve">أخرى </t>
  </si>
  <si>
    <t xml:space="preserve">فنون جميلة </t>
  </si>
  <si>
    <t xml:space="preserve">علوم زراعية </t>
  </si>
  <si>
    <t xml:space="preserve">علوم طبية </t>
  </si>
  <si>
    <t xml:space="preserve">علوم هندسية </t>
  </si>
  <si>
    <t xml:space="preserve">علوم طبيعية </t>
  </si>
  <si>
    <t xml:space="preserve">علوم اجتماعية </t>
  </si>
  <si>
    <t xml:space="preserve">تربية وتعليم </t>
  </si>
  <si>
    <t xml:space="preserve">علوم إنسانية </t>
  </si>
  <si>
    <t xml:space="preserve">زمالة </t>
  </si>
  <si>
    <t>الطلبة المستجدون الدارسون في الخارج (المبتعثون والدارسون على حسابهم الخاص) حسب مجال الدراسة والمرحلة الدراسية عام 1429 - 1430 هـ</t>
  </si>
  <si>
    <t xml:space="preserve">قانون </t>
  </si>
  <si>
    <t>الطلبة المستجدون الدارسون في الخارج المبتعثون حسب الملحقية الثقافية والمرحلة الدراسية عام 1429 - 1430 هـ</t>
  </si>
  <si>
    <t>الطلبة المستجدون الدارسون في الخارج ( الدارسون على حسابهم الخاص ) حسب الملحقية الثقافية والمرحلة الدراسية عام 1429 - 1430 هـ</t>
  </si>
  <si>
    <t xml:space="preserve">الملحقية الثقافية السعودية في كندا </t>
  </si>
  <si>
    <t xml:space="preserve">الملحقية الثقافية السعودية في اليابان </t>
  </si>
  <si>
    <t xml:space="preserve">الملحقية الثقافية السعودية في باكستان </t>
  </si>
  <si>
    <t>الملحقية الثقافية السعودية في ألمانيا</t>
  </si>
  <si>
    <t xml:space="preserve">الملحقية الثقافية السعودية في لبنان </t>
  </si>
  <si>
    <t xml:space="preserve">الملحقية الثقافية السعودية في الجزائر </t>
  </si>
  <si>
    <t xml:space="preserve">الملحقية الثقافية السعودية في السودان </t>
  </si>
  <si>
    <t xml:space="preserve">الملحقية الثقافية السعودية في الإمارات </t>
  </si>
  <si>
    <t xml:space="preserve">الملحقية الثقافية السعودية في قطر </t>
  </si>
  <si>
    <t xml:space="preserve">الملحقية الثقافية السعودية في البحرين </t>
  </si>
  <si>
    <t>الزمالة</t>
  </si>
  <si>
    <t>الملحقية الثقافية</t>
  </si>
  <si>
    <t>الطلبة المستجدون الدارسون في الخارج (المبتعثون والدارسون على حسابهم الخاص) حسب الملحقية الثقافية والمرحلة الدراسية عام 1429 - 1430 هـ</t>
  </si>
  <si>
    <t>الطلبة المستجدون الدارسون في الخارج ( المبتعثون ) حسب الملحقية الثقافية والمرحلة الدراسية عام 1429 - 1430 هـ</t>
  </si>
  <si>
    <t>الطلبة المستجدون الدارسون في الخارج (الدارسون على حسابهم الخاص) حسب الملحقية الثقافية والمرحلة الدراسية عام 1429 - 1430 هـ</t>
  </si>
  <si>
    <t>الطلبة المستجدون الدارسون في الخارج (المبتعثون) حسب مجال الدراسة والمرحلة الدراسية عام 1429 - 1430 هـ</t>
  </si>
  <si>
    <t>الطلبة المستجدون الدارسون في الخارج ( الدراسون على حسابهم الخاص ) حسب مجال الدراسة والمرحلة الدراسية عام 1429 - 1430 هـ</t>
  </si>
  <si>
    <t>الطلبة المقيدون الدارسون في الخارج (المبتعثون والدارسون على حسابهم الخاص) حسب مجال الدراسة والمرحلة الدراسية عام 1429 - 1430 هـ</t>
  </si>
  <si>
    <t xml:space="preserve">علوم أجتماعية </t>
  </si>
  <si>
    <t>الطلبة المقيدون الدارسون في الخارج (المبتعثون ) حسب مجال الدراسة والمرحلة الدراسية عام 1429 - 1430 هـ</t>
  </si>
  <si>
    <t>الطلبة المقيدون الدارسون في الخارج ( الدارسون على حسابهم الخاص ) حسب مجال الدراسة والمرحلة الدراسية عام 1429 - 1430 هـ</t>
  </si>
  <si>
    <t>الطلبة المقيدون الدارسون في الخارج (المبتعثون والدارسون على حسابهم الخاص) حسب الملحقية والمرحلة الدراسية عام 1429 - 1430 هـ</t>
  </si>
  <si>
    <t>الطلبة المقيدون الدارسون في الخارج (المبتعثون ) حسب الملحقية والمرحلة الدراسية عام 1429 - 1430 هـ</t>
  </si>
  <si>
    <t>الطلبة المقيدون الدارسون في الخارج ( الدارسون على حسابهم الخاص ) حسب الملحقية والمرحلة الدراسية عام 1429 - 1430 هـ</t>
  </si>
  <si>
    <t>الطلبة المقيدون الدارسون في الخارج (المبتعثون والدارسون على حسابهم الخاص) حسب مجال الدراسة والملحقية عام 1429 - 1430 هـ</t>
  </si>
  <si>
    <t>الطلبة المقيدون الدارسون في الخارج ( المبتعثون ) حسب مجال الدراسة والملحقية عام 1429 - 1430 هـ</t>
  </si>
  <si>
    <t>الطلبة المقيدون الدارسون في الخارج ( الدارسون على حسابهم الخاص) حسب مجال الدراسة والملحقية عام 1429 - 1430 هـ</t>
  </si>
  <si>
    <t>الطلبة الخريجون الدارسون في الخارج (المبتعثون والدارسون على حسابهم الخاص) حسب مجال الدراسة ومستوى الدراسة عام 1428 - 1429 هـ</t>
  </si>
  <si>
    <t>جدول (9-1)</t>
  </si>
  <si>
    <t>الطلبة الخريجون الدارسون في الخارج المبتعثون  حسب مجال الدراسة ومستوى الدراسة عام 1428 - 1429 هـ</t>
  </si>
  <si>
    <t>جدول (9-2)</t>
  </si>
  <si>
    <t>الطلبة الخريجون الدارسون في الخارج على حسابهم الخاص  حسب مجال الدراسة ومستوى الدراسة عام 1428 - 1429 هـ</t>
  </si>
  <si>
    <t>جدول (9-3)</t>
  </si>
  <si>
    <t>الطلبة الخريجون الدارسون في الخارج (المبتعثون والدارسون على حسابهم الخاص) حسب الملحقية الثقافية ومستوى الدراسة عام 1428 - 1429 هـ</t>
  </si>
  <si>
    <t>جدول (9-4)</t>
  </si>
  <si>
    <t xml:space="preserve"> الملحقية الثقافية</t>
  </si>
  <si>
    <t>الطلبة الخريجون الدارسون في الخارج المبتعثون  حسب الملحقية الثقافية ومستوى الدراسة عام 1428 - 1429 هـ</t>
  </si>
  <si>
    <t>جدول (9-5)</t>
  </si>
  <si>
    <t>الطلبة الخريجون الدارسون في الخارج على حسابهم الخاص  حسب الملحقية الثقافية ومستوى الدراسة عام 1428 - 1429 هـ</t>
  </si>
  <si>
    <t>جدول (9-6)</t>
  </si>
  <si>
    <t>الطلبة الخريجون الدارسون في الخارج (المبتعثون والدارسون على حسابهم الخاص) حسب الملحقية الثقافية ومجال الدراسة عام 1428 - 1429 هـ</t>
  </si>
  <si>
    <t>جدول (9-7)</t>
  </si>
  <si>
    <t xml:space="preserve">قانون   </t>
  </si>
  <si>
    <t>علوم إجتماعية</t>
  </si>
  <si>
    <t>الطلبة الخريجون الدارسون في الخارج المبتعثون  حسب الملحقية الثقافية ومجال الدراسة عام 1428 - 1429 هـ</t>
  </si>
  <si>
    <t>جدول (9-8)</t>
  </si>
  <si>
    <t>الطلبة الخريجون الدارسون في الخارج على حسابهم الخاص  حسب الملحقية الثقافية ومجال الدراسة عام 1428 - 1429 هـ</t>
  </si>
  <si>
    <t>جدول (9-9)</t>
  </si>
  <si>
    <t>فهرس الجداول الإحصائية</t>
  </si>
  <si>
    <t>رقم الجدول</t>
  </si>
  <si>
    <r>
      <t xml:space="preserve">                                                 </t>
    </r>
    <r>
      <rPr>
        <b/>
        <u/>
        <sz val="16"/>
        <color indexed="8"/>
        <rFont val="Arial"/>
        <family val="2"/>
      </rPr>
      <t xml:space="preserve">  أسم الجدول</t>
    </r>
  </si>
  <si>
    <t>الفصل الأول خلاصات إحصائية</t>
  </si>
  <si>
    <t>(1-1)</t>
  </si>
  <si>
    <t>(1-2)</t>
  </si>
  <si>
    <t>(1-3)</t>
  </si>
  <si>
    <t>(1-4)</t>
  </si>
  <si>
    <t>(1-5)</t>
  </si>
  <si>
    <t>(1-6)</t>
  </si>
  <si>
    <t>(1-7)</t>
  </si>
  <si>
    <t>(1-8)</t>
  </si>
  <si>
    <t>(1-9)</t>
  </si>
  <si>
    <t>(1-10)</t>
  </si>
  <si>
    <t>(1-11)</t>
  </si>
  <si>
    <t>الفصل الثاني الطلبة المستجدون</t>
  </si>
  <si>
    <t>(2-1)</t>
  </si>
  <si>
    <t>(2-2)</t>
  </si>
  <si>
    <t>(2-3)</t>
  </si>
  <si>
    <t>(2-4)</t>
  </si>
  <si>
    <t>(2-5)</t>
  </si>
  <si>
    <t>(2-6)</t>
  </si>
  <si>
    <t>(2-7)</t>
  </si>
  <si>
    <t>(2-8)</t>
  </si>
  <si>
    <t>(2-9)</t>
  </si>
  <si>
    <t>الفصل الثالث الطلبة المقيدون</t>
  </si>
  <si>
    <t>(3-1)</t>
  </si>
  <si>
    <t>(3-2)</t>
  </si>
  <si>
    <t>(3-3)</t>
  </si>
  <si>
    <t>(3-4)</t>
  </si>
  <si>
    <t>(3-5)</t>
  </si>
  <si>
    <t>(3-6)</t>
  </si>
  <si>
    <t>(3-7)</t>
  </si>
  <si>
    <t>(3-8)</t>
  </si>
  <si>
    <t>(3-9)</t>
  </si>
  <si>
    <t>الفصل الرابع الطلبة الخريجون</t>
  </si>
  <si>
    <t>(4-1)</t>
  </si>
  <si>
    <t>(4-2)</t>
  </si>
  <si>
    <t>(4-3)</t>
  </si>
  <si>
    <t>(4-4)</t>
  </si>
  <si>
    <t>(4-5)</t>
  </si>
  <si>
    <t>(4-6)</t>
  </si>
  <si>
    <t>(4-7)</t>
  </si>
  <si>
    <t>(4-8)</t>
  </si>
  <si>
    <t>(4-9)</t>
  </si>
  <si>
    <t>الفصل الخامس أعضاء هيئة التدريس</t>
  </si>
  <si>
    <t>(5-1)</t>
  </si>
  <si>
    <t>(5-2)</t>
  </si>
  <si>
    <t>(5-3)</t>
  </si>
  <si>
    <t>(5-4)</t>
  </si>
  <si>
    <t>الفصل السادس الإداريون والفنيون</t>
  </si>
  <si>
    <t>(6-1)</t>
  </si>
  <si>
    <t>(6-2)</t>
  </si>
  <si>
    <t>(6-3)</t>
  </si>
  <si>
    <t>(6-4)</t>
  </si>
  <si>
    <t>الفصل السابع الطلبة المستجدون الدارسون في الخارج</t>
  </si>
  <si>
    <t>(7-1)</t>
  </si>
  <si>
    <t>(7-2)</t>
  </si>
  <si>
    <t>(7-3)</t>
  </si>
  <si>
    <t>(7-4)</t>
  </si>
  <si>
    <t>(7-5)</t>
  </si>
  <si>
    <t>(7-6)</t>
  </si>
  <si>
    <t>(7-7)</t>
  </si>
  <si>
    <t>(7-8)</t>
  </si>
  <si>
    <t>(7-9)</t>
  </si>
  <si>
    <t>الفصل الثامن الطلبة المقيدون الدارسون في الخارج</t>
  </si>
  <si>
    <t>(8-1)</t>
  </si>
  <si>
    <t>(8-2)</t>
  </si>
  <si>
    <t>(8-3)</t>
  </si>
  <si>
    <t>(8-4)</t>
  </si>
  <si>
    <t>(8-5)</t>
  </si>
  <si>
    <t>(8-6)</t>
  </si>
  <si>
    <t>(8-7)</t>
  </si>
  <si>
    <t>(8-8)</t>
  </si>
  <si>
    <t>(8-9)</t>
  </si>
  <si>
    <t>الفصل التاسع الطلبة الخريجون الدارسون في الخارج</t>
  </si>
  <si>
    <t>(9-1)</t>
  </si>
  <si>
    <t>(9-2)</t>
  </si>
  <si>
    <t>(9-3)</t>
  </si>
  <si>
    <t>(9-4)</t>
  </si>
  <si>
    <t>(9-5)</t>
  </si>
  <si>
    <t>(9-6)</t>
  </si>
  <si>
    <t>(9-7)</t>
  </si>
  <si>
    <t>(9-8)</t>
  </si>
  <si>
    <t>(9-9)</t>
  </si>
  <si>
    <t>خلاصة إحصائية عن الطلبة حسب الجهة لعام 1429 - 1430 هـ</t>
  </si>
  <si>
    <t>خلاصة إحصائية عن الطلبة حسب مجال الدراسة لعام 1429 - 1430 هـ</t>
  </si>
  <si>
    <t>خلاصة إحصائية عن كليات المجتمع لعام 1429 - 1430 هـ</t>
  </si>
  <si>
    <t>الطلبة المستجدون في مرحلة دون البكالوريوس حسب الجهة لعام 1429 - 1430 هـ</t>
  </si>
  <si>
    <t>الطلبة المستجدون في مرحلة دون البكالوريوس حسب مجال الدراسة لعام 1429 - 1430 هـ</t>
  </si>
  <si>
    <t>الطلبة المستجدون في مرحلة البكالوريوس حسب الجهة لعام 1429 - 1430 هـ</t>
  </si>
  <si>
    <t>الطلبة المستجدون في مرحلة البكالوريوس حسب مجال الدراسة لعام 1429 - 1430 هـ</t>
  </si>
  <si>
    <t>الطلبة المستجدون في مرحلة الدراسات العليا حسب الجهة لعام 1429 - 1430 هـ</t>
  </si>
  <si>
    <t>الطلبة المستجدون في مرحلة الدراسات العليا حسب مجال الدراسة لعام 1429 - 1430 هـ</t>
  </si>
  <si>
    <t>الطلبة المستجدون في مرحلة دون البكالوريوس حسب الجهة والكلية لعام 1429 - 1430 هـ</t>
  </si>
  <si>
    <t>الطلبة المستجدون في مرحلة البكالوريوس حسب الجهة والكلية لعام 1429 - 1430 هـ</t>
  </si>
  <si>
    <t>الطلبة المستجدون في مرحلة الدراسات العليا حسب الجهة والكلية لعام 1429 - 1430 هـ</t>
  </si>
  <si>
    <t xml:space="preserve">الطلبة المقيدون في مرحلة دون البكالوريوس حسب الجهة عام 1429 - 1430 هـ </t>
  </si>
  <si>
    <t xml:space="preserve">الطلبة المقيدون في مرحلة دون البكالوريوس حسب مجال الدراسة عام 1429 - 1430 هـ </t>
  </si>
  <si>
    <t xml:space="preserve">الطلبة المقيدون في مرحلة البكالوريوس حسب الجهة عام 1429 - 1430 هـ </t>
  </si>
  <si>
    <t xml:space="preserve">الطلبة المقيدون في مرحلة البكالوريوس حسب مجال الدراسة عام 1429 - 1430 هـ </t>
  </si>
  <si>
    <t xml:space="preserve">الطلبة المقيدون في مرحلة الدراسات العليا حسب الجهة عام 1429 - 1430 هـ </t>
  </si>
  <si>
    <t xml:space="preserve">الطلبة المقيدون في مرحلة الدراسات العليا حسب مجال الدراسة عام 1429 - 1430 هـ </t>
  </si>
  <si>
    <t xml:space="preserve">الطلبة المقيدون في مرحلة دون البكالوريوس حسب الجهة والكلية عام 1429 - 1430 هـ </t>
  </si>
  <si>
    <t xml:space="preserve">الطلبة المقيدون في مرحلة البكالوريوس حسب الجهة والكلية عام 1429 - 1430 هـ </t>
  </si>
  <si>
    <t xml:space="preserve">الطلبة المقيدون في مرحلة الدراسات العليا حسب الجهة والكلية عام 1429 - 1430 هـ </t>
  </si>
  <si>
    <t>الطلبة الخريجون في مرحلة دون البكالوريوس حسب الجهة عام  1428 - 1429 هـ</t>
  </si>
  <si>
    <t>الطلبة الخريجون في مرحلة دون البكالوريوس حسب مجال الدراسة عام 1428 - 1429 هـ</t>
  </si>
  <si>
    <t>الطلبة الخريجون في مرحلة دون البكالوريوس حسب الجهة والكلية لعام 1428 - 1429 هـ</t>
  </si>
  <si>
    <t>الطلبة الخريجون في مرحلة البكالوريوس حسب الجهة والكلية لعام 1428 - 1429 هـ</t>
  </si>
  <si>
    <t>الطلبة الخريجون في مرحلة الدراسات العليا حسب الجهة والكلية لعام 1428 - 1429 هـ</t>
  </si>
  <si>
    <t>أعضاء هيئة التدريس حسب المرتبة العلمية والجهة لعام  1429 - 1430 هـ</t>
  </si>
  <si>
    <t>أعضاء هيئة التدريس حسب المرتبة العلمية والجهة والكلية لعام  1429 - 1430 هـ</t>
  </si>
  <si>
    <t>أعضاء هيئة التدريس حسب الجهة والمؤهل العلمي لعام  1429 - 1430 هـ</t>
  </si>
  <si>
    <t>أعضاء هيئة التدريس حسب الجهة والمؤهل العلمي والكلية لعام  1429 - 1430 هـ</t>
  </si>
  <si>
    <t>الإداريون والفنيون حسب الجهة لعام 1429 - 1430 هـ</t>
  </si>
  <si>
    <t>الإداريون والفنيون حسب الجهة والكلية لعام 1429 - 1430 هـ</t>
  </si>
  <si>
    <t>الإداريون والفنيون حسب الجهة والمؤهل العلمي لعام 1429 - 1430 هـ</t>
  </si>
  <si>
    <t>الإداريون والفنيون حسب الجهة والمؤهل العلمي والكلية لعام 1429 - 1430 هـ</t>
  </si>
  <si>
    <t>الطلبة المستجدون الدارسون في الخارج حسب مجال الدراسة ومستوى الدراسة عام 1429 - 1430 هـ</t>
  </si>
  <si>
    <t>الطلبة المستجدون الدارسون في الخارج المبتعثون حسب مجال الدراسة ومستوى الدراسة عام 1429 - 1430 هـ</t>
  </si>
  <si>
    <t>الطلبة المستجدون الدارسون في الخارج على حسابهم الخاص حسب مجال الدراسة ومستوى الدراسة عام 1429 - 1430 هـ</t>
  </si>
  <si>
    <t>الطلبة المستجدون الدارسون في الخارج حسب الملحقية الثقافية ومستوى الدراسة عام 1429 - 1430 هـ</t>
  </si>
  <si>
    <t>الطلبة المستجدون الدارسون في الخارج المبتعثون حسب الملحقية الثقافية ومستوى الدراسة عام 1429 - 1430 هـ</t>
  </si>
  <si>
    <t>الطلبة المستجدون الدارسون في الخارج على حسابهم الخاص حسب الملحقية الثقافية ومستوى الدراسة عام 1429 - 1430 هـ</t>
  </si>
  <si>
    <t>الطلبة المستجدون الدارسون في الخارج حسب الملحقية الثقافية ومجال الدراسة عام 1429 - 1430 هـ</t>
  </si>
  <si>
    <t>الطلبة المستجدون الدارسون في الخارج المبتعثون حسب الملحقية الثقافية ومجال الدراسة عام 1429 - 1430 هـ</t>
  </si>
  <si>
    <t>الطلبة المستجدون الدارسون في الخارج على حسابهم الخاص حسب الملحقية الثقافية ومجال الدراسة عام 1429 - 1430 هـ</t>
  </si>
  <si>
    <t>الطلبة المقيدون الدارسون في الخارج حسب مجال الدراسة ومستوى الدراسة لعام 1429 - 1430 هـ</t>
  </si>
  <si>
    <t>الطلبة المقيدون الدارسون في الخارج المبتعثون حسب مجال الدراسة ومستوى الدراسة لعام 1429 - 1430 هـ</t>
  </si>
  <si>
    <t>الطلبة المقيدون الدارسون في الخارج على حسابهم الخاص حسب مجال الدراسة ومستوى الدراسة لعام 1429 - 1430 هـ</t>
  </si>
  <si>
    <t>الطلبة المقيدون الدارسون في الخارج حسب الملحقية الثقافية ومستوى الدراسة لعام 1429 - 1430 هـ</t>
  </si>
  <si>
    <t>الطلبة المقيدون الدارسون في الخارج المبتعثون حسب الملحقية الثقافية ومستوى الدراسة لعام 1429 - 1430 هـ</t>
  </si>
  <si>
    <t>الطلبة المقيدون الدارسون في الخارج على حسابهم الخاص حسب الملحقية الثقافية ومستوى الدراسة لعام 1429 - 1430 هـ</t>
  </si>
  <si>
    <t>الطلبة المقيدون الدارسون في الخارج حسب الملحقية الثقافية ومجال الدراسة لعام 1429 - 1430 هـ</t>
  </si>
  <si>
    <t>الطلبة المقيدون الدارسون في الخارج المبتعثون حسب الملحقية الثقافية ومجال الدراسة لعام 1429 - 1430 هـ</t>
  </si>
  <si>
    <t>الطلبة المقيدون الدارسون في الخارج على حسابهم الخاص حسب الملحقية الثقافية ومجال الدراسة لعام 1429 - 1430 هـ</t>
  </si>
  <si>
    <t>الطلبة الخريجون الدارسون في الخارج حسب مجال الدراسة ومستوى الدراسة لعام 1428 - 1429 هـ</t>
  </si>
  <si>
    <t>الطلبة الخريجون الدارسون في الخارج المبتعثون حسب مجال الدراسة ومستوى الدراسة لعام 1428 - 1429 هـ</t>
  </si>
  <si>
    <t>الطلبة الخريجون الدارسون في الخارج على حسابهم الخاص حسب مجال الدراسة ومستوى الدراسة لعام 1428 - 1429 هـ</t>
  </si>
  <si>
    <t>الطلبة الخريجون الدارسون في الخارج حسب الملحقية الثقافية ومستوى الدراسة لعام 1428 - 1429 هـ</t>
  </si>
  <si>
    <t>الطلبة الخريجون الدارسون في الخارج المبتعثون حسب الملحقية الثقافية ومستوى الدراسة لعام 1428 - 1429 هـ</t>
  </si>
  <si>
    <t>الطلبة الخريجون الدارسون في الخارج على حسابهم الخاص حسب الملحقية الثقافية ومستوى الدراسة لعام 1428 - 1429 هـ</t>
  </si>
  <si>
    <t>الطلبة الخريجون الدارسون في الخارج حسب الملحقية الثقافية ومجال الدراسة لعام 1428 - 1429 هـ</t>
  </si>
  <si>
    <t>الطلبة الخريجون الدارسون في الخارج المبتعثون حسب الملحقية الثقافية ومجال الدراسة لعام 1428 - 1429 هـ</t>
  </si>
  <si>
    <t>الطلبة الخريجون الدارسون في الخارج على حسابهم الخاص حسب الملحقية الثقافية ومجال الدراسة لعام 1428 - 1429 هـ</t>
  </si>
  <si>
    <t xml:space="preserve">فهرس جداول العدد الثاني والثلاثون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</si>
</sst>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10409]General"/>
  </numFmts>
  <fonts count="48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Arial"/>
      <family val="2"/>
      <scheme val="minor"/>
    </font>
    <font>
      <b/>
      <sz val="10"/>
      <color rgb="FFFF0000"/>
      <name val="Arial"/>
      <family val="2"/>
    </font>
    <font>
      <b/>
      <sz val="12"/>
      <name val="Arial"/>
      <family val="2"/>
    </font>
    <font>
      <b/>
      <sz val="10"/>
      <color theme="1"/>
      <name val="Arial"/>
      <family val="2"/>
    </font>
    <font>
      <b/>
      <sz val="11"/>
      <name val="Arial"/>
      <family val="2"/>
    </font>
    <font>
      <b/>
      <sz val="16"/>
      <name val="Arial"/>
      <family val="2"/>
    </font>
    <font>
      <b/>
      <sz val="11"/>
      <color theme="1"/>
      <name val="Arial"/>
      <family val="2"/>
    </font>
    <font>
      <sz val="10"/>
      <color rgb="FFFF0000"/>
      <name val="Arial"/>
      <family val="2"/>
    </font>
    <font>
      <sz val="11"/>
      <color rgb="FFFF0000"/>
      <name val="Arial"/>
      <family val="2"/>
    </font>
    <font>
      <sz val="11"/>
      <name val="Arial"/>
      <family val="2"/>
    </font>
    <font>
      <sz val="9"/>
      <name val="Arial"/>
      <family val="2"/>
    </font>
    <font>
      <b/>
      <sz val="14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8"/>
      <color indexed="8"/>
      <name val="Arial"/>
      <family val="2"/>
    </font>
    <font>
      <b/>
      <sz val="7"/>
      <color indexed="8"/>
      <name val="Arial"/>
      <family val="2"/>
    </font>
    <font>
      <b/>
      <sz val="9"/>
      <color rgb="FFFF0000"/>
      <name val="Arial"/>
      <family val="2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b/>
      <sz val="20"/>
      <color theme="1"/>
      <name val="Arial"/>
      <family val="2"/>
      <scheme val="minor"/>
    </font>
    <font>
      <b/>
      <u/>
      <sz val="20"/>
      <color theme="1"/>
      <name val="Arial"/>
      <family val="2"/>
    </font>
    <font>
      <b/>
      <u/>
      <sz val="16"/>
      <color theme="1"/>
      <name val="Arial"/>
      <family val="2"/>
    </font>
    <font>
      <b/>
      <sz val="16"/>
      <color theme="1"/>
      <name val="Arial"/>
      <family val="2"/>
    </font>
    <font>
      <b/>
      <u/>
      <sz val="16"/>
      <color indexed="8"/>
      <name val="Arial"/>
      <family val="2"/>
    </font>
    <font>
      <b/>
      <u/>
      <sz val="18"/>
      <color theme="1"/>
      <name val="Arial"/>
      <family val="2"/>
    </font>
    <font>
      <u/>
      <sz val="11"/>
      <color theme="10"/>
      <name val="Arial"/>
      <family val="2"/>
      <charset val="178"/>
    </font>
    <font>
      <b/>
      <sz val="12"/>
      <color theme="5" tint="-0.249977111117893"/>
      <name val="Arial"/>
      <family val="2"/>
    </font>
    <font>
      <b/>
      <sz val="16"/>
      <name val="Traditional Arabic"/>
      <family val="1"/>
    </font>
    <font>
      <b/>
      <sz val="16"/>
      <color theme="1"/>
      <name val="Traditional Arabic"/>
      <family val="1"/>
    </font>
    <font>
      <b/>
      <sz val="18"/>
      <color theme="1"/>
      <name val="Times New Roman"/>
      <family val="1"/>
    </font>
    <font>
      <b/>
      <sz val="15"/>
      <color theme="1"/>
      <name val="Traditional Arabic"/>
      <family val="1"/>
    </font>
    <font>
      <b/>
      <sz val="14"/>
      <color theme="1"/>
      <name val="Traditional Arabic"/>
      <family val="1"/>
    </font>
    <font>
      <sz val="10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theme="0" tint="-0.14999847407452621"/>
      </patternFill>
    </fill>
  </fills>
  <borders count="68">
    <border>
      <left/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8"/>
      </top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8"/>
      </left>
      <right style="medium">
        <color indexed="64"/>
      </right>
      <top/>
      <bottom style="medium">
        <color indexed="64"/>
      </bottom>
      <diagonal/>
    </border>
    <border>
      <left style="medium">
        <color indexed="8"/>
      </left>
      <right style="medium">
        <color indexed="64"/>
      </right>
      <top/>
      <bottom style="medium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8"/>
      </top>
      <bottom style="thin">
        <color indexed="64"/>
      </bottom>
      <diagonal/>
    </border>
    <border>
      <left/>
      <right style="thin">
        <color indexed="64"/>
      </right>
      <top style="medium">
        <color indexed="8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64"/>
      </top>
      <bottom style="medium">
        <color indexed="8"/>
      </bottom>
      <diagonal/>
    </border>
    <border>
      <left style="medium">
        <color indexed="8"/>
      </left>
      <right style="thin">
        <color indexed="64"/>
      </right>
      <top style="thin">
        <color indexed="64"/>
      </top>
      <bottom style="medium">
        <color indexed="8"/>
      </bottom>
      <diagonal/>
    </border>
    <border>
      <left style="medium">
        <color indexed="8"/>
      </left>
      <right style="thin">
        <color indexed="64"/>
      </right>
      <top/>
      <bottom style="medium">
        <color indexed="8"/>
      </bottom>
      <diagonal/>
    </border>
    <border>
      <left style="medium">
        <color indexed="8"/>
      </left>
      <right style="thin">
        <color indexed="64"/>
      </right>
      <top/>
      <bottom/>
      <diagonal/>
    </border>
    <border>
      <left style="medium">
        <color indexed="8"/>
      </left>
      <right style="thin">
        <color indexed="64"/>
      </right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8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8"/>
      </bottom>
      <diagonal/>
    </border>
    <border>
      <left style="medium">
        <color indexed="64"/>
      </left>
      <right style="medium">
        <color indexed="8"/>
      </right>
      <top style="medium">
        <color indexed="8"/>
      </top>
      <bottom style="medium">
        <color indexed="64"/>
      </bottom>
      <diagonal/>
    </border>
    <border>
      <left style="medium">
        <color indexed="8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/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8"/>
      </bottom>
      <diagonal/>
    </border>
    <border>
      <left style="medium">
        <color indexed="8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3" fillId="0" borderId="0">
      <alignment wrapText="1"/>
    </xf>
    <xf numFmtId="0" fontId="8" fillId="0" borderId="0">
      <alignment wrapText="1"/>
    </xf>
    <xf numFmtId="0" fontId="3" fillId="0" borderId="0">
      <alignment wrapText="1"/>
    </xf>
    <xf numFmtId="0" fontId="23" fillId="0" borderId="0">
      <alignment wrapText="1"/>
    </xf>
    <xf numFmtId="0" fontId="2" fillId="0" borderId="0"/>
    <xf numFmtId="0" fontId="33" fillId="0" borderId="0"/>
    <xf numFmtId="0" fontId="40" fillId="0" borderId="0" applyNumberFormat="0" applyFill="0" applyBorder="0" applyAlignment="0" applyProtection="0">
      <alignment vertical="top"/>
      <protection locked="0"/>
    </xf>
  </cellStyleXfs>
  <cellXfs count="634">
    <xf numFmtId="0" fontId="0" fillId="0" borderId="0" xfId="0"/>
    <xf numFmtId="0" fontId="4" fillId="0" borderId="0" xfId="1" applyFont="1" applyFill="1" applyBorder="1" applyAlignment="1">
      <alignment vertical="top" wrapText="1"/>
    </xf>
    <xf numFmtId="0" fontId="3" fillId="0" borderId="0" xfId="1">
      <alignment wrapText="1"/>
    </xf>
    <xf numFmtId="0" fontId="5" fillId="0" borderId="2" xfId="1" applyFont="1" applyFill="1" applyBorder="1" applyAlignment="1">
      <alignment horizontal="center" vertical="center" wrapText="1"/>
    </xf>
    <xf numFmtId="0" fontId="5" fillId="0" borderId="1" xfId="1" applyFont="1" applyFill="1" applyBorder="1" applyAlignment="1">
      <alignment horizontal="center" vertical="center" wrapText="1"/>
    </xf>
    <xf numFmtId="0" fontId="5" fillId="0" borderId="3" xfId="1" applyFont="1" applyFill="1" applyBorder="1" applyAlignment="1">
      <alignment horizontal="center" vertical="center" wrapText="1"/>
    </xf>
    <xf numFmtId="164" fontId="5" fillId="0" borderId="1" xfId="1" applyNumberFormat="1" applyFont="1" applyFill="1" applyBorder="1" applyAlignment="1">
      <alignment horizontal="center" vertical="top" wrapText="1"/>
    </xf>
    <xf numFmtId="0" fontId="5" fillId="0" borderId="1" xfId="1" applyFont="1" applyFill="1" applyBorder="1" applyAlignment="1">
      <alignment horizontal="center" vertical="top" wrapText="1"/>
    </xf>
    <xf numFmtId="0" fontId="5" fillId="0" borderId="4" xfId="1" applyFont="1" applyFill="1" applyBorder="1" applyAlignment="1">
      <alignment horizontal="center" vertical="top" wrapText="1"/>
    </xf>
    <xf numFmtId="0" fontId="5" fillId="0" borderId="3" xfId="1" applyFont="1" applyFill="1" applyBorder="1" applyAlignment="1">
      <alignment vertical="top" wrapText="1"/>
    </xf>
    <xf numFmtId="0" fontId="5" fillId="0" borderId="4" xfId="1" applyFont="1" applyFill="1" applyBorder="1" applyAlignment="1">
      <alignment horizontal="center" vertical="center" wrapText="1"/>
    </xf>
    <xf numFmtId="164" fontId="3" fillId="0" borderId="0" xfId="1" applyNumberFormat="1">
      <alignment wrapText="1"/>
    </xf>
    <xf numFmtId="0" fontId="7" fillId="0" borderId="0" xfId="1" applyFont="1" applyFill="1" applyBorder="1" applyAlignment="1">
      <alignment vertical="top" wrapText="1"/>
    </xf>
    <xf numFmtId="0" fontId="6" fillId="0" borderId="1" xfId="1" applyFont="1" applyFill="1" applyBorder="1" applyAlignment="1">
      <alignment horizontal="center" vertical="center" wrapText="1"/>
    </xf>
    <xf numFmtId="0" fontId="6" fillId="0" borderId="2" xfId="1" applyFont="1" applyFill="1" applyBorder="1" applyAlignment="1">
      <alignment horizontal="center" vertical="center" wrapText="1"/>
    </xf>
    <xf numFmtId="164" fontId="6" fillId="0" borderId="1" xfId="1" applyNumberFormat="1" applyFont="1" applyFill="1" applyBorder="1" applyAlignment="1">
      <alignment horizontal="center" vertical="top" wrapText="1"/>
    </xf>
    <xf numFmtId="0" fontId="6" fillId="0" borderId="1" xfId="1" applyFont="1" applyFill="1" applyBorder="1" applyAlignment="1">
      <alignment horizontal="center" vertical="top" wrapText="1"/>
    </xf>
    <xf numFmtId="0" fontId="6" fillId="0" borderId="4" xfId="1" applyFont="1" applyFill="1" applyBorder="1" applyAlignment="1">
      <alignment horizontal="center" vertical="top" wrapText="1"/>
    </xf>
    <xf numFmtId="0" fontId="6" fillId="0" borderId="3" xfId="1" applyFont="1" applyFill="1" applyBorder="1" applyAlignment="1">
      <alignment vertical="top" wrapText="1"/>
    </xf>
    <xf numFmtId="0" fontId="6" fillId="0" borderId="9" xfId="1" applyFont="1" applyFill="1" applyBorder="1" applyAlignment="1">
      <alignment horizontal="center" vertical="center" wrapText="1"/>
    </xf>
    <xf numFmtId="0" fontId="8" fillId="0" borderId="0" xfId="1" applyFont="1">
      <alignment wrapText="1"/>
    </xf>
    <xf numFmtId="0" fontId="3" fillId="0" borderId="0" xfId="1" applyAlignment="1"/>
    <xf numFmtId="0" fontId="6" fillId="0" borderId="0" xfId="1" applyFont="1" applyFill="1" applyBorder="1" applyAlignment="1">
      <alignment horizontal="center" vertical="top" wrapText="1"/>
    </xf>
    <xf numFmtId="164" fontId="6" fillId="0" borderId="1" xfId="1" applyNumberFormat="1" applyFont="1" applyFill="1" applyBorder="1" applyAlignment="1">
      <alignment horizontal="center" vertical="center" wrapText="1"/>
    </xf>
    <xf numFmtId="0" fontId="6" fillId="0" borderId="17" xfId="1" applyFont="1" applyFill="1" applyBorder="1" applyAlignment="1">
      <alignment horizontal="center" vertical="top" wrapText="1"/>
    </xf>
    <xf numFmtId="0" fontId="6" fillId="0" borderId="16" xfId="1" applyFont="1" applyFill="1" applyBorder="1" applyAlignment="1">
      <alignment horizontal="center" vertical="top" wrapText="1"/>
    </xf>
    <xf numFmtId="0" fontId="6" fillId="0" borderId="18" xfId="1" applyFont="1" applyFill="1" applyBorder="1" applyAlignment="1">
      <alignment horizontal="center" vertical="top" wrapText="1"/>
    </xf>
    <xf numFmtId="164" fontId="6" fillId="0" borderId="16" xfId="1" applyNumberFormat="1" applyFont="1" applyFill="1" applyBorder="1" applyAlignment="1">
      <alignment horizontal="center" vertical="top" wrapText="1"/>
    </xf>
    <xf numFmtId="0" fontId="6" fillId="0" borderId="19" xfId="1" applyFont="1" applyFill="1" applyBorder="1" applyAlignment="1">
      <alignment horizontal="center" vertical="top" wrapText="1"/>
    </xf>
    <xf numFmtId="0" fontId="6" fillId="0" borderId="1" xfId="1" applyFont="1" applyFill="1" applyBorder="1" applyAlignment="1">
      <alignment horizontal="center" vertical="center" wrapText="1"/>
    </xf>
    <xf numFmtId="0" fontId="8" fillId="0" borderId="0" xfId="2">
      <alignment wrapText="1"/>
    </xf>
    <xf numFmtId="0" fontId="3" fillId="0" borderId="0" xfId="1" applyAlignment="1">
      <alignment horizontal="center" wrapText="1"/>
    </xf>
    <xf numFmtId="3" fontId="5" fillId="0" borderId="1" xfId="1" applyNumberFormat="1" applyFont="1" applyFill="1" applyBorder="1" applyAlignment="1">
      <alignment horizontal="center" vertical="top" wrapText="1"/>
    </xf>
    <xf numFmtId="3" fontId="5" fillId="0" borderId="1" xfId="1" applyNumberFormat="1" applyFont="1" applyFill="1" applyBorder="1" applyAlignment="1">
      <alignment horizontal="center" vertical="center" wrapText="1"/>
    </xf>
    <xf numFmtId="3" fontId="5" fillId="0" borderId="1" xfId="0" applyNumberFormat="1" applyFont="1" applyFill="1" applyBorder="1" applyAlignment="1">
      <alignment horizontal="center" vertical="center" wrapText="1"/>
    </xf>
    <xf numFmtId="3" fontId="6" fillId="0" borderId="1" xfId="1" applyNumberFormat="1" applyFont="1" applyFill="1" applyBorder="1" applyAlignment="1">
      <alignment horizontal="center" vertical="top" wrapText="1"/>
    </xf>
    <xf numFmtId="0" fontId="5" fillId="0" borderId="2" xfId="1" applyFont="1" applyFill="1" applyBorder="1" applyAlignment="1">
      <alignment horizontal="center" vertical="center" wrapText="1"/>
    </xf>
    <xf numFmtId="0" fontId="5" fillId="0" borderId="4" xfId="1" applyFont="1" applyFill="1" applyBorder="1" applyAlignment="1">
      <alignment horizontal="center" vertical="center" wrapText="1"/>
    </xf>
    <xf numFmtId="0" fontId="5" fillId="0" borderId="3" xfId="1" applyFont="1" applyFill="1" applyBorder="1" applyAlignment="1">
      <alignment horizontal="center" vertical="center" wrapText="1"/>
    </xf>
    <xf numFmtId="0" fontId="5" fillId="0" borderId="1" xfId="1" applyFont="1" applyFill="1" applyBorder="1" applyAlignment="1">
      <alignment horizontal="center" vertical="center" wrapText="1"/>
    </xf>
    <xf numFmtId="0" fontId="3" fillId="0" borderId="0" xfId="3" applyFont="1" applyFill="1" applyBorder="1" applyAlignment="1">
      <alignment vertical="top" wrapText="1"/>
    </xf>
    <xf numFmtId="0" fontId="3" fillId="0" borderId="0" xfId="3" applyFont="1">
      <alignment wrapText="1"/>
    </xf>
    <xf numFmtId="0" fontId="9" fillId="0" borderId="2" xfId="3" applyFont="1" applyFill="1" applyBorder="1" applyAlignment="1">
      <alignment horizontal="center" vertical="center" wrapText="1"/>
    </xf>
    <xf numFmtId="0" fontId="9" fillId="0" borderId="1" xfId="3" applyFont="1" applyFill="1" applyBorder="1" applyAlignment="1">
      <alignment horizontal="center" vertical="center" wrapText="1"/>
    </xf>
    <xf numFmtId="0" fontId="9" fillId="0" borderId="3" xfId="3" applyFont="1" applyFill="1" applyBorder="1" applyAlignment="1">
      <alignment horizontal="center" vertical="center" wrapText="1"/>
    </xf>
    <xf numFmtId="164" fontId="9" fillId="0" borderId="1" xfId="3" applyNumberFormat="1" applyFont="1" applyFill="1" applyBorder="1" applyAlignment="1">
      <alignment horizontal="center" vertical="top" wrapText="1"/>
    </xf>
    <xf numFmtId="0" fontId="9" fillId="0" borderId="1" xfId="3" applyFont="1" applyFill="1" applyBorder="1" applyAlignment="1">
      <alignment horizontal="right" vertical="top" wrapText="1"/>
    </xf>
    <xf numFmtId="0" fontId="5" fillId="2" borderId="1" xfId="3" applyNumberFormat="1" applyFont="1" applyFill="1" applyBorder="1" applyAlignment="1">
      <alignment horizontal="center" vertical="top" wrapText="1"/>
    </xf>
    <xf numFmtId="0" fontId="4" fillId="0" borderId="0" xfId="3" applyFont="1" applyFill="1" applyBorder="1" applyAlignment="1">
      <alignment horizontal="center" vertical="center" wrapText="1"/>
    </xf>
    <xf numFmtId="0" fontId="3" fillId="0" borderId="0" xfId="3" applyAlignment="1">
      <alignment horizontal="center" vertical="center" wrapText="1"/>
    </xf>
    <xf numFmtId="0" fontId="5" fillId="0" borderId="1" xfId="3" applyFont="1" applyFill="1" applyBorder="1" applyAlignment="1">
      <alignment horizontal="center" vertical="center" wrapText="1"/>
    </xf>
    <xf numFmtId="164" fontId="5" fillId="0" borderId="1" xfId="3" applyNumberFormat="1" applyFont="1" applyFill="1" applyBorder="1" applyAlignment="1">
      <alignment horizontal="center" vertical="center" wrapText="1"/>
    </xf>
    <xf numFmtId="0" fontId="5" fillId="0" borderId="1" xfId="3" applyFont="1" applyFill="1" applyBorder="1" applyAlignment="1">
      <alignment horizontal="right" vertical="center" wrapText="1"/>
    </xf>
    <xf numFmtId="0" fontId="5" fillId="0" borderId="3" xfId="3" applyFont="1" applyFill="1" applyBorder="1" applyAlignment="1">
      <alignment horizontal="center" vertical="center" wrapText="1"/>
    </xf>
    <xf numFmtId="0" fontId="3" fillId="0" borderId="0" xfId="3" applyAlignment="1">
      <alignment horizontal="right" vertical="center" wrapText="1"/>
    </xf>
    <xf numFmtId="0" fontId="4" fillId="0" borderId="0" xfId="3" applyFont="1" applyFill="1" applyBorder="1" applyAlignment="1">
      <alignment vertical="top" wrapText="1"/>
    </xf>
    <xf numFmtId="0" fontId="3" fillId="0" borderId="0" xfId="3">
      <alignment wrapText="1"/>
    </xf>
    <xf numFmtId="164" fontId="5" fillId="0" borderId="1" xfId="3" applyNumberFormat="1" applyFont="1" applyFill="1" applyBorder="1" applyAlignment="1">
      <alignment horizontal="center" vertical="top" wrapText="1"/>
    </xf>
    <xf numFmtId="0" fontId="5" fillId="0" borderId="1" xfId="3" applyFont="1" applyFill="1" applyBorder="1" applyAlignment="1">
      <alignment horizontal="center" vertical="top" wrapText="1"/>
    </xf>
    <xf numFmtId="0" fontId="5" fillId="0" borderId="4" xfId="3" applyFont="1" applyFill="1" applyBorder="1" applyAlignment="1">
      <alignment horizontal="right" vertical="top" wrapText="1"/>
    </xf>
    <xf numFmtId="0" fontId="5" fillId="0" borderId="3" xfId="3" applyFont="1" applyFill="1" applyBorder="1" applyAlignment="1">
      <alignment vertical="top" wrapText="1"/>
    </xf>
    <xf numFmtId="0" fontId="5" fillId="0" borderId="2" xfId="3" applyFont="1" applyFill="1" applyBorder="1" applyAlignment="1">
      <alignment horizontal="center" vertical="center" wrapText="1"/>
    </xf>
    <xf numFmtId="0" fontId="5" fillId="0" borderId="4" xfId="3" applyFont="1" applyFill="1" applyBorder="1" applyAlignment="1">
      <alignment horizontal="center" vertical="center" wrapText="1"/>
    </xf>
    <xf numFmtId="164" fontId="3" fillId="0" borderId="0" xfId="3" applyNumberFormat="1">
      <alignment wrapText="1"/>
    </xf>
    <xf numFmtId="0" fontId="9" fillId="0" borderId="1" xfId="3" applyFont="1" applyFill="1" applyBorder="1" applyAlignment="1">
      <alignment horizontal="center" vertical="top" wrapText="1"/>
    </xf>
    <xf numFmtId="164" fontId="11" fillId="0" borderId="1" xfId="3" applyNumberFormat="1" applyFont="1" applyFill="1" applyBorder="1" applyAlignment="1">
      <alignment horizontal="center" vertical="top" wrapText="1"/>
    </xf>
    <xf numFmtId="0" fontId="11" fillId="0" borderId="1" xfId="3" applyFont="1" applyFill="1" applyBorder="1" applyAlignment="1">
      <alignment horizontal="center" vertical="top" wrapText="1"/>
    </xf>
    <xf numFmtId="0" fontId="11" fillId="0" borderId="2" xfId="3" applyFont="1" applyFill="1" applyBorder="1" applyAlignment="1">
      <alignment horizontal="center" vertical="center" wrapText="1"/>
    </xf>
    <xf numFmtId="0" fontId="11" fillId="0" borderId="4" xfId="3" applyFont="1" applyFill="1" applyBorder="1" applyAlignment="1">
      <alignment horizontal="center" vertical="center" wrapText="1"/>
    </xf>
    <xf numFmtId="0" fontId="11" fillId="0" borderId="3" xfId="3" applyFont="1" applyFill="1" applyBorder="1" applyAlignment="1">
      <alignment horizontal="center" vertical="center" wrapText="1"/>
    </xf>
    <xf numFmtId="164" fontId="9" fillId="0" borderId="30" xfId="3" applyNumberFormat="1" applyFont="1" applyBorder="1" applyAlignment="1">
      <alignment horizontal="center" vertical="center" wrapText="1"/>
    </xf>
    <xf numFmtId="0" fontId="5" fillId="0" borderId="34" xfId="3" applyFont="1" applyFill="1" applyBorder="1" applyAlignment="1">
      <alignment horizontal="right" vertical="top" wrapText="1"/>
    </xf>
    <xf numFmtId="164" fontId="9" fillId="0" borderId="1" xfId="3" applyNumberFormat="1" applyFont="1" applyFill="1" applyBorder="1" applyAlignment="1">
      <alignment horizontal="center" vertical="center" wrapText="1"/>
    </xf>
    <xf numFmtId="0" fontId="9" fillId="0" borderId="4" xfId="3" applyFont="1" applyFill="1" applyBorder="1" applyAlignment="1">
      <alignment horizontal="right" vertical="top" wrapText="1"/>
    </xf>
    <xf numFmtId="0" fontId="9" fillId="0" borderId="34" xfId="3" applyFont="1" applyFill="1" applyBorder="1" applyAlignment="1">
      <alignment horizontal="right" vertical="top" wrapText="1"/>
    </xf>
    <xf numFmtId="0" fontId="9" fillId="0" borderId="4" xfId="3" applyFont="1" applyFill="1" applyBorder="1" applyAlignment="1">
      <alignment horizontal="center" vertical="center" wrapText="1"/>
    </xf>
    <xf numFmtId="0" fontId="3" fillId="0" borderId="0" xfId="3" applyAlignment="1">
      <alignment vertical="center" wrapText="1"/>
    </xf>
    <xf numFmtId="0" fontId="5" fillId="0" borderId="1" xfId="3" applyNumberFormat="1" applyFont="1" applyFill="1" applyBorder="1" applyAlignment="1">
      <alignment horizontal="center" vertical="top" wrapText="1"/>
    </xf>
    <xf numFmtId="0" fontId="5" fillId="2" borderId="1" xfId="3" applyFont="1" applyFill="1" applyBorder="1" applyAlignment="1">
      <alignment horizontal="right" vertical="center" wrapText="1"/>
    </xf>
    <xf numFmtId="0" fontId="5" fillId="2" borderId="3" xfId="3" applyFont="1" applyFill="1" applyBorder="1" applyAlignment="1">
      <alignment horizontal="right" vertical="center" wrapText="1"/>
    </xf>
    <xf numFmtId="0" fontId="3" fillId="0" borderId="0" xfId="1" applyNumberFormat="1">
      <alignment wrapText="1"/>
    </xf>
    <xf numFmtId="0" fontId="3" fillId="0" borderId="0" xfId="1" applyAlignment="1">
      <alignment vertical="center" wrapText="1"/>
    </xf>
    <xf numFmtId="1" fontId="3" fillId="0" borderId="0" xfId="1" applyNumberFormat="1">
      <alignment wrapText="1"/>
    </xf>
    <xf numFmtId="0" fontId="3" fillId="0" borderId="0" xfId="3" applyNumberFormat="1">
      <alignment wrapText="1"/>
    </xf>
    <xf numFmtId="0" fontId="13" fillId="0" borderId="1" xfId="1" applyFont="1" applyFill="1" applyBorder="1" applyAlignment="1">
      <alignment horizontal="center" vertical="center" wrapText="1"/>
    </xf>
    <xf numFmtId="164" fontId="13" fillId="0" borderId="1" xfId="1" applyNumberFormat="1" applyFont="1" applyFill="1" applyBorder="1" applyAlignment="1">
      <alignment horizontal="center" vertical="center" wrapText="1"/>
    </xf>
    <xf numFmtId="0" fontId="16" fillId="0" borderId="1" xfId="1" applyFont="1" applyFill="1" applyBorder="1" applyAlignment="1">
      <alignment horizontal="right" vertical="center"/>
    </xf>
    <xf numFmtId="0" fontId="16" fillId="0" borderId="3" xfId="1" applyFont="1" applyFill="1" applyBorder="1" applyAlignment="1">
      <alignment horizontal="center" vertical="center"/>
    </xf>
    <xf numFmtId="0" fontId="17" fillId="0" borderId="0" xfId="1" applyFont="1">
      <alignment wrapText="1"/>
    </xf>
    <xf numFmtId="0" fontId="18" fillId="0" borderId="0" xfId="1" applyFont="1" applyAlignment="1">
      <alignment vertical="center"/>
    </xf>
    <xf numFmtId="0" fontId="19" fillId="0" borderId="0" xfId="1" applyFont="1" applyAlignment="1">
      <alignment vertical="center"/>
    </xf>
    <xf numFmtId="0" fontId="9" fillId="0" borderId="2" xfId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 wrapText="1"/>
    </xf>
    <xf numFmtId="0" fontId="9" fillId="0" borderId="3" xfId="1" applyFont="1" applyFill="1" applyBorder="1" applyAlignment="1">
      <alignment horizontal="center" vertical="center" wrapText="1"/>
    </xf>
    <xf numFmtId="164" fontId="9" fillId="0" borderId="1" xfId="1" applyNumberFormat="1" applyFont="1" applyFill="1" applyBorder="1" applyAlignment="1">
      <alignment horizontal="center" vertical="top" wrapText="1"/>
    </xf>
    <xf numFmtId="0" fontId="9" fillId="0" borderId="1" xfId="1" applyFont="1" applyFill="1" applyBorder="1" applyAlignment="1">
      <alignment horizontal="right" vertical="top" wrapText="1"/>
    </xf>
    <xf numFmtId="0" fontId="3" fillId="0" borderId="0" xfId="1" applyBorder="1">
      <alignment wrapText="1"/>
    </xf>
    <xf numFmtId="0" fontId="3" fillId="2" borderId="0" xfId="1" applyFill="1" applyBorder="1">
      <alignment wrapText="1"/>
    </xf>
    <xf numFmtId="0" fontId="3" fillId="2" borderId="0" xfId="1" applyFill="1">
      <alignment wrapText="1"/>
    </xf>
    <xf numFmtId="0" fontId="5" fillId="2" borderId="0" xfId="1" applyFont="1" applyFill="1" applyBorder="1" applyAlignment="1">
      <alignment horizontal="right" vertical="top" wrapText="1"/>
    </xf>
    <xf numFmtId="0" fontId="3" fillId="0" borderId="0" xfId="1" applyAlignment="1">
      <alignment horizontal="center" vertical="center" wrapText="1"/>
    </xf>
    <xf numFmtId="164" fontId="5" fillId="0" borderId="1" xfId="1" applyNumberFormat="1" applyFont="1" applyFill="1" applyBorder="1" applyAlignment="1">
      <alignment horizontal="center" vertical="center" wrapText="1"/>
    </xf>
    <xf numFmtId="164" fontId="3" fillId="0" borderId="0" xfId="1" applyNumberFormat="1" applyAlignment="1">
      <alignment horizontal="center" vertical="center" wrapText="1"/>
    </xf>
    <xf numFmtId="164" fontId="3" fillId="0" borderId="0" xfId="1" applyNumberFormat="1" applyAlignment="1">
      <alignment horizontal="center" wrapText="1"/>
    </xf>
    <xf numFmtId="0" fontId="9" fillId="0" borderId="1" xfId="1" applyFont="1" applyFill="1" applyBorder="1" applyAlignment="1">
      <alignment horizontal="center" vertical="top" wrapText="1"/>
    </xf>
    <xf numFmtId="0" fontId="3" fillId="0" borderId="0" xfId="1" applyAlignment="1">
      <alignment horizontal="right" vertical="center" wrapText="1"/>
    </xf>
    <xf numFmtId="0" fontId="13" fillId="0" borderId="1" xfId="1" applyNumberFormat="1" applyFont="1" applyFill="1" applyBorder="1" applyAlignment="1">
      <alignment horizontal="center" vertical="center" wrapText="1"/>
    </xf>
    <xf numFmtId="0" fontId="13" fillId="0" borderId="1" xfId="1" applyFont="1" applyFill="1" applyBorder="1" applyAlignment="1">
      <alignment horizontal="center" vertical="top" wrapText="1"/>
    </xf>
    <xf numFmtId="0" fontId="13" fillId="0" borderId="4" xfId="1" applyFont="1" applyFill="1" applyBorder="1" applyAlignment="1">
      <alignment horizontal="right" vertical="top" wrapText="1"/>
    </xf>
    <xf numFmtId="0" fontId="13" fillId="0" borderId="34" xfId="1" applyFont="1" applyFill="1" applyBorder="1" applyAlignment="1">
      <alignment horizontal="right" vertical="top" wrapText="1"/>
    </xf>
    <xf numFmtId="0" fontId="13" fillId="0" borderId="1" xfId="1" applyNumberFormat="1" applyFont="1" applyFill="1" applyBorder="1" applyAlignment="1">
      <alignment horizontal="center" vertical="top" wrapText="1"/>
    </xf>
    <xf numFmtId="0" fontId="13" fillId="0" borderId="2" xfId="1" applyFont="1" applyFill="1" applyBorder="1" applyAlignment="1">
      <alignment horizontal="center" vertical="center" wrapText="1"/>
    </xf>
    <xf numFmtId="0" fontId="13" fillId="0" borderId="4" xfId="1" applyFont="1" applyFill="1" applyBorder="1" applyAlignment="1">
      <alignment horizontal="center" vertical="center" wrapText="1"/>
    </xf>
    <xf numFmtId="0" fontId="13" fillId="0" borderId="3" xfId="1" applyFont="1" applyFill="1" applyBorder="1" applyAlignment="1">
      <alignment horizontal="center" vertical="center" wrapText="1"/>
    </xf>
    <xf numFmtId="0" fontId="5" fillId="0" borderId="4" xfId="1" applyFont="1" applyFill="1" applyBorder="1" applyAlignment="1">
      <alignment horizontal="right" vertical="top" wrapText="1"/>
    </xf>
    <xf numFmtId="0" fontId="5" fillId="0" borderId="34" xfId="1" applyFont="1" applyFill="1" applyBorder="1" applyAlignment="1">
      <alignment horizontal="right" vertical="top" wrapText="1"/>
    </xf>
    <xf numFmtId="0" fontId="11" fillId="0" borderId="0" xfId="1" applyFont="1" applyBorder="1" applyAlignment="1">
      <alignment vertical="center" wrapText="1"/>
    </xf>
    <xf numFmtId="0" fontId="5" fillId="2" borderId="3" xfId="3" applyFont="1" applyFill="1" applyBorder="1" applyAlignment="1">
      <alignment horizontal="center" wrapText="1"/>
    </xf>
    <xf numFmtId="1" fontId="5" fillId="2" borderId="1" xfId="3" applyNumberFormat="1" applyFont="1" applyFill="1" applyBorder="1" applyAlignment="1">
      <alignment horizontal="center" vertical="top" wrapText="1"/>
    </xf>
    <xf numFmtId="0" fontId="5" fillId="2" borderId="1" xfId="3" applyFont="1" applyFill="1" applyBorder="1" applyAlignment="1">
      <alignment horizontal="right" wrapText="1"/>
    </xf>
    <xf numFmtId="1" fontId="5" fillId="2" borderId="3" xfId="3" applyNumberFormat="1" applyFont="1" applyFill="1" applyBorder="1" applyAlignment="1">
      <alignment horizontal="center" wrapText="1"/>
    </xf>
    <xf numFmtId="1" fontId="5" fillId="2" borderId="3" xfId="3" applyNumberFormat="1" applyFont="1" applyFill="1" applyBorder="1" applyAlignment="1">
      <alignment horizontal="right" wrapText="1"/>
    </xf>
    <xf numFmtId="1" fontId="5" fillId="2" borderId="1" xfId="3" applyNumberFormat="1" applyFont="1" applyFill="1" applyBorder="1" applyAlignment="1">
      <alignment horizontal="right" wrapText="1"/>
    </xf>
    <xf numFmtId="0" fontId="5" fillId="2" borderId="3" xfId="3" applyFont="1" applyFill="1" applyBorder="1" applyAlignment="1">
      <alignment horizontal="right" wrapText="1"/>
    </xf>
    <xf numFmtId="1" fontId="5" fillId="0" borderId="0" xfId="3" applyNumberFormat="1" applyFont="1" applyFill="1" applyBorder="1" applyAlignment="1">
      <alignment horizontal="center" vertical="center" wrapText="1"/>
    </xf>
    <xf numFmtId="0" fontId="5" fillId="0" borderId="1" xfId="1" applyFont="1" applyFill="1" applyBorder="1" applyAlignment="1">
      <alignment horizontal="right" vertical="top" wrapText="1"/>
    </xf>
    <xf numFmtId="164" fontId="9" fillId="0" borderId="1" xfId="1" applyNumberFormat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horizontal="right" vertical="center" wrapText="1"/>
    </xf>
    <xf numFmtId="0" fontId="9" fillId="0" borderId="0" xfId="1" applyFont="1">
      <alignment wrapText="1"/>
    </xf>
    <xf numFmtId="0" fontId="5" fillId="2" borderId="4" xfId="3" applyFont="1" applyFill="1" applyBorder="1" applyAlignment="1">
      <alignment horizontal="right" vertical="center"/>
    </xf>
    <xf numFmtId="0" fontId="5" fillId="2" borderId="3" xfId="3" applyFont="1" applyFill="1" applyBorder="1" applyAlignment="1">
      <alignment vertical="center"/>
    </xf>
    <xf numFmtId="0" fontId="5" fillId="2" borderId="2" xfId="3" applyFont="1" applyFill="1" applyBorder="1" applyAlignment="1">
      <alignment horizontal="center" vertical="center"/>
    </xf>
    <xf numFmtId="0" fontId="5" fillId="2" borderId="4" xfId="3" applyFont="1" applyFill="1" applyBorder="1" applyAlignment="1">
      <alignment horizontal="center" vertical="center"/>
    </xf>
    <xf numFmtId="0" fontId="5" fillId="2" borderId="3" xfId="3" applyFont="1" applyFill="1" applyBorder="1" applyAlignment="1">
      <alignment horizontal="center" vertical="center"/>
    </xf>
    <xf numFmtId="0" fontId="5" fillId="2" borderId="4" xfId="3" applyFont="1" applyFill="1" applyBorder="1" applyAlignment="1">
      <alignment horizontal="right" vertical="top"/>
    </xf>
    <xf numFmtId="0" fontId="5" fillId="2" borderId="34" xfId="3" applyFont="1" applyFill="1" applyBorder="1" applyAlignment="1">
      <alignment horizontal="right" vertical="top"/>
    </xf>
    <xf numFmtId="164" fontId="22" fillId="0" borderId="1" xfId="1" applyNumberFormat="1" applyFont="1" applyFill="1" applyBorder="1" applyAlignment="1">
      <alignment horizontal="center" vertical="top" wrapText="1"/>
    </xf>
    <xf numFmtId="0" fontId="4" fillId="0" borderId="0" xfId="1" applyFont="1" applyFill="1" applyBorder="1" applyAlignment="1">
      <alignment vertical="center" wrapText="1"/>
    </xf>
    <xf numFmtId="0" fontId="3" fillId="0" borderId="0" xfId="1" applyBorder="1" applyAlignment="1">
      <alignment vertical="center" wrapText="1"/>
    </xf>
    <xf numFmtId="164" fontId="22" fillId="0" borderId="1" xfId="1" applyNumberFormat="1" applyFont="1" applyFill="1" applyBorder="1" applyAlignment="1">
      <alignment horizontal="center" vertical="center" wrapText="1"/>
    </xf>
    <xf numFmtId="164" fontId="11" fillId="0" borderId="0" xfId="1" applyNumberFormat="1" applyFont="1">
      <alignment wrapText="1"/>
    </xf>
    <xf numFmtId="0" fontId="25" fillId="0" borderId="0" xfId="4" applyFont="1" applyFill="1" applyBorder="1" applyAlignment="1">
      <alignment vertical="top" wrapText="1"/>
    </xf>
    <xf numFmtId="0" fontId="23" fillId="0" borderId="0" xfId="4">
      <alignment wrapText="1"/>
    </xf>
    <xf numFmtId="0" fontId="24" fillId="0" borderId="2" xfId="4" applyFont="1" applyFill="1" applyBorder="1" applyAlignment="1">
      <alignment horizontal="center" vertical="center" wrapText="1"/>
    </xf>
    <xf numFmtId="0" fontId="24" fillId="0" borderId="1" xfId="4" applyFont="1" applyFill="1" applyBorder="1" applyAlignment="1">
      <alignment horizontal="center" vertical="center" wrapText="1"/>
    </xf>
    <xf numFmtId="0" fontId="24" fillId="0" borderId="3" xfId="4" applyFont="1" applyFill="1" applyBorder="1" applyAlignment="1">
      <alignment horizontal="center" vertical="center" wrapText="1"/>
    </xf>
    <xf numFmtId="164" fontId="24" fillId="0" borderId="1" xfId="4" applyNumberFormat="1" applyFont="1" applyFill="1" applyBorder="1" applyAlignment="1">
      <alignment horizontal="center" vertical="top" wrapText="1"/>
    </xf>
    <xf numFmtId="1" fontId="24" fillId="0" borderId="1" xfId="4" applyNumberFormat="1" applyFont="1" applyFill="1" applyBorder="1" applyAlignment="1">
      <alignment horizontal="center" vertical="top" wrapText="1"/>
    </xf>
    <xf numFmtId="0" fontId="24" fillId="0" borderId="1" xfId="4" applyFont="1" applyFill="1" applyBorder="1" applyAlignment="1">
      <alignment horizontal="right" vertical="top" wrapText="1"/>
    </xf>
    <xf numFmtId="164" fontId="26" fillId="0" borderId="1" xfId="4" applyNumberFormat="1" applyFont="1" applyFill="1" applyBorder="1" applyAlignment="1">
      <alignment horizontal="center" vertical="top" wrapText="1"/>
    </xf>
    <xf numFmtId="1" fontId="11" fillId="0" borderId="0" xfId="4" applyNumberFormat="1" applyFont="1">
      <alignment wrapText="1"/>
    </xf>
    <xf numFmtId="0" fontId="24" fillId="0" borderId="1" xfId="4" applyFont="1" applyFill="1" applyBorder="1" applyAlignment="1">
      <alignment horizontal="center" vertical="top" wrapText="1"/>
    </xf>
    <xf numFmtId="0" fontId="5" fillId="0" borderId="1" xfId="4" applyFont="1" applyFill="1" applyBorder="1" applyAlignment="1">
      <alignment horizontal="center" vertical="center" wrapText="1"/>
    </xf>
    <xf numFmtId="0" fontId="5" fillId="0" borderId="3" xfId="4" applyFont="1" applyFill="1" applyBorder="1" applyAlignment="1">
      <alignment horizontal="center" vertical="center" wrapText="1"/>
    </xf>
    <xf numFmtId="164" fontId="5" fillId="0" borderId="1" xfId="4" applyNumberFormat="1" applyFont="1" applyFill="1" applyBorder="1" applyAlignment="1">
      <alignment horizontal="center" vertical="top" wrapText="1"/>
    </xf>
    <xf numFmtId="0" fontId="24" fillId="0" borderId="4" xfId="4" applyFont="1" applyFill="1" applyBorder="1" applyAlignment="1">
      <alignment horizontal="right" vertical="top" wrapText="1"/>
    </xf>
    <xf numFmtId="0" fontId="24" fillId="0" borderId="3" xfId="4" applyFont="1" applyFill="1" applyBorder="1" applyAlignment="1">
      <alignment vertical="top" wrapText="1"/>
    </xf>
    <xf numFmtId="0" fontId="24" fillId="0" borderId="4" xfId="4" applyFont="1" applyFill="1" applyBorder="1" applyAlignment="1">
      <alignment horizontal="center" vertical="center" wrapText="1"/>
    </xf>
    <xf numFmtId="164" fontId="28" fillId="0" borderId="0" xfId="4" applyNumberFormat="1" applyFont="1">
      <alignment wrapText="1"/>
    </xf>
    <xf numFmtId="0" fontId="5" fillId="0" borderId="4" xfId="4" applyFont="1" applyFill="1" applyBorder="1" applyAlignment="1">
      <alignment horizontal="right" vertical="top" wrapText="1"/>
    </xf>
    <xf numFmtId="0" fontId="2" fillId="0" borderId="0" xfId="5"/>
    <xf numFmtId="0" fontId="2" fillId="0" borderId="0" xfId="5" applyAlignment="1"/>
    <xf numFmtId="0" fontId="2" fillId="0" borderId="0" xfId="5" applyAlignment="1">
      <alignment wrapText="1"/>
    </xf>
    <xf numFmtId="0" fontId="2" fillId="0" borderId="0" xfId="5" applyAlignment="1">
      <alignment horizontal="center" vertical="center" wrapText="1"/>
    </xf>
    <xf numFmtId="0" fontId="10" fillId="0" borderId="0" xfId="5" applyFont="1"/>
    <xf numFmtId="0" fontId="10" fillId="0" borderId="0" xfId="5" applyFont="1" applyBorder="1" applyAlignment="1">
      <alignment vertical="center"/>
    </xf>
    <xf numFmtId="0" fontId="5" fillId="0" borderId="1" xfId="4" applyFont="1" applyFill="1" applyBorder="1" applyAlignment="1">
      <alignment horizontal="center" vertical="top" wrapText="1"/>
    </xf>
    <xf numFmtId="0" fontId="5" fillId="0" borderId="2" xfId="4" applyFont="1" applyFill="1" applyBorder="1" applyAlignment="1">
      <alignment horizontal="center" vertical="center" wrapText="1"/>
    </xf>
    <xf numFmtId="1" fontId="5" fillId="0" borderId="1" xfId="4" applyNumberFormat="1" applyFont="1" applyFill="1" applyBorder="1" applyAlignment="1">
      <alignment horizontal="center" vertical="top" wrapText="1"/>
    </xf>
    <xf numFmtId="0" fontId="5" fillId="0" borderId="4" xfId="4" applyFont="1" applyFill="1" applyBorder="1" applyAlignment="1">
      <alignment horizontal="center" vertical="center" wrapText="1"/>
    </xf>
    <xf numFmtId="0" fontId="5" fillId="0" borderId="3" xfId="4" applyFont="1" applyFill="1" applyBorder="1" applyAlignment="1">
      <alignment vertical="top" wrapText="1"/>
    </xf>
    <xf numFmtId="1" fontId="5" fillId="0" borderId="2" xfId="4" applyNumberFormat="1" applyFont="1" applyFill="1" applyBorder="1" applyAlignment="1">
      <alignment horizontal="center" vertical="center" wrapText="1"/>
    </xf>
    <xf numFmtId="1" fontId="5" fillId="0" borderId="1" xfId="4" applyNumberFormat="1" applyFont="1" applyFill="1" applyBorder="1" applyAlignment="1">
      <alignment horizontal="center" vertical="center" wrapText="1"/>
    </xf>
    <xf numFmtId="1" fontId="9" fillId="0" borderId="1" xfId="4" applyNumberFormat="1" applyFont="1" applyFill="1" applyBorder="1" applyAlignment="1">
      <alignment horizontal="center" vertical="top" wrapText="1"/>
    </xf>
    <xf numFmtId="1" fontId="5" fillId="0" borderId="4" xfId="4" applyNumberFormat="1" applyFont="1" applyFill="1" applyBorder="1" applyAlignment="1">
      <alignment horizontal="right" vertical="top" wrapText="1"/>
    </xf>
    <xf numFmtId="1" fontId="5" fillId="0" borderId="3" xfId="4" applyNumberFormat="1" applyFont="1" applyFill="1" applyBorder="1" applyAlignment="1">
      <alignment vertical="top" wrapText="1"/>
    </xf>
    <xf numFmtId="164" fontId="9" fillId="0" borderId="1" xfId="4" applyNumberFormat="1" applyFont="1" applyFill="1" applyBorder="1" applyAlignment="1">
      <alignment horizontal="center" vertical="top" wrapText="1"/>
    </xf>
    <xf numFmtId="1" fontId="5" fillId="0" borderId="4" xfId="4" applyNumberFormat="1" applyFont="1" applyFill="1" applyBorder="1" applyAlignment="1">
      <alignment horizontal="center" vertical="center" wrapText="1"/>
    </xf>
    <xf numFmtId="1" fontId="5" fillId="0" borderId="3" xfId="4" applyNumberFormat="1" applyFont="1" applyFill="1" applyBorder="1" applyAlignment="1">
      <alignment horizontal="center" vertical="center" wrapText="1"/>
    </xf>
    <xf numFmtId="1" fontId="9" fillId="0" borderId="2" xfId="4" applyNumberFormat="1" applyFont="1" applyFill="1" applyBorder="1" applyAlignment="1">
      <alignment horizontal="center" vertical="center" wrapText="1"/>
    </xf>
    <xf numFmtId="1" fontId="9" fillId="0" borderId="1" xfId="4" applyNumberFormat="1" applyFont="1" applyFill="1" applyBorder="1" applyAlignment="1">
      <alignment horizontal="center" vertical="center" wrapText="1"/>
    </xf>
    <xf numFmtId="1" fontId="9" fillId="0" borderId="4" xfId="4" applyNumberFormat="1" applyFont="1" applyFill="1" applyBorder="1" applyAlignment="1">
      <alignment horizontal="right" vertical="top" wrapText="1"/>
    </xf>
    <xf numFmtId="1" fontId="9" fillId="0" borderId="3" xfId="4" applyNumberFormat="1" applyFont="1" applyFill="1" applyBorder="1" applyAlignment="1">
      <alignment vertical="top" wrapText="1"/>
    </xf>
    <xf numFmtId="1" fontId="9" fillId="0" borderId="4" xfId="4" applyNumberFormat="1" applyFont="1" applyFill="1" applyBorder="1" applyAlignment="1">
      <alignment horizontal="center" vertical="center" wrapText="1"/>
    </xf>
    <xf numFmtId="1" fontId="9" fillId="0" borderId="3" xfId="4" applyNumberFormat="1" applyFont="1" applyFill="1" applyBorder="1" applyAlignment="1">
      <alignment horizontal="center" vertical="center" wrapText="1"/>
    </xf>
    <xf numFmtId="0" fontId="5" fillId="2" borderId="1" xfId="3" applyNumberFormat="1" applyFont="1" applyFill="1" applyBorder="1" applyAlignment="1">
      <alignment horizontal="center" vertical="center" wrapText="1"/>
    </xf>
    <xf numFmtId="1" fontId="5" fillId="2" borderId="1" xfId="3" applyNumberFormat="1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 wrapText="1"/>
    </xf>
    <xf numFmtId="0" fontId="5" fillId="2" borderId="1" xfId="3" applyFont="1" applyFill="1" applyBorder="1" applyAlignment="1">
      <alignment horizontal="center" vertical="top" wrapText="1"/>
    </xf>
    <xf numFmtId="0" fontId="33" fillId="0" borderId="0" xfId="6"/>
    <xf numFmtId="0" fontId="36" fillId="5" borderId="30" xfId="6" applyFont="1" applyFill="1" applyBorder="1" applyAlignment="1">
      <alignment horizontal="center" wrapText="1" readingOrder="2"/>
    </xf>
    <xf numFmtId="0" fontId="41" fillId="0" borderId="30" xfId="7" applyFont="1" applyBorder="1" applyAlignment="1" applyProtection="1">
      <alignment horizontal="center"/>
    </xf>
    <xf numFmtId="0" fontId="41" fillId="0" borderId="30" xfId="7" applyFont="1" applyBorder="1" applyAlignment="1" applyProtection="1">
      <alignment horizontal="center" wrapText="1" readingOrder="2"/>
    </xf>
    <xf numFmtId="0" fontId="41" fillId="0" borderId="30" xfId="7" applyFont="1" applyBorder="1" applyAlignment="1" applyProtection="1">
      <alignment horizontal="center" vertical="center" wrapText="1" readingOrder="2"/>
    </xf>
    <xf numFmtId="0" fontId="43" fillId="0" borderId="0" xfId="6" applyFont="1" applyAlignment="1">
      <alignment wrapText="1" readingOrder="2"/>
    </xf>
    <xf numFmtId="0" fontId="45" fillId="0" borderId="0" xfId="6" applyFont="1" applyAlignment="1">
      <alignment wrapText="1" readingOrder="2"/>
    </xf>
    <xf numFmtId="0" fontId="46" fillId="0" borderId="0" xfId="6" applyFont="1" applyAlignment="1">
      <alignment wrapText="1" readingOrder="2"/>
    </xf>
    <xf numFmtId="0" fontId="41" fillId="0" borderId="30" xfId="7" applyFont="1" applyBorder="1" applyAlignment="1" applyProtection="1">
      <alignment horizontal="center" vertical="top" wrapText="1" readingOrder="2"/>
    </xf>
    <xf numFmtId="0" fontId="1" fillId="0" borderId="0" xfId="6" applyFont="1" applyAlignment="1">
      <alignment wrapText="1"/>
    </xf>
    <xf numFmtId="0" fontId="47" fillId="0" borderId="0" xfId="6" applyFont="1" applyAlignment="1">
      <alignment horizontal="right" readingOrder="2"/>
    </xf>
    <xf numFmtId="0" fontId="12" fillId="2" borderId="0" xfId="1" applyNumberFormat="1" applyFont="1" applyFill="1" applyAlignment="1">
      <alignment horizontal="center" vertical="center" wrapText="1"/>
    </xf>
    <xf numFmtId="0" fontId="12" fillId="2" borderId="0" xfId="1" applyFont="1" applyFill="1" applyAlignment="1">
      <alignment horizontal="center" vertical="center" wrapText="1"/>
    </xf>
    <xf numFmtId="0" fontId="5" fillId="2" borderId="1" xfId="3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5" fillId="2" borderId="1" xfId="1" applyNumberFormat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 wrapText="1"/>
    </xf>
    <xf numFmtId="0" fontId="5" fillId="2" borderId="1" xfId="1" applyNumberFormat="1" applyFont="1" applyFill="1" applyBorder="1" applyAlignment="1">
      <alignment horizontal="center" vertical="top" wrapText="1"/>
    </xf>
    <xf numFmtId="0" fontId="5" fillId="2" borderId="1" xfId="1" applyFont="1" applyFill="1" applyBorder="1" applyAlignment="1">
      <alignment horizontal="right" vertical="center" wrapText="1"/>
    </xf>
    <xf numFmtId="0" fontId="5" fillId="2" borderId="3" xfId="1" applyFont="1" applyFill="1" applyBorder="1" applyAlignment="1">
      <alignment horizontal="right" vertical="center" wrapText="1"/>
    </xf>
    <xf numFmtId="164" fontId="5" fillId="2" borderId="1" xfId="1" applyNumberFormat="1" applyFont="1" applyFill="1" applyBorder="1" applyAlignment="1">
      <alignment horizontal="right" vertical="center" wrapText="1"/>
    </xf>
    <xf numFmtId="0" fontId="13" fillId="2" borderId="1" xfId="3" applyFont="1" applyFill="1" applyBorder="1" applyAlignment="1">
      <alignment horizontal="center" vertical="center" wrapText="1"/>
    </xf>
    <xf numFmtId="0" fontId="3" fillId="2" borderId="0" xfId="1" applyNumberFormat="1" applyFill="1">
      <alignment wrapText="1"/>
    </xf>
    <xf numFmtId="0" fontId="3" fillId="2" borderId="0" xfId="1" applyFill="1" applyAlignment="1">
      <alignment vertical="center" wrapText="1"/>
    </xf>
    <xf numFmtId="0" fontId="9" fillId="2" borderId="0" xfId="1" applyNumberFormat="1" applyFont="1" applyFill="1" applyAlignment="1">
      <alignment horizontal="center" wrapText="1"/>
    </xf>
    <xf numFmtId="0" fontId="3" fillId="2" borderId="0" xfId="1" applyFill="1" applyAlignment="1">
      <alignment readingOrder="2"/>
    </xf>
    <xf numFmtId="0" fontId="5" fillId="2" borderId="4" xfId="3" applyFont="1" applyFill="1" applyBorder="1" applyAlignment="1">
      <alignment horizontal="right" vertical="top" readingOrder="2"/>
    </xf>
    <xf numFmtId="0" fontId="5" fillId="2" borderId="3" xfId="3" applyFont="1" applyFill="1" applyBorder="1" applyAlignment="1">
      <alignment vertical="top" readingOrder="2"/>
    </xf>
    <xf numFmtId="0" fontId="5" fillId="2" borderId="2" xfId="3" applyFont="1" applyFill="1" applyBorder="1" applyAlignment="1">
      <alignment horizontal="center" vertical="center" readingOrder="2"/>
    </xf>
    <xf numFmtId="0" fontId="5" fillId="2" borderId="4" xfId="3" applyFont="1" applyFill="1" applyBorder="1" applyAlignment="1">
      <alignment horizontal="center" vertical="center" readingOrder="2"/>
    </xf>
    <xf numFmtId="0" fontId="5" fillId="2" borderId="3" xfId="3" applyFont="1" applyFill="1" applyBorder="1" applyAlignment="1">
      <alignment horizontal="center" vertical="center" readingOrder="2"/>
    </xf>
    <xf numFmtId="0" fontId="5" fillId="2" borderId="1" xfId="1" applyFont="1" applyFill="1" applyBorder="1" applyAlignment="1">
      <alignment horizontal="center" vertical="top" wrapText="1"/>
    </xf>
    <xf numFmtId="0" fontId="5" fillId="2" borderId="4" xfId="1" applyFont="1" applyFill="1" applyBorder="1" applyAlignment="1">
      <alignment horizontal="right" vertical="top" readingOrder="2"/>
    </xf>
    <xf numFmtId="0" fontId="5" fillId="2" borderId="3" xfId="1" applyFont="1" applyFill="1" applyBorder="1" applyAlignment="1">
      <alignment vertical="top" readingOrder="2"/>
    </xf>
    <xf numFmtId="0" fontId="5" fillId="2" borderId="4" xfId="1" applyFont="1" applyFill="1" applyBorder="1" applyAlignment="1">
      <alignment vertical="top" readingOrder="2"/>
    </xf>
    <xf numFmtId="0" fontId="5" fillId="2" borderId="2" xfId="1" applyFont="1" applyFill="1" applyBorder="1" applyAlignment="1">
      <alignment horizontal="right" vertical="top" readingOrder="2"/>
    </xf>
    <xf numFmtId="0" fontId="5" fillId="2" borderId="2" xfId="1" applyFont="1" applyFill="1" applyBorder="1" applyAlignment="1">
      <alignment horizontal="center" vertical="center" readingOrder="2"/>
    </xf>
    <xf numFmtId="0" fontId="5" fillId="2" borderId="4" xfId="1" applyFont="1" applyFill="1" applyBorder="1" applyAlignment="1">
      <alignment horizontal="center" vertical="center" readingOrder="2"/>
    </xf>
    <xf numFmtId="0" fontId="5" fillId="2" borderId="3" xfId="1" applyFont="1" applyFill="1" applyBorder="1" applyAlignment="1">
      <alignment horizontal="center" vertical="center" readingOrder="2"/>
    </xf>
    <xf numFmtId="0" fontId="5" fillId="2" borderId="2" xfId="1" applyFont="1" applyFill="1" applyBorder="1" applyAlignment="1">
      <alignment vertical="top" readingOrder="2"/>
    </xf>
    <xf numFmtId="0" fontId="5" fillId="2" borderId="2" xfId="3" applyNumberFormat="1" applyFont="1" applyFill="1" applyBorder="1" applyAlignment="1">
      <alignment horizontal="center" vertical="top" wrapText="1"/>
    </xf>
    <xf numFmtId="0" fontId="5" fillId="2" borderId="2" xfId="3" applyFont="1" applyFill="1" applyBorder="1" applyAlignment="1">
      <alignment horizontal="center" vertical="top" wrapText="1"/>
    </xf>
    <xf numFmtId="0" fontId="5" fillId="2" borderId="4" xfId="3" applyFont="1" applyFill="1" applyBorder="1" applyAlignment="1">
      <alignment vertical="top" readingOrder="2"/>
    </xf>
    <xf numFmtId="0" fontId="5" fillId="2" borderId="31" xfId="3" applyFont="1" applyFill="1" applyBorder="1" applyAlignment="1">
      <alignment horizontal="center" vertical="top" wrapText="1"/>
    </xf>
    <xf numFmtId="0" fontId="5" fillId="2" borderId="30" xfId="3" applyFont="1" applyFill="1" applyBorder="1" applyAlignment="1">
      <alignment horizontal="center" vertical="top" wrapText="1"/>
    </xf>
    <xf numFmtId="0" fontId="5" fillId="2" borderId="32" xfId="3" applyFont="1" applyFill="1" applyBorder="1" applyAlignment="1">
      <alignment horizontal="center" vertical="top" wrapText="1"/>
    </xf>
    <xf numFmtId="0" fontId="5" fillId="2" borderId="30" xfId="3" applyNumberFormat="1" applyFont="1" applyFill="1" applyBorder="1" applyAlignment="1">
      <alignment horizontal="center" vertical="center" wrapText="1"/>
    </xf>
    <xf numFmtId="1" fontId="3" fillId="2" borderId="0" xfId="1" applyNumberFormat="1" applyFill="1">
      <alignment wrapText="1"/>
    </xf>
    <xf numFmtId="0" fontId="5" fillId="2" borderId="3" xfId="3" applyNumberFormat="1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top" wrapText="1"/>
    </xf>
    <xf numFmtId="0" fontId="5" fillId="2" borderId="3" xfId="3" applyFont="1" applyFill="1" applyBorder="1" applyAlignment="1">
      <alignment vertical="top"/>
    </xf>
    <xf numFmtId="0" fontId="13" fillId="2" borderId="1" xfId="3" applyNumberFormat="1" applyFont="1" applyFill="1" applyBorder="1" applyAlignment="1">
      <alignment horizontal="center" vertical="center" wrapText="1"/>
    </xf>
    <xf numFmtId="0" fontId="13" fillId="2" borderId="1" xfId="3" applyNumberFormat="1" applyFont="1" applyFill="1" applyBorder="1" applyAlignment="1">
      <alignment horizontal="center" vertical="top" wrapText="1"/>
    </xf>
    <xf numFmtId="0" fontId="13" fillId="2" borderId="1" xfId="3" applyFont="1" applyFill="1" applyBorder="1" applyAlignment="1">
      <alignment horizontal="center" vertical="top" wrapText="1"/>
    </xf>
    <xf numFmtId="0" fontId="13" fillId="2" borderId="4" xfId="3" applyFont="1" applyFill="1" applyBorder="1" applyAlignment="1">
      <alignment horizontal="right" vertical="top" readingOrder="2"/>
    </xf>
    <xf numFmtId="0" fontId="13" fillId="2" borderId="3" xfId="3" applyFont="1" applyFill="1" applyBorder="1" applyAlignment="1">
      <alignment vertical="top" readingOrder="2"/>
    </xf>
    <xf numFmtId="0" fontId="13" fillId="2" borderId="2" xfId="3" applyFont="1" applyFill="1" applyBorder="1" applyAlignment="1">
      <alignment horizontal="center" vertical="center" readingOrder="2"/>
    </xf>
    <xf numFmtId="0" fontId="13" fillId="2" borderId="4" xfId="3" applyFont="1" applyFill="1" applyBorder="1" applyAlignment="1">
      <alignment horizontal="center" vertical="center" readingOrder="2"/>
    </xf>
    <xf numFmtId="0" fontId="13" fillId="2" borderId="3" xfId="3" applyFont="1" applyFill="1" applyBorder="1" applyAlignment="1">
      <alignment horizontal="center" vertical="center" readingOrder="2"/>
    </xf>
    <xf numFmtId="0" fontId="5" fillId="2" borderId="4" xfId="3" applyFont="1" applyFill="1" applyBorder="1" applyAlignment="1">
      <alignment horizontal="right" vertical="top" wrapText="1"/>
    </xf>
    <xf numFmtId="0" fontId="5" fillId="2" borderId="3" xfId="3" applyFont="1" applyFill="1" applyBorder="1" applyAlignment="1">
      <alignment vertical="top" wrapText="1"/>
    </xf>
    <xf numFmtId="0" fontId="5" fillId="2" borderId="2" xfId="3" applyFont="1" applyFill="1" applyBorder="1" applyAlignment="1">
      <alignment horizontal="center" vertical="center" wrapText="1"/>
    </xf>
    <xf numFmtId="0" fontId="5" fillId="2" borderId="4" xfId="3" applyFont="1" applyFill="1" applyBorder="1" applyAlignment="1">
      <alignment horizontal="center" vertical="center" wrapText="1"/>
    </xf>
    <xf numFmtId="0" fontId="3" fillId="2" borderId="0" xfId="3" applyNumberFormat="1" applyFill="1">
      <alignment wrapText="1"/>
    </xf>
    <xf numFmtId="0" fontId="3" fillId="2" borderId="0" xfId="3" applyFill="1">
      <alignment wrapText="1"/>
    </xf>
    <xf numFmtId="0" fontId="3" fillId="2" borderId="0" xfId="3" applyFill="1" applyAlignment="1"/>
    <xf numFmtId="0" fontId="5" fillId="2" borderId="34" xfId="3" applyFont="1" applyFill="1" applyBorder="1" applyAlignment="1">
      <alignment horizontal="right" vertical="top" wrapText="1"/>
    </xf>
    <xf numFmtId="0" fontId="3" fillId="2" borderId="0" xfId="1" applyFill="1" applyAlignment="1">
      <alignment wrapText="1"/>
    </xf>
    <xf numFmtId="0" fontId="5" fillId="2" borderId="1" xfId="3" applyFont="1" applyFill="1" applyBorder="1" applyAlignment="1">
      <alignment horizontal="center" wrapText="1"/>
    </xf>
    <xf numFmtId="0" fontId="5" fillId="2" borderId="1" xfId="1" applyFont="1" applyFill="1" applyBorder="1" applyAlignment="1">
      <alignment horizontal="center" wrapText="1"/>
    </xf>
    <xf numFmtId="1" fontId="5" fillId="2" borderId="1" xfId="1" applyNumberFormat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wrapText="1"/>
    </xf>
    <xf numFmtId="1" fontId="5" fillId="2" borderId="1" xfId="1" applyNumberFormat="1" applyFont="1" applyFill="1" applyBorder="1" applyAlignment="1">
      <alignment horizontal="center" vertical="top" wrapText="1"/>
    </xf>
    <xf numFmtId="0" fontId="5" fillId="2" borderId="1" xfId="1" applyFont="1" applyFill="1" applyBorder="1" applyAlignment="1">
      <alignment horizontal="right" wrapText="1"/>
    </xf>
    <xf numFmtId="1" fontId="5" fillId="2" borderId="3" xfId="1" applyNumberFormat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right" wrapText="1"/>
    </xf>
    <xf numFmtId="1" fontId="5" fillId="2" borderId="1" xfId="3" applyNumberFormat="1" applyFont="1" applyFill="1" applyBorder="1" applyAlignment="1">
      <alignment horizontal="center" wrapText="1"/>
    </xf>
    <xf numFmtId="0" fontId="5" fillId="2" borderId="1" xfId="3" applyFont="1" applyFill="1" applyBorder="1" applyAlignment="1">
      <alignment horizontal="right" vertical="top" wrapText="1"/>
    </xf>
    <xf numFmtId="0" fontId="5" fillId="2" borderId="44" xfId="3" applyFont="1" applyFill="1" applyBorder="1" applyAlignment="1">
      <alignment horizontal="right" vertical="top"/>
    </xf>
    <xf numFmtId="0" fontId="5" fillId="2" borderId="43" xfId="3" applyFont="1" applyFill="1" applyBorder="1" applyAlignment="1">
      <alignment vertical="top"/>
    </xf>
    <xf numFmtId="0" fontId="5" fillId="2" borderId="45" xfId="3" applyFont="1" applyFill="1" applyBorder="1" applyAlignment="1">
      <alignment horizontal="center" vertical="center"/>
    </xf>
    <xf numFmtId="0" fontId="5" fillId="2" borderId="44" xfId="3" applyFont="1" applyFill="1" applyBorder="1" applyAlignment="1">
      <alignment horizontal="center" vertical="center"/>
    </xf>
    <xf numFmtId="0" fontId="5" fillId="2" borderId="43" xfId="3" applyFont="1" applyFill="1" applyBorder="1" applyAlignment="1">
      <alignment horizontal="center" vertical="center"/>
    </xf>
    <xf numFmtId="0" fontId="20" fillId="2" borderId="7" xfId="3" applyFont="1" applyFill="1" applyBorder="1" applyAlignment="1">
      <alignment horizontal="right" vertical="center" readingOrder="2"/>
    </xf>
    <xf numFmtId="0" fontId="9" fillId="2" borderId="1" xfId="3" applyNumberFormat="1" applyFont="1" applyFill="1" applyBorder="1" applyAlignment="1">
      <alignment horizontal="center"/>
    </xf>
    <xf numFmtId="0" fontId="5" fillId="2" borderId="46" xfId="3" applyFont="1" applyFill="1" applyBorder="1" applyAlignment="1">
      <alignment horizontal="center" vertical="top" wrapText="1"/>
    </xf>
    <xf numFmtId="0" fontId="9" fillId="2" borderId="0" xfId="3" applyFont="1" applyFill="1" applyAlignment="1">
      <alignment horizontal="center" wrapText="1"/>
    </xf>
    <xf numFmtId="0" fontId="9" fillId="2" borderId="0" xfId="3" applyNumberFormat="1" applyFont="1" applyFill="1" applyAlignment="1">
      <alignment horizontal="center" wrapText="1"/>
    </xf>
    <xf numFmtId="0" fontId="3" fillId="2" borderId="0" xfId="1" applyFill="1" applyAlignment="1"/>
    <xf numFmtId="0" fontId="5" fillId="2" borderId="4" xfId="1" applyFont="1" applyFill="1" applyBorder="1" applyAlignment="1">
      <alignment horizontal="right" vertical="top"/>
    </xf>
    <xf numFmtId="0" fontId="5" fillId="2" borderId="34" xfId="1" applyFont="1" applyFill="1" applyBorder="1" applyAlignment="1">
      <alignment horizontal="right" vertical="top"/>
    </xf>
    <xf numFmtId="0" fontId="5" fillId="2" borderId="2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/>
    </xf>
    <xf numFmtId="164" fontId="5" fillId="2" borderId="1" xfId="3" applyNumberFormat="1" applyFont="1" applyFill="1" applyBorder="1" applyAlignment="1">
      <alignment horizontal="right" vertical="top" wrapText="1"/>
    </xf>
    <xf numFmtId="0" fontId="5" fillId="2" borderId="1" xfId="3" applyFont="1" applyFill="1" applyBorder="1" applyAlignment="1">
      <alignment vertical="center" wrapText="1"/>
    </xf>
    <xf numFmtId="0" fontId="5" fillId="2" borderId="3" xfId="3" applyFont="1" applyFill="1" applyBorder="1" applyAlignment="1">
      <alignment vertical="center" wrapText="1"/>
    </xf>
    <xf numFmtId="0" fontId="5" fillId="2" borderId="3" xfId="3" applyFont="1" applyFill="1" applyBorder="1" applyAlignment="1">
      <alignment horizontal="right" vertical="top" wrapText="1"/>
    </xf>
    <xf numFmtId="0" fontId="5" fillId="2" borderId="2" xfId="3" applyFont="1" applyFill="1" applyBorder="1" applyAlignment="1">
      <alignment horizontal="right" vertical="top" wrapText="1"/>
    </xf>
    <xf numFmtId="0" fontId="5" fillId="2" borderId="48" xfId="3" applyNumberFormat="1" applyFont="1" applyFill="1" applyBorder="1" applyAlignment="1">
      <alignment horizontal="center" vertical="top" wrapText="1"/>
    </xf>
    <xf numFmtId="0" fontId="5" fillId="2" borderId="48" xfId="3" applyFont="1" applyFill="1" applyBorder="1" applyAlignment="1">
      <alignment horizontal="right" vertical="center" wrapText="1"/>
    </xf>
    <xf numFmtId="0" fontId="5" fillId="2" borderId="15" xfId="3" applyNumberFormat="1" applyFont="1" applyFill="1" applyBorder="1" applyAlignment="1">
      <alignment horizontal="center" vertical="top" wrapText="1"/>
    </xf>
    <xf numFmtId="0" fontId="5" fillId="2" borderId="40" xfId="3" applyFont="1" applyFill="1" applyBorder="1" applyAlignment="1">
      <alignment horizontal="center" vertical="center" wrapText="1"/>
    </xf>
    <xf numFmtId="0" fontId="3" fillId="2" borderId="0" xfId="3" applyFont="1" applyFill="1" applyAlignment="1">
      <alignment vertical="center"/>
    </xf>
    <xf numFmtId="0" fontId="5" fillId="2" borderId="4" xfId="3" applyFont="1" applyFill="1" applyBorder="1" applyAlignment="1">
      <alignment horizontal="right" vertical="center" wrapText="1"/>
    </xf>
    <xf numFmtId="0" fontId="5" fillId="2" borderId="46" xfId="3" applyNumberFormat="1" applyFont="1" applyFill="1" applyBorder="1" applyAlignment="1">
      <alignment horizontal="center" vertical="top" wrapText="1"/>
    </xf>
    <xf numFmtId="0" fontId="21" fillId="2" borderId="0" xfId="3" applyFont="1" applyFill="1" applyAlignment="1">
      <alignment horizontal="center" vertical="center" wrapText="1"/>
    </xf>
    <xf numFmtId="0" fontId="5" fillId="2" borderId="0" xfId="3" applyFont="1" applyFill="1" applyBorder="1" applyAlignment="1">
      <alignment horizontal="center" vertical="center" wrapText="1"/>
    </xf>
    <xf numFmtId="0" fontId="5" fillId="2" borderId="0" xfId="3" applyFont="1" applyFill="1" applyBorder="1" applyAlignment="1">
      <alignment horizontal="right" vertical="top"/>
    </xf>
    <xf numFmtId="0" fontId="5" fillId="2" borderId="0" xfId="3" applyFont="1" applyFill="1" applyBorder="1" applyAlignment="1">
      <alignment horizontal="center" vertical="center"/>
    </xf>
    <xf numFmtId="0" fontId="5" fillId="2" borderId="0" xfId="3" applyFont="1" applyFill="1" applyBorder="1" applyAlignment="1">
      <alignment horizontal="center" vertical="top" wrapText="1"/>
    </xf>
    <xf numFmtId="0" fontId="5" fillId="2" borderId="4" xfId="3" applyFont="1" applyFill="1" applyBorder="1" applyAlignment="1">
      <alignment vertical="top"/>
    </xf>
    <xf numFmtId="0" fontId="5" fillId="2" borderId="0" xfId="3" applyFont="1" applyFill="1" applyBorder="1" applyAlignment="1">
      <alignment vertical="top"/>
    </xf>
    <xf numFmtId="0" fontId="5" fillId="2" borderId="34" xfId="3" applyFont="1" applyFill="1" applyBorder="1" applyAlignment="1">
      <alignment vertical="top"/>
    </xf>
    <xf numFmtId="0" fontId="5" fillId="2" borderId="0" xfId="3" applyFont="1" applyFill="1" applyBorder="1" applyAlignment="1">
      <alignment horizontal="right" vertical="top" wrapText="1"/>
    </xf>
    <xf numFmtId="0" fontId="5" fillId="2" borderId="1" xfId="1" applyFont="1" applyFill="1" applyBorder="1" applyAlignment="1">
      <alignment horizontal="center" vertical="center"/>
    </xf>
    <xf numFmtId="0" fontId="22" fillId="2" borderId="1" xfId="1" applyNumberFormat="1" applyFont="1" applyFill="1" applyBorder="1" applyAlignment="1">
      <alignment horizontal="center" vertical="center" wrapText="1"/>
    </xf>
    <xf numFmtId="0" fontId="5" fillId="2" borderId="4" xfId="1" applyFont="1" applyFill="1" applyBorder="1" applyAlignment="1">
      <alignment horizontal="right" vertical="center"/>
    </xf>
    <xf numFmtId="0" fontId="5" fillId="2" borderId="3" xfId="1" applyFont="1" applyFill="1" applyBorder="1" applyAlignment="1">
      <alignment vertical="center"/>
    </xf>
    <xf numFmtId="0" fontId="5" fillId="2" borderId="2" xfId="1" applyFont="1" applyFill="1" applyBorder="1" applyAlignment="1">
      <alignment horizontal="center" vertical="center" wrapText="1"/>
    </xf>
    <xf numFmtId="0" fontId="5" fillId="2" borderId="4" xfId="1" applyFont="1" applyFill="1" applyBorder="1" applyAlignment="1">
      <alignment vertical="center"/>
    </xf>
    <xf numFmtId="0" fontId="22" fillId="2" borderId="49" xfId="1" applyNumberFormat="1" applyFont="1" applyFill="1" applyBorder="1" applyAlignment="1">
      <alignment horizontal="center" vertical="center" wrapText="1"/>
    </xf>
    <xf numFmtId="0" fontId="5" fillId="2" borderId="49" xfId="1" applyFont="1" applyFill="1" applyBorder="1" applyAlignment="1">
      <alignment horizontal="center" vertical="center" wrapText="1"/>
    </xf>
    <xf numFmtId="0" fontId="5" fillId="2" borderId="50" xfId="1" applyFont="1" applyFill="1" applyBorder="1" applyAlignment="1">
      <alignment horizontal="center" vertical="center"/>
    </xf>
    <xf numFmtId="0" fontId="5" fillId="2" borderId="27" xfId="1" applyFont="1" applyFill="1" applyBorder="1" applyAlignment="1">
      <alignment horizontal="center" vertical="center"/>
    </xf>
    <xf numFmtId="0" fontId="5" fillId="2" borderId="51" xfId="1" applyFont="1" applyFill="1" applyBorder="1" applyAlignment="1">
      <alignment horizontal="center" vertical="center" wrapText="1"/>
    </xf>
    <xf numFmtId="0" fontId="5" fillId="2" borderId="28" xfId="1" applyFont="1" applyFill="1" applyBorder="1" applyAlignment="1">
      <alignment horizontal="center" vertical="center"/>
    </xf>
    <xf numFmtId="0" fontId="22" fillId="2" borderId="0" xfId="1" applyNumberFormat="1" applyFont="1" applyFill="1" applyBorder="1" applyAlignment="1">
      <alignment horizontal="center" vertical="center" wrapText="1"/>
    </xf>
    <xf numFmtId="0" fontId="5" fillId="2" borderId="0" xfId="1" applyFont="1" applyFill="1" applyBorder="1" applyAlignment="1">
      <alignment horizontal="center" vertical="center" wrapText="1"/>
    </xf>
    <xf numFmtId="0" fontId="5" fillId="2" borderId="0" xfId="1" applyFont="1" applyFill="1" applyBorder="1" applyAlignment="1">
      <alignment horizontal="center" vertical="center"/>
    </xf>
    <xf numFmtId="0" fontId="0" fillId="2" borderId="0" xfId="0" applyNumberFormat="1" applyFill="1" applyAlignment="1">
      <alignment vertical="center"/>
    </xf>
    <xf numFmtId="0" fontId="0" fillId="2" borderId="0" xfId="0" applyFill="1" applyAlignment="1">
      <alignment vertical="center"/>
    </xf>
    <xf numFmtId="0" fontId="9" fillId="2" borderId="1" xfId="1" applyFont="1" applyFill="1" applyBorder="1" applyAlignment="1">
      <alignment horizontal="center" vertical="center"/>
    </xf>
    <xf numFmtId="0" fontId="22" fillId="2" borderId="1" xfId="3" applyNumberFormat="1" applyFont="1" applyFill="1" applyBorder="1" applyAlignment="1">
      <alignment horizontal="center" vertical="center" wrapText="1"/>
    </xf>
    <xf numFmtId="0" fontId="22" fillId="2" borderId="2" xfId="1" applyNumberFormat="1" applyFont="1" applyFill="1" applyBorder="1" applyAlignment="1">
      <alignment horizontal="center" vertical="center" wrapText="1"/>
    </xf>
    <xf numFmtId="0" fontId="22" fillId="2" borderId="52" xfId="1" applyNumberFormat="1" applyFont="1" applyFill="1" applyBorder="1" applyAlignment="1">
      <alignment horizontal="center" vertical="center" wrapText="1"/>
    </xf>
    <xf numFmtId="0" fontId="22" fillId="2" borderId="53" xfId="1" applyNumberFormat="1" applyFont="1" applyFill="1" applyBorder="1" applyAlignment="1">
      <alignment horizontal="center" vertical="center" wrapText="1"/>
    </xf>
    <xf numFmtId="0" fontId="22" fillId="2" borderId="51" xfId="1" applyNumberFormat="1" applyFont="1" applyFill="1" applyBorder="1" applyAlignment="1">
      <alignment horizontal="center" vertical="center" wrapText="1"/>
    </xf>
    <xf numFmtId="0" fontId="22" fillId="2" borderId="55" xfId="1" applyNumberFormat="1" applyFont="1" applyFill="1" applyBorder="1" applyAlignment="1">
      <alignment horizontal="center" vertical="center" wrapText="1"/>
    </xf>
    <xf numFmtId="0" fontId="5" fillId="2" borderId="57" xfId="1" applyFont="1" applyFill="1" applyBorder="1" applyAlignment="1">
      <alignment horizontal="center" vertical="center"/>
    </xf>
    <xf numFmtId="0" fontId="5" fillId="2" borderId="53" xfId="1" applyNumberFormat="1" applyFont="1" applyFill="1" applyBorder="1" applyAlignment="1">
      <alignment horizontal="center" vertical="center" wrapText="1"/>
    </xf>
    <xf numFmtId="0" fontId="5" fillId="2" borderId="51" xfId="1" applyNumberFormat="1" applyFont="1" applyFill="1" applyBorder="1" applyAlignment="1">
      <alignment horizontal="center" vertical="center" wrapText="1"/>
    </xf>
    <xf numFmtId="0" fontId="22" fillId="2" borderId="3" xfId="1" applyNumberFormat="1" applyFont="1" applyFill="1" applyBorder="1" applyAlignment="1">
      <alignment horizontal="center" vertical="center" wrapText="1"/>
    </xf>
    <xf numFmtId="164" fontId="22" fillId="2" borderId="1" xfId="3" applyNumberFormat="1" applyFont="1" applyFill="1" applyBorder="1" applyAlignment="1">
      <alignment horizontal="center" vertical="top" wrapText="1"/>
    </xf>
    <xf numFmtId="0" fontId="3" fillId="2" borderId="0" xfId="1" applyNumberFormat="1" applyFill="1" applyAlignment="1">
      <alignment vertical="center" wrapText="1"/>
    </xf>
    <xf numFmtId="0" fontId="3" fillId="2" borderId="0" xfId="1" applyFill="1" applyAlignment="1">
      <alignment vertical="center"/>
    </xf>
    <xf numFmtId="164" fontId="22" fillId="2" borderId="1" xfId="1" applyNumberFormat="1" applyFont="1" applyFill="1" applyBorder="1" applyAlignment="1">
      <alignment horizontal="center" vertical="top" wrapText="1"/>
    </xf>
    <xf numFmtId="0" fontId="5" fillId="2" borderId="4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top" wrapText="1"/>
    </xf>
    <xf numFmtId="0" fontId="5" fillId="2" borderId="4" xfId="1" applyFont="1" applyFill="1" applyBorder="1" applyAlignment="1">
      <alignment horizontal="right" vertical="top" wrapText="1"/>
    </xf>
    <xf numFmtId="0" fontId="5" fillId="2" borderId="3" xfId="1" applyFont="1" applyFill="1" applyBorder="1" applyAlignment="1">
      <alignment vertical="top" wrapText="1"/>
    </xf>
    <xf numFmtId="0" fontId="5" fillId="2" borderId="4" xfId="1" applyFont="1" applyFill="1" applyBorder="1" applyAlignment="1">
      <alignment horizontal="right" vertical="center" wrapText="1"/>
    </xf>
    <xf numFmtId="0" fontId="5" fillId="2" borderId="3" xfId="1" applyFont="1" applyFill="1" applyBorder="1" applyAlignment="1">
      <alignment vertical="center" wrapText="1"/>
    </xf>
    <xf numFmtId="164" fontId="22" fillId="2" borderId="1" xfId="1" applyNumberFormat="1" applyFont="1" applyFill="1" applyBorder="1" applyAlignment="1">
      <alignment horizontal="center" vertical="center" wrapText="1"/>
    </xf>
    <xf numFmtId="0" fontId="5" fillId="2" borderId="9" xfId="1" applyFont="1" applyFill="1" applyBorder="1" applyAlignment="1">
      <alignment horizontal="center" vertical="center" wrapText="1"/>
    </xf>
    <xf numFmtId="0" fontId="5" fillId="2" borderId="23" xfId="1" applyFont="1" applyFill="1" applyBorder="1" applyAlignment="1">
      <alignment horizontal="center" vertical="center" wrapText="1"/>
    </xf>
    <xf numFmtId="0" fontId="5" fillId="2" borderId="58" xfId="1" applyFont="1" applyFill="1" applyBorder="1" applyAlignment="1">
      <alignment horizontal="center" vertical="center" wrapText="1"/>
    </xf>
    <xf numFmtId="164" fontId="22" fillId="2" borderId="0" xfId="1" applyNumberFormat="1" applyFont="1" applyFill="1" applyBorder="1" applyAlignment="1">
      <alignment horizontal="center" vertical="center" wrapText="1"/>
    </xf>
    <xf numFmtId="0" fontId="24" fillId="2" borderId="1" xfId="4" applyFont="1" applyFill="1" applyBorder="1" applyAlignment="1">
      <alignment horizontal="center" vertical="center" wrapText="1"/>
    </xf>
    <xf numFmtId="1" fontId="24" fillId="2" borderId="1" xfId="4" applyNumberFormat="1" applyFont="1" applyFill="1" applyBorder="1" applyAlignment="1">
      <alignment horizontal="center" vertical="center" wrapText="1"/>
    </xf>
    <xf numFmtId="0" fontId="24" fillId="2" borderId="3" xfId="4" applyFont="1" applyFill="1" applyBorder="1" applyAlignment="1">
      <alignment horizontal="center" vertical="top" wrapText="1"/>
    </xf>
    <xf numFmtId="164" fontId="24" fillId="2" borderId="1" xfId="4" applyNumberFormat="1" applyFont="1" applyFill="1" applyBorder="1" applyAlignment="1">
      <alignment horizontal="center" vertical="top" wrapText="1"/>
    </xf>
    <xf numFmtId="1" fontId="24" fillId="2" borderId="1" xfId="4" applyNumberFormat="1" applyFont="1" applyFill="1" applyBorder="1" applyAlignment="1">
      <alignment horizontal="center" vertical="top" wrapText="1"/>
    </xf>
    <xf numFmtId="0" fontId="24" fillId="2" borderId="1" xfId="4" applyFont="1" applyFill="1" applyBorder="1" applyAlignment="1">
      <alignment horizontal="right" vertical="top" wrapText="1"/>
    </xf>
    <xf numFmtId="0" fontId="24" fillId="2" borderId="1" xfId="4" applyFont="1" applyFill="1" applyBorder="1" applyAlignment="1">
      <alignment horizontal="center" vertical="top" wrapText="1"/>
    </xf>
    <xf numFmtId="0" fontId="23" fillId="2" borderId="0" xfId="4" applyFill="1">
      <alignment wrapText="1"/>
    </xf>
    <xf numFmtId="1" fontId="23" fillId="2" borderId="0" xfId="4" applyNumberFormat="1" applyFill="1">
      <alignment wrapText="1"/>
    </xf>
    <xf numFmtId="0" fontId="27" fillId="2" borderId="1" xfId="4" applyFont="1" applyFill="1" applyBorder="1" applyAlignment="1">
      <alignment horizontal="right" vertical="top" wrapText="1"/>
    </xf>
    <xf numFmtId="0" fontId="5" fillId="2" borderId="1" xfId="4" applyFont="1" applyFill="1" applyBorder="1" applyAlignment="1">
      <alignment horizontal="right" vertical="top" wrapText="1"/>
    </xf>
    <xf numFmtId="0" fontId="5" fillId="2" borderId="1" xfId="4" applyFont="1" applyFill="1" applyBorder="1" applyAlignment="1">
      <alignment horizontal="center" vertical="center" wrapText="1"/>
    </xf>
    <xf numFmtId="0" fontId="5" fillId="2" borderId="3" xfId="4" applyFont="1" applyFill="1" applyBorder="1" applyAlignment="1">
      <alignment horizontal="center" vertical="center" wrapText="1"/>
    </xf>
    <xf numFmtId="164" fontId="5" fillId="2" borderId="1" xfId="4" applyNumberFormat="1" applyFont="1" applyFill="1" applyBorder="1" applyAlignment="1">
      <alignment horizontal="center" vertical="top" wrapText="1"/>
    </xf>
    <xf numFmtId="0" fontId="24" fillId="2" borderId="4" xfId="4" applyFont="1" applyFill="1" applyBorder="1" applyAlignment="1">
      <alignment horizontal="right" vertical="center" wrapText="1"/>
    </xf>
    <xf numFmtId="0" fontId="25" fillId="2" borderId="0" xfId="4" applyFont="1" applyFill="1" applyBorder="1" applyAlignment="1">
      <alignment vertical="top" wrapText="1"/>
    </xf>
    <xf numFmtId="0" fontId="24" fillId="2" borderId="3" xfId="4" applyFont="1" applyFill="1" applyBorder="1" applyAlignment="1">
      <alignment horizontal="center" vertical="center" wrapText="1"/>
    </xf>
    <xf numFmtId="164" fontId="26" fillId="2" borderId="1" xfId="4" applyNumberFormat="1" applyFont="1" applyFill="1" applyBorder="1" applyAlignment="1">
      <alignment horizontal="center" vertical="top" wrapText="1"/>
    </xf>
    <xf numFmtId="0" fontId="24" fillId="2" borderId="4" xfId="4" applyFont="1" applyFill="1" applyBorder="1" applyAlignment="1">
      <alignment horizontal="right" vertical="top" wrapText="1"/>
    </xf>
    <xf numFmtId="0" fontId="24" fillId="2" borderId="3" xfId="4" applyFont="1" applyFill="1" applyBorder="1" applyAlignment="1">
      <alignment vertical="top" wrapText="1"/>
    </xf>
    <xf numFmtId="0" fontId="24" fillId="2" borderId="2" xfId="4" applyFont="1" applyFill="1" applyBorder="1" applyAlignment="1">
      <alignment horizontal="center" vertical="center" wrapText="1"/>
    </xf>
    <xf numFmtId="0" fontId="24" fillId="2" borderId="4" xfId="4" applyFont="1" applyFill="1" applyBorder="1" applyAlignment="1">
      <alignment horizontal="center" vertical="center" wrapText="1"/>
    </xf>
    <xf numFmtId="0" fontId="26" fillId="2" borderId="1" xfId="4" applyNumberFormat="1" applyFont="1" applyFill="1" applyBorder="1" applyAlignment="1">
      <alignment horizontal="center" vertical="top" wrapText="1"/>
    </xf>
    <xf numFmtId="0" fontId="22" fillId="2" borderId="4" xfId="4" applyFont="1" applyFill="1" applyBorder="1" applyAlignment="1">
      <alignment horizontal="right" vertical="top" wrapText="1"/>
    </xf>
    <xf numFmtId="0" fontId="5" fillId="2" borderId="4" xfId="4" applyFont="1" applyFill="1" applyBorder="1" applyAlignment="1">
      <alignment horizontal="right" vertical="top" wrapText="1"/>
    </xf>
    <xf numFmtId="0" fontId="2" fillId="2" borderId="0" xfId="5" applyFill="1"/>
    <xf numFmtId="0" fontId="10" fillId="6" borderId="30" xfId="5" applyFont="1" applyFill="1" applyBorder="1" applyAlignment="1">
      <alignment horizontal="center" vertical="center"/>
    </xf>
    <xf numFmtId="0" fontId="10" fillId="2" borderId="30" xfId="5" applyFont="1" applyFill="1" applyBorder="1" applyAlignment="1">
      <alignment horizontal="center" vertical="center"/>
    </xf>
    <xf numFmtId="0" fontId="10" fillId="2" borderId="30" xfId="5" applyNumberFormat="1" applyFont="1" applyFill="1" applyBorder="1" applyAlignment="1">
      <alignment horizontal="center" vertical="center"/>
    </xf>
    <xf numFmtId="164" fontId="10" fillId="2" borderId="30" xfId="5" applyNumberFormat="1" applyFont="1" applyFill="1" applyBorder="1" applyAlignment="1">
      <alignment horizontal="center" vertical="center"/>
    </xf>
    <xf numFmtId="3" fontId="10" fillId="2" borderId="30" xfId="5" applyNumberFormat="1" applyFont="1" applyFill="1" applyBorder="1" applyAlignment="1">
      <alignment horizontal="center" vertical="center"/>
    </xf>
    <xf numFmtId="0" fontId="10" fillId="6" borderId="62" xfId="5" applyFont="1" applyFill="1" applyBorder="1" applyAlignment="1">
      <alignment horizontal="center" vertical="center" wrapText="1"/>
    </xf>
    <xf numFmtId="0" fontId="10" fillId="6" borderId="62" xfId="5" applyFont="1" applyFill="1" applyBorder="1" applyAlignment="1">
      <alignment horizontal="center" vertical="center"/>
    </xf>
    <xf numFmtId="0" fontId="10" fillId="6" borderId="30" xfId="5" applyFont="1" applyFill="1" applyBorder="1" applyAlignment="1">
      <alignment horizontal="center" vertical="center" wrapText="1"/>
    </xf>
    <xf numFmtId="0" fontId="10" fillId="7" borderId="62" xfId="5" applyFont="1" applyFill="1" applyBorder="1" applyAlignment="1">
      <alignment horizontal="center" vertical="center"/>
    </xf>
    <xf numFmtId="3" fontId="10" fillId="7" borderId="30" xfId="5" applyNumberFormat="1" applyFont="1" applyFill="1" applyBorder="1" applyAlignment="1">
      <alignment horizontal="center" vertical="center"/>
    </xf>
    <xf numFmtId="0" fontId="10" fillId="7" borderId="30" xfId="5" applyNumberFormat="1" applyFont="1" applyFill="1" applyBorder="1" applyAlignment="1">
      <alignment horizontal="center" vertical="center"/>
    </xf>
    <xf numFmtId="0" fontId="10" fillId="2" borderId="0" xfId="5" applyFont="1" applyFill="1"/>
    <xf numFmtId="1" fontId="10" fillId="2" borderId="30" xfId="5" applyNumberFormat="1" applyFont="1" applyFill="1" applyBorder="1" applyAlignment="1">
      <alignment horizontal="center" vertical="center"/>
    </xf>
    <xf numFmtId="0" fontId="2" fillId="2" borderId="0" xfId="5" applyFill="1" applyAlignment="1">
      <alignment horizontal="center" vertical="center"/>
    </xf>
    <xf numFmtId="0" fontId="10" fillId="2" borderId="0" xfId="5" applyFont="1" applyFill="1" applyBorder="1" applyAlignment="1">
      <alignment vertical="center"/>
    </xf>
    <xf numFmtId="0" fontId="45" fillId="0" borderId="30" xfId="6" applyFont="1" applyBorder="1" applyAlignment="1">
      <alignment horizontal="justify" wrapText="1" readingOrder="2"/>
    </xf>
    <xf numFmtId="0" fontId="43" fillId="0" borderId="30" xfId="6" applyFont="1" applyBorder="1" applyAlignment="1">
      <alignment horizontal="justify" wrapText="1" readingOrder="2"/>
    </xf>
    <xf numFmtId="0" fontId="39" fillId="5" borderId="30" xfId="6" applyFont="1" applyFill="1" applyBorder="1" applyAlignment="1">
      <alignment horizontal="center" vertical="top" wrapText="1" readingOrder="2"/>
    </xf>
    <xf numFmtId="0" fontId="43" fillId="0" borderId="30" xfId="6" applyFont="1" applyBorder="1" applyAlignment="1">
      <alignment horizontal="right" wrapText="1" readingOrder="2"/>
    </xf>
    <xf numFmtId="0" fontId="45" fillId="0" borderId="30" xfId="6" applyFont="1" applyBorder="1" applyAlignment="1">
      <alignment horizontal="right" wrapText="1" readingOrder="2"/>
    </xf>
    <xf numFmtId="0" fontId="46" fillId="0" borderId="30" xfId="6" applyFont="1" applyBorder="1" applyAlignment="1">
      <alignment horizontal="right" wrapText="1" readingOrder="2"/>
    </xf>
    <xf numFmtId="0" fontId="39" fillId="0" borderId="0" xfId="6" applyFont="1" applyAlignment="1">
      <alignment horizontal="center" wrapText="1" readingOrder="2"/>
    </xf>
    <xf numFmtId="0" fontId="44" fillId="0" borderId="0" xfId="6" applyFont="1" applyAlignment="1">
      <alignment horizontal="center" wrapText="1" readingOrder="2"/>
    </xf>
    <xf numFmtId="0" fontId="39" fillId="5" borderId="30" xfId="6" applyFont="1" applyFill="1" applyBorder="1" applyAlignment="1">
      <alignment horizontal="center" wrapText="1" readingOrder="2"/>
    </xf>
    <xf numFmtId="0" fontId="42" fillId="0" borderId="30" xfId="6" applyFont="1" applyBorder="1" applyAlignment="1">
      <alignment horizontal="right" wrapText="1" readingOrder="2"/>
    </xf>
    <xf numFmtId="0" fontId="34" fillId="3" borderId="30" xfId="6" applyFont="1" applyFill="1" applyBorder="1" applyAlignment="1">
      <alignment horizontal="center"/>
    </xf>
    <xf numFmtId="0" fontId="33" fillId="3" borderId="30" xfId="6" applyFill="1" applyBorder="1" applyAlignment="1">
      <alignment horizontal="center"/>
    </xf>
    <xf numFmtId="0" fontId="35" fillId="4" borderId="30" xfId="6" applyFont="1" applyFill="1" applyBorder="1" applyAlignment="1">
      <alignment horizontal="center" readingOrder="2"/>
    </xf>
    <xf numFmtId="0" fontId="37" fillId="5" borderId="65" xfId="6" applyFont="1" applyFill="1" applyBorder="1" applyAlignment="1">
      <alignment horizontal="right" wrapText="1" readingOrder="2"/>
    </xf>
    <xf numFmtId="0" fontId="37" fillId="5" borderId="66" xfId="6" applyFont="1" applyFill="1" applyBorder="1" applyAlignment="1">
      <alignment horizontal="right" wrapText="1" readingOrder="2"/>
    </xf>
    <xf numFmtId="0" fontId="39" fillId="5" borderId="65" xfId="6" applyFont="1" applyFill="1" applyBorder="1" applyAlignment="1">
      <alignment horizontal="center" wrapText="1" readingOrder="2"/>
    </xf>
    <xf numFmtId="0" fontId="39" fillId="5" borderId="67" xfId="6" applyFont="1" applyFill="1" applyBorder="1" applyAlignment="1">
      <alignment horizontal="center" wrapText="1" readingOrder="2"/>
    </xf>
    <xf numFmtId="0" fontId="39" fillId="5" borderId="66" xfId="6" applyFont="1" applyFill="1" applyBorder="1" applyAlignment="1">
      <alignment horizontal="center" wrapText="1" readingOrder="2"/>
    </xf>
    <xf numFmtId="0" fontId="5" fillId="0" borderId="0" xfId="1" applyFont="1" applyFill="1" applyBorder="1" applyAlignment="1">
      <alignment horizontal="center" vertical="top" wrapText="1"/>
    </xf>
    <xf numFmtId="0" fontId="6" fillId="0" borderId="0" xfId="1" applyFont="1" applyFill="1" applyBorder="1" applyAlignment="1">
      <alignment horizontal="center" vertical="top" wrapText="1"/>
    </xf>
    <xf numFmtId="0" fontId="6" fillId="0" borderId="0" xfId="1" applyFont="1" applyFill="1" applyBorder="1" applyAlignment="1">
      <alignment horizontal="left" vertical="top" wrapText="1"/>
    </xf>
    <xf numFmtId="0" fontId="6" fillId="0" borderId="16" xfId="1" applyFont="1" applyFill="1" applyBorder="1" applyAlignment="1">
      <alignment horizontal="center" vertical="top" wrapText="1"/>
    </xf>
    <xf numFmtId="0" fontId="5" fillId="0" borderId="2" xfId="1" applyFont="1" applyFill="1" applyBorder="1" applyAlignment="1">
      <alignment horizontal="center" vertical="center" wrapText="1"/>
    </xf>
    <xf numFmtId="0" fontId="5" fillId="0" borderId="4" xfId="1" applyFont="1" applyFill="1" applyBorder="1" applyAlignment="1">
      <alignment horizontal="center" vertical="center" wrapText="1"/>
    </xf>
    <xf numFmtId="0" fontId="5" fillId="0" borderId="3" xfId="1" applyFont="1" applyFill="1" applyBorder="1" applyAlignment="1">
      <alignment horizontal="center" vertical="center" wrapText="1"/>
    </xf>
    <xf numFmtId="0" fontId="6" fillId="0" borderId="2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 wrapText="1"/>
    </xf>
    <xf numFmtId="0" fontId="6" fillId="0" borderId="2" xfId="1" applyFont="1" applyFill="1" applyBorder="1" applyAlignment="1">
      <alignment horizontal="center" vertical="center" wrapText="1"/>
    </xf>
    <xf numFmtId="0" fontId="6" fillId="0" borderId="3" xfId="1" applyFont="1" applyFill="1" applyBorder="1" applyAlignment="1">
      <alignment horizontal="center" vertical="center" wrapText="1"/>
    </xf>
    <xf numFmtId="164" fontId="5" fillId="0" borderId="2" xfId="1" applyNumberFormat="1" applyFont="1" applyFill="1" applyBorder="1" applyAlignment="1">
      <alignment horizontal="center" vertical="center" wrapText="1"/>
    </xf>
    <xf numFmtId="164" fontId="5" fillId="0" borderId="4" xfId="1" applyNumberFormat="1" applyFont="1" applyFill="1" applyBorder="1" applyAlignment="1">
      <alignment horizontal="center" vertical="center" wrapText="1"/>
    </xf>
    <xf numFmtId="164" fontId="5" fillId="0" borderId="3" xfId="1" applyNumberFormat="1" applyFont="1" applyFill="1" applyBorder="1" applyAlignment="1">
      <alignment horizontal="center" vertical="center" wrapText="1"/>
    </xf>
    <xf numFmtId="0" fontId="0" fillId="0" borderId="4" xfId="0" applyBorder="1"/>
    <xf numFmtId="0" fontId="0" fillId="0" borderId="3" xfId="0" applyBorder="1"/>
    <xf numFmtId="0" fontId="6" fillId="0" borderId="4" xfId="1" applyFont="1" applyFill="1" applyBorder="1" applyAlignment="1">
      <alignment horizontal="center" vertical="center" wrapText="1"/>
    </xf>
    <xf numFmtId="0" fontId="5" fillId="0" borderId="0" xfId="1" applyFont="1" applyFill="1" applyBorder="1" applyAlignment="1">
      <alignment horizontal="left" vertical="top" wrapText="1"/>
    </xf>
    <xf numFmtId="0" fontId="5" fillId="0" borderId="1" xfId="1" applyFont="1" applyFill="1" applyBorder="1" applyAlignment="1">
      <alignment horizontal="center" vertical="center" wrapText="1"/>
    </xf>
    <xf numFmtId="0" fontId="5" fillId="0" borderId="2" xfId="2" applyFont="1" applyFill="1" applyBorder="1" applyAlignment="1">
      <alignment horizontal="right" vertical="center"/>
    </xf>
    <xf numFmtId="0" fontId="6" fillId="0" borderId="4" xfId="2" applyFont="1" applyFill="1" applyBorder="1" applyAlignment="1">
      <alignment horizontal="right" vertical="center"/>
    </xf>
    <xf numFmtId="0" fontId="6" fillId="0" borderId="3" xfId="2" applyFont="1" applyFill="1" applyBorder="1" applyAlignment="1">
      <alignment horizontal="right" vertical="center"/>
    </xf>
    <xf numFmtId="0" fontId="6" fillId="0" borderId="2" xfId="2" applyFont="1" applyFill="1" applyBorder="1" applyAlignment="1">
      <alignment horizontal="right" vertical="center"/>
    </xf>
    <xf numFmtId="0" fontId="6" fillId="0" borderId="23" xfId="1" applyFont="1" applyFill="1" applyBorder="1" applyAlignment="1">
      <alignment horizontal="center" vertical="center" wrapText="1"/>
    </xf>
    <xf numFmtId="0" fontId="6" fillId="0" borderId="24" xfId="1" applyFont="1" applyFill="1" applyBorder="1" applyAlignment="1">
      <alignment horizontal="center" vertical="center" wrapText="1"/>
    </xf>
    <xf numFmtId="0" fontId="6" fillId="0" borderId="5" xfId="1" applyFont="1" applyFill="1" applyBorder="1" applyAlignment="1">
      <alignment horizontal="center" vertical="center" wrapText="1"/>
    </xf>
    <xf numFmtId="0" fontId="6" fillId="0" borderId="22" xfId="1" applyFont="1" applyFill="1" applyBorder="1" applyAlignment="1">
      <alignment horizontal="center" vertical="center" wrapText="1"/>
    </xf>
    <xf numFmtId="0" fontId="6" fillId="0" borderId="8" xfId="1" applyFont="1" applyFill="1" applyBorder="1" applyAlignment="1">
      <alignment horizontal="center" vertical="center" wrapText="1"/>
    </xf>
    <xf numFmtId="0" fontId="6" fillId="0" borderId="21" xfId="1" applyFont="1" applyFill="1" applyBorder="1" applyAlignment="1">
      <alignment horizontal="center" vertical="center" wrapText="1"/>
    </xf>
    <xf numFmtId="0" fontId="6" fillId="0" borderId="6" xfId="1" applyFont="1" applyFill="1" applyBorder="1" applyAlignment="1">
      <alignment horizontal="center" vertical="center" wrapText="1"/>
    </xf>
    <xf numFmtId="0" fontId="6" fillId="0" borderId="7" xfId="1" applyFont="1" applyFill="1" applyBorder="1" applyAlignment="1">
      <alignment horizontal="center" vertical="center" wrapText="1"/>
    </xf>
    <xf numFmtId="0" fontId="6" fillId="0" borderId="20" xfId="1" applyFont="1" applyFill="1" applyBorder="1" applyAlignment="1">
      <alignment horizontal="center" vertical="center" wrapText="1"/>
    </xf>
    <xf numFmtId="0" fontId="6" fillId="0" borderId="10" xfId="1" applyFont="1" applyFill="1" applyBorder="1" applyAlignment="1">
      <alignment horizontal="center" vertical="center" wrapText="1"/>
    </xf>
    <xf numFmtId="0" fontId="6" fillId="0" borderId="11" xfId="1" applyFont="1" applyFill="1" applyBorder="1" applyAlignment="1">
      <alignment horizontal="center" vertical="center" wrapText="1"/>
    </xf>
    <xf numFmtId="0" fontId="6" fillId="0" borderId="12" xfId="1" applyFont="1" applyFill="1" applyBorder="1" applyAlignment="1">
      <alignment horizontal="center" vertical="center" wrapText="1"/>
    </xf>
    <xf numFmtId="0" fontId="6" fillId="0" borderId="13" xfId="1" applyFont="1" applyFill="1" applyBorder="1" applyAlignment="1">
      <alignment horizontal="center" vertical="center" wrapText="1"/>
    </xf>
    <xf numFmtId="0" fontId="6" fillId="0" borderId="14" xfId="1" applyFont="1" applyFill="1" applyBorder="1" applyAlignment="1">
      <alignment horizontal="center" vertical="center" wrapText="1"/>
    </xf>
    <xf numFmtId="0" fontId="6" fillId="0" borderId="15" xfId="1" applyFont="1" applyFill="1" applyBorder="1" applyAlignment="1">
      <alignment horizontal="center" vertical="center" wrapText="1"/>
    </xf>
    <xf numFmtId="0" fontId="6" fillId="0" borderId="25" xfId="1" applyFont="1" applyFill="1" applyBorder="1" applyAlignment="1">
      <alignment horizontal="center" vertical="center" wrapText="1"/>
    </xf>
    <xf numFmtId="0" fontId="6" fillId="0" borderId="26" xfId="1" applyFont="1" applyFill="1" applyBorder="1" applyAlignment="1">
      <alignment horizontal="center" vertical="center" wrapText="1"/>
    </xf>
    <xf numFmtId="0" fontId="6" fillId="0" borderId="27" xfId="1" applyFont="1" applyFill="1" applyBorder="1" applyAlignment="1">
      <alignment horizontal="center" vertical="center" wrapText="1"/>
    </xf>
    <xf numFmtId="0" fontId="6" fillId="0" borderId="28" xfId="1" applyFont="1" applyFill="1" applyBorder="1" applyAlignment="1">
      <alignment horizontal="center" vertical="center" wrapText="1"/>
    </xf>
    <xf numFmtId="0" fontId="6" fillId="0" borderId="29" xfId="1" applyFont="1" applyFill="1" applyBorder="1" applyAlignment="1">
      <alignment horizontal="center" vertical="center" wrapText="1"/>
    </xf>
    <xf numFmtId="0" fontId="9" fillId="0" borderId="0" xfId="3" applyFont="1" applyFill="1" applyBorder="1" applyAlignment="1">
      <alignment horizontal="center" vertical="top" wrapText="1"/>
    </xf>
    <xf numFmtId="0" fontId="9" fillId="0" borderId="0" xfId="3" applyFont="1" applyFill="1" applyBorder="1" applyAlignment="1">
      <alignment horizontal="left" vertical="top" wrapText="1"/>
    </xf>
    <xf numFmtId="0" fontId="9" fillId="0" borderId="1" xfId="3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0" borderId="33" xfId="3" applyFont="1" applyFill="1" applyBorder="1" applyAlignment="1">
      <alignment horizontal="left" vertical="center" wrapText="1"/>
    </xf>
    <xf numFmtId="0" fontId="5" fillId="0" borderId="1" xfId="3" applyFont="1" applyFill="1" applyBorder="1" applyAlignment="1">
      <alignment horizontal="center" vertical="center" wrapText="1"/>
    </xf>
    <xf numFmtId="0" fontId="5" fillId="0" borderId="2" xfId="3" applyFont="1" applyFill="1" applyBorder="1" applyAlignment="1">
      <alignment horizontal="center" vertical="center" wrapText="1"/>
    </xf>
    <xf numFmtId="0" fontId="5" fillId="0" borderId="3" xfId="3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top" wrapText="1"/>
    </xf>
    <xf numFmtId="0" fontId="5" fillId="0" borderId="0" xfId="3" applyFont="1" applyFill="1" applyBorder="1" applyAlignment="1">
      <alignment horizontal="left" vertical="top" wrapText="1"/>
    </xf>
    <xf numFmtId="0" fontId="9" fillId="0" borderId="23" xfId="3" applyFont="1" applyFill="1" applyBorder="1" applyAlignment="1">
      <alignment horizontal="center" vertical="center"/>
    </xf>
    <xf numFmtId="0" fontId="9" fillId="0" borderId="24" xfId="3" applyFont="1" applyFill="1" applyBorder="1" applyAlignment="1">
      <alignment horizontal="center" vertical="center"/>
    </xf>
    <xf numFmtId="0" fontId="9" fillId="0" borderId="8" xfId="3" applyFont="1" applyFill="1" applyBorder="1" applyAlignment="1">
      <alignment horizontal="center" vertical="center"/>
    </xf>
    <xf numFmtId="0" fontId="9" fillId="0" borderId="21" xfId="3" applyFont="1" applyFill="1" applyBorder="1" applyAlignment="1">
      <alignment horizontal="center" vertical="center"/>
    </xf>
    <xf numFmtId="0" fontId="9" fillId="0" borderId="2" xfId="3" applyFont="1" applyFill="1" applyBorder="1" applyAlignment="1">
      <alignment horizontal="right" vertical="top"/>
    </xf>
    <xf numFmtId="0" fontId="9" fillId="0" borderId="4" xfId="3" applyFont="1" applyFill="1" applyBorder="1" applyAlignment="1">
      <alignment horizontal="right" vertical="top"/>
    </xf>
    <xf numFmtId="0" fontId="9" fillId="0" borderId="3" xfId="3" applyFont="1" applyFill="1" applyBorder="1" applyAlignment="1">
      <alignment horizontal="right" vertical="top"/>
    </xf>
    <xf numFmtId="0" fontId="9" fillId="0" borderId="2" xfId="3" applyFont="1" applyFill="1" applyBorder="1" applyAlignment="1">
      <alignment horizontal="right" vertical="center"/>
    </xf>
    <xf numFmtId="0" fontId="9" fillId="0" borderId="4" xfId="3" applyFont="1" applyFill="1" applyBorder="1" applyAlignment="1">
      <alignment horizontal="right" vertical="center"/>
    </xf>
    <xf numFmtId="0" fontId="9" fillId="0" borderId="3" xfId="3" applyFont="1" applyFill="1" applyBorder="1" applyAlignment="1">
      <alignment horizontal="right" vertical="center"/>
    </xf>
    <xf numFmtId="0" fontId="5" fillId="0" borderId="1" xfId="3" applyFont="1" applyFill="1" applyBorder="1" applyAlignment="1">
      <alignment horizontal="center" vertical="top" wrapText="1"/>
    </xf>
    <xf numFmtId="0" fontId="9" fillId="0" borderId="3" xfId="3" applyFont="1" applyFill="1" applyBorder="1" applyAlignment="1">
      <alignment horizontal="center" vertical="center" wrapText="1"/>
    </xf>
    <xf numFmtId="0" fontId="9" fillId="0" borderId="1" xfId="3" applyFont="1" applyFill="1" applyBorder="1" applyAlignment="1">
      <alignment horizontal="center" vertical="top" wrapText="1"/>
    </xf>
    <xf numFmtId="0" fontId="9" fillId="0" borderId="2" xfId="3" applyFont="1" applyFill="1" applyBorder="1" applyAlignment="1">
      <alignment horizontal="center" vertical="center" wrapText="1"/>
    </xf>
    <xf numFmtId="0" fontId="12" fillId="2" borderId="0" xfId="1" applyFont="1" applyFill="1" applyAlignment="1">
      <alignment horizontal="center" vertical="center" wrapText="1"/>
    </xf>
    <xf numFmtId="0" fontId="5" fillId="2" borderId="1" xfId="3" applyNumberFormat="1" applyFont="1" applyFill="1" applyBorder="1" applyAlignment="1">
      <alignment horizontal="center" vertical="center" wrapText="1"/>
    </xf>
    <xf numFmtId="0" fontId="5" fillId="2" borderId="1" xfId="1" applyNumberFormat="1" applyFont="1" applyFill="1" applyBorder="1" applyAlignment="1">
      <alignment horizontal="center" vertical="center" wrapText="1"/>
    </xf>
    <xf numFmtId="0" fontId="14" fillId="2" borderId="0" xfId="1" applyFont="1" applyFill="1" applyAlignment="1">
      <alignment horizontal="center" vertical="center" wrapText="1"/>
    </xf>
    <xf numFmtId="0" fontId="5" fillId="2" borderId="1" xfId="3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5" fillId="2" borderId="38" xfId="3" applyFont="1" applyFill="1" applyBorder="1" applyAlignment="1">
      <alignment horizontal="center" vertical="center" wrapText="1"/>
    </xf>
    <xf numFmtId="0" fontId="5" fillId="2" borderId="39" xfId="3" applyFont="1" applyFill="1" applyBorder="1" applyAlignment="1">
      <alignment horizontal="center" vertical="center" wrapText="1"/>
    </xf>
    <xf numFmtId="0" fontId="5" fillId="2" borderId="2" xfId="3" applyFont="1" applyFill="1" applyBorder="1" applyAlignment="1">
      <alignment horizontal="right" vertical="center" readingOrder="2"/>
    </xf>
    <xf numFmtId="0" fontId="5" fillId="2" borderId="4" xfId="3" applyFont="1" applyFill="1" applyBorder="1" applyAlignment="1">
      <alignment horizontal="right" vertical="center" readingOrder="2"/>
    </xf>
    <xf numFmtId="0" fontId="5" fillId="2" borderId="3" xfId="3" applyFont="1" applyFill="1" applyBorder="1" applyAlignment="1">
      <alignment horizontal="right" vertical="center" readingOrder="2"/>
    </xf>
    <xf numFmtId="0" fontId="5" fillId="2" borderId="35" xfId="3" applyFont="1" applyFill="1" applyBorder="1" applyAlignment="1">
      <alignment horizontal="center" vertical="center" readingOrder="2"/>
    </xf>
    <xf numFmtId="0" fontId="5" fillId="2" borderId="36" xfId="3" applyFont="1" applyFill="1" applyBorder="1" applyAlignment="1">
      <alignment horizontal="center" vertical="center" readingOrder="2"/>
    </xf>
    <xf numFmtId="0" fontId="5" fillId="2" borderId="37" xfId="3" applyFont="1" applyFill="1" applyBorder="1" applyAlignment="1">
      <alignment horizontal="center" vertical="center" readingOrder="2"/>
    </xf>
    <xf numFmtId="0" fontId="5" fillId="2" borderId="8" xfId="3" applyNumberFormat="1" applyFont="1" applyFill="1" applyBorder="1" applyAlignment="1">
      <alignment horizontal="center" vertical="center" wrapText="1"/>
    </xf>
    <xf numFmtId="0" fontId="5" fillId="2" borderId="33" xfId="3" applyNumberFormat="1" applyFont="1" applyFill="1" applyBorder="1" applyAlignment="1">
      <alignment horizontal="center" vertical="center" wrapText="1"/>
    </xf>
    <xf numFmtId="0" fontId="5" fillId="2" borderId="21" xfId="3" applyNumberFormat="1" applyFont="1" applyFill="1" applyBorder="1" applyAlignment="1">
      <alignment horizontal="center" vertical="center" wrapText="1"/>
    </xf>
    <xf numFmtId="0" fontId="5" fillId="2" borderId="8" xfId="3" applyFont="1" applyFill="1" applyBorder="1" applyAlignment="1">
      <alignment horizontal="center" vertical="center" wrapText="1"/>
    </xf>
    <xf numFmtId="0" fontId="5" fillId="2" borderId="21" xfId="3" applyFont="1" applyFill="1" applyBorder="1" applyAlignment="1">
      <alignment horizontal="center" vertical="center" wrapText="1"/>
    </xf>
    <xf numFmtId="0" fontId="13" fillId="2" borderId="1" xfId="3" applyNumberFormat="1" applyFont="1" applyFill="1" applyBorder="1" applyAlignment="1">
      <alignment horizontal="center" vertical="center" wrapText="1"/>
    </xf>
    <xf numFmtId="0" fontId="13" fillId="2" borderId="1" xfId="3" applyFont="1" applyFill="1" applyBorder="1" applyAlignment="1">
      <alignment horizontal="center" vertical="center" wrapText="1"/>
    </xf>
    <xf numFmtId="0" fontId="13" fillId="2" borderId="3" xfId="3" applyFont="1" applyFill="1" applyBorder="1" applyAlignment="1">
      <alignment horizontal="center" vertical="center" wrapText="1"/>
    </xf>
    <xf numFmtId="0" fontId="15" fillId="2" borderId="0" xfId="3" applyFont="1" applyFill="1" applyAlignment="1">
      <alignment horizontal="center" vertical="center" wrapText="1"/>
    </xf>
    <xf numFmtId="0" fontId="5" fillId="2" borderId="1" xfId="3" applyFont="1" applyFill="1" applyBorder="1" applyAlignment="1">
      <alignment horizontal="center" vertical="top" wrapText="1"/>
    </xf>
    <xf numFmtId="0" fontId="13" fillId="0" borderId="0" xfId="1" applyFont="1" applyFill="1" applyBorder="1" applyAlignment="1">
      <alignment horizontal="center" vertical="top" wrapText="1"/>
    </xf>
    <xf numFmtId="0" fontId="13" fillId="0" borderId="0" xfId="1" applyFont="1" applyFill="1" applyBorder="1" applyAlignment="1">
      <alignment horizontal="left" vertical="top" wrapText="1"/>
    </xf>
    <xf numFmtId="0" fontId="13" fillId="0" borderId="1" xfId="1" applyFont="1" applyFill="1" applyBorder="1" applyAlignment="1">
      <alignment horizontal="center" vertical="center" wrapText="1"/>
    </xf>
    <xf numFmtId="0" fontId="16" fillId="0" borderId="2" xfId="1" applyFont="1" applyFill="1" applyBorder="1" applyAlignment="1">
      <alignment horizontal="center" vertical="center"/>
    </xf>
    <xf numFmtId="0" fontId="16" fillId="0" borderId="3" xfId="1" applyFont="1" applyFill="1" applyBorder="1" applyAlignment="1">
      <alignment horizontal="center" vertical="center"/>
    </xf>
    <xf numFmtId="0" fontId="9" fillId="0" borderId="0" xfId="1" applyFont="1" applyFill="1" applyBorder="1" applyAlignment="1">
      <alignment horizontal="center" vertical="top" wrapText="1"/>
    </xf>
    <xf numFmtId="0" fontId="9" fillId="0" borderId="0" xfId="1" applyFont="1" applyFill="1" applyBorder="1" applyAlignment="1">
      <alignment horizontal="left" vertical="top" wrapText="1"/>
    </xf>
    <xf numFmtId="0" fontId="9" fillId="0" borderId="1" xfId="1" applyFont="1" applyFill="1" applyBorder="1" applyAlignment="1">
      <alignment horizontal="center" vertical="center" wrapText="1"/>
    </xf>
    <xf numFmtId="0" fontId="5" fillId="0" borderId="2" xfId="1" applyFont="1" applyFill="1" applyBorder="1" applyAlignment="1">
      <alignment horizontal="right" vertical="center"/>
    </xf>
    <xf numFmtId="0" fontId="5" fillId="0" borderId="4" xfId="1" applyFont="1" applyFill="1" applyBorder="1" applyAlignment="1">
      <alignment horizontal="right" vertical="center"/>
    </xf>
    <xf numFmtId="0" fontId="5" fillId="0" borderId="3" xfId="1" applyFont="1" applyFill="1" applyBorder="1" applyAlignment="1">
      <alignment horizontal="right" vertical="center"/>
    </xf>
    <xf numFmtId="0" fontId="5" fillId="0" borderId="23" xfId="1" applyFont="1" applyFill="1" applyBorder="1" applyAlignment="1">
      <alignment horizontal="center" vertical="center" wrapText="1"/>
    </xf>
    <xf numFmtId="0" fontId="5" fillId="0" borderId="24" xfId="1" applyFont="1" applyFill="1" applyBorder="1" applyAlignment="1">
      <alignment horizontal="center" vertical="center" wrapText="1"/>
    </xf>
    <xf numFmtId="0" fontId="5" fillId="0" borderId="8" xfId="1" applyFont="1" applyFill="1" applyBorder="1" applyAlignment="1">
      <alignment horizontal="center" vertical="center" wrapText="1"/>
    </xf>
    <xf numFmtId="0" fontId="5" fillId="0" borderId="21" xfId="1" applyFont="1" applyFill="1" applyBorder="1" applyAlignment="1">
      <alignment horizontal="center" vertical="center" wrapText="1"/>
    </xf>
    <xf numFmtId="0" fontId="5" fillId="0" borderId="2" xfId="1" applyFont="1" applyFill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0" fontId="5" fillId="0" borderId="3" xfId="1" applyFont="1" applyFill="1" applyBorder="1" applyAlignment="1">
      <alignment horizontal="center" vertical="center"/>
    </xf>
    <xf numFmtId="0" fontId="9" fillId="0" borderId="23" xfId="1" applyFont="1" applyFill="1" applyBorder="1" applyAlignment="1">
      <alignment horizontal="center" vertical="center" wrapText="1"/>
    </xf>
    <xf numFmtId="0" fontId="9" fillId="0" borderId="24" xfId="1" applyFont="1" applyFill="1" applyBorder="1" applyAlignment="1">
      <alignment horizontal="center" vertical="center" wrapText="1"/>
    </xf>
    <xf numFmtId="0" fontId="9" fillId="0" borderId="8" xfId="1" applyFont="1" applyFill="1" applyBorder="1" applyAlignment="1">
      <alignment horizontal="center" vertical="center" wrapText="1"/>
    </xf>
    <xf numFmtId="0" fontId="9" fillId="0" borderId="21" xfId="1" applyFont="1" applyFill="1" applyBorder="1" applyAlignment="1">
      <alignment horizontal="center" vertical="center" wrapText="1"/>
    </xf>
    <xf numFmtId="0" fontId="9" fillId="0" borderId="2" xfId="1" applyFont="1" applyFill="1" applyBorder="1" applyAlignment="1">
      <alignment horizontal="center" vertical="center"/>
    </xf>
    <xf numFmtId="0" fontId="9" fillId="0" borderId="4" xfId="1" applyFont="1" applyFill="1" applyBorder="1" applyAlignment="1">
      <alignment horizontal="center" vertical="center"/>
    </xf>
    <xf numFmtId="0" fontId="9" fillId="0" borderId="3" xfId="1" applyFont="1" applyFill="1" applyBorder="1" applyAlignment="1">
      <alignment horizontal="center" vertical="center"/>
    </xf>
    <xf numFmtId="0" fontId="9" fillId="0" borderId="2" xfId="1" applyFont="1" applyFill="1" applyBorder="1" applyAlignment="1">
      <alignment horizontal="right" vertical="center"/>
    </xf>
    <xf numFmtId="0" fontId="9" fillId="0" borderId="4" xfId="1" applyFont="1" applyFill="1" applyBorder="1" applyAlignment="1">
      <alignment horizontal="right" vertical="center"/>
    </xf>
    <xf numFmtId="0" fontId="9" fillId="0" borderId="3" xfId="1" applyFont="1" applyFill="1" applyBorder="1" applyAlignment="1">
      <alignment horizontal="right" vertical="center"/>
    </xf>
    <xf numFmtId="0" fontId="13" fillId="0" borderId="3" xfId="1" applyFont="1" applyFill="1" applyBorder="1" applyAlignment="1">
      <alignment horizontal="center" vertical="center" wrapText="1"/>
    </xf>
    <xf numFmtId="0" fontId="13" fillId="0" borderId="1" xfId="1" applyFont="1" applyFill="1" applyBorder="1" applyAlignment="1">
      <alignment horizontal="center" vertical="top" wrapText="1"/>
    </xf>
    <xf numFmtId="0" fontId="13" fillId="0" borderId="1" xfId="1" applyNumberFormat="1" applyFont="1" applyFill="1" applyBorder="1" applyAlignment="1">
      <alignment horizontal="center" vertical="center" wrapText="1"/>
    </xf>
    <xf numFmtId="0" fontId="13" fillId="0" borderId="2" xfId="1" applyFont="1" applyFill="1" applyBorder="1" applyAlignment="1">
      <alignment horizontal="center" vertical="center" wrapText="1"/>
    </xf>
    <xf numFmtId="0" fontId="5" fillId="0" borderId="1" xfId="1" applyFont="1" applyFill="1" applyBorder="1" applyAlignment="1">
      <alignment horizontal="center" vertical="top" wrapText="1"/>
    </xf>
    <xf numFmtId="1" fontId="5" fillId="2" borderId="1" xfId="3" applyNumberFormat="1" applyFont="1" applyFill="1" applyBorder="1" applyAlignment="1">
      <alignment horizontal="center" vertical="center" wrapText="1"/>
    </xf>
    <xf numFmtId="0" fontId="12" fillId="2" borderId="0" xfId="1" applyFont="1" applyFill="1" applyBorder="1" applyAlignment="1">
      <alignment horizontal="center" vertical="center" wrapText="1"/>
    </xf>
    <xf numFmtId="1" fontId="5" fillId="2" borderId="1" xfId="1" applyNumberFormat="1" applyFont="1" applyFill="1" applyBorder="1" applyAlignment="1">
      <alignment horizontal="center" vertical="center" wrapText="1"/>
    </xf>
    <xf numFmtId="0" fontId="5" fillId="2" borderId="2" xfId="3" applyFont="1" applyFill="1" applyBorder="1" applyAlignment="1">
      <alignment horizontal="right" vertical="center"/>
    </xf>
    <xf numFmtId="0" fontId="5" fillId="2" borderId="4" xfId="3" applyFont="1" applyFill="1" applyBorder="1" applyAlignment="1">
      <alignment horizontal="right" vertical="center"/>
    </xf>
    <xf numFmtId="0" fontId="5" fillId="2" borderId="3" xfId="3" applyFont="1" applyFill="1" applyBorder="1" applyAlignment="1">
      <alignment horizontal="right" vertical="center"/>
    </xf>
    <xf numFmtId="0" fontId="12" fillId="2" borderId="0" xfId="3" applyFont="1" applyFill="1" applyAlignment="1">
      <alignment horizontal="center" wrapText="1"/>
    </xf>
    <xf numFmtId="0" fontId="5" fillId="2" borderId="41" xfId="3" applyNumberFormat="1" applyFont="1" applyFill="1" applyBorder="1" applyAlignment="1">
      <alignment horizontal="center" vertical="center" wrapText="1"/>
    </xf>
    <xf numFmtId="0" fontId="5" fillId="2" borderId="41" xfId="3" applyFont="1" applyFill="1" applyBorder="1" applyAlignment="1">
      <alignment horizontal="center" vertical="center" wrapText="1"/>
    </xf>
    <xf numFmtId="0" fontId="5" fillId="2" borderId="42" xfId="3" applyFont="1" applyFill="1" applyBorder="1" applyAlignment="1">
      <alignment horizontal="center" vertical="center" wrapText="1"/>
    </xf>
    <xf numFmtId="0" fontId="5" fillId="2" borderId="43" xfId="3" applyFont="1" applyFill="1" applyBorder="1" applyAlignment="1">
      <alignment horizontal="center" vertical="center" wrapText="1"/>
    </xf>
    <xf numFmtId="0" fontId="5" fillId="2" borderId="9" xfId="3" applyFont="1" applyFill="1" applyBorder="1" applyAlignment="1">
      <alignment horizontal="center" vertical="center" wrapText="1"/>
    </xf>
    <xf numFmtId="0" fontId="5" fillId="2" borderId="46" xfId="3" applyFont="1" applyFill="1" applyBorder="1" applyAlignment="1">
      <alignment horizontal="center" vertical="center" wrapText="1"/>
    </xf>
    <xf numFmtId="0" fontId="5" fillId="2" borderId="9" xfId="3" applyNumberFormat="1" applyFont="1" applyFill="1" applyBorder="1" applyAlignment="1">
      <alignment horizontal="center" vertical="center" wrapText="1"/>
    </xf>
    <xf numFmtId="0" fontId="5" fillId="2" borderId="47" xfId="3" applyNumberFormat="1" applyFont="1" applyFill="1" applyBorder="1" applyAlignment="1">
      <alignment horizontal="center" vertical="center" wrapText="1"/>
    </xf>
    <xf numFmtId="0" fontId="5" fillId="2" borderId="46" xfId="3" applyNumberFormat="1" applyFont="1" applyFill="1" applyBorder="1" applyAlignment="1">
      <alignment horizontal="center" vertical="center" wrapText="1"/>
    </xf>
    <xf numFmtId="0" fontId="5" fillId="2" borderId="2" xfId="3" applyFont="1" applyFill="1" applyBorder="1" applyAlignment="1">
      <alignment horizontal="right" vertical="center" wrapText="1"/>
    </xf>
    <xf numFmtId="0" fontId="5" fillId="2" borderId="4" xfId="3" applyFont="1" applyFill="1" applyBorder="1" applyAlignment="1">
      <alignment horizontal="right" vertical="center" wrapText="1"/>
    </xf>
    <xf numFmtId="0" fontId="5" fillId="2" borderId="3" xfId="3" applyFont="1" applyFill="1" applyBorder="1" applyAlignment="1">
      <alignment horizontal="right" vertical="center" wrapText="1"/>
    </xf>
    <xf numFmtId="0" fontId="21" fillId="2" borderId="0" xfId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top" wrapText="1"/>
    </xf>
    <xf numFmtId="0" fontId="13" fillId="0" borderId="23" xfId="1" applyFont="1" applyFill="1" applyBorder="1" applyAlignment="1">
      <alignment horizontal="center" vertical="center" wrapText="1"/>
    </xf>
    <xf numFmtId="0" fontId="13" fillId="0" borderId="24" xfId="1" applyFont="1" applyFill="1" applyBorder="1" applyAlignment="1">
      <alignment horizontal="center" vertical="center" wrapText="1"/>
    </xf>
    <xf numFmtId="0" fontId="13" fillId="0" borderId="8" xfId="1" applyFont="1" applyFill="1" applyBorder="1" applyAlignment="1">
      <alignment horizontal="center" vertical="center" wrapText="1"/>
    </xf>
    <xf numFmtId="0" fontId="13" fillId="0" borderId="21" xfId="1" applyFont="1" applyFill="1" applyBorder="1" applyAlignment="1">
      <alignment horizontal="center" vertical="center" wrapText="1"/>
    </xf>
    <xf numFmtId="0" fontId="13" fillId="0" borderId="2" xfId="1" applyFont="1" applyFill="1" applyBorder="1" applyAlignment="1">
      <alignment horizontal="right" vertical="center"/>
    </xf>
    <xf numFmtId="0" fontId="13" fillId="0" borderId="4" xfId="1" applyFont="1" applyFill="1" applyBorder="1" applyAlignment="1">
      <alignment horizontal="right" vertical="center"/>
    </xf>
    <xf numFmtId="0" fontId="13" fillId="0" borderId="3" xfId="1" applyFont="1" applyFill="1" applyBorder="1" applyAlignment="1">
      <alignment horizontal="right" vertical="center"/>
    </xf>
    <xf numFmtId="0" fontId="13" fillId="0" borderId="2" xfId="1" applyFont="1" applyFill="1" applyBorder="1" applyAlignment="1">
      <alignment horizontal="center" vertical="center"/>
    </xf>
    <xf numFmtId="0" fontId="13" fillId="0" borderId="4" xfId="1" applyFont="1" applyFill="1" applyBorder="1" applyAlignment="1">
      <alignment horizontal="center" vertical="center"/>
    </xf>
    <xf numFmtId="0" fontId="13" fillId="0" borderId="3" xfId="1" applyFont="1" applyFill="1" applyBorder="1" applyAlignment="1">
      <alignment horizontal="center" vertical="center"/>
    </xf>
    <xf numFmtId="0" fontId="9" fillId="0" borderId="2" xfId="1" applyFont="1" applyFill="1" applyBorder="1" applyAlignment="1">
      <alignment horizontal="right" vertical="center" wrapText="1"/>
    </xf>
    <xf numFmtId="0" fontId="9" fillId="0" borderId="4" xfId="1" applyFont="1" applyFill="1" applyBorder="1" applyAlignment="1">
      <alignment horizontal="right" vertical="center" wrapText="1"/>
    </xf>
    <xf numFmtId="0" fontId="9" fillId="0" borderId="3" xfId="1" applyFont="1" applyFill="1" applyBorder="1" applyAlignment="1">
      <alignment horizontal="right" vertical="center" wrapText="1"/>
    </xf>
    <xf numFmtId="0" fontId="9" fillId="0" borderId="2" xfId="1" applyFont="1" applyFill="1" applyBorder="1" applyAlignment="1">
      <alignment horizontal="center" vertical="center" wrapText="1"/>
    </xf>
    <xf numFmtId="0" fontId="9" fillId="0" borderId="4" xfId="1" applyFont="1" applyFill="1" applyBorder="1" applyAlignment="1">
      <alignment horizontal="center" vertical="center" wrapText="1"/>
    </xf>
    <xf numFmtId="0" fontId="9" fillId="0" borderId="3" xfId="1" applyFont="1" applyFill="1" applyBorder="1" applyAlignment="1">
      <alignment horizontal="center" vertical="center" wrapText="1"/>
    </xf>
    <xf numFmtId="0" fontId="14" fillId="2" borderId="0" xfId="3" applyFont="1" applyFill="1" applyAlignment="1">
      <alignment horizontal="center" vertical="center" wrapText="1"/>
    </xf>
    <xf numFmtId="0" fontId="21" fillId="2" borderId="0" xfId="3" applyFont="1" applyFill="1" applyAlignment="1">
      <alignment horizontal="center" vertical="center" wrapText="1"/>
    </xf>
    <xf numFmtId="0" fontId="5" fillId="2" borderId="0" xfId="1" applyFont="1" applyFill="1" applyBorder="1" applyAlignment="1">
      <alignment horizontal="center" vertical="center" wrapText="1"/>
    </xf>
    <xf numFmtId="0" fontId="5" fillId="2" borderId="33" xfId="1" applyFont="1" applyFill="1" applyBorder="1" applyAlignment="1">
      <alignment horizontal="left" vertical="center" wrapText="1"/>
    </xf>
    <xf numFmtId="0" fontId="5" fillId="2" borderId="2" xfId="1" applyFont="1" applyFill="1" applyBorder="1" applyAlignment="1">
      <alignment horizontal="center" vertical="center" wrapText="1"/>
    </xf>
    <xf numFmtId="0" fontId="5" fillId="2" borderId="23" xfId="1" applyFont="1" applyFill="1" applyBorder="1" applyAlignment="1">
      <alignment horizontal="center" vertical="center"/>
    </xf>
    <xf numFmtId="0" fontId="5" fillId="2" borderId="5" xfId="1" applyFont="1" applyFill="1" applyBorder="1" applyAlignment="1">
      <alignment horizontal="center" vertical="center"/>
    </xf>
    <xf numFmtId="0" fontId="5" fillId="2" borderId="54" xfId="1" applyFont="1" applyFill="1" applyBorder="1" applyAlignment="1">
      <alignment horizontal="center" vertical="center"/>
    </xf>
    <xf numFmtId="0" fontId="5" fillId="2" borderId="49" xfId="1" applyNumberFormat="1" applyFont="1" applyFill="1" applyBorder="1" applyAlignment="1">
      <alignment horizontal="center" vertical="center" wrapText="1"/>
    </xf>
    <xf numFmtId="0" fontId="5" fillId="2" borderId="56" xfId="1" applyFont="1" applyFill="1" applyBorder="1" applyAlignment="1">
      <alignment horizontal="center" vertical="center" wrapText="1"/>
    </xf>
    <xf numFmtId="0" fontId="5" fillId="2" borderId="25" xfId="1" applyFont="1" applyFill="1" applyBorder="1" applyAlignment="1">
      <alignment horizontal="center" vertical="center" wrapText="1"/>
    </xf>
    <xf numFmtId="0" fontId="5" fillId="2" borderId="52" xfId="1" applyNumberFormat="1" applyFont="1" applyFill="1" applyBorder="1" applyAlignment="1">
      <alignment horizontal="center" vertical="center" wrapText="1"/>
    </xf>
    <xf numFmtId="0" fontId="5" fillId="2" borderId="2" xfId="3" applyFont="1" applyFill="1" applyBorder="1" applyAlignment="1">
      <alignment horizontal="center" vertical="center" wrapText="1"/>
    </xf>
    <xf numFmtId="0" fontId="5" fillId="2" borderId="2" xfId="1" applyFont="1" applyFill="1" applyBorder="1" applyAlignment="1">
      <alignment horizontal="right" vertical="center" wrapText="1"/>
    </xf>
    <xf numFmtId="0" fontId="5" fillId="2" borderId="4" xfId="1" applyFont="1" applyFill="1" applyBorder="1" applyAlignment="1">
      <alignment horizontal="right" vertical="center" wrapText="1"/>
    </xf>
    <xf numFmtId="0" fontId="5" fillId="2" borderId="3" xfId="1" applyFont="1" applyFill="1" applyBorder="1" applyAlignment="1">
      <alignment horizontal="right" vertical="center" wrapText="1"/>
    </xf>
    <xf numFmtId="0" fontId="22" fillId="0" borderId="0" xfId="1" applyFont="1" applyFill="1" applyBorder="1" applyAlignment="1">
      <alignment horizontal="center" vertical="center" wrapText="1"/>
    </xf>
    <xf numFmtId="0" fontId="5" fillId="2" borderId="0" xfId="1" applyFont="1" applyFill="1" applyBorder="1" applyAlignment="1">
      <alignment horizontal="left" vertical="center" wrapText="1"/>
    </xf>
    <xf numFmtId="0" fontId="22" fillId="2" borderId="0" xfId="1" applyFont="1" applyFill="1" applyBorder="1" applyAlignment="1">
      <alignment horizontal="center" vertical="center" wrapText="1"/>
    </xf>
    <xf numFmtId="0" fontId="5" fillId="2" borderId="6" xfId="1" applyFont="1" applyFill="1" applyBorder="1" applyAlignment="1">
      <alignment horizontal="center" vertical="center"/>
    </xf>
    <xf numFmtId="0" fontId="5" fillId="2" borderId="7" xfId="1" applyFont="1" applyFill="1" applyBorder="1" applyAlignment="1">
      <alignment horizontal="center" vertical="center"/>
    </xf>
    <xf numFmtId="0" fontId="5" fillId="2" borderId="20" xfId="1" applyFont="1" applyFill="1" applyBorder="1" applyAlignment="1">
      <alignment horizontal="center" vertical="center"/>
    </xf>
    <xf numFmtId="0" fontId="5" fillId="0" borderId="0" xfId="4" applyFont="1" applyFill="1" applyBorder="1" applyAlignment="1">
      <alignment horizontal="center" vertical="top" wrapText="1"/>
    </xf>
    <xf numFmtId="0" fontId="24" fillId="0" borderId="0" xfId="4" applyFont="1" applyFill="1" applyBorder="1" applyAlignment="1">
      <alignment horizontal="center" vertical="top" wrapText="1"/>
    </xf>
    <xf numFmtId="0" fontId="24" fillId="0" borderId="0" xfId="4" applyFont="1" applyFill="1" applyBorder="1" applyAlignment="1">
      <alignment horizontal="left" vertical="top" wrapText="1"/>
    </xf>
    <xf numFmtId="0" fontId="24" fillId="0" borderId="1" xfId="4" applyFont="1" applyFill="1" applyBorder="1" applyAlignment="1">
      <alignment horizontal="center" vertical="center" wrapText="1"/>
    </xf>
    <xf numFmtId="0" fontId="24" fillId="2" borderId="1" xfId="4" applyFont="1" applyFill="1" applyBorder="1" applyAlignment="1">
      <alignment horizontal="center" vertical="center" wrapText="1"/>
    </xf>
    <xf numFmtId="1" fontId="24" fillId="2" borderId="1" xfId="4" applyNumberFormat="1" applyFont="1" applyFill="1" applyBorder="1" applyAlignment="1">
      <alignment horizontal="center" vertical="center" wrapText="1"/>
    </xf>
    <xf numFmtId="0" fontId="5" fillId="2" borderId="0" xfId="4" applyFont="1" applyFill="1" applyBorder="1" applyAlignment="1">
      <alignment horizontal="center" vertical="top" wrapText="1"/>
    </xf>
    <xf numFmtId="0" fontId="24" fillId="2" borderId="0" xfId="4" applyFont="1" applyFill="1" applyBorder="1" applyAlignment="1">
      <alignment horizontal="center" vertical="top" wrapText="1"/>
    </xf>
    <xf numFmtId="0" fontId="24" fillId="2" borderId="0" xfId="4" applyFont="1" applyFill="1" applyBorder="1" applyAlignment="1">
      <alignment horizontal="left" vertical="top" wrapText="1"/>
    </xf>
    <xf numFmtId="0" fontId="5" fillId="2" borderId="1" xfId="4" applyFont="1" applyFill="1" applyBorder="1" applyAlignment="1">
      <alignment horizontal="center" vertical="center" wrapText="1"/>
    </xf>
    <xf numFmtId="0" fontId="24" fillId="0" borderId="1" xfId="4" applyFont="1" applyFill="1" applyBorder="1" applyAlignment="1">
      <alignment horizontal="center" vertical="top" wrapText="1"/>
    </xf>
    <xf numFmtId="0" fontId="24" fillId="0" borderId="2" xfId="4" applyFont="1" applyFill="1" applyBorder="1" applyAlignment="1">
      <alignment horizontal="center" vertical="center" wrapText="1"/>
    </xf>
    <xf numFmtId="0" fontId="24" fillId="0" borderId="3" xfId="4" applyFont="1" applyFill="1" applyBorder="1" applyAlignment="1">
      <alignment horizontal="center" vertical="center" wrapText="1"/>
    </xf>
    <xf numFmtId="0" fontId="26" fillId="2" borderId="59" xfId="4" applyFont="1" applyFill="1" applyBorder="1" applyAlignment="1">
      <alignment horizontal="center" vertical="top" wrapText="1"/>
    </xf>
    <xf numFmtId="0" fontId="24" fillId="2" borderId="1" xfId="4" applyFont="1" applyFill="1" applyBorder="1" applyAlignment="1">
      <alignment horizontal="center" vertical="top" wrapText="1"/>
    </xf>
    <xf numFmtId="0" fontId="24" fillId="2" borderId="2" xfId="4" applyFont="1" applyFill="1" applyBorder="1" applyAlignment="1">
      <alignment horizontal="center" vertical="center" wrapText="1"/>
    </xf>
    <xf numFmtId="0" fontId="24" fillId="2" borderId="3" xfId="4" applyFont="1" applyFill="1" applyBorder="1" applyAlignment="1">
      <alignment horizontal="center" vertical="center" wrapText="1"/>
    </xf>
    <xf numFmtId="0" fontId="26" fillId="2" borderId="0" xfId="4" applyFont="1" applyFill="1" applyBorder="1" applyAlignment="1">
      <alignment horizontal="center" vertical="top" wrapText="1"/>
    </xf>
    <xf numFmtId="0" fontId="10" fillId="6" borderId="62" xfId="5" applyFont="1" applyFill="1" applyBorder="1" applyAlignment="1">
      <alignment horizontal="center" vertical="center"/>
    </xf>
    <xf numFmtId="0" fontId="10" fillId="6" borderId="61" xfId="5" applyFont="1" applyFill="1" applyBorder="1" applyAlignment="1">
      <alignment horizontal="center" vertical="center"/>
    </xf>
    <xf numFmtId="0" fontId="10" fillId="6" borderId="60" xfId="5" applyFont="1" applyFill="1" applyBorder="1" applyAlignment="1">
      <alignment horizontal="center" vertical="center"/>
    </xf>
    <xf numFmtId="0" fontId="29" fillId="2" borderId="0" xfId="5" applyFont="1" applyFill="1" applyAlignment="1">
      <alignment horizontal="center" vertical="center" wrapText="1"/>
    </xf>
    <xf numFmtId="0" fontId="29" fillId="2" borderId="63" xfId="5" applyFont="1" applyFill="1" applyBorder="1" applyAlignment="1">
      <alignment horizontal="center" vertical="center" wrapText="1"/>
    </xf>
    <xf numFmtId="0" fontId="10" fillId="6" borderId="30" xfId="5" applyFont="1" applyFill="1" applyBorder="1" applyAlignment="1">
      <alignment horizontal="center" vertical="center"/>
    </xf>
    <xf numFmtId="0" fontId="2" fillId="2" borderId="0" xfId="5" applyFill="1" applyAlignment="1">
      <alignment horizontal="center" vertical="center"/>
    </xf>
    <xf numFmtId="0" fontId="2" fillId="2" borderId="63" xfId="5" applyFill="1" applyBorder="1" applyAlignment="1">
      <alignment horizontal="center" vertical="center"/>
    </xf>
    <xf numFmtId="0" fontId="10" fillId="2" borderId="62" xfId="5" applyFont="1" applyFill="1" applyBorder="1" applyAlignment="1">
      <alignment horizontal="center" vertical="center"/>
    </xf>
    <xf numFmtId="0" fontId="10" fillId="2" borderId="61" xfId="5" applyFont="1" applyFill="1" applyBorder="1" applyAlignment="1">
      <alignment horizontal="center" vertical="center"/>
    </xf>
    <xf numFmtId="0" fontId="10" fillId="2" borderId="60" xfId="5" applyFont="1" applyFill="1" applyBorder="1" applyAlignment="1">
      <alignment horizontal="center" vertical="center"/>
    </xf>
    <xf numFmtId="0" fontId="10" fillId="2" borderId="0" xfId="5" applyFont="1" applyFill="1" applyBorder="1" applyAlignment="1">
      <alignment horizontal="center" vertical="center" wrapText="1"/>
    </xf>
    <xf numFmtId="0" fontId="10" fillId="2" borderId="30" xfId="5" applyFont="1" applyFill="1" applyBorder="1" applyAlignment="1">
      <alignment horizontal="center" vertical="center" wrapText="1"/>
    </xf>
    <xf numFmtId="0" fontId="30" fillId="2" borderId="30" xfId="5" applyFont="1" applyFill="1" applyBorder="1" applyAlignment="1">
      <alignment horizontal="center" vertical="center" wrapText="1"/>
    </xf>
    <xf numFmtId="0" fontId="31" fillId="2" borderId="30" xfId="5" applyFont="1" applyFill="1" applyBorder="1" applyAlignment="1">
      <alignment horizontal="center" vertical="center"/>
    </xf>
    <xf numFmtId="0" fontId="32" fillId="2" borderId="30" xfId="5" applyFont="1" applyFill="1" applyBorder="1" applyAlignment="1">
      <alignment horizontal="center" vertical="center" wrapText="1"/>
    </xf>
    <xf numFmtId="0" fontId="10" fillId="2" borderId="64" xfId="5" applyFont="1" applyFill="1" applyBorder="1" applyAlignment="1">
      <alignment horizontal="center" vertical="center" wrapText="1"/>
    </xf>
    <xf numFmtId="0" fontId="10" fillId="2" borderId="63" xfId="5" applyFont="1" applyFill="1" applyBorder="1" applyAlignment="1">
      <alignment horizontal="center" vertical="center"/>
    </xf>
    <xf numFmtId="0" fontId="30" fillId="2" borderId="63" xfId="5" applyFont="1" applyFill="1" applyBorder="1" applyAlignment="1">
      <alignment horizontal="center" vertical="center" wrapText="1"/>
    </xf>
    <xf numFmtId="0" fontId="10" fillId="2" borderId="64" xfId="5" applyFont="1" applyFill="1" applyBorder="1" applyAlignment="1">
      <alignment horizontal="center" vertical="center"/>
    </xf>
    <xf numFmtId="0" fontId="10" fillId="2" borderId="0" xfId="5" applyFont="1" applyFill="1" applyBorder="1" applyAlignment="1">
      <alignment horizontal="center" vertical="center"/>
    </xf>
    <xf numFmtId="0" fontId="10" fillId="2" borderId="0" xfId="5" applyFont="1" applyFill="1" applyAlignment="1">
      <alignment horizontal="center" vertical="center" wrapText="1"/>
    </xf>
    <xf numFmtId="0" fontId="10" fillId="2" borderId="63" xfId="5" applyFont="1" applyFill="1" applyBorder="1" applyAlignment="1">
      <alignment horizontal="center" vertical="center" wrapText="1"/>
    </xf>
  </cellXfs>
  <cellStyles count="8">
    <cellStyle name="Hyperlink" xfId="7" builtinId="8"/>
    <cellStyle name="Normal" xfId="0" builtinId="0"/>
    <cellStyle name="Normal 2" xfId="1"/>
    <cellStyle name="Normal 2 2" xfId="2"/>
    <cellStyle name="Normal 2 2 2" xfId="3"/>
    <cellStyle name="Normal 2 3" xfId="4"/>
    <cellStyle name="Normal 2 3 2" xfId="6"/>
    <cellStyle name="Normal 3" xfId="5"/>
  </cellStyles>
  <dxfs count="3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83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alcChain" Target="calcChain.xml"/><Relationship Id="rId8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8"/>
  <sheetViews>
    <sheetView rightToLeft="1" tabSelected="1" view="pageBreakPreview" zoomScaleNormal="100" zoomScaleSheetLayoutView="100" workbookViewId="0">
      <selection activeCell="A2" sqref="A2:C3"/>
    </sheetView>
  </sheetViews>
  <sheetFormatPr defaultRowHeight="14.25" x14ac:dyDescent="0.2"/>
  <cols>
    <col min="1" max="1" width="14.375" style="189" customWidth="1"/>
    <col min="2" max="2" width="57" style="189" bestFit="1" customWidth="1"/>
    <col min="3" max="3" width="36.125" style="189" customWidth="1"/>
    <col min="4" max="256" width="9" style="189"/>
    <col min="257" max="257" width="14.375" style="189" customWidth="1"/>
    <col min="258" max="258" width="57" style="189" bestFit="1" customWidth="1"/>
    <col min="259" max="259" width="32.5" style="189" customWidth="1"/>
    <col min="260" max="512" width="9" style="189"/>
    <col min="513" max="513" width="14.375" style="189" customWidth="1"/>
    <col min="514" max="514" width="57" style="189" bestFit="1" customWidth="1"/>
    <col min="515" max="515" width="32.5" style="189" customWidth="1"/>
    <col min="516" max="768" width="9" style="189"/>
    <col min="769" max="769" width="14.375" style="189" customWidth="1"/>
    <col min="770" max="770" width="57" style="189" bestFit="1" customWidth="1"/>
    <col min="771" max="771" width="32.5" style="189" customWidth="1"/>
    <col min="772" max="1024" width="9" style="189"/>
    <col min="1025" max="1025" width="14.375" style="189" customWidth="1"/>
    <col min="1026" max="1026" width="57" style="189" bestFit="1" customWidth="1"/>
    <col min="1027" max="1027" width="32.5" style="189" customWidth="1"/>
    <col min="1028" max="1280" width="9" style="189"/>
    <col min="1281" max="1281" width="14.375" style="189" customWidth="1"/>
    <col min="1282" max="1282" width="57" style="189" bestFit="1" customWidth="1"/>
    <col min="1283" max="1283" width="32.5" style="189" customWidth="1"/>
    <col min="1284" max="1536" width="9" style="189"/>
    <col min="1537" max="1537" width="14.375" style="189" customWidth="1"/>
    <col min="1538" max="1538" width="57" style="189" bestFit="1" customWidth="1"/>
    <col min="1539" max="1539" width="32.5" style="189" customWidth="1"/>
    <col min="1540" max="1792" width="9" style="189"/>
    <col min="1793" max="1793" width="14.375" style="189" customWidth="1"/>
    <col min="1794" max="1794" width="57" style="189" bestFit="1" customWidth="1"/>
    <col min="1795" max="1795" width="32.5" style="189" customWidth="1"/>
    <col min="1796" max="2048" width="9" style="189"/>
    <col min="2049" max="2049" width="14.375" style="189" customWidth="1"/>
    <col min="2050" max="2050" width="57" style="189" bestFit="1" customWidth="1"/>
    <col min="2051" max="2051" width="32.5" style="189" customWidth="1"/>
    <col min="2052" max="2304" width="9" style="189"/>
    <col min="2305" max="2305" width="14.375" style="189" customWidth="1"/>
    <col min="2306" max="2306" width="57" style="189" bestFit="1" customWidth="1"/>
    <col min="2307" max="2307" width="32.5" style="189" customWidth="1"/>
    <col min="2308" max="2560" width="9" style="189"/>
    <col min="2561" max="2561" width="14.375" style="189" customWidth="1"/>
    <col min="2562" max="2562" width="57" style="189" bestFit="1" customWidth="1"/>
    <col min="2563" max="2563" width="32.5" style="189" customWidth="1"/>
    <col min="2564" max="2816" width="9" style="189"/>
    <col min="2817" max="2817" width="14.375" style="189" customWidth="1"/>
    <col min="2818" max="2818" width="57" style="189" bestFit="1" customWidth="1"/>
    <col min="2819" max="2819" width="32.5" style="189" customWidth="1"/>
    <col min="2820" max="3072" width="9" style="189"/>
    <col min="3073" max="3073" width="14.375" style="189" customWidth="1"/>
    <col min="3074" max="3074" width="57" style="189" bestFit="1" customWidth="1"/>
    <col min="3075" max="3075" width="32.5" style="189" customWidth="1"/>
    <col min="3076" max="3328" width="9" style="189"/>
    <col min="3329" max="3329" width="14.375" style="189" customWidth="1"/>
    <col min="3330" max="3330" width="57" style="189" bestFit="1" customWidth="1"/>
    <col min="3331" max="3331" width="32.5" style="189" customWidth="1"/>
    <col min="3332" max="3584" width="9" style="189"/>
    <col min="3585" max="3585" width="14.375" style="189" customWidth="1"/>
    <col min="3586" max="3586" width="57" style="189" bestFit="1" customWidth="1"/>
    <col min="3587" max="3587" width="32.5" style="189" customWidth="1"/>
    <col min="3588" max="3840" width="9" style="189"/>
    <col min="3841" max="3841" width="14.375" style="189" customWidth="1"/>
    <col min="3842" max="3842" width="57" style="189" bestFit="1" customWidth="1"/>
    <col min="3843" max="3843" width="32.5" style="189" customWidth="1"/>
    <col min="3844" max="4096" width="9" style="189"/>
    <col min="4097" max="4097" width="14.375" style="189" customWidth="1"/>
    <col min="4098" max="4098" width="57" style="189" bestFit="1" customWidth="1"/>
    <col min="4099" max="4099" width="32.5" style="189" customWidth="1"/>
    <col min="4100" max="4352" width="9" style="189"/>
    <col min="4353" max="4353" width="14.375" style="189" customWidth="1"/>
    <col min="4354" max="4354" width="57" style="189" bestFit="1" customWidth="1"/>
    <col min="4355" max="4355" width="32.5" style="189" customWidth="1"/>
    <col min="4356" max="4608" width="9" style="189"/>
    <col min="4609" max="4609" width="14.375" style="189" customWidth="1"/>
    <col min="4610" max="4610" width="57" style="189" bestFit="1" customWidth="1"/>
    <col min="4611" max="4611" width="32.5" style="189" customWidth="1"/>
    <col min="4612" max="4864" width="9" style="189"/>
    <col min="4865" max="4865" width="14.375" style="189" customWidth="1"/>
    <col min="4866" max="4866" width="57" style="189" bestFit="1" customWidth="1"/>
    <col min="4867" max="4867" width="32.5" style="189" customWidth="1"/>
    <col min="4868" max="5120" width="9" style="189"/>
    <col min="5121" max="5121" width="14.375" style="189" customWidth="1"/>
    <col min="5122" max="5122" width="57" style="189" bestFit="1" customWidth="1"/>
    <col min="5123" max="5123" width="32.5" style="189" customWidth="1"/>
    <col min="5124" max="5376" width="9" style="189"/>
    <col min="5377" max="5377" width="14.375" style="189" customWidth="1"/>
    <col min="5378" max="5378" width="57" style="189" bestFit="1" customWidth="1"/>
    <col min="5379" max="5379" width="32.5" style="189" customWidth="1"/>
    <col min="5380" max="5632" width="9" style="189"/>
    <col min="5633" max="5633" width="14.375" style="189" customWidth="1"/>
    <col min="5634" max="5634" width="57" style="189" bestFit="1" customWidth="1"/>
    <col min="5635" max="5635" width="32.5" style="189" customWidth="1"/>
    <col min="5636" max="5888" width="9" style="189"/>
    <col min="5889" max="5889" width="14.375" style="189" customWidth="1"/>
    <col min="5890" max="5890" width="57" style="189" bestFit="1" customWidth="1"/>
    <col min="5891" max="5891" width="32.5" style="189" customWidth="1"/>
    <col min="5892" max="6144" width="9" style="189"/>
    <col min="6145" max="6145" width="14.375" style="189" customWidth="1"/>
    <col min="6146" max="6146" width="57" style="189" bestFit="1" customWidth="1"/>
    <col min="6147" max="6147" width="32.5" style="189" customWidth="1"/>
    <col min="6148" max="6400" width="9" style="189"/>
    <col min="6401" max="6401" width="14.375" style="189" customWidth="1"/>
    <col min="6402" max="6402" width="57" style="189" bestFit="1" customWidth="1"/>
    <col min="6403" max="6403" width="32.5" style="189" customWidth="1"/>
    <col min="6404" max="6656" width="9" style="189"/>
    <col min="6657" max="6657" width="14.375" style="189" customWidth="1"/>
    <col min="6658" max="6658" width="57" style="189" bestFit="1" customWidth="1"/>
    <col min="6659" max="6659" width="32.5" style="189" customWidth="1"/>
    <col min="6660" max="6912" width="9" style="189"/>
    <col min="6913" max="6913" width="14.375" style="189" customWidth="1"/>
    <col min="6914" max="6914" width="57" style="189" bestFit="1" customWidth="1"/>
    <col min="6915" max="6915" width="32.5" style="189" customWidth="1"/>
    <col min="6916" max="7168" width="9" style="189"/>
    <col min="7169" max="7169" width="14.375" style="189" customWidth="1"/>
    <col min="7170" max="7170" width="57" style="189" bestFit="1" customWidth="1"/>
    <col min="7171" max="7171" width="32.5" style="189" customWidth="1"/>
    <col min="7172" max="7424" width="9" style="189"/>
    <col min="7425" max="7425" width="14.375" style="189" customWidth="1"/>
    <col min="7426" max="7426" width="57" style="189" bestFit="1" customWidth="1"/>
    <col min="7427" max="7427" width="32.5" style="189" customWidth="1"/>
    <col min="7428" max="7680" width="9" style="189"/>
    <col min="7681" max="7681" width="14.375" style="189" customWidth="1"/>
    <col min="7682" max="7682" width="57" style="189" bestFit="1" customWidth="1"/>
    <col min="7683" max="7683" width="32.5" style="189" customWidth="1"/>
    <col min="7684" max="7936" width="9" style="189"/>
    <col min="7937" max="7937" width="14.375" style="189" customWidth="1"/>
    <col min="7938" max="7938" width="57" style="189" bestFit="1" customWidth="1"/>
    <col min="7939" max="7939" width="32.5" style="189" customWidth="1"/>
    <col min="7940" max="8192" width="9" style="189"/>
    <col min="8193" max="8193" width="14.375" style="189" customWidth="1"/>
    <col min="8194" max="8194" width="57" style="189" bestFit="1" customWidth="1"/>
    <col min="8195" max="8195" width="32.5" style="189" customWidth="1"/>
    <col min="8196" max="8448" width="9" style="189"/>
    <col min="8449" max="8449" width="14.375" style="189" customWidth="1"/>
    <col min="8450" max="8450" width="57" style="189" bestFit="1" customWidth="1"/>
    <col min="8451" max="8451" width="32.5" style="189" customWidth="1"/>
    <col min="8452" max="8704" width="9" style="189"/>
    <col min="8705" max="8705" width="14.375" style="189" customWidth="1"/>
    <col min="8706" max="8706" width="57" style="189" bestFit="1" customWidth="1"/>
    <col min="8707" max="8707" width="32.5" style="189" customWidth="1"/>
    <col min="8708" max="8960" width="9" style="189"/>
    <col min="8961" max="8961" width="14.375" style="189" customWidth="1"/>
    <col min="8962" max="8962" width="57" style="189" bestFit="1" customWidth="1"/>
    <col min="8963" max="8963" width="32.5" style="189" customWidth="1"/>
    <col min="8964" max="9216" width="9" style="189"/>
    <col min="9217" max="9217" width="14.375" style="189" customWidth="1"/>
    <col min="9218" max="9218" width="57" style="189" bestFit="1" customWidth="1"/>
    <col min="9219" max="9219" width="32.5" style="189" customWidth="1"/>
    <col min="9220" max="9472" width="9" style="189"/>
    <col min="9473" max="9473" width="14.375" style="189" customWidth="1"/>
    <col min="9474" max="9474" width="57" style="189" bestFit="1" customWidth="1"/>
    <col min="9475" max="9475" width="32.5" style="189" customWidth="1"/>
    <col min="9476" max="9728" width="9" style="189"/>
    <col min="9729" max="9729" width="14.375" style="189" customWidth="1"/>
    <col min="9730" max="9730" width="57" style="189" bestFit="1" customWidth="1"/>
    <col min="9731" max="9731" width="32.5" style="189" customWidth="1"/>
    <col min="9732" max="9984" width="9" style="189"/>
    <col min="9985" max="9985" width="14.375" style="189" customWidth="1"/>
    <col min="9986" max="9986" width="57" style="189" bestFit="1" customWidth="1"/>
    <col min="9987" max="9987" width="32.5" style="189" customWidth="1"/>
    <col min="9988" max="10240" width="9" style="189"/>
    <col min="10241" max="10241" width="14.375" style="189" customWidth="1"/>
    <col min="10242" max="10242" width="57" style="189" bestFit="1" customWidth="1"/>
    <col min="10243" max="10243" width="32.5" style="189" customWidth="1"/>
    <col min="10244" max="10496" width="9" style="189"/>
    <col min="10497" max="10497" width="14.375" style="189" customWidth="1"/>
    <col min="10498" max="10498" width="57" style="189" bestFit="1" customWidth="1"/>
    <col min="10499" max="10499" width="32.5" style="189" customWidth="1"/>
    <col min="10500" max="10752" width="9" style="189"/>
    <col min="10753" max="10753" width="14.375" style="189" customWidth="1"/>
    <col min="10754" max="10754" width="57" style="189" bestFit="1" customWidth="1"/>
    <col min="10755" max="10755" width="32.5" style="189" customWidth="1"/>
    <col min="10756" max="11008" width="9" style="189"/>
    <col min="11009" max="11009" width="14.375" style="189" customWidth="1"/>
    <col min="11010" max="11010" width="57" style="189" bestFit="1" customWidth="1"/>
    <col min="11011" max="11011" width="32.5" style="189" customWidth="1"/>
    <col min="11012" max="11264" width="9" style="189"/>
    <col min="11265" max="11265" width="14.375" style="189" customWidth="1"/>
    <col min="11266" max="11266" width="57" style="189" bestFit="1" customWidth="1"/>
    <col min="11267" max="11267" width="32.5" style="189" customWidth="1"/>
    <col min="11268" max="11520" width="9" style="189"/>
    <col min="11521" max="11521" width="14.375" style="189" customWidth="1"/>
    <col min="11522" max="11522" width="57" style="189" bestFit="1" customWidth="1"/>
    <col min="11523" max="11523" width="32.5" style="189" customWidth="1"/>
    <col min="11524" max="11776" width="9" style="189"/>
    <col min="11777" max="11777" width="14.375" style="189" customWidth="1"/>
    <col min="11778" max="11778" width="57" style="189" bestFit="1" customWidth="1"/>
    <col min="11779" max="11779" width="32.5" style="189" customWidth="1"/>
    <col min="11780" max="12032" width="9" style="189"/>
    <col min="12033" max="12033" width="14.375" style="189" customWidth="1"/>
    <col min="12034" max="12034" width="57" style="189" bestFit="1" customWidth="1"/>
    <col min="12035" max="12035" width="32.5" style="189" customWidth="1"/>
    <col min="12036" max="12288" width="9" style="189"/>
    <col min="12289" max="12289" width="14.375" style="189" customWidth="1"/>
    <col min="12290" max="12290" width="57" style="189" bestFit="1" customWidth="1"/>
    <col min="12291" max="12291" width="32.5" style="189" customWidth="1"/>
    <col min="12292" max="12544" width="9" style="189"/>
    <col min="12545" max="12545" width="14.375" style="189" customWidth="1"/>
    <col min="12546" max="12546" width="57" style="189" bestFit="1" customWidth="1"/>
    <col min="12547" max="12547" width="32.5" style="189" customWidth="1"/>
    <col min="12548" max="12800" width="9" style="189"/>
    <col min="12801" max="12801" width="14.375" style="189" customWidth="1"/>
    <col min="12802" max="12802" width="57" style="189" bestFit="1" customWidth="1"/>
    <col min="12803" max="12803" width="32.5" style="189" customWidth="1"/>
    <col min="12804" max="13056" width="9" style="189"/>
    <col min="13057" max="13057" width="14.375" style="189" customWidth="1"/>
    <col min="13058" max="13058" width="57" style="189" bestFit="1" customWidth="1"/>
    <col min="13059" max="13059" width="32.5" style="189" customWidth="1"/>
    <col min="13060" max="13312" width="9" style="189"/>
    <col min="13313" max="13313" width="14.375" style="189" customWidth="1"/>
    <col min="13314" max="13314" width="57" style="189" bestFit="1" customWidth="1"/>
    <col min="13315" max="13315" width="32.5" style="189" customWidth="1"/>
    <col min="13316" max="13568" width="9" style="189"/>
    <col min="13569" max="13569" width="14.375" style="189" customWidth="1"/>
    <col min="13570" max="13570" width="57" style="189" bestFit="1" customWidth="1"/>
    <col min="13571" max="13571" width="32.5" style="189" customWidth="1"/>
    <col min="13572" max="13824" width="9" style="189"/>
    <col min="13825" max="13825" width="14.375" style="189" customWidth="1"/>
    <col min="13826" max="13826" width="57" style="189" bestFit="1" customWidth="1"/>
    <col min="13827" max="13827" width="32.5" style="189" customWidth="1"/>
    <col min="13828" max="14080" width="9" style="189"/>
    <col min="14081" max="14081" width="14.375" style="189" customWidth="1"/>
    <col min="14082" max="14082" width="57" style="189" bestFit="1" customWidth="1"/>
    <col min="14083" max="14083" width="32.5" style="189" customWidth="1"/>
    <col min="14084" max="14336" width="9" style="189"/>
    <col min="14337" max="14337" width="14.375" style="189" customWidth="1"/>
    <col min="14338" max="14338" width="57" style="189" bestFit="1" customWidth="1"/>
    <col min="14339" max="14339" width="32.5" style="189" customWidth="1"/>
    <col min="14340" max="14592" width="9" style="189"/>
    <col min="14593" max="14593" width="14.375" style="189" customWidth="1"/>
    <col min="14594" max="14594" width="57" style="189" bestFit="1" customWidth="1"/>
    <col min="14595" max="14595" width="32.5" style="189" customWidth="1"/>
    <col min="14596" max="14848" width="9" style="189"/>
    <col min="14849" max="14849" width="14.375" style="189" customWidth="1"/>
    <col min="14850" max="14850" width="57" style="189" bestFit="1" customWidth="1"/>
    <col min="14851" max="14851" width="32.5" style="189" customWidth="1"/>
    <col min="14852" max="15104" width="9" style="189"/>
    <col min="15105" max="15105" width="14.375" style="189" customWidth="1"/>
    <col min="15106" max="15106" width="57" style="189" bestFit="1" customWidth="1"/>
    <col min="15107" max="15107" width="32.5" style="189" customWidth="1"/>
    <col min="15108" max="15360" width="9" style="189"/>
    <col min="15361" max="15361" width="14.375" style="189" customWidth="1"/>
    <col min="15362" max="15362" width="57" style="189" bestFit="1" customWidth="1"/>
    <col min="15363" max="15363" width="32.5" style="189" customWidth="1"/>
    <col min="15364" max="15616" width="9" style="189"/>
    <col min="15617" max="15617" width="14.375" style="189" customWidth="1"/>
    <col min="15618" max="15618" width="57" style="189" bestFit="1" customWidth="1"/>
    <col min="15619" max="15619" width="32.5" style="189" customWidth="1"/>
    <col min="15620" max="15872" width="9" style="189"/>
    <col min="15873" max="15873" width="14.375" style="189" customWidth="1"/>
    <col min="15874" max="15874" width="57" style="189" bestFit="1" customWidth="1"/>
    <col min="15875" max="15875" width="32.5" style="189" customWidth="1"/>
    <col min="15876" max="16128" width="9" style="189"/>
    <col min="16129" max="16129" width="14.375" style="189" customWidth="1"/>
    <col min="16130" max="16130" width="57" style="189" bestFit="1" customWidth="1"/>
    <col min="16131" max="16131" width="32.5" style="189" customWidth="1"/>
    <col min="16132" max="16384" width="9" style="189"/>
  </cols>
  <sheetData>
    <row r="1" spans="1:3" ht="30" customHeight="1" x14ac:dyDescent="0.4">
      <c r="A1" s="398" t="s">
        <v>1054</v>
      </c>
      <c r="B1" s="399"/>
      <c r="C1" s="399"/>
    </row>
    <row r="2" spans="1:3" ht="26.25" customHeight="1" x14ac:dyDescent="0.2">
      <c r="A2" s="400" t="s">
        <v>908</v>
      </c>
      <c r="B2" s="400"/>
      <c r="C2" s="400"/>
    </row>
    <row r="3" spans="1:3" ht="23.25" customHeight="1" x14ac:dyDescent="0.2">
      <c r="A3" s="400"/>
      <c r="B3" s="400"/>
      <c r="C3" s="400"/>
    </row>
    <row r="4" spans="1:3" ht="20.25" x14ac:dyDescent="0.3">
      <c r="A4" s="190" t="s">
        <v>909</v>
      </c>
      <c r="B4" s="401" t="s">
        <v>910</v>
      </c>
      <c r="C4" s="402"/>
    </row>
    <row r="5" spans="1:3" ht="23.25" x14ac:dyDescent="0.35">
      <c r="A5" s="403" t="s">
        <v>911</v>
      </c>
      <c r="B5" s="404"/>
      <c r="C5" s="405"/>
    </row>
    <row r="6" spans="1:3" ht="24.75" x14ac:dyDescent="0.6">
      <c r="A6" s="191" t="s">
        <v>912</v>
      </c>
      <c r="B6" s="397" t="s">
        <v>218</v>
      </c>
      <c r="C6" s="397"/>
    </row>
    <row r="7" spans="1:3" ht="24.75" x14ac:dyDescent="0.6">
      <c r="A7" s="192" t="s">
        <v>913</v>
      </c>
      <c r="B7" s="397" t="s">
        <v>993</v>
      </c>
      <c r="C7" s="397"/>
    </row>
    <row r="8" spans="1:3" ht="24.75" x14ac:dyDescent="0.6">
      <c r="A8" s="192" t="s">
        <v>914</v>
      </c>
      <c r="B8" s="397" t="s">
        <v>994</v>
      </c>
      <c r="C8" s="397"/>
    </row>
    <row r="9" spans="1:3" ht="24.75" x14ac:dyDescent="0.6">
      <c r="A9" s="192" t="s">
        <v>915</v>
      </c>
      <c r="B9" s="397" t="s">
        <v>221</v>
      </c>
      <c r="C9" s="397"/>
    </row>
    <row r="10" spans="1:3" ht="24.75" x14ac:dyDescent="0.6">
      <c r="A10" s="192" t="s">
        <v>916</v>
      </c>
      <c r="B10" s="397" t="s">
        <v>191</v>
      </c>
      <c r="C10" s="397"/>
    </row>
    <row r="11" spans="1:3" ht="24.75" x14ac:dyDescent="0.6">
      <c r="A11" s="192" t="s">
        <v>917</v>
      </c>
      <c r="B11" s="397" t="s">
        <v>222</v>
      </c>
      <c r="C11" s="397"/>
    </row>
    <row r="12" spans="1:3" ht="24.75" x14ac:dyDescent="0.6">
      <c r="A12" s="192" t="s">
        <v>918</v>
      </c>
      <c r="B12" s="397" t="s">
        <v>995</v>
      </c>
      <c r="C12" s="397"/>
    </row>
    <row r="13" spans="1:3" ht="24.75" x14ac:dyDescent="0.6">
      <c r="A13" s="192" t="s">
        <v>919</v>
      </c>
      <c r="B13" s="397" t="s">
        <v>224</v>
      </c>
      <c r="C13" s="397"/>
    </row>
    <row r="14" spans="1:3" ht="24.75" x14ac:dyDescent="0.6">
      <c r="A14" s="192" t="s">
        <v>920</v>
      </c>
      <c r="B14" s="397" t="s">
        <v>202</v>
      </c>
      <c r="C14" s="397"/>
    </row>
    <row r="15" spans="1:3" ht="24.75" x14ac:dyDescent="0.6">
      <c r="A15" s="192" t="s">
        <v>921</v>
      </c>
      <c r="B15" s="397" t="s">
        <v>210</v>
      </c>
      <c r="C15" s="397"/>
    </row>
    <row r="16" spans="1:3" ht="24.75" x14ac:dyDescent="0.6">
      <c r="A16" s="192" t="s">
        <v>922</v>
      </c>
      <c r="B16" s="397" t="s">
        <v>217</v>
      </c>
      <c r="C16" s="397"/>
    </row>
    <row r="17" spans="1:3" ht="23.25" x14ac:dyDescent="0.35">
      <c r="A17" s="396" t="s">
        <v>923</v>
      </c>
      <c r="B17" s="396"/>
      <c r="C17" s="396"/>
    </row>
    <row r="18" spans="1:3" ht="24.75" x14ac:dyDescent="0.6">
      <c r="A18" s="192" t="s">
        <v>924</v>
      </c>
      <c r="B18" s="389" t="s">
        <v>996</v>
      </c>
      <c r="C18" s="389"/>
    </row>
    <row r="19" spans="1:3" ht="24.75" x14ac:dyDescent="0.6">
      <c r="A19" s="192" t="s">
        <v>925</v>
      </c>
      <c r="B19" s="389" t="s">
        <v>997</v>
      </c>
      <c r="C19" s="389"/>
    </row>
    <row r="20" spans="1:3" ht="24.75" x14ac:dyDescent="0.6">
      <c r="A20" s="192" t="s">
        <v>926</v>
      </c>
      <c r="B20" s="389" t="s">
        <v>998</v>
      </c>
      <c r="C20" s="389"/>
    </row>
    <row r="21" spans="1:3" ht="24.75" x14ac:dyDescent="0.6">
      <c r="A21" s="192" t="s">
        <v>927</v>
      </c>
      <c r="B21" s="389" t="s">
        <v>999</v>
      </c>
      <c r="C21" s="389"/>
    </row>
    <row r="22" spans="1:3" ht="24.75" x14ac:dyDescent="0.6">
      <c r="A22" s="192" t="s">
        <v>928</v>
      </c>
      <c r="B22" s="389" t="s">
        <v>1000</v>
      </c>
      <c r="C22" s="389"/>
    </row>
    <row r="23" spans="1:3" ht="24.75" x14ac:dyDescent="0.6">
      <c r="A23" s="192" t="s">
        <v>929</v>
      </c>
      <c r="B23" s="389" t="s">
        <v>1001</v>
      </c>
      <c r="C23" s="389"/>
    </row>
    <row r="24" spans="1:3" ht="24.75" x14ac:dyDescent="0.6">
      <c r="A24" s="192" t="s">
        <v>930</v>
      </c>
      <c r="B24" s="389" t="s">
        <v>1002</v>
      </c>
      <c r="C24" s="389"/>
    </row>
    <row r="25" spans="1:3" ht="24.75" x14ac:dyDescent="0.6">
      <c r="A25" s="192" t="s">
        <v>931</v>
      </c>
      <c r="B25" s="389" t="s">
        <v>1003</v>
      </c>
      <c r="C25" s="389"/>
    </row>
    <row r="26" spans="1:3" ht="24.75" x14ac:dyDescent="0.6">
      <c r="A26" s="192" t="s">
        <v>932</v>
      </c>
      <c r="B26" s="389" t="s">
        <v>1004</v>
      </c>
      <c r="C26" s="389"/>
    </row>
    <row r="27" spans="1:3" ht="23.25" x14ac:dyDescent="0.35">
      <c r="A27" s="396" t="s">
        <v>933</v>
      </c>
      <c r="B27" s="396"/>
      <c r="C27" s="396"/>
    </row>
    <row r="28" spans="1:3" ht="24.75" x14ac:dyDescent="0.6">
      <c r="A28" s="192" t="s">
        <v>934</v>
      </c>
      <c r="B28" s="389" t="s">
        <v>1005</v>
      </c>
      <c r="C28" s="389"/>
    </row>
    <row r="29" spans="1:3" ht="24.75" x14ac:dyDescent="0.6">
      <c r="A29" s="192" t="s">
        <v>935</v>
      </c>
      <c r="B29" s="389" t="s">
        <v>1006</v>
      </c>
      <c r="C29" s="389"/>
    </row>
    <row r="30" spans="1:3" ht="24.75" x14ac:dyDescent="0.6">
      <c r="A30" s="192" t="s">
        <v>936</v>
      </c>
      <c r="B30" s="389" t="s">
        <v>1007</v>
      </c>
      <c r="C30" s="389"/>
    </row>
    <row r="31" spans="1:3" ht="24.75" x14ac:dyDescent="0.6">
      <c r="A31" s="192" t="s">
        <v>937</v>
      </c>
      <c r="B31" s="389" t="s">
        <v>1008</v>
      </c>
      <c r="C31" s="389"/>
    </row>
    <row r="32" spans="1:3" ht="24.75" x14ac:dyDescent="0.6">
      <c r="A32" s="192" t="s">
        <v>938</v>
      </c>
      <c r="B32" s="389" t="s">
        <v>1009</v>
      </c>
      <c r="C32" s="389"/>
    </row>
    <row r="33" spans="1:8" ht="24.75" x14ac:dyDescent="0.6">
      <c r="A33" s="192" t="s">
        <v>939</v>
      </c>
      <c r="B33" s="389" t="s">
        <v>1010</v>
      </c>
      <c r="C33" s="389"/>
    </row>
    <row r="34" spans="1:8" ht="24.75" x14ac:dyDescent="0.6">
      <c r="A34" s="192" t="s">
        <v>940</v>
      </c>
      <c r="B34" s="389" t="s">
        <v>1011</v>
      </c>
      <c r="C34" s="389"/>
    </row>
    <row r="35" spans="1:8" ht="24.75" x14ac:dyDescent="0.6">
      <c r="A35" s="192" t="s">
        <v>941</v>
      </c>
      <c r="B35" s="389" t="s">
        <v>1012</v>
      </c>
      <c r="C35" s="389"/>
    </row>
    <row r="36" spans="1:8" ht="24.75" x14ac:dyDescent="0.6">
      <c r="A36" s="192" t="s">
        <v>942</v>
      </c>
      <c r="B36" s="389" t="s">
        <v>1013</v>
      </c>
      <c r="C36" s="389"/>
    </row>
    <row r="37" spans="1:8" ht="23.25" x14ac:dyDescent="0.35">
      <c r="A37" s="396" t="s">
        <v>943</v>
      </c>
      <c r="B37" s="396"/>
      <c r="C37" s="396"/>
    </row>
    <row r="38" spans="1:8" ht="24.75" x14ac:dyDescent="0.6">
      <c r="A38" s="192" t="s">
        <v>944</v>
      </c>
      <c r="B38" s="389" t="s">
        <v>1014</v>
      </c>
      <c r="C38" s="389"/>
    </row>
    <row r="39" spans="1:8" ht="24.75" x14ac:dyDescent="0.6">
      <c r="A39" s="192" t="s">
        <v>945</v>
      </c>
      <c r="B39" s="389" t="s">
        <v>1015</v>
      </c>
      <c r="C39" s="389"/>
    </row>
    <row r="40" spans="1:8" ht="24.75" x14ac:dyDescent="0.6">
      <c r="A40" s="192" t="s">
        <v>946</v>
      </c>
      <c r="B40" s="389" t="s">
        <v>689</v>
      </c>
      <c r="C40" s="389"/>
    </row>
    <row r="41" spans="1:8" ht="24.75" x14ac:dyDescent="0.6">
      <c r="A41" s="192" t="s">
        <v>947</v>
      </c>
      <c r="B41" s="389" t="s">
        <v>691</v>
      </c>
      <c r="C41" s="389"/>
    </row>
    <row r="42" spans="1:8" ht="24.75" x14ac:dyDescent="0.6">
      <c r="A42" s="192" t="s">
        <v>948</v>
      </c>
      <c r="B42" s="389" t="s">
        <v>693</v>
      </c>
      <c r="C42" s="389"/>
    </row>
    <row r="43" spans="1:8" ht="24.75" x14ac:dyDescent="0.6">
      <c r="A43" s="192" t="s">
        <v>949</v>
      </c>
      <c r="B43" s="389" t="s">
        <v>697</v>
      </c>
      <c r="C43" s="389"/>
    </row>
    <row r="44" spans="1:8" ht="24.75" x14ac:dyDescent="0.6">
      <c r="A44" s="192" t="s">
        <v>950</v>
      </c>
      <c r="B44" s="389" t="s">
        <v>1016</v>
      </c>
      <c r="C44" s="389"/>
    </row>
    <row r="45" spans="1:8" ht="24.75" x14ac:dyDescent="0.6">
      <c r="A45" s="192" t="s">
        <v>951</v>
      </c>
      <c r="B45" s="389" t="s">
        <v>1017</v>
      </c>
      <c r="C45" s="389"/>
    </row>
    <row r="46" spans="1:8" ht="24.75" x14ac:dyDescent="0.6">
      <c r="A46" s="192" t="s">
        <v>952</v>
      </c>
      <c r="B46" s="389" t="s">
        <v>1018</v>
      </c>
      <c r="C46" s="389"/>
    </row>
    <row r="47" spans="1:8" ht="23.25" x14ac:dyDescent="0.35">
      <c r="A47" s="396" t="s">
        <v>953</v>
      </c>
      <c r="B47" s="396"/>
      <c r="C47" s="396"/>
      <c r="D47" s="394"/>
      <c r="E47" s="394"/>
      <c r="F47" s="395"/>
      <c r="G47" s="395"/>
      <c r="H47" s="395"/>
    </row>
    <row r="48" spans="1:8" ht="24.75" x14ac:dyDescent="0.6">
      <c r="A48" s="193" t="s">
        <v>954</v>
      </c>
      <c r="B48" s="391" t="s">
        <v>1019</v>
      </c>
      <c r="C48" s="391"/>
      <c r="D48" s="194"/>
      <c r="E48" s="194"/>
      <c r="G48" s="194"/>
      <c r="H48" s="194"/>
    </row>
    <row r="49" spans="1:8" ht="24.75" x14ac:dyDescent="0.6">
      <c r="A49" s="193" t="s">
        <v>955</v>
      </c>
      <c r="B49" s="391" t="s">
        <v>1020</v>
      </c>
      <c r="C49" s="391"/>
      <c r="D49" s="194"/>
      <c r="E49" s="194"/>
      <c r="G49" s="194"/>
      <c r="H49" s="194"/>
    </row>
    <row r="50" spans="1:8" ht="24.75" x14ac:dyDescent="0.6">
      <c r="A50" s="193" t="s">
        <v>956</v>
      </c>
      <c r="B50" s="391" t="s">
        <v>1021</v>
      </c>
      <c r="C50" s="391"/>
      <c r="D50" s="194"/>
      <c r="E50" s="194"/>
      <c r="G50" s="194"/>
      <c r="H50" s="194"/>
    </row>
    <row r="51" spans="1:8" ht="24.75" x14ac:dyDescent="0.6">
      <c r="A51" s="193" t="s">
        <v>957</v>
      </c>
      <c r="B51" s="391" t="s">
        <v>1022</v>
      </c>
      <c r="C51" s="391"/>
      <c r="D51" s="194"/>
      <c r="E51" s="194"/>
      <c r="G51" s="194"/>
      <c r="H51" s="194"/>
    </row>
    <row r="52" spans="1:8" ht="23.25" customHeight="1" x14ac:dyDescent="0.35">
      <c r="A52" s="396" t="s">
        <v>958</v>
      </c>
      <c r="B52" s="396"/>
      <c r="C52" s="396"/>
      <c r="D52" s="394"/>
      <c r="E52" s="394"/>
      <c r="F52" s="395"/>
      <c r="G52" s="395"/>
      <c r="H52" s="395"/>
    </row>
    <row r="53" spans="1:8" ht="24.75" x14ac:dyDescent="0.6">
      <c r="A53" s="193" t="s">
        <v>959</v>
      </c>
      <c r="B53" s="391" t="s">
        <v>1023</v>
      </c>
      <c r="C53" s="391"/>
      <c r="D53" s="194"/>
      <c r="E53" s="194"/>
      <c r="G53" s="194"/>
      <c r="H53" s="194"/>
    </row>
    <row r="54" spans="1:8" ht="24.75" x14ac:dyDescent="0.6">
      <c r="A54" s="193" t="s">
        <v>960</v>
      </c>
      <c r="B54" s="391" t="s">
        <v>1024</v>
      </c>
      <c r="C54" s="391"/>
      <c r="D54" s="194"/>
      <c r="E54" s="194"/>
      <c r="G54" s="194"/>
      <c r="H54" s="194"/>
    </row>
    <row r="55" spans="1:8" ht="24.75" x14ac:dyDescent="0.6">
      <c r="A55" s="193" t="s">
        <v>961</v>
      </c>
      <c r="B55" s="391" t="s">
        <v>1025</v>
      </c>
      <c r="C55" s="391"/>
      <c r="D55" s="194"/>
      <c r="E55" s="194"/>
      <c r="G55" s="194"/>
      <c r="H55" s="194"/>
    </row>
    <row r="56" spans="1:8" ht="24.75" x14ac:dyDescent="0.6">
      <c r="A56" s="193" t="s">
        <v>962</v>
      </c>
      <c r="B56" s="391" t="s">
        <v>1026</v>
      </c>
      <c r="C56" s="391"/>
      <c r="D56" s="194"/>
      <c r="E56" s="194"/>
      <c r="G56" s="194"/>
      <c r="H56" s="194"/>
    </row>
    <row r="57" spans="1:8" ht="23.25" x14ac:dyDescent="0.35">
      <c r="A57" s="390" t="s">
        <v>963</v>
      </c>
      <c r="B57" s="390"/>
      <c r="C57" s="390"/>
      <c r="D57" s="394"/>
      <c r="E57" s="394"/>
      <c r="F57" s="395"/>
      <c r="G57" s="395"/>
    </row>
    <row r="58" spans="1:8" ht="24.75" x14ac:dyDescent="0.6">
      <c r="A58" s="193" t="s">
        <v>964</v>
      </c>
      <c r="B58" s="391" t="s">
        <v>1027</v>
      </c>
      <c r="C58" s="391"/>
      <c r="D58" s="194"/>
      <c r="E58" s="194"/>
      <c r="G58" s="194"/>
    </row>
    <row r="59" spans="1:8" ht="24.75" x14ac:dyDescent="0.6">
      <c r="A59" s="193" t="s">
        <v>965</v>
      </c>
      <c r="B59" s="392" t="s">
        <v>1028</v>
      </c>
      <c r="C59" s="392"/>
      <c r="D59" s="195"/>
      <c r="E59" s="195"/>
      <c r="G59" s="194"/>
    </row>
    <row r="60" spans="1:8" ht="24.75" x14ac:dyDescent="0.6">
      <c r="A60" s="193" t="s">
        <v>966</v>
      </c>
      <c r="B60" s="392" t="s">
        <v>1029</v>
      </c>
      <c r="C60" s="392"/>
      <c r="D60" s="195"/>
      <c r="E60" s="195"/>
      <c r="G60" s="194"/>
    </row>
    <row r="61" spans="1:8" ht="24.75" x14ac:dyDescent="0.6">
      <c r="A61" s="193" t="s">
        <v>967</v>
      </c>
      <c r="B61" s="391" t="s">
        <v>1030</v>
      </c>
      <c r="C61" s="391"/>
      <c r="D61" s="194"/>
      <c r="E61" s="194"/>
      <c r="G61" s="194"/>
    </row>
    <row r="62" spans="1:8" ht="24.75" x14ac:dyDescent="0.6">
      <c r="A62" s="193" t="s">
        <v>968</v>
      </c>
      <c r="B62" s="393" t="s">
        <v>1031</v>
      </c>
      <c r="C62" s="393"/>
      <c r="D62" s="196"/>
      <c r="E62" s="196"/>
      <c r="G62" s="194"/>
    </row>
    <row r="63" spans="1:8" ht="24.75" x14ac:dyDescent="0.6">
      <c r="A63" s="193" t="s">
        <v>969</v>
      </c>
      <c r="B63" s="392" t="s">
        <v>1032</v>
      </c>
      <c r="C63" s="392"/>
      <c r="D63" s="195"/>
      <c r="E63" s="195"/>
      <c r="G63" s="194"/>
    </row>
    <row r="64" spans="1:8" ht="24.75" x14ac:dyDescent="0.6">
      <c r="A64" s="193" t="s">
        <v>970</v>
      </c>
      <c r="B64" s="391" t="s">
        <v>1033</v>
      </c>
      <c r="C64" s="391"/>
      <c r="D64" s="194"/>
      <c r="E64" s="194"/>
      <c r="G64" s="194"/>
    </row>
    <row r="65" spans="1:7" ht="24.75" x14ac:dyDescent="0.6">
      <c r="A65" s="193" t="s">
        <v>971</v>
      </c>
      <c r="B65" s="392" t="s">
        <v>1034</v>
      </c>
      <c r="C65" s="392"/>
      <c r="D65" s="195"/>
      <c r="E65" s="195"/>
      <c r="G65" s="194"/>
    </row>
    <row r="66" spans="1:7" ht="24.75" x14ac:dyDescent="0.6">
      <c r="A66" s="193" t="s">
        <v>972</v>
      </c>
      <c r="B66" s="392" t="s">
        <v>1035</v>
      </c>
      <c r="C66" s="392"/>
      <c r="D66" s="195"/>
      <c r="E66" s="195"/>
      <c r="G66" s="194"/>
    </row>
    <row r="67" spans="1:7" ht="23.25" x14ac:dyDescent="0.2">
      <c r="A67" s="390" t="s">
        <v>973</v>
      </c>
      <c r="B67" s="390"/>
      <c r="C67" s="390"/>
    </row>
    <row r="68" spans="1:7" ht="24.75" x14ac:dyDescent="0.6">
      <c r="A68" s="197" t="s">
        <v>974</v>
      </c>
      <c r="B68" s="389" t="s">
        <v>1036</v>
      </c>
      <c r="C68" s="389"/>
    </row>
    <row r="69" spans="1:7" ht="24.75" x14ac:dyDescent="0.6">
      <c r="A69" s="197" t="s">
        <v>975</v>
      </c>
      <c r="B69" s="388" t="s">
        <v>1037</v>
      </c>
      <c r="C69" s="388"/>
    </row>
    <row r="70" spans="1:7" ht="24.75" x14ac:dyDescent="0.6">
      <c r="A70" s="197" t="s">
        <v>976</v>
      </c>
      <c r="B70" s="388" t="s">
        <v>1038</v>
      </c>
      <c r="C70" s="388"/>
    </row>
    <row r="71" spans="1:7" ht="24.75" x14ac:dyDescent="0.6">
      <c r="A71" s="197" t="s">
        <v>977</v>
      </c>
      <c r="B71" s="389" t="s">
        <v>1039</v>
      </c>
      <c r="C71" s="389"/>
    </row>
    <row r="72" spans="1:7" ht="24.75" x14ac:dyDescent="0.6">
      <c r="A72" s="197" t="s">
        <v>978</v>
      </c>
      <c r="B72" s="388" t="s">
        <v>1040</v>
      </c>
      <c r="C72" s="388"/>
    </row>
    <row r="73" spans="1:7" ht="24.75" x14ac:dyDescent="0.6">
      <c r="A73" s="197" t="s">
        <v>979</v>
      </c>
      <c r="B73" s="388" t="s">
        <v>1041</v>
      </c>
      <c r="C73" s="388"/>
    </row>
    <row r="74" spans="1:7" ht="24.75" x14ac:dyDescent="0.6">
      <c r="A74" s="197" t="s">
        <v>980</v>
      </c>
      <c r="B74" s="389" t="s">
        <v>1042</v>
      </c>
      <c r="C74" s="389"/>
    </row>
    <row r="75" spans="1:7" ht="24.75" x14ac:dyDescent="0.6">
      <c r="A75" s="197" t="s">
        <v>981</v>
      </c>
      <c r="B75" s="388" t="s">
        <v>1043</v>
      </c>
      <c r="C75" s="388"/>
    </row>
    <row r="76" spans="1:7" ht="24.75" x14ac:dyDescent="0.6">
      <c r="A76" s="197" t="s">
        <v>982</v>
      </c>
      <c r="B76" s="388" t="s">
        <v>1044</v>
      </c>
      <c r="C76" s="388"/>
    </row>
    <row r="77" spans="1:7" ht="23.25" x14ac:dyDescent="0.2">
      <c r="A77" s="390" t="s">
        <v>983</v>
      </c>
      <c r="B77" s="390"/>
      <c r="C77" s="390"/>
    </row>
    <row r="78" spans="1:7" ht="24.75" x14ac:dyDescent="0.6">
      <c r="A78" s="197" t="s">
        <v>984</v>
      </c>
      <c r="B78" s="389" t="s">
        <v>1045</v>
      </c>
      <c r="C78" s="389"/>
    </row>
    <row r="79" spans="1:7" ht="24.75" x14ac:dyDescent="0.6">
      <c r="A79" s="197" t="s">
        <v>985</v>
      </c>
      <c r="B79" s="388" t="s">
        <v>1046</v>
      </c>
      <c r="C79" s="388"/>
    </row>
    <row r="80" spans="1:7" ht="24.75" x14ac:dyDescent="0.6">
      <c r="A80" s="197" t="s">
        <v>986</v>
      </c>
      <c r="B80" s="388" t="s">
        <v>1047</v>
      </c>
      <c r="C80" s="388"/>
    </row>
    <row r="81" spans="1:3" ht="24.75" x14ac:dyDescent="0.6">
      <c r="A81" s="197" t="s">
        <v>987</v>
      </c>
      <c r="B81" s="389" t="s">
        <v>1048</v>
      </c>
      <c r="C81" s="389"/>
    </row>
    <row r="82" spans="1:3" ht="24.75" x14ac:dyDescent="0.6">
      <c r="A82" s="197" t="s">
        <v>988</v>
      </c>
      <c r="B82" s="388" t="s">
        <v>1049</v>
      </c>
      <c r="C82" s="388"/>
    </row>
    <row r="83" spans="1:3" ht="24.75" x14ac:dyDescent="0.6">
      <c r="A83" s="197" t="s">
        <v>989</v>
      </c>
      <c r="B83" s="388" t="s">
        <v>1050</v>
      </c>
      <c r="C83" s="388"/>
    </row>
    <row r="84" spans="1:3" ht="24.75" x14ac:dyDescent="0.6">
      <c r="A84" s="197" t="s">
        <v>990</v>
      </c>
      <c r="B84" s="389" t="s">
        <v>1051</v>
      </c>
      <c r="C84" s="389"/>
    </row>
    <row r="85" spans="1:3" ht="24.75" x14ac:dyDescent="0.6">
      <c r="A85" s="197" t="s">
        <v>991</v>
      </c>
      <c r="B85" s="388" t="s">
        <v>1052</v>
      </c>
      <c r="C85" s="388"/>
    </row>
    <row r="86" spans="1:3" ht="24.75" x14ac:dyDescent="0.6">
      <c r="A86" s="197" t="s">
        <v>992</v>
      </c>
      <c r="B86" s="388" t="s">
        <v>1053</v>
      </c>
      <c r="C86" s="388"/>
    </row>
    <row r="87" spans="1:3" x14ac:dyDescent="0.2">
      <c r="A87" s="198"/>
      <c r="B87" s="198"/>
      <c r="C87" s="198"/>
    </row>
    <row r="88" spans="1:3" x14ac:dyDescent="0.2">
      <c r="A88" s="199"/>
    </row>
  </sheetData>
  <mergeCells count="91">
    <mergeCell ref="B13:C13"/>
    <mergeCell ref="A1:C1"/>
    <mergeCell ref="A2:C3"/>
    <mergeCell ref="B4:C4"/>
    <mergeCell ref="A5:C5"/>
    <mergeCell ref="B6:C6"/>
    <mergeCell ref="B7:C7"/>
    <mergeCell ref="B8:C8"/>
    <mergeCell ref="B9:C9"/>
    <mergeCell ref="B10:C10"/>
    <mergeCell ref="B11:C11"/>
    <mergeCell ref="B12:C12"/>
    <mergeCell ref="B25:C25"/>
    <mergeCell ref="B14:C14"/>
    <mergeCell ref="B15:C15"/>
    <mergeCell ref="B16:C16"/>
    <mergeCell ref="A17:C17"/>
    <mergeCell ref="B18:C18"/>
    <mergeCell ref="B19:C19"/>
    <mergeCell ref="B20:C20"/>
    <mergeCell ref="B21:C21"/>
    <mergeCell ref="B22:C22"/>
    <mergeCell ref="B23:C23"/>
    <mergeCell ref="B24:C24"/>
    <mergeCell ref="A37:C37"/>
    <mergeCell ref="B26:C26"/>
    <mergeCell ref="A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F47:H4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A47:C47"/>
    <mergeCell ref="D47:E47"/>
    <mergeCell ref="A57:C57"/>
    <mergeCell ref="D57:E57"/>
    <mergeCell ref="F57:G57"/>
    <mergeCell ref="B48:C48"/>
    <mergeCell ref="B49:C49"/>
    <mergeCell ref="B50:C50"/>
    <mergeCell ref="B51:C51"/>
    <mergeCell ref="A52:C52"/>
    <mergeCell ref="D52:E52"/>
    <mergeCell ref="F52:H52"/>
    <mergeCell ref="B53:C53"/>
    <mergeCell ref="B54:C54"/>
    <mergeCell ref="B55:C55"/>
    <mergeCell ref="B56:C56"/>
    <mergeCell ref="B69:C69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A67:C67"/>
    <mergeCell ref="B68:C68"/>
    <mergeCell ref="B81:C81"/>
    <mergeCell ref="B70:C70"/>
    <mergeCell ref="B71:C71"/>
    <mergeCell ref="B72:C72"/>
    <mergeCell ref="B73:C73"/>
    <mergeCell ref="B74:C74"/>
    <mergeCell ref="B75:C75"/>
    <mergeCell ref="B76:C76"/>
    <mergeCell ref="A77:C77"/>
    <mergeCell ref="B78:C78"/>
    <mergeCell ref="B79:C79"/>
    <mergeCell ref="B80:C80"/>
    <mergeCell ref="B82:C82"/>
    <mergeCell ref="B83:C83"/>
    <mergeCell ref="B84:C84"/>
    <mergeCell ref="B85:C85"/>
    <mergeCell ref="B86:C86"/>
  </mergeCells>
  <hyperlinks>
    <hyperlink ref="A6" location="'1-1'!A1" display="(1-1)"/>
    <hyperlink ref="A7" location="'1-2'!A1" display="(1-2)"/>
    <hyperlink ref="A8" location="'1-3'!A1" display="(1-3)"/>
    <hyperlink ref="A9" location="'1-4'!A1" display="(1-4)"/>
    <hyperlink ref="A10" location="'1-5'!A1" display="(1-5)"/>
    <hyperlink ref="A11" location="'1-6'!A1" display="(1-6)"/>
    <hyperlink ref="A12" location="'1-7'!A1" display="(1-7)"/>
    <hyperlink ref="A13" location="'1-8'!A1" display="(1-8)"/>
    <hyperlink ref="A14" location="'1-9'!A1" display="(1-9)"/>
    <hyperlink ref="A15" location="'1-10'!A1" display="(1-10)"/>
    <hyperlink ref="A16" location="'1-11'!A1" display="(1-11)"/>
    <hyperlink ref="A18" location="'2-1'!A1" display="(2-1)"/>
    <hyperlink ref="A19" location="'2-2'!A1" display="(2-2)"/>
    <hyperlink ref="A20" location="'2-3'!A1" display="(2-3)"/>
    <hyperlink ref="A21" location="'2-4'!A1" display="(2-4)"/>
    <hyperlink ref="A22" location="'2-5'!A1" display="(2-5)"/>
    <hyperlink ref="A23" location="'2-6'!A1" display="(2-6)"/>
    <hyperlink ref="A24" location="'2-7'!A1" display="(2-7)"/>
    <hyperlink ref="A25" location="'2-8'!A1" display="(2-8)"/>
    <hyperlink ref="A26" location="'2-9'!A1" display="(2-9)"/>
    <hyperlink ref="A28" location="'3-1'!A1" display="(3-1)"/>
    <hyperlink ref="A29" location="'3-2'!A1" display="(3-2)"/>
    <hyperlink ref="A30" location="'3-3'!A1" display="(3-3)"/>
    <hyperlink ref="A31" location="'3-4'!A1" display="(3-4)"/>
    <hyperlink ref="A32" location="'3-5'!A1" display="(3-5)"/>
    <hyperlink ref="A33" location="'3-6'!A1" display="(3-6)"/>
    <hyperlink ref="A34" location="'3-7'!A1" display="(3-7)"/>
    <hyperlink ref="A35" location="'3-8'!A1" display="(3-8)"/>
    <hyperlink ref="A36" location="'3-9'!A1" display="(3-9)"/>
    <hyperlink ref="A38" location="'4-1'!A1" display="(4-1)"/>
    <hyperlink ref="A39" location="'4-2'!A1" display="(4-2)"/>
    <hyperlink ref="A40" location="'4-3'!A1" display="(4-3)"/>
    <hyperlink ref="A41" location="'4-4'!A1" display="(4-4)"/>
    <hyperlink ref="A42" location="'4-5'!A1" display="(4-5)"/>
    <hyperlink ref="A43" location="'4-6'!A1" display="(4-6)"/>
    <hyperlink ref="A44" location="'4-7'!A1" display="(4-7)"/>
    <hyperlink ref="A45" location="'4-8'!A1" display="(4-8)"/>
    <hyperlink ref="A46" location="'4-9'!A1" display="(4-9)"/>
    <hyperlink ref="A48" location="'5-1'!A1" display="(5-1)"/>
    <hyperlink ref="A49" location="'5-2'!A1" display="(5-2)"/>
    <hyperlink ref="A50" location="'5-3'!A1" display="(5-3)"/>
    <hyperlink ref="A51" location="'5-4'!A1" display="(5-4)"/>
    <hyperlink ref="A53" location="'6-1'!A1" display="(6-1)"/>
    <hyperlink ref="A54" location="'6-2'!A1" display="(6-2)"/>
    <hyperlink ref="A55" location="'6-3'!A1" display="(6-3)"/>
    <hyperlink ref="A56" location="'6-4'!A1" display="(6-4)"/>
    <hyperlink ref="A58" location="'7-1'!A1" display="(7-1)"/>
    <hyperlink ref="A59" location="'7-2'!A1" display="(7-2)"/>
    <hyperlink ref="A60" location="'7-3'!A1" display="(7-3)"/>
    <hyperlink ref="A61" location="'7-4'!A1" display="(7-4)"/>
    <hyperlink ref="A62" location="'7-5'!A1" display="(7-5)"/>
    <hyperlink ref="A63" location="'7-6'!A1" display="(7-6)"/>
    <hyperlink ref="A64" location="'7-7'!A1" display="(7-7)"/>
    <hyperlink ref="A65" location="'7-8'!A1" display="(7-8)"/>
    <hyperlink ref="A66" location="'7-9'!A1" display="(7-9)"/>
    <hyperlink ref="A68" location="'8-1'!A1" display="(8-1)"/>
    <hyperlink ref="A69" location="'8-2'!A1" display="(8-2)"/>
    <hyperlink ref="A70" location="'8-3'!A1" display="(8-3)"/>
    <hyperlink ref="A71" location="'8-4'!A1" display="(8-4)"/>
    <hyperlink ref="A72" location="'8-5'!A1" display="(8-5)"/>
    <hyperlink ref="A73" location="'8-6'!A1" display="(8-6)"/>
    <hyperlink ref="A74" location="'8-7'!A1" display="(8-7)"/>
    <hyperlink ref="A75" location="'8-8'!A1" display="(8-8)"/>
    <hyperlink ref="A76" location="'8-9'!A1" display="(8-9)"/>
    <hyperlink ref="A78" location="'9-1'!A1" display="(9-1)"/>
    <hyperlink ref="A79" location="'9-2'!A1" display="(9-2)"/>
    <hyperlink ref="A80" location="'9-3'!A1" display="(9-3)"/>
    <hyperlink ref="A81" location="'9-4'!A1" display="(9-4)"/>
    <hyperlink ref="A82" location="'9-5'!A1" display="(9-5)"/>
    <hyperlink ref="A83" location="'9-6'!A1" display="(9-6)"/>
    <hyperlink ref="A84" location="'9-7'!A1" display="(9-7)"/>
    <hyperlink ref="A85" location="'9-8'!A1" display="(9-8)"/>
    <hyperlink ref="A86" location="'9-9'!A1" display="(9-9)"/>
  </hyperlinks>
  <pageMargins left="0.7" right="0.7" top="0.75" bottom="0.75" header="0.3" footer="0.3"/>
  <pageSetup paperSize="9" scale="75" orientation="portrait" r:id="rId1"/>
  <rowBreaks count="2" manualBreakCount="2">
    <brk id="36" max="16383" man="1"/>
    <brk id="66" max="2" man="1"/>
  </rowBreaks>
  <colBreaks count="1" manualBreakCount="1">
    <brk id="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M26"/>
  <sheetViews>
    <sheetView showGridLines="0" workbookViewId="0">
      <selection activeCell="B28" sqref="B28"/>
    </sheetView>
  </sheetViews>
  <sheetFormatPr defaultRowHeight="12.75" x14ac:dyDescent="0.2"/>
  <cols>
    <col min="1" max="3" width="9.375" style="2" customWidth="1"/>
    <col min="4" max="11" width="9.125" style="2"/>
    <col min="12" max="12" width="5.75" style="2" customWidth="1"/>
    <col min="13" max="13" width="11" style="2" customWidth="1"/>
    <col min="14" max="267" width="9.125" style="2"/>
    <col min="268" max="268" width="5.75" style="2" customWidth="1"/>
    <col min="269" max="269" width="11" style="2" customWidth="1"/>
    <col min="270" max="523" width="9.125" style="2"/>
    <col min="524" max="524" width="5.75" style="2" customWidth="1"/>
    <col min="525" max="525" width="11" style="2" customWidth="1"/>
    <col min="526" max="779" width="9.125" style="2"/>
    <col min="780" max="780" width="5.75" style="2" customWidth="1"/>
    <col min="781" max="781" width="11" style="2" customWidth="1"/>
    <col min="782" max="1035" width="9.125" style="2"/>
    <col min="1036" max="1036" width="5.75" style="2" customWidth="1"/>
    <col min="1037" max="1037" width="11" style="2" customWidth="1"/>
    <col min="1038" max="1291" width="9.125" style="2"/>
    <col min="1292" max="1292" width="5.75" style="2" customWidth="1"/>
    <col min="1293" max="1293" width="11" style="2" customWidth="1"/>
    <col min="1294" max="1547" width="9.125" style="2"/>
    <col min="1548" max="1548" width="5.75" style="2" customWidth="1"/>
    <col min="1549" max="1549" width="11" style="2" customWidth="1"/>
    <col min="1550" max="1803" width="9.125" style="2"/>
    <col min="1804" max="1804" width="5.75" style="2" customWidth="1"/>
    <col min="1805" max="1805" width="11" style="2" customWidth="1"/>
    <col min="1806" max="2059" width="9.125" style="2"/>
    <col min="2060" max="2060" width="5.75" style="2" customWidth="1"/>
    <col min="2061" max="2061" width="11" style="2" customWidth="1"/>
    <col min="2062" max="2315" width="9.125" style="2"/>
    <col min="2316" max="2316" width="5.75" style="2" customWidth="1"/>
    <col min="2317" max="2317" width="11" style="2" customWidth="1"/>
    <col min="2318" max="2571" width="9.125" style="2"/>
    <col min="2572" max="2572" width="5.75" style="2" customWidth="1"/>
    <col min="2573" max="2573" width="11" style="2" customWidth="1"/>
    <col min="2574" max="2827" width="9.125" style="2"/>
    <col min="2828" max="2828" width="5.75" style="2" customWidth="1"/>
    <col min="2829" max="2829" width="11" style="2" customWidth="1"/>
    <col min="2830" max="3083" width="9.125" style="2"/>
    <col min="3084" max="3084" width="5.75" style="2" customWidth="1"/>
    <col min="3085" max="3085" width="11" style="2" customWidth="1"/>
    <col min="3086" max="3339" width="9.125" style="2"/>
    <col min="3340" max="3340" width="5.75" style="2" customWidth="1"/>
    <col min="3341" max="3341" width="11" style="2" customWidth="1"/>
    <col min="3342" max="3595" width="9.125" style="2"/>
    <col min="3596" max="3596" width="5.75" style="2" customWidth="1"/>
    <col min="3597" max="3597" width="11" style="2" customWidth="1"/>
    <col min="3598" max="3851" width="9.125" style="2"/>
    <col min="3852" max="3852" width="5.75" style="2" customWidth="1"/>
    <col min="3853" max="3853" width="11" style="2" customWidth="1"/>
    <col min="3854" max="4107" width="9.125" style="2"/>
    <col min="4108" max="4108" width="5.75" style="2" customWidth="1"/>
    <col min="4109" max="4109" width="11" style="2" customWidth="1"/>
    <col min="4110" max="4363" width="9.125" style="2"/>
    <col min="4364" max="4364" width="5.75" style="2" customWidth="1"/>
    <col min="4365" max="4365" width="11" style="2" customWidth="1"/>
    <col min="4366" max="4619" width="9.125" style="2"/>
    <col min="4620" max="4620" width="5.75" style="2" customWidth="1"/>
    <col min="4621" max="4621" width="11" style="2" customWidth="1"/>
    <col min="4622" max="4875" width="9.125" style="2"/>
    <col min="4876" max="4876" width="5.75" style="2" customWidth="1"/>
    <col min="4877" max="4877" width="11" style="2" customWidth="1"/>
    <col min="4878" max="5131" width="9.125" style="2"/>
    <col min="5132" max="5132" width="5.75" style="2" customWidth="1"/>
    <col min="5133" max="5133" width="11" style="2" customWidth="1"/>
    <col min="5134" max="5387" width="9.125" style="2"/>
    <col min="5388" max="5388" width="5.75" style="2" customWidth="1"/>
    <col min="5389" max="5389" width="11" style="2" customWidth="1"/>
    <col min="5390" max="5643" width="9.125" style="2"/>
    <col min="5644" max="5644" width="5.75" style="2" customWidth="1"/>
    <col min="5645" max="5645" width="11" style="2" customWidth="1"/>
    <col min="5646" max="5899" width="9.125" style="2"/>
    <col min="5900" max="5900" width="5.75" style="2" customWidth="1"/>
    <col min="5901" max="5901" width="11" style="2" customWidth="1"/>
    <col min="5902" max="6155" width="9.125" style="2"/>
    <col min="6156" max="6156" width="5.75" style="2" customWidth="1"/>
    <col min="6157" max="6157" width="11" style="2" customWidth="1"/>
    <col min="6158" max="6411" width="9.125" style="2"/>
    <col min="6412" max="6412" width="5.75" style="2" customWidth="1"/>
    <col min="6413" max="6413" width="11" style="2" customWidth="1"/>
    <col min="6414" max="6667" width="9.125" style="2"/>
    <col min="6668" max="6668" width="5.75" style="2" customWidth="1"/>
    <col min="6669" max="6669" width="11" style="2" customWidth="1"/>
    <col min="6670" max="6923" width="9.125" style="2"/>
    <col min="6924" max="6924" width="5.75" style="2" customWidth="1"/>
    <col min="6925" max="6925" width="11" style="2" customWidth="1"/>
    <col min="6926" max="7179" width="9.125" style="2"/>
    <col min="7180" max="7180" width="5.75" style="2" customWidth="1"/>
    <col min="7181" max="7181" width="11" style="2" customWidth="1"/>
    <col min="7182" max="7435" width="9.125" style="2"/>
    <col min="7436" max="7436" width="5.75" style="2" customWidth="1"/>
    <col min="7437" max="7437" width="11" style="2" customWidth="1"/>
    <col min="7438" max="7691" width="9.125" style="2"/>
    <col min="7692" max="7692" width="5.75" style="2" customWidth="1"/>
    <col min="7693" max="7693" width="11" style="2" customWidth="1"/>
    <col min="7694" max="7947" width="9.125" style="2"/>
    <col min="7948" max="7948" width="5.75" style="2" customWidth="1"/>
    <col min="7949" max="7949" width="11" style="2" customWidth="1"/>
    <col min="7950" max="8203" width="9.125" style="2"/>
    <col min="8204" max="8204" width="5.75" style="2" customWidth="1"/>
    <col min="8205" max="8205" width="11" style="2" customWidth="1"/>
    <col min="8206" max="8459" width="9.125" style="2"/>
    <col min="8460" max="8460" width="5.75" style="2" customWidth="1"/>
    <col min="8461" max="8461" width="11" style="2" customWidth="1"/>
    <col min="8462" max="8715" width="9.125" style="2"/>
    <col min="8716" max="8716" width="5.75" style="2" customWidth="1"/>
    <col min="8717" max="8717" width="11" style="2" customWidth="1"/>
    <col min="8718" max="8971" width="9.125" style="2"/>
    <col min="8972" max="8972" width="5.75" style="2" customWidth="1"/>
    <col min="8973" max="8973" width="11" style="2" customWidth="1"/>
    <col min="8974" max="9227" width="9.125" style="2"/>
    <col min="9228" max="9228" width="5.75" style="2" customWidth="1"/>
    <col min="9229" max="9229" width="11" style="2" customWidth="1"/>
    <col min="9230" max="9483" width="9.125" style="2"/>
    <col min="9484" max="9484" width="5.75" style="2" customWidth="1"/>
    <col min="9485" max="9485" width="11" style="2" customWidth="1"/>
    <col min="9486" max="9739" width="9.125" style="2"/>
    <col min="9740" max="9740" width="5.75" style="2" customWidth="1"/>
    <col min="9741" max="9741" width="11" style="2" customWidth="1"/>
    <col min="9742" max="9995" width="9.125" style="2"/>
    <col min="9996" max="9996" width="5.75" style="2" customWidth="1"/>
    <col min="9997" max="9997" width="11" style="2" customWidth="1"/>
    <col min="9998" max="10251" width="9.125" style="2"/>
    <col min="10252" max="10252" width="5.75" style="2" customWidth="1"/>
    <col min="10253" max="10253" width="11" style="2" customWidth="1"/>
    <col min="10254" max="10507" width="9.125" style="2"/>
    <col min="10508" max="10508" width="5.75" style="2" customWidth="1"/>
    <col min="10509" max="10509" width="11" style="2" customWidth="1"/>
    <col min="10510" max="10763" width="9.125" style="2"/>
    <col min="10764" max="10764" width="5.75" style="2" customWidth="1"/>
    <col min="10765" max="10765" width="11" style="2" customWidth="1"/>
    <col min="10766" max="11019" width="9.125" style="2"/>
    <col min="11020" max="11020" width="5.75" style="2" customWidth="1"/>
    <col min="11021" max="11021" width="11" style="2" customWidth="1"/>
    <col min="11022" max="11275" width="9.125" style="2"/>
    <col min="11276" max="11276" width="5.75" style="2" customWidth="1"/>
    <col min="11277" max="11277" width="11" style="2" customWidth="1"/>
    <col min="11278" max="11531" width="9.125" style="2"/>
    <col min="11532" max="11532" width="5.75" style="2" customWidth="1"/>
    <col min="11533" max="11533" width="11" style="2" customWidth="1"/>
    <col min="11534" max="11787" width="9.125" style="2"/>
    <col min="11788" max="11788" width="5.75" style="2" customWidth="1"/>
    <col min="11789" max="11789" width="11" style="2" customWidth="1"/>
    <col min="11790" max="12043" width="9.125" style="2"/>
    <col min="12044" max="12044" width="5.75" style="2" customWidth="1"/>
    <col min="12045" max="12045" width="11" style="2" customWidth="1"/>
    <col min="12046" max="12299" width="9.125" style="2"/>
    <col min="12300" max="12300" width="5.75" style="2" customWidth="1"/>
    <col min="12301" max="12301" width="11" style="2" customWidth="1"/>
    <col min="12302" max="12555" width="9.125" style="2"/>
    <col min="12556" max="12556" width="5.75" style="2" customWidth="1"/>
    <col min="12557" max="12557" width="11" style="2" customWidth="1"/>
    <col min="12558" max="12811" width="9.125" style="2"/>
    <col min="12812" max="12812" width="5.75" style="2" customWidth="1"/>
    <col min="12813" max="12813" width="11" style="2" customWidth="1"/>
    <col min="12814" max="13067" width="9.125" style="2"/>
    <col min="13068" max="13068" width="5.75" style="2" customWidth="1"/>
    <col min="13069" max="13069" width="11" style="2" customWidth="1"/>
    <col min="13070" max="13323" width="9.125" style="2"/>
    <col min="13324" max="13324" width="5.75" style="2" customWidth="1"/>
    <col min="13325" max="13325" width="11" style="2" customWidth="1"/>
    <col min="13326" max="13579" width="9.125" style="2"/>
    <col min="13580" max="13580" width="5.75" style="2" customWidth="1"/>
    <col min="13581" max="13581" width="11" style="2" customWidth="1"/>
    <col min="13582" max="13835" width="9.125" style="2"/>
    <col min="13836" max="13836" width="5.75" style="2" customWidth="1"/>
    <col min="13837" max="13837" width="11" style="2" customWidth="1"/>
    <col min="13838" max="14091" width="9.125" style="2"/>
    <col min="14092" max="14092" width="5.75" style="2" customWidth="1"/>
    <col min="14093" max="14093" width="11" style="2" customWidth="1"/>
    <col min="14094" max="14347" width="9.125" style="2"/>
    <col min="14348" max="14348" width="5.75" style="2" customWidth="1"/>
    <col min="14349" max="14349" width="11" style="2" customWidth="1"/>
    <col min="14350" max="14603" width="9.125" style="2"/>
    <col min="14604" max="14604" width="5.75" style="2" customWidth="1"/>
    <col min="14605" max="14605" width="11" style="2" customWidth="1"/>
    <col min="14606" max="14859" width="9.125" style="2"/>
    <col min="14860" max="14860" width="5.75" style="2" customWidth="1"/>
    <col min="14861" max="14861" width="11" style="2" customWidth="1"/>
    <col min="14862" max="15115" width="9.125" style="2"/>
    <col min="15116" max="15116" width="5.75" style="2" customWidth="1"/>
    <col min="15117" max="15117" width="11" style="2" customWidth="1"/>
    <col min="15118" max="15371" width="9.125" style="2"/>
    <col min="15372" max="15372" width="5.75" style="2" customWidth="1"/>
    <col min="15373" max="15373" width="11" style="2" customWidth="1"/>
    <col min="15374" max="15627" width="9.125" style="2"/>
    <col min="15628" max="15628" width="5.75" style="2" customWidth="1"/>
    <col min="15629" max="15629" width="11" style="2" customWidth="1"/>
    <col min="15630" max="15883" width="9.125" style="2"/>
    <col min="15884" max="15884" width="5.75" style="2" customWidth="1"/>
    <col min="15885" max="15885" width="11" style="2" customWidth="1"/>
    <col min="15886" max="16139" width="9.125" style="2"/>
    <col min="16140" max="16140" width="5.75" style="2" customWidth="1"/>
    <col min="16141" max="16141" width="11" style="2" customWidth="1"/>
    <col min="16142" max="16384" width="9.125" style="2"/>
  </cols>
  <sheetData>
    <row r="1" spans="3:13" ht="12.75" customHeight="1" x14ac:dyDescent="0.2">
      <c r="C1" s="406" t="s">
        <v>218</v>
      </c>
      <c r="D1" s="407"/>
      <c r="E1" s="407"/>
      <c r="F1" s="407"/>
      <c r="G1" s="407"/>
      <c r="H1" s="407"/>
      <c r="I1" s="407"/>
      <c r="J1" s="407"/>
      <c r="K1" s="407"/>
      <c r="L1" s="407"/>
      <c r="M1" s="407"/>
    </row>
    <row r="2" spans="3:13" ht="12.75" customHeight="1" x14ac:dyDescent="0.2">
      <c r="C2" s="408" t="s">
        <v>185</v>
      </c>
      <c r="D2" s="408"/>
      <c r="E2" s="408"/>
      <c r="F2" s="408"/>
      <c r="G2" s="408"/>
      <c r="H2" s="408"/>
      <c r="I2" s="408"/>
      <c r="J2" s="408"/>
      <c r="K2" s="408"/>
      <c r="L2" s="408"/>
      <c r="M2" s="408"/>
    </row>
    <row r="3" spans="3:13" x14ac:dyDescent="0.2">
      <c r="C3" s="409" t="s">
        <v>1</v>
      </c>
      <c r="D3" s="409"/>
      <c r="E3" s="409"/>
      <c r="F3" s="409" t="s">
        <v>2</v>
      </c>
      <c r="G3" s="409"/>
      <c r="H3" s="409"/>
      <c r="I3" s="409" t="s">
        <v>3</v>
      </c>
      <c r="J3" s="409"/>
      <c r="K3" s="409"/>
      <c r="L3" s="24" t="s">
        <v>7</v>
      </c>
      <c r="M3" s="24" t="s">
        <v>186</v>
      </c>
    </row>
    <row r="4" spans="3:13" x14ac:dyDescent="0.2">
      <c r="C4" s="25" t="s">
        <v>4</v>
      </c>
      <c r="D4" s="25" t="s">
        <v>145</v>
      </c>
      <c r="E4" s="25" t="s">
        <v>146</v>
      </c>
      <c r="F4" s="25" t="s">
        <v>4</v>
      </c>
      <c r="G4" s="25" t="s">
        <v>145</v>
      </c>
      <c r="H4" s="25" t="s">
        <v>146</v>
      </c>
      <c r="I4" s="25" t="s">
        <v>4</v>
      </c>
      <c r="J4" s="25" t="s">
        <v>145</v>
      </c>
      <c r="K4" s="22" t="s">
        <v>146</v>
      </c>
      <c r="L4" s="26"/>
      <c r="M4" s="26" t="s">
        <v>187</v>
      </c>
    </row>
    <row r="5" spans="3:13" x14ac:dyDescent="0.2">
      <c r="C5" s="27">
        <f>SUM(D5:E5)</f>
        <v>20798</v>
      </c>
      <c r="D5" s="27">
        <v>419</v>
      </c>
      <c r="E5" s="27">
        <v>20379</v>
      </c>
      <c r="F5" s="27">
        <f>SUM(G5:H5)</f>
        <v>100346</v>
      </c>
      <c r="G5" s="27">
        <v>2359</v>
      </c>
      <c r="H5" s="27">
        <v>97987</v>
      </c>
      <c r="I5" s="27">
        <f>SUM(J5:K5)</f>
        <v>55316</v>
      </c>
      <c r="J5" s="27">
        <v>1211</v>
      </c>
      <c r="K5" s="27">
        <v>54105</v>
      </c>
      <c r="L5" s="25" t="s">
        <v>9</v>
      </c>
      <c r="M5" s="28"/>
    </row>
    <row r="6" spans="3:13" x14ac:dyDescent="0.2">
      <c r="C6" s="27">
        <f t="shared" ref="C6:C19" si="0">SUM(D6:E6)</f>
        <v>6706</v>
      </c>
      <c r="D6" s="27">
        <v>169</v>
      </c>
      <c r="E6" s="27">
        <v>6537</v>
      </c>
      <c r="F6" s="27">
        <f t="shared" ref="F6:F18" si="1">SUM(G6:H6)</f>
        <v>27039</v>
      </c>
      <c r="G6" s="27">
        <v>372</v>
      </c>
      <c r="H6" s="27">
        <v>26667</v>
      </c>
      <c r="I6" s="27">
        <f>SUM(J6:K6)</f>
        <v>14269</v>
      </c>
      <c r="J6" s="27">
        <v>91</v>
      </c>
      <c r="K6" s="27">
        <v>14178</v>
      </c>
      <c r="L6" s="25" t="s">
        <v>10</v>
      </c>
      <c r="M6" s="28" t="s">
        <v>61</v>
      </c>
    </row>
    <row r="7" spans="3:13" x14ac:dyDescent="0.2">
      <c r="C7" s="27">
        <f t="shared" si="0"/>
        <v>27504</v>
      </c>
      <c r="D7" s="27">
        <f t="shared" ref="D7:J7" si="2">SUM(D5:D6)</f>
        <v>588</v>
      </c>
      <c r="E7" s="27">
        <f t="shared" si="2"/>
        <v>26916</v>
      </c>
      <c r="F7" s="27">
        <f t="shared" si="2"/>
        <v>127385</v>
      </c>
      <c r="G7" s="27">
        <f t="shared" si="2"/>
        <v>2731</v>
      </c>
      <c r="H7" s="27">
        <f t="shared" si="2"/>
        <v>124654</v>
      </c>
      <c r="I7" s="27">
        <f t="shared" si="2"/>
        <v>69585</v>
      </c>
      <c r="J7" s="27">
        <f t="shared" si="2"/>
        <v>1302</v>
      </c>
      <c r="K7" s="27">
        <f>SUM(K5:K6)</f>
        <v>68283</v>
      </c>
      <c r="L7" s="25" t="s">
        <v>12</v>
      </c>
      <c r="M7" s="26"/>
    </row>
    <row r="8" spans="3:13" x14ac:dyDescent="0.2">
      <c r="C8" s="27">
        <f t="shared" si="0"/>
        <v>28838</v>
      </c>
      <c r="D8" s="27">
        <v>1194</v>
      </c>
      <c r="E8" s="27">
        <v>27644</v>
      </c>
      <c r="F8" s="27">
        <f t="shared" si="1"/>
        <v>232477</v>
      </c>
      <c r="G8" s="27">
        <v>8237</v>
      </c>
      <c r="H8" s="27">
        <v>224240</v>
      </c>
      <c r="I8" s="27">
        <f>SUM(J8:K8)</f>
        <v>81397</v>
      </c>
      <c r="J8" s="27">
        <v>2616</v>
      </c>
      <c r="K8" s="27">
        <v>78781</v>
      </c>
      <c r="L8" s="25" t="s">
        <v>9</v>
      </c>
      <c r="M8" s="28"/>
    </row>
    <row r="9" spans="3:13" x14ac:dyDescent="0.2">
      <c r="C9" s="27">
        <f t="shared" si="0"/>
        <v>62306</v>
      </c>
      <c r="D9" s="27">
        <v>942</v>
      </c>
      <c r="E9" s="27">
        <v>61364</v>
      </c>
      <c r="F9" s="27">
        <f t="shared" si="1"/>
        <v>381627</v>
      </c>
      <c r="G9" s="27">
        <v>7095</v>
      </c>
      <c r="H9" s="27">
        <v>374532</v>
      </c>
      <c r="I9" s="27">
        <f>SUM(J9:K9)</f>
        <v>112754</v>
      </c>
      <c r="J9" s="27">
        <v>1832</v>
      </c>
      <c r="K9" s="27">
        <v>110922</v>
      </c>
      <c r="L9" s="25" t="s">
        <v>10</v>
      </c>
      <c r="M9" s="28" t="s">
        <v>60</v>
      </c>
    </row>
    <row r="10" spans="3:13" x14ac:dyDescent="0.2">
      <c r="C10" s="27">
        <f t="shared" ref="C10:K10" si="3">SUM(C8:C9)</f>
        <v>91144</v>
      </c>
      <c r="D10" s="27">
        <f t="shared" si="3"/>
        <v>2136</v>
      </c>
      <c r="E10" s="27">
        <f t="shared" si="3"/>
        <v>89008</v>
      </c>
      <c r="F10" s="27">
        <f t="shared" si="3"/>
        <v>614104</v>
      </c>
      <c r="G10" s="27">
        <f t="shared" si="3"/>
        <v>15332</v>
      </c>
      <c r="H10" s="27">
        <f t="shared" si="3"/>
        <v>598772</v>
      </c>
      <c r="I10" s="27">
        <f t="shared" si="3"/>
        <v>194151</v>
      </c>
      <c r="J10" s="27">
        <f t="shared" si="3"/>
        <v>4448</v>
      </c>
      <c r="K10" s="27">
        <f t="shared" si="3"/>
        <v>189703</v>
      </c>
      <c r="L10" s="25" t="s">
        <v>12</v>
      </c>
      <c r="M10" s="26"/>
    </row>
    <row r="11" spans="3:13" x14ac:dyDescent="0.2">
      <c r="C11" s="27">
        <f t="shared" si="0"/>
        <v>1567</v>
      </c>
      <c r="D11" s="27">
        <v>95</v>
      </c>
      <c r="E11" s="27">
        <v>1472</v>
      </c>
      <c r="F11" s="27">
        <f t="shared" si="1"/>
        <v>1816</v>
      </c>
      <c r="G11" s="27">
        <v>96</v>
      </c>
      <c r="H11" s="27">
        <v>1720</v>
      </c>
      <c r="I11" s="27">
        <f>SUM(J11:K11)</f>
        <v>1146</v>
      </c>
      <c r="J11" s="27">
        <v>48</v>
      </c>
      <c r="K11" s="27">
        <v>1098</v>
      </c>
      <c r="L11" s="25" t="s">
        <v>9</v>
      </c>
      <c r="M11" s="28"/>
    </row>
    <row r="12" spans="3:13" x14ac:dyDescent="0.2">
      <c r="C12" s="27">
        <f t="shared" si="0"/>
        <v>513</v>
      </c>
      <c r="D12" s="27">
        <v>10</v>
      </c>
      <c r="E12" s="27">
        <v>503</v>
      </c>
      <c r="F12" s="27">
        <f t="shared" si="1"/>
        <v>815</v>
      </c>
      <c r="G12" s="27">
        <v>18</v>
      </c>
      <c r="H12" s="27">
        <v>797</v>
      </c>
      <c r="I12" s="27">
        <f>SUM(J12:K12)</f>
        <v>575</v>
      </c>
      <c r="J12" s="27">
        <v>12</v>
      </c>
      <c r="K12" s="27">
        <v>563</v>
      </c>
      <c r="L12" s="25" t="s">
        <v>10</v>
      </c>
      <c r="M12" s="28" t="s">
        <v>59</v>
      </c>
    </row>
    <row r="13" spans="3:13" x14ac:dyDescent="0.2">
      <c r="C13" s="27">
        <f t="shared" si="0"/>
        <v>2080</v>
      </c>
      <c r="D13" s="27">
        <f t="shared" ref="D13:K13" si="4">SUM(D11:D12)</f>
        <v>105</v>
      </c>
      <c r="E13" s="27">
        <f t="shared" si="4"/>
        <v>1975</v>
      </c>
      <c r="F13" s="27">
        <f t="shared" si="4"/>
        <v>2631</v>
      </c>
      <c r="G13" s="27">
        <f t="shared" si="4"/>
        <v>114</v>
      </c>
      <c r="H13" s="27">
        <f t="shared" si="4"/>
        <v>2517</v>
      </c>
      <c r="I13" s="27">
        <f t="shared" si="4"/>
        <v>1721</v>
      </c>
      <c r="J13" s="27">
        <f t="shared" si="4"/>
        <v>60</v>
      </c>
      <c r="K13" s="27">
        <f t="shared" si="4"/>
        <v>1661</v>
      </c>
      <c r="L13" s="25" t="s">
        <v>12</v>
      </c>
      <c r="M13" s="26"/>
    </row>
    <row r="14" spans="3:13" x14ac:dyDescent="0.2">
      <c r="C14" s="27">
        <f t="shared" si="0"/>
        <v>1389</v>
      </c>
      <c r="D14" s="27">
        <v>144</v>
      </c>
      <c r="E14" s="27">
        <v>1245</v>
      </c>
      <c r="F14" s="27">
        <f t="shared" si="1"/>
        <v>7204</v>
      </c>
      <c r="G14" s="27">
        <v>1059</v>
      </c>
      <c r="H14" s="27">
        <v>6145</v>
      </c>
      <c r="I14" s="27">
        <f>SUM(J14:K14)</f>
        <v>4009</v>
      </c>
      <c r="J14" s="27">
        <v>514</v>
      </c>
      <c r="K14" s="27">
        <v>3495</v>
      </c>
      <c r="L14" s="25" t="s">
        <v>9</v>
      </c>
      <c r="M14" s="28"/>
    </row>
    <row r="15" spans="3:13" x14ac:dyDescent="0.2">
      <c r="C15" s="27">
        <f t="shared" si="0"/>
        <v>489</v>
      </c>
      <c r="D15" s="27">
        <v>16</v>
      </c>
      <c r="E15" s="27">
        <v>473</v>
      </c>
      <c r="F15" s="27">
        <f t="shared" si="1"/>
        <v>4103</v>
      </c>
      <c r="G15" s="27">
        <v>216</v>
      </c>
      <c r="H15" s="27">
        <v>3887</v>
      </c>
      <c r="I15" s="27">
        <f>SUM(J15:K15)</f>
        <v>2538</v>
      </c>
      <c r="J15" s="27">
        <v>94</v>
      </c>
      <c r="K15" s="27">
        <v>2444</v>
      </c>
      <c r="L15" s="25" t="s">
        <v>10</v>
      </c>
      <c r="M15" s="28" t="s">
        <v>57</v>
      </c>
    </row>
    <row r="16" spans="3:13" x14ac:dyDescent="0.2">
      <c r="C16" s="27">
        <f t="shared" si="0"/>
        <v>1878</v>
      </c>
      <c r="D16" s="27">
        <f t="shared" ref="D16:K16" si="5">SUM(D14:D15)</f>
        <v>160</v>
      </c>
      <c r="E16" s="27">
        <f t="shared" si="5"/>
        <v>1718</v>
      </c>
      <c r="F16" s="27">
        <f t="shared" si="5"/>
        <v>11307</v>
      </c>
      <c r="G16" s="27">
        <f t="shared" si="5"/>
        <v>1275</v>
      </c>
      <c r="H16" s="27">
        <f t="shared" si="5"/>
        <v>10032</v>
      </c>
      <c r="I16" s="27">
        <f t="shared" si="5"/>
        <v>6547</v>
      </c>
      <c r="J16" s="27">
        <f t="shared" si="5"/>
        <v>608</v>
      </c>
      <c r="K16" s="27">
        <f t="shared" si="5"/>
        <v>5939</v>
      </c>
      <c r="L16" s="25" t="s">
        <v>12</v>
      </c>
      <c r="M16" s="26"/>
    </row>
    <row r="17" spans="3:13" x14ac:dyDescent="0.2">
      <c r="C17" s="27">
        <f t="shared" si="0"/>
        <v>333</v>
      </c>
      <c r="D17" s="27">
        <v>35</v>
      </c>
      <c r="E17" s="27">
        <v>298</v>
      </c>
      <c r="F17" s="27">
        <f t="shared" si="1"/>
        <v>1494</v>
      </c>
      <c r="G17" s="27">
        <v>421</v>
      </c>
      <c r="H17" s="27">
        <v>1073</v>
      </c>
      <c r="I17" s="27">
        <f>SUM(J17:K17)</f>
        <v>576</v>
      </c>
      <c r="J17" s="27">
        <v>151</v>
      </c>
      <c r="K17" s="27">
        <v>425</v>
      </c>
      <c r="L17" s="25" t="s">
        <v>9</v>
      </c>
      <c r="M17" s="28"/>
    </row>
    <row r="18" spans="3:13" x14ac:dyDescent="0.2">
      <c r="C18" s="27">
        <f t="shared" si="0"/>
        <v>112</v>
      </c>
      <c r="D18" s="27">
        <v>0</v>
      </c>
      <c r="E18" s="27">
        <v>112</v>
      </c>
      <c r="F18" s="27">
        <f t="shared" si="1"/>
        <v>849</v>
      </c>
      <c r="G18" s="27">
        <v>33</v>
      </c>
      <c r="H18" s="27">
        <v>816</v>
      </c>
      <c r="I18" s="27">
        <f>SUM(J18:K18)</f>
        <v>274</v>
      </c>
      <c r="J18" s="27">
        <v>16</v>
      </c>
      <c r="K18" s="27">
        <v>258</v>
      </c>
      <c r="L18" s="25" t="s">
        <v>10</v>
      </c>
      <c r="M18" s="28" t="s">
        <v>56</v>
      </c>
    </row>
    <row r="19" spans="3:13" x14ac:dyDescent="0.2">
      <c r="C19" s="27">
        <f t="shared" si="0"/>
        <v>445</v>
      </c>
      <c r="D19" s="27">
        <f t="shared" ref="D19:K19" si="6">SUM(D17:D18)</f>
        <v>35</v>
      </c>
      <c r="E19" s="27">
        <f t="shared" si="6"/>
        <v>410</v>
      </c>
      <c r="F19" s="27">
        <f t="shared" si="6"/>
        <v>2343</v>
      </c>
      <c r="G19" s="27">
        <f t="shared" si="6"/>
        <v>454</v>
      </c>
      <c r="H19" s="27">
        <f t="shared" si="6"/>
        <v>1889</v>
      </c>
      <c r="I19" s="27">
        <f t="shared" si="6"/>
        <v>850</v>
      </c>
      <c r="J19" s="27">
        <f t="shared" si="6"/>
        <v>167</v>
      </c>
      <c r="K19" s="27">
        <f t="shared" si="6"/>
        <v>683</v>
      </c>
      <c r="L19" s="25" t="s">
        <v>12</v>
      </c>
      <c r="M19" s="26"/>
    </row>
    <row r="20" spans="3:13" x14ac:dyDescent="0.2">
      <c r="C20" s="27">
        <f t="shared" ref="C20:K22" si="7">C5+C8+C11+C14+C17</f>
        <v>52925</v>
      </c>
      <c r="D20" s="27">
        <f t="shared" si="7"/>
        <v>1887</v>
      </c>
      <c r="E20" s="27">
        <f t="shared" si="7"/>
        <v>51038</v>
      </c>
      <c r="F20" s="27">
        <f t="shared" si="7"/>
        <v>343337</v>
      </c>
      <c r="G20" s="27">
        <f t="shared" si="7"/>
        <v>12172</v>
      </c>
      <c r="H20" s="27">
        <f t="shared" si="7"/>
        <v>331165</v>
      </c>
      <c r="I20" s="27">
        <f t="shared" si="7"/>
        <v>142444</v>
      </c>
      <c r="J20" s="27">
        <f t="shared" si="7"/>
        <v>4540</v>
      </c>
      <c r="K20" s="27">
        <f>K5+K8+K11+K14+K17</f>
        <v>137904</v>
      </c>
      <c r="L20" s="25" t="s">
        <v>26</v>
      </c>
      <c r="M20" s="24"/>
    </row>
    <row r="21" spans="3:13" x14ac:dyDescent="0.2">
      <c r="C21" s="27">
        <f t="shared" si="7"/>
        <v>70126</v>
      </c>
      <c r="D21" s="27">
        <f t="shared" si="7"/>
        <v>1137</v>
      </c>
      <c r="E21" s="27">
        <f t="shared" si="7"/>
        <v>68989</v>
      </c>
      <c r="F21" s="27">
        <f t="shared" si="7"/>
        <v>414433</v>
      </c>
      <c r="G21" s="27">
        <f t="shared" si="7"/>
        <v>7734</v>
      </c>
      <c r="H21" s="27">
        <f t="shared" si="7"/>
        <v>406699</v>
      </c>
      <c r="I21" s="27">
        <f t="shared" si="7"/>
        <v>130410</v>
      </c>
      <c r="J21" s="27">
        <f t="shared" si="7"/>
        <v>2045</v>
      </c>
      <c r="K21" s="27">
        <f t="shared" si="7"/>
        <v>128365</v>
      </c>
      <c r="L21" s="25" t="s">
        <v>27</v>
      </c>
      <c r="M21" s="28" t="s">
        <v>188</v>
      </c>
    </row>
    <row r="22" spans="3:13" x14ac:dyDescent="0.2">
      <c r="C22" s="27">
        <f t="shared" si="7"/>
        <v>123051</v>
      </c>
      <c r="D22" s="27">
        <f t="shared" si="7"/>
        <v>3024</v>
      </c>
      <c r="E22" s="27">
        <f t="shared" si="7"/>
        <v>120027</v>
      </c>
      <c r="F22" s="27">
        <f t="shared" si="7"/>
        <v>757770</v>
      </c>
      <c r="G22" s="27">
        <f t="shared" si="7"/>
        <v>19906</v>
      </c>
      <c r="H22" s="27">
        <f t="shared" si="7"/>
        <v>737864</v>
      </c>
      <c r="I22" s="27">
        <f t="shared" si="7"/>
        <v>272854</v>
      </c>
      <c r="J22" s="27">
        <f t="shared" si="7"/>
        <v>6585</v>
      </c>
      <c r="K22" s="27">
        <f>K7+K10+K13+K16+K19</f>
        <v>266269</v>
      </c>
      <c r="L22" s="25" t="s">
        <v>12</v>
      </c>
      <c r="M22" s="26"/>
    </row>
    <row r="26" spans="3:13" x14ac:dyDescent="0.2">
      <c r="I26" s="11"/>
    </row>
  </sheetData>
  <mergeCells count="5">
    <mergeCell ref="C1:M1"/>
    <mergeCell ref="C2:M2"/>
    <mergeCell ref="C3:E3"/>
    <mergeCell ref="F3:H3"/>
    <mergeCell ref="I3:K3"/>
  </mergeCells>
  <pageMargins left="0.56999999999999995" right="1" top="1" bottom="1" header="1" footer="1"/>
  <pageSetup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F1:T92"/>
  <sheetViews>
    <sheetView showGridLines="0" zoomScaleSheetLayoutView="100" workbookViewId="0"/>
  </sheetViews>
  <sheetFormatPr defaultRowHeight="12.75" customHeight="1" x14ac:dyDescent="0.2"/>
  <cols>
    <col min="1" max="1" width="0.125" style="2" customWidth="1"/>
    <col min="2" max="3" width="0" style="2" hidden="1" customWidth="1"/>
    <col min="4" max="5" width="9.125" style="2"/>
    <col min="6" max="6" width="9.875" style="2" bestFit="1" customWidth="1"/>
    <col min="7" max="7" width="8.75" style="2" bestFit="1" customWidth="1"/>
    <col min="8" max="9" width="9.125" style="2" bestFit="1" customWidth="1"/>
    <col min="10" max="10" width="10.625" style="2" bestFit="1" customWidth="1"/>
    <col min="11" max="11" width="8.75" style="2" bestFit="1" customWidth="1"/>
    <col min="12" max="14" width="10.125" style="2" bestFit="1" customWidth="1"/>
    <col min="15" max="15" width="8.75" style="2" bestFit="1" customWidth="1"/>
    <col min="16" max="16" width="9.875" style="2" bestFit="1" customWidth="1"/>
    <col min="17" max="17" width="9.125" style="2" bestFit="1" customWidth="1"/>
    <col min="18" max="18" width="5.125" style="2" bestFit="1" customWidth="1"/>
    <col min="19" max="19" width="6.25" style="2" bestFit="1" customWidth="1"/>
    <col min="20" max="20" width="34.375" style="21" bestFit="1" customWidth="1"/>
    <col min="21" max="21" width="7" style="2" customWidth="1"/>
    <col min="22" max="22" width="19.25" style="2" customWidth="1"/>
    <col min="23" max="260" width="9.125" style="2"/>
    <col min="261" max="261" width="7" style="2" bestFit="1" customWidth="1"/>
    <col min="262" max="262" width="8.625" style="2" bestFit="1" customWidth="1"/>
    <col min="263" max="263" width="8" style="2" bestFit="1" customWidth="1"/>
    <col min="264" max="264" width="9" style="2" bestFit="1" customWidth="1"/>
    <col min="265" max="265" width="7" style="2" bestFit="1" customWidth="1"/>
    <col min="266" max="266" width="8.625" style="2" bestFit="1" customWidth="1"/>
    <col min="267" max="267" width="8" style="2" bestFit="1" customWidth="1"/>
    <col min="268" max="268" width="9" style="2" bestFit="1" customWidth="1"/>
    <col min="269" max="269" width="7" style="2" bestFit="1" customWidth="1"/>
    <col min="270" max="270" width="8.625" style="2" bestFit="1" customWidth="1"/>
    <col min="271" max="271" width="8" style="2" bestFit="1" customWidth="1"/>
    <col min="272" max="272" width="9" style="2" bestFit="1" customWidth="1"/>
    <col min="273" max="274" width="5.125" style="2" bestFit="1" customWidth="1"/>
    <col min="275" max="275" width="34.25" style="2" customWidth="1"/>
    <col min="276" max="516" width="9.125" style="2"/>
    <col min="517" max="517" width="7" style="2" bestFit="1" customWidth="1"/>
    <col min="518" max="518" width="8.625" style="2" bestFit="1" customWidth="1"/>
    <col min="519" max="519" width="8" style="2" bestFit="1" customWidth="1"/>
    <col min="520" max="520" width="9" style="2" bestFit="1" customWidth="1"/>
    <col min="521" max="521" width="7" style="2" bestFit="1" customWidth="1"/>
    <col min="522" max="522" width="8.625" style="2" bestFit="1" customWidth="1"/>
    <col min="523" max="523" width="8" style="2" bestFit="1" customWidth="1"/>
    <col min="524" max="524" width="9" style="2" bestFit="1" customWidth="1"/>
    <col min="525" max="525" width="7" style="2" bestFit="1" customWidth="1"/>
    <col min="526" max="526" width="8.625" style="2" bestFit="1" customWidth="1"/>
    <col min="527" max="527" width="8" style="2" bestFit="1" customWidth="1"/>
    <col min="528" max="528" width="9" style="2" bestFit="1" customWidth="1"/>
    <col min="529" max="530" width="5.125" style="2" bestFit="1" customWidth="1"/>
    <col min="531" max="531" width="34.25" style="2" customWidth="1"/>
    <col min="532" max="772" width="9.125" style="2"/>
    <col min="773" max="773" width="7" style="2" bestFit="1" customWidth="1"/>
    <col min="774" max="774" width="8.625" style="2" bestFit="1" customWidth="1"/>
    <col min="775" max="775" width="8" style="2" bestFit="1" customWidth="1"/>
    <col min="776" max="776" width="9" style="2" bestFit="1" customWidth="1"/>
    <col min="777" max="777" width="7" style="2" bestFit="1" customWidth="1"/>
    <col min="778" max="778" width="8.625" style="2" bestFit="1" customWidth="1"/>
    <col min="779" max="779" width="8" style="2" bestFit="1" customWidth="1"/>
    <col min="780" max="780" width="9" style="2" bestFit="1" customWidth="1"/>
    <col min="781" max="781" width="7" style="2" bestFit="1" customWidth="1"/>
    <col min="782" max="782" width="8.625" style="2" bestFit="1" customWidth="1"/>
    <col min="783" max="783" width="8" style="2" bestFit="1" customWidth="1"/>
    <col min="784" max="784" width="9" style="2" bestFit="1" customWidth="1"/>
    <col min="785" max="786" width="5.125" style="2" bestFit="1" customWidth="1"/>
    <col min="787" max="787" width="34.25" style="2" customWidth="1"/>
    <col min="788" max="1028" width="9.125" style="2"/>
    <col min="1029" max="1029" width="7" style="2" bestFit="1" customWidth="1"/>
    <col min="1030" max="1030" width="8.625" style="2" bestFit="1" customWidth="1"/>
    <col min="1031" max="1031" width="8" style="2" bestFit="1" customWidth="1"/>
    <col min="1032" max="1032" width="9" style="2" bestFit="1" customWidth="1"/>
    <col min="1033" max="1033" width="7" style="2" bestFit="1" customWidth="1"/>
    <col min="1034" max="1034" width="8.625" style="2" bestFit="1" customWidth="1"/>
    <col min="1035" max="1035" width="8" style="2" bestFit="1" customWidth="1"/>
    <col min="1036" max="1036" width="9" style="2" bestFit="1" customWidth="1"/>
    <col min="1037" max="1037" width="7" style="2" bestFit="1" customWidth="1"/>
    <col min="1038" max="1038" width="8.625" style="2" bestFit="1" customWidth="1"/>
    <col min="1039" max="1039" width="8" style="2" bestFit="1" customWidth="1"/>
    <col min="1040" max="1040" width="9" style="2" bestFit="1" customWidth="1"/>
    <col min="1041" max="1042" width="5.125" style="2" bestFit="1" customWidth="1"/>
    <col min="1043" max="1043" width="34.25" style="2" customWidth="1"/>
    <col min="1044" max="1284" width="9.125" style="2"/>
    <col min="1285" max="1285" width="7" style="2" bestFit="1" customWidth="1"/>
    <col min="1286" max="1286" width="8.625" style="2" bestFit="1" customWidth="1"/>
    <col min="1287" max="1287" width="8" style="2" bestFit="1" customWidth="1"/>
    <col min="1288" max="1288" width="9" style="2" bestFit="1" customWidth="1"/>
    <col min="1289" max="1289" width="7" style="2" bestFit="1" customWidth="1"/>
    <col min="1290" max="1290" width="8.625" style="2" bestFit="1" customWidth="1"/>
    <col min="1291" max="1291" width="8" style="2" bestFit="1" customWidth="1"/>
    <col min="1292" max="1292" width="9" style="2" bestFit="1" customWidth="1"/>
    <col min="1293" max="1293" width="7" style="2" bestFit="1" customWidth="1"/>
    <col min="1294" max="1294" width="8.625" style="2" bestFit="1" customWidth="1"/>
    <col min="1295" max="1295" width="8" style="2" bestFit="1" customWidth="1"/>
    <col min="1296" max="1296" width="9" style="2" bestFit="1" customWidth="1"/>
    <col min="1297" max="1298" width="5.125" style="2" bestFit="1" customWidth="1"/>
    <col min="1299" max="1299" width="34.25" style="2" customWidth="1"/>
    <col min="1300" max="1540" width="9.125" style="2"/>
    <col min="1541" max="1541" width="7" style="2" bestFit="1" customWidth="1"/>
    <col min="1542" max="1542" width="8.625" style="2" bestFit="1" customWidth="1"/>
    <col min="1543" max="1543" width="8" style="2" bestFit="1" customWidth="1"/>
    <col min="1544" max="1544" width="9" style="2" bestFit="1" customWidth="1"/>
    <col min="1545" max="1545" width="7" style="2" bestFit="1" customWidth="1"/>
    <col min="1546" max="1546" width="8.625" style="2" bestFit="1" customWidth="1"/>
    <col min="1547" max="1547" width="8" style="2" bestFit="1" customWidth="1"/>
    <col min="1548" max="1548" width="9" style="2" bestFit="1" customWidth="1"/>
    <col min="1549" max="1549" width="7" style="2" bestFit="1" customWidth="1"/>
    <col min="1550" max="1550" width="8.625" style="2" bestFit="1" customWidth="1"/>
    <col min="1551" max="1551" width="8" style="2" bestFit="1" customWidth="1"/>
    <col min="1552" max="1552" width="9" style="2" bestFit="1" customWidth="1"/>
    <col min="1553" max="1554" width="5.125" style="2" bestFit="1" customWidth="1"/>
    <col min="1555" max="1555" width="34.25" style="2" customWidth="1"/>
    <col min="1556" max="1796" width="9.125" style="2"/>
    <col min="1797" max="1797" width="7" style="2" bestFit="1" customWidth="1"/>
    <col min="1798" max="1798" width="8.625" style="2" bestFit="1" customWidth="1"/>
    <col min="1799" max="1799" width="8" style="2" bestFit="1" customWidth="1"/>
    <col min="1800" max="1800" width="9" style="2" bestFit="1" customWidth="1"/>
    <col min="1801" max="1801" width="7" style="2" bestFit="1" customWidth="1"/>
    <col min="1802" max="1802" width="8.625" style="2" bestFit="1" customWidth="1"/>
    <col min="1803" max="1803" width="8" style="2" bestFit="1" customWidth="1"/>
    <col min="1804" max="1804" width="9" style="2" bestFit="1" customWidth="1"/>
    <col min="1805" max="1805" width="7" style="2" bestFit="1" customWidth="1"/>
    <col min="1806" max="1806" width="8.625" style="2" bestFit="1" customWidth="1"/>
    <col min="1807" max="1807" width="8" style="2" bestFit="1" customWidth="1"/>
    <col min="1808" max="1808" width="9" style="2" bestFit="1" customWidth="1"/>
    <col min="1809" max="1810" width="5.125" style="2" bestFit="1" customWidth="1"/>
    <col min="1811" max="1811" width="34.25" style="2" customWidth="1"/>
    <col min="1812" max="2052" width="9.125" style="2"/>
    <col min="2053" max="2053" width="7" style="2" bestFit="1" customWidth="1"/>
    <col min="2054" max="2054" width="8.625" style="2" bestFit="1" customWidth="1"/>
    <col min="2055" max="2055" width="8" style="2" bestFit="1" customWidth="1"/>
    <col min="2056" max="2056" width="9" style="2" bestFit="1" customWidth="1"/>
    <col min="2057" max="2057" width="7" style="2" bestFit="1" customWidth="1"/>
    <col min="2058" max="2058" width="8.625" style="2" bestFit="1" customWidth="1"/>
    <col min="2059" max="2059" width="8" style="2" bestFit="1" customWidth="1"/>
    <col min="2060" max="2060" width="9" style="2" bestFit="1" customWidth="1"/>
    <col min="2061" max="2061" width="7" style="2" bestFit="1" customWidth="1"/>
    <col min="2062" max="2062" width="8.625" style="2" bestFit="1" customWidth="1"/>
    <col min="2063" max="2063" width="8" style="2" bestFit="1" customWidth="1"/>
    <col min="2064" max="2064" width="9" style="2" bestFit="1" customWidth="1"/>
    <col min="2065" max="2066" width="5.125" style="2" bestFit="1" customWidth="1"/>
    <col min="2067" max="2067" width="34.25" style="2" customWidth="1"/>
    <col min="2068" max="2308" width="9.125" style="2"/>
    <col min="2309" max="2309" width="7" style="2" bestFit="1" customWidth="1"/>
    <col min="2310" max="2310" width="8.625" style="2" bestFit="1" customWidth="1"/>
    <col min="2311" max="2311" width="8" style="2" bestFit="1" customWidth="1"/>
    <col min="2312" max="2312" width="9" style="2" bestFit="1" customWidth="1"/>
    <col min="2313" max="2313" width="7" style="2" bestFit="1" customWidth="1"/>
    <col min="2314" max="2314" width="8.625" style="2" bestFit="1" customWidth="1"/>
    <col min="2315" max="2315" width="8" style="2" bestFit="1" customWidth="1"/>
    <col min="2316" max="2316" width="9" style="2" bestFit="1" customWidth="1"/>
    <col min="2317" max="2317" width="7" style="2" bestFit="1" customWidth="1"/>
    <col min="2318" max="2318" width="8.625" style="2" bestFit="1" customWidth="1"/>
    <col min="2319" max="2319" width="8" style="2" bestFit="1" customWidth="1"/>
    <col min="2320" max="2320" width="9" style="2" bestFit="1" customWidth="1"/>
    <col min="2321" max="2322" width="5.125" style="2" bestFit="1" customWidth="1"/>
    <col min="2323" max="2323" width="34.25" style="2" customWidth="1"/>
    <col min="2324" max="2564" width="9.125" style="2"/>
    <col min="2565" max="2565" width="7" style="2" bestFit="1" customWidth="1"/>
    <col min="2566" max="2566" width="8.625" style="2" bestFit="1" customWidth="1"/>
    <col min="2567" max="2567" width="8" style="2" bestFit="1" customWidth="1"/>
    <col min="2568" max="2568" width="9" style="2" bestFit="1" customWidth="1"/>
    <col min="2569" max="2569" width="7" style="2" bestFit="1" customWidth="1"/>
    <col min="2570" max="2570" width="8.625" style="2" bestFit="1" customWidth="1"/>
    <col min="2571" max="2571" width="8" style="2" bestFit="1" customWidth="1"/>
    <col min="2572" max="2572" width="9" style="2" bestFit="1" customWidth="1"/>
    <col min="2573" max="2573" width="7" style="2" bestFit="1" customWidth="1"/>
    <col min="2574" max="2574" width="8.625" style="2" bestFit="1" customWidth="1"/>
    <col min="2575" max="2575" width="8" style="2" bestFit="1" customWidth="1"/>
    <col min="2576" max="2576" width="9" style="2" bestFit="1" customWidth="1"/>
    <col min="2577" max="2578" width="5.125" style="2" bestFit="1" customWidth="1"/>
    <col min="2579" max="2579" width="34.25" style="2" customWidth="1"/>
    <col min="2580" max="2820" width="9.125" style="2"/>
    <col min="2821" max="2821" width="7" style="2" bestFit="1" customWidth="1"/>
    <col min="2822" max="2822" width="8.625" style="2" bestFit="1" customWidth="1"/>
    <col min="2823" max="2823" width="8" style="2" bestFit="1" customWidth="1"/>
    <col min="2824" max="2824" width="9" style="2" bestFit="1" customWidth="1"/>
    <col min="2825" max="2825" width="7" style="2" bestFit="1" customWidth="1"/>
    <col min="2826" max="2826" width="8.625" style="2" bestFit="1" customWidth="1"/>
    <col min="2827" max="2827" width="8" style="2" bestFit="1" customWidth="1"/>
    <col min="2828" max="2828" width="9" style="2" bestFit="1" customWidth="1"/>
    <col min="2829" max="2829" width="7" style="2" bestFit="1" customWidth="1"/>
    <col min="2830" max="2830" width="8.625" style="2" bestFit="1" customWidth="1"/>
    <col min="2831" max="2831" width="8" style="2" bestFit="1" customWidth="1"/>
    <col min="2832" max="2832" width="9" style="2" bestFit="1" customWidth="1"/>
    <col min="2833" max="2834" width="5.125" style="2" bestFit="1" customWidth="1"/>
    <col min="2835" max="2835" width="34.25" style="2" customWidth="1"/>
    <col min="2836" max="3076" width="9.125" style="2"/>
    <col min="3077" max="3077" width="7" style="2" bestFit="1" customWidth="1"/>
    <col min="3078" max="3078" width="8.625" style="2" bestFit="1" customWidth="1"/>
    <col min="3079" max="3079" width="8" style="2" bestFit="1" customWidth="1"/>
    <col min="3080" max="3080" width="9" style="2" bestFit="1" customWidth="1"/>
    <col min="3081" max="3081" width="7" style="2" bestFit="1" customWidth="1"/>
    <col min="3082" max="3082" width="8.625" style="2" bestFit="1" customWidth="1"/>
    <col min="3083" max="3083" width="8" style="2" bestFit="1" customWidth="1"/>
    <col min="3084" max="3084" width="9" style="2" bestFit="1" customWidth="1"/>
    <col min="3085" max="3085" width="7" style="2" bestFit="1" customWidth="1"/>
    <col min="3086" max="3086" width="8.625" style="2" bestFit="1" customWidth="1"/>
    <col min="3087" max="3087" width="8" style="2" bestFit="1" customWidth="1"/>
    <col min="3088" max="3088" width="9" style="2" bestFit="1" customWidth="1"/>
    <col min="3089" max="3090" width="5.125" style="2" bestFit="1" customWidth="1"/>
    <col min="3091" max="3091" width="34.25" style="2" customWidth="1"/>
    <col min="3092" max="3332" width="9.125" style="2"/>
    <col min="3333" max="3333" width="7" style="2" bestFit="1" customWidth="1"/>
    <col min="3334" max="3334" width="8.625" style="2" bestFit="1" customWidth="1"/>
    <col min="3335" max="3335" width="8" style="2" bestFit="1" customWidth="1"/>
    <col min="3336" max="3336" width="9" style="2" bestFit="1" customWidth="1"/>
    <col min="3337" max="3337" width="7" style="2" bestFit="1" customWidth="1"/>
    <col min="3338" max="3338" width="8.625" style="2" bestFit="1" customWidth="1"/>
    <col min="3339" max="3339" width="8" style="2" bestFit="1" customWidth="1"/>
    <col min="3340" max="3340" width="9" style="2" bestFit="1" customWidth="1"/>
    <col min="3341" max="3341" width="7" style="2" bestFit="1" customWidth="1"/>
    <col min="3342" max="3342" width="8.625" style="2" bestFit="1" customWidth="1"/>
    <col min="3343" max="3343" width="8" style="2" bestFit="1" customWidth="1"/>
    <col min="3344" max="3344" width="9" style="2" bestFit="1" customWidth="1"/>
    <col min="3345" max="3346" width="5.125" style="2" bestFit="1" customWidth="1"/>
    <col min="3347" max="3347" width="34.25" style="2" customWidth="1"/>
    <col min="3348" max="3588" width="9.125" style="2"/>
    <col min="3589" max="3589" width="7" style="2" bestFit="1" customWidth="1"/>
    <col min="3590" max="3590" width="8.625" style="2" bestFit="1" customWidth="1"/>
    <col min="3591" max="3591" width="8" style="2" bestFit="1" customWidth="1"/>
    <col min="3592" max="3592" width="9" style="2" bestFit="1" customWidth="1"/>
    <col min="3593" max="3593" width="7" style="2" bestFit="1" customWidth="1"/>
    <col min="3594" max="3594" width="8.625" style="2" bestFit="1" customWidth="1"/>
    <col min="3595" max="3595" width="8" style="2" bestFit="1" customWidth="1"/>
    <col min="3596" max="3596" width="9" style="2" bestFit="1" customWidth="1"/>
    <col min="3597" max="3597" width="7" style="2" bestFit="1" customWidth="1"/>
    <col min="3598" max="3598" width="8.625" style="2" bestFit="1" customWidth="1"/>
    <col min="3599" max="3599" width="8" style="2" bestFit="1" customWidth="1"/>
    <col min="3600" max="3600" width="9" style="2" bestFit="1" customWidth="1"/>
    <col min="3601" max="3602" width="5.125" style="2" bestFit="1" customWidth="1"/>
    <col min="3603" max="3603" width="34.25" style="2" customWidth="1"/>
    <col min="3604" max="3844" width="9.125" style="2"/>
    <col min="3845" max="3845" width="7" style="2" bestFit="1" customWidth="1"/>
    <col min="3846" max="3846" width="8.625" style="2" bestFit="1" customWidth="1"/>
    <col min="3847" max="3847" width="8" style="2" bestFit="1" customWidth="1"/>
    <col min="3848" max="3848" width="9" style="2" bestFit="1" customWidth="1"/>
    <col min="3849" max="3849" width="7" style="2" bestFit="1" customWidth="1"/>
    <col min="3850" max="3850" width="8.625" style="2" bestFit="1" customWidth="1"/>
    <col min="3851" max="3851" width="8" style="2" bestFit="1" customWidth="1"/>
    <col min="3852" max="3852" width="9" style="2" bestFit="1" customWidth="1"/>
    <col min="3853" max="3853" width="7" style="2" bestFit="1" customWidth="1"/>
    <col min="3854" max="3854" width="8.625" style="2" bestFit="1" customWidth="1"/>
    <col min="3855" max="3855" width="8" style="2" bestFit="1" customWidth="1"/>
    <col min="3856" max="3856" width="9" style="2" bestFit="1" customWidth="1"/>
    <col min="3857" max="3858" width="5.125" style="2" bestFit="1" customWidth="1"/>
    <col min="3859" max="3859" width="34.25" style="2" customWidth="1"/>
    <col min="3860" max="4100" width="9.125" style="2"/>
    <col min="4101" max="4101" width="7" style="2" bestFit="1" customWidth="1"/>
    <col min="4102" max="4102" width="8.625" style="2" bestFit="1" customWidth="1"/>
    <col min="4103" max="4103" width="8" style="2" bestFit="1" customWidth="1"/>
    <col min="4104" max="4104" width="9" style="2" bestFit="1" customWidth="1"/>
    <col min="4105" max="4105" width="7" style="2" bestFit="1" customWidth="1"/>
    <col min="4106" max="4106" width="8.625" style="2" bestFit="1" customWidth="1"/>
    <col min="4107" max="4107" width="8" style="2" bestFit="1" customWidth="1"/>
    <col min="4108" max="4108" width="9" style="2" bestFit="1" customWidth="1"/>
    <col min="4109" max="4109" width="7" style="2" bestFit="1" customWidth="1"/>
    <col min="4110" max="4110" width="8.625" style="2" bestFit="1" customWidth="1"/>
    <col min="4111" max="4111" width="8" style="2" bestFit="1" customWidth="1"/>
    <col min="4112" max="4112" width="9" style="2" bestFit="1" customWidth="1"/>
    <col min="4113" max="4114" width="5.125" style="2" bestFit="1" customWidth="1"/>
    <col min="4115" max="4115" width="34.25" style="2" customWidth="1"/>
    <col min="4116" max="4356" width="9.125" style="2"/>
    <col min="4357" max="4357" width="7" style="2" bestFit="1" customWidth="1"/>
    <col min="4358" max="4358" width="8.625" style="2" bestFit="1" customWidth="1"/>
    <col min="4359" max="4359" width="8" style="2" bestFit="1" customWidth="1"/>
    <col min="4360" max="4360" width="9" style="2" bestFit="1" customWidth="1"/>
    <col min="4361" max="4361" width="7" style="2" bestFit="1" customWidth="1"/>
    <col min="4362" max="4362" width="8.625" style="2" bestFit="1" customWidth="1"/>
    <col min="4363" max="4363" width="8" style="2" bestFit="1" customWidth="1"/>
    <col min="4364" max="4364" width="9" style="2" bestFit="1" customWidth="1"/>
    <col min="4365" max="4365" width="7" style="2" bestFit="1" customWidth="1"/>
    <col min="4366" max="4366" width="8.625" style="2" bestFit="1" customWidth="1"/>
    <col min="4367" max="4367" width="8" style="2" bestFit="1" customWidth="1"/>
    <col min="4368" max="4368" width="9" style="2" bestFit="1" customWidth="1"/>
    <col min="4369" max="4370" width="5.125" style="2" bestFit="1" customWidth="1"/>
    <col min="4371" max="4371" width="34.25" style="2" customWidth="1"/>
    <col min="4372" max="4612" width="9.125" style="2"/>
    <col min="4613" max="4613" width="7" style="2" bestFit="1" customWidth="1"/>
    <col min="4614" max="4614" width="8.625" style="2" bestFit="1" customWidth="1"/>
    <col min="4615" max="4615" width="8" style="2" bestFit="1" customWidth="1"/>
    <col min="4616" max="4616" width="9" style="2" bestFit="1" customWidth="1"/>
    <col min="4617" max="4617" width="7" style="2" bestFit="1" customWidth="1"/>
    <col min="4618" max="4618" width="8.625" style="2" bestFit="1" customWidth="1"/>
    <col min="4619" max="4619" width="8" style="2" bestFit="1" customWidth="1"/>
    <col min="4620" max="4620" width="9" style="2" bestFit="1" customWidth="1"/>
    <col min="4621" max="4621" width="7" style="2" bestFit="1" customWidth="1"/>
    <col min="4622" max="4622" width="8.625" style="2" bestFit="1" customWidth="1"/>
    <col min="4623" max="4623" width="8" style="2" bestFit="1" customWidth="1"/>
    <col min="4624" max="4624" width="9" style="2" bestFit="1" customWidth="1"/>
    <col min="4625" max="4626" width="5.125" style="2" bestFit="1" customWidth="1"/>
    <col min="4627" max="4627" width="34.25" style="2" customWidth="1"/>
    <col min="4628" max="4868" width="9.125" style="2"/>
    <col min="4869" max="4869" width="7" style="2" bestFit="1" customWidth="1"/>
    <col min="4870" max="4870" width="8.625" style="2" bestFit="1" customWidth="1"/>
    <col min="4871" max="4871" width="8" style="2" bestFit="1" customWidth="1"/>
    <col min="4872" max="4872" width="9" style="2" bestFit="1" customWidth="1"/>
    <col min="4873" max="4873" width="7" style="2" bestFit="1" customWidth="1"/>
    <col min="4874" max="4874" width="8.625" style="2" bestFit="1" customWidth="1"/>
    <col min="4875" max="4875" width="8" style="2" bestFit="1" customWidth="1"/>
    <col min="4876" max="4876" width="9" style="2" bestFit="1" customWidth="1"/>
    <col min="4877" max="4877" width="7" style="2" bestFit="1" customWidth="1"/>
    <col min="4878" max="4878" width="8.625" style="2" bestFit="1" customWidth="1"/>
    <col min="4879" max="4879" width="8" style="2" bestFit="1" customWidth="1"/>
    <col min="4880" max="4880" width="9" style="2" bestFit="1" customWidth="1"/>
    <col min="4881" max="4882" width="5.125" style="2" bestFit="1" customWidth="1"/>
    <col min="4883" max="4883" width="34.25" style="2" customWidth="1"/>
    <col min="4884" max="5124" width="9.125" style="2"/>
    <col min="5125" max="5125" width="7" style="2" bestFit="1" customWidth="1"/>
    <col min="5126" max="5126" width="8.625" style="2" bestFit="1" customWidth="1"/>
    <col min="5127" max="5127" width="8" style="2" bestFit="1" customWidth="1"/>
    <col min="5128" max="5128" width="9" style="2" bestFit="1" customWidth="1"/>
    <col min="5129" max="5129" width="7" style="2" bestFit="1" customWidth="1"/>
    <col min="5130" max="5130" width="8.625" style="2" bestFit="1" customWidth="1"/>
    <col min="5131" max="5131" width="8" style="2" bestFit="1" customWidth="1"/>
    <col min="5132" max="5132" width="9" style="2" bestFit="1" customWidth="1"/>
    <col min="5133" max="5133" width="7" style="2" bestFit="1" customWidth="1"/>
    <col min="5134" max="5134" width="8.625" style="2" bestFit="1" customWidth="1"/>
    <col min="5135" max="5135" width="8" style="2" bestFit="1" customWidth="1"/>
    <col min="5136" max="5136" width="9" style="2" bestFit="1" customWidth="1"/>
    <col min="5137" max="5138" width="5.125" style="2" bestFit="1" customWidth="1"/>
    <col min="5139" max="5139" width="34.25" style="2" customWidth="1"/>
    <col min="5140" max="5380" width="9.125" style="2"/>
    <col min="5381" max="5381" width="7" style="2" bestFit="1" customWidth="1"/>
    <col min="5382" max="5382" width="8.625" style="2" bestFit="1" customWidth="1"/>
    <col min="5383" max="5383" width="8" style="2" bestFit="1" customWidth="1"/>
    <col min="5384" max="5384" width="9" style="2" bestFit="1" customWidth="1"/>
    <col min="5385" max="5385" width="7" style="2" bestFit="1" customWidth="1"/>
    <col min="5386" max="5386" width="8.625" style="2" bestFit="1" customWidth="1"/>
    <col min="5387" max="5387" width="8" style="2" bestFit="1" customWidth="1"/>
    <col min="5388" max="5388" width="9" style="2" bestFit="1" customWidth="1"/>
    <col min="5389" max="5389" width="7" style="2" bestFit="1" customWidth="1"/>
    <col min="5390" max="5390" width="8.625" style="2" bestFit="1" customWidth="1"/>
    <col min="5391" max="5391" width="8" style="2" bestFit="1" customWidth="1"/>
    <col min="5392" max="5392" width="9" style="2" bestFit="1" customWidth="1"/>
    <col min="5393" max="5394" width="5.125" style="2" bestFit="1" customWidth="1"/>
    <col min="5395" max="5395" width="34.25" style="2" customWidth="1"/>
    <col min="5396" max="5636" width="9.125" style="2"/>
    <col min="5637" max="5637" width="7" style="2" bestFit="1" customWidth="1"/>
    <col min="5638" max="5638" width="8.625" style="2" bestFit="1" customWidth="1"/>
    <col min="5639" max="5639" width="8" style="2" bestFit="1" customWidth="1"/>
    <col min="5640" max="5640" width="9" style="2" bestFit="1" customWidth="1"/>
    <col min="5641" max="5641" width="7" style="2" bestFit="1" customWidth="1"/>
    <col min="5642" max="5642" width="8.625" style="2" bestFit="1" customWidth="1"/>
    <col min="5643" max="5643" width="8" style="2" bestFit="1" customWidth="1"/>
    <col min="5644" max="5644" width="9" style="2" bestFit="1" customWidth="1"/>
    <col min="5645" max="5645" width="7" style="2" bestFit="1" customWidth="1"/>
    <col min="5646" max="5646" width="8.625" style="2" bestFit="1" customWidth="1"/>
    <col min="5647" max="5647" width="8" style="2" bestFit="1" customWidth="1"/>
    <col min="5648" max="5648" width="9" style="2" bestFit="1" customWidth="1"/>
    <col min="5649" max="5650" width="5.125" style="2" bestFit="1" customWidth="1"/>
    <col min="5651" max="5651" width="34.25" style="2" customWidth="1"/>
    <col min="5652" max="5892" width="9.125" style="2"/>
    <col min="5893" max="5893" width="7" style="2" bestFit="1" customWidth="1"/>
    <col min="5894" max="5894" width="8.625" style="2" bestFit="1" customWidth="1"/>
    <col min="5895" max="5895" width="8" style="2" bestFit="1" customWidth="1"/>
    <col min="5896" max="5896" width="9" style="2" bestFit="1" customWidth="1"/>
    <col min="5897" max="5897" width="7" style="2" bestFit="1" customWidth="1"/>
    <col min="5898" max="5898" width="8.625" style="2" bestFit="1" customWidth="1"/>
    <col min="5899" max="5899" width="8" style="2" bestFit="1" customWidth="1"/>
    <col min="5900" max="5900" width="9" style="2" bestFit="1" customWidth="1"/>
    <col min="5901" max="5901" width="7" style="2" bestFit="1" customWidth="1"/>
    <col min="5902" max="5902" width="8.625" style="2" bestFit="1" customWidth="1"/>
    <col min="5903" max="5903" width="8" style="2" bestFit="1" customWidth="1"/>
    <col min="5904" max="5904" width="9" style="2" bestFit="1" customWidth="1"/>
    <col min="5905" max="5906" width="5.125" style="2" bestFit="1" customWidth="1"/>
    <col min="5907" max="5907" width="34.25" style="2" customWidth="1"/>
    <col min="5908" max="6148" width="9.125" style="2"/>
    <col min="6149" max="6149" width="7" style="2" bestFit="1" customWidth="1"/>
    <col min="6150" max="6150" width="8.625" style="2" bestFit="1" customWidth="1"/>
    <col min="6151" max="6151" width="8" style="2" bestFit="1" customWidth="1"/>
    <col min="6152" max="6152" width="9" style="2" bestFit="1" customWidth="1"/>
    <col min="6153" max="6153" width="7" style="2" bestFit="1" customWidth="1"/>
    <col min="6154" max="6154" width="8.625" style="2" bestFit="1" customWidth="1"/>
    <col min="6155" max="6155" width="8" style="2" bestFit="1" customWidth="1"/>
    <col min="6156" max="6156" width="9" style="2" bestFit="1" customWidth="1"/>
    <col min="6157" max="6157" width="7" style="2" bestFit="1" customWidth="1"/>
    <col min="6158" max="6158" width="8.625" style="2" bestFit="1" customWidth="1"/>
    <col min="6159" max="6159" width="8" style="2" bestFit="1" customWidth="1"/>
    <col min="6160" max="6160" width="9" style="2" bestFit="1" customWidth="1"/>
    <col min="6161" max="6162" width="5.125" style="2" bestFit="1" customWidth="1"/>
    <col min="6163" max="6163" width="34.25" style="2" customWidth="1"/>
    <col min="6164" max="6404" width="9.125" style="2"/>
    <col min="6405" max="6405" width="7" style="2" bestFit="1" customWidth="1"/>
    <col min="6406" max="6406" width="8.625" style="2" bestFit="1" customWidth="1"/>
    <col min="6407" max="6407" width="8" style="2" bestFit="1" customWidth="1"/>
    <col min="6408" max="6408" width="9" style="2" bestFit="1" customWidth="1"/>
    <col min="6409" max="6409" width="7" style="2" bestFit="1" customWidth="1"/>
    <col min="6410" max="6410" width="8.625" style="2" bestFit="1" customWidth="1"/>
    <col min="6411" max="6411" width="8" style="2" bestFit="1" customWidth="1"/>
    <col min="6412" max="6412" width="9" style="2" bestFit="1" customWidth="1"/>
    <col min="6413" max="6413" width="7" style="2" bestFit="1" customWidth="1"/>
    <col min="6414" max="6414" width="8.625" style="2" bestFit="1" customWidth="1"/>
    <col min="6415" max="6415" width="8" style="2" bestFit="1" customWidth="1"/>
    <col min="6416" max="6416" width="9" style="2" bestFit="1" customWidth="1"/>
    <col min="6417" max="6418" width="5.125" style="2" bestFit="1" customWidth="1"/>
    <col min="6419" max="6419" width="34.25" style="2" customWidth="1"/>
    <col min="6420" max="6660" width="9.125" style="2"/>
    <col min="6661" max="6661" width="7" style="2" bestFit="1" customWidth="1"/>
    <col min="6662" max="6662" width="8.625" style="2" bestFit="1" customWidth="1"/>
    <col min="6663" max="6663" width="8" style="2" bestFit="1" customWidth="1"/>
    <col min="6664" max="6664" width="9" style="2" bestFit="1" customWidth="1"/>
    <col min="6665" max="6665" width="7" style="2" bestFit="1" customWidth="1"/>
    <col min="6666" max="6666" width="8.625" style="2" bestFit="1" customWidth="1"/>
    <col min="6667" max="6667" width="8" style="2" bestFit="1" customWidth="1"/>
    <col min="6668" max="6668" width="9" style="2" bestFit="1" customWidth="1"/>
    <col min="6669" max="6669" width="7" style="2" bestFit="1" customWidth="1"/>
    <col min="6670" max="6670" width="8.625" style="2" bestFit="1" customWidth="1"/>
    <col min="6671" max="6671" width="8" style="2" bestFit="1" customWidth="1"/>
    <col min="6672" max="6672" width="9" style="2" bestFit="1" customWidth="1"/>
    <col min="6673" max="6674" width="5.125" style="2" bestFit="1" customWidth="1"/>
    <col min="6675" max="6675" width="34.25" style="2" customWidth="1"/>
    <col min="6676" max="6916" width="9.125" style="2"/>
    <col min="6917" max="6917" width="7" style="2" bestFit="1" customWidth="1"/>
    <col min="6918" max="6918" width="8.625" style="2" bestFit="1" customWidth="1"/>
    <col min="6919" max="6919" width="8" style="2" bestFit="1" customWidth="1"/>
    <col min="6920" max="6920" width="9" style="2" bestFit="1" customWidth="1"/>
    <col min="6921" max="6921" width="7" style="2" bestFit="1" customWidth="1"/>
    <col min="6922" max="6922" width="8.625" style="2" bestFit="1" customWidth="1"/>
    <col min="6923" max="6923" width="8" style="2" bestFit="1" customWidth="1"/>
    <col min="6924" max="6924" width="9" style="2" bestFit="1" customWidth="1"/>
    <col min="6925" max="6925" width="7" style="2" bestFit="1" customWidth="1"/>
    <col min="6926" max="6926" width="8.625" style="2" bestFit="1" customWidth="1"/>
    <col min="6927" max="6927" width="8" style="2" bestFit="1" customWidth="1"/>
    <col min="6928" max="6928" width="9" style="2" bestFit="1" customWidth="1"/>
    <col min="6929" max="6930" width="5.125" style="2" bestFit="1" customWidth="1"/>
    <col min="6931" max="6931" width="34.25" style="2" customWidth="1"/>
    <col min="6932" max="7172" width="9.125" style="2"/>
    <col min="7173" max="7173" width="7" style="2" bestFit="1" customWidth="1"/>
    <col min="7174" max="7174" width="8.625" style="2" bestFit="1" customWidth="1"/>
    <col min="7175" max="7175" width="8" style="2" bestFit="1" customWidth="1"/>
    <col min="7176" max="7176" width="9" style="2" bestFit="1" customWidth="1"/>
    <col min="7177" max="7177" width="7" style="2" bestFit="1" customWidth="1"/>
    <col min="7178" max="7178" width="8.625" style="2" bestFit="1" customWidth="1"/>
    <col min="7179" max="7179" width="8" style="2" bestFit="1" customWidth="1"/>
    <col min="7180" max="7180" width="9" style="2" bestFit="1" customWidth="1"/>
    <col min="7181" max="7181" width="7" style="2" bestFit="1" customWidth="1"/>
    <col min="7182" max="7182" width="8.625" style="2" bestFit="1" customWidth="1"/>
    <col min="7183" max="7183" width="8" style="2" bestFit="1" customWidth="1"/>
    <col min="7184" max="7184" width="9" style="2" bestFit="1" customWidth="1"/>
    <col min="7185" max="7186" width="5.125" style="2" bestFit="1" customWidth="1"/>
    <col min="7187" max="7187" width="34.25" style="2" customWidth="1"/>
    <col min="7188" max="7428" width="9.125" style="2"/>
    <col min="7429" max="7429" width="7" style="2" bestFit="1" customWidth="1"/>
    <col min="7430" max="7430" width="8.625" style="2" bestFit="1" customWidth="1"/>
    <col min="7431" max="7431" width="8" style="2" bestFit="1" customWidth="1"/>
    <col min="7432" max="7432" width="9" style="2" bestFit="1" customWidth="1"/>
    <col min="7433" max="7433" width="7" style="2" bestFit="1" customWidth="1"/>
    <col min="7434" max="7434" width="8.625" style="2" bestFit="1" customWidth="1"/>
    <col min="7435" max="7435" width="8" style="2" bestFit="1" customWidth="1"/>
    <col min="7436" max="7436" width="9" style="2" bestFit="1" customWidth="1"/>
    <col min="7437" max="7437" width="7" style="2" bestFit="1" customWidth="1"/>
    <col min="7438" max="7438" width="8.625" style="2" bestFit="1" customWidth="1"/>
    <col min="7439" max="7439" width="8" style="2" bestFit="1" customWidth="1"/>
    <col min="7440" max="7440" width="9" style="2" bestFit="1" customWidth="1"/>
    <col min="7441" max="7442" width="5.125" style="2" bestFit="1" customWidth="1"/>
    <col min="7443" max="7443" width="34.25" style="2" customWidth="1"/>
    <col min="7444" max="7684" width="9.125" style="2"/>
    <col min="7685" max="7685" width="7" style="2" bestFit="1" customWidth="1"/>
    <col min="7686" max="7686" width="8.625" style="2" bestFit="1" customWidth="1"/>
    <col min="7687" max="7687" width="8" style="2" bestFit="1" customWidth="1"/>
    <col min="7688" max="7688" width="9" style="2" bestFit="1" customWidth="1"/>
    <col min="7689" max="7689" width="7" style="2" bestFit="1" customWidth="1"/>
    <col min="7690" max="7690" width="8.625" style="2" bestFit="1" customWidth="1"/>
    <col min="7691" max="7691" width="8" style="2" bestFit="1" customWidth="1"/>
    <col min="7692" max="7692" width="9" style="2" bestFit="1" customWidth="1"/>
    <col min="7693" max="7693" width="7" style="2" bestFit="1" customWidth="1"/>
    <col min="7694" max="7694" width="8.625" style="2" bestFit="1" customWidth="1"/>
    <col min="7695" max="7695" width="8" style="2" bestFit="1" customWidth="1"/>
    <col min="7696" max="7696" width="9" style="2" bestFit="1" customWidth="1"/>
    <col min="7697" max="7698" width="5.125" style="2" bestFit="1" customWidth="1"/>
    <col min="7699" max="7699" width="34.25" style="2" customWidth="1"/>
    <col min="7700" max="7940" width="9.125" style="2"/>
    <col min="7941" max="7941" width="7" style="2" bestFit="1" customWidth="1"/>
    <col min="7942" max="7942" width="8.625" style="2" bestFit="1" customWidth="1"/>
    <col min="7943" max="7943" width="8" style="2" bestFit="1" customWidth="1"/>
    <col min="7944" max="7944" width="9" style="2" bestFit="1" customWidth="1"/>
    <col min="7945" max="7945" width="7" style="2" bestFit="1" customWidth="1"/>
    <col min="7946" max="7946" width="8.625" style="2" bestFit="1" customWidth="1"/>
    <col min="7947" max="7947" width="8" style="2" bestFit="1" customWidth="1"/>
    <col min="7948" max="7948" width="9" style="2" bestFit="1" customWidth="1"/>
    <col min="7949" max="7949" width="7" style="2" bestFit="1" customWidth="1"/>
    <col min="7950" max="7950" width="8.625" style="2" bestFit="1" customWidth="1"/>
    <col min="7951" max="7951" width="8" style="2" bestFit="1" customWidth="1"/>
    <col min="7952" max="7952" width="9" style="2" bestFit="1" customWidth="1"/>
    <col min="7953" max="7954" width="5.125" style="2" bestFit="1" customWidth="1"/>
    <col min="7955" max="7955" width="34.25" style="2" customWidth="1"/>
    <col min="7956" max="8196" width="9.125" style="2"/>
    <col min="8197" max="8197" width="7" style="2" bestFit="1" customWidth="1"/>
    <col min="8198" max="8198" width="8.625" style="2" bestFit="1" customWidth="1"/>
    <col min="8199" max="8199" width="8" style="2" bestFit="1" customWidth="1"/>
    <col min="8200" max="8200" width="9" style="2" bestFit="1" customWidth="1"/>
    <col min="8201" max="8201" width="7" style="2" bestFit="1" customWidth="1"/>
    <col min="8202" max="8202" width="8.625" style="2" bestFit="1" customWidth="1"/>
    <col min="8203" max="8203" width="8" style="2" bestFit="1" customWidth="1"/>
    <col min="8204" max="8204" width="9" style="2" bestFit="1" customWidth="1"/>
    <col min="8205" max="8205" width="7" style="2" bestFit="1" customWidth="1"/>
    <col min="8206" max="8206" width="8.625" style="2" bestFit="1" customWidth="1"/>
    <col min="8207" max="8207" width="8" style="2" bestFit="1" customWidth="1"/>
    <col min="8208" max="8208" width="9" style="2" bestFit="1" customWidth="1"/>
    <col min="8209" max="8210" width="5.125" style="2" bestFit="1" customWidth="1"/>
    <col min="8211" max="8211" width="34.25" style="2" customWidth="1"/>
    <col min="8212" max="8452" width="9.125" style="2"/>
    <col min="8453" max="8453" width="7" style="2" bestFit="1" customWidth="1"/>
    <col min="8454" max="8454" width="8.625" style="2" bestFit="1" customWidth="1"/>
    <col min="8455" max="8455" width="8" style="2" bestFit="1" customWidth="1"/>
    <col min="8456" max="8456" width="9" style="2" bestFit="1" customWidth="1"/>
    <col min="8457" max="8457" width="7" style="2" bestFit="1" customWidth="1"/>
    <col min="8458" max="8458" width="8.625" style="2" bestFit="1" customWidth="1"/>
    <col min="8459" max="8459" width="8" style="2" bestFit="1" customWidth="1"/>
    <col min="8460" max="8460" width="9" style="2" bestFit="1" customWidth="1"/>
    <col min="8461" max="8461" width="7" style="2" bestFit="1" customWidth="1"/>
    <col min="8462" max="8462" width="8.625" style="2" bestFit="1" customWidth="1"/>
    <col min="8463" max="8463" width="8" style="2" bestFit="1" customWidth="1"/>
    <col min="8464" max="8464" width="9" style="2" bestFit="1" customWidth="1"/>
    <col min="8465" max="8466" width="5.125" style="2" bestFit="1" customWidth="1"/>
    <col min="8467" max="8467" width="34.25" style="2" customWidth="1"/>
    <col min="8468" max="8708" width="9.125" style="2"/>
    <col min="8709" max="8709" width="7" style="2" bestFit="1" customWidth="1"/>
    <col min="8710" max="8710" width="8.625" style="2" bestFit="1" customWidth="1"/>
    <col min="8711" max="8711" width="8" style="2" bestFit="1" customWidth="1"/>
    <col min="8712" max="8712" width="9" style="2" bestFit="1" customWidth="1"/>
    <col min="8713" max="8713" width="7" style="2" bestFit="1" customWidth="1"/>
    <col min="8714" max="8714" width="8.625" style="2" bestFit="1" customWidth="1"/>
    <col min="8715" max="8715" width="8" style="2" bestFit="1" customWidth="1"/>
    <col min="8716" max="8716" width="9" style="2" bestFit="1" customWidth="1"/>
    <col min="8717" max="8717" width="7" style="2" bestFit="1" customWidth="1"/>
    <col min="8718" max="8718" width="8.625" style="2" bestFit="1" customWidth="1"/>
    <col min="8719" max="8719" width="8" style="2" bestFit="1" customWidth="1"/>
    <col min="8720" max="8720" width="9" style="2" bestFit="1" customWidth="1"/>
    <col min="8721" max="8722" width="5.125" style="2" bestFit="1" customWidth="1"/>
    <col min="8723" max="8723" width="34.25" style="2" customWidth="1"/>
    <col min="8724" max="8964" width="9.125" style="2"/>
    <col min="8965" max="8965" width="7" style="2" bestFit="1" customWidth="1"/>
    <col min="8966" max="8966" width="8.625" style="2" bestFit="1" customWidth="1"/>
    <col min="8967" max="8967" width="8" style="2" bestFit="1" customWidth="1"/>
    <col min="8968" max="8968" width="9" style="2" bestFit="1" customWidth="1"/>
    <col min="8969" max="8969" width="7" style="2" bestFit="1" customWidth="1"/>
    <col min="8970" max="8970" width="8.625" style="2" bestFit="1" customWidth="1"/>
    <col min="8971" max="8971" width="8" style="2" bestFit="1" customWidth="1"/>
    <col min="8972" max="8972" width="9" style="2" bestFit="1" customWidth="1"/>
    <col min="8973" max="8973" width="7" style="2" bestFit="1" customWidth="1"/>
    <col min="8974" max="8974" width="8.625" style="2" bestFit="1" customWidth="1"/>
    <col min="8975" max="8975" width="8" style="2" bestFit="1" customWidth="1"/>
    <col min="8976" max="8976" width="9" style="2" bestFit="1" customWidth="1"/>
    <col min="8977" max="8978" width="5.125" style="2" bestFit="1" customWidth="1"/>
    <col min="8979" max="8979" width="34.25" style="2" customWidth="1"/>
    <col min="8980" max="9220" width="9.125" style="2"/>
    <col min="9221" max="9221" width="7" style="2" bestFit="1" customWidth="1"/>
    <col min="9222" max="9222" width="8.625" style="2" bestFit="1" customWidth="1"/>
    <col min="9223" max="9223" width="8" style="2" bestFit="1" customWidth="1"/>
    <col min="9224" max="9224" width="9" style="2" bestFit="1" customWidth="1"/>
    <col min="9225" max="9225" width="7" style="2" bestFit="1" customWidth="1"/>
    <col min="9226" max="9226" width="8.625" style="2" bestFit="1" customWidth="1"/>
    <col min="9227" max="9227" width="8" style="2" bestFit="1" customWidth="1"/>
    <col min="9228" max="9228" width="9" style="2" bestFit="1" customWidth="1"/>
    <col min="9229" max="9229" width="7" style="2" bestFit="1" customWidth="1"/>
    <col min="9230" max="9230" width="8.625" style="2" bestFit="1" customWidth="1"/>
    <col min="9231" max="9231" width="8" style="2" bestFit="1" customWidth="1"/>
    <col min="9232" max="9232" width="9" style="2" bestFit="1" customWidth="1"/>
    <col min="9233" max="9234" width="5.125" style="2" bestFit="1" customWidth="1"/>
    <col min="9235" max="9235" width="34.25" style="2" customWidth="1"/>
    <col min="9236" max="9476" width="9.125" style="2"/>
    <col min="9477" max="9477" width="7" style="2" bestFit="1" customWidth="1"/>
    <col min="9478" max="9478" width="8.625" style="2" bestFit="1" customWidth="1"/>
    <col min="9479" max="9479" width="8" style="2" bestFit="1" customWidth="1"/>
    <col min="9480" max="9480" width="9" style="2" bestFit="1" customWidth="1"/>
    <col min="9481" max="9481" width="7" style="2" bestFit="1" customWidth="1"/>
    <col min="9482" max="9482" width="8.625" style="2" bestFit="1" customWidth="1"/>
    <col min="9483" max="9483" width="8" style="2" bestFit="1" customWidth="1"/>
    <col min="9484" max="9484" width="9" style="2" bestFit="1" customWidth="1"/>
    <col min="9485" max="9485" width="7" style="2" bestFit="1" customWidth="1"/>
    <col min="9486" max="9486" width="8.625" style="2" bestFit="1" customWidth="1"/>
    <col min="9487" max="9487" width="8" style="2" bestFit="1" customWidth="1"/>
    <col min="9488" max="9488" width="9" style="2" bestFit="1" customWidth="1"/>
    <col min="9489" max="9490" width="5.125" style="2" bestFit="1" customWidth="1"/>
    <col min="9491" max="9491" width="34.25" style="2" customWidth="1"/>
    <col min="9492" max="9732" width="9.125" style="2"/>
    <col min="9733" max="9733" width="7" style="2" bestFit="1" customWidth="1"/>
    <col min="9734" max="9734" width="8.625" style="2" bestFit="1" customWidth="1"/>
    <col min="9735" max="9735" width="8" style="2" bestFit="1" customWidth="1"/>
    <col min="9736" max="9736" width="9" style="2" bestFit="1" customWidth="1"/>
    <col min="9737" max="9737" width="7" style="2" bestFit="1" customWidth="1"/>
    <col min="9738" max="9738" width="8.625" style="2" bestFit="1" customWidth="1"/>
    <col min="9739" max="9739" width="8" style="2" bestFit="1" customWidth="1"/>
    <col min="9740" max="9740" width="9" style="2" bestFit="1" customWidth="1"/>
    <col min="9741" max="9741" width="7" style="2" bestFit="1" customWidth="1"/>
    <col min="9742" max="9742" width="8.625" style="2" bestFit="1" customWidth="1"/>
    <col min="9743" max="9743" width="8" style="2" bestFit="1" customWidth="1"/>
    <col min="9744" max="9744" width="9" style="2" bestFit="1" customWidth="1"/>
    <col min="9745" max="9746" width="5.125" style="2" bestFit="1" customWidth="1"/>
    <col min="9747" max="9747" width="34.25" style="2" customWidth="1"/>
    <col min="9748" max="9988" width="9.125" style="2"/>
    <col min="9989" max="9989" width="7" style="2" bestFit="1" customWidth="1"/>
    <col min="9990" max="9990" width="8.625" style="2" bestFit="1" customWidth="1"/>
    <col min="9991" max="9991" width="8" style="2" bestFit="1" customWidth="1"/>
    <col min="9992" max="9992" width="9" style="2" bestFit="1" customWidth="1"/>
    <col min="9993" max="9993" width="7" style="2" bestFit="1" customWidth="1"/>
    <col min="9994" max="9994" width="8.625" style="2" bestFit="1" customWidth="1"/>
    <col min="9995" max="9995" width="8" style="2" bestFit="1" customWidth="1"/>
    <col min="9996" max="9996" width="9" style="2" bestFit="1" customWidth="1"/>
    <col min="9997" max="9997" width="7" style="2" bestFit="1" customWidth="1"/>
    <col min="9998" max="9998" width="8.625" style="2" bestFit="1" customWidth="1"/>
    <col min="9999" max="9999" width="8" style="2" bestFit="1" customWidth="1"/>
    <col min="10000" max="10000" width="9" style="2" bestFit="1" customWidth="1"/>
    <col min="10001" max="10002" width="5.125" style="2" bestFit="1" customWidth="1"/>
    <col min="10003" max="10003" width="34.25" style="2" customWidth="1"/>
    <col min="10004" max="10244" width="9.125" style="2"/>
    <col min="10245" max="10245" width="7" style="2" bestFit="1" customWidth="1"/>
    <col min="10246" max="10246" width="8.625" style="2" bestFit="1" customWidth="1"/>
    <col min="10247" max="10247" width="8" style="2" bestFit="1" customWidth="1"/>
    <col min="10248" max="10248" width="9" style="2" bestFit="1" customWidth="1"/>
    <col min="10249" max="10249" width="7" style="2" bestFit="1" customWidth="1"/>
    <col min="10250" max="10250" width="8.625" style="2" bestFit="1" customWidth="1"/>
    <col min="10251" max="10251" width="8" style="2" bestFit="1" customWidth="1"/>
    <col min="10252" max="10252" width="9" style="2" bestFit="1" customWidth="1"/>
    <col min="10253" max="10253" width="7" style="2" bestFit="1" customWidth="1"/>
    <col min="10254" max="10254" width="8.625" style="2" bestFit="1" customWidth="1"/>
    <col min="10255" max="10255" width="8" style="2" bestFit="1" customWidth="1"/>
    <col min="10256" max="10256" width="9" style="2" bestFit="1" customWidth="1"/>
    <col min="10257" max="10258" width="5.125" style="2" bestFit="1" customWidth="1"/>
    <col min="10259" max="10259" width="34.25" style="2" customWidth="1"/>
    <col min="10260" max="10500" width="9.125" style="2"/>
    <col min="10501" max="10501" width="7" style="2" bestFit="1" customWidth="1"/>
    <col min="10502" max="10502" width="8.625" style="2" bestFit="1" customWidth="1"/>
    <col min="10503" max="10503" width="8" style="2" bestFit="1" customWidth="1"/>
    <col min="10504" max="10504" width="9" style="2" bestFit="1" customWidth="1"/>
    <col min="10505" max="10505" width="7" style="2" bestFit="1" customWidth="1"/>
    <col min="10506" max="10506" width="8.625" style="2" bestFit="1" customWidth="1"/>
    <col min="10507" max="10507" width="8" style="2" bestFit="1" customWidth="1"/>
    <col min="10508" max="10508" width="9" style="2" bestFit="1" customWidth="1"/>
    <col min="10509" max="10509" width="7" style="2" bestFit="1" customWidth="1"/>
    <col min="10510" max="10510" width="8.625" style="2" bestFit="1" customWidth="1"/>
    <col min="10511" max="10511" width="8" style="2" bestFit="1" customWidth="1"/>
    <col min="10512" max="10512" width="9" style="2" bestFit="1" customWidth="1"/>
    <col min="10513" max="10514" width="5.125" style="2" bestFit="1" customWidth="1"/>
    <col min="10515" max="10515" width="34.25" style="2" customWidth="1"/>
    <col min="10516" max="10756" width="9.125" style="2"/>
    <col min="10757" max="10757" width="7" style="2" bestFit="1" customWidth="1"/>
    <col min="10758" max="10758" width="8.625" style="2" bestFit="1" customWidth="1"/>
    <col min="10759" max="10759" width="8" style="2" bestFit="1" customWidth="1"/>
    <col min="10760" max="10760" width="9" style="2" bestFit="1" customWidth="1"/>
    <col min="10761" max="10761" width="7" style="2" bestFit="1" customWidth="1"/>
    <col min="10762" max="10762" width="8.625" style="2" bestFit="1" customWidth="1"/>
    <col min="10763" max="10763" width="8" style="2" bestFit="1" customWidth="1"/>
    <col min="10764" max="10764" width="9" style="2" bestFit="1" customWidth="1"/>
    <col min="10765" max="10765" width="7" style="2" bestFit="1" customWidth="1"/>
    <col min="10766" max="10766" width="8.625" style="2" bestFit="1" customWidth="1"/>
    <col min="10767" max="10767" width="8" style="2" bestFit="1" customWidth="1"/>
    <col min="10768" max="10768" width="9" style="2" bestFit="1" customWidth="1"/>
    <col min="10769" max="10770" width="5.125" style="2" bestFit="1" customWidth="1"/>
    <col min="10771" max="10771" width="34.25" style="2" customWidth="1"/>
    <col min="10772" max="11012" width="9.125" style="2"/>
    <col min="11013" max="11013" width="7" style="2" bestFit="1" customWidth="1"/>
    <col min="11014" max="11014" width="8.625" style="2" bestFit="1" customWidth="1"/>
    <col min="11015" max="11015" width="8" style="2" bestFit="1" customWidth="1"/>
    <col min="11016" max="11016" width="9" style="2" bestFit="1" customWidth="1"/>
    <col min="11017" max="11017" width="7" style="2" bestFit="1" customWidth="1"/>
    <col min="11018" max="11018" width="8.625" style="2" bestFit="1" customWidth="1"/>
    <col min="11019" max="11019" width="8" style="2" bestFit="1" customWidth="1"/>
    <col min="11020" max="11020" width="9" style="2" bestFit="1" customWidth="1"/>
    <col min="11021" max="11021" width="7" style="2" bestFit="1" customWidth="1"/>
    <col min="11022" max="11022" width="8.625" style="2" bestFit="1" customWidth="1"/>
    <col min="11023" max="11023" width="8" style="2" bestFit="1" customWidth="1"/>
    <col min="11024" max="11024" width="9" style="2" bestFit="1" customWidth="1"/>
    <col min="11025" max="11026" width="5.125" style="2" bestFit="1" customWidth="1"/>
    <col min="11027" max="11027" width="34.25" style="2" customWidth="1"/>
    <col min="11028" max="11268" width="9.125" style="2"/>
    <col min="11269" max="11269" width="7" style="2" bestFit="1" customWidth="1"/>
    <col min="11270" max="11270" width="8.625" style="2" bestFit="1" customWidth="1"/>
    <col min="11271" max="11271" width="8" style="2" bestFit="1" customWidth="1"/>
    <col min="11272" max="11272" width="9" style="2" bestFit="1" customWidth="1"/>
    <col min="11273" max="11273" width="7" style="2" bestFit="1" customWidth="1"/>
    <col min="11274" max="11274" width="8.625" style="2" bestFit="1" customWidth="1"/>
    <col min="11275" max="11275" width="8" style="2" bestFit="1" customWidth="1"/>
    <col min="11276" max="11276" width="9" style="2" bestFit="1" customWidth="1"/>
    <col min="11277" max="11277" width="7" style="2" bestFit="1" customWidth="1"/>
    <col min="11278" max="11278" width="8.625" style="2" bestFit="1" customWidth="1"/>
    <col min="11279" max="11279" width="8" style="2" bestFit="1" customWidth="1"/>
    <col min="11280" max="11280" width="9" style="2" bestFit="1" customWidth="1"/>
    <col min="11281" max="11282" width="5.125" style="2" bestFit="1" customWidth="1"/>
    <col min="11283" max="11283" width="34.25" style="2" customWidth="1"/>
    <col min="11284" max="11524" width="9.125" style="2"/>
    <col min="11525" max="11525" width="7" style="2" bestFit="1" customWidth="1"/>
    <col min="11526" max="11526" width="8.625" style="2" bestFit="1" customWidth="1"/>
    <col min="11527" max="11527" width="8" style="2" bestFit="1" customWidth="1"/>
    <col min="11528" max="11528" width="9" style="2" bestFit="1" customWidth="1"/>
    <col min="11529" max="11529" width="7" style="2" bestFit="1" customWidth="1"/>
    <col min="11530" max="11530" width="8.625" style="2" bestFit="1" customWidth="1"/>
    <col min="11531" max="11531" width="8" style="2" bestFit="1" customWidth="1"/>
    <col min="11532" max="11532" width="9" style="2" bestFit="1" customWidth="1"/>
    <col min="11533" max="11533" width="7" style="2" bestFit="1" customWidth="1"/>
    <col min="11534" max="11534" width="8.625" style="2" bestFit="1" customWidth="1"/>
    <col min="11535" max="11535" width="8" style="2" bestFit="1" customWidth="1"/>
    <col min="11536" max="11536" width="9" style="2" bestFit="1" customWidth="1"/>
    <col min="11537" max="11538" width="5.125" style="2" bestFit="1" customWidth="1"/>
    <col min="11539" max="11539" width="34.25" style="2" customWidth="1"/>
    <col min="11540" max="11780" width="9.125" style="2"/>
    <col min="11781" max="11781" width="7" style="2" bestFit="1" customWidth="1"/>
    <col min="11782" max="11782" width="8.625" style="2" bestFit="1" customWidth="1"/>
    <col min="11783" max="11783" width="8" style="2" bestFit="1" customWidth="1"/>
    <col min="11784" max="11784" width="9" style="2" bestFit="1" customWidth="1"/>
    <col min="11785" max="11785" width="7" style="2" bestFit="1" customWidth="1"/>
    <col min="11786" max="11786" width="8.625" style="2" bestFit="1" customWidth="1"/>
    <col min="11787" max="11787" width="8" style="2" bestFit="1" customWidth="1"/>
    <col min="11788" max="11788" width="9" style="2" bestFit="1" customWidth="1"/>
    <col min="11789" max="11789" width="7" style="2" bestFit="1" customWidth="1"/>
    <col min="11790" max="11790" width="8.625" style="2" bestFit="1" customWidth="1"/>
    <col min="11791" max="11791" width="8" style="2" bestFit="1" customWidth="1"/>
    <col min="11792" max="11792" width="9" style="2" bestFit="1" customWidth="1"/>
    <col min="11793" max="11794" width="5.125" style="2" bestFit="1" customWidth="1"/>
    <col min="11795" max="11795" width="34.25" style="2" customWidth="1"/>
    <col min="11796" max="12036" width="9.125" style="2"/>
    <col min="12037" max="12037" width="7" style="2" bestFit="1" customWidth="1"/>
    <col min="12038" max="12038" width="8.625" style="2" bestFit="1" customWidth="1"/>
    <col min="12039" max="12039" width="8" style="2" bestFit="1" customWidth="1"/>
    <col min="12040" max="12040" width="9" style="2" bestFit="1" customWidth="1"/>
    <col min="12041" max="12041" width="7" style="2" bestFit="1" customWidth="1"/>
    <col min="12042" max="12042" width="8.625" style="2" bestFit="1" customWidth="1"/>
    <col min="12043" max="12043" width="8" style="2" bestFit="1" customWidth="1"/>
    <col min="12044" max="12044" width="9" style="2" bestFit="1" customWidth="1"/>
    <col min="12045" max="12045" width="7" style="2" bestFit="1" customWidth="1"/>
    <col min="12046" max="12046" width="8.625" style="2" bestFit="1" customWidth="1"/>
    <col min="12047" max="12047" width="8" style="2" bestFit="1" customWidth="1"/>
    <col min="12048" max="12048" width="9" style="2" bestFit="1" customWidth="1"/>
    <col min="12049" max="12050" width="5.125" style="2" bestFit="1" customWidth="1"/>
    <col min="12051" max="12051" width="34.25" style="2" customWidth="1"/>
    <col min="12052" max="12292" width="9.125" style="2"/>
    <col min="12293" max="12293" width="7" style="2" bestFit="1" customWidth="1"/>
    <col min="12294" max="12294" width="8.625" style="2" bestFit="1" customWidth="1"/>
    <col min="12295" max="12295" width="8" style="2" bestFit="1" customWidth="1"/>
    <col min="12296" max="12296" width="9" style="2" bestFit="1" customWidth="1"/>
    <col min="12297" max="12297" width="7" style="2" bestFit="1" customWidth="1"/>
    <col min="12298" max="12298" width="8.625" style="2" bestFit="1" customWidth="1"/>
    <col min="12299" max="12299" width="8" style="2" bestFit="1" customWidth="1"/>
    <col min="12300" max="12300" width="9" style="2" bestFit="1" customWidth="1"/>
    <col min="12301" max="12301" width="7" style="2" bestFit="1" customWidth="1"/>
    <col min="12302" max="12302" width="8.625" style="2" bestFit="1" customWidth="1"/>
    <col min="12303" max="12303" width="8" style="2" bestFit="1" customWidth="1"/>
    <col min="12304" max="12304" width="9" style="2" bestFit="1" customWidth="1"/>
    <col min="12305" max="12306" width="5.125" style="2" bestFit="1" customWidth="1"/>
    <col min="12307" max="12307" width="34.25" style="2" customWidth="1"/>
    <col min="12308" max="12548" width="9.125" style="2"/>
    <col min="12549" max="12549" width="7" style="2" bestFit="1" customWidth="1"/>
    <col min="12550" max="12550" width="8.625" style="2" bestFit="1" customWidth="1"/>
    <col min="12551" max="12551" width="8" style="2" bestFit="1" customWidth="1"/>
    <col min="12552" max="12552" width="9" style="2" bestFit="1" customWidth="1"/>
    <col min="12553" max="12553" width="7" style="2" bestFit="1" customWidth="1"/>
    <col min="12554" max="12554" width="8.625" style="2" bestFit="1" customWidth="1"/>
    <col min="12555" max="12555" width="8" style="2" bestFit="1" customWidth="1"/>
    <col min="12556" max="12556" width="9" style="2" bestFit="1" customWidth="1"/>
    <col min="12557" max="12557" width="7" style="2" bestFit="1" customWidth="1"/>
    <col min="12558" max="12558" width="8.625" style="2" bestFit="1" customWidth="1"/>
    <col min="12559" max="12559" width="8" style="2" bestFit="1" customWidth="1"/>
    <col min="12560" max="12560" width="9" style="2" bestFit="1" customWidth="1"/>
    <col min="12561" max="12562" width="5.125" style="2" bestFit="1" customWidth="1"/>
    <col min="12563" max="12563" width="34.25" style="2" customWidth="1"/>
    <col min="12564" max="12804" width="9.125" style="2"/>
    <col min="12805" max="12805" width="7" style="2" bestFit="1" customWidth="1"/>
    <col min="12806" max="12806" width="8.625" style="2" bestFit="1" customWidth="1"/>
    <col min="12807" max="12807" width="8" style="2" bestFit="1" customWidth="1"/>
    <col min="12808" max="12808" width="9" style="2" bestFit="1" customWidth="1"/>
    <col min="12809" max="12809" width="7" style="2" bestFit="1" customWidth="1"/>
    <col min="12810" max="12810" width="8.625" style="2" bestFit="1" customWidth="1"/>
    <col min="12811" max="12811" width="8" style="2" bestFit="1" customWidth="1"/>
    <col min="12812" max="12812" width="9" style="2" bestFit="1" customWidth="1"/>
    <col min="12813" max="12813" width="7" style="2" bestFit="1" customWidth="1"/>
    <col min="12814" max="12814" width="8.625" style="2" bestFit="1" customWidth="1"/>
    <col min="12815" max="12815" width="8" style="2" bestFit="1" customWidth="1"/>
    <col min="12816" max="12816" width="9" style="2" bestFit="1" customWidth="1"/>
    <col min="12817" max="12818" width="5.125" style="2" bestFit="1" customWidth="1"/>
    <col min="12819" max="12819" width="34.25" style="2" customWidth="1"/>
    <col min="12820" max="13060" width="9.125" style="2"/>
    <col min="13061" max="13061" width="7" style="2" bestFit="1" customWidth="1"/>
    <col min="13062" max="13062" width="8.625" style="2" bestFit="1" customWidth="1"/>
    <col min="13063" max="13063" width="8" style="2" bestFit="1" customWidth="1"/>
    <col min="13064" max="13064" width="9" style="2" bestFit="1" customWidth="1"/>
    <col min="13065" max="13065" width="7" style="2" bestFit="1" customWidth="1"/>
    <col min="13066" max="13066" width="8.625" style="2" bestFit="1" customWidth="1"/>
    <col min="13067" max="13067" width="8" style="2" bestFit="1" customWidth="1"/>
    <col min="13068" max="13068" width="9" style="2" bestFit="1" customWidth="1"/>
    <col min="13069" max="13069" width="7" style="2" bestFit="1" customWidth="1"/>
    <col min="13070" max="13070" width="8.625" style="2" bestFit="1" customWidth="1"/>
    <col min="13071" max="13071" width="8" style="2" bestFit="1" customWidth="1"/>
    <col min="13072" max="13072" width="9" style="2" bestFit="1" customWidth="1"/>
    <col min="13073" max="13074" width="5.125" style="2" bestFit="1" customWidth="1"/>
    <col min="13075" max="13075" width="34.25" style="2" customWidth="1"/>
    <col min="13076" max="13316" width="9.125" style="2"/>
    <col min="13317" max="13317" width="7" style="2" bestFit="1" customWidth="1"/>
    <col min="13318" max="13318" width="8.625" style="2" bestFit="1" customWidth="1"/>
    <col min="13319" max="13319" width="8" style="2" bestFit="1" customWidth="1"/>
    <col min="13320" max="13320" width="9" style="2" bestFit="1" customWidth="1"/>
    <col min="13321" max="13321" width="7" style="2" bestFit="1" customWidth="1"/>
    <col min="13322" max="13322" width="8.625" style="2" bestFit="1" customWidth="1"/>
    <col min="13323" max="13323" width="8" style="2" bestFit="1" customWidth="1"/>
    <col min="13324" max="13324" width="9" style="2" bestFit="1" customWidth="1"/>
    <col min="13325" max="13325" width="7" style="2" bestFit="1" customWidth="1"/>
    <col min="13326" max="13326" width="8.625" style="2" bestFit="1" customWidth="1"/>
    <col min="13327" max="13327" width="8" style="2" bestFit="1" customWidth="1"/>
    <col min="13328" max="13328" width="9" style="2" bestFit="1" customWidth="1"/>
    <col min="13329" max="13330" width="5.125" style="2" bestFit="1" customWidth="1"/>
    <col min="13331" max="13331" width="34.25" style="2" customWidth="1"/>
    <col min="13332" max="13572" width="9.125" style="2"/>
    <col min="13573" max="13573" width="7" style="2" bestFit="1" customWidth="1"/>
    <col min="13574" max="13574" width="8.625" style="2" bestFit="1" customWidth="1"/>
    <col min="13575" max="13575" width="8" style="2" bestFit="1" customWidth="1"/>
    <col min="13576" max="13576" width="9" style="2" bestFit="1" customWidth="1"/>
    <col min="13577" max="13577" width="7" style="2" bestFit="1" customWidth="1"/>
    <col min="13578" max="13578" width="8.625" style="2" bestFit="1" customWidth="1"/>
    <col min="13579" max="13579" width="8" style="2" bestFit="1" customWidth="1"/>
    <col min="13580" max="13580" width="9" style="2" bestFit="1" customWidth="1"/>
    <col min="13581" max="13581" width="7" style="2" bestFit="1" customWidth="1"/>
    <col min="13582" max="13582" width="8.625" style="2" bestFit="1" customWidth="1"/>
    <col min="13583" max="13583" width="8" style="2" bestFit="1" customWidth="1"/>
    <col min="13584" max="13584" width="9" style="2" bestFit="1" customWidth="1"/>
    <col min="13585" max="13586" width="5.125" style="2" bestFit="1" customWidth="1"/>
    <col min="13587" max="13587" width="34.25" style="2" customWidth="1"/>
    <col min="13588" max="13828" width="9.125" style="2"/>
    <col min="13829" max="13829" width="7" style="2" bestFit="1" customWidth="1"/>
    <col min="13830" max="13830" width="8.625" style="2" bestFit="1" customWidth="1"/>
    <col min="13831" max="13831" width="8" style="2" bestFit="1" customWidth="1"/>
    <col min="13832" max="13832" width="9" style="2" bestFit="1" customWidth="1"/>
    <col min="13833" max="13833" width="7" style="2" bestFit="1" customWidth="1"/>
    <col min="13834" max="13834" width="8.625" style="2" bestFit="1" customWidth="1"/>
    <col min="13835" max="13835" width="8" style="2" bestFit="1" customWidth="1"/>
    <col min="13836" max="13836" width="9" style="2" bestFit="1" customWidth="1"/>
    <col min="13837" max="13837" width="7" style="2" bestFit="1" customWidth="1"/>
    <col min="13838" max="13838" width="8.625" style="2" bestFit="1" customWidth="1"/>
    <col min="13839" max="13839" width="8" style="2" bestFit="1" customWidth="1"/>
    <col min="13840" max="13840" width="9" style="2" bestFit="1" customWidth="1"/>
    <col min="13841" max="13842" width="5.125" style="2" bestFit="1" customWidth="1"/>
    <col min="13843" max="13843" width="34.25" style="2" customWidth="1"/>
    <col min="13844" max="14084" width="9.125" style="2"/>
    <col min="14085" max="14085" width="7" style="2" bestFit="1" customWidth="1"/>
    <col min="14086" max="14086" width="8.625" style="2" bestFit="1" customWidth="1"/>
    <col min="14087" max="14087" width="8" style="2" bestFit="1" customWidth="1"/>
    <col min="14088" max="14088" width="9" style="2" bestFit="1" customWidth="1"/>
    <col min="14089" max="14089" width="7" style="2" bestFit="1" customWidth="1"/>
    <col min="14090" max="14090" width="8.625" style="2" bestFit="1" customWidth="1"/>
    <col min="14091" max="14091" width="8" style="2" bestFit="1" customWidth="1"/>
    <col min="14092" max="14092" width="9" style="2" bestFit="1" customWidth="1"/>
    <col min="14093" max="14093" width="7" style="2" bestFit="1" customWidth="1"/>
    <col min="14094" max="14094" width="8.625" style="2" bestFit="1" customWidth="1"/>
    <col min="14095" max="14095" width="8" style="2" bestFit="1" customWidth="1"/>
    <col min="14096" max="14096" width="9" style="2" bestFit="1" customWidth="1"/>
    <col min="14097" max="14098" width="5.125" style="2" bestFit="1" customWidth="1"/>
    <col min="14099" max="14099" width="34.25" style="2" customWidth="1"/>
    <col min="14100" max="14340" width="9.125" style="2"/>
    <col min="14341" max="14341" width="7" style="2" bestFit="1" customWidth="1"/>
    <col min="14342" max="14342" width="8.625" style="2" bestFit="1" customWidth="1"/>
    <col min="14343" max="14343" width="8" style="2" bestFit="1" customWidth="1"/>
    <col min="14344" max="14344" width="9" style="2" bestFit="1" customWidth="1"/>
    <col min="14345" max="14345" width="7" style="2" bestFit="1" customWidth="1"/>
    <col min="14346" max="14346" width="8.625" style="2" bestFit="1" customWidth="1"/>
    <col min="14347" max="14347" width="8" style="2" bestFit="1" customWidth="1"/>
    <col min="14348" max="14348" width="9" style="2" bestFit="1" customWidth="1"/>
    <col min="14349" max="14349" width="7" style="2" bestFit="1" customWidth="1"/>
    <col min="14350" max="14350" width="8.625" style="2" bestFit="1" customWidth="1"/>
    <col min="14351" max="14351" width="8" style="2" bestFit="1" customWidth="1"/>
    <col min="14352" max="14352" width="9" style="2" bestFit="1" customWidth="1"/>
    <col min="14353" max="14354" width="5.125" style="2" bestFit="1" customWidth="1"/>
    <col min="14355" max="14355" width="34.25" style="2" customWidth="1"/>
    <col min="14356" max="14596" width="9.125" style="2"/>
    <col min="14597" max="14597" width="7" style="2" bestFit="1" customWidth="1"/>
    <col min="14598" max="14598" width="8.625" style="2" bestFit="1" customWidth="1"/>
    <col min="14599" max="14599" width="8" style="2" bestFit="1" customWidth="1"/>
    <col min="14600" max="14600" width="9" style="2" bestFit="1" customWidth="1"/>
    <col min="14601" max="14601" width="7" style="2" bestFit="1" customWidth="1"/>
    <col min="14602" max="14602" width="8.625" style="2" bestFit="1" customWidth="1"/>
    <col min="14603" max="14603" width="8" style="2" bestFit="1" customWidth="1"/>
    <col min="14604" max="14604" width="9" style="2" bestFit="1" customWidth="1"/>
    <col min="14605" max="14605" width="7" style="2" bestFit="1" customWidth="1"/>
    <col min="14606" max="14606" width="8.625" style="2" bestFit="1" customWidth="1"/>
    <col min="14607" max="14607" width="8" style="2" bestFit="1" customWidth="1"/>
    <col min="14608" max="14608" width="9" style="2" bestFit="1" customWidth="1"/>
    <col min="14609" max="14610" width="5.125" style="2" bestFit="1" customWidth="1"/>
    <col min="14611" max="14611" width="34.25" style="2" customWidth="1"/>
    <col min="14612" max="14852" width="9.125" style="2"/>
    <col min="14853" max="14853" width="7" style="2" bestFit="1" customWidth="1"/>
    <col min="14854" max="14854" width="8.625" style="2" bestFit="1" customWidth="1"/>
    <col min="14855" max="14855" width="8" style="2" bestFit="1" customWidth="1"/>
    <col min="14856" max="14856" width="9" style="2" bestFit="1" customWidth="1"/>
    <col min="14857" max="14857" width="7" style="2" bestFit="1" customWidth="1"/>
    <col min="14858" max="14858" width="8.625" style="2" bestFit="1" customWidth="1"/>
    <col min="14859" max="14859" width="8" style="2" bestFit="1" customWidth="1"/>
    <col min="14860" max="14860" width="9" style="2" bestFit="1" customWidth="1"/>
    <col min="14861" max="14861" width="7" style="2" bestFit="1" customWidth="1"/>
    <col min="14862" max="14862" width="8.625" style="2" bestFit="1" customWidth="1"/>
    <col min="14863" max="14863" width="8" style="2" bestFit="1" customWidth="1"/>
    <col min="14864" max="14864" width="9" style="2" bestFit="1" customWidth="1"/>
    <col min="14865" max="14866" width="5.125" style="2" bestFit="1" customWidth="1"/>
    <col min="14867" max="14867" width="34.25" style="2" customWidth="1"/>
    <col min="14868" max="15108" width="9.125" style="2"/>
    <col min="15109" max="15109" width="7" style="2" bestFit="1" customWidth="1"/>
    <col min="15110" max="15110" width="8.625" style="2" bestFit="1" customWidth="1"/>
    <col min="15111" max="15111" width="8" style="2" bestFit="1" customWidth="1"/>
    <col min="15112" max="15112" width="9" style="2" bestFit="1" customWidth="1"/>
    <col min="15113" max="15113" width="7" style="2" bestFit="1" customWidth="1"/>
    <col min="15114" max="15114" width="8.625" style="2" bestFit="1" customWidth="1"/>
    <col min="15115" max="15115" width="8" style="2" bestFit="1" customWidth="1"/>
    <col min="15116" max="15116" width="9" style="2" bestFit="1" customWidth="1"/>
    <col min="15117" max="15117" width="7" style="2" bestFit="1" customWidth="1"/>
    <col min="15118" max="15118" width="8.625" style="2" bestFit="1" customWidth="1"/>
    <col min="15119" max="15119" width="8" style="2" bestFit="1" customWidth="1"/>
    <col min="15120" max="15120" width="9" style="2" bestFit="1" customWidth="1"/>
    <col min="15121" max="15122" width="5.125" style="2" bestFit="1" customWidth="1"/>
    <col min="15123" max="15123" width="34.25" style="2" customWidth="1"/>
    <col min="15124" max="15364" width="9.125" style="2"/>
    <col min="15365" max="15365" width="7" style="2" bestFit="1" customWidth="1"/>
    <col min="15366" max="15366" width="8.625" style="2" bestFit="1" customWidth="1"/>
    <col min="15367" max="15367" width="8" style="2" bestFit="1" customWidth="1"/>
    <col min="15368" max="15368" width="9" style="2" bestFit="1" customWidth="1"/>
    <col min="15369" max="15369" width="7" style="2" bestFit="1" customWidth="1"/>
    <col min="15370" max="15370" width="8.625" style="2" bestFit="1" customWidth="1"/>
    <col min="15371" max="15371" width="8" style="2" bestFit="1" customWidth="1"/>
    <col min="15372" max="15372" width="9" style="2" bestFit="1" customWidth="1"/>
    <col min="15373" max="15373" width="7" style="2" bestFit="1" customWidth="1"/>
    <col min="15374" max="15374" width="8.625" style="2" bestFit="1" customWidth="1"/>
    <col min="15375" max="15375" width="8" style="2" bestFit="1" customWidth="1"/>
    <col min="15376" max="15376" width="9" style="2" bestFit="1" customWidth="1"/>
    <col min="15377" max="15378" width="5.125" style="2" bestFit="1" customWidth="1"/>
    <col min="15379" max="15379" width="34.25" style="2" customWidth="1"/>
    <col min="15380" max="15620" width="9.125" style="2"/>
    <col min="15621" max="15621" width="7" style="2" bestFit="1" customWidth="1"/>
    <col min="15622" max="15622" width="8.625" style="2" bestFit="1" customWidth="1"/>
    <col min="15623" max="15623" width="8" style="2" bestFit="1" customWidth="1"/>
    <col min="15624" max="15624" width="9" style="2" bestFit="1" customWidth="1"/>
    <col min="15625" max="15625" width="7" style="2" bestFit="1" customWidth="1"/>
    <col min="15626" max="15626" width="8.625" style="2" bestFit="1" customWidth="1"/>
    <col min="15627" max="15627" width="8" style="2" bestFit="1" customWidth="1"/>
    <col min="15628" max="15628" width="9" style="2" bestFit="1" customWidth="1"/>
    <col min="15629" max="15629" width="7" style="2" bestFit="1" customWidth="1"/>
    <col min="15630" max="15630" width="8.625" style="2" bestFit="1" customWidth="1"/>
    <col min="15631" max="15631" width="8" style="2" bestFit="1" customWidth="1"/>
    <col min="15632" max="15632" width="9" style="2" bestFit="1" customWidth="1"/>
    <col min="15633" max="15634" width="5.125" style="2" bestFit="1" customWidth="1"/>
    <col min="15635" max="15635" width="34.25" style="2" customWidth="1"/>
    <col min="15636" max="15876" width="9.125" style="2"/>
    <col min="15877" max="15877" width="7" style="2" bestFit="1" customWidth="1"/>
    <col min="15878" max="15878" width="8.625" style="2" bestFit="1" customWidth="1"/>
    <col min="15879" max="15879" width="8" style="2" bestFit="1" customWidth="1"/>
    <col min="15880" max="15880" width="9" style="2" bestFit="1" customWidth="1"/>
    <col min="15881" max="15881" width="7" style="2" bestFit="1" customWidth="1"/>
    <col min="15882" max="15882" width="8.625" style="2" bestFit="1" customWidth="1"/>
    <col min="15883" max="15883" width="8" style="2" bestFit="1" customWidth="1"/>
    <col min="15884" max="15884" width="9" style="2" bestFit="1" customWidth="1"/>
    <col min="15885" max="15885" width="7" style="2" bestFit="1" customWidth="1"/>
    <col min="15886" max="15886" width="8.625" style="2" bestFit="1" customWidth="1"/>
    <col min="15887" max="15887" width="8" style="2" bestFit="1" customWidth="1"/>
    <col min="15888" max="15888" width="9" style="2" bestFit="1" customWidth="1"/>
    <col min="15889" max="15890" width="5.125" style="2" bestFit="1" customWidth="1"/>
    <col min="15891" max="15891" width="34.25" style="2" customWidth="1"/>
    <col min="15892" max="16132" width="9.125" style="2"/>
    <col min="16133" max="16133" width="7" style="2" bestFit="1" customWidth="1"/>
    <col min="16134" max="16134" width="8.625" style="2" bestFit="1" customWidth="1"/>
    <col min="16135" max="16135" width="8" style="2" bestFit="1" customWidth="1"/>
    <col min="16136" max="16136" width="9" style="2" bestFit="1" customWidth="1"/>
    <col min="16137" max="16137" width="7" style="2" bestFit="1" customWidth="1"/>
    <col min="16138" max="16138" width="8.625" style="2" bestFit="1" customWidth="1"/>
    <col min="16139" max="16139" width="8" style="2" bestFit="1" customWidth="1"/>
    <col min="16140" max="16140" width="9" style="2" bestFit="1" customWidth="1"/>
    <col min="16141" max="16141" width="7" style="2" bestFit="1" customWidth="1"/>
    <col min="16142" max="16142" width="8.625" style="2" bestFit="1" customWidth="1"/>
    <col min="16143" max="16143" width="8" style="2" bestFit="1" customWidth="1"/>
    <col min="16144" max="16144" width="9" style="2" bestFit="1" customWidth="1"/>
    <col min="16145" max="16146" width="5.125" style="2" bestFit="1" customWidth="1"/>
    <col min="16147" max="16147" width="34.25" style="2" customWidth="1"/>
    <col min="16148" max="16384" width="9.125" style="2"/>
  </cols>
  <sheetData>
    <row r="1" spans="6:20" ht="12.75" customHeight="1" x14ac:dyDescent="0.2">
      <c r="F1" s="406" t="s">
        <v>219</v>
      </c>
      <c r="G1" s="407"/>
      <c r="H1" s="407"/>
      <c r="I1" s="407"/>
      <c r="J1" s="407"/>
      <c r="K1" s="407"/>
      <c r="L1" s="407"/>
      <c r="M1" s="407"/>
      <c r="N1" s="407"/>
      <c r="O1" s="407"/>
      <c r="P1" s="407"/>
      <c r="Q1" s="407"/>
      <c r="R1" s="407"/>
      <c r="S1" s="407"/>
      <c r="T1" s="407"/>
    </row>
    <row r="2" spans="6:20" ht="12.75" customHeight="1" thickBot="1" x14ac:dyDescent="0.25">
      <c r="F2" s="408" t="s">
        <v>184</v>
      </c>
      <c r="G2" s="408"/>
      <c r="H2" s="408"/>
      <c r="I2" s="408"/>
      <c r="J2" s="408"/>
      <c r="K2" s="408"/>
      <c r="L2" s="408"/>
      <c r="M2" s="408"/>
      <c r="N2" s="408"/>
      <c r="O2" s="408"/>
      <c r="P2" s="408"/>
      <c r="Q2" s="408"/>
      <c r="R2" s="408"/>
      <c r="S2" s="408"/>
      <c r="T2" s="408"/>
    </row>
    <row r="3" spans="6:20" ht="12.75" customHeight="1" thickBot="1" x14ac:dyDescent="0.25">
      <c r="F3" s="416" t="s">
        <v>1</v>
      </c>
      <c r="G3" s="416"/>
      <c r="H3" s="416"/>
      <c r="I3" s="416"/>
      <c r="J3" s="416" t="s">
        <v>2</v>
      </c>
      <c r="K3" s="416"/>
      <c r="L3" s="416"/>
      <c r="M3" s="416"/>
      <c r="N3" s="416" t="s">
        <v>3</v>
      </c>
      <c r="O3" s="416"/>
      <c r="P3" s="416"/>
      <c r="Q3" s="416"/>
      <c r="R3" s="417" t="s">
        <v>7</v>
      </c>
      <c r="S3" s="417" t="s">
        <v>143</v>
      </c>
      <c r="T3" s="413" t="s">
        <v>66</v>
      </c>
    </row>
    <row r="4" spans="6:20" ht="12.75" customHeight="1" thickBot="1" x14ac:dyDescent="0.25">
      <c r="F4" s="13" t="s">
        <v>4</v>
      </c>
      <c r="G4" s="13" t="s">
        <v>160</v>
      </c>
      <c r="H4" s="13" t="s">
        <v>60</v>
      </c>
      <c r="I4" s="13" t="s">
        <v>61</v>
      </c>
      <c r="J4" s="13" t="s">
        <v>4</v>
      </c>
      <c r="K4" s="13" t="s">
        <v>160</v>
      </c>
      <c r="L4" s="13" t="s">
        <v>60</v>
      </c>
      <c r="M4" s="13" t="s">
        <v>61</v>
      </c>
      <c r="N4" s="13" t="s">
        <v>4</v>
      </c>
      <c r="O4" s="13" t="s">
        <v>160</v>
      </c>
      <c r="P4" s="13" t="s">
        <v>60</v>
      </c>
      <c r="Q4" s="13" t="s">
        <v>61</v>
      </c>
      <c r="R4" s="418"/>
      <c r="S4" s="418"/>
      <c r="T4" s="415"/>
    </row>
    <row r="5" spans="6:20" ht="12.75" customHeight="1" thickBot="1" x14ac:dyDescent="0.25">
      <c r="F5" s="23">
        <f>SUM(G5:I5)</f>
        <v>3876</v>
      </c>
      <c r="G5" s="23">
        <v>756</v>
      </c>
      <c r="H5" s="23">
        <v>2533</v>
      </c>
      <c r="I5" s="23">
        <v>587</v>
      </c>
      <c r="J5" s="23">
        <f>SUM(K5:M5)</f>
        <v>24386</v>
      </c>
      <c r="K5" s="23">
        <v>1258</v>
      </c>
      <c r="L5" s="23">
        <v>20498</v>
      </c>
      <c r="M5" s="23">
        <v>2630</v>
      </c>
      <c r="N5" s="23">
        <f>SUM(O5:Q5)</f>
        <v>7050</v>
      </c>
      <c r="O5" s="23">
        <v>681</v>
      </c>
      <c r="P5" s="23">
        <v>5018</v>
      </c>
      <c r="Q5" s="23">
        <v>1351</v>
      </c>
      <c r="R5" s="13" t="s">
        <v>26</v>
      </c>
      <c r="S5" s="410">
        <v>26</v>
      </c>
      <c r="T5" s="413" t="s">
        <v>68</v>
      </c>
    </row>
    <row r="6" spans="6:20" ht="12.75" customHeight="1" thickBot="1" x14ac:dyDescent="0.25">
      <c r="F6" s="23">
        <f t="shared" ref="F6:F69" si="0">SUM(G6:I6)</f>
        <v>5461</v>
      </c>
      <c r="G6" s="23">
        <v>232</v>
      </c>
      <c r="H6" s="23">
        <v>5035</v>
      </c>
      <c r="I6" s="23">
        <v>194</v>
      </c>
      <c r="J6" s="23">
        <f t="shared" ref="J6:J69" si="1">SUM(K6:M6)</f>
        <v>28815</v>
      </c>
      <c r="K6" s="23">
        <v>960</v>
      </c>
      <c r="L6" s="23">
        <v>27102</v>
      </c>
      <c r="M6" s="23">
        <v>753</v>
      </c>
      <c r="N6" s="23">
        <f t="shared" ref="N6:N69" si="2">SUM(O6:Q6)</f>
        <v>8891</v>
      </c>
      <c r="O6" s="23">
        <v>442</v>
      </c>
      <c r="P6" s="23">
        <v>7919</v>
      </c>
      <c r="Q6" s="23">
        <v>530</v>
      </c>
      <c r="R6" s="13" t="s">
        <v>27</v>
      </c>
      <c r="S6" s="411"/>
      <c r="T6" s="414"/>
    </row>
    <row r="7" spans="6:20" ht="12.75" customHeight="1" thickBot="1" x14ac:dyDescent="0.25">
      <c r="F7" s="23">
        <f t="shared" ref="F7:P7" si="3">SUM(F5:F6)</f>
        <v>9337</v>
      </c>
      <c r="G7" s="23">
        <f t="shared" si="3"/>
        <v>988</v>
      </c>
      <c r="H7" s="23">
        <f t="shared" si="3"/>
        <v>7568</v>
      </c>
      <c r="I7" s="23">
        <f t="shared" si="3"/>
        <v>781</v>
      </c>
      <c r="J7" s="23">
        <f t="shared" si="3"/>
        <v>53201</v>
      </c>
      <c r="K7" s="23">
        <f t="shared" si="3"/>
        <v>2218</v>
      </c>
      <c r="L7" s="23">
        <f t="shared" si="3"/>
        <v>47600</v>
      </c>
      <c r="M7" s="23">
        <f t="shared" si="3"/>
        <v>3383</v>
      </c>
      <c r="N7" s="23">
        <f t="shared" si="3"/>
        <v>15941</v>
      </c>
      <c r="O7" s="23">
        <f t="shared" si="3"/>
        <v>1123</v>
      </c>
      <c r="P7" s="23">
        <f t="shared" si="3"/>
        <v>12937</v>
      </c>
      <c r="Q7" s="23">
        <f>SUM(Q5:Q6)</f>
        <v>1881</v>
      </c>
      <c r="R7" s="13" t="s">
        <v>12</v>
      </c>
      <c r="S7" s="412"/>
      <c r="T7" s="415"/>
    </row>
    <row r="8" spans="6:20" ht="12.75" customHeight="1" thickBot="1" x14ac:dyDescent="0.25">
      <c r="F8" s="23">
        <f t="shared" si="0"/>
        <v>1575</v>
      </c>
      <c r="G8" s="23">
        <v>354</v>
      </c>
      <c r="H8" s="23">
        <v>1053</v>
      </c>
      <c r="I8" s="23">
        <v>168</v>
      </c>
      <c r="J8" s="23">
        <f t="shared" si="1"/>
        <v>8422</v>
      </c>
      <c r="K8" s="23">
        <v>771</v>
      </c>
      <c r="L8" s="23">
        <v>6847</v>
      </c>
      <c r="M8" s="23">
        <v>804</v>
      </c>
      <c r="N8" s="23">
        <f t="shared" si="2"/>
        <v>3758</v>
      </c>
      <c r="O8" s="23">
        <v>448</v>
      </c>
      <c r="P8" s="23">
        <v>2840</v>
      </c>
      <c r="Q8" s="23">
        <v>470</v>
      </c>
      <c r="R8" s="13" t="s">
        <v>26</v>
      </c>
      <c r="S8" s="410">
        <v>6</v>
      </c>
      <c r="T8" s="413" t="s">
        <v>147</v>
      </c>
    </row>
    <row r="9" spans="6:20" ht="12.75" customHeight="1" thickBot="1" x14ac:dyDescent="0.25">
      <c r="F9" s="23">
        <f t="shared" si="0"/>
        <v>0</v>
      </c>
      <c r="G9" s="23">
        <v>0</v>
      </c>
      <c r="H9" s="23">
        <v>0</v>
      </c>
      <c r="I9" s="23">
        <v>0</v>
      </c>
      <c r="J9" s="23">
        <f t="shared" si="1"/>
        <v>0</v>
      </c>
      <c r="K9" s="23">
        <v>0</v>
      </c>
      <c r="L9" s="23">
        <v>0</v>
      </c>
      <c r="M9" s="23">
        <v>0</v>
      </c>
      <c r="N9" s="23">
        <f t="shared" si="2"/>
        <v>0</v>
      </c>
      <c r="O9" s="23">
        <v>0</v>
      </c>
      <c r="P9" s="23">
        <v>0</v>
      </c>
      <c r="Q9" s="23">
        <v>0</v>
      </c>
      <c r="R9" s="13" t="s">
        <v>27</v>
      </c>
      <c r="S9" s="411"/>
      <c r="T9" s="414"/>
    </row>
    <row r="10" spans="6:20" ht="12.75" customHeight="1" thickBot="1" x14ac:dyDescent="0.25">
      <c r="F10" s="23">
        <f t="shared" ref="F10" si="4">SUM(F8:F9)</f>
        <v>1575</v>
      </c>
      <c r="G10" s="23">
        <f t="shared" ref="G10" si="5">SUM(G8:G9)</f>
        <v>354</v>
      </c>
      <c r="H10" s="23">
        <f t="shared" ref="H10" si="6">SUM(H8:H9)</f>
        <v>1053</v>
      </c>
      <c r="I10" s="23">
        <f t="shared" ref="I10" si="7">SUM(I8:I9)</f>
        <v>168</v>
      </c>
      <c r="J10" s="23">
        <f t="shared" ref="J10" si="8">SUM(J8:J9)</f>
        <v>8422</v>
      </c>
      <c r="K10" s="23">
        <f t="shared" ref="K10" si="9">SUM(K8:K9)</f>
        <v>771</v>
      </c>
      <c r="L10" s="23">
        <f t="shared" ref="L10" si="10">SUM(L8:L9)</f>
        <v>6847</v>
      </c>
      <c r="M10" s="23">
        <f t="shared" ref="M10" si="11">SUM(M8:M9)</f>
        <v>804</v>
      </c>
      <c r="N10" s="23">
        <f t="shared" ref="N10" si="12">SUM(N8:N9)</f>
        <v>3758</v>
      </c>
      <c r="O10" s="23">
        <f t="shared" ref="O10" si="13">SUM(O8:O9)</f>
        <v>448</v>
      </c>
      <c r="P10" s="23">
        <f t="shared" ref="P10" si="14">SUM(P8:P9)</f>
        <v>2840</v>
      </c>
      <c r="Q10" s="23">
        <f>SUM(Q8:Q9)</f>
        <v>470</v>
      </c>
      <c r="R10" s="13" t="s">
        <v>12</v>
      </c>
      <c r="S10" s="412"/>
      <c r="T10" s="415"/>
    </row>
    <row r="11" spans="6:20" ht="12.75" customHeight="1" thickBot="1" x14ac:dyDescent="0.25">
      <c r="F11" s="23">
        <f t="shared" si="0"/>
        <v>3085</v>
      </c>
      <c r="G11" s="23">
        <v>537</v>
      </c>
      <c r="H11" s="23">
        <v>1983</v>
      </c>
      <c r="I11" s="23">
        <v>565</v>
      </c>
      <c r="J11" s="23">
        <f t="shared" si="1"/>
        <v>22908</v>
      </c>
      <c r="K11" s="23">
        <v>1853</v>
      </c>
      <c r="L11" s="23">
        <v>19815</v>
      </c>
      <c r="M11" s="23">
        <v>1240</v>
      </c>
      <c r="N11" s="23">
        <f t="shared" si="2"/>
        <v>9209</v>
      </c>
      <c r="O11" s="23">
        <v>1689</v>
      </c>
      <c r="P11" s="23">
        <v>6504</v>
      </c>
      <c r="Q11" s="23">
        <v>1016</v>
      </c>
      <c r="R11" s="13" t="s">
        <v>26</v>
      </c>
      <c r="S11" s="410">
        <v>16</v>
      </c>
      <c r="T11" s="413" t="s">
        <v>70</v>
      </c>
    </row>
    <row r="12" spans="6:20" ht="12.75" customHeight="1" thickBot="1" x14ac:dyDescent="0.25">
      <c r="F12" s="23">
        <f t="shared" si="0"/>
        <v>1832</v>
      </c>
      <c r="G12" s="23">
        <v>69</v>
      </c>
      <c r="H12" s="23">
        <v>1707</v>
      </c>
      <c r="I12" s="23">
        <v>56</v>
      </c>
      <c r="J12" s="23">
        <f t="shared" si="1"/>
        <v>14613</v>
      </c>
      <c r="K12" s="23">
        <v>820</v>
      </c>
      <c r="L12" s="23">
        <v>13723</v>
      </c>
      <c r="M12" s="23">
        <v>70</v>
      </c>
      <c r="N12" s="23">
        <f t="shared" si="2"/>
        <v>6017</v>
      </c>
      <c r="O12" s="23">
        <v>750</v>
      </c>
      <c r="P12" s="23">
        <v>5211</v>
      </c>
      <c r="Q12" s="23">
        <v>56</v>
      </c>
      <c r="R12" s="13" t="s">
        <v>27</v>
      </c>
      <c r="S12" s="411"/>
      <c r="T12" s="414"/>
    </row>
    <row r="13" spans="6:20" ht="12.75" customHeight="1" thickBot="1" x14ac:dyDescent="0.25">
      <c r="F13" s="23">
        <f t="shared" ref="F13" si="15">SUM(F11:F12)</f>
        <v>4917</v>
      </c>
      <c r="G13" s="23">
        <f t="shared" ref="G13" si="16">SUM(G11:G12)</f>
        <v>606</v>
      </c>
      <c r="H13" s="23">
        <f t="shared" ref="H13" si="17">SUM(H11:H12)</f>
        <v>3690</v>
      </c>
      <c r="I13" s="23">
        <f t="shared" ref="I13" si="18">SUM(I11:I12)</f>
        <v>621</v>
      </c>
      <c r="J13" s="23">
        <f t="shared" ref="J13" si="19">SUM(J11:J12)</f>
        <v>37521</v>
      </c>
      <c r="K13" s="23">
        <f t="shared" ref="K13" si="20">SUM(K11:K12)</f>
        <v>2673</v>
      </c>
      <c r="L13" s="23">
        <f t="shared" ref="L13" si="21">SUM(L11:L12)</f>
        <v>33538</v>
      </c>
      <c r="M13" s="23">
        <f t="shared" ref="M13" si="22">SUM(M11:M12)</f>
        <v>1310</v>
      </c>
      <c r="N13" s="23">
        <f t="shared" ref="N13" si="23">SUM(N11:N12)</f>
        <v>15226</v>
      </c>
      <c r="O13" s="23">
        <f t="shared" ref="O13" si="24">SUM(O11:O12)</f>
        <v>2439</v>
      </c>
      <c r="P13" s="23">
        <f t="shared" ref="P13" si="25">SUM(P11:P12)</f>
        <v>11715</v>
      </c>
      <c r="Q13" s="23">
        <f>SUM(Q11:Q12)</f>
        <v>1072</v>
      </c>
      <c r="R13" s="13" t="s">
        <v>12</v>
      </c>
      <c r="S13" s="412"/>
      <c r="T13" s="415"/>
    </row>
    <row r="14" spans="6:20" ht="12.75" customHeight="1" thickBot="1" x14ac:dyDescent="0.25">
      <c r="F14" s="23">
        <f t="shared" si="0"/>
        <v>5680</v>
      </c>
      <c r="G14" s="23">
        <v>407</v>
      </c>
      <c r="H14" s="23">
        <v>4149</v>
      </c>
      <c r="I14" s="23">
        <v>1124</v>
      </c>
      <c r="J14" s="23">
        <f t="shared" si="1"/>
        <v>46088</v>
      </c>
      <c r="K14" s="23">
        <v>2976</v>
      </c>
      <c r="L14" s="23">
        <v>35803</v>
      </c>
      <c r="M14" s="23">
        <v>7309</v>
      </c>
      <c r="N14" s="23">
        <f t="shared" si="2"/>
        <v>12610</v>
      </c>
      <c r="O14" s="23">
        <v>1195</v>
      </c>
      <c r="P14" s="23">
        <v>8393</v>
      </c>
      <c r="Q14" s="23">
        <v>3022</v>
      </c>
      <c r="R14" s="13" t="s">
        <v>26</v>
      </c>
      <c r="S14" s="410">
        <v>48</v>
      </c>
      <c r="T14" s="413" t="s">
        <v>72</v>
      </c>
    </row>
    <row r="15" spans="6:20" ht="12.75" customHeight="1" thickBot="1" x14ac:dyDescent="0.25">
      <c r="F15" s="23">
        <f t="shared" si="0"/>
        <v>4481</v>
      </c>
      <c r="G15" s="23">
        <v>123</v>
      </c>
      <c r="H15" s="23">
        <v>3955</v>
      </c>
      <c r="I15" s="23">
        <v>403</v>
      </c>
      <c r="J15" s="23">
        <f t="shared" si="1"/>
        <v>30144</v>
      </c>
      <c r="K15" s="23">
        <v>1632</v>
      </c>
      <c r="L15" s="23">
        <v>24646</v>
      </c>
      <c r="M15" s="23">
        <v>3866</v>
      </c>
      <c r="N15" s="23">
        <f t="shared" si="2"/>
        <v>7279</v>
      </c>
      <c r="O15" s="23">
        <v>835</v>
      </c>
      <c r="P15" s="23">
        <v>4852</v>
      </c>
      <c r="Q15" s="23">
        <v>1592</v>
      </c>
      <c r="R15" s="13" t="s">
        <v>27</v>
      </c>
      <c r="S15" s="411"/>
      <c r="T15" s="414"/>
    </row>
    <row r="16" spans="6:20" ht="12.75" customHeight="1" thickBot="1" x14ac:dyDescent="0.25">
      <c r="F16" s="23">
        <f t="shared" ref="F16" si="26">SUM(F14:F15)</f>
        <v>10161</v>
      </c>
      <c r="G16" s="23">
        <f t="shared" ref="G16" si="27">SUM(G14:G15)</f>
        <v>530</v>
      </c>
      <c r="H16" s="23">
        <f t="shared" ref="H16" si="28">SUM(H14:H15)</f>
        <v>8104</v>
      </c>
      <c r="I16" s="23">
        <f t="shared" ref="I16" si="29">SUM(I14:I15)</f>
        <v>1527</v>
      </c>
      <c r="J16" s="23">
        <f t="shared" ref="J16" si="30">SUM(J14:J15)</f>
        <v>76232</v>
      </c>
      <c r="K16" s="23">
        <f t="shared" ref="K16" si="31">SUM(K14:K15)</f>
        <v>4608</v>
      </c>
      <c r="L16" s="23">
        <f t="shared" ref="L16" si="32">SUM(L14:L15)</f>
        <v>60449</v>
      </c>
      <c r="M16" s="23">
        <f t="shared" ref="M16" si="33">SUM(M14:M15)</f>
        <v>11175</v>
      </c>
      <c r="N16" s="23">
        <f t="shared" ref="N16" si="34">SUM(N14:N15)</f>
        <v>19889</v>
      </c>
      <c r="O16" s="23">
        <f t="shared" ref="O16" si="35">SUM(O14:O15)</f>
        <v>2030</v>
      </c>
      <c r="P16" s="23">
        <f t="shared" ref="P16" si="36">SUM(P14:P15)</f>
        <v>13245</v>
      </c>
      <c r="Q16" s="23">
        <f>SUM(Q14:Q15)</f>
        <v>4614</v>
      </c>
      <c r="R16" s="13" t="s">
        <v>12</v>
      </c>
      <c r="S16" s="412"/>
      <c r="T16" s="415"/>
    </row>
    <row r="17" spans="6:20" ht="12.75" customHeight="1" thickBot="1" x14ac:dyDescent="0.25">
      <c r="F17" s="23">
        <f t="shared" si="0"/>
        <v>5315</v>
      </c>
      <c r="G17" s="23">
        <v>297</v>
      </c>
      <c r="H17" s="23">
        <v>4613</v>
      </c>
      <c r="I17" s="23">
        <v>405</v>
      </c>
      <c r="J17" s="23">
        <f t="shared" si="1"/>
        <v>43645</v>
      </c>
      <c r="K17" s="23">
        <v>1103</v>
      </c>
      <c r="L17" s="23">
        <v>41220</v>
      </c>
      <c r="M17" s="23">
        <v>1322</v>
      </c>
      <c r="N17" s="23">
        <f t="shared" si="2"/>
        <v>20667</v>
      </c>
      <c r="O17" s="23">
        <v>549</v>
      </c>
      <c r="P17" s="23">
        <v>19590</v>
      </c>
      <c r="Q17" s="23">
        <v>528</v>
      </c>
      <c r="R17" s="13" t="s">
        <v>26</v>
      </c>
      <c r="S17" s="410">
        <v>26</v>
      </c>
      <c r="T17" s="413" t="s">
        <v>73</v>
      </c>
    </row>
    <row r="18" spans="6:20" ht="12.75" customHeight="1" thickBot="1" x14ac:dyDescent="0.25">
      <c r="F18" s="23">
        <f t="shared" si="0"/>
        <v>7225</v>
      </c>
      <c r="G18" s="23">
        <v>187</v>
      </c>
      <c r="H18" s="23">
        <v>6801</v>
      </c>
      <c r="I18" s="23">
        <v>237</v>
      </c>
      <c r="J18" s="23">
        <f t="shared" si="1"/>
        <v>42462</v>
      </c>
      <c r="K18" s="23">
        <v>1043</v>
      </c>
      <c r="L18" s="23">
        <v>40939</v>
      </c>
      <c r="M18" s="23">
        <v>480</v>
      </c>
      <c r="N18" s="23">
        <f t="shared" si="2"/>
        <v>9942</v>
      </c>
      <c r="O18" s="23">
        <v>482</v>
      </c>
      <c r="P18" s="23">
        <v>9086</v>
      </c>
      <c r="Q18" s="23">
        <v>374</v>
      </c>
      <c r="R18" s="13" t="s">
        <v>27</v>
      </c>
      <c r="S18" s="411"/>
      <c r="T18" s="414"/>
    </row>
    <row r="19" spans="6:20" ht="12.75" customHeight="1" thickBot="1" x14ac:dyDescent="0.25">
      <c r="F19" s="23">
        <f t="shared" ref="F19" si="37">SUM(F17:F18)</f>
        <v>12540</v>
      </c>
      <c r="G19" s="23">
        <f t="shared" ref="G19" si="38">SUM(G17:G18)</f>
        <v>484</v>
      </c>
      <c r="H19" s="23">
        <f t="shared" ref="H19" si="39">SUM(H17:H18)</f>
        <v>11414</v>
      </c>
      <c r="I19" s="23">
        <f t="shared" ref="I19" si="40">SUM(I17:I18)</f>
        <v>642</v>
      </c>
      <c r="J19" s="23">
        <f t="shared" ref="J19" si="41">SUM(J17:J18)</f>
        <v>86107</v>
      </c>
      <c r="K19" s="23">
        <f t="shared" ref="K19" si="42">SUM(K17:K18)</f>
        <v>2146</v>
      </c>
      <c r="L19" s="23">
        <f t="shared" ref="L19" si="43">SUM(L17:L18)</f>
        <v>82159</v>
      </c>
      <c r="M19" s="23">
        <f t="shared" ref="M19" si="44">SUM(M17:M18)</f>
        <v>1802</v>
      </c>
      <c r="N19" s="23">
        <f t="shared" ref="N19" si="45">SUM(N17:N18)</f>
        <v>30609</v>
      </c>
      <c r="O19" s="23">
        <f t="shared" ref="O19" si="46">SUM(O17:O18)</f>
        <v>1031</v>
      </c>
      <c r="P19" s="23">
        <f t="shared" ref="P19" si="47">SUM(P17:P18)</f>
        <v>28676</v>
      </c>
      <c r="Q19" s="23">
        <f>SUM(Q17:Q18)</f>
        <v>902</v>
      </c>
      <c r="R19" s="13" t="s">
        <v>12</v>
      </c>
      <c r="S19" s="412"/>
      <c r="T19" s="415"/>
    </row>
    <row r="20" spans="6:20" ht="12.75" customHeight="1" thickBot="1" x14ac:dyDescent="0.25">
      <c r="F20" s="23">
        <f t="shared" si="0"/>
        <v>1241</v>
      </c>
      <c r="G20" s="23">
        <v>120</v>
      </c>
      <c r="H20" s="23">
        <v>981</v>
      </c>
      <c r="I20" s="23">
        <v>140</v>
      </c>
      <c r="J20" s="23">
        <f t="shared" si="1"/>
        <v>9541</v>
      </c>
      <c r="K20" s="23">
        <v>807</v>
      </c>
      <c r="L20" s="23">
        <v>7069</v>
      </c>
      <c r="M20" s="23">
        <v>1665</v>
      </c>
      <c r="N20" s="23">
        <f t="shared" si="2"/>
        <v>3333</v>
      </c>
      <c r="O20" s="23">
        <v>152</v>
      </c>
      <c r="P20" s="23">
        <v>2110</v>
      </c>
      <c r="Q20" s="23">
        <v>1071</v>
      </c>
      <c r="R20" s="13" t="s">
        <v>26</v>
      </c>
      <c r="S20" s="410">
        <v>9</v>
      </c>
      <c r="T20" s="413" t="s">
        <v>90</v>
      </c>
    </row>
    <row r="21" spans="6:20" ht="12.75" customHeight="1" thickBot="1" x14ac:dyDescent="0.25">
      <c r="F21" s="23">
        <f t="shared" si="0"/>
        <v>0</v>
      </c>
      <c r="G21" s="23">
        <v>0</v>
      </c>
      <c r="H21" s="23">
        <v>0</v>
      </c>
      <c r="I21" s="23">
        <v>0</v>
      </c>
      <c r="J21" s="23">
        <f t="shared" si="1"/>
        <v>0</v>
      </c>
      <c r="K21" s="23">
        <v>0</v>
      </c>
      <c r="L21" s="23">
        <v>0</v>
      </c>
      <c r="M21" s="23">
        <v>0</v>
      </c>
      <c r="N21" s="23">
        <f t="shared" si="2"/>
        <v>0</v>
      </c>
      <c r="O21" s="23">
        <v>0</v>
      </c>
      <c r="P21" s="23">
        <v>0</v>
      </c>
      <c r="Q21" s="23">
        <v>0</v>
      </c>
      <c r="R21" s="13" t="s">
        <v>27</v>
      </c>
      <c r="S21" s="411"/>
      <c r="T21" s="414"/>
    </row>
    <row r="22" spans="6:20" ht="12.75" customHeight="1" thickBot="1" x14ac:dyDescent="0.25">
      <c r="F22" s="23">
        <f t="shared" ref="F22" si="48">SUM(F20:F21)</f>
        <v>1241</v>
      </c>
      <c r="G22" s="23">
        <f t="shared" ref="G22" si="49">SUM(G20:G21)</f>
        <v>120</v>
      </c>
      <c r="H22" s="23">
        <f t="shared" ref="H22" si="50">SUM(H20:H21)</f>
        <v>981</v>
      </c>
      <c r="I22" s="23">
        <f t="shared" ref="I22" si="51">SUM(I20:I21)</f>
        <v>140</v>
      </c>
      <c r="J22" s="23">
        <f t="shared" ref="J22" si="52">SUM(J20:J21)</f>
        <v>9541</v>
      </c>
      <c r="K22" s="23">
        <f t="shared" ref="K22" si="53">SUM(K20:K21)</f>
        <v>807</v>
      </c>
      <c r="L22" s="23">
        <f t="shared" ref="L22" si="54">SUM(L20:L21)</f>
        <v>7069</v>
      </c>
      <c r="M22" s="23">
        <f t="shared" ref="M22" si="55">SUM(M20:M21)</f>
        <v>1665</v>
      </c>
      <c r="N22" s="23">
        <f t="shared" ref="N22" si="56">SUM(N20:N21)</f>
        <v>3333</v>
      </c>
      <c r="O22" s="23">
        <f t="shared" ref="O22" si="57">SUM(O20:O21)</f>
        <v>152</v>
      </c>
      <c r="P22" s="23">
        <f t="shared" ref="P22" si="58">SUM(P20:P21)</f>
        <v>2110</v>
      </c>
      <c r="Q22" s="23">
        <f>SUM(Q20:Q21)</f>
        <v>1071</v>
      </c>
      <c r="R22" s="13" t="s">
        <v>12</v>
      </c>
      <c r="S22" s="412"/>
      <c r="T22" s="415"/>
    </row>
    <row r="23" spans="6:20" ht="12.75" customHeight="1" thickBot="1" x14ac:dyDescent="0.25">
      <c r="F23" s="23">
        <f t="shared" si="0"/>
        <v>2210</v>
      </c>
      <c r="G23" s="23">
        <v>14</v>
      </c>
      <c r="H23" s="23">
        <v>1659</v>
      </c>
      <c r="I23" s="23">
        <v>537</v>
      </c>
      <c r="J23" s="23">
        <f t="shared" si="1"/>
        <v>11899</v>
      </c>
      <c r="K23" s="23">
        <v>167</v>
      </c>
      <c r="L23" s="23">
        <v>10319</v>
      </c>
      <c r="M23" s="23">
        <v>1413</v>
      </c>
      <c r="N23" s="23">
        <f t="shared" si="2"/>
        <v>3764</v>
      </c>
      <c r="O23" s="23">
        <v>93</v>
      </c>
      <c r="P23" s="23">
        <v>3497</v>
      </c>
      <c r="Q23" s="23">
        <v>174</v>
      </c>
      <c r="R23" s="13" t="s">
        <v>26</v>
      </c>
      <c r="S23" s="410">
        <v>33</v>
      </c>
      <c r="T23" s="413" t="s">
        <v>74</v>
      </c>
    </row>
    <row r="24" spans="6:20" ht="12.75" customHeight="1" thickBot="1" x14ac:dyDescent="0.25">
      <c r="F24" s="23">
        <f t="shared" si="0"/>
        <v>7556</v>
      </c>
      <c r="G24" s="23">
        <v>53</v>
      </c>
      <c r="H24" s="23">
        <v>6363</v>
      </c>
      <c r="I24" s="23">
        <v>1140</v>
      </c>
      <c r="J24" s="23">
        <f t="shared" si="1"/>
        <v>46489</v>
      </c>
      <c r="K24" s="23">
        <v>319</v>
      </c>
      <c r="L24" s="23">
        <v>41798</v>
      </c>
      <c r="M24" s="23">
        <v>4372</v>
      </c>
      <c r="N24" s="23">
        <f t="shared" si="2"/>
        <v>13444</v>
      </c>
      <c r="O24" s="23">
        <v>139</v>
      </c>
      <c r="P24" s="23">
        <v>11808</v>
      </c>
      <c r="Q24" s="23">
        <v>1497</v>
      </c>
      <c r="R24" s="13" t="s">
        <v>27</v>
      </c>
      <c r="S24" s="411"/>
      <c r="T24" s="414"/>
    </row>
    <row r="25" spans="6:20" ht="12.75" customHeight="1" thickBot="1" x14ac:dyDescent="0.25">
      <c r="F25" s="23">
        <f t="shared" ref="F25" si="59">SUM(F23:F24)</f>
        <v>9766</v>
      </c>
      <c r="G25" s="23">
        <f t="shared" ref="G25" si="60">SUM(G23:G24)</f>
        <v>67</v>
      </c>
      <c r="H25" s="23">
        <f t="shared" ref="H25" si="61">SUM(H23:H24)</f>
        <v>8022</v>
      </c>
      <c r="I25" s="23">
        <f t="shared" ref="I25" si="62">SUM(I23:I24)</f>
        <v>1677</v>
      </c>
      <c r="J25" s="23">
        <f t="shared" ref="J25" si="63">SUM(J23:J24)</f>
        <v>58388</v>
      </c>
      <c r="K25" s="23">
        <f t="shared" ref="K25" si="64">SUM(K23:K24)</f>
        <v>486</v>
      </c>
      <c r="L25" s="23">
        <f t="shared" ref="L25" si="65">SUM(L23:L24)</f>
        <v>52117</v>
      </c>
      <c r="M25" s="23">
        <f t="shared" ref="M25" si="66">SUM(M23:M24)</f>
        <v>5785</v>
      </c>
      <c r="N25" s="23">
        <f t="shared" ref="N25" si="67">SUM(N23:N24)</f>
        <v>17208</v>
      </c>
      <c r="O25" s="23">
        <f t="shared" ref="O25" si="68">SUM(O23:O24)</f>
        <v>232</v>
      </c>
      <c r="P25" s="23">
        <f t="shared" ref="P25" si="69">SUM(P23:P24)</f>
        <v>15305</v>
      </c>
      <c r="Q25" s="23">
        <f>SUM(Q23:Q24)</f>
        <v>1671</v>
      </c>
      <c r="R25" s="13" t="s">
        <v>12</v>
      </c>
      <c r="S25" s="412"/>
      <c r="T25" s="415"/>
    </row>
    <row r="26" spans="6:20" ht="12.75" customHeight="1" thickBot="1" x14ac:dyDescent="0.25">
      <c r="F26" s="23">
        <f t="shared" si="0"/>
        <v>3180</v>
      </c>
      <c r="G26" s="23">
        <v>266</v>
      </c>
      <c r="H26" s="23">
        <v>2265</v>
      </c>
      <c r="I26" s="23">
        <v>649</v>
      </c>
      <c r="J26" s="23">
        <f t="shared" si="1"/>
        <v>14342</v>
      </c>
      <c r="K26" s="23">
        <v>194</v>
      </c>
      <c r="L26" s="23">
        <v>11666</v>
      </c>
      <c r="M26" s="23">
        <v>2482</v>
      </c>
      <c r="N26" s="23">
        <f t="shared" si="2"/>
        <v>4266</v>
      </c>
      <c r="O26" s="23">
        <v>104</v>
      </c>
      <c r="P26" s="23">
        <v>2253</v>
      </c>
      <c r="Q26" s="23">
        <v>1909</v>
      </c>
      <c r="R26" s="13" t="s">
        <v>26</v>
      </c>
      <c r="S26" s="410">
        <v>38</v>
      </c>
      <c r="T26" s="413" t="s">
        <v>75</v>
      </c>
    </row>
    <row r="27" spans="6:20" ht="12.75" customHeight="1" thickBot="1" x14ac:dyDescent="0.25">
      <c r="F27" s="23">
        <f t="shared" si="0"/>
        <v>5107</v>
      </c>
      <c r="G27" s="23">
        <v>110</v>
      </c>
      <c r="H27" s="23">
        <v>4535</v>
      </c>
      <c r="I27" s="23">
        <v>462</v>
      </c>
      <c r="J27" s="23">
        <f t="shared" si="1"/>
        <v>40109</v>
      </c>
      <c r="K27" s="23">
        <v>208</v>
      </c>
      <c r="L27" s="23">
        <v>37410</v>
      </c>
      <c r="M27" s="23">
        <v>2491</v>
      </c>
      <c r="N27" s="23">
        <f t="shared" si="2"/>
        <v>8445</v>
      </c>
      <c r="O27" s="23">
        <v>152</v>
      </c>
      <c r="P27" s="23">
        <v>6979</v>
      </c>
      <c r="Q27" s="23">
        <v>1314</v>
      </c>
      <c r="R27" s="13" t="s">
        <v>27</v>
      </c>
      <c r="S27" s="411"/>
      <c r="T27" s="414"/>
    </row>
    <row r="28" spans="6:20" ht="12.75" customHeight="1" thickBot="1" x14ac:dyDescent="0.25">
      <c r="F28" s="23">
        <f t="shared" ref="F28" si="70">SUM(F26:F27)</f>
        <v>8287</v>
      </c>
      <c r="G28" s="23">
        <f t="shared" ref="G28" si="71">SUM(G26:G27)</f>
        <v>376</v>
      </c>
      <c r="H28" s="23">
        <f t="shared" ref="H28" si="72">SUM(H26:H27)</f>
        <v>6800</v>
      </c>
      <c r="I28" s="23">
        <f t="shared" ref="I28" si="73">SUM(I26:I27)</f>
        <v>1111</v>
      </c>
      <c r="J28" s="23">
        <f t="shared" ref="J28" si="74">SUM(J26:J27)</f>
        <v>54451</v>
      </c>
      <c r="K28" s="23">
        <f t="shared" ref="K28" si="75">SUM(K26:K27)</f>
        <v>402</v>
      </c>
      <c r="L28" s="23">
        <f t="shared" ref="L28" si="76">SUM(L26:L27)</f>
        <v>49076</v>
      </c>
      <c r="M28" s="23">
        <f t="shared" ref="M28" si="77">SUM(M26:M27)</f>
        <v>4973</v>
      </c>
      <c r="N28" s="23">
        <f t="shared" ref="N28" si="78">SUM(N26:N27)</f>
        <v>12711</v>
      </c>
      <c r="O28" s="23">
        <f t="shared" ref="O28" si="79">SUM(O26:O27)</f>
        <v>256</v>
      </c>
      <c r="P28" s="23">
        <f t="shared" ref="P28" si="80">SUM(P26:P27)</f>
        <v>9232</v>
      </c>
      <c r="Q28" s="23">
        <f>SUM(Q26:Q27)</f>
        <v>3223</v>
      </c>
      <c r="R28" s="13" t="s">
        <v>12</v>
      </c>
      <c r="S28" s="412"/>
      <c r="T28" s="415"/>
    </row>
    <row r="29" spans="6:20" ht="12.75" customHeight="1" thickBot="1" x14ac:dyDescent="0.25">
      <c r="F29" s="23">
        <f t="shared" si="0"/>
        <v>2090</v>
      </c>
      <c r="G29" s="23">
        <v>10</v>
      </c>
      <c r="H29" s="23">
        <v>2080</v>
      </c>
      <c r="I29" s="23">
        <v>0</v>
      </c>
      <c r="J29" s="23">
        <f t="shared" si="1"/>
        <v>17149</v>
      </c>
      <c r="K29" s="23">
        <v>327</v>
      </c>
      <c r="L29" s="23">
        <v>15631</v>
      </c>
      <c r="M29" s="23">
        <v>1191</v>
      </c>
      <c r="N29" s="23">
        <f t="shared" si="2"/>
        <v>3899</v>
      </c>
      <c r="O29" s="23">
        <v>145</v>
      </c>
      <c r="P29" s="23">
        <v>3346</v>
      </c>
      <c r="Q29" s="23">
        <v>408</v>
      </c>
      <c r="R29" s="13" t="s">
        <v>26</v>
      </c>
      <c r="S29" s="410">
        <v>26</v>
      </c>
      <c r="T29" s="413" t="s">
        <v>100</v>
      </c>
    </row>
    <row r="30" spans="6:20" ht="12.75" customHeight="1" thickBot="1" x14ac:dyDescent="0.25">
      <c r="F30" s="23">
        <f t="shared" si="0"/>
        <v>3648</v>
      </c>
      <c r="G30" s="23">
        <v>2</v>
      </c>
      <c r="H30" s="23">
        <v>3503</v>
      </c>
      <c r="I30" s="23">
        <v>143</v>
      </c>
      <c r="J30" s="23">
        <f t="shared" si="1"/>
        <v>23648</v>
      </c>
      <c r="K30" s="23">
        <v>94</v>
      </c>
      <c r="L30" s="23">
        <v>23268</v>
      </c>
      <c r="M30" s="23">
        <v>286</v>
      </c>
      <c r="N30" s="23">
        <f t="shared" si="2"/>
        <v>7572</v>
      </c>
      <c r="O30" s="23">
        <v>72</v>
      </c>
      <c r="P30" s="23">
        <v>7336</v>
      </c>
      <c r="Q30" s="23">
        <v>164</v>
      </c>
      <c r="R30" s="13" t="s">
        <v>27</v>
      </c>
      <c r="S30" s="411"/>
      <c r="T30" s="414"/>
    </row>
    <row r="31" spans="6:20" ht="12.75" customHeight="1" thickBot="1" x14ac:dyDescent="0.25">
      <c r="F31" s="23">
        <f t="shared" ref="F31" si="81">SUM(F29:F30)</f>
        <v>5738</v>
      </c>
      <c r="G31" s="23">
        <f t="shared" ref="G31" si="82">SUM(G29:G30)</f>
        <v>12</v>
      </c>
      <c r="H31" s="23">
        <f t="shared" ref="H31" si="83">SUM(H29:H30)</f>
        <v>5583</v>
      </c>
      <c r="I31" s="23">
        <f t="shared" ref="I31" si="84">SUM(I29:I30)</f>
        <v>143</v>
      </c>
      <c r="J31" s="23">
        <f t="shared" ref="J31" si="85">SUM(J29:J30)</f>
        <v>40797</v>
      </c>
      <c r="K31" s="23">
        <f t="shared" ref="K31" si="86">SUM(K29:K30)</f>
        <v>421</v>
      </c>
      <c r="L31" s="23">
        <f t="shared" ref="L31" si="87">SUM(L29:L30)</f>
        <v>38899</v>
      </c>
      <c r="M31" s="23">
        <f t="shared" ref="M31" si="88">SUM(M29:M30)</f>
        <v>1477</v>
      </c>
      <c r="N31" s="23">
        <f t="shared" ref="N31" si="89">SUM(N29:N30)</f>
        <v>11471</v>
      </c>
      <c r="O31" s="23">
        <f t="shared" ref="O31" si="90">SUM(O29:O30)</f>
        <v>217</v>
      </c>
      <c r="P31" s="23">
        <f t="shared" ref="P31" si="91">SUM(P29:P30)</f>
        <v>10682</v>
      </c>
      <c r="Q31" s="23">
        <f>SUM(Q29:Q30)</f>
        <v>572</v>
      </c>
      <c r="R31" s="13" t="s">
        <v>12</v>
      </c>
      <c r="S31" s="412"/>
      <c r="T31" s="415"/>
    </row>
    <row r="32" spans="6:20" ht="12.75" customHeight="1" thickBot="1" x14ac:dyDescent="0.25">
      <c r="F32" s="23">
        <f t="shared" si="0"/>
        <v>2080</v>
      </c>
      <c r="G32" s="23">
        <v>58</v>
      </c>
      <c r="H32" s="23">
        <v>1421</v>
      </c>
      <c r="I32" s="23">
        <v>601</v>
      </c>
      <c r="J32" s="23">
        <f t="shared" si="1"/>
        <v>11840</v>
      </c>
      <c r="K32" s="23">
        <v>100</v>
      </c>
      <c r="L32" s="23">
        <v>10525</v>
      </c>
      <c r="M32" s="23">
        <v>1215</v>
      </c>
      <c r="N32" s="23">
        <f t="shared" si="2"/>
        <v>5297</v>
      </c>
      <c r="O32" s="23">
        <v>81</v>
      </c>
      <c r="P32" s="23">
        <v>4496</v>
      </c>
      <c r="Q32" s="23">
        <v>720</v>
      </c>
      <c r="R32" s="13" t="s">
        <v>26</v>
      </c>
      <c r="S32" s="410">
        <v>25</v>
      </c>
      <c r="T32" s="413" t="s">
        <v>76</v>
      </c>
    </row>
    <row r="33" spans="6:20" ht="12.75" customHeight="1" thickBot="1" x14ac:dyDescent="0.25">
      <c r="F33" s="23">
        <f t="shared" si="0"/>
        <v>5666</v>
      </c>
      <c r="G33" s="23">
        <v>36</v>
      </c>
      <c r="H33" s="23">
        <v>4928</v>
      </c>
      <c r="I33" s="23">
        <v>702</v>
      </c>
      <c r="J33" s="23">
        <f t="shared" si="1"/>
        <v>32562</v>
      </c>
      <c r="K33" s="23">
        <v>357</v>
      </c>
      <c r="L33" s="23">
        <v>30363</v>
      </c>
      <c r="M33" s="23">
        <v>1842</v>
      </c>
      <c r="N33" s="23">
        <f t="shared" si="2"/>
        <v>8880</v>
      </c>
      <c r="O33" s="23">
        <v>257</v>
      </c>
      <c r="P33" s="23">
        <v>7414</v>
      </c>
      <c r="Q33" s="23">
        <v>1209</v>
      </c>
      <c r="R33" s="13" t="s">
        <v>27</v>
      </c>
      <c r="S33" s="411"/>
      <c r="T33" s="414"/>
    </row>
    <row r="34" spans="6:20" ht="12.75" customHeight="1" thickBot="1" x14ac:dyDescent="0.25">
      <c r="F34" s="23">
        <f t="shared" ref="F34" si="92">SUM(F32:F33)</f>
        <v>7746</v>
      </c>
      <c r="G34" s="23">
        <f t="shared" ref="G34" si="93">SUM(G32:G33)</f>
        <v>94</v>
      </c>
      <c r="H34" s="23">
        <f t="shared" ref="H34" si="94">SUM(H32:H33)</f>
        <v>6349</v>
      </c>
      <c r="I34" s="23">
        <f t="shared" ref="I34" si="95">SUM(I32:I33)</f>
        <v>1303</v>
      </c>
      <c r="J34" s="23">
        <f t="shared" ref="J34" si="96">SUM(J32:J33)</f>
        <v>44402</v>
      </c>
      <c r="K34" s="23">
        <f t="shared" ref="K34" si="97">SUM(K32:K33)</f>
        <v>457</v>
      </c>
      <c r="L34" s="23">
        <f t="shared" ref="L34" si="98">SUM(L32:L33)</f>
        <v>40888</v>
      </c>
      <c r="M34" s="23">
        <f t="shared" ref="M34" si="99">SUM(M32:M33)</f>
        <v>3057</v>
      </c>
      <c r="N34" s="23">
        <f t="shared" ref="N34" si="100">SUM(N32:N33)</f>
        <v>14177</v>
      </c>
      <c r="O34" s="23">
        <f t="shared" ref="O34" si="101">SUM(O32:O33)</f>
        <v>338</v>
      </c>
      <c r="P34" s="23">
        <f t="shared" ref="P34" si="102">SUM(P32:P33)</f>
        <v>11910</v>
      </c>
      <c r="Q34" s="23">
        <f>SUM(Q32:Q33)</f>
        <v>1929</v>
      </c>
      <c r="R34" s="13" t="s">
        <v>12</v>
      </c>
      <c r="S34" s="412"/>
      <c r="T34" s="415"/>
    </row>
    <row r="35" spans="6:20" ht="12.75" customHeight="1" thickBot="1" x14ac:dyDescent="0.25">
      <c r="F35" s="23">
        <f t="shared" si="0"/>
        <v>1776</v>
      </c>
      <c r="G35" s="23">
        <v>66</v>
      </c>
      <c r="H35" s="23">
        <v>1564</v>
      </c>
      <c r="I35" s="23">
        <v>146</v>
      </c>
      <c r="J35" s="23">
        <f t="shared" si="1"/>
        <v>9928</v>
      </c>
      <c r="K35" s="23">
        <v>122</v>
      </c>
      <c r="L35" s="23">
        <v>8870</v>
      </c>
      <c r="M35" s="23">
        <v>936</v>
      </c>
      <c r="N35" s="23">
        <f t="shared" si="2"/>
        <v>4942</v>
      </c>
      <c r="O35" s="23">
        <v>112</v>
      </c>
      <c r="P35" s="23">
        <v>4207</v>
      </c>
      <c r="Q35" s="23">
        <v>623</v>
      </c>
      <c r="R35" s="13" t="s">
        <v>26</v>
      </c>
      <c r="S35" s="410">
        <v>18</v>
      </c>
      <c r="T35" s="413" t="s">
        <v>77</v>
      </c>
    </row>
    <row r="36" spans="6:20" ht="12.75" customHeight="1" thickBot="1" x14ac:dyDescent="0.25">
      <c r="F36" s="23">
        <f t="shared" si="0"/>
        <v>3460</v>
      </c>
      <c r="G36" s="23">
        <v>144</v>
      </c>
      <c r="H36" s="23">
        <v>3116</v>
      </c>
      <c r="I36" s="23">
        <v>200</v>
      </c>
      <c r="J36" s="23">
        <f t="shared" si="1"/>
        <v>19183</v>
      </c>
      <c r="K36" s="23">
        <v>69</v>
      </c>
      <c r="L36" s="23">
        <v>18124</v>
      </c>
      <c r="M36" s="23">
        <v>990</v>
      </c>
      <c r="N36" s="23">
        <f t="shared" si="2"/>
        <v>6572</v>
      </c>
      <c r="O36" s="23">
        <v>60</v>
      </c>
      <c r="P36" s="23">
        <v>5831</v>
      </c>
      <c r="Q36" s="23">
        <v>681</v>
      </c>
      <c r="R36" s="13" t="s">
        <v>27</v>
      </c>
      <c r="S36" s="411"/>
      <c r="T36" s="414"/>
    </row>
    <row r="37" spans="6:20" ht="12.75" customHeight="1" thickBot="1" x14ac:dyDescent="0.25">
      <c r="F37" s="23">
        <f t="shared" ref="F37" si="103">SUM(F35:F36)</f>
        <v>5236</v>
      </c>
      <c r="G37" s="23">
        <f t="shared" ref="G37" si="104">SUM(G35:G36)</f>
        <v>210</v>
      </c>
      <c r="H37" s="23">
        <f t="shared" ref="H37" si="105">SUM(H35:H36)</f>
        <v>4680</v>
      </c>
      <c r="I37" s="23">
        <f t="shared" ref="I37" si="106">SUM(I35:I36)</f>
        <v>346</v>
      </c>
      <c r="J37" s="23">
        <f t="shared" ref="J37" si="107">SUM(J35:J36)</f>
        <v>29111</v>
      </c>
      <c r="K37" s="23">
        <f t="shared" ref="K37" si="108">SUM(K35:K36)</f>
        <v>191</v>
      </c>
      <c r="L37" s="23">
        <f t="shared" ref="L37" si="109">SUM(L35:L36)</f>
        <v>26994</v>
      </c>
      <c r="M37" s="23">
        <f t="shared" ref="M37" si="110">SUM(M35:M36)</f>
        <v>1926</v>
      </c>
      <c r="N37" s="23">
        <f t="shared" ref="N37" si="111">SUM(N35:N36)</f>
        <v>11514</v>
      </c>
      <c r="O37" s="23">
        <f t="shared" ref="O37" si="112">SUM(O35:O36)</f>
        <v>172</v>
      </c>
      <c r="P37" s="23">
        <f t="shared" ref="P37" si="113">SUM(P35:P36)</f>
        <v>10038</v>
      </c>
      <c r="Q37" s="23">
        <f>SUM(Q35:Q36)</f>
        <v>1304</v>
      </c>
      <c r="R37" s="13" t="s">
        <v>12</v>
      </c>
      <c r="S37" s="412"/>
      <c r="T37" s="415"/>
    </row>
    <row r="38" spans="6:20" ht="12.75" customHeight="1" thickBot="1" x14ac:dyDescent="0.25">
      <c r="F38" s="23">
        <f t="shared" si="0"/>
        <v>74</v>
      </c>
      <c r="G38" s="23">
        <v>50</v>
      </c>
      <c r="H38" s="23">
        <v>24</v>
      </c>
      <c r="I38" s="23">
        <v>0</v>
      </c>
      <c r="J38" s="23">
        <f t="shared" si="1"/>
        <v>601</v>
      </c>
      <c r="K38" s="23">
        <v>76</v>
      </c>
      <c r="L38" s="23">
        <v>525</v>
      </c>
      <c r="M38" s="23">
        <v>0</v>
      </c>
      <c r="N38" s="23">
        <f t="shared" si="2"/>
        <v>187</v>
      </c>
      <c r="O38" s="23">
        <v>30</v>
      </c>
      <c r="P38" s="23">
        <v>157</v>
      </c>
      <c r="Q38" s="23">
        <v>0</v>
      </c>
      <c r="R38" s="13" t="s">
        <v>26</v>
      </c>
      <c r="S38" s="410">
        <v>7</v>
      </c>
      <c r="T38" s="413" t="s">
        <v>148</v>
      </c>
    </row>
    <row r="39" spans="6:20" ht="12.75" customHeight="1" thickBot="1" x14ac:dyDescent="0.25">
      <c r="F39" s="23">
        <f t="shared" si="0"/>
        <v>131</v>
      </c>
      <c r="G39" s="23">
        <v>46</v>
      </c>
      <c r="H39" s="23">
        <v>85</v>
      </c>
      <c r="I39" s="23">
        <v>0</v>
      </c>
      <c r="J39" s="23">
        <f t="shared" si="1"/>
        <v>849</v>
      </c>
      <c r="K39" s="23">
        <v>59</v>
      </c>
      <c r="L39" s="23">
        <v>790</v>
      </c>
      <c r="M39" s="23">
        <v>0</v>
      </c>
      <c r="N39" s="23">
        <f t="shared" si="2"/>
        <v>185</v>
      </c>
      <c r="O39" s="23">
        <v>26</v>
      </c>
      <c r="P39" s="23">
        <v>159</v>
      </c>
      <c r="Q39" s="23">
        <v>0</v>
      </c>
      <c r="R39" s="13" t="s">
        <v>27</v>
      </c>
      <c r="S39" s="411"/>
      <c r="T39" s="414"/>
    </row>
    <row r="40" spans="6:20" ht="12.75" customHeight="1" thickBot="1" x14ac:dyDescent="0.25">
      <c r="F40" s="23">
        <f t="shared" ref="F40" si="114">SUM(F38:F39)</f>
        <v>205</v>
      </c>
      <c r="G40" s="23">
        <f t="shared" ref="G40" si="115">SUM(G38:G39)</f>
        <v>96</v>
      </c>
      <c r="H40" s="23">
        <f t="shared" ref="H40" si="116">SUM(H38:H39)</f>
        <v>109</v>
      </c>
      <c r="I40" s="23">
        <f t="shared" ref="I40" si="117">SUM(I38:I39)</f>
        <v>0</v>
      </c>
      <c r="J40" s="23">
        <f t="shared" ref="J40" si="118">SUM(J38:J39)</f>
        <v>1450</v>
      </c>
      <c r="K40" s="23">
        <f t="shared" ref="K40" si="119">SUM(K38:K39)</f>
        <v>135</v>
      </c>
      <c r="L40" s="23">
        <f t="shared" ref="L40" si="120">SUM(L38:L39)</f>
        <v>1315</v>
      </c>
      <c r="M40" s="23">
        <f t="shared" ref="M40" si="121">SUM(M38:M39)</f>
        <v>0</v>
      </c>
      <c r="N40" s="23">
        <f t="shared" ref="N40" si="122">SUM(N38:N39)</f>
        <v>372</v>
      </c>
      <c r="O40" s="23">
        <f t="shared" ref="O40" si="123">SUM(O38:O39)</f>
        <v>56</v>
      </c>
      <c r="P40" s="23">
        <f t="shared" ref="P40" si="124">SUM(P38:P39)</f>
        <v>316</v>
      </c>
      <c r="Q40" s="23">
        <f>SUM(Q38:Q39)</f>
        <v>0</v>
      </c>
      <c r="R40" s="13" t="s">
        <v>12</v>
      </c>
      <c r="S40" s="412"/>
      <c r="T40" s="415"/>
    </row>
    <row r="41" spans="6:20" ht="12.75" customHeight="1" thickBot="1" x14ac:dyDescent="0.25">
      <c r="F41" s="23">
        <f t="shared" si="0"/>
        <v>1856</v>
      </c>
      <c r="G41" s="23">
        <v>0</v>
      </c>
      <c r="H41" s="23">
        <v>1315</v>
      </c>
      <c r="I41" s="23">
        <v>541</v>
      </c>
      <c r="J41" s="23">
        <f t="shared" si="1"/>
        <v>7841</v>
      </c>
      <c r="K41" s="23">
        <v>0</v>
      </c>
      <c r="L41" s="23">
        <v>6160</v>
      </c>
      <c r="M41" s="23">
        <v>1681</v>
      </c>
      <c r="N41" s="23">
        <f t="shared" si="2"/>
        <v>5541</v>
      </c>
      <c r="O41" s="23">
        <v>0</v>
      </c>
      <c r="P41" s="23">
        <v>4402</v>
      </c>
      <c r="Q41" s="23">
        <v>1139</v>
      </c>
      <c r="R41" s="13" t="s">
        <v>26</v>
      </c>
      <c r="S41" s="410">
        <v>14</v>
      </c>
      <c r="T41" s="413" t="s">
        <v>106</v>
      </c>
    </row>
    <row r="42" spans="6:20" ht="12.75" customHeight="1" thickBot="1" x14ac:dyDescent="0.25">
      <c r="F42" s="23">
        <f t="shared" si="0"/>
        <v>3839</v>
      </c>
      <c r="G42" s="23">
        <v>0</v>
      </c>
      <c r="H42" s="23">
        <v>3366</v>
      </c>
      <c r="I42" s="23">
        <v>473</v>
      </c>
      <c r="J42" s="23">
        <f t="shared" si="1"/>
        <v>18806</v>
      </c>
      <c r="K42" s="23">
        <v>0</v>
      </c>
      <c r="L42" s="23">
        <v>17569</v>
      </c>
      <c r="M42" s="23">
        <v>1237</v>
      </c>
      <c r="N42" s="23">
        <f t="shared" si="2"/>
        <v>10004</v>
      </c>
      <c r="O42" s="23">
        <v>0</v>
      </c>
      <c r="P42" s="23">
        <v>9604</v>
      </c>
      <c r="Q42" s="23">
        <v>400</v>
      </c>
      <c r="R42" s="13" t="s">
        <v>27</v>
      </c>
      <c r="S42" s="411"/>
      <c r="T42" s="414"/>
    </row>
    <row r="43" spans="6:20" ht="12.75" customHeight="1" thickBot="1" x14ac:dyDescent="0.25">
      <c r="F43" s="23">
        <f t="shared" ref="F43" si="125">SUM(F41:F42)</f>
        <v>5695</v>
      </c>
      <c r="G43" s="23">
        <f t="shared" ref="G43" si="126">SUM(G41:G42)</f>
        <v>0</v>
      </c>
      <c r="H43" s="23">
        <f t="shared" ref="H43" si="127">SUM(H41:H42)</f>
        <v>4681</v>
      </c>
      <c r="I43" s="23">
        <f t="shared" ref="I43" si="128">SUM(I41:I42)</f>
        <v>1014</v>
      </c>
      <c r="J43" s="23">
        <f t="shared" ref="J43" si="129">SUM(J41:J42)</f>
        <v>26647</v>
      </c>
      <c r="K43" s="23">
        <f t="shared" ref="K43" si="130">SUM(K41:K42)</f>
        <v>0</v>
      </c>
      <c r="L43" s="23">
        <f t="shared" ref="L43" si="131">SUM(L41:L42)</f>
        <v>23729</v>
      </c>
      <c r="M43" s="23">
        <f t="shared" ref="M43" si="132">SUM(M41:M42)</f>
        <v>2918</v>
      </c>
      <c r="N43" s="23">
        <f t="shared" ref="N43" si="133">SUM(N41:N42)</f>
        <v>15545</v>
      </c>
      <c r="O43" s="23">
        <f t="shared" ref="O43" si="134">SUM(O41:O42)</f>
        <v>0</v>
      </c>
      <c r="P43" s="23">
        <f t="shared" ref="P43" si="135">SUM(P41:P42)</f>
        <v>14006</v>
      </c>
      <c r="Q43" s="23">
        <f>SUM(Q41:Q42)</f>
        <v>1539</v>
      </c>
      <c r="R43" s="13" t="s">
        <v>12</v>
      </c>
      <c r="S43" s="412"/>
      <c r="T43" s="415"/>
    </row>
    <row r="44" spans="6:20" ht="12.75" customHeight="1" thickBot="1" x14ac:dyDescent="0.25">
      <c r="F44" s="23">
        <f t="shared" si="0"/>
        <v>655</v>
      </c>
      <c r="G44" s="23">
        <v>0</v>
      </c>
      <c r="H44" s="23">
        <v>527</v>
      </c>
      <c r="I44" s="23">
        <v>128</v>
      </c>
      <c r="J44" s="23">
        <f t="shared" si="1"/>
        <v>5308</v>
      </c>
      <c r="K44" s="23">
        <v>0</v>
      </c>
      <c r="L44" s="23">
        <v>4835</v>
      </c>
      <c r="M44" s="23">
        <v>473</v>
      </c>
      <c r="N44" s="23">
        <f t="shared" si="2"/>
        <v>1667</v>
      </c>
      <c r="O44" s="23">
        <v>0</v>
      </c>
      <c r="P44" s="23">
        <v>1503</v>
      </c>
      <c r="Q44" s="23">
        <v>164</v>
      </c>
      <c r="R44" s="13" t="s">
        <v>26</v>
      </c>
      <c r="S44" s="410">
        <v>10</v>
      </c>
      <c r="T44" s="413" t="s">
        <v>109</v>
      </c>
    </row>
    <row r="45" spans="6:20" ht="12.75" customHeight="1" thickBot="1" x14ac:dyDescent="0.25">
      <c r="F45" s="23">
        <f t="shared" si="0"/>
        <v>2171</v>
      </c>
      <c r="G45" s="23">
        <v>0</v>
      </c>
      <c r="H45" s="23">
        <v>2093</v>
      </c>
      <c r="I45" s="23">
        <v>78</v>
      </c>
      <c r="J45" s="23">
        <f t="shared" si="1"/>
        <v>12169</v>
      </c>
      <c r="K45" s="23">
        <v>0</v>
      </c>
      <c r="L45" s="23">
        <v>11503</v>
      </c>
      <c r="M45" s="23">
        <v>666</v>
      </c>
      <c r="N45" s="23">
        <f t="shared" si="2"/>
        <v>2869</v>
      </c>
      <c r="O45" s="23">
        <v>0</v>
      </c>
      <c r="P45" s="23">
        <v>2548</v>
      </c>
      <c r="Q45" s="23">
        <v>321</v>
      </c>
      <c r="R45" s="13" t="s">
        <v>27</v>
      </c>
      <c r="S45" s="411"/>
      <c r="T45" s="414"/>
    </row>
    <row r="46" spans="6:20" ht="12.75" customHeight="1" thickBot="1" x14ac:dyDescent="0.25">
      <c r="F46" s="23">
        <f t="shared" ref="F46" si="136">SUM(F44:F45)</f>
        <v>2826</v>
      </c>
      <c r="G46" s="23">
        <f t="shared" ref="G46" si="137">SUM(G44:G45)</f>
        <v>0</v>
      </c>
      <c r="H46" s="23">
        <f t="shared" ref="H46" si="138">SUM(H44:H45)</f>
        <v>2620</v>
      </c>
      <c r="I46" s="23">
        <f t="shared" ref="I46" si="139">SUM(I44:I45)</f>
        <v>206</v>
      </c>
      <c r="J46" s="23">
        <f t="shared" ref="J46" si="140">SUM(J44:J45)</f>
        <v>17477</v>
      </c>
      <c r="K46" s="23">
        <f t="shared" ref="K46" si="141">SUM(K44:K45)</f>
        <v>0</v>
      </c>
      <c r="L46" s="23">
        <f t="shared" ref="L46" si="142">SUM(L44:L45)</f>
        <v>16338</v>
      </c>
      <c r="M46" s="23">
        <f t="shared" ref="M46" si="143">SUM(M44:M45)</f>
        <v>1139</v>
      </c>
      <c r="N46" s="23">
        <f t="shared" ref="N46" si="144">SUM(N44:N45)</f>
        <v>4536</v>
      </c>
      <c r="O46" s="23">
        <f t="shared" ref="O46" si="145">SUM(O44:O45)</f>
        <v>0</v>
      </c>
      <c r="P46" s="23">
        <f t="shared" ref="P46" si="146">SUM(P44:P45)</f>
        <v>4051</v>
      </c>
      <c r="Q46" s="23">
        <f>SUM(Q44:Q45)</f>
        <v>485</v>
      </c>
      <c r="R46" s="13" t="s">
        <v>12</v>
      </c>
      <c r="S46" s="412"/>
      <c r="T46" s="415"/>
    </row>
    <row r="47" spans="6:20" ht="12.75" customHeight="1" thickBot="1" x14ac:dyDescent="0.25">
      <c r="F47" s="23">
        <f t="shared" si="0"/>
        <v>875</v>
      </c>
      <c r="G47" s="23">
        <v>0</v>
      </c>
      <c r="H47" s="23">
        <v>481</v>
      </c>
      <c r="I47" s="23">
        <v>394</v>
      </c>
      <c r="J47" s="23">
        <f t="shared" si="1"/>
        <v>6406</v>
      </c>
      <c r="K47" s="23">
        <v>0</v>
      </c>
      <c r="L47" s="23">
        <v>5562</v>
      </c>
      <c r="M47" s="23">
        <v>844</v>
      </c>
      <c r="N47" s="23">
        <f t="shared" si="2"/>
        <v>2684</v>
      </c>
      <c r="O47" s="23">
        <v>0</v>
      </c>
      <c r="P47" s="23">
        <v>2565</v>
      </c>
      <c r="Q47" s="23">
        <v>119</v>
      </c>
      <c r="R47" s="13" t="s">
        <v>26</v>
      </c>
      <c r="S47" s="410">
        <v>15</v>
      </c>
      <c r="T47" s="413" t="s">
        <v>111</v>
      </c>
    </row>
    <row r="48" spans="6:20" ht="12.75" customHeight="1" thickBot="1" x14ac:dyDescent="0.25">
      <c r="F48" s="23">
        <f t="shared" si="0"/>
        <v>2142</v>
      </c>
      <c r="G48" s="23">
        <v>0</v>
      </c>
      <c r="H48" s="23">
        <v>1848</v>
      </c>
      <c r="I48" s="23">
        <v>294</v>
      </c>
      <c r="J48" s="23">
        <f t="shared" si="1"/>
        <v>9213</v>
      </c>
      <c r="K48" s="23">
        <v>0</v>
      </c>
      <c r="L48" s="23">
        <v>8315</v>
      </c>
      <c r="M48" s="23">
        <v>898</v>
      </c>
      <c r="N48" s="23">
        <f t="shared" si="2"/>
        <v>3564</v>
      </c>
      <c r="O48" s="23">
        <v>0</v>
      </c>
      <c r="P48" s="23">
        <v>3242</v>
      </c>
      <c r="Q48" s="23">
        <v>322</v>
      </c>
      <c r="R48" s="13" t="s">
        <v>27</v>
      </c>
      <c r="S48" s="411"/>
      <c r="T48" s="414"/>
    </row>
    <row r="49" spans="6:20" ht="12.75" customHeight="1" thickBot="1" x14ac:dyDescent="0.25">
      <c r="F49" s="23">
        <f t="shared" ref="F49" si="147">SUM(F47:F48)</f>
        <v>3017</v>
      </c>
      <c r="G49" s="23">
        <f t="shared" ref="G49" si="148">SUM(G47:G48)</f>
        <v>0</v>
      </c>
      <c r="H49" s="23">
        <f t="shared" ref="H49" si="149">SUM(H47:H48)</f>
        <v>2329</v>
      </c>
      <c r="I49" s="23">
        <f t="shared" ref="I49" si="150">SUM(I47:I48)</f>
        <v>688</v>
      </c>
      <c r="J49" s="23">
        <f t="shared" ref="J49" si="151">SUM(J47:J48)</f>
        <v>15619</v>
      </c>
      <c r="K49" s="23">
        <f t="shared" ref="K49" si="152">SUM(K47:K48)</f>
        <v>0</v>
      </c>
      <c r="L49" s="23">
        <f t="shared" ref="L49" si="153">SUM(L47:L48)</f>
        <v>13877</v>
      </c>
      <c r="M49" s="23">
        <f t="shared" ref="M49" si="154">SUM(M47:M48)</f>
        <v>1742</v>
      </c>
      <c r="N49" s="23">
        <f t="shared" ref="N49" si="155">SUM(N47:N48)</f>
        <v>6248</v>
      </c>
      <c r="O49" s="23">
        <f t="shared" ref="O49" si="156">SUM(O47:O48)</f>
        <v>0</v>
      </c>
      <c r="P49" s="23">
        <f t="shared" ref="P49" si="157">SUM(P47:P48)</f>
        <v>5807</v>
      </c>
      <c r="Q49" s="23">
        <f>SUM(Q47:Q48)</f>
        <v>441</v>
      </c>
      <c r="R49" s="13" t="s">
        <v>12</v>
      </c>
      <c r="S49" s="412"/>
      <c r="T49" s="415"/>
    </row>
    <row r="50" spans="6:20" ht="12.75" customHeight="1" thickBot="1" x14ac:dyDescent="0.25">
      <c r="F50" s="23">
        <f t="shared" si="0"/>
        <v>734</v>
      </c>
      <c r="G50" s="23">
        <v>0</v>
      </c>
      <c r="H50" s="23">
        <v>408</v>
      </c>
      <c r="I50" s="23">
        <v>326</v>
      </c>
      <c r="J50" s="23">
        <f t="shared" si="1"/>
        <v>3774</v>
      </c>
      <c r="K50" s="23">
        <v>0</v>
      </c>
      <c r="L50" s="23">
        <v>3056</v>
      </c>
      <c r="M50" s="23">
        <v>718</v>
      </c>
      <c r="N50" s="23">
        <f t="shared" si="2"/>
        <v>1986</v>
      </c>
      <c r="O50" s="23">
        <v>0</v>
      </c>
      <c r="P50" s="23">
        <v>1512</v>
      </c>
      <c r="Q50" s="23">
        <v>474</v>
      </c>
      <c r="R50" s="13" t="s">
        <v>26</v>
      </c>
      <c r="S50" s="410">
        <v>12</v>
      </c>
      <c r="T50" s="413" t="s">
        <v>115</v>
      </c>
    </row>
    <row r="51" spans="6:20" ht="12.75" customHeight="1" thickBot="1" x14ac:dyDescent="0.25">
      <c r="F51" s="23">
        <f t="shared" si="0"/>
        <v>2737</v>
      </c>
      <c r="G51" s="23">
        <v>0</v>
      </c>
      <c r="H51" s="23">
        <v>2307</v>
      </c>
      <c r="I51" s="23">
        <v>430</v>
      </c>
      <c r="J51" s="23">
        <f t="shared" si="1"/>
        <v>10391</v>
      </c>
      <c r="K51" s="23">
        <v>0</v>
      </c>
      <c r="L51" s="23">
        <v>9039</v>
      </c>
      <c r="M51" s="23">
        <v>1352</v>
      </c>
      <c r="N51" s="23">
        <f t="shared" si="2"/>
        <v>3045</v>
      </c>
      <c r="O51" s="23">
        <v>0</v>
      </c>
      <c r="P51" s="23">
        <v>2407</v>
      </c>
      <c r="Q51" s="23">
        <v>638</v>
      </c>
      <c r="R51" s="13" t="s">
        <v>27</v>
      </c>
      <c r="S51" s="411"/>
      <c r="T51" s="414"/>
    </row>
    <row r="52" spans="6:20" ht="12.75" customHeight="1" thickBot="1" x14ac:dyDescent="0.25">
      <c r="F52" s="23">
        <f t="shared" ref="F52" si="158">SUM(F50:F51)</f>
        <v>3471</v>
      </c>
      <c r="G52" s="23">
        <f t="shared" ref="G52" si="159">SUM(G50:G51)</f>
        <v>0</v>
      </c>
      <c r="H52" s="23">
        <f t="shared" ref="H52" si="160">SUM(H50:H51)</f>
        <v>2715</v>
      </c>
      <c r="I52" s="23">
        <f t="shared" ref="I52" si="161">SUM(I50:I51)</f>
        <v>756</v>
      </c>
      <c r="J52" s="23">
        <f t="shared" ref="J52" si="162">SUM(J50:J51)</f>
        <v>14165</v>
      </c>
      <c r="K52" s="23">
        <f t="shared" ref="K52" si="163">SUM(K50:K51)</f>
        <v>0</v>
      </c>
      <c r="L52" s="23">
        <f t="shared" ref="L52" si="164">SUM(L50:L51)</f>
        <v>12095</v>
      </c>
      <c r="M52" s="23">
        <f t="shared" ref="M52" si="165">SUM(M50:M51)</f>
        <v>2070</v>
      </c>
      <c r="N52" s="23">
        <f t="shared" ref="N52" si="166">SUM(N50:N51)</f>
        <v>5031</v>
      </c>
      <c r="O52" s="23">
        <f t="shared" ref="O52" si="167">SUM(O50:O51)</f>
        <v>0</v>
      </c>
      <c r="P52" s="23">
        <f t="shared" ref="P52" si="168">SUM(P50:P51)</f>
        <v>3919</v>
      </c>
      <c r="Q52" s="23">
        <f>SUM(Q50:Q51)</f>
        <v>1112</v>
      </c>
      <c r="R52" s="13" t="s">
        <v>12</v>
      </c>
      <c r="S52" s="412"/>
      <c r="T52" s="415"/>
    </row>
    <row r="53" spans="6:20" ht="12.75" customHeight="1" thickBot="1" x14ac:dyDescent="0.25">
      <c r="F53" s="23">
        <f t="shared" si="0"/>
        <v>609</v>
      </c>
      <c r="G53" s="23">
        <v>0</v>
      </c>
      <c r="H53" s="23">
        <v>476</v>
      </c>
      <c r="I53" s="23">
        <v>133</v>
      </c>
      <c r="J53" s="23">
        <f t="shared" si="1"/>
        <v>4876</v>
      </c>
      <c r="K53" s="23">
        <v>40</v>
      </c>
      <c r="L53" s="23">
        <v>3519</v>
      </c>
      <c r="M53" s="23">
        <v>1317</v>
      </c>
      <c r="N53" s="23">
        <f t="shared" si="2"/>
        <v>2156</v>
      </c>
      <c r="O53" s="23">
        <v>40</v>
      </c>
      <c r="P53" s="23">
        <v>1555</v>
      </c>
      <c r="Q53" s="23">
        <v>561</v>
      </c>
      <c r="R53" s="13" t="s">
        <v>26</v>
      </c>
      <c r="S53" s="410">
        <v>11</v>
      </c>
      <c r="T53" s="413" t="s">
        <v>117</v>
      </c>
    </row>
    <row r="54" spans="6:20" ht="12.75" customHeight="1" thickBot="1" x14ac:dyDescent="0.25">
      <c r="F54" s="23">
        <f t="shared" si="0"/>
        <v>1967</v>
      </c>
      <c r="G54" s="23">
        <v>0</v>
      </c>
      <c r="H54" s="23">
        <v>1837</v>
      </c>
      <c r="I54" s="23">
        <v>130</v>
      </c>
      <c r="J54" s="23">
        <f t="shared" si="1"/>
        <v>9375</v>
      </c>
      <c r="K54" s="23">
        <v>30</v>
      </c>
      <c r="L54" s="23">
        <v>9037</v>
      </c>
      <c r="M54" s="23">
        <v>308</v>
      </c>
      <c r="N54" s="23">
        <f t="shared" si="2"/>
        <v>2569</v>
      </c>
      <c r="O54" s="23">
        <v>30</v>
      </c>
      <c r="P54" s="23">
        <v>2439</v>
      </c>
      <c r="Q54" s="23">
        <v>100</v>
      </c>
      <c r="R54" s="13" t="s">
        <v>27</v>
      </c>
      <c r="S54" s="411"/>
      <c r="T54" s="414"/>
    </row>
    <row r="55" spans="6:20" ht="12.75" customHeight="1" thickBot="1" x14ac:dyDescent="0.25">
      <c r="F55" s="23">
        <f t="shared" ref="F55" si="169">SUM(F53:F54)</f>
        <v>2576</v>
      </c>
      <c r="G55" s="23">
        <f t="shared" ref="G55" si="170">SUM(G53:G54)</f>
        <v>0</v>
      </c>
      <c r="H55" s="23">
        <f t="shared" ref="H55" si="171">SUM(H53:H54)</f>
        <v>2313</v>
      </c>
      <c r="I55" s="23">
        <f t="shared" ref="I55" si="172">SUM(I53:I54)</f>
        <v>263</v>
      </c>
      <c r="J55" s="23">
        <f t="shared" ref="J55" si="173">SUM(J53:J54)</f>
        <v>14251</v>
      </c>
      <c r="K55" s="23">
        <f t="shared" ref="K55" si="174">SUM(K53:K54)</f>
        <v>70</v>
      </c>
      <c r="L55" s="23">
        <f t="shared" ref="L55" si="175">SUM(L53:L54)</f>
        <v>12556</v>
      </c>
      <c r="M55" s="23">
        <f t="shared" ref="M55" si="176">SUM(M53:M54)</f>
        <v>1625</v>
      </c>
      <c r="N55" s="23">
        <f t="shared" ref="N55" si="177">SUM(N53:N54)</f>
        <v>4725</v>
      </c>
      <c r="O55" s="23">
        <f t="shared" ref="O55" si="178">SUM(O53:O54)</f>
        <v>70</v>
      </c>
      <c r="P55" s="23">
        <f t="shared" ref="P55" si="179">SUM(P53:P54)</f>
        <v>3994</v>
      </c>
      <c r="Q55" s="23">
        <f>SUM(Q53:Q54)</f>
        <v>661</v>
      </c>
      <c r="R55" s="13" t="s">
        <v>12</v>
      </c>
      <c r="S55" s="412"/>
      <c r="T55" s="415"/>
    </row>
    <row r="56" spans="6:20" ht="12.75" customHeight="1" thickBot="1" x14ac:dyDescent="0.25">
      <c r="F56" s="23">
        <f t="shared" si="0"/>
        <v>114</v>
      </c>
      <c r="G56" s="23">
        <v>0</v>
      </c>
      <c r="H56" s="23">
        <v>0</v>
      </c>
      <c r="I56" s="23">
        <v>114</v>
      </c>
      <c r="J56" s="23">
        <f t="shared" si="1"/>
        <v>1342</v>
      </c>
      <c r="K56" s="23">
        <v>0</v>
      </c>
      <c r="L56" s="23">
        <v>1010</v>
      </c>
      <c r="M56" s="23">
        <v>332</v>
      </c>
      <c r="N56" s="23">
        <f t="shared" si="2"/>
        <v>965</v>
      </c>
      <c r="O56" s="23">
        <v>0</v>
      </c>
      <c r="P56" s="23">
        <v>846</v>
      </c>
      <c r="Q56" s="23">
        <v>119</v>
      </c>
      <c r="R56" s="13" t="s">
        <v>26</v>
      </c>
      <c r="S56" s="410">
        <v>10</v>
      </c>
      <c r="T56" s="413" t="s">
        <v>119</v>
      </c>
    </row>
    <row r="57" spans="6:20" ht="12.75" customHeight="1" thickBot="1" x14ac:dyDescent="0.25">
      <c r="F57" s="23">
        <f t="shared" si="0"/>
        <v>1381</v>
      </c>
      <c r="G57" s="23">
        <v>0</v>
      </c>
      <c r="H57" s="23">
        <v>1178</v>
      </c>
      <c r="I57" s="23">
        <v>203</v>
      </c>
      <c r="J57" s="23">
        <f t="shared" si="1"/>
        <v>7453</v>
      </c>
      <c r="K57" s="23">
        <v>0</v>
      </c>
      <c r="L57" s="23">
        <v>6462</v>
      </c>
      <c r="M57" s="23">
        <v>991</v>
      </c>
      <c r="N57" s="23">
        <f t="shared" si="2"/>
        <v>1820</v>
      </c>
      <c r="O57" s="23">
        <v>0</v>
      </c>
      <c r="P57" s="23">
        <v>1548</v>
      </c>
      <c r="Q57" s="23">
        <v>272</v>
      </c>
      <c r="R57" s="13" t="s">
        <v>27</v>
      </c>
      <c r="S57" s="411"/>
      <c r="T57" s="414"/>
    </row>
    <row r="58" spans="6:20" ht="12.75" customHeight="1" thickBot="1" x14ac:dyDescent="0.25">
      <c r="F58" s="23">
        <f t="shared" ref="F58" si="180">SUM(F56:F57)</f>
        <v>1495</v>
      </c>
      <c r="G58" s="23">
        <f t="shared" ref="G58" si="181">SUM(G56:G57)</f>
        <v>0</v>
      </c>
      <c r="H58" s="23">
        <f t="shared" ref="H58" si="182">SUM(H56:H57)</f>
        <v>1178</v>
      </c>
      <c r="I58" s="23">
        <f t="shared" ref="I58" si="183">SUM(I56:I57)</f>
        <v>317</v>
      </c>
      <c r="J58" s="23">
        <f t="shared" ref="J58" si="184">SUM(J56:J57)</f>
        <v>8795</v>
      </c>
      <c r="K58" s="23">
        <f t="shared" ref="K58" si="185">SUM(K56:K57)</f>
        <v>0</v>
      </c>
      <c r="L58" s="23">
        <f t="shared" ref="L58" si="186">SUM(L56:L57)</f>
        <v>7472</v>
      </c>
      <c r="M58" s="23">
        <f t="shared" ref="M58" si="187">SUM(M56:M57)</f>
        <v>1323</v>
      </c>
      <c r="N58" s="23">
        <f t="shared" ref="N58" si="188">SUM(N56:N57)</f>
        <v>2785</v>
      </c>
      <c r="O58" s="23">
        <f t="shared" ref="O58" si="189">SUM(O56:O57)</f>
        <v>0</v>
      </c>
      <c r="P58" s="23">
        <f t="shared" ref="P58" si="190">SUM(P56:P57)</f>
        <v>2394</v>
      </c>
      <c r="Q58" s="23">
        <f>SUM(Q56:Q57)</f>
        <v>391</v>
      </c>
      <c r="R58" s="13" t="s">
        <v>12</v>
      </c>
      <c r="S58" s="412"/>
      <c r="T58" s="415"/>
    </row>
    <row r="59" spans="6:20" ht="12.75" customHeight="1" thickBot="1" x14ac:dyDescent="0.25">
      <c r="F59" s="23">
        <f t="shared" si="0"/>
        <v>0</v>
      </c>
      <c r="G59" s="23">
        <v>0</v>
      </c>
      <c r="H59" s="23">
        <v>0</v>
      </c>
      <c r="I59" s="23">
        <v>0</v>
      </c>
      <c r="J59" s="23">
        <f t="shared" si="1"/>
        <v>0</v>
      </c>
      <c r="K59" s="23">
        <v>0</v>
      </c>
      <c r="L59" s="23">
        <v>0</v>
      </c>
      <c r="M59" s="23">
        <v>0</v>
      </c>
      <c r="N59" s="23">
        <f t="shared" si="2"/>
        <v>0</v>
      </c>
      <c r="O59" s="23">
        <v>0</v>
      </c>
      <c r="P59" s="23">
        <v>0</v>
      </c>
      <c r="Q59" s="23">
        <v>0</v>
      </c>
      <c r="R59" s="13" t="s">
        <v>26</v>
      </c>
      <c r="S59" s="410">
        <v>33</v>
      </c>
      <c r="T59" s="413" t="s">
        <v>121</v>
      </c>
    </row>
    <row r="60" spans="6:20" ht="12.75" customHeight="1" thickBot="1" x14ac:dyDescent="0.25">
      <c r="F60" s="23">
        <f t="shared" si="0"/>
        <v>9151</v>
      </c>
      <c r="G60" s="23">
        <v>0</v>
      </c>
      <c r="H60" s="23">
        <v>7985</v>
      </c>
      <c r="I60" s="23">
        <v>1166</v>
      </c>
      <c r="J60" s="23">
        <f t="shared" si="1"/>
        <v>44708</v>
      </c>
      <c r="K60" s="23">
        <v>0</v>
      </c>
      <c r="L60" s="23">
        <v>42537</v>
      </c>
      <c r="M60" s="23">
        <v>2171</v>
      </c>
      <c r="N60" s="23">
        <f t="shared" si="2"/>
        <v>19843</v>
      </c>
      <c r="O60" s="23">
        <v>0</v>
      </c>
      <c r="P60" s="23">
        <v>18460</v>
      </c>
      <c r="Q60" s="23">
        <v>1383</v>
      </c>
      <c r="R60" s="13" t="s">
        <v>27</v>
      </c>
      <c r="S60" s="411"/>
      <c r="T60" s="414"/>
    </row>
    <row r="61" spans="6:20" ht="12.75" customHeight="1" thickBot="1" x14ac:dyDescent="0.25">
      <c r="F61" s="23">
        <f t="shared" ref="F61" si="191">SUM(F59:F60)</f>
        <v>9151</v>
      </c>
      <c r="G61" s="23">
        <f t="shared" ref="G61" si="192">SUM(G59:G60)</f>
        <v>0</v>
      </c>
      <c r="H61" s="23">
        <f t="shared" ref="H61" si="193">SUM(H59:H60)</f>
        <v>7985</v>
      </c>
      <c r="I61" s="23">
        <f t="shared" ref="I61" si="194">SUM(I59:I60)</f>
        <v>1166</v>
      </c>
      <c r="J61" s="23">
        <f t="shared" ref="J61" si="195">SUM(J59:J60)</f>
        <v>44708</v>
      </c>
      <c r="K61" s="23">
        <f t="shared" ref="K61" si="196">SUM(K59:K60)</f>
        <v>0</v>
      </c>
      <c r="L61" s="23">
        <f t="shared" ref="L61" si="197">SUM(L59:L60)</f>
        <v>42537</v>
      </c>
      <c r="M61" s="23">
        <f t="shared" ref="M61" si="198">SUM(M59:M60)</f>
        <v>2171</v>
      </c>
      <c r="N61" s="23">
        <f t="shared" ref="N61" si="199">SUM(N59:N60)</f>
        <v>19843</v>
      </c>
      <c r="O61" s="23">
        <f t="shared" ref="O61" si="200">SUM(O59:O60)</f>
        <v>0</v>
      </c>
      <c r="P61" s="23">
        <f t="shared" ref="P61" si="201">SUM(P59:P60)</f>
        <v>18460</v>
      </c>
      <c r="Q61" s="23">
        <f>SUM(Q59:Q60)</f>
        <v>1383</v>
      </c>
      <c r="R61" s="13" t="s">
        <v>12</v>
      </c>
      <c r="S61" s="412"/>
      <c r="T61" s="415"/>
    </row>
    <row r="62" spans="6:20" ht="12.75" customHeight="1" thickBot="1" x14ac:dyDescent="0.25">
      <c r="F62" s="23">
        <f t="shared" si="0"/>
        <v>257</v>
      </c>
      <c r="G62" s="23">
        <v>0</v>
      </c>
      <c r="H62" s="23">
        <v>138</v>
      </c>
      <c r="I62" s="23">
        <v>119</v>
      </c>
      <c r="J62" s="23">
        <f t="shared" si="1"/>
        <v>2442</v>
      </c>
      <c r="K62" s="23">
        <v>0</v>
      </c>
      <c r="L62" s="23">
        <v>2172</v>
      </c>
      <c r="M62" s="23">
        <v>270</v>
      </c>
      <c r="N62" s="23">
        <f t="shared" si="2"/>
        <v>1435</v>
      </c>
      <c r="O62" s="23">
        <v>0</v>
      </c>
      <c r="P62" s="23">
        <v>1279</v>
      </c>
      <c r="Q62" s="23">
        <v>156</v>
      </c>
      <c r="R62" s="13" t="s">
        <v>26</v>
      </c>
      <c r="S62" s="410">
        <v>12</v>
      </c>
      <c r="T62" s="413" t="s">
        <v>123</v>
      </c>
    </row>
    <row r="63" spans="6:20" ht="12.75" customHeight="1" thickBot="1" x14ac:dyDescent="0.25">
      <c r="F63" s="23">
        <f t="shared" si="0"/>
        <v>1263</v>
      </c>
      <c r="G63" s="23">
        <v>0</v>
      </c>
      <c r="H63" s="23">
        <v>1038</v>
      </c>
      <c r="I63" s="23">
        <v>225</v>
      </c>
      <c r="J63" s="23">
        <f t="shared" si="1"/>
        <v>5037</v>
      </c>
      <c r="K63" s="23">
        <v>0</v>
      </c>
      <c r="L63" s="23">
        <v>4564</v>
      </c>
      <c r="M63" s="23">
        <v>473</v>
      </c>
      <c r="N63" s="23">
        <f t="shared" si="2"/>
        <v>1788</v>
      </c>
      <c r="O63" s="23">
        <v>0</v>
      </c>
      <c r="P63" s="23">
        <v>1529</v>
      </c>
      <c r="Q63" s="23">
        <v>259</v>
      </c>
      <c r="R63" s="13" t="s">
        <v>27</v>
      </c>
      <c r="S63" s="411"/>
      <c r="T63" s="414"/>
    </row>
    <row r="64" spans="6:20" ht="12.75" customHeight="1" thickBot="1" x14ac:dyDescent="0.25">
      <c r="F64" s="23">
        <f t="shared" ref="F64" si="202">SUM(F62:F63)</f>
        <v>1520</v>
      </c>
      <c r="G64" s="23">
        <f t="shared" ref="G64" si="203">SUM(G62:G63)</f>
        <v>0</v>
      </c>
      <c r="H64" s="23">
        <f t="shared" ref="H64" si="204">SUM(H62:H63)</f>
        <v>1176</v>
      </c>
      <c r="I64" s="23">
        <f t="shared" ref="I64" si="205">SUM(I62:I63)</f>
        <v>344</v>
      </c>
      <c r="J64" s="23">
        <f t="shared" ref="J64" si="206">SUM(J62:J63)</f>
        <v>7479</v>
      </c>
      <c r="K64" s="23">
        <f t="shared" ref="K64" si="207">SUM(K62:K63)</f>
        <v>0</v>
      </c>
      <c r="L64" s="23">
        <f t="shared" ref="L64" si="208">SUM(L62:L63)</f>
        <v>6736</v>
      </c>
      <c r="M64" s="23">
        <f t="shared" ref="M64" si="209">SUM(M62:M63)</f>
        <v>743</v>
      </c>
      <c r="N64" s="23">
        <f t="shared" ref="N64" si="210">SUM(N62:N63)</f>
        <v>3223</v>
      </c>
      <c r="O64" s="23">
        <f t="shared" ref="O64" si="211">SUM(O62:O63)</f>
        <v>0</v>
      </c>
      <c r="P64" s="23">
        <f t="shared" ref="P64" si="212">SUM(P62:P63)</f>
        <v>2808</v>
      </c>
      <c r="Q64" s="23">
        <f>SUM(Q62:Q63)</f>
        <v>415</v>
      </c>
      <c r="R64" s="13" t="s">
        <v>12</v>
      </c>
      <c r="S64" s="412"/>
      <c r="T64" s="415"/>
    </row>
    <row r="65" spans="6:20" ht="12.75" customHeight="1" thickBot="1" x14ac:dyDescent="0.25">
      <c r="F65" s="23">
        <f t="shared" ref="F65:P67" si="213">F5+F8+F11+F14+F17+F20+F23+F26+F29+F32+F35+F38+F41+F44+F47+F50+F53+F56+F59+F62</f>
        <v>37282</v>
      </c>
      <c r="G65" s="23">
        <f t="shared" si="213"/>
        <v>2935</v>
      </c>
      <c r="H65" s="23">
        <f t="shared" si="213"/>
        <v>27670</v>
      </c>
      <c r="I65" s="23">
        <f t="shared" si="213"/>
        <v>6677</v>
      </c>
      <c r="J65" s="23">
        <f t="shared" si="213"/>
        <v>252738</v>
      </c>
      <c r="K65" s="23">
        <f t="shared" si="213"/>
        <v>9794</v>
      </c>
      <c r="L65" s="23">
        <f t="shared" si="213"/>
        <v>215102</v>
      </c>
      <c r="M65" s="23">
        <f t="shared" si="213"/>
        <v>27842</v>
      </c>
      <c r="N65" s="23">
        <f t="shared" si="213"/>
        <v>95416</v>
      </c>
      <c r="O65" s="23">
        <f t="shared" si="213"/>
        <v>5319</v>
      </c>
      <c r="P65" s="23">
        <f t="shared" si="213"/>
        <v>76073</v>
      </c>
      <c r="Q65" s="23">
        <f>Q5+Q8+Q11+Q14+Q17+Q20+Q23+Q26+Q29+Q32+Q35+Q38+Q41+Q44+Q47+Q50+Q53+Q56+Q59+Q62</f>
        <v>14024</v>
      </c>
      <c r="R65" s="13" t="s">
        <v>26</v>
      </c>
      <c r="S65" s="419">
        <f>S5+S8+S11+S14+S17+S20+S23+S26+S29+S32+S35+S38+S41+S44+S47+S50+S53+S56+S59+S62</f>
        <v>395</v>
      </c>
      <c r="T65" s="413" t="s">
        <v>150</v>
      </c>
    </row>
    <row r="66" spans="6:20" ht="12.75" customHeight="1" thickBot="1" x14ac:dyDescent="0.25">
      <c r="F66" s="23">
        <f t="shared" si="213"/>
        <v>69218</v>
      </c>
      <c r="G66" s="23">
        <f t="shared" si="213"/>
        <v>1002</v>
      </c>
      <c r="H66" s="23">
        <f t="shared" si="213"/>
        <v>61680</v>
      </c>
      <c r="I66" s="23">
        <f t="shared" si="213"/>
        <v>6536</v>
      </c>
      <c r="J66" s="23">
        <f t="shared" si="213"/>
        <v>396026</v>
      </c>
      <c r="K66" s="23">
        <f t="shared" si="213"/>
        <v>5591</v>
      </c>
      <c r="L66" s="23">
        <f t="shared" si="213"/>
        <v>367189</v>
      </c>
      <c r="M66" s="23">
        <f t="shared" si="213"/>
        <v>23246</v>
      </c>
      <c r="N66" s="23">
        <f t="shared" si="213"/>
        <v>122729</v>
      </c>
      <c r="O66" s="23">
        <f t="shared" si="213"/>
        <v>3245</v>
      </c>
      <c r="P66" s="23">
        <f t="shared" si="213"/>
        <v>108372</v>
      </c>
      <c r="Q66" s="23">
        <f t="shared" ref="Q66:Q67" si="214">Q6+Q9+Q12+Q15+Q18+Q21+Q24+Q27+Q30+Q33+Q36+Q39+Q42+Q45+Q48+Q51+Q54+Q57+Q60+Q63</f>
        <v>11112</v>
      </c>
      <c r="R66" s="13" t="s">
        <v>27</v>
      </c>
      <c r="S66" s="420"/>
      <c r="T66" s="414"/>
    </row>
    <row r="67" spans="6:20" ht="12.75" customHeight="1" thickBot="1" x14ac:dyDescent="0.25">
      <c r="F67" s="23">
        <f t="shared" si="213"/>
        <v>106500</v>
      </c>
      <c r="G67" s="23">
        <f t="shared" si="213"/>
        <v>3937</v>
      </c>
      <c r="H67" s="23">
        <f t="shared" si="213"/>
        <v>89350</v>
      </c>
      <c r="I67" s="23">
        <f t="shared" si="213"/>
        <v>13213</v>
      </c>
      <c r="J67" s="23">
        <f t="shared" si="213"/>
        <v>648764</v>
      </c>
      <c r="K67" s="23">
        <f t="shared" si="213"/>
        <v>15385</v>
      </c>
      <c r="L67" s="23">
        <f t="shared" si="213"/>
        <v>582291</v>
      </c>
      <c r="M67" s="23">
        <f t="shared" si="213"/>
        <v>51088</v>
      </c>
      <c r="N67" s="23">
        <f t="shared" si="213"/>
        <v>218145</v>
      </c>
      <c r="O67" s="23">
        <f t="shared" si="213"/>
        <v>8564</v>
      </c>
      <c r="P67" s="23">
        <f t="shared" si="213"/>
        <v>184445</v>
      </c>
      <c r="Q67" s="23">
        <f t="shared" si="214"/>
        <v>25136</v>
      </c>
      <c r="R67" s="13" t="s">
        <v>12</v>
      </c>
      <c r="S67" s="421"/>
      <c r="T67" s="415"/>
    </row>
    <row r="68" spans="6:20" ht="12.75" customHeight="1" thickBot="1" x14ac:dyDescent="0.25">
      <c r="F68" s="23">
        <f t="shared" si="0"/>
        <v>12750</v>
      </c>
      <c r="G68" s="23">
        <v>0</v>
      </c>
      <c r="H68" s="23">
        <v>306</v>
      </c>
      <c r="I68" s="23">
        <v>12444</v>
      </c>
      <c r="J68" s="23">
        <f t="shared" si="1"/>
        <v>67124</v>
      </c>
      <c r="K68" s="23">
        <v>0</v>
      </c>
      <c r="L68" s="23">
        <v>1352</v>
      </c>
      <c r="M68" s="23">
        <v>65772</v>
      </c>
      <c r="N68" s="23">
        <f t="shared" si="2"/>
        <v>38153</v>
      </c>
      <c r="O68" s="23">
        <v>0</v>
      </c>
      <c r="P68" s="23">
        <v>547</v>
      </c>
      <c r="Q68" s="23">
        <v>37606</v>
      </c>
      <c r="R68" s="13" t="s">
        <v>26</v>
      </c>
      <c r="S68" s="410">
        <v>44</v>
      </c>
      <c r="T68" s="413" t="s">
        <v>151</v>
      </c>
    </row>
    <row r="69" spans="6:20" ht="12.75" customHeight="1" thickBot="1" x14ac:dyDescent="0.25">
      <c r="F69" s="23">
        <f t="shared" si="0"/>
        <v>0</v>
      </c>
      <c r="G69" s="23">
        <v>0</v>
      </c>
      <c r="H69" s="23">
        <v>0</v>
      </c>
      <c r="I69" s="23">
        <v>0</v>
      </c>
      <c r="J69" s="23">
        <f t="shared" si="1"/>
        <v>3218</v>
      </c>
      <c r="K69" s="23">
        <v>0</v>
      </c>
      <c r="L69" s="23">
        <v>0</v>
      </c>
      <c r="M69" s="23">
        <v>3218</v>
      </c>
      <c r="N69" s="23">
        <f t="shared" si="2"/>
        <v>2927</v>
      </c>
      <c r="O69" s="23">
        <v>0</v>
      </c>
      <c r="P69" s="23">
        <v>0</v>
      </c>
      <c r="Q69" s="23">
        <v>2927</v>
      </c>
      <c r="R69" s="13" t="s">
        <v>27</v>
      </c>
      <c r="S69" s="411"/>
      <c r="T69" s="414"/>
    </row>
    <row r="70" spans="6:20" ht="12.75" customHeight="1" thickBot="1" x14ac:dyDescent="0.25">
      <c r="F70" s="23">
        <f t="shared" ref="F70" si="215">SUM(F68:F69)</f>
        <v>12750</v>
      </c>
      <c r="G70" s="23">
        <f t="shared" ref="G70" si="216">SUM(G68:G69)</f>
        <v>0</v>
      </c>
      <c r="H70" s="23">
        <f t="shared" ref="H70" si="217">SUM(H68:H69)</f>
        <v>306</v>
      </c>
      <c r="I70" s="23">
        <f t="shared" ref="I70" si="218">SUM(I68:I69)</f>
        <v>12444</v>
      </c>
      <c r="J70" s="23">
        <f t="shared" ref="J70" si="219">SUM(J68:J69)</f>
        <v>70342</v>
      </c>
      <c r="K70" s="23">
        <f t="shared" ref="K70" si="220">SUM(K68:K69)</f>
        <v>0</v>
      </c>
      <c r="L70" s="23">
        <f t="shared" ref="L70" si="221">SUM(L68:L69)</f>
        <v>1352</v>
      </c>
      <c r="M70" s="23">
        <f t="shared" ref="M70" si="222">SUM(M68:M69)</f>
        <v>68990</v>
      </c>
      <c r="N70" s="23">
        <f t="shared" ref="N70" si="223">SUM(N68:N69)</f>
        <v>41080</v>
      </c>
      <c r="O70" s="23">
        <f t="shared" ref="O70" si="224">SUM(O68:O69)</f>
        <v>0</v>
      </c>
      <c r="P70" s="23">
        <f t="shared" ref="P70" si="225">SUM(P68:P69)</f>
        <v>547</v>
      </c>
      <c r="Q70" s="23">
        <f>SUM(Q68:Q69)</f>
        <v>40533</v>
      </c>
      <c r="R70" s="13" t="s">
        <v>12</v>
      </c>
      <c r="S70" s="412"/>
      <c r="T70" s="415"/>
    </row>
    <row r="71" spans="6:20" ht="12.75" customHeight="1" thickBot="1" x14ac:dyDescent="0.25">
      <c r="F71" s="23">
        <f t="shared" ref="F71:F84" si="226">SUM(G71:I71)</f>
        <v>43</v>
      </c>
      <c r="G71" s="23">
        <v>0</v>
      </c>
      <c r="H71" s="23">
        <v>0</v>
      </c>
      <c r="I71" s="23">
        <v>43</v>
      </c>
      <c r="J71" s="23">
        <f t="shared" ref="J71:J84" si="227">SUM(K71:M71)</f>
        <v>188</v>
      </c>
      <c r="K71" s="23">
        <v>0</v>
      </c>
      <c r="L71" s="23">
        <v>70</v>
      </c>
      <c r="M71" s="23">
        <v>118</v>
      </c>
      <c r="N71" s="23">
        <f t="shared" ref="N71:N84" si="228">SUM(O71:Q71)</f>
        <v>138</v>
      </c>
      <c r="O71" s="23">
        <v>0</v>
      </c>
      <c r="P71" s="23">
        <v>39</v>
      </c>
      <c r="Q71" s="23">
        <v>99</v>
      </c>
      <c r="R71" s="13" t="s">
        <v>26</v>
      </c>
      <c r="S71" s="410">
        <v>1</v>
      </c>
      <c r="T71" s="413" t="s">
        <v>152</v>
      </c>
    </row>
    <row r="72" spans="6:20" ht="12.75" customHeight="1" thickBot="1" x14ac:dyDescent="0.25">
      <c r="F72" s="23">
        <f t="shared" si="226"/>
        <v>21</v>
      </c>
      <c r="G72" s="23">
        <v>0</v>
      </c>
      <c r="H72" s="23">
        <v>0</v>
      </c>
      <c r="I72" s="23">
        <v>21</v>
      </c>
      <c r="J72" s="23">
        <f t="shared" si="227"/>
        <v>156</v>
      </c>
      <c r="K72" s="23">
        <v>0</v>
      </c>
      <c r="L72" s="23">
        <v>63</v>
      </c>
      <c r="M72" s="23">
        <v>93</v>
      </c>
      <c r="N72" s="23">
        <f t="shared" si="228"/>
        <v>127</v>
      </c>
      <c r="O72" s="23">
        <v>0</v>
      </c>
      <c r="P72" s="23">
        <v>52</v>
      </c>
      <c r="Q72" s="23">
        <v>75</v>
      </c>
      <c r="R72" s="13" t="s">
        <v>27</v>
      </c>
      <c r="S72" s="411"/>
      <c r="T72" s="414"/>
    </row>
    <row r="73" spans="6:20" ht="12.75" customHeight="1" thickBot="1" x14ac:dyDescent="0.25">
      <c r="F73" s="23">
        <f t="shared" ref="F73" si="229">SUM(F71:F72)</f>
        <v>64</v>
      </c>
      <c r="G73" s="23">
        <f t="shared" ref="G73" si="230">SUM(G71:G72)</f>
        <v>0</v>
      </c>
      <c r="H73" s="23">
        <f t="shared" ref="H73" si="231">SUM(H71:H72)</f>
        <v>0</v>
      </c>
      <c r="I73" s="23">
        <f t="shared" ref="I73" si="232">SUM(I71:I72)</f>
        <v>64</v>
      </c>
      <c r="J73" s="23">
        <f t="shared" ref="J73" si="233">SUM(J71:J72)</f>
        <v>344</v>
      </c>
      <c r="K73" s="23">
        <f t="shared" ref="K73" si="234">SUM(K71:K72)</f>
        <v>0</v>
      </c>
      <c r="L73" s="23">
        <f t="shared" ref="L73" si="235">SUM(L71:L72)</f>
        <v>133</v>
      </c>
      <c r="M73" s="23">
        <f t="shared" ref="M73" si="236">SUM(M71:M72)</f>
        <v>211</v>
      </c>
      <c r="N73" s="23">
        <f t="shared" ref="N73" si="237">SUM(N71:N72)</f>
        <v>265</v>
      </c>
      <c r="O73" s="23">
        <f t="shared" ref="O73" si="238">SUM(O71:O72)</f>
        <v>0</v>
      </c>
      <c r="P73" s="23">
        <f t="shared" ref="P73" si="239">SUM(P71:P72)</f>
        <v>91</v>
      </c>
      <c r="Q73" s="23">
        <f>SUM(Q71:Q72)</f>
        <v>174</v>
      </c>
      <c r="R73" s="13" t="s">
        <v>12</v>
      </c>
      <c r="S73" s="412"/>
      <c r="T73" s="415"/>
    </row>
    <row r="74" spans="6:20" ht="12.75" customHeight="1" thickBot="1" x14ac:dyDescent="0.25">
      <c r="F74" s="23">
        <f t="shared" si="226"/>
        <v>934</v>
      </c>
      <c r="G74" s="23">
        <v>0</v>
      </c>
      <c r="H74" s="23">
        <v>165</v>
      </c>
      <c r="I74" s="23">
        <v>769</v>
      </c>
      <c r="J74" s="23">
        <f t="shared" si="227"/>
        <v>7224</v>
      </c>
      <c r="K74" s="23">
        <v>0</v>
      </c>
      <c r="L74" s="23">
        <v>2858</v>
      </c>
      <c r="M74" s="23">
        <v>4366</v>
      </c>
      <c r="N74" s="23">
        <f t="shared" si="228"/>
        <v>3541</v>
      </c>
      <c r="O74" s="23">
        <v>0</v>
      </c>
      <c r="P74" s="23">
        <v>1001</v>
      </c>
      <c r="Q74" s="23">
        <v>2540</v>
      </c>
      <c r="R74" s="13" t="s">
        <v>26</v>
      </c>
      <c r="S74" s="410">
        <v>4</v>
      </c>
      <c r="T74" s="413" t="s">
        <v>190</v>
      </c>
    </row>
    <row r="75" spans="6:20" ht="12.75" customHeight="1" thickBot="1" x14ac:dyDescent="0.25">
      <c r="F75" s="23">
        <f t="shared" si="226"/>
        <v>0</v>
      </c>
      <c r="G75" s="23">
        <v>0</v>
      </c>
      <c r="H75" s="23">
        <v>0</v>
      </c>
      <c r="I75" s="23">
        <v>0</v>
      </c>
      <c r="J75" s="23">
        <f t="shared" si="227"/>
        <v>1740</v>
      </c>
      <c r="K75" s="23">
        <v>0</v>
      </c>
      <c r="L75" s="23">
        <v>1740</v>
      </c>
      <c r="M75" s="23">
        <v>0</v>
      </c>
      <c r="N75" s="23">
        <f t="shared" si="228"/>
        <v>524</v>
      </c>
      <c r="O75" s="23">
        <v>0</v>
      </c>
      <c r="P75" s="23">
        <v>524</v>
      </c>
      <c r="Q75" s="23">
        <v>0</v>
      </c>
      <c r="R75" s="13" t="s">
        <v>27</v>
      </c>
      <c r="S75" s="411"/>
      <c r="T75" s="414"/>
    </row>
    <row r="76" spans="6:20" ht="12.75" customHeight="1" thickBot="1" x14ac:dyDescent="0.25">
      <c r="F76" s="23">
        <f t="shared" ref="F76" si="240">SUM(F74:F75)</f>
        <v>934</v>
      </c>
      <c r="G76" s="23">
        <f t="shared" ref="G76" si="241">SUM(G74:G75)</f>
        <v>0</v>
      </c>
      <c r="H76" s="23">
        <f t="shared" ref="H76" si="242">SUM(H74:H75)</f>
        <v>165</v>
      </c>
      <c r="I76" s="23">
        <f t="shared" ref="I76" si="243">SUM(I74:I75)</f>
        <v>769</v>
      </c>
      <c r="J76" s="23">
        <f t="shared" ref="J76" si="244">SUM(J74:J75)</f>
        <v>8964</v>
      </c>
      <c r="K76" s="23">
        <f t="shared" ref="K76" si="245">SUM(K74:K75)</f>
        <v>0</v>
      </c>
      <c r="L76" s="23">
        <f t="shared" ref="L76" si="246">SUM(L74:L75)</f>
        <v>4598</v>
      </c>
      <c r="M76" s="23">
        <f t="shared" ref="M76" si="247">SUM(M74:M75)</f>
        <v>4366</v>
      </c>
      <c r="N76" s="23">
        <f t="shared" ref="N76" si="248">SUM(N74:N75)</f>
        <v>4065</v>
      </c>
      <c r="O76" s="23">
        <f t="shared" ref="O76" si="249">SUM(O74:O75)</f>
        <v>0</v>
      </c>
      <c r="P76" s="23">
        <f t="shared" ref="P76" si="250">SUM(P74:P75)</f>
        <v>1525</v>
      </c>
      <c r="Q76" s="23">
        <f>SUM(Q74:Q75)</f>
        <v>2540</v>
      </c>
      <c r="R76" s="13" t="s">
        <v>12</v>
      </c>
      <c r="S76" s="412"/>
      <c r="T76" s="415"/>
    </row>
    <row r="77" spans="6:20" ht="12.75" customHeight="1" thickBot="1" x14ac:dyDescent="0.25">
      <c r="F77" s="23">
        <f t="shared" si="226"/>
        <v>1034</v>
      </c>
      <c r="G77" s="23">
        <v>185</v>
      </c>
      <c r="H77" s="23">
        <v>0</v>
      </c>
      <c r="I77" s="23">
        <v>849</v>
      </c>
      <c r="J77" s="23">
        <f t="shared" si="227"/>
        <v>2616</v>
      </c>
      <c r="K77" s="23">
        <v>497</v>
      </c>
      <c r="L77" s="23">
        <v>0</v>
      </c>
      <c r="M77" s="23">
        <v>2119</v>
      </c>
      <c r="N77" s="23">
        <f t="shared" si="228"/>
        <v>1267</v>
      </c>
      <c r="O77" s="23">
        <v>270</v>
      </c>
      <c r="P77" s="23">
        <v>0</v>
      </c>
      <c r="Q77" s="23">
        <v>997</v>
      </c>
      <c r="R77" s="13" t="s">
        <v>26</v>
      </c>
      <c r="S77" s="410">
        <v>1</v>
      </c>
      <c r="T77" s="413" t="s">
        <v>153</v>
      </c>
    </row>
    <row r="78" spans="6:20" ht="12.75" customHeight="1" thickBot="1" x14ac:dyDescent="0.25">
      <c r="F78" s="23">
        <f t="shared" si="226"/>
        <v>149</v>
      </c>
      <c r="G78" s="23">
        <v>0</v>
      </c>
      <c r="H78" s="23">
        <v>0</v>
      </c>
      <c r="I78" s="23">
        <v>149</v>
      </c>
      <c r="J78" s="23">
        <f t="shared" si="227"/>
        <v>324</v>
      </c>
      <c r="K78" s="23">
        <v>0</v>
      </c>
      <c r="L78" s="23">
        <v>0</v>
      </c>
      <c r="M78" s="23">
        <v>324</v>
      </c>
      <c r="N78" s="23">
        <f t="shared" si="228"/>
        <v>66</v>
      </c>
      <c r="O78" s="23">
        <v>0</v>
      </c>
      <c r="P78" s="23">
        <v>0</v>
      </c>
      <c r="Q78" s="23">
        <v>66</v>
      </c>
      <c r="R78" s="13" t="s">
        <v>27</v>
      </c>
      <c r="S78" s="411"/>
      <c r="T78" s="414"/>
    </row>
    <row r="79" spans="6:20" ht="12.75" customHeight="1" thickBot="1" x14ac:dyDescent="0.25">
      <c r="F79" s="23">
        <f t="shared" ref="F79" si="251">SUM(F77:F78)</f>
        <v>1183</v>
      </c>
      <c r="G79" s="23">
        <f t="shared" ref="G79" si="252">SUM(G77:G78)</f>
        <v>185</v>
      </c>
      <c r="H79" s="23">
        <f t="shared" ref="H79" si="253">SUM(H77:H78)</f>
        <v>0</v>
      </c>
      <c r="I79" s="23">
        <f t="shared" ref="I79" si="254">SUM(I77:I78)</f>
        <v>998</v>
      </c>
      <c r="J79" s="23">
        <f t="shared" ref="J79" si="255">SUM(J77:J78)</f>
        <v>2940</v>
      </c>
      <c r="K79" s="23">
        <f t="shared" ref="K79" si="256">SUM(K77:K78)</f>
        <v>497</v>
      </c>
      <c r="L79" s="23">
        <f t="shared" ref="L79" si="257">SUM(L77:L78)</f>
        <v>0</v>
      </c>
      <c r="M79" s="23">
        <f t="shared" ref="M79" si="258">SUM(M77:M78)</f>
        <v>2443</v>
      </c>
      <c r="N79" s="23">
        <f t="shared" ref="N79" si="259">SUM(N77:N78)</f>
        <v>1333</v>
      </c>
      <c r="O79" s="23">
        <f t="shared" ref="O79" si="260">SUM(O77:O78)</f>
        <v>270</v>
      </c>
      <c r="P79" s="23">
        <f t="shared" ref="P79" si="261">SUM(P77:P78)</f>
        <v>0</v>
      </c>
      <c r="Q79" s="23">
        <f>SUM(Q77:Q78)</f>
        <v>1063</v>
      </c>
      <c r="R79" s="13" t="s">
        <v>12</v>
      </c>
      <c r="S79" s="412"/>
      <c r="T79" s="415"/>
    </row>
    <row r="80" spans="6:20" ht="12.75" customHeight="1" thickBot="1" x14ac:dyDescent="0.25">
      <c r="F80" s="23">
        <f t="shared" ref="F80:P82" si="262">F68+F71+F74+F77</f>
        <v>14761</v>
      </c>
      <c r="G80" s="23">
        <f t="shared" si="262"/>
        <v>185</v>
      </c>
      <c r="H80" s="23">
        <f t="shared" si="262"/>
        <v>471</v>
      </c>
      <c r="I80" s="23">
        <f t="shared" si="262"/>
        <v>14105</v>
      </c>
      <c r="J80" s="23">
        <f t="shared" si="262"/>
        <v>77152</v>
      </c>
      <c r="K80" s="23">
        <f t="shared" si="262"/>
        <v>497</v>
      </c>
      <c r="L80" s="23">
        <f t="shared" si="262"/>
        <v>4280</v>
      </c>
      <c r="M80" s="23">
        <f t="shared" si="262"/>
        <v>72375</v>
      </c>
      <c r="N80" s="23">
        <f t="shared" si="262"/>
        <v>43099</v>
      </c>
      <c r="O80" s="23">
        <f t="shared" si="262"/>
        <v>270</v>
      </c>
      <c r="P80" s="23">
        <f t="shared" si="262"/>
        <v>1587</v>
      </c>
      <c r="Q80" s="23">
        <f>Q68+Q71+Q74+Q77</f>
        <v>41242</v>
      </c>
      <c r="R80" s="13" t="s">
        <v>26</v>
      </c>
      <c r="S80" s="419">
        <f>S68+S71+S74+S77</f>
        <v>50</v>
      </c>
      <c r="T80" s="413" t="s">
        <v>154</v>
      </c>
    </row>
    <row r="81" spans="6:20" ht="12.75" customHeight="1" thickBot="1" x14ac:dyDescent="0.25">
      <c r="F81" s="23">
        <f t="shared" si="262"/>
        <v>170</v>
      </c>
      <c r="G81" s="23">
        <f t="shared" si="262"/>
        <v>0</v>
      </c>
      <c r="H81" s="23">
        <f t="shared" si="262"/>
        <v>0</v>
      </c>
      <c r="I81" s="23">
        <f t="shared" si="262"/>
        <v>170</v>
      </c>
      <c r="J81" s="23">
        <f t="shared" si="262"/>
        <v>5438</v>
      </c>
      <c r="K81" s="23">
        <f t="shared" si="262"/>
        <v>0</v>
      </c>
      <c r="L81" s="23">
        <f t="shared" si="262"/>
        <v>1803</v>
      </c>
      <c r="M81" s="23">
        <f t="shared" si="262"/>
        <v>3635</v>
      </c>
      <c r="N81" s="23">
        <f t="shared" si="262"/>
        <v>3644</v>
      </c>
      <c r="O81" s="23">
        <f t="shared" si="262"/>
        <v>0</v>
      </c>
      <c r="P81" s="23">
        <f t="shared" si="262"/>
        <v>576</v>
      </c>
      <c r="Q81" s="23">
        <f t="shared" ref="Q81:Q82" si="263">Q69+Q72+Q75+Q78</f>
        <v>3068</v>
      </c>
      <c r="R81" s="13" t="s">
        <v>27</v>
      </c>
      <c r="S81" s="420"/>
      <c r="T81" s="414"/>
    </row>
    <row r="82" spans="6:20" ht="12.75" customHeight="1" thickBot="1" x14ac:dyDescent="0.25">
      <c r="F82" s="23">
        <f t="shared" si="262"/>
        <v>14931</v>
      </c>
      <c r="G82" s="23">
        <f t="shared" si="262"/>
        <v>185</v>
      </c>
      <c r="H82" s="23">
        <f t="shared" si="262"/>
        <v>471</v>
      </c>
      <c r="I82" s="23">
        <f t="shared" si="262"/>
        <v>14275</v>
      </c>
      <c r="J82" s="23">
        <f t="shared" si="262"/>
        <v>82590</v>
      </c>
      <c r="K82" s="23">
        <f t="shared" si="262"/>
        <v>497</v>
      </c>
      <c r="L82" s="23">
        <f t="shared" si="262"/>
        <v>6083</v>
      </c>
      <c r="M82" s="23">
        <f t="shared" si="262"/>
        <v>76010</v>
      </c>
      <c r="N82" s="23">
        <f t="shared" si="262"/>
        <v>46743</v>
      </c>
      <c r="O82" s="23">
        <f t="shared" si="262"/>
        <v>270</v>
      </c>
      <c r="P82" s="23">
        <f t="shared" si="262"/>
        <v>2163</v>
      </c>
      <c r="Q82" s="23">
        <f t="shared" si="263"/>
        <v>44310</v>
      </c>
      <c r="R82" s="13" t="s">
        <v>12</v>
      </c>
      <c r="S82" s="421"/>
      <c r="T82" s="415"/>
    </row>
    <row r="83" spans="6:20" ht="12.75" customHeight="1" thickBot="1" x14ac:dyDescent="0.25">
      <c r="F83" s="23">
        <f t="shared" si="226"/>
        <v>882</v>
      </c>
      <c r="G83" s="23">
        <v>169</v>
      </c>
      <c r="H83" s="23">
        <v>697</v>
      </c>
      <c r="I83" s="23">
        <v>16</v>
      </c>
      <c r="J83" s="23">
        <f t="shared" si="227"/>
        <v>13447</v>
      </c>
      <c r="K83" s="23">
        <v>223</v>
      </c>
      <c r="L83" s="23">
        <v>13095</v>
      </c>
      <c r="M83" s="23">
        <v>129</v>
      </c>
      <c r="N83" s="23">
        <f t="shared" si="228"/>
        <v>3929</v>
      </c>
      <c r="O83" s="23">
        <v>142</v>
      </c>
      <c r="P83" s="23">
        <v>3737</v>
      </c>
      <c r="Q83" s="23">
        <v>50</v>
      </c>
      <c r="R83" s="13" t="s">
        <v>26</v>
      </c>
      <c r="S83" s="419">
        <v>39</v>
      </c>
      <c r="T83" s="413" t="s">
        <v>155</v>
      </c>
    </row>
    <row r="84" spans="6:20" ht="12.75" customHeight="1" thickBot="1" x14ac:dyDescent="0.25">
      <c r="F84" s="23">
        <f t="shared" si="226"/>
        <v>738</v>
      </c>
      <c r="G84" s="23">
        <v>112</v>
      </c>
      <c r="H84" s="23">
        <v>626</v>
      </c>
      <c r="I84" s="23">
        <v>0</v>
      </c>
      <c r="J84" s="23">
        <f t="shared" si="227"/>
        <v>12969</v>
      </c>
      <c r="K84" s="23">
        <v>176</v>
      </c>
      <c r="L84" s="23">
        <v>12635</v>
      </c>
      <c r="M84" s="23">
        <v>158</v>
      </c>
      <c r="N84" s="23">
        <f t="shared" si="228"/>
        <v>4037</v>
      </c>
      <c r="O84" s="23">
        <v>142</v>
      </c>
      <c r="P84" s="23">
        <v>3806</v>
      </c>
      <c r="Q84" s="23">
        <v>89</v>
      </c>
      <c r="R84" s="13" t="s">
        <v>27</v>
      </c>
      <c r="S84" s="420"/>
      <c r="T84" s="414"/>
    </row>
    <row r="85" spans="6:20" ht="12.75" customHeight="1" thickBot="1" x14ac:dyDescent="0.25">
      <c r="F85" s="23">
        <f t="shared" ref="F85" si="264">SUM(F83:F84)</f>
        <v>1620</v>
      </c>
      <c r="G85" s="23">
        <f t="shared" ref="G85" si="265">SUM(G83:G84)</f>
        <v>281</v>
      </c>
      <c r="H85" s="23">
        <f t="shared" ref="H85" si="266">SUM(H83:H84)</f>
        <v>1323</v>
      </c>
      <c r="I85" s="23">
        <f t="shared" ref="I85" si="267">SUM(I83:I84)</f>
        <v>16</v>
      </c>
      <c r="J85" s="23">
        <f t="shared" ref="J85" si="268">SUM(J83:J84)</f>
        <v>26416</v>
      </c>
      <c r="K85" s="23">
        <f t="shared" ref="K85" si="269">SUM(K83:K84)</f>
        <v>399</v>
      </c>
      <c r="L85" s="23">
        <f t="shared" ref="L85" si="270">SUM(L83:L84)</f>
        <v>25730</v>
      </c>
      <c r="M85" s="23">
        <f t="shared" ref="M85" si="271">SUM(M83:M84)</f>
        <v>287</v>
      </c>
      <c r="N85" s="23">
        <f t="shared" ref="N85" si="272">SUM(N83:N84)</f>
        <v>7966</v>
      </c>
      <c r="O85" s="23">
        <f t="shared" ref="O85" si="273">SUM(O83:O84)</f>
        <v>284</v>
      </c>
      <c r="P85" s="23">
        <f t="shared" ref="P85" si="274">SUM(P83:P84)</f>
        <v>7543</v>
      </c>
      <c r="Q85" s="23">
        <f>SUM(Q83:Q84)</f>
        <v>139</v>
      </c>
      <c r="R85" s="13" t="s">
        <v>12</v>
      </c>
      <c r="S85" s="421"/>
      <c r="T85" s="415"/>
    </row>
    <row r="86" spans="6:20" ht="12.75" customHeight="1" thickBot="1" x14ac:dyDescent="0.25">
      <c r="F86" s="23">
        <f t="shared" ref="F86:P88" si="275">F65+F80+F83</f>
        <v>52925</v>
      </c>
      <c r="G86" s="23">
        <f t="shared" si="275"/>
        <v>3289</v>
      </c>
      <c r="H86" s="23">
        <f t="shared" si="275"/>
        <v>28838</v>
      </c>
      <c r="I86" s="23">
        <f t="shared" si="275"/>
        <v>20798</v>
      </c>
      <c r="J86" s="23">
        <f t="shared" si="275"/>
        <v>343337</v>
      </c>
      <c r="K86" s="23">
        <f t="shared" si="275"/>
        <v>10514</v>
      </c>
      <c r="L86" s="23">
        <f t="shared" si="275"/>
        <v>232477</v>
      </c>
      <c r="M86" s="23">
        <f t="shared" si="275"/>
        <v>100346</v>
      </c>
      <c r="N86" s="23">
        <f t="shared" si="275"/>
        <v>142444</v>
      </c>
      <c r="O86" s="23">
        <f t="shared" si="275"/>
        <v>5731</v>
      </c>
      <c r="P86" s="23">
        <f t="shared" si="275"/>
        <v>81397</v>
      </c>
      <c r="Q86" s="23">
        <f t="shared" ref="Q86" si="276">Q65+Q80+Q83</f>
        <v>55316</v>
      </c>
      <c r="R86" s="13" t="s">
        <v>26</v>
      </c>
      <c r="S86" s="419">
        <f>S65+S80+S83</f>
        <v>484</v>
      </c>
      <c r="T86" s="413" t="s">
        <v>41</v>
      </c>
    </row>
    <row r="87" spans="6:20" ht="12.75" customHeight="1" thickBot="1" x14ac:dyDescent="0.25">
      <c r="F87" s="23">
        <f t="shared" si="275"/>
        <v>70126</v>
      </c>
      <c r="G87" s="23">
        <f t="shared" si="275"/>
        <v>1114</v>
      </c>
      <c r="H87" s="23">
        <f t="shared" si="275"/>
        <v>62306</v>
      </c>
      <c r="I87" s="23">
        <f t="shared" si="275"/>
        <v>6706</v>
      </c>
      <c r="J87" s="23">
        <f t="shared" si="275"/>
        <v>414433</v>
      </c>
      <c r="K87" s="23">
        <f t="shared" si="275"/>
        <v>5767</v>
      </c>
      <c r="L87" s="23">
        <f t="shared" si="275"/>
        <v>381627</v>
      </c>
      <c r="M87" s="23">
        <f t="shared" si="275"/>
        <v>27039</v>
      </c>
      <c r="N87" s="23">
        <f t="shared" si="275"/>
        <v>130410</v>
      </c>
      <c r="O87" s="23">
        <f t="shared" si="275"/>
        <v>3387</v>
      </c>
      <c r="P87" s="23">
        <f t="shared" si="275"/>
        <v>112754</v>
      </c>
      <c r="Q87" s="23">
        <f t="shared" ref="Q87" si="277">Q66+Q81+Q84</f>
        <v>14269</v>
      </c>
      <c r="R87" s="13" t="s">
        <v>27</v>
      </c>
      <c r="S87" s="420"/>
      <c r="T87" s="414"/>
    </row>
    <row r="88" spans="6:20" ht="12.75" customHeight="1" thickBot="1" x14ac:dyDescent="0.25">
      <c r="F88" s="23">
        <f t="shared" si="275"/>
        <v>123051</v>
      </c>
      <c r="G88" s="23">
        <f t="shared" si="275"/>
        <v>4403</v>
      </c>
      <c r="H88" s="23">
        <f t="shared" si="275"/>
        <v>91144</v>
      </c>
      <c r="I88" s="23">
        <f t="shared" si="275"/>
        <v>27504</v>
      </c>
      <c r="J88" s="23">
        <f t="shared" si="275"/>
        <v>757770</v>
      </c>
      <c r="K88" s="23">
        <f t="shared" si="275"/>
        <v>16281</v>
      </c>
      <c r="L88" s="23">
        <f t="shared" si="275"/>
        <v>614104</v>
      </c>
      <c r="M88" s="23">
        <f t="shared" si="275"/>
        <v>127385</v>
      </c>
      <c r="N88" s="23">
        <f t="shared" si="275"/>
        <v>272854</v>
      </c>
      <c r="O88" s="23">
        <f t="shared" si="275"/>
        <v>9118</v>
      </c>
      <c r="P88" s="23">
        <f t="shared" si="275"/>
        <v>194151</v>
      </c>
      <c r="Q88" s="23">
        <f t="shared" ref="Q88" si="278">Q67+Q82+Q85</f>
        <v>69585</v>
      </c>
      <c r="R88" s="13" t="s">
        <v>12</v>
      </c>
      <c r="S88" s="421"/>
      <c r="T88" s="415"/>
    </row>
    <row r="92" spans="6:20" ht="12.75" customHeight="1" x14ac:dyDescent="0.2">
      <c r="H92" s="11"/>
    </row>
  </sheetData>
  <mergeCells count="64">
    <mergeCell ref="T86:T88"/>
    <mergeCell ref="S86:S88"/>
    <mergeCell ref="S83:S85"/>
    <mergeCell ref="S80:S82"/>
    <mergeCell ref="T80:T82"/>
    <mergeCell ref="T83:T85"/>
    <mergeCell ref="S77:S79"/>
    <mergeCell ref="S74:S76"/>
    <mergeCell ref="T74:T76"/>
    <mergeCell ref="T77:T79"/>
    <mergeCell ref="T35:T37"/>
    <mergeCell ref="S35:S37"/>
    <mergeCell ref="T53:T55"/>
    <mergeCell ref="S53:S55"/>
    <mergeCell ref="S50:S52"/>
    <mergeCell ref="T50:T52"/>
    <mergeCell ref="S47:S49"/>
    <mergeCell ref="T47:T49"/>
    <mergeCell ref="T32:T34"/>
    <mergeCell ref="T29:T31"/>
    <mergeCell ref="S29:S31"/>
    <mergeCell ref="T44:T46"/>
    <mergeCell ref="S44:S46"/>
    <mergeCell ref="S41:S43"/>
    <mergeCell ref="T41:T43"/>
    <mergeCell ref="S38:S40"/>
    <mergeCell ref="T38:T40"/>
    <mergeCell ref="T8:T10"/>
    <mergeCell ref="T5:T7"/>
    <mergeCell ref="S5:S7"/>
    <mergeCell ref="S71:S73"/>
    <mergeCell ref="T71:T73"/>
    <mergeCell ref="S68:S70"/>
    <mergeCell ref="T68:T70"/>
    <mergeCell ref="T65:T67"/>
    <mergeCell ref="S65:S67"/>
    <mergeCell ref="S62:S64"/>
    <mergeCell ref="T62:T64"/>
    <mergeCell ref="S59:S61"/>
    <mergeCell ref="T59:T61"/>
    <mergeCell ref="S56:S58"/>
    <mergeCell ref="T56:T58"/>
    <mergeCell ref="S32:S34"/>
    <mergeCell ref="S20:S22"/>
    <mergeCell ref="S17:S19"/>
    <mergeCell ref="S14:S16"/>
    <mergeCell ref="S11:S13"/>
    <mergeCell ref="S8:S10"/>
    <mergeCell ref="S26:S28"/>
    <mergeCell ref="S23:S25"/>
    <mergeCell ref="T26:T28"/>
    <mergeCell ref="T23:T25"/>
    <mergeCell ref="F1:T1"/>
    <mergeCell ref="F2:T2"/>
    <mergeCell ref="F3:I3"/>
    <mergeCell ref="J3:M3"/>
    <mergeCell ref="N3:Q3"/>
    <mergeCell ref="R3:R4"/>
    <mergeCell ref="S3:S4"/>
    <mergeCell ref="T3:T4"/>
    <mergeCell ref="T20:T22"/>
    <mergeCell ref="T17:T19"/>
    <mergeCell ref="T14:T16"/>
    <mergeCell ref="T11:T13"/>
  </mergeCells>
  <pageMargins left="7.8740157480315001E-2" right="7.8740157480315001E-2" top="7.8740157480315001E-2" bottom="7.8740157480315001E-2" header="7.8740157480315001E-2" footer="7.8740157480315001E-2"/>
  <pageSetup paperSize="9" scale="8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U79"/>
  <sheetViews>
    <sheetView showGridLines="0" topLeftCell="A10" workbookViewId="0">
      <selection activeCell="E23" sqref="E23"/>
    </sheetView>
  </sheetViews>
  <sheetFormatPr defaultRowHeight="15" customHeight="1" x14ac:dyDescent="0.2"/>
  <cols>
    <col min="1" max="2" width="9.125" style="2"/>
    <col min="3" max="14" width="8.375" style="2" customWidth="1"/>
    <col min="15" max="15" width="6.125" style="2" customWidth="1"/>
    <col min="16" max="16" width="27.375" style="2" customWidth="1"/>
    <col min="17" max="17" width="2.75" style="2" customWidth="1"/>
    <col min="18" max="257" width="9.125" style="2"/>
    <col min="258" max="269" width="8.375" style="2" customWidth="1"/>
    <col min="270" max="270" width="6.125" style="2" customWidth="1"/>
    <col min="271" max="271" width="27.375" style="2" customWidth="1"/>
    <col min="272" max="272" width="2.75" style="2" customWidth="1"/>
    <col min="273" max="513" width="9.125" style="2"/>
    <col min="514" max="525" width="8.375" style="2" customWidth="1"/>
    <col min="526" max="526" width="6.125" style="2" customWidth="1"/>
    <col min="527" max="527" width="27.375" style="2" customWidth="1"/>
    <col min="528" max="528" width="2.75" style="2" customWidth="1"/>
    <col min="529" max="769" width="9.125" style="2"/>
    <col min="770" max="781" width="8.375" style="2" customWidth="1"/>
    <col min="782" max="782" width="6.125" style="2" customWidth="1"/>
    <col min="783" max="783" width="27.375" style="2" customWidth="1"/>
    <col min="784" max="784" width="2.75" style="2" customWidth="1"/>
    <col min="785" max="1025" width="9.125" style="2"/>
    <col min="1026" max="1037" width="8.375" style="2" customWidth="1"/>
    <col min="1038" max="1038" width="6.125" style="2" customWidth="1"/>
    <col min="1039" max="1039" width="27.375" style="2" customWidth="1"/>
    <col min="1040" max="1040" width="2.75" style="2" customWidth="1"/>
    <col min="1041" max="1281" width="9.125" style="2"/>
    <col min="1282" max="1293" width="8.375" style="2" customWidth="1"/>
    <col min="1294" max="1294" width="6.125" style="2" customWidth="1"/>
    <col min="1295" max="1295" width="27.375" style="2" customWidth="1"/>
    <col min="1296" max="1296" width="2.75" style="2" customWidth="1"/>
    <col min="1297" max="1537" width="9.125" style="2"/>
    <col min="1538" max="1549" width="8.375" style="2" customWidth="1"/>
    <col min="1550" max="1550" width="6.125" style="2" customWidth="1"/>
    <col min="1551" max="1551" width="27.375" style="2" customWidth="1"/>
    <col min="1552" max="1552" width="2.75" style="2" customWidth="1"/>
    <col min="1553" max="1793" width="9.125" style="2"/>
    <col min="1794" max="1805" width="8.375" style="2" customWidth="1"/>
    <col min="1806" max="1806" width="6.125" style="2" customWidth="1"/>
    <col min="1807" max="1807" width="27.375" style="2" customWidth="1"/>
    <col min="1808" max="1808" width="2.75" style="2" customWidth="1"/>
    <col min="1809" max="2049" width="9.125" style="2"/>
    <col min="2050" max="2061" width="8.375" style="2" customWidth="1"/>
    <col min="2062" max="2062" width="6.125" style="2" customWidth="1"/>
    <col min="2063" max="2063" width="27.375" style="2" customWidth="1"/>
    <col min="2064" max="2064" width="2.75" style="2" customWidth="1"/>
    <col min="2065" max="2305" width="9.125" style="2"/>
    <col min="2306" max="2317" width="8.375" style="2" customWidth="1"/>
    <col min="2318" max="2318" width="6.125" style="2" customWidth="1"/>
    <col min="2319" max="2319" width="27.375" style="2" customWidth="1"/>
    <col min="2320" max="2320" width="2.75" style="2" customWidth="1"/>
    <col min="2321" max="2561" width="9.125" style="2"/>
    <col min="2562" max="2573" width="8.375" style="2" customWidth="1"/>
    <col min="2574" max="2574" width="6.125" style="2" customWidth="1"/>
    <col min="2575" max="2575" width="27.375" style="2" customWidth="1"/>
    <col min="2576" max="2576" width="2.75" style="2" customWidth="1"/>
    <col min="2577" max="2817" width="9.125" style="2"/>
    <col min="2818" max="2829" width="8.375" style="2" customWidth="1"/>
    <col min="2830" max="2830" width="6.125" style="2" customWidth="1"/>
    <col min="2831" max="2831" width="27.375" style="2" customWidth="1"/>
    <col min="2832" max="2832" width="2.75" style="2" customWidth="1"/>
    <col min="2833" max="3073" width="9.125" style="2"/>
    <col min="3074" max="3085" width="8.375" style="2" customWidth="1"/>
    <col min="3086" max="3086" width="6.125" style="2" customWidth="1"/>
    <col min="3087" max="3087" width="27.375" style="2" customWidth="1"/>
    <col min="3088" max="3088" width="2.75" style="2" customWidth="1"/>
    <col min="3089" max="3329" width="9.125" style="2"/>
    <col min="3330" max="3341" width="8.375" style="2" customWidth="1"/>
    <col min="3342" max="3342" width="6.125" style="2" customWidth="1"/>
    <col min="3343" max="3343" width="27.375" style="2" customWidth="1"/>
    <col min="3344" max="3344" width="2.75" style="2" customWidth="1"/>
    <col min="3345" max="3585" width="9.125" style="2"/>
    <col min="3586" max="3597" width="8.375" style="2" customWidth="1"/>
    <col min="3598" max="3598" width="6.125" style="2" customWidth="1"/>
    <col min="3599" max="3599" width="27.375" style="2" customWidth="1"/>
    <col min="3600" max="3600" width="2.75" style="2" customWidth="1"/>
    <col min="3601" max="3841" width="9.125" style="2"/>
    <col min="3842" max="3853" width="8.375" style="2" customWidth="1"/>
    <col min="3854" max="3854" width="6.125" style="2" customWidth="1"/>
    <col min="3855" max="3855" width="27.375" style="2" customWidth="1"/>
    <col min="3856" max="3856" width="2.75" style="2" customWidth="1"/>
    <col min="3857" max="4097" width="9.125" style="2"/>
    <col min="4098" max="4109" width="8.375" style="2" customWidth="1"/>
    <col min="4110" max="4110" width="6.125" style="2" customWidth="1"/>
    <col min="4111" max="4111" width="27.375" style="2" customWidth="1"/>
    <col min="4112" max="4112" width="2.75" style="2" customWidth="1"/>
    <col min="4113" max="4353" width="9.125" style="2"/>
    <col min="4354" max="4365" width="8.375" style="2" customWidth="1"/>
    <col min="4366" max="4366" width="6.125" style="2" customWidth="1"/>
    <col min="4367" max="4367" width="27.375" style="2" customWidth="1"/>
    <col min="4368" max="4368" width="2.75" style="2" customWidth="1"/>
    <col min="4369" max="4609" width="9.125" style="2"/>
    <col min="4610" max="4621" width="8.375" style="2" customWidth="1"/>
    <col min="4622" max="4622" width="6.125" style="2" customWidth="1"/>
    <col min="4623" max="4623" width="27.375" style="2" customWidth="1"/>
    <col min="4624" max="4624" width="2.75" style="2" customWidth="1"/>
    <col min="4625" max="4865" width="9.125" style="2"/>
    <col min="4866" max="4877" width="8.375" style="2" customWidth="1"/>
    <col min="4878" max="4878" width="6.125" style="2" customWidth="1"/>
    <col min="4879" max="4879" width="27.375" style="2" customWidth="1"/>
    <col min="4880" max="4880" width="2.75" style="2" customWidth="1"/>
    <col min="4881" max="5121" width="9.125" style="2"/>
    <col min="5122" max="5133" width="8.375" style="2" customWidth="1"/>
    <col min="5134" max="5134" width="6.125" style="2" customWidth="1"/>
    <col min="5135" max="5135" width="27.375" style="2" customWidth="1"/>
    <col min="5136" max="5136" width="2.75" style="2" customWidth="1"/>
    <col min="5137" max="5377" width="9.125" style="2"/>
    <col min="5378" max="5389" width="8.375" style="2" customWidth="1"/>
    <col min="5390" max="5390" width="6.125" style="2" customWidth="1"/>
    <col min="5391" max="5391" width="27.375" style="2" customWidth="1"/>
    <col min="5392" max="5392" width="2.75" style="2" customWidth="1"/>
    <col min="5393" max="5633" width="9.125" style="2"/>
    <col min="5634" max="5645" width="8.375" style="2" customWidth="1"/>
    <col min="5646" max="5646" width="6.125" style="2" customWidth="1"/>
    <col min="5647" max="5647" width="27.375" style="2" customWidth="1"/>
    <col min="5648" max="5648" width="2.75" style="2" customWidth="1"/>
    <col min="5649" max="5889" width="9.125" style="2"/>
    <col min="5890" max="5901" width="8.375" style="2" customWidth="1"/>
    <col min="5902" max="5902" width="6.125" style="2" customWidth="1"/>
    <col min="5903" max="5903" width="27.375" style="2" customWidth="1"/>
    <col min="5904" max="5904" width="2.75" style="2" customWidth="1"/>
    <col min="5905" max="6145" width="9.125" style="2"/>
    <col min="6146" max="6157" width="8.375" style="2" customWidth="1"/>
    <col min="6158" max="6158" width="6.125" style="2" customWidth="1"/>
    <col min="6159" max="6159" width="27.375" style="2" customWidth="1"/>
    <col min="6160" max="6160" width="2.75" style="2" customWidth="1"/>
    <col min="6161" max="6401" width="9.125" style="2"/>
    <col min="6402" max="6413" width="8.375" style="2" customWidth="1"/>
    <col min="6414" max="6414" width="6.125" style="2" customWidth="1"/>
    <col min="6415" max="6415" width="27.375" style="2" customWidth="1"/>
    <col min="6416" max="6416" width="2.75" style="2" customWidth="1"/>
    <col min="6417" max="6657" width="9.125" style="2"/>
    <col min="6658" max="6669" width="8.375" style="2" customWidth="1"/>
    <col min="6670" max="6670" width="6.125" style="2" customWidth="1"/>
    <col min="6671" max="6671" width="27.375" style="2" customWidth="1"/>
    <col min="6672" max="6672" width="2.75" style="2" customWidth="1"/>
    <col min="6673" max="6913" width="9.125" style="2"/>
    <col min="6914" max="6925" width="8.375" style="2" customWidth="1"/>
    <col min="6926" max="6926" width="6.125" style="2" customWidth="1"/>
    <col min="6927" max="6927" width="27.375" style="2" customWidth="1"/>
    <col min="6928" max="6928" width="2.75" style="2" customWidth="1"/>
    <col min="6929" max="7169" width="9.125" style="2"/>
    <col min="7170" max="7181" width="8.375" style="2" customWidth="1"/>
    <col min="7182" max="7182" width="6.125" style="2" customWidth="1"/>
    <col min="7183" max="7183" width="27.375" style="2" customWidth="1"/>
    <col min="7184" max="7184" width="2.75" style="2" customWidth="1"/>
    <col min="7185" max="7425" width="9.125" style="2"/>
    <col min="7426" max="7437" width="8.375" style="2" customWidth="1"/>
    <col min="7438" max="7438" width="6.125" style="2" customWidth="1"/>
    <col min="7439" max="7439" width="27.375" style="2" customWidth="1"/>
    <col min="7440" max="7440" width="2.75" style="2" customWidth="1"/>
    <col min="7441" max="7681" width="9.125" style="2"/>
    <col min="7682" max="7693" width="8.375" style="2" customWidth="1"/>
    <col min="7694" max="7694" width="6.125" style="2" customWidth="1"/>
    <col min="7695" max="7695" width="27.375" style="2" customWidth="1"/>
    <col min="7696" max="7696" width="2.75" style="2" customWidth="1"/>
    <col min="7697" max="7937" width="9.125" style="2"/>
    <col min="7938" max="7949" width="8.375" style="2" customWidth="1"/>
    <col min="7950" max="7950" width="6.125" style="2" customWidth="1"/>
    <col min="7951" max="7951" width="27.375" style="2" customWidth="1"/>
    <col min="7952" max="7952" width="2.75" style="2" customWidth="1"/>
    <col min="7953" max="8193" width="9.125" style="2"/>
    <col min="8194" max="8205" width="8.375" style="2" customWidth="1"/>
    <col min="8206" max="8206" width="6.125" style="2" customWidth="1"/>
    <col min="8207" max="8207" width="27.375" style="2" customWidth="1"/>
    <col min="8208" max="8208" width="2.75" style="2" customWidth="1"/>
    <col min="8209" max="8449" width="9.125" style="2"/>
    <col min="8450" max="8461" width="8.375" style="2" customWidth="1"/>
    <col min="8462" max="8462" width="6.125" style="2" customWidth="1"/>
    <col min="8463" max="8463" width="27.375" style="2" customWidth="1"/>
    <col min="8464" max="8464" width="2.75" style="2" customWidth="1"/>
    <col min="8465" max="8705" width="9.125" style="2"/>
    <col min="8706" max="8717" width="8.375" style="2" customWidth="1"/>
    <col min="8718" max="8718" width="6.125" style="2" customWidth="1"/>
    <col min="8719" max="8719" width="27.375" style="2" customWidth="1"/>
    <col min="8720" max="8720" width="2.75" style="2" customWidth="1"/>
    <col min="8721" max="8961" width="9.125" style="2"/>
    <col min="8962" max="8973" width="8.375" style="2" customWidth="1"/>
    <col min="8974" max="8974" width="6.125" style="2" customWidth="1"/>
    <col min="8975" max="8975" width="27.375" style="2" customWidth="1"/>
    <col min="8976" max="8976" width="2.75" style="2" customWidth="1"/>
    <col min="8977" max="9217" width="9.125" style="2"/>
    <col min="9218" max="9229" width="8.375" style="2" customWidth="1"/>
    <col min="9230" max="9230" width="6.125" style="2" customWidth="1"/>
    <col min="9231" max="9231" width="27.375" style="2" customWidth="1"/>
    <col min="9232" max="9232" width="2.75" style="2" customWidth="1"/>
    <col min="9233" max="9473" width="9.125" style="2"/>
    <col min="9474" max="9485" width="8.375" style="2" customWidth="1"/>
    <col min="9486" max="9486" width="6.125" style="2" customWidth="1"/>
    <col min="9487" max="9487" width="27.375" style="2" customWidth="1"/>
    <col min="9488" max="9488" width="2.75" style="2" customWidth="1"/>
    <col min="9489" max="9729" width="9.125" style="2"/>
    <col min="9730" max="9741" width="8.375" style="2" customWidth="1"/>
    <col min="9742" max="9742" width="6.125" style="2" customWidth="1"/>
    <col min="9743" max="9743" width="27.375" style="2" customWidth="1"/>
    <col min="9744" max="9744" width="2.75" style="2" customWidth="1"/>
    <col min="9745" max="9985" width="9.125" style="2"/>
    <col min="9986" max="9997" width="8.375" style="2" customWidth="1"/>
    <col min="9998" max="9998" width="6.125" style="2" customWidth="1"/>
    <col min="9999" max="9999" width="27.375" style="2" customWidth="1"/>
    <col min="10000" max="10000" width="2.75" style="2" customWidth="1"/>
    <col min="10001" max="10241" width="9.125" style="2"/>
    <col min="10242" max="10253" width="8.375" style="2" customWidth="1"/>
    <col min="10254" max="10254" width="6.125" style="2" customWidth="1"/>
    <col min="10255" max="10255" width="27.375" style="2" customWidth="1"/>
    <col min="10256" max="10256" width="2.75" style="2" customWidth="1"/>
    <col min="10257" max="10497" width="9.125" style="2"/>
    <col min="10498" max="10509" width="8.375" style="2" customWidth="1"/>
    <col min="10510" max="10510" width="6.125" style="2" customWidth="1"/>
    <col min="10511" max="10511" width="27.375" style="2" customWidth="1"/>
    <col min="10512" max="10512" width="2.75" style="2" customWidth="1"/>
    <col min="10513" max="10753" width="9.125" style="2"/>
    <col min="10754" max="10765" width="8.375" style="2" customWidth="1"/>
    <col min="10766" max="10766" width="6.125" style="2" customWidth="1"/>
    <col min="10767" max="10767" width="27.375" style="2" customWidth="1"/>
    <col min="10768" max="10768" width="2.75" style="2" customWidth="1"/>
    <col min="10769" max="11009" width="9.125" style="2"/>
    <col min="11010" max="11021" width="8.375" style="2" customWidth="1"/>
    <col min="11022" max="11022" width="6.125" style="2" customWidth="1"/>
    <col min="11023" max="11023" width="27.375" style="2" customWidth="1"/>
    <col min="11024" max="11024" width="2.75" style="2" customWidth="1"/>
    <col min="11025" max="11265" width="9.125" style="2"/>
    <col min="11266" max="11277" width="8.375" style="2" customWidth="1"/>
    <col min="11278" max="11278" width="6.125" style="2" customWidth="1"/>
    <col min="11279" max="11279" width="27.375" style="2" customWidth="1"/>
    <col min="11280" max="11280" width="2.75" style="2" customWidth="1"/>
    <col min="11281" max="11521" width="9.125" style="2"/>
    <col min="11522" max="11533" width="8.375" style="2" customWidth="1"/>
    <col min="11534" max="11534" width="6.125" style="2" customWidth="1"/>
    <col min="11535" max="11535" width="27.375" style="2" customWidth="1"/>
    <col min="11536" max="11536" width="2.75" style="2" customWidth="1"/>
    <col min="11537" max="11777" width="9.125" style="2"/>
    <col min="11778" max="11789" width="8.375" style="2" customWidth="1"/>
    <col min="11790" max="11790" width="6.125" style="2" customWidth="1"/>
    <col min="11791" max="11791" width="27.375" style="2" customWidth="1"/>
    <col min="11792" max="11792" width="2.75" style="2" customWidth="1"/>
    <col min="11793" max="12033" width="9.125" style="2"/>
    <col min="12034" max="12045" width="8.375" style="2" customWidth="1"/>
    <col min="12046" max="12046" width="6.125" style="2" customWidth="1"/>
    <col min="12047" max="12047" width="27.375" style="2" customWidth="1"/>
    <col min="12048" max="12048" width="2.75" style="2" customWidth="1"/>
    <col min="12049" max="12289" width="9.125" style="2"/>
    <col min="12290" max="12301" width="8.375" style="2" customWidth="1"/>
    <col min="12302" max="12302" width="6.125" style="2" customWidth="1"/>
    <col min="12303" max="12303" width="27.375" style="2" customWidth="1"/>
    <col min="12304" max="12304" width="2.75" style="2" customWidth="1"/>
    <col min="12305" max="12545" width="9.125" style="2"/>
    <col min="12546" max="12557" width="8.375" style="2" customWidth="1"/>
    <col min="12558" max="12558" width="6.125" style="2" customWidth="1"/>
    <col min="12559" max="12559" width="27.375" style="2" customWidth="1"/>
    <col min="12560" max="12560" width="2.75" style="2" customWidth="1"/>
    <col min="12561" max="12801" width="9.125" style="2"/>
    <col min="12802" max="12813" width="8.375" style="2" customWidth="1"/>
    <col min="12814" max="12814" width="6.125" style="2" customWidth="1"/>
    <col min="12815" max="12815" width="27.375" style="2" customWidth="1"/>
    <col min="12816" max="12816" width="2.75" style="2" customWidth="1"/>
    <col min="12817" max="13057" width="9.125" style="2"/>
    <col min="13058" max="13069" width="8.375" style="2" customWidth="1"/>
    <col min="13070" max="13070" width="6.125" style="2" customWidth="1"/>
    <col min="13071" max="13071" width="27.375" style="2" customWidth="1"/>
    <col min="13072" max="13072" width="2.75" style="2" customWidth="1"/>
    <col min="13073" max="13313" width="9.125" style="2"/>
    <col min="13314" max="13325" width="8.375" style="2" customWidth="1"/>
    <col min="13326" max="13326" width="6.125" style="2" customWidth="1"/>
    <col min="13327" max="13327" width="27.375" style="2" customWidth="1"/>
    <col min="13328" max="13328" width="2.75" style="2" customWidth="1"/>
    <col min="13329" max="13569" width="9.125" style="2"/>
    <col min="13570" max="13581" width="8.375" style="2" customWidth="1"/>
    <col min="13582" max="13582" width="6.125" style="2" customWidth="1"/>
    <col min="13583" max="13583" width="27.375" style="2" customWidth="1"/>
    <col min="13584" max="13584" width="2.75" style="2" customWidth="1"/>
    <col min="13585" max="13825" width="9.125" style="2"/>
    <col min="13826" max="13837" width="8.375" style="2" customWidth="1"/>
    <col min="13838" max="13838" width="6.125" style="2" customWidth="1"/>
    <col min="13839" max="13839" width="27.375" style="2" customWidth="1"/>
    <col min="13840" max="13840" width="2.75" style="2" customWidth="1"/>
    <col min="13841" max="14081" width="9.125" style="2"/>
    <col min="14082" max="14093" width="8.375" style="2" customWidth="1"/>
    <col min="14094" max="14094" width="6.125" style="2" customWidth="1"/>
    <col min="14095" max="14095" width="27.375" style="2" customWidth="1"/>
    <col min="14096" max="14096" width="2.75" style="2" customWidth="1"/>
    <col min="14097" max="14337" width="9.125" style="2"/>
    <col min="14338" max="14349" width="8.375" style="2" customWidth="1"/>
    <col min="14350" max="14350" width="6.125" style="2" customWidth="1"/>
    <col min="14351" max="14351" width="27.375" style="2" customWidth="1"/>
    <col min="14352" max="14352" width="2.75" style="2" customWidth="1"/>
    <col min="14353" max="14593" width="9.125" style="2"/>
    <col min="14594" max="14605" width="8.375" style="2" customWidth="1"/>
    <col min="14606" max="14606" width="6.125" style="2" customWidth="1"/>
    <col min="14607" max="14607" width="27.375" style="2" customWidth="1"/>
    <col min="14608" max="14608" width="2.75" style="2" customWidth="1"/>
    <col min="14609" max="14849" width="9.125" style="2"/>
    <col min="14850" max="14861" width="8.375" style="2" customWidth="1"/>
    <col min="14862" max="14862" width="6.125" style="2" customWidth="1"/>
    <col min="14863" max="14863" width="27.375" style="2" customWidth="1"/>
    <col min="14864" max="14864" width="2.75" style="2" customWidth="1"/>
    <col min="14865" max="15105" width="9.125" style="2"/>
    <col min="15106" max="15117" width="8.375" style="2" customWidth="1"/>
    <col min="15118" max="15118" width="6.125" style="2" customWidth="1"/>
    <col min="15119" max="15119" width="27.375" style="2" customWidth="1"/>
    <col min="15120" max="15120" width="2.75" style="2" customWidth="1"/>
    <col min="15121" max="15361" width="9.125" style="2"/>
    <col min="15362" max="15373" width="8.375" style="2" customWidth="1"/>
    <col min="15374" max="15374" width="6.125" style="2" customWidth="1"/>
    <col min="15375" max="15375" width="27.375" style="2" customWidth="1"/>
    <col min="15376" max="15376" width="2.75" style="2" customWidth="1"/>
    <col min="15377" max="15617" width="9.125" style="2"/>
    <col min="15618" max="15629" width="8.375" style="2" customWidth="1"/>
    <col min="15630" max="15630" width="6.125" style="2" customWidth="1"/>
    <col min="15631" max="15631" width="27.375" style="2" customWidth="1"/>
    <col min="15632" max="15632" width="2.75" style="2" customWidth="1"/>
    <col min="15633" max="15873" width="9.125" style="2"/>
    <col min="15874" max="15885" width="8.375" style="2" customWidth="1"/>
    <col min="15886" max="15886" width="6.125" style="2" customWidth="1"/>
    <col min="15887" max="15887" width="27.375" style="2" customWidth="1"/>
    <col min="15888" max="15888" width="2.75" style="2" customWidth="1"/>
    <col min="15889" max="16129" width="9.125" style="2"/>
    <col min="16130" max="16141" width="8.375" style="2" customWidth="1"/>
    <col min="16142" max="16142" width="6.125" style="2" customWidth="1"/>
    <col min="16143" max="16143" width="27.375" style="2" customWidth="1"/>
    <col min="16144" max="16144" width="2.75" style="2" customWidth="1"/>
    <col min="16145" max="16384" width="9.125" style="2"/>
  </cols>
  <sheetData>
    <row r="1" spans="3:17" ht="15" customHeight="1" x14ac:dyDescent="0.2">
      <c r="C1" s="406" t="s">
        <v>220</v>
      </c>
      <c r="D1" s="407"/>
      <c r="E1" s="407"/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7"/>
      <c r="Q1" s="22"/>
    </row>
    <row r="2" spans="3:17" ht="15" customHeight="1" thickBot="1" x14ac:dyDescent="0.25">
      <c r="C2" s="408" t="s">
        <v>158</v>
      </c>
      <c r="D2" s="408"/>
      <c r="E2" s="408"/>
      <c r="F2" s="408"/>
      <c r="G2" s="408"/>
      <c r="H2" s="408"/>
      <c r="I2" s="408"/>
      <c r="J2" s="408"/>
      <c r="K2" s="408"/>
      <c r="L2" s="408"/>
      <c r="M2" s="408"/>
      <c r="N2" s="408"/>
      <c r="O2" s="408"/>
      <c r="P2" s="408"/>
      <c r="Q2" s="22"/>
    </row>
    <row r="3" spans="3:17" ht="15" customHeight="1" thickBot="1" x14ac:dyDescent="0.25">
      <c r="C3" s="416" t="s">
        <v>1</v>
      </c>
      <c r="D3" s="416"/>
      <c r="E3" s="416"/>
      <c r="F3" s="416"/>
      <c r="G3" s="416" t="s">
        <v>2</v>
      </c>
      <c r="H3" s="416"/>
      <c r="I3" s="416"/>
      <c r="J3" s="416"/>
      <c r="K3" s="416" t="s">
        <v>3</v>
      </c>
      <c r="L3" s="416"/>
      <c r="M3" s="416"/>
      <c r="N3" s="416"/>
      <c r="O3" s="417" t="s">
        <v>7</v>
      </c>
      <c r="P3" s="417" t="s">
        <v>159</v>
      </c>
      <c r="Q3" s="22"/>
    </row>
    <row r="4" spans="3:17" ht="15" customHeight="1" thickBot="1" x14ac:dyDescent="0.25">
      <c r="C4" s="13" t="s">
        <v>4</v>
      </c>
      <c r="D4" s="13" t="s">
        <v>160</v>
      </c>
      <c r="E4" s="13" t="s">
        <v>60</v>
      </c>
      <c r="F4" s="13" t="s">
        <v>61</v>
      </c>
      <c r="G4" s="13" t="s">
        <v>4</v>
      </c>
      <c r="H4" s="13" t="s">
        <v>160</v>
      </c>
      <c r="I4" s="13" t="s">
        <v>60</v>
      </c>
      <c r="J4" s="13" t="s">
        <v>61</v>
      </c>
      <c r="K4" s="13" t="s">
        <v>4</v>
      </c>
      <c r="L4" s="13" t="s">
        <v>160</v>
      </c>
      <c r="M4" s="13" t="s">
        <v>60</v>
      </c>
      <c r="N4" s="13" t="s">
        <v>61</v>
      </c>
      <c r="O4" s="418"/>
      <c r="P4" s="418"/>
      <c r="Q4" s="22"/>
    </row>
    <row r="5" spans="3:17" ht="15" customHeight="1" thickBot="1" x14ac:dyDescent="0.25">
      <c r="C5" s="23">
        <f>SUM(D5:F5)</f>
        <v>1018</v>
      </c>
      <c r="D5" s="23">
        <f>12+2</f>
        <v>14</v>
      </c>
      <c r="E5" s="23">
        <v>798</v>
      </c>
      <c r="F5" s="23">
        <v>206</v>
      </c>
      <c r="G5" s="23">
        <f>SUM(H5:J5)</f>
        <v>18604</v>
      </c>
      <c r="H5" s="23">
        <v>54</v>
      </c>
      <c r="I5" s="23">
        <v>12490</v>
      </c>
      <c r="J5" s="23">
        <v>6060</v>
      </c>
      <c r="K5" s="23">
        <f>SUM(L5:N5)</f>
        <v>8196</v>
      </c>
      <c r="L5" s="23">
        <v>168</v>
      </c>
      <c r="M5" s="23">
        <v>4663</v>
      </c>
      <c r="N5" s="23">
        <v>3365</v>
      </c>
      <c r="O5" s="13" t="s">
        <v>9</v>
      </c>
      <c r="P5" s="417" t="s">
        <v>161</v>
      </c>
      <c r="Q5" s="22"/>
    </row>
    <row r="6" spans="3:17" ht="15" customHeight="1" thickBot="1" x14ac:dyDescent="0.25">
      <c r="C6" s="23">
        <f t="shared" ref="C6:C69" si="0">SUM(D6:F6)</f>
        <v>1394</v>
      </c>
      <c r="D6" s="23">
        <v>2</v>
      </c>
      <c r="E6" s="23">
        <v>1264</v>
      </c>
      <c r="F6" s="23">
        <v>128</v>
      </c>
      <c r="G6" s="23">
        <f t="shared" ref="G6:G69" si="1">SUM(H6:J6)</f>
        <v>8599</v>
      </c>
      <c r="H6" s="23">
        <v>18</v>
      </c>
      <c r="I6" s="23">
        <v>7334</v>
      </c>
      <c r="J6" s="23">
        <v>1247</v>
      </c>
      <c r="K6" s="23">
        <f t="shared" ref="K6:K69" si="2">SUM(L6:N6)</f>
        <v>4764</v>
      </c>
      <c r="L6" s="23">
        <v>4</v>
      </c>
      <c r="M6" s="23">
        <v>3724</v>
      </c>
      <c r="N6" s="23">
        <v>1036</v>
      </c>
      <c r="O6" s="13" t="s">
        <v>10</v>
      </c>
      <c r="P6" s="422"/>
      <c r="Q6" s="22"/>
    </row>
    <row r="7" spans="3:17" ht="15" customHeight="1" thickBot="1" x14ac:dyDescent="0.25">
      <c r="C7" s="23">
        <f t="shared" ref="C7:M7" si="3">SUM(C5:C6)</f>
        <v>2412</v>
      </c>
      <c r="D7" s="23">
        <f t="shared" si="3"/>
        <v>16</v>
      </c>
      <c r="E7" s="23">
        <f t="shared" si="3"/>
        <v>2062</v>
      </c>
      <c r="F7" s="23">
        <f t="shared" si="3"/>
        <v>334</v>
      </c>
      <c r="G7" s="23">
        <f t="shared" si="3"/>
        <v>27203</v>
      </c>
      <c r="H7" s="23">
        <f t="shared" si="3"/>
        <v>72</v>
      </c>
      <c r="I7" s="23">
        <f t="shared" si="3"/>
        <v>19824</v>
      </c>
      <c r="J7" s="23">
        <f t="shared" si="3"/>
        <v>7307</v>
      </c>
      <c r="K7" s="23">
        <f t="shared" si="3"/>
        <v>12960</v>
      </c>
      <c r="L7" s="23">
        <f t="shared" si="3"/>
        <v>172</v>
      </c>
      <c r="M7" s="23">
        <f t="shared" si="3"/>
        <v>8387</v>
      </c>
      <c r="N7" s="23">
        <f>SUM(N5:N6)</f>
        <v>4401</v>
      </c>
      <c r="O7" s="13" t="s">
        <v>12</v>
      </c>
      <c r="P7" s="423"/>
      <c r="Q7" s="22"/>
    </row>
    <row r="8" spans="3:17" ht="15" customHeight="1" thickBot="1" x14ac:dyDescent="0.25">
      <c r="C8" s="23">
        <f t="shared" si="0"/>
        <v>6987</v>
      </c>
      <c r="D8" s="23">
        <f>91+291+99</f>
        <v>481</v>
      </c>
      <c r="E8" s="23">
        <v>3179</v>
      </c>
      <c r="F8" s="23">
        <v>3327</v>
      </c>
      <c r="G8" s="23">
        <f t="shared" si="1"/>
        <v>33259</v>
      </c>
      <c r="H8" s="23">
        <f>246+729+83</f>
        <v>1058</v>
      </c>
      <c r="I8" s="23">
        <v>24018</v>
      </c>
      <c r="J8" s="23">
        <v>8183</v>
      </c>
      <c r="K8" s="23">
        <f t="shared" si="2"/>
        <v>20986</v>
      </c>
      <c r="L8" s="23">
        <f>243+544+40</f>
        <v>827</v>
      </c>
      <c r="M8" s="23">
        <v>9193</v>
      </c>
      <c r="N8" s="23">
        <v>10966</v>
      </c>
      <c r="O8" s="13" t="s">
        <v>9</v>
      </c>
      <c r="P8" s="417" t="s">
        <v>162</v>
      </c>
      <c r="Q8" s="22"/>
    </row>
    <row r="9" spans="3:17" ht="15" customHeight="1" thickBot="1" x14ac:dyDescent="0.25">
      <c r="C9" s="23">
        <f t="shared" si="0"/>
        <v>9310</v>
      </c>
      <c r="D9" s="23">
        <f>16+74+1</f>
        <v>91</v>
      </c>
      <c r="E9" s="23">
        <v>9219</v>
      </c>
      <c r="F9" s="23">
        <v>0</v>
      </c>
      <c r="G9" s="23">
        <f t="shared" si="1"/>
        <v>33791</v>
      </c>
      <c r="H9" s="23">
        <f>72+154</f>
        <v>226</v>
      </c>
      <c r="I9" s="23">
        <v>33565</v>
      </c>
      <c r="J9" s="23">
        <v>0</v>
      </c>
      <c r="K9" s="23">
        <f t="shared" si="2"/>
        <v>18351</v>
      </c>
      <c r="L9" s="23">
        <f>11+252+12</f>
        <v>275</v>
      </c>
      <c r="M9" s="23">
        <v>16734</v>
      </c>
      <c r="N9" s="23">
        <v>1342</v>
      </c>
      <c r="O9" s="13" t="s">
        <v>10</v>
      </c>
      <c r="P9" s="422"/>
      <c r="Q9" s="22"/>
    </row>
    <row r="10" spans="3:17" ht="15" customHeight="1" thickBot="1" x14ac:dyDescent="0.25">
      <c r="C10" s="23">
        <f t="shared" ref="C10" si="4">SUM(C8:C9)</f>
        <v>16297</v>
      </c>
      <c r="D10" s="23">
        <f t="shared" ref="D10" si="5">SUM(D8:D9)</f>
        <v>572</v>
      </c>
      <c r="E10" s="23">
        <f t="shared" ref="E10" si="6">SUM(E8:E9)</f>
        <v>12398</v>
      </c>
      <c r="F10" s="23">
        <f t="shared" ref="F10" si="7">SUM(F8:F9)</f>
        <v>3327</v>
      </c>
      <c r="G10" s="23">
        <f t="shared" ref="G10" si="8">SUM(G8:G9)</f>
        <v>67050</v>
      </c>
      <c r="H10" s="23">
        <f t="shared" ref="H10" si="9">SUM(H8:H9)</f>
        <v>1284</v>
      </c>
      <c r="I10" s="23">
        <f t="shared" ref="I10" si="10">SUM(I8:I9)</f>
        <v>57583</v>
      </c>
      <c r="J10" s="23">
        <f t="shared" ref="J10" si="11">SUM(J8:J9)</f>
        <v>8183</v>
      </c>
      <c r="K10" s="23">
        <f t="shared" ref="K10" si="12">SUM(K8:K9)</f>
        <v>39337</v>
      </c>
      <c r="L10" s="23">
        <f t="shared" ref="L10" si="13">SUM(L8:L9)</f>
        <v>1102</v>
      </c>
      <c r="M10" s="23">
        <f t="shared" ref="M10" si="14">SUM(M8:M9)</f>
        <v>25927</v>
      </c>
      <c r="N10" s="23">
        <f>SUM(N8:N9)</f>
        <v>12308</v>
      </c>
      <c r="O10" s="13" t="s">
        <v>12</v>
      </c>
      <c r="P10" s="423"/>
      <c r="Q10" s="22"/>
    </row>
    <row r="11" spans="3:17" ht="15" customHeight="1" thickBot="1" x14ac:dyDescent="0.25">
      <c r="C11" s="23">
        <f t="shared" si="0"/>
        <v>1732</v>
      </c>
      <c r="D11" s="23">
        <f>43</f>
        <v>43</v>
      </c>
      <c r="E11" s="23">
        <v>1518</v>
      </c>
      <c r="F11" s="23">
        <v>171</v>
      </c>
      <c r="G11" s="23">
        <f t="shared" si="1"/>
        <v>6700</v>
      </c>
      <c r="H11" s="23">
        <v>8</v>
      </c>
      <c r="I11" s="23">
        <v>6340</v>
      </c>
      <c r="J11" s="23">
        <v>352</v>
      </c>
      <c r="K11" s="23">
        <f t="shared" si="2"/>
        <v>3001</v>
      </c>
      <c r="L11" s="23">
        <v>1</v>
      </c>
      <c r="M11" s="23">
        <v>2152</v>
      </c>
      <c r="N11" s="23">
        <v>848</v>
      </c>
      <c r="O11" s="13" t="s">
        <v>9</v>
      </c>
      <c r="P11" s="417" t="s">
        <v>163</v>
      </c>
      <c r="Q11" s="22"/>
    </row>
    <row r="12" spans="3:17" ht="15" customHeight="1" thickBot="1" x14ac:dyDescent="0.25">
      <c r="C12" s="23">
        <f t="shared" si="0"/>
        <v>1356</v>
      </c>
      <c r="D12" s="23">
        <v>1</v>
      </c>
      <c r="E12" s="23">
        <v>1355</v>
      </c>
      <c r="F12" s="23">
        <v>0</v>
      </c>
      <c r="G12" s="23">
        <f t="shared" si="1"/>
        <v>6330</v>
      </c>
      <c r="H12" s="23">
        <v>0</v>
      </c>
      <c r="I12" s="23">
        <v>6330</v>
      </c>
      <c r="J12" s="23">
        <v>0</v>
      </c>
      <c r="K12" s="23">
        <f t="shared" si="2"/>
        <v>4258</v>
      </c>
      <c r="L12" s="23">
        <v>2</v>
      </c>
      <c r="M12" s="23">
        <v>4024</v>
      </c>
      <c r="N12" s="23">
        <v>232</v>
      </c>
      <c r="O12" s="13" t="s">
        <v>10</v>
      </c>
      <c r="P12" s="422"/>
      <c r="Q12" s="22"/>
    </row>
    <row r="13" spans="3:17" ht="15" customHeight="1" thickBot="1" x14ac:dyDescent="0.25">
      <c r="C13" s="23">
        <f t="shared" ref="C13" si="15">SUM(C11:C12)</f>
        <v>3088</v>
      </c>
      <c r="D13" s="23">
        <f t="shared" ref="D13" si="16">SUM(D11:D12)</f>
        <v>44</v>
      </c>
      <c r="E13" s="23">
        <f t="shared" ref="E13" si="17">SUM(E11:E12)</f>
        <v>2873</v>
      </c>
      <c r="F13" s="23">
        <f t="shared" ref="F13" si="18">SUM(F11:F12)</f>
        <v>171</v>
      </c>
      <c r="G13" s="23">
        <f t="shared" ref="G13" si="19">SUM(G11:G12)</f>
        <v>13030</v>
      </c>
      <c r="H13" s="23">
        <f t="shared" ref="H13" si="20">SUM(H11:H12)</f>
        <v>8</v>
      </c>
      <c r="I13" s="23">
        <f t="shared" ref="I13" si="21">SUM(I11:I12)</f>
        <v>12670</v>
      </c>
      <c r="J13" s="23">
        <f t="shared" ref="J13" si="22">SUM(J11:J12)</f>
        <v>352</v>
      </c>
      <c r="K13" s="23">
        <f t="shared" ref="K13" si="23">SUM(K11:K12)</f>
        <v>7259</v>
      </c>
      <c r="L13" s="23">
        <f t="shared" ref="L13" si="24">SUM(L11:L12)</f>
        <v>3</v>
      </c>
      <c r="M13" s="23">
        <f t="shared" ref="M13" si="25">SUM(M11:M12)</f>
        <v>6176</v>
      </c>
      <c r="N13" s="23">
        <f>SUM(N11:N12)</f>
        <v>1080</v>
      </c>
      <c r="O13" s="13" t="s">
        <v>12</v>
      </c>
      <c r="P13" s="423"/>
      <c r="Q13" s="22"/>
    </row>
    <row r="14" spans="3:17" ht="15" customHeight="1" thickBot="1" x14ac:dyDescent="0.25">
      <c r="C14" s="23">
        <f t="shared" si="0"/>
        <v>6737</v>
      </c>
      <c r="D14" s="23">
        <f>52+218+889</f>
        <v>1159</v>
      </c>
      <c r="E14" s="23">
        <v>4437</v>
      </c>
      <c r="F14" s="23">
        <v>1141</v>
      </c>
      <c r="G14" s="23">
        <f t="shared" si="1"/>
        <v>23973</v>
      </c>
      <c r="H14" s="23">
        <f>363+1836+960</f>
        <v>3159</v>
      </c>
      <c r="I14" s="23">
        <v>16488</v>
      </c>
      <c r="J14" s="23">
        <v>4326</v>
      </c>
      <c r="K14" s="23">
        <f t="shared" si="2"/>
        <v>7669</v>
      </c>
      <c r="L14" s="23">
        <f>92+621+554</f>
        <v>1267</v>
      </c>
      <c r="M14" s="23">
        <v>4446</v>
      </c>
      <c r="N14" s="23">
        <v>1956</v>
      </c>
      <c r="O14" s="13" t="s">
        <v>9</v>
      </c>
      <c r="P14" s="417" t="s">
        <v>164</v>
      </c>
      <c r="Q14" s="22"/>
    </row>
    <row r="15" spans="3:17" ht="15" customHeight="1" thickBot="1" x14ac:dyDescent="0.25">
      <c r="C15" s="23">
        <f t="shared" si="0"/>
        <v>11851</v>
      </c>
      <c r="D15" s="23">
        <f>20+81+294</f>
        <v>395</v>
      </c>
      <c r="E15" s="23">
        <v>10864</v>
      </c>
      <c r="F15" s="23">
        <v>592</v>
      </c>
      <c r="G15" s="23">
        <f t="shared" si="1"/>
        <v>71174</v>
      </c>
      <c r="H15" s="23">
        <f>373+1415+656</f>
        <v>2444</v>
      </c>
      <c r="I15" s="23">
        <v>67635</v>
      </c>
      <c r="J15" s="23">
        <v>1095</v>
      </c>
      <c r="K15" s="23">
        <f t="shared" si="2"/>
        <v>18471</v>
      </c>
      <c r="L15" s="23">
        <f>114+563+366</f>
        <v>1043</v>
      </c>
      <c r="M15" s="23">
        <v>16856</v>
      </c>
      <c r="N15" s="23">
        <v>572</v>
      </c>
      <c r="O15" s="13" t="s">
        <v>10</v>
      </c>
      <c r="P15" s="422"/>
      <c r="Q15" s="22"/>
    </row>
    <row r="16" spans="3:17" ht="15" customHeight="1" thickBot="1" x14ac:dyDescent="0.25">
      <c r="C16" s="23">
        <f t="shared" ref="C16" si="26">SUM(C14:C15)</f>
        <v>18588</v>
      </c>
      <c r="D16" s="23">
        <f t="shared" ref="D16" si="27">SUM(D14:D15)</f>
        <v>1554</v>
      </c>
      <c r="E16" s="23">
        <f t="shared" ref="E16" si="28">SUM(E14:E15)</f>
        <v>15301</v>
      </c>
      <c r="F16" s="23">
        <f t="shared" ref="F16" si="29">SUM(F14:F15)</f>
        <v>1733</v>
      </c>
      <c r="G16" s="23">
        <f t="shared" ref="G16" si="30">SUM(G14:G15)</f>
        <v>95147</v>
      </c>
      <c r="H16" s="23">
        <f t="shared" ref="H16" si="31">SUM(H14:H15)</f>
        <v>5603</v>
      </c>
      <c r="I16" s="23">
        <f t="shared" ref="I16" si="32">SUM(I14:I15)</f>
        <v>84123</v>
      </c>
      <c r="J16" s="23">
        <f t="shared" ref="J16" si="33">SUM(J14:J15)</f>
        <v>5421</v>
      </c>
      <c r="K16" s="23">
        <f t="shared" ref="K16" si="34">SUM(K14:K15)</f>
        <v>26140</v>
      </c>
      <c r="L16" s="23">
        <f t="shared" ref="L16" si="35">SUM(L14:L15)</f>
        <v>2310</v>
      </c>
      <c r="M16" s="23">
        <f t="shared" ref="M16" si="36">SUM(M14:M15)</f>
        <v>21302</v>
      </c>
      <c r="N16" s="23">
        <f>SUM(N14:N15)</f>
        <v>2528</v>
      </c>
      <c r="O16" s="13" t="s">
        <v>12</v>
      </c>
      <c r="P16" s="423"/>
      <c r="Q16" s="22"/>
    </row>
    <row r="17" spans="3:17" ht="15" customHeight="1" thickBot="1" x14ac:dyDescent="0.25">
      <c r="C17" s="23">
        <f t="shared" si="0"/>
        <v>265</v>
      </c>
      <c r="D17" s="23">
        <v>22</v>
      </c>
      <c r="E17" s="23">
        <v>87</v>
      </c>
      <c r="F17" s="23">
        <v>156</v>
      </c>
      <c r="G17" s="23">
        <f t="shared" si="1"/>
        <v>2582</v>
      </c>
      <c r="H17" s="23">
        <v>43</v>
      </c>
      <c r="I17" s="23">
        <v>489</v>
      </c>
      <c r="J17" s="23">
        <v>2050</v>
      </c>
      <c r="K17" s="23">
        <f t="shared" si="2"/>
        <v>1880</v>
      </c>
      <c r="L17" s="23">
        <v>21</v>
      </c>
      <c r="M17" s="23">
        <v>0</v>
      </c>
      <c r="N17" s="23">
        <v>1859</v>
      </c>
      <c r="O17" s="13" t="s">
        <v>9</v>
      </c>
      <c r="P17" s="417" t="s">
        <v>165</v>
      </c>
      <c r="Q17" s="22"/>
    </row>
    <row r="18" spans="3:17" ht="15" customHeight="1" thickBot="1" x14ac:dyDescent="0.25">
      <c r="C18" s="23">
        <f t="shared" si="0"/>
        <v>245</v>
      </c>
      <c r="D18" s="23">
        <v>2</v>
      </c>
      <c r="E18" s="23">
        <v>243</v>
      </c>
      <c r="F18" s="23">
        <v>0</v>
      </c>
      <c r="G18" s="23">
        <f t="shared" si="1"/>
        <v>1576</v>
      </c>
      <c r="H18" s="23">
        <v>14</v>
      </c>
      <c r="I18" s="23">
        <v>1395</v>
      </c>
      <c r="J18" s="23">
        <v>167</v>
      </c>
      <c r="K18" s="23">
        <f t="shared" si="2"/>
        <v>166</v>
      </c>
      <c r="L18" s="23">
        <v>0</v>
      </c>
      <c r="M18" s="23">
        <v>166</v>
      </c>
      <c r="N18" s="23">
        <v>0</v>
      </c>
      <c r="O18" s="13" t="s">
        <v>10</v>
      </c>
      <c r="P18" s="422"/>
      <c r="Q18" s="22"/>
    </row>
    <row r="19" spans="3:17" ht="15" customHeight="1" thickBot="1" x14ac:dyDescent="0.25">
      <c r="C19" s="23">
        <f t="shared" ref="C19" si="37">SUM(C17:C18)</f>
        <v>510</v>
      </c>
      <c r="D19" s="23">
        <f t="shared" ref="D19" si="38">SUM(D17:D18)</f>
        <v>24</v>
      </c>
      <c r="E19" s="23">
        <f t="shared" ref="E19" si="39">SUM(E17:E18)</f>
        <v>330</v>
      </c>
      <c r="F19" s="23">
        <f t="shared" ref="F19" si="40">SUM(F17:F18)</f>
        <v>156</v>
      </c>
      <c r="G19" s="23">
        <f t="shared" ref="G19" si="41">SUM(G17:G18)</f>
        <v>4158</v>
      </c>
      <c r="H19" s="23">
        <f t="shared" ref="H19" si="42">SUM(H17:H18)</f>
        <v>57</v>
      </c>
      <c r="I19" s="23">
        <f t="shared" ref="I19" si="43">SUM(I17:I18)</f>
        <v>1884</v>
      </c>
      <c r="J19" s="23">
        <f t="shared" ref="J19" si="44">SUM(J17:J18)</f>
        <v>2217</v>
      </c>
      <c r="K19" s="23">
        <f t="shared" ref="K19" si="45">SUM(K17:K18)</f>
        <v>2046</v>
      </c>
      <c r="L19" s="23">
        <f t="shared" ref="L19" si="46">SUM(L17:L18)</f>
        <v>21</v>
      </c>
      <c r="M19" s="23">
        <f t="shared" ref="M19" si="47">SUM(M17:M18)</f>
        <v>166</v>
      </c>
      <c r="N19" s="23">
        <f>SUM(N17:N18)</f>
        <v>1859</v>
      </c>
      <c r="O19" s="13" t="s">
        <v>12</v>
      </c>
      <c r="P19" s="423"/>
      <c r="Q19" s="22"/>
    </row>
    <row r="20" spans="3:17" ht="15" customHeight="1" thickBot="1" x14ac:dyDescent="0.25">
      <c r="C20" s="23">
        <f t="shared" si="0"/>
        <v>6862</v>
      </c>
      <c r="D20" s="23">
        <f>63+55+133</f>
        <v>251</v>
      </c>
      <c r="E20" s="23">
        <v>4128</v>
      </c>
      <c r="F20" s="23">
        <v>2483</v>
      </c>
      <c r="G20" s="23">
        <f t="shared" si="1"/>
        <v>49611</v>
      </c>
      <c r="H20" s="23">
        <f>161+946+226</f>
        <v>1333</v>
      </c>
      <c r="I20" s="23">
        <v>41056</v>
      </c>
      <c r="J20" s="23">
        <v>7222</v>
      </c>
      <c r="K20" s="23">
        <f t="shared" si="2"/>
        <v>16212</v>
      </c>
      <c r="L20" s="23">
        <f>25+279+59</f>
        <v>363</v>
      </c>
      <c r="M20" s="23">
        <v>14090</v>
      </c>
      <c r="N20" s="23">
        <v>1759</v>
      </c>
      <c r="O20" s="13" t="s">
        <v>9</v>
      </c>
      <c r="P20" s="417" t="s">
        <v>166</v>
      </c>
      <c r="Q20" s="22"/>
    </row>
    <row r="21" spans="3:17" ht="15" customHeight="1" thickBot="1" x14ac:dyDescent="0.25">
      <c r="C21" s="23">
        <f t="shared" si="0"/>
        <v>13030</v>
      </c>
      <c r="D21" s="23">
        <f>32+72</f>
        <v>104</v>
      </c>
      <c r="E21" s="23">
        <v>11789</v>
      </c>
      <c r="F21" s="23">
        <v>1137</v>
      </c>
      <c r="G21" s="23">
        <f t="shared" si="1"/>
        <v>97895</v>
      </c>
      <c r="H21" s="23">
        <f>120+628</f>
        <v>748</v>
      </c>
      <c r="I21" s="23">
        <v>95067</v>
      </c>
      <c r="J21" s="23">
        <v>2080</v>
      </c>
      <c r="K21" s="23">
        <f t="shared" si="2"/>
        <v>18487</v>
      </c>
      <c r="L21" s="23">
        <f>33+256+0</f>
        <v>289</v>
      </c>
      <c r="M21" s="23">
        <v>17019</v>
      </c>
      <c r="N21" s="23">
        <v>1179</v>
      </c>
      <c r="O21" s="13" t="s">
        <v>10</v>
      </c>
      <c r="P21" s="422"/>
      <c r="Q21" s="22"/>
    </row>
    <row r="22" spans="3:17" ht="15" customHeight="1" thickBot="1" x14ac:dyDescent="0.25">
      <c r="C22" s="23">
        <f t="shared" ref="C22" si="48">SUM(C20:C21)</f>
        <v>19892</v>
      </c>
      <c r="D22" s="23">
        <f t="shared" ref="D22" si="49">SUM(D20:D21)</f>
        <v>355</v>
      </c>
      <c r="E22" s="23">
        <f t="shared" ref="E22" si="50">SUM(E20:E21)</f>
        <v>15917</v>
      </c>
      <c r="F22" s="23">
        <f t="shared" ref="F22" si="51">SUM(F20:F21)</f>
        <v>3620</v>
      </c>
      <c r="G22" s="23">
        <f t="shared" ref="G22" si="52">SUM(G20:G21)</f>
        <v>147506</v>
      </c>
      <c r="H22" s="23">
        <f t="shared" ref="H22" si="53">SUM(H20:H21)</f>
        <v>2081</v>
      </c>
      <c r="I22" s="23">
        <f t="shared" ref="I22" si="54">SUM(I20:I21)</f>
        <v>136123</v>
      </c>
      <c r="J22" s="23">
        <f t="shared" ref="J22" si="55">SUM(J20:J21)</f>
        <v>9302</v>
      </c>
      <c r="K22" s="23">
        <f t="shared" ref="K22" si="56">SUM(K20:K21)</f>
        <v>34699</v>
      </c>
      <c r="L22" s="23">
        <f t="shared" ref="L22" si="57">SUM(L20:L21)</f>
        <v>652</v>
      </c>
      <c r="M22" s="23">
        <f t="shared" ref="M22" si="58">SUM(M20:M21)</f>
        <v>31109</v>
      </c>
      <c r="N22" s="23">
        <f>SUM(N20:N21)</f>
        <v>2938</v>
      </c>
      <c r="O22" s="13" t="s">
        <v>12</v>
      </c>
      <c r="P22" s="423"/>
      <c r="Q22" s="22"/>
    </row>
    <row r="23" spans="3:17" ht="15" customHeight="1" thickBot="1" x14ac:dyDescent="0.25">
      <c r="C23" s="23">
        <f t="shared" si="0"/>
        <v>1463</v>
      </c>
      <c r="D23" s="23">
        <f>36+79+49</f>
        <v>164</v>
      </c>
      <c r="E23" s="23">
        <v>521</v>
      </c>
      <c r="F23" s="23">
        <v>778</v>
      </c>
      <c r="G23" s="23">
        <f t="shared" si="1"/>
        <v>5213</v>
      </c>
      <c r="H23" s="23">
        <f>67+245+130</f>
        <v>442</v>
      </c>
      <c r="I23" s="23">
        <v>3248</v>
      </c>
      <c r="J23" s="23">
        <v>1523</v>
      </c>
      <c r="K23" s="23">
        <f t="shared" si="2"/>
        <v>4332</v>
      </c>
      <c r="L23" s="23">
        <f>62+598+416</f>
        <v>1076</v>
      </c>
      <c r="M23" s="23">
        <v>1924</v>
      </c>
      <c r="N23" s="23">
        <v>1332</v>
      </c>
      <c r="O23" s="13" t="s">
        <v>9</v>
      </c>
      <c r="P23" s="417" t="s">
        <v>167</v>
      </c>
      <c r="Q23" s="22"/>
    </row>
    <row r="24" spans="3:17" ht="15" customHeight="1" thickBot="1" x14ac:dyDescent="0.25">
      <c r="C24" s="23">
        <f t="shared" si="0"/>
        <v>5949</v>
      </c>
      <c r="D24" s="23">
        <f>9+30+5</f>
        <v>44</v>
      </c>
      <c r="E24" s="23">
        <v>5806</v>
      </c>
      <c r="F24" s="23">
        <v>99</v>
      </c>
      <c r="G24" s="23">
        <f t="shared" si="1"/>
        <v>33801</v>
      </c>
      <c r="H24" s="23">
        <f>112+214</f>
        <v>326</v>
      </c>
      <c r="I24" s="23">
        <v>31680</v>
      </c>
      <c r="J24" s="23">
        <v>1795</v>
      </c>
      <c r="K24" s="23">
        <f t="shared" si="2"/>
        <v>14743</v>
      </c>
      <c r="L24" s="23">
        <f>47+535+102</f>
        <v>684</v>
      </c>
      <c r="M24" s="23">
        <v>12771</v>
      </c>
      <c r="N24" s="23">
        <v>1288</v>
      </c>
      <c r="O24" s="13" t="s">
        <v>10</v>
      </c>
      <c r="P24" s="422"/>
      <c r="Q24" s="22"/>
    </row>
    <row r="25" spans="3:17" ht="15" customHeight="1" thickBot="1" x14ac:dyDescent="0.25">
      <c r="C25" s="23">
        <f t="shared" ref="C25" si="59">SUM(C23:C24)</f>
        <v>7412</v>
      </c>
      <c r="D25" s="23">
        <f t="shared" ref="D25" si="60">SUM(D23:D24)</f>
        <v>208</v>
      </c>
      <c r="E25" s="23">
        <f t="shared" ref="E25" si="61">SUM(E23:E24)</f>
        <v>6327</v>
      </c>
      <c r="F25" s="23">
        <f t="shared" ref="F25" si="62">SUM(F23:F24)</f>
        <v>877</v>
      </c>
      <c r="G25" s="23">
        <f t="shared" ref="G25" si="63">SUM(G23:G24)</f>
        <v>39014</v>
      </c>
      <c r="H25" s="23">
        <f t="shared" ref="H25" si="64">SUM(H23:H24)</f>
        <v>768</v>
      </c>
      <c r="I25" s="23">
        <f t="shared" ref="I25" si="65">SUM(I23:I24)</f>
        <v>34928</v>
      </c>
      <c r="J25" s="23">
        <f t="shared" ref="J25" si="66">SUM(J23:J24)</f>
        <v>3318</v>
      </c>
      <c r="K25" s="23">
        <f t="shared" ref="K25" si="67">SUM(K23:K24)</f>
        <v>19075</v>
      </c>
      <c r="L25" s="23">
        <f t="shared" ref="L25" si="68">SUM(L23:L24)</f>
        <v>1760</v>
      </c>
      <c r="M25" s="23">
        <f t="shared" ref="M25" si="69">SUM(M23:M24)</f>
        <v>14695</v>
      </c>
      <c r="N25" s="23">
        <f>SUM(N23:N24)</f>
        <v>2620</v>
      </c>
      <c r="O25" s="13" t="s">
        <v>12</v>
      </c>
      <c r="P25" s="423"/>
      <c r="Q25" s="22"/>
    </row>
    <row r="26" spans="3:17" ht="15" customHeight="1" thickBot="1" x14ac:dyDescent="0.25">
      <c r="C26" s="23">
        <f t="shared" si="0"/>
        <v>591</v>
      </c>
      <c r="D26" s="23">
        <f>28+52</f>
        <v>80</v>
      </c>
      <c r="E26" s="23">
        <v>450</v>
      </c>
      <c r="F26" s="23">
        <v>61</v>
      </c>
      <c r="G26" s="23">
        <f t="shared" si="1"/>
        <v>7742</v>
      </c>
      <c r="H26" s="23">
        <f>98+252</f>
        <v>350</v>
      </c>
      <c r="I26" s="23">
        <v>6799</v>
      </c>
      <c r="J26" s="23">
        <v>593</v>
      </c>
      <c r="K26" s="23">
        <f t="shared" si="2"/>
        <v>2904</v>
      </c>
      <c r="L26" s="23">
        <f>260+15</f>
        <v>275</v>
      </c>
      <c r="M26" s="23">
        <v>2470</v>
      </c>
      <c r="N26" s="23">
        <v>159</v>
      </c>
      <c r="O26" s="13" t="s">
        <v>9</v>
      </c>
      <c r="P26" s="417" t="s">
        <v>168</v>
      </c>
      <c r="Q26" s="22"/>
    </row>
    <row r="27" spans="3:17" ht="15" customHeight="1" thickBot="1" x14ac:dyDescent="0.25">
      <c r="C27" s="23">
        <f t="shared" si="0"/>
        <v>1172</v>
      </c>
      <c r="D27" s="23">
        <f>5+13</f>
        <v>18</v>
      </c>
      <c r="E27" s="23">
        <v>1096</v>
      </c>
      <c r="F27" s="23">
        <v>58</v>
      </c>
      <c r="G27" s="23">
        <f t="shared" si="1"/>
        <v>8925</v>
      </c>
      <c r="H27" s="23">
        <f>8+124</f>
        <v>132</v>
      </c>
      <c r="I27" s="23">
        <v>8616</v>
      </c>
      <c r="J27" s="23">
        <v>177</v>
      </c>
      <c r="K27" s="23">
        <f t="shared" si="2"/>
        <v>2234</v>
      </c>
      <c r="L27" s="23">
        <v>45</v>
      </c>
      <c r="M27" s="23">
        <v>2189</v>
      </c>
      <c r="N27" s="23">
        <v>0</v>
      </c>
      <c r="O27" s="13" t="s">
        <v>10</v>
      </c>
      <c r="P27" s="422"/>
      <c r="Q27" s="22"/>
    </row>
    <row r="28" spans="3:17" ht="15" customHeight="1" thickBot="1" x14ac:dyDescent="0.25">
      <c r="C28" s="23">
        <f t="shared" ref="C28" si="70">SUM(C26:C27)</f>
        <v>1763</v>
      </c>
      <c r="D28" s="23">
        <f t="shared" ref="D28" si="71">SUM(D26:D27)</f>
        <v>98</v>
      </c>
      <c r="E28" s="23">
        <f t="shared" ref="E28" si="72">SUM(E26:E27)</f>
        <v>1546</v>
      </c>
      <c r="F28" s="23">
        <f t="shared" ref="F28" si="73">SUM(F26:F27)</f>
        <v>119</v>
      </c>
      <c r="G28" s="23">
        <f t="shared" ref="G28" si="74">SUM(G26:G27)</f>
        <v>16667</v>
      </c>
      <c r="H28" s="23">
        <f t="shared" ref="H28" si="75">SUM(H26:H27)</f>
        <v>482</v>
      </c>
      <c r="I28" s="23">
        <f t="shared" ref="I28" si="76">SUM(I26:I27)</f>
        <v>15415</v>
      </c>
      <c r="J28" s="23">
        <f t="shared" ref="J28" si="77">SUM(J26:J27)</f>
        <v>770</v>
      </c>
      <c r="K28" s="23">
        <f t="shared" ref="K28" si="78">SUM(K26:K27)</f>
        <v>5138</v>
      </c>
      <c r="L28" s="23">
        <f t="shared" ref="L28" si="79">SUM(L26:L27)</f>
        <v>320</v>
      </c>
      <c r="M28" s="23">
        <f t="shared" ref="M28" si="80">SUM(M26:M27)</f>
        <v>4659</v>
      </c>
      <c r="N28" s="23">
        <f>SUM(N26:N27)</f>
        <v>159</v>
      </c>
      <c r="O28" s="13" t="s">
        <v>12</v>
      </c>
      <c r="P28" s="423"/>
      <c r="Q28" s="22"/>
    </row>
    <row r="29" spans="3:17" ht="15" customHeight="1" thickBot="1" x14ac:dyDescent="0.25">
      <c r="C29" s="23">
        <f t="shared" si="0"/>
        <v>6404</v>
      </c>
      <c r="D29" s="23">
        <f>1+202+133</f>
        <v>336</v>
      </c>
      <c r="E29" s="23">
        <v>3099</v>
      </c>
      <c r="F29" s="23">
        <v>2969</v>
      </c>
      <c r="G29" s="23">
        <f t="shared" si="1"/>
        <v>69588</v>
      </c>
      <c r="H29" s="23">
        <f>107+914+212</f>
        <v>1233</v>
      </c>
      <c r="I29" s="23">
        <v>42723</v>
      </c>
      <c r="J29" s="23">
        <v>25632</v>
      </c>
      <c r="K29" s="23">
        <f t="shared" si="2"/>
        <v>24988</v>
      </c>
      <c r="L29" s="23">
        <f>290+43</f>
        <v>333</v>
      </c>
      <c r="M29" s="23">
        <v>15993</v>
      </c>
      <c r="N29" s="23">
        <v>8662</v>
      </c>
      <c r="O29" s="13" t="s">
        <v>9</v>
      </c>
      <c r="P29" s="417" t="s">
        <v>169</v>
      </c>
      <c r="Q29" s="22"/>
    </row>
    <row r="30" spans="3:17" ht="15" customHeight="1" thickBot="1" x14ac:dyDescent="0.25">
      <c r="C30" s="23">
        <f t="shared" si="0"/>
        <v>3671</v>
      </c>
      <c r="D30" s="23">
        <f>74+115</f>
        <v>189</v>
      </c>
      <c r="E30" s="23">
        <v>3124</v>
      </c>
      <c r="F30" s="23">
        <v>358</v>
      </c>
      <c r="G30" s="23">
        <f t="shared" si="1"/>
        <v>33922</v>
      </c>
      <c r="H30" s="23">
        <f>11+551+18</f>
        <v>580</v>
      </c>
      <c r="I30" s="23">
        <v>29535</v>
      </c>
      <c r="J30" s="23">
        <v>3807</v>
      </c>
      <c r="K30" s="23">
        <f t="shared" si="2"/>
        <v>7338</v>
      </c>
      <c r="L30" s="23">
        <v>180</v>
      </c>
      <c r="M30" s="23">
        <v>5868</v>
      </c>
      <c r="N30" s="23">
        <v>1290</v>
      </c>
      <c r="O30" s="13" t="s">
        <v>10</v>
      </c>
      <c r="P30" s="422"/>
      <c r="Q30" s="22"/>
    </row>
    <row r="31" spans="3:17" ht="15" customHeight="1" thickBot="1" x14ac:dyDescent="0.25">
      <c r="C31" s="23">
        <f t="shared" ref="C31" si="81">SUM(C29:C30)</f>
        <v>10075</v>
      </c>
      <c r="D31" s="23">
        <f t="shared" ref="D31" si="82">SUM(D29:D30)</f>
        <v>525</v>
      </c>
      <c r="E31" s="23">
        <f t="shared" ref="E31" si="83">SUM(E29:E30)</f>
        <v>6223</v>
      </c>
      <c r="F31" s="23">
        <f t="shared" ref="F31" si="84">SUM(F29:F30)</f>
        <v>3327</v>
      </c>
      <c r="G31" s="23">
        <f t="shared" ref="G31" si="85">SUM(G29:G30)</f>
        <v>103510</v>
      </c>
      <c r="H31" s="23">
        <f t="shared" ref="H31" si="86">SUM(H29:H30)</f>
        <v>1813</v>
      </c>
      <c r="I31" s="23">
        <f t="shared" ref="I31" si="87">SUM(I29:I30)</f>
        <v>72258</v>
      </c>
      <c r="J31" s="23">
        <f t="shared" ref="J31" si="88">SUM(J29:J30)</f>
        <v>29439</v>
      </c>
      <c r="K31" s="23">
        <f t="shared" ref="K31" si="89">SUM(K29:K30)</f>
        <v>32326</v>
      </c>
      <c r="L31" s="23">
        <f t="shared" ref="L31" si="90">SUM(L29:L30)</f>
        <v>513</v>
      </c>
      <c r="M31" s="23">
        <f t="shared" ref="M31" si="91">SUM(M29:M30)</f>
        <v>21861</v>
      </c>
      <c r="N31" s="23">
        <f>SUM(N29:N30)</f>
        <v>9952</v>
      </c>
      <c r="O31" s="13" t="s">
        <v>12</v>
      </c>
      <c r="P31" s="423"/>
      <c r="Q31" s="22"/>
    </row>
    <row r="32" spans="3:17" ht="15" customHeight="1" thickBot="1" x14ac:dyDescent="0.25">
      <c r="C32" s="23">
        <f t="shared" si="0"/>
        <v>282</v>
      </c>
      <c r="D32" s="23">
        <v>200</v>
      </c>
      <c r="E32" s="23">
        <v>0</v>
      </c>
      <c r="F32" s="23">
        <v>82</v>
      </c>
      <c r="G32" s="23">
        <f t="shared" si="1"/>
        <v>469</v>
      </c>
      <c r="H32" s="23">
        <v>198</v>
      </c>
      <c r="I32" s="23">
        <v>0</v>
      </c>
      <c r="J32" s="23">
        <v>271</v>
      </c>
      <c r="K32" s="23">
        <f t="shared" si="2"/>
        <v>573</v>
      </c>
      <c r="L32" s="23">
        <v>33</v>
      </c>
      <c r="M32" s="23">
        <v>0</v>
      </c>
      <c r="N32" s="23">
        <v>540</v>
      </c>
      <c r="O32" s="13" t="s">
        <v>9</v>
      </c>
      <c r="P32" s="417" t="s">
        <v>170</v>
      </c>
      <c r="Q32" s="22"/>
    </row>
    <row r="33" spans="3:21" ht="15" customHeight="1" thickBot="1" x14ac:dyDescent="0.25">
      <c r="C33" s="23">
        <f t="shared" si="0"/>
        <v>169</v>
      </c>
      <c r="D33" s="23">
        <v>0</v>
      </c>
      <c r="E33" s="23">
        <v>169</v>
      </c>
      <c r="F33" s="23">
        <v>0</v>
      </c>
      <c r="G33" s="23">
        <f t="shared" si="1"/>
        <v>712</v>
      </c>
      <c r="H33" s="23">
        <v>0</v>
      </c>
      <c r="I33" s="23">
        <v>712</v>
      </c>
      <c r="J33" s="23">
        <v>0</v>
      </c>
      <c r="K33" s="23">
        <f t="shared" si="2"/>
        <v>217</v>
      </c>
      <c r="L33" s="23">
        <v>0</v>
      </c>
      <c r="M33" s="23">
        <v>217</v>
      </c>
      <c r="N33" s="23">
        <v>0</v>
      </c>
      <c r="O33" s="13" t="s">
        <v>10</v>
      </c>
      <c r="P33" s="422"/>
      <c r="Q33" s="22"/>
    </row>
    <row r="34" spans="3:21" ht="15" customHeight="1" thickBot="1" x14ac:dyDescent="0.25">
      <c r="C34" s="23">
        <f t="shared" ref="C34" si="92">SUM(C32:C33)</f>
        <v>451</v>
      </c>
      <c r="D34" s="23">
        <f t="shared" ref="D34" si="93">SUM(D32:D33)</f>
        <v>200</v>
      </c>
      <c r="E34" s="23">
        <f t="shared" ref="E34" si="94">SUM(E32:E33)</f>
        <v>169</v>
      </c>
      <c r="F34" s="23">
        <f t="shared" ref="F34" si="95">SUM(F32:F33)</f>
        <v>82</v>
      </c>
      <c r="G34" s="23">
        <f t="shared" ref="G34" si="96">SUM(G32:G33)</f>
        <v>1181</v>
      </c>
      <c r="H34" s="23">
        <f t="shared" ref="H34" si="97">SUM(H32:H33)</f>
        <v>198</v>
      </c>
      <c r="I34" s="23">
        <f t="shared" ref="I34" si="98">SUM(I32:I33)</f>
        <v>712</v>
      </c>
      <c r="J34" s="23">
        <f t="shared" ref="J34" si="99">SUM(J32:J33)</f>
        <v>271</v>
      </c>
      <c r="K34" s="23">
        <f t="shared" ref="K34" si="100">SUM(K32:K33)</f>
        <v>790</v>
      </c>
      <c r="L34" s="23">
        <f t="shared" ref="L34" si="101">SUM(L32:L33)</f>
        <v>33</v>
      </c>
      <c r="M34" s="23">
        <f t="shared" ref="M34" si="102">SUM(M32:M33)</f>
        <v>217</v>
      </c>
      <c r="N34" s="23">
        <f>SUM(N32:N33)</f>
        <v>540</v>
      </c>
      <c r="O34" s="13" t="s">
        <v>12</v>
      </c>
      <c r="P34" s="423"/>
      <c r="Q34" s="22"/>
    </row>
    <row r="35" spans="3:21" ht="15" customHeight="1" thickBot="1" x14ac:dyDescent="0.25">
      <c r="C35" s="23">
        <f t="shared" si="0"/>
        <v>1661</v>
      </c>
      <c r="D35" s="23">
        <f>17+63</f>
        <v>80</v>
      </c>
      <c r="E35" s="23">
        <v>1484</v>
      </c>
      <c r="F35" s="23">
        <v>97</v>
      </c>
      <c r="G35" s="23">
        <f t="shared" si="1"/>
        <v>11584</v>
      </c>
      <c r="H35" s="23">
        <f>46+73+0</f>
        <v>119</v>
      </c>
      <c r="I35" s="23">
        <v>10665</v>
      </c>
      <c r="J35" s="23">
        <v>800</v>
      </c>
      <c r="K35" s="23">
        <f t="shared" si="2"/>
        <v>5682</v>
      </c>
      <c r="L35" s="23">
        <f>14+86</f>
        <v>100</v>
      </c>
      <c r="M35" s="23">
        <v>4919</v>
      </c>
      <c r="N35" s="23">
        <v>663</v>
      </c>
      <c r="O35" s="13" t="s">
        <v>9</v>
      </c>
      <c r="P35" s="417" t="s">
        <v>171</v>
      </c>
      <c r="Q35" s="22"/>
    </row>
    <row r="36" spans="3:21" ht="15" customHeight="1" thickBot="1" x14ac:dyDescent="0.25">
      <c r="C36" s="23">
        <f t="shared" si="0"/>
        <v>4504</v>
      </c>
      <c r="D36" s="23">
        <f>5+39</f>
        <v>44</v>
      </c>
      <c r="E36" s="23">
        <v>4121</v>
      </c>
      <c r="F36" s="23">
        <v>339</v>
      </c>
      <c r="G36" s="23">
        <f t="shared" si="1"/>
        <v>22727</v>
      </c>
      <c r="H36" s="23">
        <f>59+168</f>
        <v>227</v>
      </c>
      <c r="I36" s="23">
        <v>21110</v>
      </c>
      <c r="J36" s="23">
        <v>1390</v>
      </c>
      <c r="K36" s="23">
        <f t="shared" si="2"/>
        <v>7761</v>
      </c>
      <c r="L36" s="23">
        <f>7+64</f>
        <v>71</v>
      </c>
      <c r="M36" s="23">
        <v>6923</v>
      </c>
      <c r="N36" s="23">
        <v>767</v>
      </c>
      <c r="O36" s="13" t="s">
        <v>10</v>
      </c>
      <c r="P36" s="422"/>
      <c r="Q36" s="22"/>
    </row>
    <row r="37" spans="3:21" ht="15" customHeight="1" thickBot="1" x14ac:dyDescent="0.25">
      <c r="C37" s="23">
        <f t="shared" ref="C37" si="103">SUM(C35:C36)</f>
        <v>6165</v>
      </c>
      <c r="D37" s="23">
        <f t="shared" ref="D37" si="104">SUM(D35:D36)</f>
        <v>124</v>
      </c>
      <c r="E37" s="23">
        <f t="shared" ref="E37" si="105">SUM(E35:E36)</f>
        <v>5605</v>
      </c>
      <c r="F37" s="23">
        <f t="shared" ref="F37" si="106">SUM(F35:F36)</f>
        <v>436</v>
      </c>
      <c r="G37" s="23">
        <f t="shared" ref="G37" si="107">SUM(G35:G36)</f>
        <v>34311</v>
      </c>
      <c r="H37" s="23">
        <f t="shared" ref="H37" si="108">SUM(H35:H36)</f>
        <v>346</v>
      </c>
      <c r="I37" s="23">
        <f t="shared" ref="I37" si="109">SUM(I35:I36)</f>
        <v>31775</v>
      </c>
      <c r="J37" s="23">
        <f t="shared" ref="J37" si="110">SUM(J35:J36)</f>
        <v>2190</v>
      </c>
      <c r="K37" s="23">
        <f t="shared" ref="K37" si="111">SUM(K35:K36)</f>
        <v>13443</v>
      </c>
      <c r="L37" s="23">
        <f t="shared" ref="L37" si="112">SUM(L35:L36)</f>
        <v>171</v>
      </c>
      <c r="M37" s="23">
        <f t="shared" ref="M37" si="113">SUM(M35:M36)</f>
        <v>11842</v>
      </c>
      <c r="N37" s="23">
        <f>SUM(N35:N36)</f>
        <v>1430</v>
      </c>
      <c r="O37" s="13" t="s">
        <v>12</v>
      </c>
      <c r="P37" s="423"/>
      <c r="Q37" s="22"/>
    </row>
    <row r="38" spans="3:21" ht="15" customHeight="1" thickBot="1" x14ac:dyDescent="0.25">
      <c r="C38" s="23">
        <f t="shared" si="0"/>
        <v>1287</v>
      </c>
      <c r="D38" s="23">
        <f>4+41</f>
        <v>45</v>
      </c>
      <c r="E38" s="23">
        <v>1150</v>
      </c>
      <c r="F38" s="23">
        <v>92</v>
      </c>
      <c r="G38" s="23">
        <f t="shared" si="1"/>
        <v>9511</v>
      </c>
      <c r="H38" s="23">
        <f>48+121+0</f>
        <v>169</v>
      </c>
      <c r="I38" s="23">
        <v>8337</v>
      </c>
      <c r="J38" s="23">
        <v>1005</v>
      </c>
      <c r="K38" s="23">
        <f t="shared" si="2"/>
        <v>2836</v>
      </c>
      <c r="L38" s="23">
        <f>14+185</f>
        <v>199</v>
      </c>
      <c r="M38" s="23">
        <v>1930</v>
      </c>
      <c r="N38" s="23">
        <v>707</v>
      </c>
      <c r="O38" s="13" t="s">
        <v>9</v>
      </c>
      <c r="P38" s="417" t="s">
        <v>172</v>
      </c>
      <c r="Q38" s="22"/>
    </row>
    <row r="39" spans="3:21" ht="15" customHeight="1" thickBot="1" x14ac:dyDescent="0.25">
      <c r="C39" s="23">
        <f t="shared" si="0"/>
        <v>3704</v>
      </c>
      <c r="D39" s="23">
        <f>3+14</f>
        <v>17</v>
      </c>
      <c r="E39" s="23">
        <v>3687</v>
      </c>
      <c r="F39" s="23">
        <v>0</v>
      </c>
      <c r="G39" s="23">
        <f t="shared" si="1"/>
        <v>21403</v>
      </c>
      <c r="H39" s="23">
        <v>49</v>
      </c>
      <c r="I39" s="23">
        <v>21027</v>
      </c>
      <c r="J39" s="23">
        <v>327</v>
      </c>
      <c r="K39" s="23">
        <f t="shared" si="2"/>
        <v>7536</v>
      </c>
      <c r="L39" s="23">
        <f>9+94</f>
        <v>103</v>
      </c>
      <c r="M39" s="23">
        <v>7433</v>
      </c>
      <c r="N39" s="23">
        <v>0</v>
      </c>
      <c r="O39" s="13" t="s">
        <v>10</v>
      </c>
      <c r="P39" s="422"/>
      <c r="Q39" s="22"/>
    </row>
    <row r="40" spans="3:21" ht="15" customHeight="1" thickBot="1" x14ac:dyDescent="0.25">
      <c r="C40" s="23">
        <f t="shared" ref="C40" si="114">SUM(C38:C39)</f>
        <v>4991</v>
      </c>
      <c r="D40" s="23">
        <f t="shared" ref="D40" si="115">SUM(D38:D39)</f>
        <v>62</v>
      </c>
      <c r="E40" s="23">
        <f t="shared" ref="E40" si="116">SUM(E38:E39)</f>
        <v>4837</v>
      </c>
      <c r="F40" s="23">
        <f t="shared" ref="F40" si="117">SUM(F38:F39)</f>
        <v>92</v>
      </c>
      <c r="G40" s="23">
        <f t="shared" ref="G40" si="118">SUM(G38:G39)</f>
        <v>30914</v>
      </c>
      <c r="H40" s="23">
        <f t="shared" ref="H40" si="119">SUM(H38:H39)</f>
        <v>218</v>
      </c>
      <c r="I40" s="23">
        <f t="shared" ref="I40" si="120">SUM(I38:I39)</f>
        <v>29364</v>
      </c>
      <c r="J40" s="23">
        <f t="shared" ref="J40" si="121">SUM(J38:J39)</f>
        <v>1332</v>
      </c>
      <c r="K40" s="23">
        <f t="shared" ref="K40" si="122">SUM(K38:K39)</f>
        <v>10372</v>
      </c>
      <c r="L40" s="23">
        <f t="shared" ref="L40" si="123">SUM(L38:L39)</f>
        <v>302</v>
      </c>
      <c r="M40" s="23">
        <f t="shared" ref="M40" si="124">SUM(M38:M39)</f>
        <v>9363</v>
      </c>
      <c r="N40" s="23">
        <f>SUM(N38:N39)</f>
        <v>707</v>
      </c>
      <c r="O40" s="13" t="s">
        <v>12</v>
      </c>
      <c r="P40" s="423"/>
      <c r="Q40" s="22"/>
    </row>
    <row r="41" spans="3:21" ht="15" customHeight="1" thickBot="1" x14ac:dyDescent="0.25">
      <c r="C41" s="23">
        <f t="shared" si="0"/>
        <v>1106</v>
      </c>
      <c r="D41" s="23">
        <v>24</v>
      </c>
      <c r="E41" s="23">
        <v>1082</v>
      </c>
      <c r="F41" s="23">
        <v>0</v>
      </c>
      <c r="G41" s="23">
        <f t="shared" si="1"/>
        <v>4205</v>
      </c>
      <c r="H41" s="23">
        <f>16+39+0</f>
        <v>55</v>
      </c>
      <c r="I41" s="23">
        <v>4126</v>
      </c>
      <c r="J41" s="23">
        <v>24</v>
      </c>
      <c r="K41" s="23">
        <f t="shared" si="2"/>
        <v>1272</v>
      </c>
      <c r="L41" s="23">
        <f>6+42</f>
        <v>48</v>
      </c>
      <c r="M41" s="23">
        <v>1183</v>
      </c>
      <c r="N41" s="23">
        <v>41</v>
      </c>
      <c r="O41" s="13" t="s">
        <v>9</v>
      </c>
      <c r="P41" s="417" t="s">
        <v>173</v>
      </c>
      <c r="Q41" s="22"/>
    </row>
    <row r="42" spans="3:21" ht="15" customHeight="1" thickBot="1" x14ac:dyDescent="0.25">
      <c r="C42" s="23">
        <f t="shared" si="0"/>
        <v>4071</v>
      </c>
      <c r="D42" s="23">
        <v>23</v>
      </c>
      <c r="E42" s="23">
        <v>4048</v>
      </c>
      <c r="F42" s="23">
        <v>0</v>
      </c>
      <c r="G42" s="23">
        <f t="shared" si="1"/>
        <v>18367</v>
      </c>
      <c r="H42" s="23">
        <f>14+51</f>
        <v>65</v>
      </c>
      <c r="I42" s="23">
        <v>18206</v>
      </c>
      <c r="J42" s="23">
        <v>96</v>
      </c>
      <c r="K42" s="23">
        <f t="shared" si="2"/>
        <v>6568</v>
      </c>
      <c r="L42" s="23">
        <v>85</v>
      </c>
      <c r="M42" s="23">
        <v>6483</v>
      </c>
      <c r="N42" s="23">
        <v>0</v>
      </c>
      <c r="O42" s="13" t="s">
        <v>10</v>
      </c>
      <c r="P42" s="422"/>
      <c r="Q42" s="22"/>
    </row>
    <row r="43" spans="3:21" ht="15" customHeight="1" thickBot="1" x14ac:dyDescent="0.25">
      <c r="C43" s="23">
        <f t="shared" ref="C43" si="125">SUM(C41:C42)</f>
        <v>5177</v>
      </c>
      <c r="D43" s="23">
        <f t="shared" ref="D43" si="126">SUM(D41:D42)</f>
        <v>47</v>
      </c>
      <c r="E43" s="23">
        <f t="shared" ref="E43" si="127">SUM(E41:E42)</f>
        <v>5130</v>
      </c>
      <c r="F43" s="23">
        <f t="shared" ref="F43" si="128">SUM(F41:F42)</f>
        <v>0</v>
      </c>
      <c r="G43" s="23">
        <f t="shared" ref="G43" si="129">SUM(G41:G42)</f>
        <v>22572</v>
      </c>
      <c r="H43" s="23">
        <f t="shared" ref="H43" si="130">SUM(H41:H42)</f>
        <v>120</v>
      </c>
      <c r="I43" s="23">
        <f t="shared" ref="I43" si="131">SUM(I41:I42)</f>
        <v>22332</v>
      </c>
      <c r="J43" s="23">
        <f t="shared" ref="J43" si="132">SUM(J41:J42)</f>
        <v>120</v>
      </c>
      <c r="K43" s="23">
        <f t="shared" ref="K43" si="133">SUM(K41:K42)</f>
        <v>7840</v>
      </c>
      <c r="L43" s="23">
        <f t="shared" ref="L43" si="134">SUM(L41:L42)</f>
        <v>133</v>
      </c>
      <c r="M43" s="23">
        <f t="shared" ref="M43" si="135">SUM(M41:M42)</f>
        <v>7666</v>
      </c>
      <c r="N43" s="23">
        <f>SUM(N41:N42)</f>
        <v>41</v>
      </c>
      <c r="O43" s="13" t="s">
        <v>12</v>
      </c>
      <c r="P43" s="423"/>
      <c r="Q43" s="22"/>
    </row>
    <row r="44" spans="3:21" ht="15" customHeight="1" thickBot="1" x14ac:dyDescent="0.25">
      <c r="C44" s="23">
        <f t="shared" si="0"/>
        <v>4575</v>
      </c>
      <c r="D44" s="23">
        <v>52</v>
      </c>
      <c r="E44" s="23">
        <v>1933</v>
      </c>
      <c r="F44" s="23">
        <v>2590</v>
      </c>
      <c r="G44" s="23">
        <f t="shared" si="1"/>
        <v>29076</v>
      </c>
      <c r="H44" s="23">
        <f>11+439</f>
        <v>450</v>
      </c>
      <c r="I44" s="23">
        <v>14633</v>
      </c>
      <c r="J44" s="23">
        <v>13993</v>
      </c>
      <c r="K44" s="23">
        <f t="shared" si="2"/>
        <v>9982</v>
      </c>
      <c r="L44" s="23">
        <v>96</v>
      </c>
      <c r="M44" s="23">
        <v>4745</v>
      </c>
      <c r="N44" s="23">
        <v>5141</v>
      </c>
      <c r="O44" s="13" t="s">
        <v>9</v>
      </c>
      <c r="P44" s="417" t="s">
        <v>174</v>
      </c>
      <c r="Q44" s="22"/>
    </row>
    <row r="45" spans="3:21" ht="15" customHeight="1" thickBot="1" x14ac:dyDescent="0.25">
      <c r="C45" s="23">
        <f t="shared" si="0"/>
        <v>4497</v>
      </c>
      <c r="D45" s="23">
        <v>7</v>
      </c>
      <c r="E45" s="23">
        <v>1831</v>
      </c>
      <c r="F45" s="23">
        <v>2659</v>
      </c>
      <c r="G45" s="23">
        <f t="shared" si="1"/>
        <v>21939</v>
      </c>
      <c r="H45" s="23">
        <v>147</v>
      </c>
      <c r="I45" s="23">
        <v>12456</v>
      </c>
      <c r="J45" s="23">
        <v>9336</v>
      </c>
      <c r="K45" s="23">
        <f t="shared" si="2"/>
        <v>6868</v>
      </c>
      <c r="L45" s="23">
        <v>56</v>
      </c>
      <c r="M45" s="23">
        <v>3461</v>
      </c>
      <c r="N45" s="23">
        <v>3351</v>
      </c>
      <c r="O45" s="13" t="s">
        <v>10</v>
      </c>
      <c r="P45" s="422"/>
      <c r="Q45" s="22"/>
      <c r="U45" s="31"/>
    </row>
    <row r="46" spans="3:21" ht="15" customHeight="1" thickBot="1" x14ac:dyDescent="0.25">
      <c r="C46" s="23">
        <f t="shared" ref="C46" si="136">SUM(C44:C45)</f>
        <v>9072</v>
      </c>
      <c r="D46" s="23">
        <f t="shared" ref="D46" si="137">SUM(D44:D45)</f>
        <v>59</v>
      </c>
      <c r="E46" s="23">
        <f t="shared" ref="E46" si="138">SUM(E44:E45)</f>
        <v>3764</v>
      </c>
      <c r="F46" s="23">
        <f t="shared" ref="F46" si="139">SUM(F44:F45)</f>
        <v>5249</v>
      </c>
      <c r="G46" s="23">
        <f t="shared" ref="G46" si="140">SUM(G44:G45)</f>
        <v>51015</v>
      </c>
      <c r="H46" s="23">
        <f t="shared" ref="H46" si="141">SUM(H44:H45)</f>
        <v>597</v>
      </c>
      <c r="I46" s="23">
        <f t="shared" ref="I46" si="142">SUM(I44:I45)</f>
        <v>27089</v>
      </c>
      <c r="J46" s="23">
        <f t="shared" ref="J46" si="143">SUM(J44:J45)</f>
        <v>23329</v>
      </c>
      <c r="K46" s="23">
        <f t="shared" ref="K46" si="144">SUM(K44:K45)</f>
        <v>16850</v>
      </c>
      <c r="L46" s="23">
        <f t="shared" ref="L46" si="145">SUM(L44:L45)</f>
        <v>152</v>
      </c>
      <c r="M46" s="23">
        <f t="shared" ref="M46" si="146">SUM(M44:M45)</f>
        <v>8206</v>
      </c>
      <c r="N46" s="23">
        <f>SUM(N44:N45)</f>
        <v>8492</v>
      </c>
      <c r="O46" s="13" t="s">
        <v>12</v>
      </c>
      <c r="P46" s="423"/>
      <c r="Q46" s="22"/>
    </row>
    <row r="47" spans="3:21" ht="15" customHeight="1" thickBot="1" x14ac:dyDescent="0.25">
      <c r="C47" s="23">
        <f t="shared" si="0"/>
        <v>4710</v>
      </c>
      <c r="D47" s="23">
        <f>19+122</f>
        <v>141</v>
      </c>
      <c r="E47" s="23">
        <v>1337</v>
      </c>
      <c r="F47" s="23">
        <v>3232</v>
      </c>
      <c r="G47" s="23">
        <f t="shared" si="1"/>
        <v>27110</v>
      </c>
      <c r="H47" s="23">
        <f>124+635</f>
        <v>759</v>
      </c>
      <c r="I47" s="23">
        <v>11850</v>
      </c>
      <c r="J47" s="23">
        <v>14501</v>
      </c>
      <c r="K47" s="23">
        <f t="shared" si="2"/>
        <v>18805</v>
      </c>
      <c r="L47" s="23">
        <v>430</v>
      </c>
      <c r="M47" s="23">
        <v>4846</v>
      </c>
      <c r="N47" s="23">
        <v>13529</v>
      </c>
      <c r="O47" s="13" t="s">
        <v>9</v>
      </c>
      <c r="P47" s="417" t="s">
        <v>175</v>
      </c>
      <c r="Q47" s="22"/>
    </row>
    <row r="48" spans="3:21" ht="15" customHeight="1" thickBot="1" x14ac:dyDescent="0.25">
      <c r="C48" s="23">
        <f t="shared" si="0"/>
        <v>0</v>
      </c>
      <c r="D48" s="23">
        <v>0</v>
      </c>
      <c r="E48" s="23">
        <v>0</v>
      </c>
      <c r="F48" s="23">
        <v>0</v>
      </c>
      <c r="G48" s="23">
        <f t="shared" si="1"/>
        <v>1770</v>
      </c>
      <c r="H48" s="23">
        <v>0</v>
      </c>
      <c r="I48" s="23">
        <v>743</v>
      </c>
      <c r="J48" s="23">
        <v>1027</v>
      </c>
      <c r="K48" s="23">
        <f t="shared" si="2"/>
        <v>931</v>
      </c>
      <c r="L48" s="23">
        <v>0</v>
      </c>
      <c r="M48" s="23">
        <v>148</v>
      </c>
      <c r="N48" s="23">
        <v>783</v>
      </c>
      <c r="O48" s="13" t="s">
        <v>10</v>
      </c>
      <c r="P48" s="422"/>
      <c r="Q48" s="22"/>
    </row>
    <row r="49" spans="3:17" ht="15" customHeight="1" thickBot="1" x14ac:dyDescent="0.25">
      <c r="C49" s="23">
        <f t="shared" ref="C49" si="147">SUM(C47:C48)</f>
        <v>4710</v>
      </c>
      <c r="D49" s="23">
        <f t="shared" ref="D49" si="148">SUM(D47:D48)</f>
        <v>141</v>
      </c>
      <c r="E49" s="23">
        <f t="shared" ref="E49" si="149">SUM(E47:E48)</f>
        <v>1337</v>
      </c>
      <c r="F49" s="23">
        <f t="shared" ref="F49" si="150">SUM(F47:F48)</f>
        <v>3232</v>
      </c>
      <c r="G49" s="23">
        <f t="shared" ref="G49" si="151">SUM(G47:G48)</f>
        <v>28880</v>
      </c>
      <c r="H49" s="23">
        <f t="shared" ref="H49" si="152">SUM(H47:H48)</f>
        <v>759</v>
      </c>
      <c r="I49" s="23">
        <f t="shared" ref="I49" si="153">SUM(I47:I48)</f>
        <v>12593</v>
      </c>
      <c r="J49" s="23">
        <f t="shared" ref="J49" si="154">SUM(J47:J48)</f>
        <v>15528</v>
      </c>
      <c r="K49" s="23">
        <f t="shared" ref="K49" si="155">SUM(K47:K48)</f>
        <v>19736</v>
      </c>
      <c r="L49" s="23">
        <f t="shared" ref="L49" si="156">SUM(L47:L48)</f>
        <v>430</v>
      </c>
      <c r="M49" s="23">
        <f t="shared" ref="M49" si="157">SUM(M47:M48)</f>
        <v>4994</v>
      </c>
      <c r="N49" s="23">
        <f>SUM(N47:N48)</f>
        <v>14312</v>
      </c>
      <c r="O49" s="13" t="s">
        <v>12</v>
      </c>
      <c r="P49" s="423"/>
      <c r="Q49" s="22"/>
    </row>
    <row r="50" spans="3:17" ht="15" customHeight="1" thickBot="1" x14ac:dyDescent="0.25">
      <c r="C50" s="23">
        <f t="shared" si="0"/>
        <v>287</v>
      </c>
      <c r="D50" s="23">
        <v>0</v>
      </c>
      <c r="E50" s="23">
        <v>24</v>
      </c>
      <c r="F50" s="23">
        <v>263</v>
      </c>
      <c r="G50" s="23">
        <f t="shared" si="1"/>
        <v>1191</v>
      </c>
      <c r="H50" s="23">
        <v>6</v>
      </c>
      <c r="I50" s="23">
        <v>204</v>
      </c>
      <c r="J50" s="23">
        <v>981</v>
      </c>
      <c r="K50" s="23">
        <f t="shared" si="2"/>
        <v>1006</v>
      </c>
      <c r="L50" s="23">
        <v>0</v>
      </c>
      <c r="M50" s="23">
        <v>404</v>
      </c>
      <c r="N50" s="23">
        <v>602</v>
      </c>
      <c r="O50" s="13" t="s">
        <v>9</v>
      </c>
      <c r="P50" s="417" t="s">
        <v>176</v>
      </c>
      <c r="Q50" s="22"/>
    </row>
    <row r="51" spans="3:17" ht="15" customHeight="1" thickBot="1" x14ac:dyDescent="0.25">
      <c r="C51" s="23">
        <f t="shared" si="0"/>
        <v>330</v>
      </c>
      <c r="D51" s="23">
        <v>0</v>
      </c>
      <c r="E51" s="23">
        <v>330</v>
      </c>
      <c r="F51" s="23">
        <v>0</v>
      </c>
      <c r="G51" s="23">
        <f t="shared" si="1"/>
        <v>1790</v>
      </c>
      <c r="H51" s="23">
        <v>31</v>
      </c>
      <c r="I51" s="23">
        <v>1575</v>
      </c>
      <c r="J51" s="23">
        <v>184</v>
      </c>
      <c r="K51" s="23">
        <f t="shared" si="2"/>
        <v>502</v>
      </c>
      <c r="L51" s="23">
        <v>0</v>
      </c>
      <c r="M51" s="23">
        <v>502</v>
      </c>
      <c r="N51" s="23">
        <v>0</v>
      </c>
      <c r="O51" s="13" t="s">
        <v>10</v>
      </c>
      <c r="P51" s="422"/>
      <c r="Q51" s="22"/>
    </row>
    <row r="52" spans="3:17" ht="15" customHeight="1" thickBot="1" x14ac:dyDescent="0.25">
      <c r="C52" s="23">
        <f t="shared" ref="C52" si="158">SUM(C50:C51)</f>
        <v>617</v>
      </c>
      <c r="D52" s="23">
        <f t="shared" ref="D52" si="159">SUM(D50:D51)</f>
        <v>0</v>
      </c>
      <c r="E52" s="23">
        <f t="shared" ref="E52" si="160">SUM(E50:E51)</f>
        <v>354</v>
      </c>
      <c r="F52" s="23">
        <f t="shared" ref="F52" si="161">SUM(F50:F51)</f>
        <v>263</v>
      </c>
      <c r="G52" s="23">
        <f t="shared" ref="G52" si="162">SUM(G50:G51)</f>
        <v>2981</v>
      </c>
      <c r="H52" s="23">
        <f t="shared" ref="H52" si="163">SUM(H50:H51)</f>
        <v>37</v>
      </c>
      <c r="I52" s="23">
        <f t="shared" ref="I52" si="164">SUM(I50:I51)</f>
        <v>1779</v>
      </c>
      <c r="J52" s="23">
        <f t="shared" ref="J52" si="165">SUM(J50:J51)</f>
        <v>1165</v>
      </c>
      <c r="K52" s="23">
        <f t="shared" ref="K52" si="166">SUM(K50:K51)</f>
        <v>1508</v>
      </c>
      <c r="L52" s="23">
        <f t="shared" ref="L52" si="167">SUM(L50:L51)</f>
        <v>0</v>
      </c>
      <c r="M52" s="23">
        <f t="shared" ref="M52" si="168">SUM(M50:M51)</f>
        <v>906</v>
      </c>
      <c r="N52" s="23">
        <f>SUM(N50:N51)</f>
        <v>602</v>
      </c>
      <c r="O52" s="13" t="s">
        <v>12</v>
      </c>
      <c r="P52" s="423"/>
      <c r="Q52" s="22"/>
    </row>
    <row r="53" spans="3:17" ht="15" customHeight="1" thickBot="1" x14ac:dyDescent="0.25">
      <c r="C53" s="23">
        <f t="shared" si="0"/>
        <v>1205</v>
      </c>
      <c r="D53" s="23">
        <v>47</v>
      </c>
      <c r="E53" s="23">
        <v>875</v>
      </c>
      <c r="F53" s="23">
        <v>283</v>
      </c>
      <c r="G53" s="23">
        <f t="shared" si="1"/>
        <v>9858</v>
      </c>
      <c r="H53" s="23">
        <f>16+330</f>
        <v>346</v>
      </c>
      <c r="I53" s="23">
        <v>6388</v>
      </c>
      <c r="J53" s="23">
        <v>3124</v>
      </c>
      <c r="K53" s="23">
        <f t="shared" si="2"/>
        <v>2225</v>
      </c>
      <c r="L53" s="23">
        <f>13+50</f>
        <v>63</v>
      </c>
      <c r="M53" s="23">
        <v>1058</v>
      </c>
      <c r="N53" s="23">
        <v>1104</v>
      </c>
      <c r="O53" s="13" t="s">
        <v>9</v>
      </c>
      <c r="P53" s="417" t="s">
        <v>177</v>
      </c>
      <c r="Q53" s="22"/>
    </row>
    <row r="54" spans="3:17" ht="15" customHeight="1" thickBot="1" x14ac:dyDescent="0.25">
      <c r="C54" s="23">
        <f t="shared" si="0"/>
        <v>50</v>
      </c>
      <c r="D54" s="23">
        <v>0</v>
      </c>
      <c r="E54" s="23">
        <v>50</v>
      </c>
      <c r="F54" s="23">
        <v>0</v>
      </c>
      <c r="G54" s="23">
        <f t="shared" si="1"/>
        <v>259</v>
      </c>
      <c r="H54" s="23">
        <f>4+15</f>
        <v>19</v>
      </c>
      <c r="I54" s="23">
        <v>240</v>
      </c>
      <c r="J54" s="23">
        <v>0</v>
      </c>
      <c r="K54" s="23">
        <f t="shared" si="2"/>
        <v>94</v>
      </c>
      <c r="L54" s="23">
        <v>0</v>
      </c>
      <c r="M54" s="23">
        <v>94</v>
      </c>
      <c r="N54" s="23">
        <v>0</v>
      </c>
      <c r="O54" s="13" t="s">
        <v>10</v>
      </c>
      <c r="P54" s="422"/>
      <c r="Q54" s="22"/>
    </row>
    <row r="55" spans="3:17" ht="15" customHeight="1" thickBot="1" x14ac:dyDescent="0.25">
      <c r="C55" s="23">
        <f t="shared" ref="C55" si="169">SUM(C53:C54)</f>
        <v>1255</v>
      </c>
      <c r="D55" s="23">
        <f t="shared" ref="D55" si="170">SUM(D53:D54)</f>
        <v>47</v>
      </c>
      <c r="E55" s="23">
        <f t="shared" ref="E55" si="171">SUM(E53:E54)</f>
        <v>925</v>
      </c>
      <c r="F55" s="23">
        <f t="shared" ref="F55" si="172">SUM(F53:F54)</f>
        <v>283</v>
      </c>
      <c r="G55" s="23">
        <f t="shared" ref="G55" si="173">SUM(G53:G54)</f>
        <v>10117</v>
      </c>
      <c r="H55" s="23">
        <f t="shared" ref="H55" si="174">SUM(H53:H54)</f>
        <v>365</v>
      </c>
      <c r="I55" s="23">
        <f t="shared" ref="I55" si="175">SUM(I53:I54)</f>
        <v>6628</v>
      </c>
      <c r="J55" s="23">
        <f t="shared" ref="J55" si="176">SUM(J53:J54)</f>
        <v>3124</v>
      </c>
      <c r="K55" s="23">
        <f t="shared" ref="K55" si="177">SUM(K53:K54)</f>
        <v>2319</v>
      </c>
      <c r="L55" s="23">
        <f t="shared" ref="L55" si="178">SUM(L53:L54)</f>
        <v>63</v>
      </c>
      <c r="M55" s="23">
        <f t="shared" ref="M55" si="179">SUM(M53:M54)</f>
        <v>1152</v>
      </c>
      <c r="N55" s="23">
        <f>SUM(N53:N54)</f>
        <v>1104</v>
      </c>
      <c r="O55" s="13" t="s">
        <v>12</v>
      </c>
      <c r="P55" s="423"/>
      <c r="Q55" s="22"/>
    </row>
    <row r="56" spans="3:17" ht="15" customHeight="1" thickBot="1" x14ac:dyDescent="0.25">
      <c r="C56" s="23">
        <f t="shared" si="0"/>
        <v>541</v>
      </c>
      <c r="D56" s="23">
        <v>28</v>
      </c>
      <c r="E56" s="23">
        <v>310</v>
      </c>
      <c r="F56" s="23">
        <v>203</v>
      </c>
      <c r="G56" s="23">
        <f t="shared" si="1"/>
        <v>3093</v>
      </c>
      <c r="H56" s="23">
        <f>18+174</f>
        <v>192</v>
      </c>
      <c r="I56" s="23">
        <v>2860</v>
      </c>
      <c r="J56" s="23">
        <v>41</v>
      </c>
      <c r="K56" s="23">
        <f t="shared" si="2"/>
        <v>799</v>
      </c>
      <c r="L56" s="23">
        <v>64</v>
      </c>
      <c r="M56" s="23">
        <v>735</v>
      </c>
      <c r="N56" s="23">
        <v>0</v>
      </c>
      <c r="O56" s="13" t="s">
        <v>9</v>
      </c>
      <c r="P56" s="417" t="s">
        <v>178</v>
      </c>
      <c r="Q56" s="22"/>
    </row>
    <row r="57" spans="3:17" ht="15" customHeight="1" thickBot="1" x14ac:dyDescent="0.25">
      <c r="C57" s="23">
        <f t="shared" si="0"/>
        <v>68</v>
      </c>
      <c r="D57" s="23">
        <v>2</v>
      </c>
      <c r="E57" s="23">
        <v>66</v>
      </c>
      <c r="F57" s="23">
        <v>0</v>
      </c>
      <c r="G57" s="23">
        <f t="shared" si="1"/>
        <v>21</v>
      </c>
      <c r="H57" s="23">
        <v>1</v>
      </c>
      <c r="I57" s="23">
        <v>20</v>
      </c>
      <c r="J57" s="23">
        <v>0</v>
      </c>
      <c r="K57" s="23">
        <f t="shared" si="2"/>
        <v>0</v>
      </c>
      <c r="L57" s="23">
        <v>0</v>
      </c>
      <c r="M57" s="23">
        <v>0</v>
      </c>
      <c r="N57" s="23">
        <v>0</v>
      </c>
      <c r="O57" s="13" t="s">
        <v>10</v>
      </c>
      <c r="P57" s="422"/>
      <c r="Q57" s="22"/>
    </row>
    <row r="58" spans="3:17" ht="15" customHeight="1" thickBot="1" x14ac:dyDescent="0.25">
      <c r="C58" s="23">
        <f t="shared" ref="C58" si="180">SUM(C56:C57)</f>
        <v>609</v>
      </c>
      <c r="D58" s="23">
        <f t="shared" ref="D58" si="181">SUM(D56:D57)</f>
        <v>30</v>
      </c>
      <c r="E58" s="23">
        <f t="shared" ref="E58" si="182">SUM(E56:E57)</f>
        <v>376</v>
      </c>
      <c r="F58" s="23">
        <f t="shared" ref="F58" si="183">SUM(F56:F57)</f>
        <v>203</v>
      </c>
      <c r="G58" s="23">
        <f t="shared" ref="G58" si="184">SUM(G56:G57)</f>
        <v>3114</v>
      </c>
      <c r="H58" s="23">
        <f t="shared" ref="H58" si="185">SUM(H56:H57)</f>
        <v>193</v>
      </c>
      <c r="I58" s="23">
        <f t="shared" ref="I58" si="186">SUM(I56:I57)</f>
        <v>2880</v>
      </c>
      <c r="J58" s="23">
        <f t="shared" ref="J58" si="187">SUM(J56:J57)</f>
        <v>41</v>
      </c>
      <c r="K58" s="23">
        <f t="shared" ref="K58" si="188">SUM(K56:K57)</f>
        <v>799</v>
      </c>
      <c r="L58" s="23">
        <f t="shared" ref="L58" si="189">SUM(L56:L57)</f>
        <v>64</v>
      </c>
      <c r="M58" s="23">
        <f t="shared" ref="M58" si="190">SUM(M56:M57)</f>
        <v>735</v>
      </c>
      <c r="N58" s="23">
        <f>SUM(N56:N57)</f>
        <v>0</v>
      </c>
      <c r="O58" s="13" t="s">
        <v>12</v>
      </c>
      <c r="P58" s="423"/>
      <c r="Q58" s="22"/>
    </row>
    <row r="59" spans="3:17" ht="15" customHeight="1" thickBot="1" x14ac:dyDescent="0.25">
      <c r="C59" s="23">
        <f t="shared" si="0"/>
        <v>61</v>
      </c>
      <c r="D59" s="23">
        <v>0</v>
      </c>
      <c r="E59" s="23">
        <v>61</v>
      </c>
      <c r="F59" s="23">
        <v>0</v>
      </c>
      <c r="G59" s="23">
        <f t="shared" si="1"/>
        <v>423</v>
      </c>
      <c r="H59" s="23">
        <v>27</v>
      </c>
      <c r="I59" s="23">
        <v>396</v>
      </c>
      <c r="J59" s="23">
        <v>0</v>
      </c>
      <c r="K59" s="23">
        <f t="shared" si="2"/>
        <v>194</v>
      </c>
      <c r="L59" s="23">
        <v>10</v>
      </c>
      <c r="M59" s="23">
        <v>184</v>
      </c>
      <c r="N59" s="23">
        <v>0</v>
      </c>
      <c r="O59" s="13" t="s">
        <v>9</v>
      </c>
      <c r="P59" s="417" t="s">
        <v>179</v>
      </c>
      <c r="Q59" s="22"/>
    </row>
    <row r="60" spans="3:17" ht="15" customHeight="1" thickBot="1" x14ac:dyDescent="0.25">
      <c r="C60" s="23">
        <f t="shared" si="0"/>
        <v>0</v>
      </c>
      <c r="D60" s="23">
        <v>0</v>
      </c>
      <c r="E60" s="23">
        <v>0</v>
      </c>
      <c r="F60" s="23">
        <v>0</v>
      </c>
      <c r="G60" s="23">
        <f t="shared" si="1"/>
        <v>0</v>
      </c>
      <c r="H60" s="23">
        <v>0</v>
      </c>
      <c r="I60" s="23">
        <v>0</v>
      </c>
      <c r="J60" s="23">
        <v>0</v>
      </c>
      <c r="K60" s="23">
        <f t="shared" si="2"/>
        <v>0</v>
      </c>
      <c r="L60" s="23">
        <v>0</v>
      </c>
      <c r="M60" s="23">
        <v>0</v>
      </c>
      <c r="N60" s="23">
        <v>0</v>
      </c>
      <c r="O60" s="13" t="s">
        <v>10</v>
      </c>
      <c r="P60" s="422"/>
      <c r="Q60" s="22"/>
    </row>
    <row r="61" spans="3:17" ht="15" customHeight="1" thickBot="1" x14ac:dyDescent="0.25">
      <c r="C61" s="23">
        <f t="shared" ref="C61:M61" si="191">SUM(C59:C60)</f>
        <v>61</v>
      </c>
      <c r="D61" s="23">
        <f t="shared" si="191"/>
        <v>0</v>
      </c>
      <c r="E61" s="23">
        <f t="shared" si="191"/>
        <v>61</v>
      </c>
      <c r="F61" s="23">
        <f t="shared" si="191"/>
        <v>0</v>
      </c>
      <c r="G61" s="23">
        <f t="shared" si="191"/>
        <v>423</v>
      </c>
      <c r="H61" s="23">
        <f t="shared" si="191"/>
        <v>27</v>
      </c>
      <c r="I61" s="23">
        <f t="shared" si="191"/>
        <v>396</v>
      </c>
      <c r="J61" s="23">
        <f t="shared" si="191"/>
        <v>0</v>
      </c>
      <c r="K61" s="23">
        <f t="shared" si="191"/>
        <v>194</v>
      </c>
      <c r="L61" s="23">
        <f t="shared" si="191"/>
        <v>10</v>
      </c>
      <c r="M61" s="23">
        <f t="shared" si="191"/>
        <v>184</v>
      </c>
      <c r="N61" s="23">
        <f>SUM(N59:N60)</f>
        <v>0</v>
      </c>
      <c r="O61" s="13" t="s">
        <v>12</v>
      </c>
      <c r="P61" s="423"/>
      <c r="Q61" s="22"/>
    </row>
    <row r="62" spans="3:17" ht="15" customHeight="1" thickBot="1" x14ac:dyDescent="0.25">
      <c r="C62" s="23">
        <f t="shared" si="0"/>
        <v>4514</v>
      </c>
      <c r="D62" s="23">
        <f>9+82</f>
        <v>91</v>
      </c>
      <c r="E62" s="23">
        <v>2078</v>
      </c>
      <c r="F62" s="23">
        <v>2345</v>
      </c>
      <c r="G62" s="23">
        <f t="shared" si="1"/>
        <v>25360</v>
      </c>
      <c r="H62" s="23">
        <f>132+268+7</f>
        <v>407</v>
      </c>
      <c r="I62" s="23">
        <v>16316</v>
      </c>
      <c r="J62" s="23">
        <v>8637</v>
      </c>
      <c r="K62" s="23">
        <f t="shared" si="2"/>
        <v>6310</v>
      </c>
      <c r="L62" s="23">
        <v>82</v>
      </c>
      <c r="M62" s="23">
        <v>4575</v>
      </c>
      <c r="N62" s="23">
        <v>1653</v>
      </c>
      <c r="O62" s="13" t="s">
        <v>9</v>
      </c>
      <c r="P62" s="417" t="s">
        <v>180</v>
      </c>
      <c r="Q62" s="22"/>
    </row>
    <row r="63" spans="3:17" ht="15" customHeight="1" thickBot="1" x14ac:dyDescent="0.25">
      <c r="C63" s="23">
        <f t="shared" si="0"/>
        <v>3580</v>
      </c>
      <c r="D63" s="23">
        <f>12+39</f>
        <v>51</v>
      </c>
      <c r="E63" s="23">
        <v>2193</v>
      </c>
      <c r="F63" s="23">
        <v>1336</v>
      </c>
      <c r="G63" s="23">
        <f t="shared" si="1"/>
        <v>21778</v>
      </c>
      <c r="H63" s="23">
        <f>48+344+18</f>
        <v>410</v>
      </c>
      <c r="I63" s="23">
        <v>17178</v>
      </c>
      <c r="J63" s="23">
        <v>4190</v>
      </c>
      <c r="K63" s="23">
        <f t="shared" si="2"/>
        <v>7710</v>
      </c>
      <c r="L63" s="23">
        <f>6+104+5</f>
        <v>115</v>
      </c>
      <c r="M63" s="23">
        <v>5166</v>
      </c>
      <c r="N63" s="23">
        <v>2429</v>
      </c>
      <c r="O63" s="13" t="s">
        <v>10</v>
      </c>
      <c r="P63" s="422"/>
      <c r="Q63" s="22"/>
    </row>
    <row r="64" spans="3:17" ht="15" customHeight="1" thickBot="1" x14ac:dyDescent="0.25">
      <c r="C64" s="23">
        <f t="shared" ref="C64" si="192">SUM(C62:C63)</f>
        <v>8094</v>
      </c>
      <c r="D64" s="23">
        <f t="shared" ref="D64" si="193">SUM(D62:D63)</f>
        <v>142</v>
      </c>
      <c r="E64" s="23">
        <f t="shared" ref="E64" si="194">SUM(E62:E63)</f>
        <v>4271</v>
      </c>
      <c r="F64" s="23">
        <f t="shared" ref="F64" si="195">SUM(F62:F63)</f>
        <v>3681</v>
      </c>
      <c r="G64" s="23">
        <f t="shared" ref="G64" si="196">SUM(G62:G63)</f>
        <v>47138</v>
      </c>
      <c r="H64" s="23">
        <f t="shared" ref="H64" si="197">SUM(H62:H63)</f>
        <v>817</v>
      </c>
      <c r="I64" s="23">
        <f t="shared" ref="I64" si="198">SUM(I62:I63)</f>
        <v>33494</v>
      </c>
      <c r="J64" s="23">
        <f t="shared" ref="J64" si="199">SUM(J62:J63)</f>
        <v>12827</v>
      </c>
      <c r="K64" s="23">
        <f t="shared" ref="K64" si="200">SUM(K62:K63)</f>
        <v>14020</v>
      </c>
      <c r="L64" s="23">
        <f t="shared" ref="L64" si="201">SUM(L62:L63)</f>
        <v>197</v>
      </c>
      <c r="M64" s="23">
        <f t="shared" ref="M64" si="202">SUM(M62:M63)</f>
        <v>9741</v>
      </c>
      <c r="N64" s="23">
        <f>SUM(N62:N63)</f>
        <v>4082</v>
      </c>
      <c r="O64" s="13" t="s">
        <v>12</v>
      </c>
      <c r="P64" s="423"/>
      <c r="Q64" s="22"/>
    </row>
    <row r="65" spans="3:17" ht="15" customHeight="1" thickBot="1" x14ac:dyDescent="0.25">
      <c r="C65" s="23">
        <f t="shared" si="0"/>
        <v>551</v>
      </c>
      <c r="D65" s="23">
        <f>10+21</f>
        <v>31</v>
      </c>
      <c r="E65" s="23">
        <v>263</v>
      </c>
      <c r="F65" s="23">
        <v>257</v>
      </c>
      <c r="G65" s="23">
        <f t="shared" si="1"/>
        <v>2904</v>
      </c>
      <c r="H65" s="23">
        <f>18+52</f>
        <v>70</v>
      </c>
      <c r="I65" s="23">
        <v>2325</v>
      </c>
      <c r="J65" s="23">
        <v>509</v>
      </c>
      <c r="K65" s="23">
        <f t="shared" si="2"/>
        <v>829</v>
      </c>
      <c r="L65" s="23">
        <f>3+46</f>
        <v>49</v>
      </c>
      <c r="M65" s="23">
        <v>727</v>
      </c>
      <c r="N65" s="23">
        <v>53</v>
      </c>
      <c r="O65" s="13" t="s">
        <v>9</v>
      </c>
      <c r="P65" s="417" t="s">
        <v>181</v>
      </c>
      <c r="Q65" s="22"/>
    </row>
    <row r="66" spans="3:17" ht="15" customHeight="1" thickBot="1" x14ac:dyDescent="0.25">
      <c r="C66" s="23">
        <f t="shared" si="0"/>
        <v>1175</v>
      </c>
      <c r="D66" s="23">
        <f>7+19+98</f>
        <v>124</v>
      </c>
      <c r="E66" s="23">
        <v>1051</v>
      </c>
      <c r="F66" s="23">
        <v>0</v>
      </c>
      <c r="G66" s="23">
        <f t="shared" si="1"/>
        <v>7126</v>
      </c>
      <c r="H66" s="23">
        <f>26+165+108</f>
        <v>299</v>
      </c>
      <c r="I66" s="23">
        <v>6827</v>
      </c>
      <c r="J66" s="23">
        <v>0</v>
      </c>
      <c r="K66" s="23">
        <f t="shared" si="2"/>
        <v>1840</v>
      </c>
      <c r="L66" s="23">
        <f>6+88+86</f>
        <v>180</v>
      </c>
      <c r="M66" s="23">
        <v>1660</v>
      </c>
      <c r="N66" s="23">
        <v>0</v>
      </c>
      <c r="O66" s="13" t="s">
        <v>10</v>
      </c>
      <c r="P66" s="422"/>
      <c r="Q66" s="22"/>
    </row>
    <row r="67" spans="3:17" ht="15" customHeight="1" thickBot="1" x14ac:dyDescent="0.25">
      <c r="C67" s="23">
        <f t="shared" ref="C67" si="203">SUM(C65:C66)</f>
        <v>1726</v>
      </c>
      <c r="D67" s="23">
        <f t="shared" ref="D67" si="204">SUM(D65:D66)</f>
        <v>155</v>
      </c>
      <c r="E67" s="23">
        <f t="shared" ref="E67" si="205">SUM(E65:E66)</f>
        <v>1314</v>
      </c>
      <c r="F67" s="23">
        <f t="shared" ref="F67" si="206">SUM(F65:F66)</f>
        <v>257</v>
      </c>
      <c r="G67" s="23">
        <f t="shared" ref="G67" si="207">SUM(G65:G66)</f>
        <v>10030</v>
      </c>
      <c r="H67" s="23">
        <f t="shared" ref="H67" si="208">SUM(H65:H66)</f>
        <v>369</v>
      </c>
      <c r="I67" s="23">
        <f t="shared" ref="I67" si="209">SUM(I65:I66)</f>
        <v>9152</v>
      </c>
      <c r="J67" s="23">
        <f t="shared" ref="J67" si="210">SUM(J65:J66)</f>
        <v>509</v>
      </c>
      <c r="K67" s="23">
        <f t="shared" ref="K67" si="211">SUM(K65:K66)</f>
        <v>2669</v>
      </c>
      <c r="L67" s="23">
        <f t="shared" ref="L67" si="212">SUM(L65:L66)</f>
        <v>229</v>
      </c>
      <c r="M67" s="23">
        <f t="shared" ref="M67" si="213">SUM(M65:M66)</f>
        <v>2387</v>
      </c>
      <c r="N67" s="23">
        <f>SUM(N65:N66)</f>
        <v>53</v>
      </c>
      <c r="O67" s="13" t="s">
        <v>12</v>
      </c>
      <c r="P67" s="423"/>
      <c r="Q67" s="22"/>
    </row>
    <row r="68" spans="3:17" ht="15" customHeight="1" thickBot="1" x14ac:dyDescent="0.25">
      <c r="C68" s="23">
        <f t="shared" si="0"/>
        <v>77</v>
      </c>
      <c r="D68" s="23">
        <v>0</v>
      </c>
      <c r="E68" s="23">
        <v>15</v>
      </c>
      <c r="F68" s="23">
        <v>62</v>
      </c>
      <c r="G68" s="23">
        <f t="shared" si="1"/>
        <v>0</v>
      </c>
      <c r="H68" s="23">
        <v>0</v>
      </c>
      <c r="I68" s="23">
        <v>0</v>
      </c>
      <c r="J68" s="23">
        <v>0</v>
      </c>
      <c r="K68" s="23">
        <f t="shared" si="2"/>
        <v>92</v>
      </c>
      <c r="L68" s="23">
        <v>0</v>
      </c>
      <c r="M68" s="23">
        <v>92</v>
      </c>
      <c r="N68" s="23">
        <v>0</v>
      </c>
      <c r="O68" s="13" t="s">
        <v>9</v>
      </c>
      <c r="P68" s="417" t="s">
        <v>182</v>
      </c>
      <c r="Q68" s="22"/>
    </row>
    <row r="69" spans="3:17" ht="15" customHeight="1" thickBot="1" x14ac:dyDescent="0.25">
      <c r="C69" s="23">
        <f t="shared" si="0"/>
        <v>0</v>
      </c>
      <c r="D69" s="23">
        <v>0</v>
      </c>
      <c r="E69" s="23">
        <v>0</v>
      </c>
      <c r="F69" s="23">
        <v>0</v>
      </c>
      <c r="G69" s="23">
        <f t="shared" si="1"/>
        <v>121</v>
      </c>
      <c r="H69" s="23">
        <v>0</v>
      </c>
      <c r="I69" s="23">
        <v>0</v>
      </c>
      <c r="J69" s="23">
        <v>121</v>
      </c>
      <c r="K69" s="23">
        <f t="shared" si="2"/>
        <v>0</v>
      </c>
      <c r="L69" s="23">
        <v>0</v>
      </c>
      <c r="M69" s="23">
        <v>0</v>
      </c>
      <c r="N69" s="23">
        <v>0</v>
      </c>
      <c r="O69" s="13" t="s">
        <v>10</v>
      </c>
      <c r="P69" s="422"/>
      <c r="Q69" s="22"/>
    </row>
    <row r="70" spans="3:17" ht="15" customHeight="1" thickBot="1" x14ac:dyDescent="0.25">
      <c r="C70" s="23">
        <f t="shared" ref="C70" si="214">SUM(C68:C69)</f>
        <v>77</v>
      </c>
      <c r="D70" s="23">
        <f t="shared" ref="D70" si="215">SUM(D68:D69)</f>
        <v>0</v>
      </c>
      <c r="E70" s="23">
        <f t="shared" ref="E70" si="216">SUM(E68:E69)</f>
        <v>15</v>
      </c>
      <c r="F70" s="23">
        <f t="shared" ref="F70" si="217">SUM(F68:F69)</f>
        <v>62</v>
      </c>
      <c r="G70" s="23">
        <f t="shared" ref="G70" si="218">SUM(G68:G69)</f>
        <v>121</v>
      </c>
      <c r="H70" s="23">
        <f t="shared" ref="H70" si="219">SUM(H68:H69)</f>
        <v>0</v>
      </c>
      <c r="I70" s="23">
        <f t="shared" ref="I70" si="220">SUM(I68:I69)</f>
        <v>0</v>
      </c>
      <c r="J70" s="23">
        <f t="shared" ref="J70" si="221">SUM(J68:J69)</f>
        <v>121</v>
      </c>
      <c r="K70" s="23">
        <f t="shared" ref="K70" si="222">SUM(K68:K69)</f>
        <v>92</v>
      </c>
      <c r="L70" s="23">
        <f t="shared" ref="L70" si="223">SUM(L68:L69)</f>
        <v>0</v>
      </c>
      <c r="M70" s="23">
        <f t="shared" ref="M70" si="224">SUM(M68:M69)</f>
        <v>92</v>
      </c>
      <c r="N70" s="23">
        <f>SUM(N68:N69)</f>
        <v>0</v>
      </c>
      <c r="O70" s="13" t="s">
        <v>12</v>
      </c>
      <c r="P70" s="423"/>
      <c r="Q70" s="22"/>
    </row>
    <row r="71" spans="3:17" ht="15" customHeight="1" thickBot="1" x14ac:dyDescent="0.25">
      <c r="C71" s="23">
        <f t="shared" ref="C71:C75" si="225">SUM(D71:F71)</f>
        <v>0</v>
      </c>
      <c r="D71" s="23">
        <v>0</v>
      </c>
      <c r="E71" s="23">
        <v>0</v>
      </c>
      <c r="F71" s="23">
        <v>0</v>
      </c>
      <c r="G71" s="23">
        <f t="shared" ref="G71:G75" si="226">SUM(H71:J71)</f>
        <v>393</v>
      </c>
      <c r="H71" s="23">
        <v>0</v>
      </c>
      <c r="I71" s="23">
        <v>0</v>
      </c>
      <c r="J71" s="23">
        <v>393</v>
      </c>
      <c r="K71" s="23">
        <f t="shared" ref="K71:K75" si="227">SUM(L71:N71)</f>
        <v>98</v>
      </c>
      <c r="L71" s="23">
        <v>0</v>
      </c>
      <c r="M71" s="23">
        <v>0</v>
      </c>
      <c r="N71" s="23">
        <v>98</v>
      </c>
      <c r="O71" s="13" t="s">
        <v>9</v>
      </c>
      <c r="P71" s="417" t="s">
        <v>183</v>
      </c>
      <c r="Q71" s="22"/>
    </row>
    <row r="72" spans="3:17" ht="15" customHeight="1" thickBot="1" x14ac:dyDescent="0.25">
      <c r="C72" s="23">
        <f t="shared" si="225"/>
        <v>0</v>
      </c>
      <c r="D72" s="23">
        <v>0</v>
      </c>
      <c r="E72" s="23">
        <v>0</v>
      </c>
      <c r="F72" s="23">
        <v>0</v>
      </c>
      <c r="G72" s="23">
        <f t="shared" si="226"/>
        <v>0</v>
      </c>
      <c r="H72" s="23">
        <v>0</v>
      </c>
      <c r="I72" s="23">
        <v>0</v>
      </c>
      <c r="J72" s="23">
        <v>0</v>
      </c>
      <c r="K72" s="23">
        <f t="shared" si="227"/>
        <v>0</v>
      </c>
      <c r="L72" s="23">
        <v>0</v>
      </c>
      <c r="M72" s="23">
        <v>0</v>
      </c>
      <c r="N72" s="23">
        <v>0</v>
      </c>
      <c r="O72" s="13" t="s">
        <v>10</v>
      </c>
      <c r="P72" s="422"/>
      <c r="Q72" s="22"/>
    </row>
    <row r="73" spans="3:17" ht="15" customHeight="1" thickBot="1" x14ac:dyDescent="0.25">
      <c r="C73" s="23">
        <f t="shared" ref="C73" si="228">SUM(C71:C72)</f>
        <v>0</v>
      </c>
      <c r="D73" s="23">
        <f t="shared" ref="D73" si="229">SUM(D71:D72)</f>
        <v>0</v>
      </c>
      <c r="E73" s="23">
        <f t="shared" ref="E73" si="230">SUM(E71:E72)</f>
        <v>0</v>
      </c>
      <c r="F73" s="23">
        <f t="shared" ref="F73" si="231">SUM(F71:F72)</f>
        <v>0</v>
      </c>
      <c r="G73" s="23">
        <f t="shared" ref="G73" si="232">SUM(G71:G72)</f>
        <v>393</v>
      </c>
      <c r="H73" s="23">
        <f t="shared" ref="H73" si="233">SUM(H71:H72)</f>
        <v>0</v>
      </c>
      <c r="I73" s="23">
        <f t="shared" ref="I73" si="234">SUM(I71:I72)</f>
        <v>0</v>
      </c>
      <c r="J73" s="23">
        <f t="shared" ref="J73" si="235">SUM(J71:J72)</f>
        <v>393</v>
      </c>
      <c r="K73" s="23">
        <f t="shared" ref="K73" si="236">SUM(K71:K72)</f>
        <v>98</v>
      </c>
      <c r="L73" s="23">
        <f t="shared" ref="L73" si="237">SUM(L71:L72)</f>
        <v>0</v>
      </c>
      <c r="M73" s="23">
        <f t="shared" ref="M73" si="238">SUM(M71:M72)</f>
        <v>0</v>
      </c>
      <c r="N73" s="23">
        <f>SUM(N71:N72)</f>
        <v>98</v>
      </c>
      <c r="O73" s="13" t="s">
        <v>12</v>
      </c>
      <c r="P73" s="423"/>
      <c r="Q73" s="22"/>
    </row>
    <row r="74" spans="3:17" ht="15" customHeight="1" thickBot="1" x14ac:dyDescent="0.25">
      <c r="C74" s="23">
        <f t="shared" si="225"/>
        <v>9</v>
      </c>
      <c r="D74" s="23">
        <v>0</v>
      </c>
      <c r="E74" s="23">
        <v>9</v>
      </c>
      <c r="F74" s="23">
        <v>0</v>
      </c>
      <c r="G74" s="23">
        <f t="shared" si="226"/>
        <v>888</v>
      </c>
      <c r="H74" s="23">
        <f>23+13</f>
        <v>36</v>
      </c>
      <c r="I74" s="23">
        <v>726</v>
      </c>
      <c r="J74" s="23">
        <v>126</v>
      </c>
      <c r="K74" s="23">
        <f t="shared" si="227"/>
        <v>1573</v>
      </c>
      <c r="L74" s="23">
        <f>57+169</f>
        <v>226</v>
      </c>
      <c r="M74" s="23">
        <v>1068</v>
      </c>
      <c r="N74" s="23">
        <v>279</v>
      </c>
      <c r="O74" s="13" t="s">
        <v>9</v>
      </c>
      <c r="P74" s="417" t="s">
        <v>53</v>
      </c>
      <c r="Q74" s="22"/>
    </row>
    <row r="75" spans="3:17" ht="15" customHeight="1" thickBot="1" x14ac:dyDescent="0.25">
      <c r="C75" s="23">
        <f t="shared" si="225"/>
        <v>0</v>
      </c>
      <c r="D75" s="23">
        <v>0</v>
      </c>
      <c r="E75" s="23">
        <v>0</v>
      </c>
      <c r="F75" s="23">
        <v>0</v>
      </c>
      <c r="G75" s="23">
        <f t="shared" si="226"/>
        <v>407</v>
      </c>
      <c r="H75" s="23">
        <f>2+14+15</f>
        <v>31</v>
      </c>
      <c r="I75" s="23">
        <v>376</v>
      </c>
      <c r="J75" s="23">
        <v>0</v>
      </c>
      <c r="K75" s="23">
        <f t="shared" si="227"/>
        <v>1571</v>
      </c>
      <c r="L75" s="23">
        <f>36+219</f>
        <v>255</v>
      </c>
      <c r="M75" s="23">
        <v>1316</v>
      </c>
      <c r="N75" s="23">
        <v>0</v>
      </c>
      <c r="O75" s="13" t="s">
        <v>10</v>
      </c>
      <c r="P75" s="422"/>
      <c r="Q75" s="22"/>
    </row>
    <row r="76" spans="3:17" ht="15" customHeight="1" thickBot="1" x14ac:dyDescent="0.25">
      <c r="C76" s="23">
        <f t="shared" ref="C76" si="239">SUM(C74:C75)</f>
        <v>9</v>
      </c>
      <c r="D76" s="23">
        <f t="shared" ref="D76" si="240">SUM(D74:D75)</f>
        <v>0</v>
      </c>
      <c r="E76" s="23">
        <f t="shared" ref="E76" si="241">SUM(E74:E75)</f>
        <v>9</v>
      </c>
      <c r="F76" s="23">
        <f t="shared" ref="F76" si="242">SUM(F74:F75)</f>
        <v>0</v>
      </c>
      <c r="G76" s="23">
        <f t="shared" ref="G76" si="243">SUM(G74:G75)</f>
        <v>1295</v>
      </c>
      <c r="H76" s="23">
        <f t="shared" ref="H76" si="244">SUM(H74:H75)</f>
        <v>67</v>
      </c>
      <c r="I76" s="23">
        <f t="shared" ref="I76" si="245">SUM(I74:I75)</f>
        <v>1102</v>
      </c>
      <c r="J76" s="23">
        <f t="shared" ref="J76" si="246">SUM(J74:J75)</f>
        <v>126</v>
      </c>
      <c r="K76" s="23">
        <f t="shared" ref="K76" si="247">SUM(K74:K75)</f>
        <v>3144</v>
      </c>
      <c r="L76" s="23">
        <f t="shared" ref="L76" si="248">SUM(L74:L75)</f>
        <v>481</v>
      </c>
      <c r="M76" s="23">
        <f t="shared" ref="M76" si="249">SUM(M74:M75)</f>
        <v>2384</v>
      </c>
      <c r="N76" s="23">
        <f>SUM(N74:N75)</f>
        <v>279</v>
      </c>
      <c r="O76" s="13" t="s">
        <v>12</v>
      </c>
      <c r="P76" s="423"/>
      <c r="Q76" s="22"/>
    </row>
    <row r="77" spans="3:17" ht="15" customHeight="1" thickBot="1" x14ac:dyDescent="0.25">
      <c r="C77" s="23">
        <f t="shared" ref="C77:M77" si="250">C5+C8+C11+C14+C17+C20+C23+C26+C29+C32+C35+C38+C41+C44+C47+C50+C53+C56+C59+C62+C65+C68+C71+C74</f>
        <v>52925</v>
      </c>
      <c r="D77" s="23">
        <f t="shared" si="250"/>
        <v>3289</v>
      </c>
      <c r="E77" s="23">
        <f t="shared" si="250"/>
        <v>28838</v>
      </c>
      <c r="F77" s="23">
        <f t="shared" si="250"/>
        <v>20798</v>
      </c>
      <c r="G77" s="23">
        <f t="shared" si="250"/>
        <v>343337</v>
      </c>
      <c r="H77" s="23">
        <f t="shared" si="250"/>
        <v>10514</v>
      </c>
      <c r="I77" s="23">
        <f t="shared" si="250"/>
        <v>232477</v>
      </c>
      <c r="J77" s="23">
        <f t="shared" si="250"/>
        <v>100346</v>
      </c>
      <c r="K77" s="23">
        <f t="shared" si="250"/>
        <v>142444</v>
      </c>
      <c r="L77" s="23">
        <f t="shared" si="250"/>
        <v>5731</v>
      </c>
      <c r="M77" s="23">
        <f t="shared" si="250"/>
        <v>81397</v>
      </c>
      <c r="N77" s="23">
        <f>N5+N8+N11+N14+N17+N20+N23+N26+N29+N32+N35+N38+N41+N44+N47+N50+N53+N56+N59+N62+N65+N68+N71+N74</f>
        <v>55316</v>
      </c>
      <c r="O77" s="13" t="s">
        <v>26</v>
      </c>
      <c r="P77" s="417" t="s">
        <v>41</v>
      </c>
      <c r="Q77" s="22"/>
    </row>
    <row r="78" spans="3:17" ht="15" customHeight="1" thickBot="1" x14ac:dyDescent="0.25">
      <c r="C78" s="23">
        <f t="shared" ref="C78:M78" si="251">C6+C9+C12+C15+C18+C21+C24+C27+C30+C33+C36+C39+C42+C45+C48+C51+C54+C57+C60+C63+C66+C69+C72+C75</f>
        <v>70126</v>
      </c>
      <c r="D78" s="23">
        <f t="shared" si="251"/>
        <v>1114</v>
      </c>
      <c r="E78" s="23">
        <f t="shared" si="251"/>
        <v>62306</v>
      </c>
      <c r="F78" s="23">
        <f t="shared" si="251"/>
        <v>6706</v>
      </c>
      <c r="G78" s="23">
        <f t="shared" si="251"/>
        <v>414433</v>
      </c>
      <c r="H78" s="23">
        <f t="shared" si="251"/>
        <v>5767</v>
      </c>
      <c r="I78" s="23">
        <f t="shared" si="251"/>
        <v>381627</v>
      </c>
      <c r="J78" s="23">
        <f t="shared" si="251"/>
        <v>27039</v>
      </c>
      <c r="K78" s="23">
        <f t="shared" si="251"/>
        <v>130410</v>
      </c>
      <c r="L78" s="23">
        <f t="shared" si="251"/>
        <v>3387</v>
      </c>
      <c r="M78" s="23">
        <f t="shared" si="251"/>
        <v>112754</v>
      </c>
      <c r="N78" s="23">
        <f t="shared" ref="N78:N79" si="252">N6+N9+N12+N15+N18+N21+N24+N27+N30+N33+N36+N39+N42+N45+N48+N51+N54+N57+N60+N63+N66+N69+N72+N75</f>
        <v>14269</v>
      </c>
      <c r="O78" s="13" t="s">
        <v>27</v>
      </c>
      <c r="P78" s="424"/>
      <c r="Q78" s="22"/>
    </row>
    <row r="79" spans="3:17" ht="15" customHeight="1" thickBot="1" x14ac:dyDescent="0.25">
      <c r="C79" s="23">
        <f t="shared" ref="C79:M79" si="253">C7+C10+C13+C16+C19+C22+C25+C28+C31+C34+C37+C40+C43+C46+C49+C52+C55+C58+C61+C64+C67+C70+C73+C76</f>
        <v>123051</v>
      </c>
      <c r="D79" s="23">
        <f t="shared" si="253"/>
        <v>4403</v>
      </c>
      <c r="E79" s="23">
        <f t="shared" si="253"/>
        <v>91144</v>
      </c>
      <c r="F79" s="23">
        <f t="shared" si="253"/>
        <v>27504</v>
      </c>
      <c r="G79" s="23">
        <f t="shared" si="253"/>
        <v>757770</v>
      </c>
      <c r="H79" s="23">
        <f t="shared" si="253"/>
        <v>16281</v>
      </c>
      <c r="I79" s="23">
        <f t="shared" si="253"/>
        <v>614104</v>
      </c>
      <c r="J79" s="23">
        <f t="shared" si="253"/>
        <v>127385</v>
      </c>
      <c r="K79" s="23">
        <f t="shared" si="253"/>
        <v>272854</v>
      </c>
      <c r="L79" s="23">
        <f t="shared" si="253"/>
        <v>9118</v>
      </c>
      <c r="M79" s="23">
        <f t="shared" si="253"/>
        <v>194151</v>
      </c>
      <c r="N79" s="23">
        <f t="shared" si="252"/>
        <v>69585</v>
      </c>
      <c r="O79" s="13" t="s">
        <v>12</v>
      </c>
      <c r="P79" s="418"/>
      <c r="Q79" s="22"/>
    </row>
  </sheetData>
  <mergeCells count="32">
    <mergeCell ref="P53:P55"/>
    <mergeCell ref="P50:P52"/>
    <mergeCell ref="P47:P49"/>
    <mergeCell ref="P44:P46"/>
    <mergeCell ref="P77:P79"/>
    <mergeCell ref="P74:P76"/>
    <mergeCell ref="P71:P73"/>
    <mergeCell ref="P68:P70"/>
    <mergeCell ref="P65:P67"/>
    <mergeCell ref="P62:P64"/>
    <mergeCell ref="P59:P61"/>
    <mergeCell ref="P56:P58"/>
    <mergeCell ref="P14:P16"/>
    <mergeCell ref="P11:P13"/>
    <mergeCell ref="P8:P10"/>
    <mergeCell ref="P5:P7"/>
    <mergeCell ref="P38:P40"/>
    <mergeCell ref="P35:P37"/>
    <mergeCell ref="P32:P34"/>
    <mergeCell ref="P17:P19"/>
    <mergeCell ref="P41:P43"/>
    <mergeCell ref="P29:P31"/>
    <mergeCell ref="P26:P28"/>
    <mergeCell ref="P23:P25"/>
    <mergeCell ref="P20:P22"/>
    <mergeCell ref="C1:P1"/>
    <mergeCell ref="C2:P2"/>
    <mergeCell ref="C3:F3"/>
    <mergeCell ref="G3:J3"/>
    <mergeCell ref="K3:N3"/>
    <mergeCell ref="O3:O4"/>
    <mergeCell ref="P3:P4"/>
  </mergeCells>
  <pageMargins left="0.53" right="7.874015748031496E-2" top="7.874015748031496E-2" bottom="7.874015748031496E-2" header="7.874015748031496E-2" footer="7.874015748031496E-2"/>
  <pageSetup paperSize="9" orientation="landscape" r:id="rId1"/>
  <headerFooter alignWithMargins="0"/>
  <rowBreaks count="1" manualBreakCount="1">
    <brk id="37" min="2" max="15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22"/>
  <sheetViews>
    <sheetView showGridLines="0" workbookViewId="0">
      <selection activeCell="J2" sqref="J2"/>
    </sheetView>
  </sheetViews>
  <sheetFormatPr defaultRowHeight="12.75" x14ac:dyDescent="0.2"/>
  <cols>
    <col min="1" max="1" width="18.875" style="2" customWidth="1"/>
    <col min="2" max="8" width="11" style="2" customWidth="1"/>
    <col min="9" max="9" width="20.625" style="2" customWidth="1"/>
    <col min="10" max="10" width="20.875" style="2" customWidth="1"/>
    <col min="11" max="256" width="9.125" style="2"/>
    <col min="257" max="257" width="18.875" style="2" customWidth="1"/>
    <col min="258" max="264" width="11" style="2" customWidth="1"/>
    <col min="265" max="265" width="20.625" style="2" customWidth="1"/>
    <col min="266" max="266" width="20.875" style="2" customWidth="1"/>
    <col min="267" max="512" width="9.125" style="2"/>
    <col min="513" max="513" width="18.875" style="2" customWidth="1"/>
    <col min="514" max="520" width="11" style="2" customWidth="1"/>
    <col min="521" max="521" width="20.625" style="2" customWidth="1"/>
    <col min="522" max="522" width="20.875" style="2" customWidth="1"/>
    <col min="523" max="768" width="9.125" style="2"/>
    <col min="769" max="769" width="18.875" style="2" customWidth="1"/>
    <col min="770" max="776" width="11" style="2" customWidth="1"/>
    <col min="777" max="777" width="20.625" style="2" customWidth="1"/>
    <col min="778" max="778" width="20.875" style="2" customWidth="1"/>
    <col min="779" max="1024" width="9.125" style="2"/>
    <col min="1025" max="1025" width="18.875" style="2" customWidth="1"/>
    <col min="1026" max="1032" width="11" style="2" customWidth="1"/>
    <col min="1033" max="1033" width="20.625" style="2" customWidth="1"/>
    <col min="1034" max="1034" width="20.875" style="2" customWidth="1"/>
    <col min="1035" max="1280" width="9.125" style="2"/>
    <col min="1281" max="1281" width="18.875" style="2" customWidth="1"/>
    <col min="1282" max="1288" width="11" style="2" customWidth="1"/>
    <col min="1289" max="1289" width="20.625" style="2" customWidth="1"/>
    <col min="1290" max="1290" width="20.875" style="2" customWidth="1"/>
    <col min="1291" max="1536" width="9.125" style="2"/>
    <col min="1537" max="1537" width="18.875" style="2" customWidth="1"/>
    <col min="1538" max="1544" width="11" style="2" customWidth="1"/>
    <col min="1545" max="1545" width="20.625" style="2" customWidth="1"/>
    <col min="1546" max="1546" width="20.875" style="2" customWidth="1"/>
    <col min="1547" max="1792" width="9.125" style="2"/>
    <col min="1793" max="1793" width="18.875" style="2" customWidth="1"/>
    <col min="1794" max="1800" width="11" style="2" customWidth="1"/>
    <col min="1801" max="1801" width="20.625" style="2" customWidth="1"/>
    <col min="1802" max="1802" width="20.875" style="2" customWidth="1"/>
    <col min="1803" max="2048" width="9.125" style="2"/>
    <col min="2049" max="2049" width="18.875" style="2" customWidth="1"/>
    <col min="2050" max="2056" width="11" style="2" customWidth="1"/>
    <col min="2057" max="2057" width="20.625" style="2" customWidth="1"/>
    <col min="2058" max="2058" width="20.875" style="2" customWidth="1"/>
    <col min="2059" max="2304" width="9.125" style="2"/>
    <col min="2305" max="2305" width="18.875" style="2" customWidth="1"/>
    <col min="2306" max="2312" width="11" style="2" customWidth="1"/>
    <col min="2313" max="2313" width="20.625" style="2" customWidth="1"/>
    <col min="2314" max="2314" width="20.875" style="2" customWidth="1"/>
    <col min="2315" max="2560" width="9.125" style="2"/>
    <col min="2561" max="2561" width="18.875" style="2" customWidth="1"/>
    <col min="2562" max="2568" width="11" style="2" customWidth="1"/>
    <col min="2569" max="2569" width="20.625" style="2" customWidth="1"/>
    <col min="2570" max="2570" width="20.875" style="2" customWidth="1"/>
    <col min="2571" max="2816" width="9.125" style="2"/>
    <col min="2817" max="2817" width="18.875" style="2" customWidth="1"/>
    <col min="2818" max="2824" width="11" style="2" customWidth="1"/>
    <col min="2825" max="2825" width="20.625" style="2" customWidth="1"/>
    <col min="2826" max="2826" width="20.875" style="2" customWidth="1"/>
    <col min="2827" max="3072" width="9.125" style="2"/>
    <col min="3073" max="3073" width="18.875" style="2" customWidth="1"/>
    <col min="3074" max="3080" width="11" style="2" customWidth="1"/>
    <col min="3081" max="3081" width="20.625" style="2" customWidth="1"/>
    <col min="3082" max="3082" width="20.875" style="2" customWidth="1"/>
    <col min="3083" max="3328" width="9.125" style="2"/>
    <col min="3329" max="3329" width="18.875" style="2" customWidth="1"/>
    <col min="3330" max="3336" width="11" style="2" customWidth="1"/>
    <col min="3337" max="3337" width="20.625" style="2" customWidth="1"/>
    <col min="3338" max="3338" width="20.875" style="2" customWidth="1"/>
    <col min="3339" max="3584" width="9.125" style="2"/>
    <col min="3585" max="3585" width="18.875" style="2" customWidth="1"/>
    <col min="3586" max="3592" width="11" style="2" customWidth="1"/>
    <col min="3593" max="3593" width="20.625" style="2" customWidth="1"/>
    <col min="3594" max="3594" width="20.875" style="2" customWidth="1"/>
    <col min="3595" max="3840" width="9.125" style="2"/>
    <col min="3841" max="3841" width="18.875" style="2" customWidth="1"/>
    <col min="3842" max="3848" width="11" style="2" customWidth="1"/>
    <col min="3849" max="3849" width="20.625" style="2" customWidth="1"/>
    <col min="3850" max="3850" width="20.875" style="2" customWidth="1"/>
    <col min="3851" max="4096" width="9.125" style="2"/>
    <col min="4097" max="4097" width="18.875" style="2" customWidth="1"/>
    <col min="4098" max="4104" width="11" style="2" customWidth="1"/>
    <col min="4105" max="4105" width="20.625" style="2" customWidth="1"/>
    <col min="4106" max="4106" width="20.875" style="2" customWidth="1"/>
    <col min="4107" max="4352" width="9.125" style="2"/>
    <col min="4353" max="4353" width="18.875" style="2" customWidth="1"/>
    <col min="4354" max="4360" width="11" style="2" customWidth="1"/>
    <col min="4361" max="4361" width="20.625" style="2" customWidth="1"/>
    <col min="4362" max="4362" width="20.875" style="2" customWidth="1"/>
    <col min="4363" max="4608" width="9.125" style="2"/>
    <col min="4609" max="4609" width="18.875" style="2" customWidth="1"/>
    <col min="4610" max="4616" width="11" style="2" customWidth="1"/>
    <col min="4617" max="4617" width="20.625" style="2" customWidth="1"/>
    <col min="4618" max="4618" width="20.875" style="2" customWidth="1"/>
    <col min="4619" max="4864" width="9.125" style="2"/>
    <col min="4865" max="4865" width="18.875" style="2" customWidth="1"/>
    <col min="4866" max="4872" width="11" style="2" customWidth="1"/>
    <col min="4873" max="4873" width="20.625" style="2" customWidth="1"/>
    <col min="4874" max="4874" width="20.875" style="2" customWidth="1"/>
    <col min="4875" max="5120" width="9.125" style="2"/>
    <col min="5121" max="5121" width="18.875" style="2" customWidth="1"/>
    <col min="5122" max="5128" width="11" style="2" customWidth="1"/>
    <col min="5129" max="5129" width="20.625" style="2" customWidth="1"/>
    <col min="5130" max="5130" width="20.875" style="2" customWidth="1"/>
    <col min="5131" max="5376" width="9.125" style="2"/>
    <col min="5377" max="5377" width="18.875" style="2" customWidth="1"/>
    <col min="5378" max="5384" width="11" style="2" customWidth="1"/>
    <col min="5385" max="5385" width="20.625" style="2" customWidth="1"/>
    <col min="5386" max="5386" width="20.875" style="2" customWidth="1"/>
    <col min="5387" max="5632" width="9.125" style="2"/>
    <col min="5633" max="5633" width="18.875" style="2" customWidth="1"/>
    <col min="5634" max="5640" width="11" style="2" customWidth="1"/>
    <col min="5641" max="5641" width="20.625" style="2" customWidth="1"/>
    <col min="5642" max="5642" width="20.875" style="2" customWidth="1"/>
    <col min="5643" max="5888" width="9.125" style="2"/>
    <col min="5889" max="5889" width="18.875" style="2" customWidth="1"/>
    <col min="5890" max="5896" width="11" style="2" customWidth="1"/>
    <col min="5897" max="5897" width="20.625" style="2" customWidth="1"/>
    <col min="5898" max="5898" width="20.875" style="2" customWidth="1"/>
    <col min="5899" max="6144" width="9.125" style="2"/>
    <col min="6145" max="6145" width="18.875" style="2" customWidth="1"/>
    <col min="6146" max="6152" width="11" style="2" customWidth="1"/>
    <col min="6153" max="6153" width="20.625" style="2" customWidth="1"/>
    <col min="6154" max="6154" width="20.875" style="2" customWidth="1"/>
    <col min="6155" max="6400" width="9.125" style="2"/>
    <col min="6401" max="6401" width="18.875" style="2" customWidth="1"/>
    <col min="6402" max="6408" width="11" style="2" customWidth="1"/>
    <col min="6409" max="6409" width="20.625" style="2" customWidth="1"/>
    <col min="6410" max="6410" width="20.875" style="2" customWidth="1"/>
    <col min="6411" max="6656" width="9.125" style="2"/>
    <col min="6657" max="6657" width="18.875" style="2" customWidth="1"/>
    <col min="6658" max="6664" width="11" style="2" customWidth="1"/>
    <col min="6665" max="6665" width="20.625" style="2" customWidth="1"/>
    <col min="6666" max="6666" width="20.875" style="2" customWidth="1"/>
    <col min="6667" max="6912" width="9.125" style="2"/>
    <col min="6913" max="6913" width="18.875" style="2" customWidth="1"/>
    <col min="6914" max="6920" width="11" style="2" customWidth="1"/>
    <col min="6921" max="6921" width="20.625" style="2" customWidth="1"/>
    <col min="6922" max="6922" width="20.875" style="2" customWidth="1"/>
    <col min="6923" max="7168" width="9.125" style="2"/>
    <col min="7169" max="7169" width="18.875" style="2" customWidth="1"/>
    <col min="7170" max="7176" width="11" style="2" customWidth="1"/>
    <col min="7177" max="7177" width="20.625" style="2" customWidth="1"/>
    <col min="7178" max="7178" width="20.875" style="2" customWidth="1"/>
    <col min="7179" max="7424" width="9.125" style="2"/>
    <col min="7425" max="7425" width="18.875" style="2" customWidth="1"/>
    <col min="7426" max="7432" width="11" style="2" customWidth="1"/>
    <col min="7433" max="7433" width="20.625" style="2" customWidth="1"/>
    <col min="7434" max="7434" width="20.875" style="2" customWidth="1"/>
    <col min="7435" max="7680" width="9.125" style="2"/>
    <col min="7681" max="7681" width="18.875" style="2" customWidth="1"/>
    <col min="7682" max="7688" width="11" style="2" customWidth="1"/>
    <col min="7689" max="7689" width="20.625" style="2" customWidth="1"/>
    <col min="7690" max="7690" width="20.875" style="2" customWidth="1"/>
    <col min="7691" max="7936" width="9.125" style="2"/>
    <col min="7937" max="7937" width="18.875" style="2" customWidth="1"/>
    <col min="7938" max="7944" width="11" style="2" customWidth="1"/>
    <col min="7945" max="7945" width="20.625" style="2" customWidth="1"/>
    <col min="7946" max="7946" width="20.875" style="2" customWidth="1"/>
    <col min="7947" max="8192" width="9.125" style="2"/>
    <col min="8193" max="8193" width="18.875" style="2" customWidth="1"/>
    <col min="8194" max="8200" width="11" style="2" customWidth="1"/>
    <col min="8201" max="8201" width="20.625" style="2" customWidth="1"/>
    <col min="8202" max="8202" width="20.875" style="2" customWidth="1"/>
    <col min="8203" max="8448" width="9.125" style="2"/>
    <col min="8449" max="8449" width="18.875" style="2" customWidth="1"/>
    <col min="8450" max="8456" width="11" style="2" customWidth="1"/>
    <col min="8457" max="8457" width="20.625" style="2" customWidth="1"/>
    <col min="8458" max="8458" width="20.875" style="2" customWidth="1"/>
    <col min="8459" max="8704" width="9.125" style="2"/>
    <col min="8705" max="8705" width="18.875" style="2" customWidth="1"/>
    <col min="8706" max="8712" width="11" style="2" customWidth="1"/>
    <col min="8713" max="8713" width="20.625" style="2" customWidth="1"/>
    <col min="8714" max="8714" width="20.875" style="2" customWidth="1"/>
    <col min="8715" max="8960" width="9.125" style="2"/>
    <col min="8961" max="8961" width="18.875" style="2" customWidth="1"/>
    <col min="8962" max="8968" width="11" style="2" customWidth="1"/>
    <col min="8969" max="8969" width="20.625" style="2" customWidth="1"/>
    <col min="8970" max="8970" width="20.875" style="2" customWidth="1"/>
    <col min="8971" max="9216" width="9.125" style="2"/>
    <col min="9217" max="9217" width="18.875" style="2" customWidth="1"/>
    <col min="9218" max="9224" width="11" style="2" customWidth="1"/>
    <col min="9225" max="9225" width="20.625" style="2" customWidth="1"/>
    <col min="9226" max="9226" width="20.875" style="2" customWidth="1"/>
    <col min="9227" max="9472" width="9.125" style="2"/>
    <col min="9473" max="9473" width="18.875" style="2" customWidth="1"/>
    <col min="9474" max="9480" width="11" style="2" customWidth="1"/>
    <col min="9481" max="9481" width="20.625" style="2" customWidth="1"/>
    <col min="9482" max="9482" width="20.875" style="2" customWidth="1"/>
    <col min="9483" max="9728" width="9.125" style="2"/>
    <col min="9729" max="9729" width="18.875" style="2" customWidth="1"/>
    <col min="9730" max="9736" width="11" style="2" customWidth="1"/>
    <col min="9737" max="9737" width="20.625" style="2" customWidth="1"/>
    <col min="9738" max="9738" width="20.875" style="2" customWidth="1"/>
    <col min="9739" max="9984" width="9.125" style="2"/>
    <col min="9985" max="9985" width="18.875" style="2" customWidth="1"/>
    <col min="9986" max="9992" width="11" style="2" customWidth="1"/>
    <col min="9993" max="9993" width="20.625" style="2" customWidth="1"/>
    <col min="9994" max="9994" width="20.875" style="2" customWidth="1"/>
    <col min="9995" max="10240" width="9.125" style="2"/>
    <col min="10241" max="10241" width="18.875" style="2" customWidth="1"/>
    <col min="10242" max="10248" width="11" style="2" customWidth="1"/>
    <col min="10249" max="10249" width="20.625" style="2" customWidth="1"/>
    <col min="10250" max="10250" width="20.875" style="2" customWidth="1"/>
    <col min="10251" max="10496" width="9.125" style="2"/>
    <col min="10497" max="10497" width="18.875" style="2" customWidth="1"/>
    <col min="10498" max="10504" width="11" style="2" customWidth="1"/>
    <col min="10505" max="10505" width="20.625" style="2" customWidth="1"/>
    <col min="10506" max="10506" width="20.875" style="2" customWidth="1"/>
    <col min="10507" max="10752" width="9.125" style="2"/>
    <col min="10753" max="10753" width="18.875" style="2" customWidth="1"/>
    <col min="10754" max="10760" width="11" style="2" customWidth="1"/>
    <col min="10761" max="10761" width="20.625" style="2" customWidth="1"/>
    <col min="10762" max="10762" width="20.875" style="2" customWidth="1"/>
    <col min="10763" max="11008" width="9.125" style="2"/>
    <col min="11009" max="11009" width="18.875" style="2" customWidth="1"/>
    <col min="11010" max="11016" width="11" style="2" customWidth="1"/>
    <col min="11017" max="11017" width="20.625" style="2" customWidth="1"/>
    <col min="11018" max="11018" width="20.875" style="2" customWidth="1"/>
    <col min="11019" max="11264" width="9.125" style="2"/>
    <col min="11265" max="11265" width="18.875" style="2" customWidth="1"/>
    <col min="11266" max="11272" width="11" style="2" customWidth="1"/>
    <col min="11273" max="11273" width="20.625" style="2" customWidth="1"/>
    <col min="11274" max="11274" width="20.875" style="2" customWidth="1"/>
    <col min="11275" max="11520" width="9.125" style="2"/>
    <col min="11521" max="11521" width="18.875" style="2" customWidth="1"/>
    <col min="11522" max="11528" width="11" style="2" customWidth="1"/>
    <col min="11529" max="11529" width="20.625" style="2" customWidth="1"/>
    <col min="11530" max="11530" width="20.875" style="2" customWidth="1"/>
    <col min="11531" max="11776" width="9.125" style="2"/>
    <col min="11777" max="11777" width="18.875" style="2" customWidth="1"/>
    <col min="11778" max="11784" width="11" style="2" customWidth="1"/>
    <col min="11785" max="11785" width="20.625" style="2" customWidth="1"/>
    <col min="11786" max="11786" width="20.875" style="2" customWidth="1"/>
    <col min="11787" max="12032" width="9.125" style="2"/>
    <col min="12033" max="12033" width="18.875" style="2" customWidth="1"/>
    <col min="12034" max="12040" width="11" style="2" customWidth="1"/>
    <col min="12041" max="12041" width="20.625" style="2" customWidth="1"/>
    <col min="12042" max="12042" width="20.875" style="2" customWidth="1"/>
    <col min="12043" max="12288" width="9.125" style="2"/>
    <col min="12289" max="12289" width="18.875" style="2" customWidth="1"/>
    <col min="12290" max="12296" width="11" style="2" customWidth="1"/>
    <col min="12297" max="12297" width="20.625" style="2" customWidth="1"/>
    <col min="12298" max="12298" width="20.875" style="2" customWidth="1"/>
    <col min="12299" max="12544" width="9.125" style="2"/>
    <col min="12545" max="12545" width="18.875" style="2" customWidth="1"/>
    <col min="12546" max="12552" width="11" style="2" customWidth="1"/>
    <col min="12553" max="12553" width="20.625" style="2" customWidth="1"/>
    <col min="12554" max="12554" width="20.875" style="2" customWidth="1"/>
    <col min="12555" max="12800" width="9.125" style="2"/>
    <col min="12801" max="12801" width="18.875" style="2" customWidth="1"/>
    <col min="12802" max="12808" width="11" style="2" customWidth="1"/>
    <col min="12809" max="12809" width="20.625" style="2" customWidth="1"/>
    <col min="12810" max="12810" width="20.875" style="2" customWidth="1"/>
    <col min="12811" max="13056" width="9.125" style="2"/>
    <col min="13057" max="13057" width="18.875" style="2" customWidth="1"/>
    <col min="13058" max="13064" width="11" style="2" customWidth="1"/>
    <col min="13065" max="13065" width="20.625" style="2" customWidth="1"/>
    <col min="13066" max="13066" width="20.875" style="2" customWidth="1"/>
    <col min="13067" max="13312" width="9.125" style="2"/>
    <col min="13313" max="13313" width="18.875" style="2" customWidth="1"/>
    <col min="13314" max="13320" width="11" style="2" customWidth="1"/>
    <col min="13321" max="13321" width="20.625" style="2" customWidth="1"/>
    <col min="13322" max="13322" width="20.875" style="2" customWidth="1"/>
    <col min="13323" max="13568" width="9.125" style="2"/>
    <col min="13569" max="13569" width="18.875" style="2" customWidth="1"/>
    <col min="13570" max="13576" width="11" style="2" customWidth="1"/>
    <col min="13577" max="13577" width="20.625" style="2" customWidth="1"/>
    <col min="13578" max="13578" width="20.875" style="2" customWidth="1"/>
    <col min="13579" max="13824" width="9.125" style="2"/>
    <col min="13825" max="13825" width="18.875" style="2" customWidth="1"/>
    <col min="13826" max="13832" width="11" style="2" customWidth="1"/>
    <col min="13833" max="13833" width="20.625" style="2" customWidth="1"/>
    <col min="13834" max="13834" width="20.875" style="2" customWidth="1"/>
    <col min="13835" max="14080" width="9.125" style="2"/>
    <col min="14081" max="14081" width="18.875" style="2" customWidth="1"/>
    <col min="14082" max="14088" width="11" style="2" customWidth="1"/>
    <col min="14089" max="14089" width="20.625" style="2" customWidth="1"/>
    <col min="14090" max="14090" width="20.875" style="2" customWidth="1"/>
    <col min="14091" max="14336" width="9.125" style="2"/>
    <col min="14337" max="14337" width="18.875" style="2" customWidth="1"/>
    <col min="14338" max="14344" width="11" style="2" customWidth="1"/>
    <col min="14345" max="14345" width="20.625" style="2" customWidth="1"/>
    <col min="14346" max="14346" width="20.875" style="2" customWidth="1"/>
    <col min="14347" max="14592" width="9.125" style="2"/>
    <col min="14593" max="14593" width="18.875" style="2" customWidth="1"/>
    <col min="14594" max="14600" width="11" style="2" customWidth="1"/>
    <col min="14601" max="14601" width="20.625" style="2" customWidth="1"/>
    <col min="14602" max="14602" width="20.875" style="2" customWidth="1"/>
    <col min="14603" max="14848" width="9.125" style="2"/>
    <col min="14849" max="14849" width="18.875" style="2" customWidth="1"/>
    <col min="14850" max="14856" width="11" style="2" customWidth="1"/>
    <col min="14857" max="14857" width="20.625" style="2" customWidth="1"/>
    <col min="14858" max="14858" width="20.875" style="2" customWidth="1"/>
    <col min="14859" max="15104" width="9.125" style="2"/>
    <col min="15105" max="15105" width="18.875" style="2" customWidth="1"/>
    <col min="15106" max="15112" width="11" style="2" customWidth="1"/>
    <col min="15113" max="15113" width="20.625" style="2" customWidth="1"/>
    <col min="15114" max="15114" width="20.875" style="2" customWidth="1"/>
    <col min="15115" max="15360" width="9.125" style="2"/>
    <col min="15361" max="15361" width="18.875" style="2" customWidth="1"/>
    <col min="15362" max="15368" width="11" style="2" customWidth="1"/>
    <col min="15369" max="15369" width="20.625" style="2" customWidth="1"/>
    <col min="15370" max="15370" width="20.875" style="2" customWidth="1"/>
    <col min="15371" max="15616" width="9.125" style="2"/>
    <col min="15617" max="15617" width="18.875" style="2" customWidth="1"/>
    <col min="15618" max="15624" width="11" style="2" customWidth="1"/>
    <col min="15625" max="15625" width="20.625" style="2" customWidth="1"/>
    <col min="15626" max="15626" width="20.875" style="2" customWidth="1"/>
    <col min="15627" max="15872" width="9.125" style="2"/>
    <col min="15873" max="15873" width="18.875" style="2" customWidth="1"/>
    <col min="15874" max="15880" width="11" style="2" customWidth="1"/>
    <col min="15881" max="15881" width="20.625" style="2" customWidth="1"/>
    <col min="15882" max="15882" width="20.875" style="2" customWidth="1"/>
    <col min="15883" max="16128" width="9.125" style="2"/>
    <col min="16129" max="16129" width="18.875" style="2" customWidth="1"/>
    <col min="16130" max="16136" width="11" style="2" customWidth="1"/>
    <col min="16137" max="16137" width="20.625" style="2" customWidth="1"/>
    <col min="16138" max="16138" width="20.875" style="2" customWidth="1"/>
    <col min="16139" max="16384" width="9.125" style="2"/>
  </cols>
  <sheetData>
    <row r="1" spans="1:10" ht="20.100000000000001" customHeight="1" x14ac:dyDescent="0.2">
      <c r="A1" s="1"/>
      <c r="B1" s="406" t="s">
        <v>221</v>
      </c>
      <c r="C1" s="406"/>
      <c r="D1" s="406"/>
      <c r="E1" s="406"/>
      <c r="F1" s="406"/>
      <c r="G1" s="406"/>
      <c r="H1" s="406"/>
      <c r="I1" s="406"/>
      <c r="J1" s="1"/>
    </row>
    <row r="2" spans="1:10" ht="20.100000000000001" customHeight="1" thickBot="1" x14ac:dyDescent="0.25">
      <c r="A2" s="1"/>
      <c r="B2" s="425" t="s">
        <v>156</v>
      </c>
      <c r="C2" s="425"/>
      <c r="D2" s="425"/>
      <c r="E2" s="425"/>
      <c r="F2" s="425"/>
      <c r="G2" s="425"/>
      <c r="H2" s="425"/>
      <c r="I2" s="425"/>
      <c r="J2" s="1"/>
    </row>
    <row r="3" spans="1:10" ht="13.5" thickBot="1" x14ac:dyDescent="0.25">
      <c r="A3" s="1"/>
      <c r="B3" s="426" t="s">
        <v>63</v>
      </c>
      <c r="C3" s="426"/>
      <c r="D3" s="426"/>
      <c r="E3" s="426" t="s">
        <v>64</v>
      </c>
      <c r="F3" s="426"/>
      <c r="G3" s="426"/>
      <c r="H3" s="3" t="s">
        <v>7</v>
      </c>
      <c r="I3" s="3" t="s">
        <v>157</v>
      </c>
      <c r="J3" s="1"/>
    </row>
    <row r="4" spans="1:10" ht="13.5" thickBot="1" x14ac:dyDescent="0.25">
      <c r="A4" s="1"/>
      <c r="B4" s="4" t="s">
        <v>4</v>
      </c>
      <c r="C4" s="4" t="s">
        <v>145</v>
      </c>
      <c r="D4" s="4" t="s">
        <v>146</v>
      </c>
      <c r="E4" s="4" t="s">
        <v>4</v>
      </c>
      <c r="F4" s="4" t="s">
        <v>145</v>
      </c>
      <c r="G4" s="4" t="s">
        <v>146</v>
      </c>
      <c r="H4" s="5"/>
      <c r="I4" s="5"/>
      <c r="J4" s="1"/>
    </row>
    <row r="5" spans="1:10" ht="13.5" thickBot="1" x14ac:dyDescent="0.25">
      <c r="A5" s="1"/>
      <c r="B5" s="6">
        <f>SUM(C5:D5)</f>
        <v>501</v>
      </c>
      <c r="C5" s="6">
        <v>60</v>
      </c>
      <c r="D5" s="6">
        <v>441</v>
      </c>
      <c r="E5" s="6">
        <f>SUM(F5:G5)</f>
        <v>13731</v>
      </c>
      <c r="F5" s="6">
        <v>7443</v>
      </c>
      <c r="G5" s="6">
        <v>6288</v>
      </c>
      <c r="H5" s="7" t="s">
        <v>9</v>
      </c>
      <c r="I5" s="8"/>
      <c r="J5" s="1"/>
    </row>
    <row r="6" spans="1:10" ht="13.5" thickBot="1" x14ac:dyDescent="0.25">
      <c r="A6" s="1"/>
      <c r="B6" s="6">
        <f t="shared" ref="B6:B18" si="0">SUM(C6:D6)</f>
        <v>50</v>
      </c>
      <c r="C6" s="6">
        <v>10</v>
      </c>
      <c r="D6" s="6">
        <v>40</v>
      </c>
      <c r="E6" s="6">
        <f t="shared" ref="E6:E18" si="1">SUM(F6:G6)</f>
        <v>4661</v>
      </c>
      <c r="F6" s="6">
        <v>2552</v>
      </c>
      <c r="G6" s="6">
        <v>2109</v>
      </c>
      <c r="H6" s="7" t="s">
        <v>10</v>
      </c>
      <c r="I6" s="8" t="s">
        <v>56</v>
      </c>
      <c r="J6" s="1"/>
    </row>
    <row r="7" spans="1:10" ht="13.5" thickBot="1" x14ac:dyDescent="0.25">
      <c r="A7" s="1"/>
      <c r="B7" s="6">
        <f t="shared" ref="B7:G7" si="2">SUM(B5:B6)</f>
        <v>551</v>
      </c>
      <c r="C7" s="6">
        <f t="shared" si="2"/>
        <v>70</v>
      </c>
      <c r="D7" s="6">
        <f t="shared" si="2"/>
        <v>481</v>
      </c>
      <c r="E7" s="6">
        <f t="shared" si="2"/>
        <v>18392</v>
      </c>
      <c r="F7" s="6">
        <f t="shared" si="2"/>
        <v>9995</v>
      </c>
      <c r="G7" s="6">
        <f t="shared" si="2"/>
        <v>8397</v>
      </c>
      <c r="H7" s="7" t="s">
        <v>12</v>
      </c>
      <c r="I7" s="9"/>
      <c r="J7" s="1"/>
    </row>
    <row r="8" spans="1:10" ht="13.5" thickBot="1" x14ac:dyDescent="0.25">
      <c r="A8" s="1"/>
      <c r="B8" s="6">
        <f t="shared" si="0"/>
        <v>666</v>
      </c>
      <c r="C8" s="6">
        <v>116</v>
      </c>
      <c r="D8" s="6">
        <v>550</v>
      </c>
      <c r="E8" s="6">
        <f t="shared" si="1"/>
        <v>4638</v>
      </c>
      <c r="F8" s="6">
        <v>2507</v>
      </c>
      <c r="G8" s="6">
        <v>2131</v>
      </c>
      <c r="H8" s="7" t="s">
        <v>9</v>
      </c>
      <c r="I8" s="8"/>
      <c r="J8" s="1"/>
    </row>
    <row r="9" spans="1:10" ht="13.5" thickBot="1" x14ac:dyDescent="0.25">
      <c r="A9" s="1"/>
      <c r="B9" s="6">
        <f t="shared" si="0"/>
        <v>255</v>
      </c>
      <c r="C9" s="6">
        <v>32</v>
      </c>
      <c r="D9" s="6">
        <v>223</v>
      </c>
      <c r="E9" s="6">
        <f t="shared" si="1"/>
        <v>3221</v>
      </c>
      <c r="F9" s="6">
        <v>1086</v>
      </c>
      <c r="G9" s="6">
        <v>2135</v>
      </c>
      <c r="H9" s="7" t="s">
        <v>10</v>
      </c>
      <c r="I9" s="8" t="s">
        <v>57</v>
      </c>
      <c r="J9" s="1"/>
    </row>
    <row r="10" spans="1:10" ht="13.5" thickBot="1" x14ac:dyDescent="0.25">
      <c r="A10" s="1"/>
      <c r="B10" s="6">
        <f t="shared" ref="B10:G10" si="3">SUM(B8:B9)</f>
        <v>921</v>
      </c>
      <c r="C10" s="6">
        <f t="shared" si="3"/>
        <v>148</v>
      </c>
      <c r="D10" s="6">
        <f t="shared" si="3"/>
        <v>773</v>
      </c>
      <c r="E10" s="6">
        <f t="shared" si="3"/>
        <v>7859</v>
      </c>
      <c r="F10" s="6">
        <f t="shared" si="3"/>
        <v>3593</v>
      </c>
      <c r="G10" s="6">
        <f t="shared" si="3"/>
        <v>4266</v>
      </c>
      <c r="H10" s="7" t="s">
        <v>12</v>
      </c>
      <c r="I10" s="9"/>
      <c r="J10" s="1"/>
    </row>
    <row r="11" spans="1:10" ht="13.5" thickBot="1" x14ac:dyDescent="0.25">
      <c r="A11" s="1"/>
      <c r="B11" s="6">
        <f t="shared" si="0"/>
        <v>5273</v>
      </c>
      <c r="C11" s="6">
        <v>574</v>
      </c>
      <c r="D11" s="6">
        <v>4699</v>
      </c>
      <c r="E11" s="6">
        <f t="shared" si="1"/>
        <v>9119</v>
      </c>
      <c r="F11" s="6">
        <v>1343</v>
      </c>
      <c r="G11" s="6">
        <v>7776</v>
      </c>
      <c r="H11" s="7" t="s">
        <v>9</v>
      </c>
      <c r="I11" s="8"/>
      <c r="J11" s="1"/>
    </row>
    <row r="12" spans="1:10" ht="13.5" thickBot="1" x14ac:dyDescent="0.25">
      <c r="A12" s="1"/>
      <c r="B12" s="6">
        <f t="shared" si="0"/>
        <v>3234</v>
      </c>
      <c r="C12" s="6">
        <v>234</v>
      </c>
      <c r="D12" s="6">
        <v>3000</v>
      </c>
      <c r="E12" s="6">
        <f t="shared" si="1"/>
        <v>6219</v>
      </c>
      <c r="F12" s="6">
        <v>502</v>
      </c>
      <c r="G12" s="6">
        <v>5717</v>
      </c>
      <c r="H12" s="7" t="s">
        <v>10</v>
      </c>
      <c r="I12" s="8" t="s">
        <v>60</v>
      </c>
      <c r="J12" s="1"/>
    </row>
    <row r="13" spans="1:10" ht="13.5" thickBot="1" x14ac:dyDescent="0.25">
      <c r="A13" s="1"/>
      <c r="B13" s="6">
        <f t="shared" ref="B13:G13" si="4">SUM(B11:B12)</f>
        <v>8507</v>
      </c>
      <c r="C13" s="6">
        <f t="shared" si="4"/>
        <v>808</v>
      </c>
      <c r="D13" s="6">
        <f t="shared" si="4"/>
        <v>7699</v>
      </c>
      <c r="E13" s="6">
        <f t="shared" si="4"/>
        <v>15338</v>
      </c>
      <c r="F13" s="6">
        <f t="shared" si="4"/>
        <v>1845</v>
      </c>
      <c r="G13" s="6">
        <f t="shared" si="4"/>
        <v>13493</v>
      </c>
      <c r="H13" s="7" t="s">
        <v>12</v>
      </c>
      <c r="I13" s="9"/>
      <c r="J13" s="1"/>
    </row>
    <row r="14" spans="1:10" ht="13.5" thickBot="1" x14ac:dyDescent="0.25">
      <c r="A14" s="1"/>
      <c r="B14" s="6">
        <f t="shared" si="0"/>
        <v>3901</v>
      </c>
      <c r="C14" s="6">
        <v>275</v>
      </c>
      <c r="D14" s="6">
        <v>3626</v>
      </c>
      <c r="E14" s="6">
        <f t="shared" si="1"/>
        <v>0</v>
      </c>
      <c r="F14" s="6">
        <v>0</v>
      </c>
      <c r="G14" s="6">
        <v>0</v>
      </c>
      <c r="H14" s="7" t="s">
        <v>9</v>
      </c>
      <c r="I14" s="8"/>
      <c r="J14" s="1"/>
    </row>
    <row r="15" spans="1:10" ht="13.5" thickBot="1" x14ac:dyDescent="0.25">
      <c r="A15" s="1"/>
      <c r="B15" s="6">
        <f t="shared" si="0"/>
        <v>983</v>
      </c>
      <c r="C15" s="6">
        <v>36</v>
      </c>
      <c r="D15" s="6">
        <v>947</v>
      </c>
      <c r="E15" s="6">
        <f t="shared" si="1"/>
        <v>0</v>
      </c>
      <c r="F15" s="6">
        <v>0</v>
      </c>
      <c r="G15" s="6">
        <v>0</v>
      </c>
      <c r="H15" s="7" t="s">
        <v>10</v>
      </c>
      <c r="I15" s="8" t="s">
        <v>61</v>
      </c>
      <c r="J15" s="1"/>
    </row>
    <row r="16" spans="1:10" ht="13.5" thickBot="1" x14ac:dyDescent="0.25">
      <c r="A16" s="1"/>
      <c r="B16" s="6">
        <f t="shared" ref="B16:G16" si="5">SUM(B14:B15)</f>
        <v>4884</v>
      </c>
      <c r="C16" s="6">
        <f t="shared" si="5"/>
        <v>311</v>
      </c>
      <c r="D16" s="6">
        <f t="shared" si="5"/>
        <v>4573</v>
      </c>
      <c r="E16" s="6">
        <f t="shared" si="5"/>
        <v>0</v>
      </c>
      <c r="F16" s="6">
        <f t="shared" si="5"/>
        <v>0</v>
      </c>
      <c r="G16" s="6">
        <f t="shared" si="5"/>
        <v>0</v>
      </c>
      <c r="H16" s="7" t="s">
        <v>12</v>
      </c>
      <c r="I16" s="9"/>
      <c r="J16" s="1"/>
    </row>
    <row r="17" spans="1:10" ht="13.5" thickBot="1" x14ac:dyDescent="0.25">
      <c r="A17" s="1"/>
      <c r="B17" s="6">
        <f t="shared" si="0"/>
        <v>6747</v>
      </c>
      <c r="C17" s="6">
        <v>170</v>
      </c>
      <c r="D17" s="6">
        <v>6577</v>
      </c>
      <c r="E17" s="6">
        <f t="shared" si="1"/>
        <v>0</v>
      </c>
      <c r="F17" s="6">
        <v>0</v>
      </c>
      <c r="G17" s="6">
        <v>0</v>
      </c>
      <c r="H17" s="7" t="s">
        <v>9</v>
      </c>
      <c r="I17" s="8"/>
      <c r="J17" s="1"/>
    </row>
    <row r="18" spans="1:10" ht="13.5" thickBot="1" x14ac:dyDescent="0.25">
      <c r="A18" s="1"/>
      <c r="B18" s="6">
        <f t="shared" si="0"/>
        <v>1262</v>
      </c>
      <c r="C18" s="6">
        <v>45</v>
      </c>
      <c r="D18" s="6">
        <v>1217</v>
      </c>
      <c r="E18" s="6">
        <f t="shared" si="1"/>
        <v>0</v>
      </c>
      <c r="F18" s="6">
        <v>0</v>
      </c>
      <c r="G18" s="6">
        <v>0</v>
      </c>
      <c r="H18" s="7" t="s">
        <v>10</v>
      </c>
      <c r="I18" s="8" t="s">
        <v>53</v>
      </c>
      <c r="J18" s="1"/>
    </row>
    <row r="19" spans="1:10" ht="13.5" thickBot="1" x14ac:dyDescent="0.25">
      <c r="A19" s="1"/>
      <c r="B19" s="6">
        <f t="shared" ref="B19:G19" si="6">SUM(B17:B18)</f>
        <v>8009</v>
      </c>
      <c r="C19" s="6">
        <f t="shared" si="6"/>
        <v>215</v>
      </c>
      <c r="D19" s="6">
        <f t="shared" si="6"/>
        <v>7794</v>
      </c>
      <c r="E19" s="6">
        <f t="shared" si="6"/>
        <v>0</v>
      </c>
      <c r="F19" s="6">
        <f t="shared" si="6"/>
        <v>0</v>
      </c>
      <c r="G19" s="6">
        <f t="shared" si="6"/>
        <v>0</v>
      </c>
      <c r="H19" s="7" t="s">
        <v>12</v>
      </c>
      <c r="I19" s="9"/>
      <c r="J19" s="1"/>
    </row>
    <row r="20" spans="1:10" ht="13.5" thickBot="1" x14ac:dyDescent="0.25">
      <c r="A20" s="1"/>
      <c r="B20" s="6">
        <f t="shared" ref="B20:F22" si="7">B5+B8+B11+B14+B17</f>
        <v>17088</v>
      </c>
      <c r="C20" s="6">
        <f t="shared" si="7"/>
        <v>1195</v>
      </c>
      <c r="D20" s="6">
        <f t="shared" si="7"/>
        <v>15893</v>
      </c>
      <c r="E20" s="6">
        <f t="shared" si="7"/>
        <v>27488</v>
      </c>
      <c r="F20" s="6">
        <f t="shared" si="7"/>
        <v>11293</v>
      </c>
      <c r="G20" s="6">
        <f>G5+G8+G11+G14+G17</f>
        <v>16195</v>
      </c>
      <c r="H20" s="4" t="s">
        <v>26</v>
      </c>
      <c r="I20" s="3"/>
      <c r="J20" s="1"/>
    </row>
    <row r="21" spans="1:10" ht="13.5" thickBot="1" x14ac:dyDescent="0.25">
      <c r="A21" s="1"/>
      <c r="B21" s="6">
        <f t="shared" si="7"/>
        <v>5784</v>
      </c>
      <c r="C21" s="6">
        <f t="shared" si="7"/>
        <v>357</v>
      </c>
      <c r="D21" s="6">
        <f t="shared" si="7"/>
        <v>5427</v>
      </c>
      <c r="E21" s="6">
        <f t="shared" si="7"/>
        <v>14101</v>
      </c>
      <c r="F21" s="6">
        <f t="shared" si="7"/>
        <v>4140</v>
      </c>
      <c r="G21" s="6">
        <f>G6+G9+G12+G15+G18</f>
        <v>9961</v>
      </c>
      <c r="H21" s="4" t="s">
        <v>27</v>
      </c>
      <c r="I21" s="10" t="s">
        <v>41</v>
      </c>
      <c r="J21" s="1"/>
    </row>
    <row r="22" spans="1:10" ht="13.5" thickBot="1" x14ac:dyDescent="0.25">
      <c r="A22" s="1"/>
      <c r="B22" s="6">
        <f t="shared" si="7"/>
        <v>22872</v>
      </c>
      <c r="C22" s="6">
        <f t="shared" si="7"/>
        <v>1552</v>
      </c>
      <c r="D22" s="6">
        <f t="shared" si="7"/>
        <v>21320</v>
      </c>
      <c r="E22" s="6">
        <f t="shared" si="7"/>
        <v>41589</v>
      </c>
      <c r="F22" s="6">
        <f t="shared" si="7"/>
        <v>15433</v>
      </c>
      <c r="G22" s="6">
        <f>G7+G10+G13+G16+G19</f>
        <v>26156</v>
      </c>
      <c r="H22" s="4" t="s">
        <v>12</v>
      </c>
      <c r="I22" s="5"/>
      <c r="J22" s="1"/>
    </row>
  </sheetData>
  <mergeCells count="4">
    <mergeCell ref="B1:I1"/>
    <mergeCell ref="B2:I2"/>
    <mergeCell ref="B3:D3"/>
    <mergeCell ref="E3:G3"/>
  </mergeCells>
  <pageMargins left="0.5" right="0.5" top="0.5" bottom="0.5" header="0.5" footer="0.5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N88"/>
  <sheetViews>
    <sheetView showGridLines="0" topLeftCell="A28" workbookViewId="0">
      <selection activeCell="A81" sqref="A81"/>
    </sheetView>
  </sheetViews>
  <sheetFormatPr defaultRowHeight="13.5" customHeight="1" x14ac:dyDescent="0.2"/>
  <cols>
    <col min="1" max="2" width="9.125" style="2"/>
    <col min="3" max="9" width="11" style="2" customWidth="1"/>
    <col min="10" max="10" width="7.75" style="2" customWidth="1"/>
    <col min="11" max="11" width="34.25" style="2" customWidth="1"/>
    <col min="12" max="12" width="4.875" style="2" customWidth="1"/>
    <col min="13" max="14" width="5.125" style="2" bestFit="1" customWidth="1"/>
    <col min="15" max="258" width="9.125" style="2"/>
    <col min="259" max="266" width="11" style="2" customWidth="1"/>
    <col min="267" max="267" width="34.25" style="2" customWidth="1"/>
    <col min="268" max="268" width="4.875" style="2" customWidth="1"/>
    <col min="269" max="270" width="5.125" style="2" bestFit="1" customWidth="1"/>
    <col min="271" max="514" width="9.125" style="2"/>
    <col min="515" max="522" width="11" style="2" customWidth="1"/>
    <col min="523" max="523" width="34.25" style="2" customWidth="1"/>
    <col min="524" max="524" width="4.875" style="2" customWidth="1"/>
    <col min="525" max="526" width="5.125" style="2" bestFit="1" customWidth="1"/>
    <col min="527" max="770" width="9.125" style="2"/>
    <col min="771" max="778" width="11" style="2" customWidth="1"/>
    <col min="779" max="779" width="34.25" style="2" customWidth="1"/>
    <col min="780" max="780" width="4.875" style="2" customWidth="1"/>
    <col min="781" max="782" width="5.125" style="2" bestFit="1" customWidth="1"/>
    <col min="783" max="1026" width="9.125" style="2"/>
    <col min="1027" max="1034" width="11" style="2" customWidth="1"/>
    <col min="1035" max="1035" width="34.25" style="2" customWidth="1"/>
    <col min="1036" max="1036" width="4.875" style="2" customWidth="1"/>
    <col min="1037" max="1038" width="5.125" style="2" bestFit="1" customWidth="1"/>
    <col min="1039" max="1282" width="9.125" style="2"/>
    <col min="1283" max="1290" width="11" style="2" customWidth="1"/>
    <col min="1291" max="1291" width="34.25" style="2" customWidth="1"/>
    <col min="1292" max="1292" width="4.875" style="2" customWidth="1"/>
    <col min="1293" max="1294" width="5.125" style="2" bestFit="1" customWidth="1"/>
    <col min="1295" max="1538" width="9.125" style="2"/>
    <col min="1539" max="1546" width="11" style="2" customWidth="1"/>
    <col min="1547" max="1547" width="34.25" style="2" customWidth="1"/>
    <col min="1548" max="1548" width="4.875" style="2" customWidth="1"/>
    <col min="1549" max="1550" width="5.125" style="2" bestFit="1" customWidth="1"/>
    <col min="1551" max="1794" width="9.125" style="2"/>
    <col min="1795" max="1802" width="11" style="2" customWidth="1"/>
    <col min="1803" max="1803" width="34.25" style="2" customWidth="1"/>
    <col min="1804" max="1804" width="4.875" style="2" customWidth="1"/>
    <col min="1805" max="1806" width="5.125" style="2" bestFit="1" customWidth="1"/>
    <col min="1807" max="2050" width="9.125" style="2"/>
    <col min="2051" max="2058" width="11" style="2" customWidth="1"/>
    <col min="2059" max="2059" width="34.25" style="2" customWidth="1"/>
    <col min="2060" max="2060" width="4.875" style="2" customWidth="1"/>
    <col min="2061" max="2062" width="5.125" style="2" bestFit="1" customWidth="1"/>
    <col min="2063" max="2306" width="9.125" style="2"/>
    <col min="2307" max="2314" width="11" style="2" customWidth="1"/>
    <col min="2315" max="2315" width="34.25" style="2" customWidth="1"/>
    <col min="2316" max="2316" width="4.875" style="2" customWidth="1"/>
    <col min="2317" max="2318" width="5.125" style="2" bestFit="1" customWidth="1"/>
    <col min="2319" max="2562" width="9.125" style="2"/>
    <col min="2563" max="2570" width="11" style="2" customWidth="1"/>
    <col min="2571" max="2571" width="34.25" style="2" customWidth="1"/>
    <col min="2572" max="2572" width="4.875" style="2" customWidth="1"/>
    <col min="2573" max="2574" width="5.125" style="2" bestFit="1" customWidth="1"/>
    <col min="2575" max="2818" width="9.125" style="2"/>
    <col min="2819" max="2826" width="11" style="2" customWidth="1"/>
    <col min="2827" max="2827" width="34.25" style="2" customWidth="1"/>
    <col min="2828" max="2828" width="4.875" style="2" customWidth="1"/>
    <col min="2829" max="2830" width="5.125" style="2" bestFit="1" customWidth="1"/>
    <col min="2831" max="3074" width="9.125" style="2"/>
    <col min="3075" max="3082" width="11" style="2" customWidth="1"/>
    <col min="3083" max="3083" width="34.25" style="2" customWidth="1"/>
    <col min="3084" max="3084" width="4.875" style="2" customWidth="1"/>
    <col min="3085" max="3086" width="5.125" style="2" bestFit="1" customWidth="1"/>
    <col min="3087" max="3330" width="9.125" style="2"/>
    <col min="3331" max="3338" width="11" style="2" customWidth="1"/>
    <col min="3339" max="3339" width="34.25" style="2" customWidth="1"/>
    <col min="3340" max="3340" width="4.875" style="2" customWidth="1"/>
    <col min="3341" max="3342" width="5.125" style="2" bestFit="1" customWidth="1"/>
    <col min="3343" max="3586" width="9.125" style="2"/>
    <col min="3587" max="3594" width="11" style="2" customWidth="1"/>
    <col min="3595" max="3595" width="34.25" style="2" customWidth="1"/>
    <col min="3596" max="3596" width="4.875" style="2" customWidth="1"/>
    <col min="3597" max="3598" width="5.125" style="2" bestFit="1" customWidth="1"/>
    <col min="3599" max="3842" width="9.125" style="2"/>
    <col min="3843" max="3850" width="11" style="2" customWidth="1"/>
    <col min="3851" max="3851" width="34.25" style="2" customWidth="1"/>
    <col min="3852" max="3852" width="4.875" style="2" customWidth="1"/>
    <col min="3853" max="3854" width="5.125" style="2" bestFit="1" customWidth="1"/>
    <col min="3855" max="4098" width="9.125" style="2"/>
    <col min="4099" max="4106" width="11" style="2" customWidth="1"/>
    <col min="4107" max="4107" width="34.25" style="2" customWidth="1"/>
    <col min="4108" max="4108" width="4.875" style="2" customWidth="1"/>
    <col min="4109" max="4110" width="5.125" style="2" bestFit="1" customWidth="1"/>
    <col min="4111" max="4354" width="9.125" style="2"/>
    <col min="4355" max="4362" width="11" style="2" customWidth="1"/>
    <col min="4363" max="4363" width="34.25" style="2" customWidth="1"/>
    <col min="4364" max="4364" width="4.875" style="2" customWidth="1"/>
    <col min="4365" max="4366" width="5.125" style="2" bestFit="1" customWidth="1"/>
    <col min="4367" max="4610" width="9.125" style="2"/>
    <col min="4611" max="4618" width="11" style="2" customWidth="1"/>
    <col min="4619" max="4619" width="34.25" style="2" customWidth="1"/>
    <col min="4620" max="4620" width="4.875" style="2" customWidth="1"/>
    <col min="4621" max="4622" width="5.125" style="2" bestFit="1" customWidth="1"/>
    <col min="4623" max="4866" width="9.125" style="2"/>
    <col min="4867" max="4874" width="11" style="2" customWidth="1"/>
    <col min="4875" max="4875" width="34.25" style="2" customWidth="1"/>
    <col min="4876" max="4876" width="4.875" style="2" customWidth="1"/>
    <col min="4877" max="4878" width="5.125" style="2" bestFit="1" customWidth="1"/>
    <col min="4879" max="5122" width="9.125" style="2"/>
    <col min="5123" max="5130" width="11" style="2" customWidth="1"/>
    <col min="5131" max="5131" width="34.25" style="2" customWidth="1"/>
    <col min="5132" max="5132" width="4.875" style="2" customWidth="1"/>
    <col min="5133" max="5134" width="5.125" style="2" bestFit="1" customWidth="1"/>
    <col min="5135" max="5378" width="9.125" style="2"/>
    <col min="5379" max="5386" width="11" style="2" customWidth="1"/>
    <col min="5387" max="5387" width="34.25" style="2" customWidth="1"/>
    <col min="5388" max="5388" width="4.875" style="2" customWidth="1"/>
    <col min="5389" max="5390" width="5.125" style="2" bestFit="1" customWidth="1"/>
    <col min="5391" max="5634" width="9.125" style="2"/>
    <col min="5635" max="5642" width="11" style="2" customWidth="1"/>
    <col min="5643" max="5643" width="34.25" style="2" customWidth="1"/>
    <col min="5644" max="5644" width="4.875" style="2" customWidth="1"/>
    <col min="5645" max="5646" width="5.125" style="2" bestFit="1" customWidth="1"/>
    <col min="5647" max="5890" width="9.125" style="2"/>
    <col min="5891" max="5898" width="11" style="2" customWidth="1"/>
    <col min="5899" max="5899" width="34.25" style="2" customWidth="1"/>
    <col min="5900" max="5900" width="4.875" style="2" customWidth="1"/>
    <col min="5901" max="5902" width="5.125" style="2" bestFit="1" customWidth="1"/>
    <col min="5903" max="6146" width="9.125" style="2"/>
    <col min="6147" max="6154" width="11" style="2" customWidth="1"/>
    <col min="6155" max="6155" width="34.25" style="2" customWidth="1"/>
    <col min="6156" max="6156" width="4.875" style="2" customWidth="1"/>
    <col min="6157" max="6158" width="5.125" style="2" bestFit="1" customWidth="1"/>
    <col min="6159" max="6402" width="9.125" style="2"/>
    <col min="6403" max="6410" width="11" style="2" customWidth="1"/>
    <col min="6411" max="6411" width="34.25" style="2" customWidth="1"/>
    <col min="6412" max="6412" width="4.875" style="2" customWidth="1"/>
    <col min="6413" max="6414" width="5.125" style="2" bestFit="1" customWidth="1"/>
    <col min="6415" max="6658" width="9.125" style="2"/>
    <col min="6659" max="6666" width="11" style="2" customWidth="1"/>
    <col min="6667" max="6667" width="34.25" style="2" customWidth="1"/>
    <col min="6668" max="6668" width="4.875" style="2" customWidth="1"/>
    <col min="6669" max="6670" width="5.125" style="2" bestFit="1" customWidth="1"/>
    <col min="6671" max="6914" width="9.125" style="2"/>
    <col min="6915" max="6922" width="11" style="2" customWidth="1"/>
    <col min="6923" max="6923" width="34.25" style="2" customWidth="1"/>
    <col min="6924" max="6924" width="4.875" style="2" customWidth="1"/>
    <col min="6925" max="6926" width="5.125" style="2" bestFit="1" customWidth="1"/>
    <col min="6927" max="7170" width="9.125" style="2"/>
    <col min="7171" max="7178" width="11" style="2" customWidth="1"/>
    <col min="7179" max="7179" width="34.25" style="2" customWidth="1"/>
    <col min="7180" max="7180" width="4.875" style="2" customWidth="1"/>
    <col min="7181" max="7182" width="5.125" style="2" bestFit="1" customWidth="1"/>
    <col min="7183" max="7426" width="9.125" style="2"/>
    <col min="7427" max="7434" width="11" style="2" customWidth="1"/>
    <col min="7435" max="7435" width="34.25" style="2" customWidth="1"/>
    <col min="7436" max="7436" width="4.875" style="2" customWidth="1"/>
    <col min="7437" max="7438" width="5.125" style="2" bestFit="1" customWidth="1"/>
    <col min="7439" max="7682" width="9.125" style="2"/>
    <col min="7683" max="7690" width="11" style="2" customWidth="1"/>
    <col min="7691" max="7691" width="34.25" style="2" customWidth="1"/>
    <col min="7692" max="7692" width="4.875" style="2" customWidth="1"/>
    <col min="7693" max="7694" width="5.125" style="2" bestFit="1" customWidth="1"/>
    <col min="7695" max="7938" width="9.125" style="2"/>
    <col min="7939" max="7946" width="11" style="2" customWidth="1"/>
    <col min="7947" max="7947" width="34.25" style="2" customWidth="1"/>
    <col min="7948" max="7948" width="4.875" style="2" customWidth="1"/>
    <col min="7949" max="7950" width="5.125" style="2" bestFit="1" customWidth="1"/>
    <col min="7951" max="8194" width="9.125" style="2"/>
    <col min="8195" max="8202" width="11" style="2" customWidth="1"/>
    <col min="8203" max="8203" width="34.25" style="2" customWidth="1"/>
    <col min="8204" max="8204" width="4.875" style="2" customWidth="1"/>
    <col min="8205" max="8206" width="5.125" style="2" bestFit="1" customWidth="1"/>
    <col min="8207" max="8450" width="9.125" style="2"/>
    <col min="8451" max="8458" width="11" style="2" customWidth="1"/>
    <col min="8459" max="8459" width="34.25" style="2" customWidth="1"/>
    <col min="8460" max="8460" width="4.875" style="2" customWidth="1"/>
    <col min="8461" max="8462" width="5.125" style="2" bestFit="1" customWidth="1"/>
    <col min="8463" max="8706" width="9.125" style="2"/>
    <col min="8707" max="8714" width="11" style="2" customWidth="1"/>
    <col min="8715" max="8715" width="34.25" style="2" customWidth="1"/>
    <col min="8716" max="8716" width="4.875" style="2" customWidth="1"/>
    <col min="8717" max="8718" width="5.125" style="2" bestFit="1" customWidth="1"/>
    <col min="8719" max="8962" width="9.125" style="2"/>
    <col min="8963" max="8970" width="11" style="2" customWidth="1"/>
    <col min="8971" max="8971" width="34.25" style="2" customWidth="1"/>
    <col min="8972" max="8972" width="4.875" style="2" customWidth="1"/>
    <col min="8973" max="8974" width="5.125" style="2" bestFit="1" customWidth="1"/>
    <col min="8975" max="9218" width="9.125" style="2"/>
    <col min="9219" max="9226" width="11" style="2" customWidth="1"/>
    <col min="9227" max="9227" width="34.25" style="2" customWidth="1"/>
    <col min="9228" max="9228" width="4.875" style="2" customWidth="1"/>
    <col min="9229" max="9230" width="5.125" style="2" bestFit="1" customWidth="1"/>
    <col min="9231" max="9474" width="9.125" style="2"/>
    <col min="9475" max="9482" width="11" style="2" customWidth="1"/>
    <col min="9483" max="9483" width="34.25" style="2" customWidth="1"/>
    <col min="9484" max="9484" width="4.875" style="2" customWidth="1"/>
    <col min="9485" max="9486" width="5.125" style="2" bestFit="1" customWidth="1"/>
    <col min="9487" max="9730" width="9.125" style="2"/>
    <col min="9731" max="9738" width="11" style="2" customWidth="1"/>
    <col min="9739" max="9739" width="34.25" style="2" customWidth="1"/>
    <col min="9740" max="9740" width="4.875" style="2" customWidth="1"/>
    <col min="9741" max="9742" width="5.125" style="2" bestFit="1" customWidth="1"/>
    <col min="9743" max="9986" width="9.125" style="2"/>
    <col min="9987" max="9994" width="11" style="2" customWidth="1"/>
    <col min="9995" max="9995" width="34.25" style="2" customWidth="1"/>
    <col min="9996" max="9996" width="4.875" style="2" customWidth="1"/>
    <col min="9997" max="9998" width="5.125" style="2" bestFit="1" customWidth="1"/>
    <col min="9999" max="10242" width="9.125" style="2"/>
    <col min="10243" max="10250" width="11" style="2" customWidth="1"/>
    <col min="10251" max="10251" width="34.25" style="2" customWidth="1"/>
    <col min="10252" max="10252" width="4.875" style="2" customWidth="1"/>
    <col min="10253" max="10254" width="5.125" style="2" bestFit="1" customWidth="1"/>
    <col min="10255" max="10498" width="9.125" style="2"/>
    <col min="10499" max="10506" width="11" style="2" customWidth="1"/>
    <col min="10507" max="10507" width="34.25" style="2" customWidth="1"/>
    <col min="10508" max="10508" width="4.875" style="2" customWidth="1"/>
    <col min="10509" max="10510" width="5.125" style="2" bestFit="1" customWidth="1"/>
    <col min="10511" max="10754" width="9.125" style="2"/>
    <col min="10755" max="10762" width="11" style="2" customWidth="1"/>
    <col min="10763" max="10763" width="34.25" style="2" customWidth="1"/>
    <col min="10764" max="10764" width="4.875" style="2" customWidth="1"/>
    <col min="10765" max="10766" width="5.125" style="2" bestFit="1" customWidth="1"/>
    <col min="10767" max="11010" width="9.125" style="2"/>
    <col min="11011" max="11018" width="11" style="2" customWidth="1"/>
    <col min="11019" max="11019" width="34.25" style="2" customWidth="1"/>
    <col min="11020" max="11020" width="4.875" style="2" customWidth="1"/>
    <col min="11021" max="11022" width="5.125" style="2" bestFit="1" customWidth="1"/>
    <col min="11023" max="11266" width="9.125" style="2"/>
    <col min="11267" max="11274" width="11" style="2" customWidth="1"/>
    <col min="11275" max="11275" width="34.25" style="2" customWidth="1"/>
    <col min="11276" max="11276" width="4.875" style="2" customWidth="1"/>
    <col min="11277" max="11278" width="5.125" style="2" bestFit="1" customWidth="1"/>
    <col min="11279" max="11522" width="9.125" style="2"/>
    <col min="11523" max="11530" width="11" style="2" customWidth="1"/>
    <col min="11531" max="11531" width="34.25" style="2" customWidth="1"/>
    <col min="11532" max="11532" width="4.875" style="2" customWidth="1"/>
    <col min="11533" max="11534" width="5.125" style="2" bestFit="1" customWidth="1"/>
    <col min="11535" max="11778" width="9.125" style="2"/>
    <col min="11779" max="11786" width="11" style="2" customWidth="1"/>
    <col min="11787" max="11787" width="34.25" style="2" customWidth="1"/>
    <col min="11788" max="11788" width="4.875" style="2" customWidth="1"/>
    <col min="11789" max="11790" width="5.125" style="2" bestFit="1" customWidth="1"/>
    <col min="11791" max="12034" width="9.125" style="2"/>
    <col min="12035" max="12042" width="11" style="2" customWidth="1"/>
    <col min="12043" max="12043" width="34.25" style="2" customWidth="1"/>
    <col min="12044" max="12044" width="4.875" style="2" customWidth="1"/>
    <col min="12045" max="12046" width="5.125" style="2" bestFit="1" customWidth="1"/>
    <col min="12047" max="12290" width="9.125" style="2"/>
    <col min="12291" max="12298" width="11" style="2" customWidth="1"/>
    <col min="12299" max="12299" width="34.25" style="2" customWidth="1"/>
    <col min="12300" max="12300" width="4.875" style="2" customWidth="1"/>
    <col min="12301" max="12302" width="5.125" style="2" bestFit="1" customWidth="1"/>
    <col min="12303" max="12546" width="9.125" style="2"/>
    <col min="12547" max="12554" width="11" style="2" customWidth="1"/>
    <col min="12555" max="12555" width="34.25" style="2" customWidth="1"/>
    <col min="12556" max="12556" width="4.875" style="2" customWidth="1"/>
    <col min="12557" max="12558" width="5.125" style="2" bestFit="1" customWidth="1"/>
    <col min="12559" max="12802" width="9.125" style="2"/>
    <col min="12803" max="12810" width="11" style="2" customWidth="1"/>
    <col min="12811" max="12811" width="34.25" style="2" customWidth="1"/>
    <col min="12812" max="12812" width="4.875" style="2" customWidth="1"/>
    <col min="12813" max="12814" width="5.125" style="2" bestFit="1" customWidth="1"/>
    <col min="12815" max="13058" width="9.125" style="2"/>
    <col min="13059" max="13066" width="11" style="2" customWidth="1"/>
    <col min="13067" max="13067" width="34.25" style="2" customWidth="1"/>
    <col min="13068" max="13068" width="4.875" style="2" customWidth="1"/>
    <col min="13069" max="13070" width="5.125" style="2" bestFit="1" customWidth="1"/>
    <col min="13071" max="13314" width="9.125" style="2"/>
    <col min="13315" max="13322" width="11" style="2" customWidth="1"/>
    <col min="13323" max="13323" width="34.25" style="2" customWidth="1"/>
    <col min="13324" max="13324" width="4.875" style="2" customWidth="1"/>
    <col min="13325" max="13326" width="5.125" style="2" bestFit="1" customWidth="1"/>
    <col min="13327" max="13570" width="9.125" style="2"/>
    <col min="13571" max="13578" width="11" style="2" customWidth="1"/>
    <col min="13579" max="13579" width="34.25" style="2" customWidth="1"/>
    <col min="13580" max="13580" width="4.875" style="2" customWidth="1"/>
    <col min="13581" max="13582" width="5.125" style="2" bestFit="1" customWidth="1"/>
    <col min="13583" max="13826" width="9.125" style="2"/>
    <col min="13827" max="13834" width="11" style="2" customWidth="1"/>
    <col min="13835" max="13835" width="34.25" style="2" customWidth="1"/>
    <col min="13836" max="13836" width="4.875" style="2" customWidth="1"/>
    <col min="13837" max="13838" width="5.125" style="2" bestFit="1" customWidth="1"/>
    <col min="13839" max="14082" width="9.125" style="2"/>
    <col min="14083" max="14090" width="11" style="2" customWidth="1"/>
    <col min="14091" max="14091" width="34.25" style="2" customWidth="1"/>
    <col min="14092" max="14092" width="4.875" style="2" customWidth="1"/>
    <col min="14093" max="14094" width="5.125" style="2" bestFit="1" customWidth="1"/>
    <col min="14095" max="14338" width="9.125" style="2"/>
    <col min="14339" max="14346" width="11" style="2" customWidth="1"/>
    <col min="14347" max="14347" width="34.25" style="2" customWidth="1"/>
    <col min="14348" max="14348" width="4.875" style="2" customWidth="1"/>
    <col min="14349" max="14350" width="5.125" style="2" bestFit="1" customWidth="1"/>
    <col min="14351" max="14594" width="9.125" style="2"/>
    <col min="14595" max="14602" width="11" style="2" customWidth="1"/>
    <col min="14603" max="14603" width="34.25" style="2" customWidth="1"/>
    <col min="14604" max="14604" width="4.875" style="2" customWidth="1"/>
    <col min="14605" max="14606" width="5.125" style="2" bestFit="1" customWidth="1"/>
    <col min="14607" max="14850" width="9.125" style="2"/>
    <col min="14851" max="14858" width="11" style="2" customWidth="1"/>
    <col min="14859" max="14859" width="34.25" style="2" customWidth="1"/>
    <col min="14860" max="14860" width="4.875" style="2" customWidth="1"/>
    <col min="14861" max="14862" width="5.125" style="2" bestFit="1" customWidth="1"/>
    <col min="14863" max="15106" width="9.125" style="2"/>
    <col min="15107" max="15114" width="11" style="2" customWidth="1"/>
    <col min="15115" max="15115" width="34.25" style="2" customWidth="1"/>
    <col min="15116" max="15116" width="4.875" style="2" customWidth="1"/>
    <col min="15117" max="15118" width="5.125" style="2" bestFit="1" customWidth="1"/>
    <col min="15119" max="15362" width="9.125" style="2"/>
    <col min="15363" max="15370" width="11" style="2" customWidth="1"/>
    <col min="15371" max="15371" width="34.25" style="2" customWidth="1"/>
    <col min="15372" max="15372" width="4.875" style="2" customWidth="1"/>
    <col min="15373" max="15374" width="5.125" style="2" bestFit="1" customWidth="1"/>
    <col min="15375" max="15618" width="9.125" style="2"/>
    <col min="15619" max="15626" width="11" style="2" customWidth="1"/>
    <col min="15627" max="15627" width="34.25" style="2" customWidth="1"/>
    <col min="15628" max="15628" width="4.875" style="2" customWidth="1"/>
    <col min="15629" max="15630" width="5.125" style="2" bestFit="1" customWidth="1"/>
    <col min="15631" max="15874" width="9.125" style="2"/>
    <col min="15875" max="15882" width="11" style="2" customWidth="1"/>
    <col min="15883" max="15883" width="34.25" style="2" customWidth="1"/>
    <col min="15884" max="15884" width="4.875" style="2" customWidth="1"/>
    <col min="15885" max="15886" width="5.125" style="2" bestFit="1" customWidth="1"/>
    <col min="15887" max="16130" width="9.125" style="2"/>
    <col min="16131" max="16138" width="11" style="2" customWidth="1"/>
    <col min="16139" max="16139" width="34.25" style="2" customWidth="1"/>
    <col min="16140" max="16140" width="4.875" style="2" customWidth="1"/>
    <col min="16141" max="16142" width="5.125" style="2" bestFit="1" customWidth="1"/>
    <col min="16143" max="16384" width="9.125" style="2"/>
  </cols>
  <sheetData>
    <row r="1" spans="3:14" ht="13.5" customHeight="1" x14ac:dyDescent="0.2">
      <c r="C1" s="407" t="s">
        <v>191</v>
      </c>
      <c r="D1" s="406"/>
      <c r="E1" s="406"/>
      <c r="F1" s="406"/>
      <c r="G1" s="406"/>
      <c r="H1" s="406"/>
      <c r="I1" s="406"/>
      <c r="J1" s="406"/>
      <c r="K1" s="406"/>
      <c r="L1" s="1"/>
    </row>
    <row r="2" spans="3:14" ht="13.5" customHeight="1" thickBot="1" x14ac:dyDescent="0.25">
      <c r="C2" s="425" t="s">
        <v>142</v>
      </c>
      <c r="D2" s="425"/>
      <c r="E2" s="425"/>
      <c r="F2" s="425"/>
      <c r="G2" s="425"/>
      <c r="H2" s="425"/>
      <c r="I2" s="425"/>
      <c r="J2" s="425"/>
      <c r="K2" s="425"/>
      <c r="L2" s="1"/>
    </row>
    <row r="3" spans="3:14" ht="13.5" customHeight="1" thickBot="1" x14ac:dyDescent="0.25">
      <c r="C3" s="426" t="s">
        <v>63</v>
      </c>
      <c r="D3" s="426"/>
      <c r="E3" s="426"/>
      <c r="F3" s="426" t="s">
        <v>64</v>
      </c>
      <c r="G3" s="426"/>
      <c r="H3" s="426"/>
      <c r="I3" s="3" t="s">
        <v>7</v>
      </c>
      <c r="J3" s="410" t="s">
        <v>143</v>
      </c>
      <c r="K3" s="410" t="s">
        <v>144</v>
      </c>
      <c r="L3" s="1"/>
    </row>
    <row r="4" spans="3:14" ht="17.25" customHeight="1" thickBot="1" x14ac:dyDescent="0.25">
      <c r="C4" s="4" t="s">
        <v>4</v>
      </c>
      <c r="D4" s="4" t="s">
        <v>145</v>
      </c>
      <c r="E4" s="4" t="s">
        <v>146</v>
      </c>
      <c r="F4" s="4" t="s">
        <v>4</v>
      </c>
      <c r="G4" s="4" t="s">
        <v>145</v>
      </c>
      <c r="H4" s="4" t="s">
        <v>146</v>
      </c>
      <c r="I4" s="5"/>
      <c r="J4" s="412"/>
      <c r="K4" s="412"/>
      <c r="L4" s="1"/>
    </row>
    <row r="5" spans="3:14" ht="13.5" customHeight="1" thickBot="1" x14ac:dyDescent="0.25">
      <c r="C5" s="6">
        <f>SUM(D5:E5)</f>
        <v>975</v>
      </c>
      <c r="D5" s="6">
        <v>7</v>
      </c>
      <c r="E5" s="6">
        <v>968</v>
      </c>
      <c r="F5" s="6">
        <f>SUM(G5:H5)</f>
        <v>1625</v>
      </c>
      <c r="G5" s="6">
        <v>459</v>
      </c>
      <c r="H5" s="6">
        <v>1166</v>
      </c>
      <c r="I5" s="7" t="s">
        <v>9</v>
      </c>
      <c r="J5" s="410">
        <v>26</v>
      </c>
      <c r="K5" s="410" t="s">
        <v>68</v>
      </c>
      <c r="L5" s="1"/>
      <c r="N5" s="21"/>
    </row>
    <row r="6" spans="3:14" ht="13.5" customHeight="1" thickBot="1" x14ac:dyDescent="0.25">
      <c r="C6" s="6">
        <f t="shared" ref="C6:C69" si="0">SUM(D6:E6)</f>
        <v>372</v>
      </c>
      <c r="D6" s="6">
        <v>0</v>
      </c>
      <c r="E6" s="6">
        <v>372</v>
      </c>
      <c r="F6" s="6">
        <f t="shared" ref="F6:F69" si="1">SUM(G6:H6)</f>
        <v>1086</v>
      </c>
      <c r="G6" s="6">
        <v>120</v>
      </c>
      <c r="H6" s="6">
        <v>966</v>
      </c>
      <c r="I6" s="7" t="s">
        <v>10</v>
      </c>
      <c r="J6" s="411"/>
      <c r="K6" s="411"/>
      <c r="L6" s="1"/>
      <c r="N6" s="21"/>
    </row>
    <row r="7" spans="3:14" ht="13.5" customHeight="1" thickBot="1" x14ac:dyDescent="0.25">
      <c r="C7" s="6">
        <f t="shared" ref="C7:G7" si="2">SUM(C5:C6)</f>
        <v>1347</v>
      </c>
      <c r="D7" s="6">
        <f t="shared" si="2"/>
        <v>7</v>
      </c>
      <c r="E7" s="6">
        <f t="shared" si="2"/>
        <v>1340</v>
      </c>
      <c r="F7" s="6">
        <f t="shared" si="2"/>
        <v>2711</v>
      </c>
      <c r="G7" s="6">
        <f t="shared" si="2"/>
        <v>579</v>
      </c>
      <c r="H7" s="6">
        <f>SUM(H5:H6)</f>
        <v>2132</v>
      </c>
      <c r="I7" s="7" t="s">
        <v>12</v>
      </c>
      <c r="J7" s="412"/>
      <c r="K7" s="412"/>
      <c r="L7" s="1"/>
      <c r="N7" s="21"/>
    </row>
    <row r="8" spans="3:14" ht="13.5" customHeight="1" thickBot="1" x14ac:dyDescent="0.25">
      <c r="C8" s="6">
        <f t="shared" si="0"/>
        <v>613</v>
      </c>
      <c r="D8" s="6">
        <v>2</v>
      </c>
      <c r="E8" s="6">
        <v>611</v>
      </c>
      <c r="F8" s="6">
        <f t="shared" si="1"/>
        <v>717</v>
      </c>
      <c r="G8" s="6">
        <v>38</v>
      </c>
      <c r="H8" s="6">
        <v>679</v>
      </c>
      <c r="I8" s="7" t="s">
        <v>9</v>
      </c>
      <c r="J8" s="410">
        <v>6</v>
      </c>
      <c r="K8" s="8"/>
      <c r="L8" s="1"/>
      <c r="N8" s="21"/>
    </row>
    <row r="9" spans="3:14" ht="13.5" customHeight="1" thickBot="1" x14ac:dyDescent="0.25">
      <c r="C9" s="6">
        <f t="shared" si="0"/>
        <v>3</v>
      </c>
      <c r="D9" s="6">
        <v>0</v>
      </c>
      <c r="E9" s="6">
        <v>3</v>
      </c>
      <c r="F9" s="6">
        <f t="shared" si="1"/>
        <v>0</v>
      </c>
      <c r="G9" s="6">
        <v>0</v>
      </c>
      <c r="H9" s="6">
        <v>0</v>
      </c>
      <c r="I9" s="7" t="s">
        <v>10</v>
      </c>
      <c r="J9" s="411"/>
      <c r="K9" s="411" t="s">
        <v>207</v>
      </c>
      <c r="L9" s="1"/>
      <c r="N9" s="21"/>
    </row>
    <row r="10" spans="3:14" ht="13.5" customHeight="1" thickBot="1" x14ac:dyDescent="0.25">
      <c r="C10" s="6">
        <f t="shared" ref="C10" si="3">SUM(C8:C9)</f>
        <v>616</v>
      </c>
      <c r="D10" s="6">
        <f t="shared" ref="D10" si="4">SUM(D8:D9)</f>
        <v>2</v>
      </c>
      <c r="E10" s="6">
        <f t="shared" ref="E10" si="5">SUM(E8:E9)</f>
        <v>614</v>
      </c>
      <c r="F10" s="6">
        <f t="shared" ref="F10" si="6">SUM(F8:F9)</f>
        <v>717</v>
      </c>
      <c r="G10" s="6">
        <f t="shared" ref="G10" si="7">SUM(G8:G9)</f>
        <v>38</v>
      </c>
      <c r="H10" s="6">
        <f>SUM(H8:H9)</f>
        <v>679</v>
      </c>
      <c r="I10" s="7" t="s">
        <v>12</v>
      </c>
      <c r="J10" s="412"/>
      <c r="K10" s="412"/>
      <c r="L10" s="1"/>
      <c r="N10" s="21"/>
    </row>
    <row r="11" spans="3:14" ht="13.5" customHeight="1" thickBot="1" x14ac:dyDescent="0.25">
      <c r="C11" s="6">
        <f t="shared" si="0"/>
        <v>1727</v>
      </c>
      <c r="D11" s="6">
        <v>3</v>
      </c>
      <c r="E11" s="6">
        <v>1724</v>
      </c>
      <c r="F11" s="6">
        <f t="shared" si="1"/>
        <v>1657</v>
      </c>
      <c r="G11" s="6">
        <v>315</v>
      </c>
      <c r="H11" s="6">
        <v>1342</v>
      </c>
      <c r="I11" s="7" t="s">
        <v>9</v>
      </c>
      <c r="J11" s="410">
        <v>16</v>
      </c>
      <c r="K11" s="410" t="s">
        <v>206</v>
      </c>
      <c r="L11" s="1"/>
      <c r="N11" s="21"/>
    </row>
    <row r="12" spans="3:14" ht="13.5" customHeight="1" thickBot="1" x14ac:dyDescent="0.25">
      <c r="C12" s="6">
        <f t="shared" si="0"/>
        <v>225</v>
      </c>
      <c r="D12" s="6">
        <v>0</v>
      </c>
      <c r="E12" s="6">
        <v>225</v>
      </c>
      <c r="F12" s="6">
        <f t="shared" si="1"/>
        <v>435</v>
      </c>
      <c r="G12" s="6">
        <v>47</v>
      </c>
      <c r="H12" s="6">
        <v>388</v>
      </c>
      <c r="I12" s="7" t="s">
        <v>10</v>
      </c>
      <c r="J12" s="411"/>
      <c r="K12" s="411"/>
      <c r="L12" s="1"/>
      <c r="N12" s="21"/>
    </row>
    <row r="13" spans="3:14" ht="13.5" customHeight="1" thickBot="1" x14ac:dyDescent="0.25">
      <c r="C13" s="6">
        <f t="shared" ref="C13" si="8">SUM(C11:C12)</f>
        <v>1952</v>
      </c>
      <c r="D13" s="6">
        <f t="shared" ref="D13" si="9">SUM(D11:D12)</f>
        <v>3</v>
      </c>
      <c r="E13" s="6">
        <f t="shared" ref="E13" si="10">SUM(E11:E12)</f>
        <v>1949</v>
      </c>
      <c r="F13" s="6">
        <f t="shared" ref="F13" si="11">SUM(F11:F12)</f>
        <v>2092</v>
      </c>
      <c r="G13" s="6">
        <f t="shared" ref="G13" si="12">SUM(G11:G12)</f>
        <v>362</v>
      </c>
      <c r="H13" s="6">
        <f>SUM(H11:H12)</f>
        <v>1730</v>
      </c>
      <c r="I13" s="7" t="s">
        <v>12</v>
      </c>
      <c r="J13" s="412"/>
      <c r="K13" s="412"/>
      <c r="L13" s="1"/>
      <c r="N13" s="21"/>
    </row>
    <row r="14" spans="3:14" ht="13.5" customHeight="1" thickBot="1" x14ac:dyDescent="0.25">
      <c r="C14" s="6">
        <f t="shared" si="0"/>
        <v>3159</v>
      </c>
      <c r="D14" s="6">
        <v>171</v>
      </c>
      <c r="E14" s="6">
        <v>2988</v>
      </c>
      <c r="F14" s="6">
        <f t="shared" si="1"/>
        <v>4917</v>
      </c>
      <c r="G14" s="6">
        <v>1987</v>
      </c>
      <c r="H14" s="6">
        <v>2930</v>
      </c>
      <c r="I14" s="7" t="s">
        <v>9</v>
      </c>
      <c r="J14" s="410">
        <v>48</v>
      </c>
      <c r="K14" s="410" t="s">
        <v>72</v>
      </c>
      <c r="L14" s="1"/>
      <c r="N14" s="21"/>
    </row>
    <row r="15" spans="3:14" ht="13.5" customHeight="1" thickBot="1" x14ac:dyDescent="0.25">
      <c r="C15" s="6">
        <f t="shared" si="0"/>
        <v>746</v>
      </c>
      <c r="D15" s="6">
        <v>13</v>
      </c>
      <c r="E15" s="6">
        <v>733</v>
      </c>
      <c r="F15" s="6">
        <f t="shared" si="1"/>
        <v>2141</v>
      </c>
      <c r="G15" s="6">
        <v>498</v>
      </c>
      <c r="H15" s="6">
        <v>1643</v>
      </c>
      <c r="I15" s="7" t="s">
        <v>10</v>
      </c>
      <c r="J15" s="411"/>
      <c r="K15" s="411"/>
      <c r="L15" s="1"/>
      <c r="N15" s="21"/>
    </row>
    <row r="16" spans="3:14" ht="13.5" customHeight="1" thickBot="1" x14ac:dyDescent="0.25">
      <c r="C16" s="6">
        <f t="shared" ref="C16" si="13">SUM(C14:C15)</f>
        <v>3905</v>
      </c>
      <c r="D16" s="6">
        <f t="shared" ref="D16" si="14">SUM(D14:D15)</f>
        <v>184</v>
      </c>
      <c r="E16" s="6">
        <f t="shared" ref="E16" si="15">SUM(E14:E15)</f>
        <v>3721</v>
      </c>
      <c r="F16" s="6">
        <f t="shared" ref="F16" si="16">SUM(F14:F15)</f>
        <v>7058</v>
      </c>
      <c r="G16" s="6">
        <f t="shared" ref="G16" si="17">SUM(G14:G15)</f>
        <v>2485</v>
      </c>
      <c r="H16" s="6">
        <f>SUM(H14:H15)</f>
        <v>4573</v>
      </c>
      <c r="I16" s="7" t="s">
        <v>12</v>
      </c>
      <c r="J16" s="412"/>
      <c r="K16" s="412"/>
      <c r="L16" s="1"/>
      <c r="N16" s="21"/>
    </row>
    <row r="17" spans="3:14" ht="13.5" customHeight="1" thickBot="1" x14ac:dyDescent="0.25">
      <c r="C17" s="6">
        <f t="shared" si="0"/>
        <v>1606</v>
      </c>
      <c r="D17" s="6">
        <v>80</v>
      </c>
      <c r="E17" s="6">
        <v>1526</v>
      </c>
      <c r="F17" s="6">
        <f t="shared" si="1"/>
        <v>2654</v>
      </c>
      <c r="G17" s="6">
        <v>849</v>
      </c>
      <c r="H17" s="6">
        <v>1805</v>
      </c>
      <c r="I17" s="7" t="s">
        <v>9</v>
      </c>
      <c r="J17" s="410">
        <v>26</v>
      </c>
      <c r="K17" s="410" t="s">
        <v>73</v>
      </c>
      <c r="L17" s="1"/>
      <c r="N17" s="21"/>
    </row>
    <row r="18" spans="3:14" ht="13.5" customHeight="1" thickBot="1" x14ac:dyDescent="0.25">
      <c r="C18" s="6">
        <f t="shared" si="0"/>
        <v>637</v>
      </c>
      <c r="D18" s="6">
        <v>9</v>
      </c>
      <c r="E18" s="6">
        <v>628</v>
      </c>
      <c r="F18" s="6">
        <f t="shared" si="1"/>
        <v>2453</v>
      </c>
      <c r="G18" s="6">
        <v>336</v>
      </c>
      <c r="H18" s="6">
        <v>2117</v>
      </c>
      <c r="I18" s="7" t="s">
        <v>10</v>
      </c>
      <c r="J18" s="411"/>
      <c r="K18" s="411"/>
      <c r="L18" s="1"/>
      <c r="N18" s="21"/>
    </row>
    <row r="19" spans="3:14" ht="13.5" customHeight="1" thickBot="1" x14ac:dyDescent="0.25">
      <c r="C19" s="6">
        <f t="shared" ref="C19" si="18">SUM(C17:C18)</f>
        <v>2243</v>
      </c>
      <c r="D19" s="6">
        <f t="shared" ref="D19" si="19">SUM(D17:D18)</f>
        <v>89</v>
      </c>
      <c r="E19" s="6">
        <f t="shared" ref="E19" si="20">SUM(E17:E18)</f>
        <v>2154</v>
      </c>
      <c r="F19" s="6">
        <f t="shared" ref="F19" si="21">SUM(F17:F18)</f>
        <v>5107</v>
      </c>
      <c r="G19" s="6">
        <f t="shared" ref="G19" si="22">SUM(G17:G18)</f>
        <v>1185</v>
      </c>
      <c r="H19" s="6">
        <f>SUM(H17:H18)</f>
        <v>3922</v>
      </c>
      <c r="I19" s="7" t="s">
        <v>12</v>
      </c>
      <c r="J19" s="412"/>
      <c r="K19" s="412"/>
      <c r="L19" s="1"/>
      <c r="N19" s="21"/>
    </row>
    <row r="20" spans="3:14" ht="13.5" customHeight="1" thickBot="1" x14ac:dyDescent="0.25">
      <c r="C20" s="6">
        <f t="shared" si="0"/>
        <v>1376</v>
      </c>
      <c r="D20" s="6">
        <v>341</v>
      </c>
      <c r="E20" s="6">
        <v>1035</v>
      </c>
      <c r="F20" s="6">
        <f t="shared" si="1"/>
        <v>958</v>
      </c>
      <c r="G20" s="6">
        <v>615</v>
      </c>
      <c r="H20" s="6">
        <v>343</v>
      </c>
      <c r="I20" s="7" t="s">
        <v>9</v>
      </c>
      <c r="J20" s="410">
        <v>9</v>
      </c>
      <c r="K20" s="410" t="s">
        <v>90</v>
      </c>
      <c r="L20" s="1"/>
      <c r="N20" s="21"/>
    </row>
    <row r="21" spans="3:14" ht="13.5" customHeight="1" thickBot="1" x14ac:dyDescent="0.25">
      <c r="C21" s="6">
        <f t="shared" si="0"/>
        <v>3</v>
      </c>
      <c r="D21" s="6">
        <v>3</v>
      </c>
      <c r="E21" s="6">
        <v>0</v>
      </c>
      <c r="F21" s="6">
        <f t="shared" si="1"/>
        <v>0</v>
      </c>
      <c r="G21" s="6">
        <v>0</v>
      </c>
      <c r="H21" s="6">
        <v>0</v>
      </c>
      <c r="I21" s="7" t="s">
        <v>10</v>
      </c>
      <c r="J21" s="411"/>
      <c r="K21" s="411"/>
      <c r="L21" s="1"/>
      <c r="N21" s="21"/>
    </row>
    <row r="22" spans="3:14" ht="13.5" customHeight="1" thickBot="1" x14ac:dyDescent="0.25">
      <c r="C22" s="6">
        <f t="shared" ref="C22" si="23">SUM(C20:C21)</f>
        <v>1379</v>
      </c>
      <c r="D22" s="6">
        <f t="shared" ref="D22" si="24">SUM(D20:D21)</f>
        <v>344</v>
      </c>
      <c r="E22" s="6">
        <f t="shared" ref="E22" si="25">SUM(E20:E21)</f>
        <v>1035</v>
      </c>
      <c r="F22" s="6">
        <f t="shared" ref="F22" si="26">SUM(F20:F21)</f>
        <v>958</v>
      </c>
      <c r="G22" s="6">
        <f t="shared" ref="G22" si="27">SUM(G20:G21)</f>
        <v>615</v>
      </c>
      <c r="H22" s="6">
        <f>SUM(H20:H21)</f>
        <v>343</v>
      </c>
      <c r="I22" s="7" t="s">
        <v>12</v>
      </c>
      <c r="J22" s="412"/>
      <c r="K22" s="412"/>
      <c r="L22" s="1"/>
      <c r="N22" s="21"/>
    </row>
    <row r="23" spans="3:14" ht="13.5" customHeight="1" thickBot="1" x14ac:dyDescent="0.25">
      <c r="C23" s="6">
        <f t="shared" si="0"/>
        <v>1324</v>
      </c>
      <c r="D23" s="6">
        <v>37</v>
      </c>
      <c r="E23" s="6">
        <v>1287</v>
      </c>
      <c r="F23" s="6">
        <f t="shared" si="1"/>
        <v>1243</v>
      </c>
      <c r="G23" s="6">
        <v>574</v>
      </c>
      <c r="H23" s="6">
        <v>669</v>
      </c>
      <c r="I23" s="7" t="s">
        <v>9</v>
      </c>
      <c r="J23" s="410">
        <v>33</v>
      </c>
      <c r="K23" s="410" t="s">
        <v>74</v>
      </c>
      <c r="L23" s="1"/>
      <c r="N23" s="21"/>
    </row>
    <row r="24" spans="3:14" ht="13.5" customHeight="1" thickBot="1" x14ac:dyDescent="0.25">
      <c r="C24" s="6">
        <f t="shared" si="0"/>
        <v>402</v>
      </c>
      <c r="D24" s="6">
        <v>6</v>
      </c>
      <c r="E24" s="6">
        <v>396</v>
      </c>
      <c r="F24" s="6">
        <f t="shared" si="1"/>
        <v>1115</v>
      </c>
      <c r="G24" s="6">
        <v>308</v>
      </c>
      <c r="H24" s="6">
        <v>807</v>
      </c>
      <c r="I24" s="7" t="s">
        <v>10</v>
      </c>
      <c r="J24" s="411"/>
      <c r="K24" s="411"/>
      <c r="L24" s="1"/>
      <c r="N24" s="21"/>
    </row>
    <row r="25" spans="3:14" ht="13.5" customHeight="1" thickBot="1" x14ac:dyDescent="0.25">
      <c r="C25" s="6">
        <f t="shared" ref="C25" si="28">SUM(C23:C24)</f>
        <v>1726</v>
      </c>
      <c r="D25" s="6">
        <f t="shared" ref="D25" si="29">SUM(D23:D24)</f>
        <v>43</v>
      </c>
      <c r="E25" s="6">
        <f t="shared" ref="E25" si="30">SUM(E23:E24)</f>
        <v>1683</v>
      </c>
      <c r="F25" s="6">
        <f t="shared" ref="F25" si="31">SUM(F23:F24)</f>
        <v>2358</v>
      </c>
      <c r="G25" s="6">
        <f t="shared" ref="G25" si="32">SUM(G23:G24)</f>
        <v>882</v>
      </c>
      <c r="H25" s="6">
        <f>SUM(H23:H24)</f>
        <v>1476</v>
      </c>
      <c r="I25" s="7" t="s">
        <v>12</v>
      </c>
      <c r="J25" s="412"/>
      <c r="K25" s="412"/>
      <c r="L25" s="1"/>
      <c r="N25" s="21"/>
    </row>
    <row r="26" spans="3:14" ht="13.5" customHeight="1" thickBot="1" x14ac:dyDescent="0.25">
      <c r="C26" s="6">
        <f t="shared" si="0"/>
        <v>681</v>
      </c>
      <c r="D26" s="6">
        <v>12</v>
      </c>
      <c r="E26" s="6">
        <v>669</v>
      </c>
      <c r="F26" s="6">
        <f t="shared" si="1"/>
        <v>1342</v>
      </c>
      <c r="G26" s="6">
        <v>752</v>
      </c>
      <c r="H26" s="6">
        <v>590</v>
      </c>
      <c r="I26" s="7" t="s">
        <v>9</v>
      </c>
      <c r="J26" s="410">
        <v>38</v>
      </c>
      <c r="K26" s="410" t="s">
        <v>75</v>
      </c>
      <c r="L26" s="1"/>
      <c r="N26" s="21"/>
    </row>
    <row r="27" spans="3:14" ht="13.5" customHeight="1" thickBot="1" x14ac:dyDescent="0.25">
      <c r="C27" s="6">
        <f t="shared" si="0"/>
        <v>234</v>
      </c>
      <c r="D27" s="6">
        <v>0</v>
      </c>
      <c r="E27" s="6">
        <v>234</v>
      </c>
      <c r="F27" s="6">
        <f t="shared" si="1"/>
        <v>642</v>
      </c>
      <c r="G27" s="6">
        <v>342</v>
      </c>
      <c r="H27" s="6">
        <v>300</v>
      </c>
      <c r="I27" s="7" t="s">
        <v>10</v>
      </c>
      <c r="J27" s="411"/>
      <c r="K27" s="411"/>
      <c r="L27" s="1"/>
      <c r="N27" s="21"/>
    </row>
    <row r="28" spans="3:14" ht="13.5" customHeight="1" thickBot="1" x14ac:dyDescent="0.25">
      <c r="C28" s="6">
        <f t="shared" ref="C28" si="33">SUM(C26:C27)</f>
        <v>915</v>
      </c>
      <c r="D28" s="6">
        <f t="shared" ref="D28" si="34">SUM(D26:D27)</f>
        <v>12</v>
      </c>
      <c r="E28" s="6">
        <f t="shared" ref="E28" si="35">SUM(E26:E27)</f>
        <v>903</v>
      </c>
      <c r="F28" s="6">
        <f t="shared" ref="F28" si="36">SUM(F26:F27)</f>
        <v>1984</v>
      </c>
      <c r="G28" s="6">
        <f t="shared" ref="G28" si="37">SUM(G26:G27)</f>
        <v>1094</v>
      </c>
      <c r="H28" s="6">
        <f>SUM(H26:H27)</f>
        <v>890</v>
      </c>
      <c r="I28" s="7" t="s">
        <v>12</v>
      </c>
      <c r="J28" s="412"/>
      <c r="K28" s="412"/>
      <c r="L28" s="1"/>
      <c r="N28" s="21"/>
    </row>
    <row r="29" spans="3:14" ht="13.5" customHeight="1" thickBot="1" x14ac:dyDescent="0.25">
      <c r="C29" s="6">
        <f t="shared" si="0"/>
        <v>834</v>
      </c>
      <c r="D29" s="6">
        <v>40</v>
      </c>
      <c r="E29" s="6">
        <v>794</v>
      </c>
      <c r="F29" s="6">
        <f t="shared" si="1"/>
        <v>1207</v>
      </c>
      <c r="G29" s="6">
        <v>602</v>
      </c>
      <c r="H29" s="6">
        <v>605</v>
      </c>
      <c r="I29" s="7" t="s">
        <v>9</v>
      </c>
      <c r="J29" s="410">
        <v>26</v>
      </c>
      <c r="K29" s="410" t="s">
        <v>100</v>
      </c>
      <c r="L29" s="1"/>
      <c r="N29" s="21"/>
    </row>
    <row r="30" spans="3:14" ht="13.5" customHeight="1" thickBot="1" x14ac:dyDescent="0.25">
      <c r="C30" s="6">
        <f t="shared" si="0"/>
        <v>233</v>
      </c>
      <c r="D30" s="6">
        <v>19</v>
      </c>
      <c r="E30" s="6">
        <v>214</v>
      </c>
      <c r="F30" s="6">
        <f t="shared" si="1"/>
        <v>554</v>
      </c>
      <c r="G30" s="6">
        <v>255</v>
      </c>
      <c r="H30" s="6">
        <v>299</v>
      </c>
      <c r="I30" s="7" t="s">
        <v>10</v>
      </c>
      <c r="J30" s="411"/>
      <c r="K30" s="411"/>
      <c r="L30" s="1"/>
    </row>
    <row r="31" spans="3:14" ht="13.5" customHeight="1" thickBot="1" x14ac:dyDescent="0.25">
      <c r="C31" s="6">
        <f t="shared" ref="C31" si="38">SUM(C29:C30)</f>
        <v>1067</v>
      </c>
      <c r="D31" s="6">
        <f t="shared" ref="D31" si="39">SUM(D29:D30)</f>
        <v>59</v>
      </c>
      <c r="E31" s="6">
        <f t="shared" ref="E31" si="40">SUM(E29:E30)</f>
        <v>1008</v>
      </c>
      <c r="F31" s="6">
        <f t="shared" ref="F31" si="41">SUM(F29:F30)</f>
        <v>1761</v>
      </c>
      <c r="G31" s="6">
        <f t="shared" ref="G31" si="42">SUM(G29:G30)</f>
        <v>857</v>
      </c>
      <c r="H31" s="6">
        <f>SUM(H29:H30)</f>
        <v>904</v>
      </c>
      <c r="I31" s="7" t="s">
        <v>12</v>
      </c>
      <c r="J31" s="412"/>
      <c r="K31" s="412"/>
      <c r="L31" s="1"/>
    </row>
    <row r="32" spans="3:14" ht="13.5" customHeight="1" thickBot="1" x14ac:dyDescent="0.25">
      <c r="C32" s="6">
        <f t="shared" si="0"/>
        <v>481</v>
      </c>
      <c r="D32" s="6">
        <v>13</v>
      </c>
      <c r="E32" s="6">
        <v>468</v>
      </c>
      <c r="F32" s="6">
        <f t="shared" si="1"/>
        <v>792</v>
      </c>
      <c r="G32" s="6">
        <v>471</v>
      </c>
      <c r="H32" s="6">
        <v>321</v>
      </c>
      <c r="I32" s="7" t="s">
        <v>9</v>
      </c>
      <c r="J32" s="410">
        <v>25</v>
      </c>
      <c r="K32" s="410" t="s">
        <v>76</v>
      </c>
      <c r="L32" s="1"/>
    </row>
    <row r="33" spans="3:12" ht="13.5" customHeight="1" thickBot="1" x14ac:dyDescent="0.25">
      <c r="C33" s="6">
        <f t="shared" si="0"/>
        <v>272</v>
      </c>
      <c r="D33" s="6">
        <v>0</v>
      </c>
      <c r="E33" s="6">
        <v>272</v>
      </c>
      <c r="F33" s="6">
        <f t="shared" si="1"/>
        <v>736</v>
      </c>
      <c r="G33" s="6">
        <v>272</v>
      </c>
      <c r="H33" s="6">
        <v>464</v>
      </c>
      <c r="I33" s="7" t="s">
        <v>10</v>
      </c>
      <c r="J33" s="411"/>
      <c r="K33" s="411"/>
      <c r="L33" s="1"/>
    </row>
    <row r="34" spans="3:12" ht="13.5" customHeight="1" thickBot="1" x14ac:dyDescent="0.25">
      <c r="C34" s="6">
        <f t="shared" ref="C34" si="43">SUM(C32:C33)</f>
        <v>753</v>
      </c>
      <c r="D34" s="6">
        <f t="shared" ref="D34" si="44">SUM(D32:D33)</f>
        <v>13</v>
      </c>
      <c r="E34" s="6">
        <f t="shared" ref="E34" si="45">SUM(E32:E33)</f>
        <v>740</v>
      </c>
      <c r="F34" s="6">
        <f t="shared" ref="F34" si="46">SUM(F32:F33)</f>
        <v>1528</v>
      </c>
      <c r="G34" s="6">
        <f t="shared" ref="G34" si="47">SUM(G32:G33)</f>
        <v>743</v>
      </c>
      <c r="H34" s="6">
        <f>SUM(H32:H33)</f>
        <v>785</v>
      </c>
      <c r="I34" s="7" t="s">
        <v>12</v>
      </c>
      <c r="J34" s="412"/>
      <c r="K34" s="412"/>
      <c r="L34" s="1"/>
    </row>
    <row r="35" spans="3:12" ht="13.5" customHeight="1" thickBot="1" x14ac:dyDescent="0.25">
      <c r="C35" s="6">
        <f t="shared" si="0"/>
        <v>399</v>
      </c>
      <c r="D35" s="6">
        <v>7</v>
      </c>
      <c r="E35" s="6">
        <v>392</v>
      </c>
      <c r="F35" s="6">
        <f t="shared" si="1"/>
        <v>907</v>
      </c>
      <c r="G35" s="6">
        <v>524</v>
      </c>
      <c r="H35" s="6">
        <v>383</v>
      </c>
      <c r="I35" s="7" t="s">
        <v>9</v>
      </c>
      <c r="J35" s="410">
        <v>18</v>
      </c>
      <c r="K35" s="410" t="s">
        <v>77</v>
      </c>
      <c r="L35" s="1"/>
    </row>
    <row r="36" spans="3:12" ht="13.5" customHeight="1" thickBot="1" x14ac:dyDescent="0.25">
      <c r="C36" s="6">
        <f t="shared" si="0"/>
        <v>195</v>
      </c>
      <c r="D36" s="6">
        <v>0</v>
      </c>
      <c r="E36" s="6">
        <v>195</v>
      </c>
      <c r="F36" s="6">
        <f t="shared" si="1"/>
        <v>570</v>
      </c>
      <c r="G36" s="6">
        <v>202</v>
      </c>
      <c r="H36" s="6">
        <v>368</v>
      </c>
      <c r="I36" s="7" t="s">
        <v>10</v>
      </c>
      <c r="J36" s="411"/>
      <c r="K36" s="411"/>
      <c r="L36" s="1"/>
    </row>
    <row r="37" spans="3:12" ht="13.5" customHeight="1" thickBot="1" x14ac:dyDescent="0.25">
      <c r="C37" s="6">
        <f t="shared" ref="C37" si="48">SUM(C35:C36)</f>
        <v>594</v>
      </c>
      <c r="D37" s="6">
        <f t="shared" ref="D37" si="49">SUM(D35:D36)</f>
        <v>7</v>
      </c>
      <c r="E37" s="6">
        <f t="shared" ref="E37" si="50">SUM(E35:E36)</f>
        <v>587</v>
      </c>
      <c r="F37" s="6">
        <f t="shared" ref="F37" si="51">SUM(F35:F36)</f>
        <v>1477</v>
      </c>
      <c r="G37" s="6">
        <f t="shared" ref="G37" si="52">SUM(G35:G36)</f>
        <v>726</v>
      </c>
      <c r="H37" s="6">
        <f>SUM(H35:H36)</f>
        <v>751</v>
      </c>
      <c r="I37" s="7" t="s">
        <v>12</v>
      </c>
      <c r="J37" s="412"/>
      <c r="K37" s="412"/>
      <c r="L37" s="1"/>
    </row>
    <row r="38" spans="3:12" ht="13.5" customHeight="1" thickBot="1" x14ac:dyDescent="0.25">
      <c r="C38" s="6">
        <f t="shared" si="0"/>
        <v>7</v>
      </c>
      <c r="D38" s="6">
        <v>2</v>
      </c>
      <c r="E38" s="6">
        <v>5</v>
      </c>
      <c r="F38" s="6">
        <f t="shared" si="1"/>
        <v>290</v>
      </c>
      <c r="G38" s="6">
        <v>58</v>
      </c>
      <c r="H38" s="6">
        <v>232</v>
      </c>
      <c r="I38" s="7" t="s">
        <v>9</v>
      </c>
      <c r="J38" s="410">
        <v>7</v>
      </c>
      <c r="K38" s="410" t="s">
        <v>148</v>
      </c>
      <c r="L38" s="1"/>
    </row>
    <row r="39" spans="3:12" ht="13.5" customHeight="1" thickBot="1" x14ac:dyDescent="0.25">
      <c r="C39" s="6">
        <f t="shared" si="0"/>
        <v>74</v>
      </c>
      <c r="D39" s="6">
        <v>18</v>
      </c>
      <c r="E39" s="6">
        <v>56</v>
      </c>
      <c r="F39" s="6">
        <f t="shared" si="1"/>
        <v>189</v>
      </c>
      <c r="G39" s="6">
        <v>67</v>
      </c>
      <c r="H39" s="6">
        <v>122</v>
      </c>
      <c r="I39" s="7" t="s">
        <v>10</v>
      </c>
      <c r="J39" s="411"/>
      <c r="K39" s="411"/>
      <c r="L39" s="1"/>
    </row>
    <row r="40" spans="3:12" ht="13.5" customHeight="1" thickBot="1" x14ac:dyDescent="0.25">
      <c r="C40" s="6">
        <f t="shared" ref="C40" si="53">SUM(C38:C39)</f>
        <v>81</v>
      </c>
      <c r="D40" s="6">
        <f t="shared" ref="D40" si="54">SUM(D38:D39)</f>
        <v>20</v>
      </c>
      <c r="E40" s="6">
        <f t="shared" ref="E40" si="55">SUM(E38:E39)</f>
        <v>61</v>
      </c>
      <c r="F40" s="6">
        <f t="shared" ref="F40" si="56">SUM(F38:F39)</f>
        <v>479</v>
      </c>
      <c r="G40" s="6">
        <f t="shared" ref="G40" si="57">SUM(G38:G39)</f>
        <v>125</v>
      </c>
      <c r="H40" s="6">
        <f>SUM(H38:H39)</f>
        <v>354</v>
      </c>
      <c r="I40" s="7" t="s">
        <v>12</v>
      </c>
      <c r="J40" s="412"/>
      <c r="K40" s="412"/>
      <c r="L40" s="1"/>
    </row>
    <row r="41" spans="3:12" ht="13.5" customHeight="1" thickBot="1" x14ac:dyDescent="0.25">
      <c r="C41" s="6">
        <f t="shared" si="0"/>
        <v>333</v>
      </c>
      <c r="D41" s="6">
        <v>17</v>
      </c>
      <c r="E41" s="6">
        <v>316</v>
      </c>
      <c r="F41" s="6">
        <f t="shared" si="1"/>
        <v>1061</v>
      </c>
      <c r="G41" s="6">
        <v>649</v>
      </c>
      <c r="H41" s="6">
        <v>412</v>
      </c>
      <c r="I41" s="7" t="s">
        <v>9</v>
      </c>
      <c r="J41" s="410">
        <v>14</v>
      </c>
      <c r="K41" s="410" t="s">
        <v>106</v>
      </c>
      <c r="L41" s="1"/>
    </row>
    <row r="42" spans="3:12" ht="13.5" customHeight="1" thickBot="1" x14ac:dyDescent="0.25">
      <c r="C42" s="6">
        <f t="shared" si="0"/>
        <v>114</v>
      </c>
      <c r="D42" s="6">
        <v>0</v>
      </c>
      <c r="E42" s="6">
        <v>114</v>
      </c>
      <c r="F42" s="6">
        <f t="shared" si="1"/>
        <v>412</v>
      </c>
      <c r="G42" s="6">
        <v>270</v>
      </c>
      <c r="H42" s="6">
        <v>142</v>
      </c>
      <c r="I42" s="7" t="s">
        <v>10</v>
      </c>
      <c r="J42" s="411"/>
      <c r="K42" s="411"/>
      <c r="L42" s="1"/>
    </row>
    <row r="43" spans="3:12" ht="13.5" customHeight="1" thickBot="1" x14ac:dyDescent="0.25">
      <c r="C43" s="6">
        <f t="shared" ref="C43" si="58">SUM(C41:C42)</f>
        <v>447</v>
      </c>
      <c r="D43" s="6">
        <f t="shared" ref="D43" si="59">SUM(D41:D42)</f>
        <v>17</v>
      </c>
      <c r="E43" s="6">
        <f t="shared" ref="E43" si="60">SUM(E41:E42)</f>
        <v>430</v>
      </c>
      <c r="F43" s="6">
        <f t="shared" ref="F43" si="61">SUM(F41:F42)</f>
        <v>1473</v>
      </c>
      <c r="G43" s="6">
        <f t="shared" ref="G43" si="62">SUM(G41:G42)</f>
        <v>919</v>
      </c>
      <c r="H43" s="6">
        <f>SUM(H41:H42)</f>
        <v>554</v>
      </c>
      <c r="I43" s="7" t="s">
        <v>12</v>
      </c>
      <c r="J43" s="412"/>
      <c r="K43" s="412"/>
      <c r="L43" s="1"/>
    </row>
    <row r="44" spans="3:12" ht="13.5" customHeight="1" thickBot="1" x14ac:dyDescent="0.25">
      <c r="C44" s="6">
        <f t="shared" si="0"/>
        <v>264</v>
      </c>
      <c r="D44" s="6">
        <v>1</v>
      </c>
      <c r="E44" s="6">
        <v>263</v>
      </c>
      <c r="F44" s="6">
        <f t="shared" si="1"/>
        <v>690</v>
      </c>
      <c r="G44" s="6">
        <v>454</v>
      </c>
      <c r="H44" s="6">
        <v>236</v>
      </c>
      <c r="I44" s="7" t="s">
        <v>9</v>
      </c>
      <c r="J44" s="410">
        <v>10</v>
      </c>
      <c r="K44" s="410" t="s">
        <v>109</v>
      </c>
      <c r="L44" s="1"/>
    </row>
    <row r="45" spans="3:12" ht="13.5" customHeight="1" thickBot="1" x14ac:dyDescent="0.25">
      <c r="C45" s="6">
        <f t="shared" si="0"/>
        <v>100</v>
      </c>
      <c r="D45" s="6">
        <v>0</v>
      </c>
      <c r="E45" s="6">
        <v>100</v>
      </c>
      <c r="F45" s="6">
        <f t="shared" si="1"/>
        <v>597</v>
      </c>
      <c r="G45" s="6">
        <v>302</v>
      </c>
      <c r="H45" s="6">
        <v>295</v>
      </c>
      <c r="I45" s="7" t="s">
        <v>10</v>
      </c>
      <c r="J45" s="411"/>
      <c r="K45" s="411"/>
      <c r="L45" s="1"/>
    </row>
    <row r="46" spans="3:12" ht="13.5" customHeight="1" thickBot="1" x14ac:dyDescent="0.25">
      <c r="C46" s="6">
        <f t="shared" ref="C46" si="63">SUM(C44:C45)</f>
        <v>364</v>
      </c>
      <c r="D46" s="6">
        <f t="shared" ref="D46" si="64">SUM(D44:D45)</f>
        <v>1</v>
      </c>
      <c r="E46" s="6">
        <f t="shared" ref="E46" si="65">SUM(E44:E45)</f>
        <v>363</v>
      </c>
      <c r="F46" s="6">
        <f t="shared" ref="F46" si="66">SUM(F44:F45)</f>
        <v>1287</v>
      </c>
      <c r="G46" s="6">
        <f t="shared" ref="G46" si="67">SUM(G44:G45)</f>
        <v>756</v>
      </c>
      <c r="H46" s="6">
        <f>SUM(H44:H45)</f>
        <v>531</v>
      </c>
      <c r="I46" s="7" t="s">
        <v>12</v>
      </c>
      <c r="J46" s="412"/>
      <c r="K46" s="412"/>
      <c r="L46" s="1"/>
    </row>
    <row r="47" spans="3:12" ht="13.5" customHeight="1" thickBot="1" x14ac:dyDescent="0.25">
      <c r="C47" s="6">
        <f t="shared" si="0"/>
        <v>218</v>
      </c>
      <c r="D47" s="6">
        <v>0</v>
      </c>
      <c r="E47" s="6">
        <v>218</v>
      </c>
      <c r="F47" s="6">
        <f t="shared" si="1"/>
        <v>376</v>
      </c>
      <c r="G47" s="6">
        <v>261</v>
      </c>
      <c r="H47" s="6">
        <v>115</v>
      </c>
      <c r="I47" s="7" t="s">
        <v>9</v>
      </c>
      <c r="J47" s="410">
        <v>15</v>
      </c>
      <c r="K47" s="410" t="s">
        <v>111</v>
      </c>
      <c r="L47" s="1"/>
    </row>
    <row r="48" spans="3:12" ht="13.5" customHeight="1" thickBot="1" x14ac:dyDescent="0.25">
      <c r="C48" s="6">
        <f t="shared" si="0"/>
        <v>55</v>
      </c>
      <c r="D48" s="6">
        <v>0</v>
      </c>
      <c r="E48" s="6">
        <v>55</v>
      </c>
      <c r="F48" s="6">
        <f t="shared" si="1"/>
        <v>272</v>
      </c>
      <c r="G48" s="6">
        <v>124</v>
      </c>
      <c r="H48" s="6">
        <v>148</v>
      </c>
      <c r="I48" s="7" t="s">
        <v>10</v>
      </c>
      <c r="J48" s="411"/>
      <c r="K48" s="411"/>
      <c r="L48" s="1"/>
    </row>
    <row r="49" spans="3:12" ht="13.5" customHeight="1" thickBot="1" x14ac:dyDescent="0.25">
      <c r="C49" s="6">
        <f t="shared" ref="C49" si="68">SUM(C47:C48)</f>
        <v>273</v>
      </c>
      <c r="D49" s="6">
        <f t="shared" ref="D49" si="69">SUM(D47:D48)</f>
        <v>0</v>
      </c>
      <c r="E49" s="6">
        <f t="shared" ref="E49" si="70">SUM(E47:E48)</f>
        <v>273</v>
      </c>
      <c r="F49" s="6">
        <f t="shared" ref="F49" si="71">SUM(F47:F48)</f>
        <v>648</v>
      </c>
      <c r="G49" s="6">
        <f t="shared" ref="G49" si="72">SUM(G47:G48)</f>
        <v>385</v>
      </c>
      <c r="H49" s="6">
        <f>SUM(H47:H48)</f>
        <v>263</v>
      </c>
      <c r="I49" s="7" t="s">
        <v>12</v>
      </c>
      <c r="J49" s="412"/>
      <c r="K49" s="412"/>
      <c r="L49" s="1"/>
    </row>
    <row r="50" spans="3:12" ht="13.5" customHeight="1" thickBot="1" x14ac:dyDescent="0.25">
      <c r="C50" s="6">
        <f t="shared" si="0"/>
        <v>204</v>
      </c>
      <c r="D50" s="6">
        <v>4</v>
      </c>
      <c r="E50" s="6">
        <v>200</v>
      </c>
      <c r="F50" s="6">
        <f t="shared" si="1"/>
        <v>332</v>
      </c>
      <c r="G50" s="6">
        <v>176</v>
      </c>
      <c r="H50" s="6">
        <v>156</v>
      </c>
      <c r="I50" s="7" t="s">
        <v>9</v>
      </c>
      <c r="J50" s="410">
        <v>12</v>
      </c>
      <c r="K50" s="410" t="s">
        <v>115</v>
      </c>
      <c r="L50" s="1"/>
    </row>
    <row r="51" spans="3:12" ht="13.5" customHeight="1" thickBot="1" x14ac:dyDescent="0.25">
      <c r="C51" s="6">
        <f t="shared" si="0"/>
        <v>113</v>
      </c>
      <c r="D51" s="6">
        <v>0</v>
      </c>
      <c r="E51" s="6">
        <v>113</v>
      </c>
      <c r="F51" s="6">
        <f t="shared" si="1"/>
        <v>358</v>
      </c>
      <c r="G51" s="6">
        <v>87</v>
      </c>
      <c r="H51" s="6">
        <v>271</v>
      </c>
      <c r="I51" s="7" t="s">
        <v>10</v>
      </c>
      <c r="J51" s="411"/>
      <c r="K51" s="411"/>
      <c r="L51" s="1"/>
    </row>
    <row r="52" spans="3:12" ht="13.5" customHeight="1" thickBot="1" x14ac:dyDescent="0.25">
      <c r="C52" s="6">
        <f t="shared" ref="C52" si="73">SUM(C50:C51)</f>
        <v>317</v>
      </c>
      <c r="D52" s="6">
        <f t="shared" ref="D52" si="74">SUM(D50:D51)</f>
        <v>4</v>
      </c>
      <c r="E52" s="6">
        <f t="shared" ref="E52" si="75">SUM(E50:E51)</f>
        <v>313</v>
      </c>
      <c r="F52" s="6">
        <f t="shared" ref="F52" si="76">SUM(F50:F51)</f>
        <v>690</v>
      </c>
      <c r="G52" s="6">
        <f t="shared" ref="G52" si="77">SUM(G50:G51)</f>
        <v>263</v>
      </c>
      <c r="H52" s="6">
        <f>SUM(H50:H51)</f>
        <v>427</v>
      </c>
      <c r="I52" s="7" t="s">
        <v>12</v>
      </c>
      <c r="J52" s="412"/>
      <c r="K52" s="412"/>
      <c r="L52" s="1"/>
    </row>
    <row r="53" spans="3:12" ht="13.5" customHeight="1" thickBot="1" x14ac:dyDescent="0.25">
      <c r="C53" s="6">
        <f t="shared" si="0"/>
        <v>226</v>
      </c>
      <c r="D53" s="6">
        <v>0</v>
      </c>
      <c r="E53" s="6">
        <v>226</v>
      </c>
      <c r="F53" s="6">
        <f t="shared" si="1"/>
        <v>331</v>
      </c>
      <c r="G53" s="6">
        <v>231</v>
      </c>
      <c r="H53" s="6">
        <v>100</v>
      </c>
      <c r="I53" s="7" t="s">
        <v>9</v>
      </c>
      <c r="J53" s="410">
        <v>11</v>
      </c>
      <c r="K53" s="410" t="s">
        <v>117</v>
      </c>
      <c r="L53" s="1"/>
    </row>
    <row r="54" spans="3:12" ht="13.5" customHeight="1" thickBot="1" x14ac:dyDescent="0.25">
      <c r="C54" s="6">
        <f t="shared" si="0"/>
        <v>69</v>
      </c>
      <c r="D54" s="6">
        <v>0</v>
      </c>
      <c r="E54" s="6">
        <v>69</v>
      </c>
      <c r="F54" s="6">
        <f t="shared" si="1"/>
        <v>206</v>
      </c>
      <c r="G54" s="6">
        <v>115</v>
      </c>
      <c r="H54" s="6">
        <v>91</v>
      </c>
      <c r="I54" s="7" t="s">
        <v>10</v>
      </c>
      <c r="J54" s="411"/>
      <c r="K54" s="411"/>
      <c r="L54" s="1"/>
    </row>
    <row r="55" spans="3:12" ht="13.5" customHeight="1" thickBot="1" x14ac:dyDescent="0.25">
      <c r="C55" s="6">
        <f t="shared" ref="C55" si="78">SUM(C53:C54)</f>
        <v>295</v>
      </c>
      <c r="D55" s="6">
        <f t="shared" ref="D55" si="79">SUM(D53:D54)</f>
        <v>0</v>
      </c>
      <c r="E55" s="6">
        <f t="shared" ref="E55" si="80">SUM(E53:E54)</f>
        <v>295</v>
      </c>
      <c r="F55" s="6">
        <f t="shared" ref="F55" si="81">SUM(F53:F54)</f>
        <v>537</v>
      </c>
      <c r="G55" s="6">
        <f t="shared" ref="G55" si="82">SUM(G53:G54)</f>
        <v>346</v>
      </c>
      <c r="H55" s="6">
        <f>SUM(H53:H54)</f>
        <v>191</v>
      </c>
      <c r="I55" s="7" t="s">
        <v>12</v>
      </c>
      <c r="J55" s="412"/>
      <c r="K55" s="412"/>
      <c r="L55" s="1"/>
    </row>
    <row r="56" spans="3:12" ht="13.5" customHeight="1" thickBot="1" x14ac:dyDescent="0.25">
      <c r="C56" s="6">
        <f t="shared" si="0"/>
        <v>191</v>
      </c>
      <c r="D56" s="6">
        <v>0</v>
      </c>
      <c r="E56" s="6">
        <v>191</v>
      </c>
      <c r="F56" s="6">
        <f t="shared" si="1"/>
        <v>309</v>
      </c>
      <c r="G56" s="6">
        <v>156</v>
      </c>
      <c r="H56" s="6">
        <v>153</v>
      </c>
      <c r="I56" s="7" t="s">
        <v>9</v>
      </c>
      <c r="J56" s="410">
        <v>10</v>
      </c>
      <c r="K56" s="410" t="s">
        <v>119</v>
      </c>
      <c r="L56" s="1"/>
    </row>
    <row r="57" spans="3:12" ht="13.5" customHeight="1" thickBot="1" x14ac:dyDescent="0.25">
      <c r="C57" s="6">
        <f t="shared" si="0"/>
        <v>26</v>
      </c>
      <c r="D57" s="6">
        <v>0</v>
      </c>
      <c r="E57" s="6">
        <v>26</v>
      </c>
      <c r="F57" s="6">
        <f t="shared" si="1"/>
        <v>148</v>
      </c>
      <c r="G57" s="6">
        <v>52</v>
      </c>
      <c r="H57" s="6">
        <v>96</v>
      </c>
      <c r="I57" s="7" t="s">
        <v>10</v>
      </c>
      <c r="J57" s="411"/>
      <c r="K57" s="411"/>
      <c r="L57" s="1"/>
    </row>
    <row r="58" spans="3:12" ht="13.5" customHeight="1" thickBot="1" x14ac:dyDescent="0.25">
      <c r="C58" s="6">
        <f t="shared" ref="C58" si="83">SUM(C56:C57)</f>
        <v>217</v>
      </c>
      <c r="D58" s="6">
        <f t="shared" ref="D58" si="84">SUM(D56:D57)</f>
        <v>0</v>
      </c>
      <c r="E58" s="6">
        <f t="shared" ref="E58" si="85">SUM(E56:E57)</f>
        <v>217</v>
      </c>
      <c r="F58" s="6">
        <f t="shared" ref="F58" si="86">SUM(F56:F57)</f>
        <v>457</v>
      </c>
      <c r="G58" s="6">
        <f t="shared" ref="G58" si="87">SUM(G56:G57)</f>
        <v>208</v>
      </c>
      <c r="H58" s="6">
        <f>SUM(H56:H57)</f>
        <v>249</v>
      </c>
      <c r="I58" s="7" t="s">
        <v>12</v>
      </c>
      <c r="J58" s="412"/>
      <c r="K58" s="412"/>
      <c r="L58" s="1"/>
    </row>
    <row r="59" spans="3:12" ht="13.5" customHeight="1" thickBot="1" x14ac:dyDescent="0.25">
      <c r="C59" s="6">
        <f t="shared" si="0"/>
        <v>155</v>
      </c>
      <c r="D59" s="6">
        <v>2</v>
      </c>
      <c r="E59" s="6">
        <v>153</v>
      </c>
      <c r="F59" s="6">
        <f t="shared" si="1"/>
        <v>32</v>
      </c>
      <c r="G59" s="6">
        <v>32</v>
      </c>
      <c r="H59" s="6">
        <v>0</v>
      </c>
      <c r="I59" s="7" t="s">
        <v>9</v>
      </c>
      <c r="J59" s="410">
        <v>33</v>
      </c>
      <c r="K59" s="410" t="s">
        <v>121</v>
      </c>
      <c r="L59" s="1"/>
    </row>
    <row r="60" spans="3:12" ht="13.5" customHeight="1" thickBot="1" x14ac:dyDescent="0.25">
      <c r="C60" s="6">
        <f t="shared" si="0"/>
        <v>1048</v>
      </c>
      <c r="D60" s="6">
        <v>0</v>
      </c>
      <c r="E60" s="6">
        <v>1048</v>
      </c>
      <c r="F60" s="6">
        <f t="shared" si="1"/>
        <v>891</v>
      </c>
      <c r="G60" s="6">
        <v>31</v>
      </c>
      <c r="H60" s="6">
        <v>860</v>
      </c>
      <c r="I60" s="7" t="s">
        <v>10</v>
      </c>
      <c r="J60" s="411"/>
      <c r="K60" s="411"/>
      <c r="L60" s="1"/>
    </row>
    <row r="61" spans="3:12" ht="13.5" customHeight="1" thickBot="1" x14ac:dyDescent="0.25">
      <c r="C61" s="6">
        <f t="shared" ref="C61" si="88">SUM(C59:C60)</f>
        <v>1203</v>
      </c>
      <c r="D61" s="6">
        <f t="shared" ref="D61" si="89">SUM(D59:D60)</f>
        <v>2</v>
      </c>
      <c r="E61" s="6">
        <f t="shared" ref="E61" si="90">SUM(E59:E60)</f>
        <v>1201</v>
      </c>
      <c r="F61" s="6">
        <f t="shared" ref="F61" si="91">SUM(F59:F60)</f>
        <v>923</v>
      </c>
      <c r="G61" s="6">
        <f t="shared" ref="G61" si="92">SUM(G59:G60)</f>
        <v>63</v>
      </c>
      <c r="H61" s="6">
        <f>SUM(H59:H60)</f>
        <v>860</v>
      </c>
      <c r="I61" s="7" t="s">
        <v>12</v>
      </c>
      <c r="J61" s="412"/>
      <c r="K61" s="412"/>
      <c r="L61" s="1"/>
    </row>
    <row r="62" spans="3:12" ht="13.5" customHeight="1" thickBot="1" x14ac:dyDescent="0.25">
      <c r="C62" s="6">
        <f t="shared" si="0"/>
        <v>132</v>
      </c>
      <c r="D62" s="6">
        <v>1</v>
      </c>
      <c r="E62" s="6">
        <v>131</v>
      </c>
      <c r="F62" s="6">
        <f t="shared" si="1"/>
        <v>203</v>
      </c>
      <c r="G62" s="6">
        <v>111</v>
      </c>
      <c r="H62" s="6">
        <v>92</v>
      </c>
      <c r="I62" s="7" t="s">
        <v>9</v>
      </c>
      <c r="J62" s="410">
        <v>12</v>
      </c>
      <c r="K62" s="410" t="s">
        <v>149</v>
      </c>
      <c r="L62" s="1"/>
    </row>
    <row r="63" spans="3:12" ht="13.5" customHeight="1" thickBot="1" x14ac:dyDescent="0.25">
      <c r="C63" s="6">
        <f t="shared" si="0"/>
        <v>23</v>
      </c>
      <c r="D63" s="6">
        <v>1</v>
      </c>
      <c r="E63" s="6">
        <v>22</v>
      </c>
      <c r="F63" s="6">
        <f t="shared" si="1"/>
        <v>153</v>
      </c>
      <c r="G63" s="6">
        <v>81</v>
      </c>
      <c r="H63" s="6">
        <v>72</v>
      </c>
      <c r="I63" s="7" t="s">
        <v>10</v>
      </c>
      <c r="J63" s="411"/>
      <c r="K63" s="411"/>
      <c r="L63" s="1"/>
    </row>
    <row r="64" spans="3:12" ht="13.5" customHeight="1" thickBot="1" x14ac:dyDescent="0.25">
      <c r="C64" s="6">
        <f t="shared" ref="C64" si="93">SUM(C62:C63)</f>
        <v>155</v>
      </c>
      <c r="D64" s="6">
        <f t="shared" ref="D64" si="94">SUM(D62:D63)</f>
        <v>2</v>
      </c>
      <c r="E64" s="6">
        <f t="shared" ref="E64" si="95">SUM(E62:E63)</f>
        <v>153</v>
      </c>
      <c r="F64" s="6">
        <f t="shared" ref="F64" si="96">SUM(F62:F63)</f>
        <v>356</v>
      </c>
      <c r="G64" s="6">
        <f t="shared" ref="G64" si="97">SUM(G62:G63)</f>
        <v>192</v>
      </c>
      <c r="H64" s="6">
        <f>SUM(H62:H63)</f>
        <v>164</v>
      </c>
      <c r="I64" s="7" t="s">
        <v>12</v>
      </c>
      <c r="J64" s="412"/>
      <c r="K64" s="412"/>
      <c r="L64" s="1"/>
    </row>
    <row r="65" spans="3:12" ht="13.5" customHeight="1" thickBot="1" x14ac:dyDescent="0.25">
      <c r="C65" s="6">
        <f t="shared" ref="C65:G67" si="98">C5+C8+C11+C14+C17+C20+C23+C26+C29+C32+C35+C38+C41+C44+C47+C50+C53+C56+C59+C62</f>
        <v>14905</v>
      </c>
      <c r="D65" s="6">
        <f t="shared" si="98"/>
        <v>740</v>
      </c>
      <c r="E65" s="6">
        <f t="shared" si="98"/>
        <v>14165</v>
      </c>
      <c r="F65" s="6">
        <f t="shared" si="98"/>
        <v>21643</v>
      </c>
      <c r="G65" s="6">
        <f t="shared" si="98"/>
        <v>9314</v>
      </c>
      <c r="H65" s="6">
        <f>H5+H8+H11+H14+H17+H20+H23+H26+H29+H32+H35+H38+H41+H44+H47+H50+H53+H56+H59+H62</f>
        <v>12329</v>
      </c>
      <c r="I65" s="4" t="s">
        <v>26</v>
      </c>
      <c r="J65" s="419">
        <f>J5+J8+J11+J14+J17+J20+J23+J26+J29+J32+J35+J38+J41+J44+J47+J50+J53+J56+J59+J62</f>
        <v>395</v>
      </c>
      <c r="K65" s="410" t="s">
        <v>150</v>
      </c>
      <c r="L65" s="1"/>
    </row>
    <row r="66" spans="3:12" ht="13.5" customHeight="1" thickBot="1" x14ac:dyDescent="0.25">
      <c r="C66" s="6">
        <f t="shared" si="98"/>
        <v>4944</v>
      </c>
      <c r="D66" s="6">
        <f t="shared" si="98"/>
        <v>69</v>
      </c>
      <c r="E66" s="6">
        <f t="shared" si="98"/>
        <v>4875</v>
      </c>
      <c r="F66" s="6">
        <f t="shared" si="98"/>
        <v>12958</v>
      </c>
      <c r="G66" s="6">
        <f t="shared" si="98"/>
        <v>3509</v>
      </c>
      <c r="H66" s="6">
        <f t="shared" ref="H66:H67" si="99">H6+H9+H12+H15+H18+H21+H24+H27+H30+H33+H36+H39+H42+H45+H48+H51+H54+H57+H60+H63</f>
        <v>9449</v>
      </c>
      <c r="I66" s="4" t="s">
        <v>27</v>
      </c>
      <c r="J66" s="420"/>
      <c r="K66" s="411"/>
      <c r="L66" s="1"/>
    </row>
    <row r="67" spans="3:12" ht="13.5" customHeight="1" thickBot="1" x14ac:dyDescent="0.25">
      <c r="C67" s="6">
        <f t="shared" si="98"/>
        <v>19849</v>
      </c>
      <c r="D67" s="6">
        <f t="shared" si="98"/>
        <v>809</v>
      </c>
      <c r="E67" s="6">
        <f t="shared" si="98"/>
        <v>19040</v>
      </c>
      <c r="F67" s="6">
        <f t="shared" si="98"/>
        <v>34601</v>
      </c>
      <c r="G67" s="6">
        <f t="shared" si="98"/>
        <v>12823</v>
      </c>
      <c r="H67" s="6">
        <f t="shared" si="99"/>
        <v>21778</v>
      </c>
      <c r="I67" s="4" t="s">
        <v>12</v>
      </c>
      <c r="J67" s="421"/>
      <c r="K67" s="412"/>
      <c r="L67" s="1"/>
    </row>
    <row r="68" spans="3:12" ht="13.5" customHeight="1" thickBot="1" x14ac:dyDescent="0.25">
      <c r="C68" s="6">
        <f t="shared" si="0"/>
        <v>855</v>
      </c>
      <c r="D68" s="6">
        <v>3</v>
      </c>
      <c r="E68" s="6">
        <v>852</v>
      </c>
      <c r="F68" s="6">
        <f t="shared" si="1"/>
        <v>3908</v>
      </c>
      <c r="G68" s="6">
        <v>748</v>
      </c>
      <c r="H68" s="6">
        <v>3160</v>
      </c>
      <c r="I68" s="7" t="s">
        <v>9</v>
      </c>
      <c r="J68" s="410">
        <v>44</v>
      </c>
      <c r="K68" s="410" t="s">
        <v>151</v>
      </c>
      <c r="L68" s="1"/>
    </row>
    <row r="69" spans="3:12" ht="13.5" customHeight="1" thickBot="1" x14ac:dyDescent="0.25">
      <c r="C69" s="6">
        <f t="shared" si="0"/>
        <v>75</v>
      </c>
      <c r="D69" s="6">
        <v>0</v>
      </c>
      <c r="E69" s="6">
        <v>75</v>
      </c>
      <c r="F69" s="6">
        <f t="shared" si="1"/>
        <v>244</v>
      </c>
      <c r="G69" s="6">
        <v>0</v>
      </c>
      <c r="H69" s="6">
        <v>244</v>
      </c>
      <c r="I69" s="7" t="s">
        <v>10</v>
      </c>
      <c r="J69" s="411"/>
      <c r="K69" s="411"/>
      <c r="L69" s="1"/>
    </row>
    <row r="70" spans="3:12" ht="13.5" customHeight="1" thickBot="1" x14ac:dyDescent="0.25">
      <c r="C70" s="6">
        <f t="shared" ref="C70" si="100">SUM(C68:C69)</f>
        <v>930</v>
      </c>
      <c r="D70" s="6">
        <f t="shared" ref="D70" si="101">SUM(D68:D69)</f>
        <v>3</v>
      </c>
      <c r="E70" s="6">
        <f t="shared" ref="E70" si="102">SUM(E68:E69)</f>
        <v>927</v>
      </c>
      <c r="F70" s="6">
        <f t="shared" ref="F70" si="103">SUM(F68:F69)</f>
        <v>4152</v>
      </c>
      <c r="G70" s="6">
        <f t="shared" ref="G70" si="104">SUM(G68:G69)</f>
        <v>748</v>
      </c>
      <c r="H70" s="6">
        <f>SUM(H68:H69)</f>
        <v>3404</v>
      </c>
      <c r="I70" s="7" t="s">
        <v>12</v>
      </c>
      <c r="J70" s="412"/>
      <c r="K70" s="412"/>
      <c r="L70" s="1"/>
    </row>
    <row r="71" spans="3:12" ht="13.5" customHeight="1" thickBot="1" x14ac:dyDescent="0.25">
      <c r="C71" s="6">
        <f t="shared" ref="C71:C84" si="105">SUM(D71:E71)</f>
        <v>81</v>
      </c>
      <c r="D71" s="6">
        <v>59</v>
      </c>
      <c r="E71" s="6">
        <v>22</v>
      </c>
      <c r="F71" s="6">
        <f t="shared" ref="F71:F84" si="106">SUM(G71:H71)</f>
        <v>48</v>
      </c>
      <c r="G71" s="6">
        <v>43</v>
      </c>
      <c r="H71" s="6">
        <v>5</v>
      </c>
      <c r="I71" s="7" t="s">
        <v>9</v>
      </c>
      <c r="J71" s="410">
        <v>1</v>
      </c>
      <c r="K71" s="410" t="s">
        <v>152</v>
      </c>
      <c r="L71" s="1"/>
    </row>
    <row r="72" spans="3:12" ht="13.5" customHeight="1" thickBot="1" x14ac:dyDescent="0.25">
      <c r="C72" s="6">
        <f t="shared" si="105"/>
        <v>50</v>
      </c>
      <c r="D72" s="6">
        <v>32</v>
      </c>
      <c r="E72" s="6">
        <v>18</v>
      </c>
      <c r="F72" s="6">
        <f t="shared" si="106"/>
        <v>8</v>
      </c>
      <c r="G72" s="6">
        <v>2</v>
      </c>
      <c r="H72" s="6">
        <v>6</v>
      </c>
      <c r="I72" s="7" t="s">
        <v>10</v>
      </c>
      <c r="J72" s="411"/>
      <c r="K72" s="411"/>
      <c r="L72" s="1"/>
    </row>
    <row r="73" spans="3:12" ht="13.5" customHeight="1" thickBot="1" x14ac:dyDescent="0.25">
      <c r="C73" s="6">
        <f t="shared" ref="C73" si="107">SUM(C71:C72)</f>
        <v>131</v>
      </c>
      <c r="D73" s="6">
        <f t="shared" ref="D73" si="108">SUM(D71:D72)</f>
        <v>91</v>
      </c>
      <c r="E73" s="6">
        <f t="shared" ref="E73" si="109">SUM(E71:E72)</f>
        <v>40</v>
      </c>
      <c r="F73" s="6">
        <f t="shared" ref="F73" si="110">SUM(F71:F72)</f>
        <v>56</v>
      </c>
      <c r="G73" s="6">
        <f t="shared" ref="G73" si="111">SUM(G71:G72)</f>
        <v>45</v>
      </c>
      <c r="H73" s="6">
        <f>SUM(H71:H72)</f>
        <v>11</v>
      </c>
      <c r="I73" s="7" t="s">
        <v>12</v>
      </c>
      <c r="J73" s="412"/>
      <c r="K73" s="412"/>
      <c r="L73" s="1"/>
    </row>
    <row r="74" spans="3:12" ht="13.5" customHeight="1" thickBot="1" x14ac:dyDescent="0.25">
      <c r="C74" s="6">
        <f t="shared" si="105"/>
        <v>259</v>
      </c>
      <c r="D74" s="6">
        <v>23</v>
      </c>
      <c r="E74" s="6">
        <v>236</v>
      </c>
      <c r="F74" s="6">
        <f t="shared" si="106"/>
        <v>542</v>
      </c>
      <c r="G74" s="6">
        <v>453</v>
      </c>
      <c r="H74" s="6">
        <v>89</v>
      </c>
      <c r="I74" s="7" t="s">
        <v>9</v>
      </c>
      <c r="J74" s="410">
        <v>4</v>
      </c>
      <c r="K74" s="410" t="s">
        <v>190</v>
      </c>
      <c r="L74" s="1"/>
    </row>
    <row r="75" spans="3:12" ht="13.5" customHeight="1" thickBot="1" x14ac:dyDescent="0.25">
      <c r="C75" s="6">
        <f t="shared" si="105"/>
        <v>26</v>
      </c>
      <c r="D75" s="6">
        <v>2</v>
      </c>
      <c r="E75" s="6">
        <v>24</v>
      </c>
      <c r="F75" s="6">
        <f t="shared" si="106"/>
        <v>74</v>
      </c>
      <c r="G75" s="6">
        <v>59</v>
      </c>
      <c r="H75" s="6">
        <v>15</v>
      </c>
      <c r="I75" s="7" t="s">
        <v>10</v>
      </c>
      <c r="J75" s="411"/>
      <c r="K75" s="411"/>
      <c r="L75" s="1"/>
    </row>
    <row r="76" spans="3:12" ht="13.5" customHeight="1" thickBot="1" x14ac:dyDescent="0.25">
      <c r="C76" s="6">
        <f t="shared" ref="C76" si="112">SUM(C74:C75)</f>
        <v>285</v>
      </c>
      <c r="D76" s="6">
        <f t="shared" ref="D76" si="113">SUM(D74:D75)</f>
        <v>25</v>
      </c>
      <c r="E76" s="6">
        <f t="shared" ref="E76" si="114">SUM(E74:E75)</f>
        <v>260</v>
      </c>
      <c r="F76" s="6">
        <f t="shared" ref="F76" si="115">SUM(F74:F75)</f>
        <v>616</v>
      </c>
      <c r="G76" s="6">
        <f t="shared" ref="G76" si="116">SUM(G74:G75)</f>
        <v>512</v>
      </c>
      <c r="H76" s="6">
        <f>SUM(H74:H75)</f>
        <v>104</v>
      </c>
      <c r="I76" s="7" t="s">
        <v>12</v>
      </c>
      <c r="J76" s="412"/>
      <c r="K76" s="412"/>
      <c r="L76" s="1"/>
    </row>
    <row r="77" spans="3:12" ht="13.5" customHeight="1" thickBot="1" x14ac:dyDescent="0.25">
      <c r="C77" s="6">
        <f t="shared" si="105"/>
        <v>391</v>
      </c>
      <c r="D77" s="6">
        <v>4</v>
      </c>
      <c r="E77" s="6">
        <v>387</v>
      </c>
      <c r="F77" s="6">
        <f t="shared" si="106"/>
        <v>548</v>
      </c>
      <c r="G77" s="6">
        <v>111</v>
      </c>
      <c r="H77" s="6">
        <v>437</v>
      </c>
      <c r="I77" s="7" t="s">
        <v>9</v>
      </c>
      <c r="J77" s="410">
        <v>1</v>
      </c>
      <c r="K77" s="410" t="s">
        <v>205</v>
      </c>
      <c r="L77" s="1"/>
    </row>
    <row r="78" spans="3:12" ht="13.5" customHeight="1" thickBot="1" x14ac:dyDescent="0.25">
      <c r="C78" s="6">
        <f t="shared" si="105"/>
        <v>42</v>
      </c>
      <c r="D78" s="6">
        <v>0</v>
      </c>
      <c r="E78" s="6">
        <v>42</v>
      </c>
      <c r="F78" s="6">
        <f t="shared" si="106"/>
        <v>79</v>
      </c>
      <c r="G78" s="6">
        <v>8</v>
      </c>
      <c r="H78" s="6">
        <v>71</v>
      </c>
      <c r="I78" s="7" t="s">
        <v>10</v>
      </c>
      <c r="J78" s="411"/>
      <c r="K78" s="411"/>
      <c r="L78" s="1"/>
    </row>
    <row r="79" spans="3:12" ht="13.5" customHeight="1" thickBot="1" x14ac:dyDescent="0.25">
      <c r="C79" s="6">
        <f t="shared" ref="C79" si="117">SUM(C77:C78)</f>
        <v>433</v>
      </c>
      <c r="D79" s="6">
        <f t="shared" ref="D79" si="118">SUM(D77:D78)</f>
        <v>4</v>
      </c>
      <c r="E79" s="6">
        <f t="shared" ref="E79" si="119">SUM(E77:E78)</f>
        <v>429</v>
      </c>
      <c r="F79" s="6">
        <f t="shared" ref="F79" si="120">SUM(F77:F78)</f>
        <v>627</v>
      </c>
      <c r="G79" s="6">
        <f t="shared" ref="G79" si="121">SUM(G77:G78)</f>
        <v>119</v>
      </c>
      <c r="H79" s="6">
        <f>SUM(H77:H78)</f>
        <v>508</v>
      </c>
      <c r="I79" s="7" t="s">
        <v>12</v>
      </c>
      <c r="J79" s="412"/>
      <c r="K79" s="412"/>
      <c r="L79" s="1"/>
    </row>
    <row r="80" spans="3:12" ht="13.5" customHeight="1" thickBot="1" x14ac:dyDescent="0.25">
      <c r="C80" s="6">
        <f t="shared" ref="C80:G82" si="122">C68+C71+C74+C77</f>
        <v>1586</v>
      </c>
      <c r="D80" s="6">
        <f t="shared" si="122"/>
        <v>89</v>
      </c>
      <c r="E80" s="6">
        <f t="shared" si="122"/>
        <v>1497</v>
      </c>
      <c r="F80" s="6">
        <f t="shared" si="122"/>
        <v>5046</v>
      </c>
      <c r="G80" s="6">
        <f t="shared" si="122"/>
        <v>1355</v>
      </c>
      <c r="H80" s="6">
        <f>H68+H71+H74+H77</f>
        <v>3691</v>
      </c>
      <c r="I80" s="7" t="s">
        <v>9</v>
      </c>
      <c r="J80" s="419">
        <f>J68+J71+J74+J77</f>
        <v>50</v>
      </c>
      <c r="K80" s="410" t="s">
        <v>154</v>
      </c>
      <c r="L80" s="1"/>
    </row>
    <row r="81" spans="3:12" ht="13.5" customHeight="1" thickBot="1" x14ac:dyDescent="0.25">
      <c r="C81" s="6">
        <f t="shared" si="122"/>
        <v>193</v>
      </c>
      <c r="D81" s="6">
        <f t="shared" si="122"/>
        <v>34</v>
      </c>
      <c r="E81" s="6">
        <f t="shared" si="122"/>
        <v>159</v>
      </c>
      <c r="F81" s="6">
        <f t="shared" si="122"/>
        <v>405</v>
      </c>
      <c r="G81" s="6">
        <f t="shared" si="122"/>
        <v>69</v>
      </c>
      <c r="H81" s="6">
        <f t="shared" ref="H81:H82" si="123">H69+H72+H75+H78</f>
        <v>336</v>
      </c>
      <c r="I81" s="7" t="s">
        <v>10</v>
      </c>
      <c r="J81" s="420"/>
      <c r="K81" s="411"/>
      <c r="L81" s="1"/>
    </row>
    <row r="82" spans="3:12" ht="13.5" customHeight="1" thickBot="1" x14ac:dyDescent="0.25">
      <c r="C82" s="6">
        <f t="shared" si="122"/>
        <v>1779</v>
      </c>
      <c r="D82" s="6">
        <f t="shared" si="122"/>
        <v>123</v>
      </c>
      <c r="E82" s="6">
        <f t="shared" si="122"/>
        <v>1656</v>
      </c>
      <c r="F82" s="6">
        <f t="shared" si="122"/>
        <v>5451</v>
      </c>
      <c r="G82" s="6">
        <f t="shared" si="122"/>
        <v>1424</v>
      </c>
      <c r="H82" s="6">
        <f t="shared" si="123"/>
        <v>4027</v>
      </c>
      <c r="I82" s="7" t="s">
        <v>12</v>
      </c>
      <c r="J82" s="421"/>
      <c r="K82" s="412"/>
      <c r="L82" s="1"/>
    </row>
    <row r="83" spans="3:12" ht="13.5" customHeight="1" thickBot="1" x14ac:dyDescent="0.25">
      <c r="C83" s="6">
        <f t="shared" si="105"/>
        <v>597</v>
      </c>
      <c r="D83" s="6">
        <v>366</v>
      </c>
      <c r="E83" s="6">
        <v>231</v>
      </c>
      <c r="F83" s="6">
        <f t="shared" si="106"/>
        <v>799</v>
      </c>
      <c r="G83" s="6">
        <v>624</v>
      </c>
      <c r="H83" s="6">
        <v>175</v>
      </c>
      <c r="I83" s="4" t="s">
        <v>26</v>
      </c>
      <c r="J83" s="419">
        <v>39</v>
      </c>
      <c r="K83" s="410" t="s">
        <v>126</v>
      </c>
      <c r="L83" s="1"/>
    </row>
    <row r="84" spans="3:12" ht="13.5" customHeight="1" thickBot="1" x14ac:dyDescent="0.25">
      <c r="C84" s="6">
        <f t="shared" si="105"/>
        <v>647</v>
      </c>
      <c r="D84" s="6">
        <v>254</v>
      </c>
      <c r="E84" s="6">
        <v>393</v>
      </c>
      <c r="F84" s="6">
        <f t="shared" si="106"/>
        <v>738</v>
      </c>
      <c r="G84" s="6">
        <v>562</v>
      </c>
      <c r="H84" s="6">
        <v>176</v>
      </c>
      <c r="I84" s="4" t="s">
        <v>27</v>
      </c>
      <c r="J84" s="420"/>
      <c r="K84" s="411"/>
      <c r="L84" s="1"/>
    </row>
    <row r="85" spans="3:12" ht="13.5" customHeight="1" thickBot="1" x14ac:dyDescent="0.25">
      <c r="C85" s="6">
        <f t="shared" ref="C85" si="124">SUM(C83:C84)</f>
        <v>1244</v>
      </c>
      <c r="D85" s="6">
        <f t="shared" ref="D85" si="125">SUM(D83:D84)</f>
        <v>620</v>
      </c>
      <c r="E85" s="6">
        <f t="shared" ref="E85" si="126">SUM(E83:E84)</f>
        <v>624</v>
      </c>
      <c r="F85" s="6">
        <f t="shared" ref="F85" si="127">SUM(F83:F84)</f>
        <v>1537</v>
      </c>
      <c r="G85" s="6">
        <f t="shared" ref="G85" si="128">SUM(G83:G84)</f>
        <v>1186</v>
      </c>
      <c r="H85" s="6">
        <f>SUM(H83:H84)</f>
        <v>351</v>
      </c>
      <c r="I85" s="4" t="s">
        <v>12</v>
      </c>
      <c r="J85" s="421"/>
      <c r="K85" s="412"/>
      <c r="L85" s="1"/>
    </row>
    <row r="86" spans="3:12" ht="13.5" customHeight="1" thickBot="1" x14ac:dyDescent="0.25">
      <c r="C86" s="6">
        <f t="shared" ref="C86:G86" si="129">C65+C80+C83</f>
        <v>17088</v>
      </c>
      <c r="D86" s="6">
        <f t="shared" si="129"/>
        <v>1195</v>
      </c>
      <c r="E86" s="6">
        <f t="shared" si="129"/>
        <v>15893</v>
      </c>
      <c r="F86" s="6">
        <f t="shared" si="129"/>
        <v>27488</v>
      </c>
      <c r="G86" s="6">
        <f t="shared" si="129"/>
        <v>11293</v>
      </c>
      <c r="H86" s="6">
        <f>H65+H80+H83</f>
        <v>16195</v>
      </c>
      <c r="I86" s="4" t="s">
        <v>26</v>
      </c>
      <c r="J86" s="419">
        <f>J65+J80+J83</f>
        <v>484</v>
      </c>
      <c r="K86" s="410" t="s">
        <v>41</v>
      </c>
      <c r="L86" s="1"/>
    </row>
    <row r="87" spans="3:12" ht="13.5" customHeight="1" thickBot="1" x14ac:dyDescent="0.25">
      <c r="C87" s="6">
        <f t="shared" ref="C87:G88" si="130">C66+C81+C84</f>
        <v>5784</v>
      </c>
      <c r="D87" s="6">
        <f t="shared" si="130"/>
        <v>357</v>
      </c>
      <c r="E87" s="6">
        <f t="shared" si="130"/>
        <v>5427</v>
      </c>
      <c r="F87" s="6">
        <f t="shared" si="130"/>
        <v>14101</v>
      </c>
      <c r="G87" s="6">
        <f t="shared" si="130"/>
        <v>4140</v>
      </c>
      <c r="H87" s="6">
        <f t="shared" ref="H87" si="131">H66+H81+H84</f>
        <v>9961</v>
      </c>
      <c r="I87" s="4" t="s">
        <v>27</v>
      </c>
      <c r="J87" s="420"/>
      <c r="K87" s="411"/>
      <c r="L87" s="1"/>
    </row>
    <row r="88" spans="3:12" ht="13.5" customHeight="1" thickBot="1" x14ac:dyDescent="0.25">
      <c r="C88" s="6">
        <f t="shared" si="130"/>
        <v>22872</v>
      </c>
      <c r="D88" s="6">
        <f t="shared" si="130"/>
        <v>1552</v>
      </c>
      <c r="E88" s="6">
        <f t="shared" si="130"/>
        <v>21320</v>
      </c>
      <c r="F88" s="6">
        <f t="shared" si="130"/>
        <v>41589</v>
      </c>
      <c r="G88" s="6">
        <f t="shared" si="130"/>
        <v>15433</v>
      </c>
      <c r="H88" s="6">
        <f t="shared" ref="H88" si="132">H67+H82+H85</f>
        <v>26156</v>
      </c>
      <c r="I88" s="4" t="s">
        <v>12</v>
      </c>
      <c r="J88" s="421"/>
      <c r="K88" s="412"/>
      <c r="L88" s="1"/>
    </row>
  </sheetData>
  <mergeCells count="62">
    <mergeCell ref="K5:K7"/>
    <mergeCell ref="C1:K1"/>
    <mergeCell ref="C2:K2"/>
    <mergeCell ref="C3:E3"/>
    <mergeCell ref="F3:H3"/>
    <mergeCell ref="J3:J4"/>
    <mergeCell ref="K3:K4"/>
    <mergeCell ref="J5:J7"/>
    <mergeCell ref="J47:J49"/>
    <mergeCell ref="J17:J19"/>
    <mergeCell ref="J14:J16"/>
    <mergeCell ref="J11:J13"/>
    <mergeCell ref="J8:J10"/>
    <mergeCell ref="J44:J46"/>
    <mergeCell ref="J41:J43"/>
    <mergeCell ref="J38:J40"/>
    <mergeCell ref="J35:J37"/>
    <mergeCell ref="J32:J34"/>
    <mergeCell ref="J29:J31"/>
    <mergeCell ref="J26:J28"/>
    <mergeCell ref="J23:J25"/>
    <mergeCell ref="J20:J22"/>
    <mergeCell ref="J83:J85"/>
    <mergeCell ref="J80:J82"/>
    <mergeCell ref="J77:J79"/>
    <mergeCell ref="J74:J76"/>
    <mergeCell ref="J71:J73"/>
    <mergeCell ref="J68:J70"/>
    <mergeCell ref="J65:J67"/>
    <mergeCell ref="J62:J64"/>
    <mergeCell ref="J59:J61"/>
    <mergeCell ref="J56:J58"/>
    <mergeCell ref="J53:J55"/>
    <mergeCell ref="J50:J52"/>
    <mergeCell ref="J86:J88"/>
    <mergeCell ref="K32:K34"/>
    <mergeCell ref="K29:K31"/>
    <mergeCell ref="K65:K67"/>
    <mergeCell ref="K62:K64"/>
    <mergeCell ref="K59:K61"/>
    <mergeCell ref="K56:K58"/>
    <mergeCell ref="K53:K55"/>
    <mergeCell ref="K68:K70"/>
    <mergeCell ref="K86:K88"/>
    <mergeCell ref="K83:K85"/>
    <mergeCell ref="K80:K82"/>
    <mergeCell ref="K77:K79"/>
    <mergeCell ref="K74:K76"/>
    <mergeCell ref="K9:K10"/>
    <mergeCell ref="K26:K28"/>
    <mergeCell ref="K23:K25"/>
    <mergeCell ref="K50:K52"/>
    <mergeCell ref="K47:K49"/>
    <mergeCell ref="K44:K46"/>
    <mergeCell ref="K41:K43"/>
    <mergeCell ref="K38:K40"/>
    <mergeCell ref="K35:K37"/>
    <mergeCell ref="K71:K73"/>
    <mergeCell ref="K20:K22"/>
    <mergeCell ref="K17:K19"/>
    <mergeCell ref="K14:K16"/>
    <mergeCell ref="K11:K13"/>
  </mergeCells>
  <pageMargins left="0.5" right="0.5" top="0.5" bottom="0.5" header="0.5" footer="0.5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M72"/>
  <sheetViews>
    <sheetView showGridLines="0" topLeftCell="A31" workbookViewId="0">
      <selection activeCell="A55" sqref="A55"/>
    </sheetView>
  </sheetViews>
  <sheetFormatPr defaultRowHeight="12.75" x14ac:dyDescent="0.2"/>
  <cols>
    <col min="1" max="1" width="9.125" style="2"/>
    <col min="2" max="2" width="17.125" style="2" customWidth="1"/>
    <col min="3" max="7" width="11" style="2" customWidth="1"/>
    <col min="8" max="8" width="8.125" style="2" customWidth="1"/>
    <col min="9" max="9" width="34.25" style="2" customWidth="1"/>
    <col min="10" max="10" width="19.875" style="2" customWidth="1"/>
    <col min="11" max="257" width="9.125" style="2"/>
    <col min="258" max="258" width="17.125" style="2" customWidth="1"/>
    <col min="259" max="264" width="11" style="2" customWidth="1"/>
    <col min="265" max="265" width="34.25" style="2" customWidth="1"/>
    <col min="266" max="266" width="19.875" style="2" customWidth="1"/>
    <col min="267" max="513" width="9.125" style="2"/>
    <col min="514" max="514" width="17.125" style="2" customWidth="1"/>
    <col min="515" max="520" width="11" style="2" customWidth="1"/>
    <col min="521" max="521" width="34.25" style="2" customWidth="1"/>
    <col min="522" max="522" width="19.875" style="2" customWidth="1"/>
    <col min="523" max="769" width="9.125" style="2"/>
    <col min="770" max="770" width="17.125" style="2" customWidth="1"/>
    <col min="771" max="776" width="11" style="2" customWidth="1"/>
    <col min="777" max="777" width="34.25" style="2" customWidth="1"/>
    <col min="778" max="778" width="19.875" style="2" customWidth="1"/>
    <col min="779" max="1025" width="9.125" style="2"/>
    <col min="1026" max="1026" width="17.125" style="2" customWidth="1"/>
    <col min="1027" max="1032" width="11" style="2" customWidth="1"/>
    <col min="1033" max="1033" width="34.25" style="2" customWidth="1"/>
    <col min="1034" max="1034" width="19.875" style="2" customWidth="1"/>
    <col min="1035" max="1281" width="9.125" style="2"/>
    <col min="1282" max="1282" width="17.125" style="2" customWidth="1"/>
    <col min="1283" max="1288" width="11" style="2" customWidth="1"/>
    <col min="1289" max="1289" width="34.25" style="2" customWidth="1"/>
    <col min="1290" max="1290" width="19.875" style="2" customWidth="1"/>
    <col min="1291" max="1537" width="9.125" style="2"/>
    <col min="1538" max="1538" width="17.125" style="2" customWidth="1"/>
    <col min="1539" max="1544" width="11" style="2" customWidth="1"/>
    <col min="1545" max="1545" width="34.25" style="2" customWidth="1"/>
    <col min="1546" max="1546" width="19.875" style="2" customWidth="1"/>
    <col min="1547" max="1793" width="9.125" style="2"/>
    <col min="1794" max="1794" width="17.125" style="2" customWidth="1"/>
    <col min="1795" max="1800" width="11" style="2" customWidth="1"/>
    <col min="1801" max="1801" width="34.25" style="2" customWidth="1"/>
    <col min="1802" max="1802" width="19.875" style="2" customWidth="1"/>
    <col min="1803" max="2049" width="9.125" style="2"/>
    <col min="2050" max="2050" width="17.125" style="2" customWidth="1"/>
    <col min="2051" max="2056" width="11" style="2" customWidth="1"/>
    <col min="2057" max="2057" width="34.25" style="2" customWidth="1"/>
    <col min="2058" max="2058" width="19.875" style="2" customWidth="1"/>
    <col min="2059" max="2305" width="9.125" style="2"/>
    <col min="2306" max="2306" width="17.125" style="2" customWidth="1"/>
    <col min="2307" max="2312" width="11" style="2" customWidth="1"/>
    <col min="2313" max="2313" width="34.25" style="2" customWidth="1"/>
    <col min="2314" max="2314" width="19.875" style="2" customWidth="1"/>
    <col min="2315" max="2561" width="9.125" style="2"/>
    <col min="2562" max="2562" width="17.125" style="2" customWidth="1"/>
    <col min="2563" max="2568" width="11" style="2" customWidth="1"/>
    <col min="2569" max="2569" width="34.25" style="2" customWidth="1"/>
    <col min="2570" max="2570" width="19.875" style="2" customWidth="1"/>
    <col min="2571" max="2817" width="9.125" style="2"/>
    <col min="2818" max="2818" width="17.125" style="2" customWidth="1"/>
    <col min="2819" max="2824" width="11" style="2" customWidth="1"/>
    <col min="2825" max="2825" width="34.25" style="2" customWidth="1"/>
    <col min="2826" max="2826" width="19.875" style="2" customWidth="1"/>
    <col min="2827" max="3073" width="9.125" style="2"/>
    <col min="3074" max="3074" width="17.125" style="2" customWidth="1"/>
    <col min="3075" max="3080" width="11" style="2" customWidth="1"/>
    <col min="3081" max="3081" width="34.25" style="2" customWidth="1"/>
    <col min="3082" max="3082" width="19.875" style="2" customWidth="1"/>
    <col min="3083" max="3329" width="9.125" style="2"/>
    <col min="3330" max="3330" width="17.125" style="2" customWidth="1"/>
    <col min="3331" max="3336" width="11" style="2" customWidth="1"/>
    <col min="3337" max="3337" width="34.25" style="2" customWidth="1"/>
    <col min="3338" max="3338" width="19.875" style="2" customWidth="1"/>
    <col min="3339" max="3585" width="9.125" style="2"/>
    <col min="3586" max="3586" width="17.125" style="2" customWidth="1"/>
    <col min="3587" max="3592" width="11" style="2" customWidth="1"/>
    <col min="3593" max="3593" width="34.25" style="2" customWidth="1"/>
    <col min="3594" max="3594" width="19.875" style="2" customWidth="1"/>
    <col min="3595" max="3841" width="9.125" style="2"/>
    <col min="3842" max="3842" width="17.125" style="2" customWidth="1"/>
    <col min="3843" max="3848" width="11" style="2" customWidth="1"/>
    <col min="3849" max="3849" width="34.25" style="2" customWidth="1"/>
    <col min="3850" max="3850" width="19.875" style="2" customWidth="1"/>
    <col min="3851" max="4097" width="9.125" style="2"/>
    <col min="4098" max="4098" width="17.125" style="2" customWidth="1"/>
    <col min="4099" max="4104" width="11" style="2" customWidth="1"/>
    <col min="4105" max="4105" width="34.25" style="2" customWidth="1"/>
    <col min="4106" max="4106" width="19.875" style="2" customWidth="1"/>
    <col min="4107" max="4353" width="9.125" style="2"/>
    <col min="4354" max="4354" width="17.125" style="2" customWidth="1"/>
    <col min="4355" max="4360" width="11" style="2" customWidth="1"/>
    <col min="4361" max="4361" width="34.25" style="2" customWidth="1"/>
    <col min="4362" max="4362" width="19.875" style="2" customWidth="1"/>
    <col min="4363" max="4609" width="9.125" style="2"/>
    <col min="4610" max="4610" width="17.125" style="2" customWidth="1"/>
    <col min="4611" max="4616" width="11" style="2" customWidth="1"/>
    <col min="4617" max="4617" width="34.25" style="2" customWidth="1"/>
    <col min="4618" max="4618" width="19.875" style="2" customWidth="1"/>
    <col min="4619" max="4865" width="9.125" style="2"/>
    <col min="4866" max="4866" width="17.125" style="2" customWidth="1"/>
    <col min="4867" max="4872" width="11" style="2" customWidth="1"/>
    <col min="4873" max="4873" width="34.25" style="2" customWidth="1"/>
    <col min="4874" max="4874" width="19.875" style="2" customWidth="1"/>
    <col min="4875" max="5121" width="9.125" style="2"/>
    <col min="5122" max="5122" width="17.125" style="2" customWidth="1"/>
    <col min="5123" max="5128" width="11" style="2" customWidth="1"/>
    <col min="5129" max="5129" width="34.25" style="2" customWidth="1"/>
    <col min="5130" max="5130" width="19.875" style="2" customWidth="1"/>
    <col min="5131" max="5377" width="9.125" style="2"/>
    <col min="5378" max="5378" width="17.125" style="2" customWidth="1"/>
    <col min="5379" max="5384" width="11" style="2" customWidth="1"/>
    <col min="5385" max="5385" width="34.25" style="2" customWidth="1"/>
    <col min="5386" max="5386" width="19.875" style="2" customWidth="1"/>
    <col min="5387" max="5633" width="9.125" style="2"/>
    <col min="5634" max="5634" width="17.125" style="2" customWidth="1"/>
    <col min="5635" max="5640" width="11" style="2" customWidth="1"/>
    <col min="5641" max="5641" width="34.25" style="2" customWidth="1"/>
    <col min="5642" max="5642" width="19.875" style="2" customWidth="1"/>
    <col min="5643" max="5889" width="9.125" style="2"/>
    <col min="5890" max="5890" width="17.125" style="2" customWidth="1"/>
    <col min="5891" max="5896" width="11" style="2" customWidth="1"/>
    <col min="5897" max="5897" width="34.25" style="2" customWidth="1"/>
    <col min="5898" max="5898" width="19.875" style="2" customWidth="1"/>
    <col min="5899" max="6145" width="9.125" style="2"/>
    <col min="6146" max="6146" width="17.125" style="2" customWidth="1"/>
    <col min="6147" max="6152" width="11" style="2" customWidth="1"/>
    <col min="6153" max="6153" width="34.25" style="2" customWidth="1"/>
    <col min="6154" max="6154" width="19.875" style="2" customWidth="1"/>
    <col min="6155" max="6401" width="9.125" style="2"/>
    <col min="6402" max="6402" width="17.125" style="2" customWidth="1"/>
    <col min="6403" max="6408" width="11" style="2" customWidth="1"/>
    <col min="6409" max="6409" width="34.25" style="2" customWidth="1"/>
    <col min="6410" max="6410" width="19.875" style="2" customWidth="1"/>
    <col min="6411" max="6657" width="9.125" style="2"/>
    <col min="6658" max="6658" width="17.125" style="2" customWidth="1"/>
    <col min="6659" max="6664" width="11" style="2" customWidth="1"/>
    <col min="6665" max="6665" width="34.25" style="2" customWidth="1"/>
    <col min="6666" max="6666" width="19.875" style="2" customWidth="1"/>
    <col min="6667" max="6913" width="9.125" style="2"/>
    <col min="6914" max="6914" width="17.125" style="2" customWidth="1"/>
    <col min="6915" max="6920" width="11" style="2" customWidth="1"/>
    <col min="6921" max="6921" width="34.25" style="2" customWidth="1"/>
    <col min="6922" max="6922" width="19.875" style="2" customWidth="1"/>
    <col min="6923" max="7169" width="9.125" style="2"/>
    <col min="7170" max="7170" width="17.125" style="2" customWidth="1"/>
    <col min="7171" max="7176" width="11" style="2" customWidth="1"/>
    <col min="7177" max="7177" width="34.25" style="2" customWidth="1"/>
    <col min="7178" max="7178" width="19.875" style="2" customWidth="1"/>
    <col min="7179" max="7425" width="9.125" style="2"/>
    <col min="7426" max="7426" width="17.125" style="2" customWidth="1"/>
    <col min="7427" max="7432" width="11" style="2" customWidth="1"/>
    <col min="7433" max="7433" width="34.25" style="2" customWidth="1"/>
    <col min="7434" max="7434" width="19.875" style="2" customWidth="1"/>
    <col min="7435" max="7681" width="9.125" style="2"/>
    <col min="7682" max="7682" width="17.125" style="2" customWidth="1"/>
    <col min="7683" max="7688" width="11" style="2" customWidth="1"/>
    <col min="7689" max="7689" width="34.25" style="2" customWidth="1"/>
    <col min="7690" max="7690" width="19.875" style="2" customWidth="1"/>
    <col min="7691" max="7937" width="9.125" style="2"/>
    <col min="7938" max="7938" width="17.125" style="2" customWidth="1"/>
    <col min="7939" max="7944" width="11" style="2" customWidth="1"/>
    <col min="7945" max="7945" width="34.25" style="2" customWidth="1"/>
    <col min="7946" max="7946" width="19.875" style="2" customWidth="1"/>
    <col min="7947" max="8193" width="9.125" style="2"/>
    <col min="8194" max="8194" width="17.125" style="2" customWidth="1"/>
    <col min="8195" max="8200" width="11" style="2" customWidth="1"/>
    <col min="8201" max="8201" width="34.25" style="2" customWidth="1"/>
    <col min="8202" max="8202" width="19.875" style="2" customWidth="1"/>
    <col min="8203" max="8449" width="9.125" style="2"/>
    <col min="8450" max="8450" width="17.125" style="2" customWidth="1"/>
    <col min="8451" max="8456" width="11" style="2" customWidth="1"/>
    <col min="8457" max="8457" width="34.25" style="2" customWidth="1"/>
    <col min="8458" max="8458" width="19.875" style="2" customWidth="1"/>
    <col min="8459" max="8705" width="9.125" style="2"/>
    <col min="8706" max="8706" width="17.125" style="2" customWidth="1"/>
    <col min="8707" max="8712" width="11" style="2" customWidth="1"/>
    <col min="8713" max="8713" width="34.25" style="2" customWidth="1"/>
    <col min="8714" max="8714" width="19.875" style="2" customWidth="1"/>
    <col min="8715" max="8961" width="9.125" style="2"/>
    <col min="8962" max="8962" width="17.125" style="2" customWidth="1"/>
    <col min="8963" max="8968" width="11" style="2" customWidth="1"/>
    <col min="8969" max="8969" width="34.25" style="2" customWidth="1"/>
    <col min="8970" max="8970" width="19.875" style="2" customWidth="1"/>
    <col min="8971" max="9217" width="9.125" style="2"/>
    <col min="9218" max="9218" width="17.125" style="2" customWidth="1"/>
    <col min="9219" max="9224" width="11" style="2" customWidth="1"/>
    <col min="9225" max="9225" width="34.25" style="2" customWidth="1"/>
    <col min="9226" max="9226" width="19.875" style="2" customWidth="1"/>
    <col min="9227" max="9473" width="9.125" style="2"/>
    <col min="9474" max="9474" width="17.125" style="2" customWidth="1"/>
    <col min="9475" max="9480" width="11" style="2" customWidth="1"/>
    <col min="9481" max="9481" width="34.25" style="2" customWidth="1"/>
    <col min="9482" max="9482" width="19.875" style="2" customWidth="1"/>
    <col min="9483" max="9729" width="9.125" style="2"/>
    <col min="9730" max="9730" width="17.125" style="2" customWidth="1"/>
    <col min="9731" max="9736" width="11" style="2" customWidth="1"/>
    <col min="9737" max="9737" width="34.25" style="2" customWidth="1"/>
    <col min="9738" max="9738" width="19.875" style="2" customWidth="1"/>
    <col min="9739" max="9985" width="9.125" style="2"/>
    <col min="9986" max="9986" width="17.125" style="2" customWidth="1"/>
    <col min="9987" max="9992" width="11" style="2" customWidth="1"/>
    <col min="9993" max="9993" width="34.25" style="2" customWidth="1"/>
    <col min="9994" max="9994" width="19.875" style="2" customWidth="1"/>
    <col min="9995" max="10241" width="9.125" style="2"/>
    <col min="10242" max="10242" width="17.125" style="2" customWidth="1"/>
    <col min="10243" max="10248" width="11" style="2" customWidth="1"/>
    <col min="10249" max="10249" width="34.25" style="2" customWidth="1"/>
    <col min="10250" max="10250" width="19.875" style="2" customWidth="1"/>
    <col min="10251" max="10497" width="9.125" style="2"/>
    <col min="10498" max="10498" width="17.125" style="2" customWidth="1"/>
    <col min="10499" max="10504" width="11" style="2" customWidth="1"/>
    <col min="10505" max="10505" width="34.25" style="2" customWidth="1"/>
    <col min="10506" max="10506" width="19.875" style="2" customWidth="1"/>
    <col min="10507" max="10753" width="9.125" style="2"/>
    <col min="10754" max="10754" width="17.125" style="2" customWidth="1"/>
    <col min="10755" max="10760" width="11" style="2" customWidth="1"/>
    <col min="10761" max="10761" width="34.25" style="2" customWidth="1"/>
    <col min="10762" max="10762" width="19.875" style="2" customWidth="1"/>
    <col min="10763" max="11009" width="9.125" style="2"/>
    <col min="11010" max="11010" width="17.125" style="2" customWidth="1"/>
    <col min="11011" max="11016" width="11" style="2" customWidth="1"/>
    <col min="11017" max="11017" width="34.25" style="2" customWidth="1"/>
    <col min="11018" max="11018" width="19.875" style="2" customWidth="1"/>
    <col min="11019" max="11265" width="9.125" style="2"/>
    <col min="11266" max="11266" width="17.125" style="2" customWidth="1"/>
    <col min="11267" max="11272" width="11" style="2" customWidth="1"/>
    <col min="11273" max="11273" width="34.25" style="2" customWidth="1"/>
    <col min="11274" max="11274" width="19.875" style="2" customWidth="1"/>
    <col min="11275" max="11521" width="9.125" style="2"/>
    <col min="11522" max="11522" width="17.125" style="2" customWidth="1"/>
    <col min="11523" max="11528" width="11" style="2" customWidth="1"/>
    <col min="11529" max="11529" width="34.25" style="2" customWidth="1"/>
    <col min="11530" max="11530" width="19.875" style="2" customWidth="1"/>
    <col min="11531" max="11777" width="9.125" style="2"/>
    <col min="11778" max="11778" width="17.125" style="2" customWidth="1"/>
    <col min="11779" max="11784" width="11" style="2" customWidth="1"/>
    <col min="11785" max="11785" width="34.25" style="2" customWidth="1"/>
    <col min="11786" max="11786" width="19.875" style="2" customWidth="1"/>
    <col min="11787" max="12033" width="9.125" style="2"/>
    <col min="12034" max="12034" width="17.125" style="2" customWidth="1"/>
    <col min="12035" max="12040" width="11" style="2" customWidth="1"/>
    <col min="12041" max="12041" width="34.25" style="2" customWidth="1"/>
    <col min="12042" max="12042" width="19.875" style="2" customWidth="1"/>
    <col min="12043" max="12289" width="9.125" style="2"/>
    <col min="12290" max="12290" width="17.125" style="2" customWidth="1"/>
    <col min="12291" max="12296" width="11" style="2" customWidth="1"/>
    <col min="12297" max="12297" width="34.25" style="2" customWidth="1"/>
    <col min="12298" max="12298" width="19.875" style="2" customWidth="1"/>
    <col min="12299" max="12545" width="9.125" style="2"/>
    <col min="12546" max="12546" width="17.125" style="2" customWidth="1"/>
    <col min="12547" max="12552" width="11" style="2" customWidth="1"/>
    <col min="12553" max="12553" width="34.25" style="2" customWidth="1"/>
    <col min="12554" max="12554" width="19.875" style="2" customWidth="1"/>
    <col min="12555" max="12801" width="9.125" style="2"/>
    <col min="12802" max="12802" width="17.125" style="2" customWidth="1"/>
    <col min="12803" max="12808" width="11" style="2" customWidth="1"/>
    <col min="12809" max="12809" width="34.25" style="2" customWidth="1"/>
    <col min="12810" max="12810" width="19.875" style="2" customWidth="1"/>
    <col min="12811" max="13057" width="9.125" style="2"/>
    <col min="13058" max="13058" width="17.125" style="2" customWidth="1"/>
    <col min="13059" max="13064" width="11" style="2" customWidth="1"/>
    <col min="13065" max="13065" width="34.25" style="2" customWidth="1"/>
    <col min="13066" max="13066" width="19.875" style="2" customWidth="1"/>
    <col min="13067" max="13313" width="9.125" style="2"/>
    <col min="13314" max="13314" width="17.125" style="2" customWidth="1"/>
    <col min="13315" max="13320" width="11" style="2" customWidth="1"/>
    <col min="13321" max="13321" width="34.25" style="2" customWidth="1"/>
    <col min="13322" max="13322" width="19.875" style="2" customWidth="1"/>
    <col min="13323" max="13569" width="9.125" style="2"/>
    <col min="13570" max="13570" width="17.125" style="2" customWidth="1"/>
    <col min="13571" max="13576" width="11" style="2" customWidth="1"/>
    <col min="13577" max="13577" width="34.25" style="2" customWidth="1"/>
    <col min="13578" max="13578" width="19.875" style="2" customWidth="1"/>
    <col min="13579" max="13825" width="9.125" style="2"/>
    <col min="13826" max="13826" width="17.125" style="2" customWidth="1"/>
    <col min="13827" max="13832" width="11" style="2" customWidth="1"/>
    <col min="13833" max="13833" width="34.25" style="2" customWidth="1"/>
    <col min="13834" max="13834" width="19.875" style="2" customWidth="1"/>
    <col min="13835" max="14081" width="9.125" style="2"/>
    <col min="14082" max="14082" width="17.125" style="2" customWidth="1"/>
    <col min="14083" max="14088" width="11" style="2" customWidth="1"/>
    <col min="14089" max="14089" width="34.25" style="2" customWidth="1"/>
    <col min="14090" max="14090" width="19.875" style="2" customWidth="1"/>
    <col min="14091" max="14337" width="9.125" style="2"/>
    <col min="14338" max="14338" width="17.125" style="2" customWidth="1"/>
    <col min="14339" max="14344" width="11" style="2" customWidth="1"/>
    <col min="14345" max="14345" width="34.25" style="2" customWidth="1"/>
    <col min="14346" max="14346" width="19.875" style="2" customWidth="1"/>
    <col min="14347" max="14593" width="9.125" style="2"/>
    <col min="14594" max="14594" width="17.125" style="2" customWidth="1"/>
    <col min="14595" max="14600" width="11" style="2" customWidth="1"/>
    <col min="14601" max="14601" width="34.25" style="2" customWidth="1"/>
    <col min="14602" max="14602" width="19.875" style="2" customWidth="1"/>
    <col min="14603" max="14849" width="9.125" style="2"/>
    <col min="14850" max="14850" width="17.125" style="2" customWidth="1"/>
    <col min="14851" max="14856" width="11" style="2" customWidth="1"/>
    <col min="14857" max="14857" width="34.25" style="2" customWidth="1"/>
    <col min="14858" max="14858" width="19.875" style="2" customWidth="1"/>
    <col min="14859" max="15105" width="9.125" style="2"/>
    <col min="15106" max="15106" width="17.125" style="2" customWidth="1"/>
    <col min="15107" max="15112" width="11" style="2" customWidth="1"/>
    <col min="15113" max="15113" width="34.25" style="2" customWidth="1"/>
    <col min="15114" max="15114" width="19.875" style="2" customWidth="1"/>
    <col min="15115" max="15361" width="9.125" style="2"/>
    <col min="15362" max="15362" width="17.125" style="2" customWidth="1"/>
    <col min="15363" max="15368" width="11" style="2" customWidth="1"/>
    <col min="15369" max="15369" width="34.25" style="2" customWidth="1"/>
    <col min="15370" max="15370" width="19.875" style="2" customWidth="1"/>
    <col min="15371" max="15617" width="9.125" style="2"/>
    <col min="15618" max="15618" width="17.125" style="2" customWidth="1"/>
    <col min="15619" max="15624" width="11" style="2" customWidth="1"/>
    <col min="15625" max="15625" width="34.25" style="2" customWidth="1"/>
    <col min="15626" max="15626" width="19.875" style="2" customWidth="1"/>
    <col min="15627" max="15873" width="9.125" style="2"/>
    <col min="15874" max="15874" width="17.125" style="2" customWidth="1"/>
    <col min="15875" max="15880" width="11" style="2" customWidth="1"/>
    <col min="15881" max="15881" width="34.25" style="2" customWidth="1"/>
    <col min="15882" max="15882" width="19.875" style="2" customWidth="1"/>
    <col min="15883" max="16129" width="9.125" style="2"/>
    <col min="16130" max="16130" width="17.125" style="2" customWidth="1"/>
    <col min="16131" max="16136" width="11" style="2" customWidth="1"/>
    <col min="16137" max="16137" width="34.25" style="2" customWidth="1"/>
    <col min="16138" max="16138" width="19.875" style="2" customWidth="1"/>
    <col min="16139" max="16384" width="9.125" style="2"/>
  </cols>
  <sheetData>
    <row r="1" spans="2:13" ht="20.100000000000001" customHeight="1" x14ac:dyDescent="0.2">
      <c r="B1" s="12"/>
      <c r="C1" s="406" t="s">
        <v>222</v>
      </c>
      <c r="D1" s="407"/>
      <c r="E1" s="407"/>
      <c r="F1" s="407"/>
      <c r="G1" s="407"/>
      <c r="H1" s="407"/>
      <c r="I1" s="407"/>
      <c r="J1" s="12"/>
    </row>
    <row r="2" spans="2:13" ht="20.100000000000001" customHeight="1" thickBot="1" x14ac:dyDescent="0.25">
      <c r="B2" s="12"/>
      <c r="C2" s="408" t="s">
        <v>125</v>
      </c>
      <c r="D2" s="408"/>
      <c r="E2" s="408"/>
      <c r="F2" s="408"/>
      <c r="G2" s="408"/>
      <c r="H2" s="408"/>
      <c r="I2" s="408"/>
      <c r="J2" s="12"/>
    </row>
    <row r="3" spans="2:13" ht="26.25" thickBot="1" x14ac:dyDescent="0.25">
      <c r="B3" s="12"/>
      <c r="C3" s="13" t="s">
        <v>63</v>
      </c>
      <c r="D3" s="13" t="s">
        <v>64</v>
      </c>
      <c r="E3" s="13" t="s">
        <v>1</v>
      </c>
      <c r="F3" s="13" t="s">
        <v>2</v>
      </c>
      <c r="G3" s="13" t="s">
        <v>3</v>
      </c>
      <c r="H3" s="14" t="s">
        <v>7</v>
      </c>
      <c r="I3" s="13" t="s">
        <v>126</v>
      </c>
      <c r="J3" s="12"/>
    </row>
    <row r="4" spans="2:13" ht="13.5" thickBot="1" x14ac:dyDescent="0.25">
      <c r="B4" s="12"/>
      <c r="C4" s="15">
        <v>81</v>
      </c>
      <c r="D4" s="15">
        <v>82</v>
      </c>
      <c r="E4" s="15">
        <v>83</v>
      </c>
      <c r="F4" s="15">
        <v>908</v>
      </c>
      <c r="G4" s="15">
        <v>236</v>
      </c>
      <c r="H4" s="16" t="s">
        <v>9</v>
      </c>
      <c r="I4" s="430" t="s">
        <v>127</v>
      </c>
      <c r="J4" s="12"/>
      <c r="K4" s="30"/>
      <c r="L4" s="30"/>
    </row>
    <row r="5" spans="2:13" ht="15.75" customHeight="1" thickBot="1" x14ac:dyDescent="0.25">
      <c r="B5" s="12"/>
      <c r="C5" s="15">
        <v>51</v>
      </c>
      <c r="D5" s="15">
        <v>113</v>
      </c>
      <c r="E5" s="15">
        <v>97</v>
      </c>
      <c r="F5" s="15">
        <v>1299</v>
      </c>
      <c r="G5" s="15">
        <v>287</v>
      </c>
      <c r="H5" s="16" t="s">
        <v>10</v>
      </c>
      <c r="I5" s="428"/>
      <c r="J5" s="12"/>
    </row>
    <row r="6" spans="2:13" ht="15.75" customHeight="1" thickBot="1" x14ac:dyDescent="0.25">
      <c r="B6" s="12"/>
      <c r="C6" s="15">
        <f t="shared" ref="C6:F6" si="0">SUM(C4:C5)</f>
        <v>132</v>
      </c>
      <c r="D6" s="15">
        <f t="shared" si="0"/>
        <v>195</v>
      </c>
      <c r="E6" s="15">
        <f t="shared" si="0"/>
        <v>180</v>
      </c>
      <c r="F6" s="15">
        <f t="shared" si="0"/>
        <v>2207</v>
      </c>
      <c r="G6" s="15">
        <f>SUM(G4:G5)</f>
        <v>523</v>
      </c>
      <c r="H6" s="16" t="s">
        <v>12</v>
      </c>
      <c r="I6" s="429"/>
      <c r="J6" s="12"/>
    </row>
    <row r="7" spans="2:13" ht="13.5" thickBot="1" x14ac:dyDescent="0.25">
      <c r="B7" s="12"/>
      <c r="C7" s="15">
        <v>78</v>
      </c>
      <c r="D7" s="15">
        <v>262</v>
      </c>
      <c r="E7" s="15">
        <v>503</v>
      </c>
      <c r="F7" s="15">
        <v>7418</v>
      </c>
      <c r="G7" s="15">
        <v>1879</v>
      </c>
      <c r="H7" s="16" t="s">
        <v>9</v>
      </c>
      <c r="I7" s="430" t="s">
        <v>128</v>
      </c>
      <c r="J7" s="12"/>
    </row>
    <row r="8" spans="2:13" ht="15.75" customHeight="1" thickBot="1" x14ac:dyDescent="0.25">
      <c r="B8" s="12"/>
      <c r="C8" s="15">
        <v>53</v>
      </c>
      <c r="D8" s="15">
        <v>156</v>
      </c>
      <c r="E8" s="15">
        <v>380</v>
      </c>
      <c r="F8" s="15">
        <v>6155</v>
      </c>
      <c r="G8" s="15">
        <v>1513</v>
      </c>
      <c r="H8" s="16" t="s">
        <v>10</v>
      </c>
      <c r="I8" s="428"/>
      <c r="J8" s="12"/>
    </row>
    <row r="9" spans="2:13" ht="15.75" customHeight="1" thickBot="1" x14ac:dyDescent="0.25">
      <c r="B9" s="12"/>
      <c r="C9" s="15">
        <f t="shared" ref="C9" si="1">SUM(C7:C8)</f>
        <v>131</v>
      </c>
      <c r="D9" s="15">
        <f t="shared" ref="D9" si="2">SUM(D7:D8)</f>
        <v>418</v>
      </c>
      <c r="E9" s="15">
        <f t="shared" ref="E9" si="3">SUM(E7:E8)</f>
        <v>883</v>
      </c>
      <c r="F9" s="15">
        <f t="shared" ref="F9" si="4">SUM(F7:F8)</f>
        <v>13573</v>
      </c>
      <c r="G9" s="15">
        <f>SUM(G7:G8)</f>
        <v>3392</v>
      </c>
      <c r="H9" s="16" t="s">
        <v>12</v>
      </c>
      <c r="I9" s="429"/>
      <c r="J9" s="12"/>
    </row>
    <row r="10" spans="2:13" ht="13.5" thickBot="1" x14ac:dyDescent="0.25">
      <c r="B10" s="12"/>
      <c r="C10" s="15">
        <v>9</v>
      </c>
      <c r="D10" s="15">
        <v>65</v>
      </c>
      <c r="E10" s="15">
        <v>0</v>
      </c>
      <c r="F10" s="15">
        <v>654</v>
      </c>
      <c r="G10" s="15">
        <v>367</v>
      </c>
      <c r="H10" s="16" t="s">
        <v>9</v>
      </c>
      <c r="I10" s="430" t="s">
        <v>129</v>
      </c>
      <c r="J10" s="12"/>
    </row>
    <row r="11" spans="2:13" ht="15.75" customHeight="1" thickBot="1" x14ac:dyDescent="0.25">
      <c r="B11" s="12"/>
      <c r="C11" s="15">
        <v>3</v>
      </c>
      <c r="D11" s="15">
        <v>58</v>
      </c>
      <c r="E11" s="15">
        <v>0</v>
      </c>
      <c r="F11" s="15">
        <v>602</v>
      </c>
      <c r="G11" s="15">
        <v>279</v>
      </c>
      <c r="H11" s="16" t="s">
        <v>10</v>
      </c>
      <c r="I11" s="428"/>
      <c r="J11" s="12"/>
    </row>
    <row r="12" spans="2:13" ht="15.75" customHeight="1" thickBot="1" x14ac:dyDescent="0.25">
      <c r="B12" s="12"/>
      <c r="C12" s="15">
        <f t="shared" ref="C12" si="5">SUM(C10:C11)</f>
        <v>12</v>
      </c>
      <c r="D12" s="15">
        <f t="shared" ref="D12" si="6">SUM(D10:D11)</f>
        <v>123</v>
      </c>
      <c r="E12" s="15">
        <f t="shared" ref="E12" si="7">SUM(E10:E11)</f>
        <v>0</v>
      </c>
      <c r="F12" s="15">
        <f t="shared" ref="F12" si="8">SUM(F10:F11)</f>
        <v>1256</v>
      </c>
      <c r="G12" s="15">
        <f>SUM(G10:G11)</f>
        <v>646</v>
      </c>
      <c r="H12" s="16" t="s">
        <v>12</v>
      </c>
      <c r="I12" s="429"/>
      <c r="J12" s="12"/>
    </row>
    <row r="13" spans="2:13" ht="13.5" thickBot="1" x14ac:dyDescent="0.25">
      <c r="B13" s="12"/>
      <c r="C13" s="15">
        <v>45</v>
      </c>
      <c r="D13" s="15">
        <v>61</v>
      </c>
      <c r="E13" s="15">
        <v>0</v>
      </c>
      <c r="F13" s="15">
        <v>88</v>
      </c>
      <c r="G13" s="15">
        <v>88</v>
      </c>
      <c r="H13" s="16" t="s">
        <v>9</v>
      </c>
      <c r="I13" s="430" t="s">
        <v>132</v>
      </c>
      <c r="J13" s="12"/>
      <c r="M13" s="20"/>
    </row>
    <row r="14" spans="2:13" ht="15.75" customHeight="1" thickBot="1" x14ac:dyDescent="0.25">
      <c r="B14" s="12"/>
      <c r="C14" s="15">
        <v>22</v>
      </c>
      <c r="D14" s="15">
        <v>2</v>
      </c>
      <c r="E14" s="15">
        <v>0</v>
      </c>
      <c r="F14" s="15">
        <v>0</v>
      </c>
      <c r="G14" s="15">
        <v>0</v>
      </c>
      <c r="H14" s="16" t="s">
        <v>10</v>
      </c>
      <c r="I14" s="428"/>
      <c r="J14" s="12"/>
    </row>
    <row r="15" spans="2:13" ht="15.75" customHeight="1" thickBot="1" x14ac:dyDescent="0.25">
      <c r="B15" s="12"/>
      <c r="C15" s="15">
        <f t="shared" ref="C15" si="9">SUM(C13:C14)</f>
        <v>67</v>
      </c>
      <c r="D15" s="15">
        <f t="shared" ref="D15" si="10">SUM(D13:D14)</f>
        <v>63</v>
      </c>
      <c r="E15" s="15">
        <f t="shared" ref="E15" si="11">SUM(E13:E14)</f>
        <v>0</v>
      </c>
      <c r="F15" s="15">
        <f t="shared" ref="F15" si="12">SUM(F13:F14)</f>
        <v>88</v>
      </c>
      <c r="G15" s="15">
        <f>SUM(G13:G14)</f>
        <v>88</v>
      </c>
      <c r="H15" s="16" t="s">
        <v>12</v>
      </c>
      <c r="I15" s="429"/>
      <c r="J15" s="12"/>
    </row>
    <row r="16" spans="2:13" ht="13.5" thickBot="1" x14ac:dyDescent="0.25">
      <c r="B16" s="12"/>
      <c r="C16" s="15">
        <v>108</v>
      </c>
      <c r="D16" s="15">
        <v>38</v>
      </c>
      <c r="E16" s="15">
        <v>49</v>
      </c>
      <c r="F16" s="15">
        <v>567</v>
      </c>
      <c r="G16" s="15">
        <v>92</v>
      </c>
      <c r="H16" s="16" t="s">
        <v>9</v>
      </c>
      <c r="I16" s="430" t="s">
        <v>131</v>
      </c>
      <c r="J16" s="12"/>
    </row>
    <row r="17" spans="2:10" ht="15.75" customHeight="1" thickBot="1" x14ac:dyDescent="0.25">
      <c r="B17" s="12"/>
      <c r="C17" s="15">
        <v>63</v>
      </c>
      <c r="D17" s="15">
        <v>43</v>
      </c>
      <c r="E17" s="15">
        <v>0</v>
      </c>
      <c r="F17" s="15">
        <v>516</v>
      </c>
      <c r="G17" s="15">
        <v>103</v>
      </c>
      <c r="H17" s="16" t="s">
        <v>10</v>
      </c>
      <c r="I17" s="428"/>
      <c r="J17" s="12"/>
    </row>
    <row r="18" spans="2:10" ht="15.75" customHeight="1" thickBot="1" x14ac:dyDescent="0.25">
      <c r="B18" s="12"/>
      <c r="C18" s="15">
        <f t="shared" ref="C18" si="13">SUM(C16:C17)</f>
        <v>171</v>
      </c>
      <c r="D18" s="15">
        <f t="shared" ref="D18" si="14">SUM(D16:D17)</f>
        <v>81</v>
      </c>
      <c r="E18" s="15">
        <f t="shared" ref="E18" si="15">SUM(E16:E17)</f>
        <v>49</v>
      </c>
      <c r="F18" s="15">
        <f t="shared" ref="F18" si="16">SUM(F16:F17)</f>
        <v>1083</v>
      </c>
      <c r="G18" s="15">
        <f>SUM(G16:G17)</f>
        <v>195</v>
      </c>
      <c r="H18" s="16" t="s">
        <v>12</v>
      </c>
      <c r="I18" s="429"/>
      <c r="J18" s="12"/>
    </row>
    <row r="19" spans="2:10" ht="13.5" thickBot="1" x14ac:dyDescent="0.25">
      <c r="B19" s="12"/>
      <c r="C19" s="15">
        <v>14</v>
      </c>
      <c r="D19" s="15">
        <v>12</v>
      </c>
      <c r="E19" s="15">
        <v>0</v>
      </c>
      <c r="F19" s="15">
        <v>0</v>
      </c>
      <c r="G19" s="15">
        <v>0</v>
      </c>
      <c r="H19" s="16" t="s">
        <v>9</v>
      </c>
      <c r="I19" s="430" t="s">
        <v>130</v>
      </c>
      <c r="J19" s="12"/>
    </row>
    <row r="20" spans="2:10" ht="15.75" customHeight="1" thickBot="1" x14ac:dyDescent="0.25">
      <c r="B20" s="12"/>
      <c r="C20" s="15">
        <v>118</v>
      </c>
      <c r="D20" s="15">
        <v>67</v>
      </c>
      <c r="E20" s="15">
        <v>32</v>
      </c>
      <c r="F20" s="15">
        <v>452</v>
      </c>
      <c r="G20" s="15">
        <v>456</v>
      </c>
      <c r="H20" s="16" t="s">
        <v>10</v>
      </c>
      <c r="I20" s="428"/>
      <c r="J20" s="12"/>
    </row>
    <row r="21" spans="2:10" ht="15.75" customHeight="1" thickBot="1" x14ac:dyDescent="0.25">
      <c r="B21" s="12"/>
      <c r="C21" s="15">
        <f t="shared" ref="C21" si="17">SUM(C19:C20)</f>
        <v>132</v>
      </c>
      <c r="D21" s="15">
        <f t="shared" ref="D21" si="18">SUM(D19:D20)</f>
        <v>79</v>
      </c>
      <c r="E21" s="15">
        <f t="shared" ref="E21" si="19">SUM(E19:E20)</f>
        <v>32</v>
      </c>
      <c r="F21" s="15">
        <f t="shared" ref="F21" si="20">SUM(F19:F20)</f>
        <v>452</v>
      </c>
      <c r="G21" s="15">
        <f>SUM(G19:G20)</f>
        <v>456</v>
      </c>
      <c r="H21" s="16" t="s">
        <v>12</v>
      </c>
      <c r="I21" s="429"/>
      <c r="J21" s="12"/>
    </row>
    <row r="22" spans="2:10" ht="13.5" thickBot="1" x14ac:dyDescent="0.25">
      <c r="B22" s="12"/>
      <c r="C22" s="15">
        <v>18</v>
      </c>
      <c r="D22" s="15">
        <v>16</v>
      </c>
      <c r="E22" s="15">
        <v>0</v>
      </c>
      <c r="F22" s="15">
        <v>0</v>
      </c>
      <c r="G22" s="15">
        <v>0</v>
      </c>
      <c r="H22" s="16" t="s">
        <v>9</v>
      </c>
      <c r="I22" s="430" t="s">
        <v>133</v>
      </c>
      <c r="J22" s="12"/>
    </row>
    <row r="23" spans="2:10" ht="15.75" customHeight="1" thickBot="1" x14ac:dyDescent="0.25">
      <c r="B23" s="12"/>
      <c r="C23" s="15">
        <v>141</v>
      </c>
      <c r="D23" s="15">
        <v>124</v>
      </c>
      <c r="E23" s="15">
        <v>139</v>
      </c>
      <c r="F23" s="15">
        <v>814</v>
      </c>
      <c r="G23" s="15">
        <v>217</v>
      </c>
      <c r="H23" s="16" t="s">
        <v>10</v>
      </c>
      <c r="I23" s="428"/>
      <c r="J23" s="12"/>
    </row>
    <row r="24" spans="2:10" ht="15.75" customHeight="1" thickBot="1" x14ac:dyDescent="0.25">
      <c r="B24" s="12"/>
      <c r="C24" s="15">
        <f t="shared" ref="C24" si="21">SUM(C22:C23)</f>
        <v>159</v>
      </c>
      <c r="D24" s="15">
        <f t="shared" ref="D24" si="22">SUM(D22:D23)</f>
        <v>140</v>
      </c>
      <c r="E24" s="15">
        <f t="shared" ref="E24" si="23">SUM(E22:E23)</f>
        <v>139</v>
      </c>
      <c r="F24" s="15">
        <f t="shared" ref="F24" si="24">SUM(F22:F23)</f>
        <v>814</v>
      </c>
      <c r="G24" s="15">
        <f>SUM(G22:G23)</f>
        <v>217</v>
      </c>
      <c r="H24" s="16" t="s">
        <v>12</v>
      </c>
      <c r="I24" s="429"/>
      <c r="J24" s="12"/>
    </row>
    <row r="25" spans="2:10" ht="13.5" thickBot="1" x14ac:dyDescent="0.25">
      <c r="B25" s="12"/>
      <c r="C25" s="15">
        <v>15</v>
      </c>
      <c r="D25" s="15">
        <v>20</v>
      </c>
      <c r="E25" s="15">
        <v>25</v>
      </c>
      <c r="F25" s="15">
        <v>361</v>
      </c>
      <c r="G25" s="15">
        <v>125</v>
      </c>
      <c r="H25" s="16" t="s">
        <v>9</v>
      </c>
      <c r="I25" s="430" t="s">
        <v>134</v>
      </c>
      <c r="J25" s="12"/>
    </row>
    <row r="26" spans="2:10" ht="15.75" customHeight="1" thickBot="1" x14ac:dyDescent="0.25">
      <c r="B26" s="12"/>
      <c r="C26" s="15">
        <v>6</v>
      </c>
      <c r="D26" s="15">
        <v>2</v>
      </c>
      <c r="E26" s="15">
        <v>0</v>
      </c>
      <c r="F26" s="15">
        <v>0</v>
      </c>
      <c r="G26" s="15">
        <v>0</v>
      </c>
      <c r="H26" s="16" t="s">
        <v>10</v>
      </c>
      <c r="I26" s="428"/>
      <c r="J26" s="12"/>
    </row>
    <row r="27" spans="2:10" ht="15.75" customHeight="1" thickBot="1" x14ac:dyDescent="0.25">
      <c r="B27" s="12"/>
      <c r="C27" s="15">
        <f t="shared" ref="C27" si="25">SUM(C25:C26)</f>
        <v>21</v>
      </c>
      <c r="D27" s="15">
        <f t="shared" ref="D27" si="26">SUM(D25:D26)</f>
        <v>22</v>
      </c>
      <c r="E27" s="15">
        <f t="shared" ref="E27" si="27">SUM(E25:E26)</f>
        <v>25</v>
      </c>
      <c r="F27" s="15">
        <f t="shared" ref="F27" si="28">SUM(F25:F26)</f>
        <v>361</v>
      </c>
      <c r="G27" s="15">
        <f>SUM(G25:G26)</f>
        <v>125</v>
      </c>
      <c r="H27" s="16" t="s">
        <v>12</v>
      </c>
      <c r="I27" s="429"/>
      <c r="J27" s="12"/>
    </row>
    <row r="28" spans="2:10" ht="13.5" thickBot="1" x14ac:dyDescent="0.25">
      <c r="B28" s="12"/>
      <c r="C28" s="15">
        <v>25</v>
      </c>
      <c r="D28" s="15">
        <v>30</v>
      </c>
      <c r="E28" s="15">
        <v>1</v>
      </c>
      <c r="F28" s="15">
        <v>55</v>
      </c>
      <c r="G28" s="15">
        <v>59</v>
      </c>
      <c r="H28" s="16" t="s">
        <v>9</v>
      </c>
      <c r="I28" s="430" t="s">
        <v>201</v>
      </c>
      <c r="J28" s="12"/>
    </row>
    <row r="29" spans="2:10" ht="15.75" customHeight="1" thickBot="1" x14ac:dyDescent="0.25">
      <c r="B29" s="12"/>
      <c r="C29" s="15">
        <v>2</v>
      </c>
      <c r="D29" s="15">
        <v>1</v>
      </c>
      <c r="E29" s="15">
        <v>0</v>
      </c>
      <c r="F29" s="15">
        <v>0</v>
      </c>
      <c r="G29" s="15">
        <v>0</v>
      </c>
      <c r="H29" s="16" t="s">
        <v>10</v>
      </c>
      <c r="I29" s="428"/>
      <c r="J29" s="12"/>
    </row>
    <row r="30" spans="2:10" ht="15.75" customHeight="1" thickBot="1" x14ac:dyDescent="0.25">
      <c r="B30" s="12"/>
      <c r="C30" s="15">
        <f t="shared" ref="C30" si="29">SUM(C28:C29)</f>
        <v>27</v>
      </c>
      <c r="D30" s="15">
        <f t="shared" ref="D30" si="30">SUM(D28:D29)</f>
        <v>31</v>
      </c>
      <c r="E30" s="15">
        <f t="shared" ref="E30" si="31">SUM(E28:E29)</f>
        <v>1</v>
      </c>
      <c r="F30" s="15">
        <f t="shared" ref="F30" si="32">SUM(F28:F29)</f>
        <v>55</v>
      </c>
      <c r="G30" s="15">
        <f>SUM(G28:G29)</f>
        <v>59</v>
      </c>
      <c r="H30" s="16" t="s">
        <v>12</v>
      </c>
      <c r="I30" s="429"/>
      <c r="J30" s="12"/>
    </row>
    <row r="31" spans="2:10" ht="13.5" thickBot="1" x14ac:dyDescent="0.25">
      <c r="B31" s="12"/>
      <c r="C31" s="15">
        <v>22</v>
      </c>
      <c r="D31" s="15">
        <v>15</v>
      </c>
      <c r="E31" s="15">
        <v>66</v>
      </c>
      <c r="F31" s="15">
        <v>269</v>
      </c>
      <c r="G31" s="15">
        <v>106</v>
      </c>
      <c r="H31" s="16" t="s">
        <v>9</v>
      </c>
      <c r="I31" s="430" t="s">
        <v>135</v>
      </c>
      <c r="J31" s="12"/>
    </row>
    <row r="32" spans="2:10" ht="15.75" customHeight="1" thickBot="1" x14ac:dyDescent="0.25">
      <c r="B32" s="12"/>
      <c r="C32" s="15">
        <v>0</v>
      </c>
      <c r="D32" s="15">
        <v>1</v>
      </c>
      <c r="E32" s="15">
        <v>0</v>
      </c>
      <c r="F32" s="15">
        <v>0</v>
      </c>
      <c r="G32" s="15">
        <v>0</v>
      </c>
      <c r="H32" s="16" t="s">
        <v>10</v>
      </c>
      <c r="I32" s="428"/>
      <c r="J32" s="12"/>
    </row>
    <row r="33" spans="2:10" ht="15.75" customHeight="1" thickBot="1" x14ac:dyDescent="0.25">
      <c r="B33" s="12"/>
      <c r="C33" s="15">
        <f t="shared" ref="C33" si="33">SUM(C31:C32)</f>
        <v>22</v>
      </c>
      <c r="D33" s="15">
        <f t="shared" ref="D33" si="34">SUM(D31:D32)</f>
        <v>16</v>
      </c>
      <c r="E33" s="15">
        <f t="shared" ref="E33" si="35">SUM(E31:E32)</f>
        <v>66</v>
      </c>
      <c r="F33" s="15">
        <f t="shared" ref="F33" si="36">SUM(F31:F32)</f>
        <v>269</v>
      </c>
      <c r="G33" s="15">
        <f>SUM(G31:G32)</f>
        <v>106</v>
      </c>
      <c r="H33" s="16" t="s">
        <v>12</v>
      </c>
      <c r="I33" s="429"/>
      <c r="J33" s="12"/>
    </row>
    <row r="34" spans="2:10" ht="13.5" thickBot="1" x14ac:dyDescent="0.25">
      <c r="B34" s="12"/>
      <c r="C34" s="15">
        <v>0</v>
      </c>
      <c r="D34" s="15">
        <v>43</v>
      </c>
      <c r="E34" s="15">
        <v>107</v>
      </c>
      <c r="F34" s="15">
        <v>1038</v>
      </c>
      <c r="G34" s="15">
        <v>66</v>
      </c>
      <c r="H34" s="16" t="s">
        <v>9</v>
      </c>
      <c r="I34" s="430" t="s">
        <v>136</v>
      </c>
      <c r="J34" s="12"/>
    </row>
    <row r="35" spans="2:10" ht="15.75" customHeight="1" thickBot="1" x14ac:dyDescent="0.25">
      <c r="B35" s="12"/>
      <c r="C35" s="15">
        <v>0</v>
      </c>
      <c r="D35" s="15">
        <v>0</v>
      </c>
      <c r="E35" s="15">
        <v>33</v>
      </c>
      <c r="F35" s="15">
        <v>504</v>
      </c>
      <c r="G35" s="15">
        <v>41</v>
      </c>
      <c r="H35" s="16" t="s">
        <v>10</v>
      </c>
      <c r="I35" s="428"/>
      <c r="J35" s="12"/>
    </row>
    <row r="36" spans="2:10" ht="15.75" customHeight="1" thickBot="1" x14ac:dyDescent="0.25">
      <c r="B36" s="12"/>
      <c r="C36" s="15">
        <f t="shared" ref="C36" si="37">SUM(C34:C35)</f>
        <v>0</v>
      </c>
      <c r="D36" s="15">
        <f t="shared" ref="D36" si="38">SUM(D34:D35)</f>
        <v>43</v>
      </c>
      <c r="E36" s="15">
        <f t="shared" ref="E36" si="39">SUM(E34:E35)</f>
        <v>140</v>
      </c>
      <c r="F36" s="15">
        <f t="shared" ref="F36" si="40">SUM(F34:F35)</f>
        <v>1542</v>
      </c>
      <c r="G36" s="15">
        <f>SUM(G34:G35)</f>
        <v>107</v>
      </c>
      <c r="H36" s="16" t="s">
        <v>12</v>
      </c>
      <c r="I36" s="429"/>
      <c r="J36" s="12"/>
    </row>
    <row r="37" spans="2:10" ht="13.5" thickBot="1" x14ac:dyDescent="0.25">
      <c r="B37" s="12"/>
      <c r="C37" s="15">
        <v>5</v>
      </c>
      <c r="D37" s="15">
        <v>14</v>
      </c>
      <c r="E37" s="15">
        <v>0</v>
      </c>
      <c r="F37" s="15">
        <v>151</v>
      </c>
      <c r="G37" s="15">
        <v>151</v>
      </c>
      <c r="H37" s="16" t="s">
        <v>9</v>
      </c>
      <c r="I37" s="430" t="s">
        <v>137</v>
      </c>
      <c r="J37" s="12"/>
    </row>
    <row r="38" spans="2:10" ht="15.75" customHeight="1" thickBot="1" x14ac:dyDescent="0.25">
      <c r="B38" s="12"/>
      <c r="C38" s="15">
        <v>8</v>
      </c>
      <c r="D38" s="15">
        <v>18</v>
      </c>
      <c r="E38" s="15">
        <v>28</v>
      </c>
      <c r="F38" s="15">
        <v>134</v>
      </c>
      <c r="G38" s="15">
        <v>44</v>
      </c>
      <c r="H38" s="16" t="s">
        <v>10</v>
      </c>
      <c r="I38" s="428"/>
      <c r="J38" s="12"/>
    </row>
    <row r="39" spans="2:10" ht="15.75" customHeight="1" thickBot="1" x14ac:dyDescent="0.25">
      <c r="B39" s="12"/>
      <c r="C39" s="15">
        <f t="shared" ref="C39" si="41">SUM(C37:C38)</f>
        <v>13</v>
      </c>
      <c r="D39" s="15">
        <f t="shared" ref="D39" si="42">SUM(D37:D38)</f>
        <v>32</v>
      </c>
      <c r="E39" s="15">
        <f t="shared" ref="E39" si="43">SUM(E37:E38)</f>
        <v>28</v>
      </c>
      <c r="F39" s="15">
        <f t="shared" ref="F39" si="44">SUM(F37:F38)</f>
        <v>285</v>
      </c>
      <c r="G39" s="15">
        <f>SUM(G37:G38)</f>
        <v>195</v>
      </c>
      <c r="H39" s="16" t="s">
        <v>12</v>
      </c>
      <c r="I39" s="429"/>
      <c r="J39" s="12"/>
    </row>
    <row r="40" spans="2:10" ht="13.5" thickBot="1" x14ac:dyDescent="0.25">
      <c r="B40" s="12"/>
      <c r="C40" s="15">
        <v>78</v>
      </c>
      <c r="D40" s="15">
        <v>60</v>
      </c>
      <c r="E40" s="15">
        <v>18</v>
      </c>
      <c r="F40" s="15">
        <v>541</v>
      </c>
      <c r="G40" s="15">
        <v>110</v>
      </c>
      <c r="H40" s="16" t="s">
        <v>9</v>
      </c>
      <c r="I40" s="427" t="s">
        <v>204</v>
      </c>
      <c r="J40" s="12"/>
    </row>
    <row r="41" spans="2:10" ht="15.75" customHeight="1" thickBot="1" x14ac:dyDescent="0.25">
      <c r="B41" s="12"/>
      <c r="C41" s="15">
        <v>84</v>
      </c>
      <c r="D41" s="15">
        <v>29</v>
      </c>
      <c r="E41" s="15">
        <v>29</v>
      </c>
      <c r="F41" s="15">
        <v>704</v>
      </c>
      <c r="G41" s="15">
        <v>160</v>
      </c>
      <c r="H41" s="16" t="s">
        <v>10</v>
      </c>
      <c r="I41" s="428"/>
      <c r="J41" s="12"/>
    </row>
    <row r="42" spans="2:10" ht="15.75" customHeight="1" thickBot="1" x14ac:dyDescent="0.25">
      <c r="B42" s="12"/>
      <c r="C42" s="15">
        <f t="shared" ref="C42" si="45">SUM(C40:C41)</f>
        <v>162</v>
      </c>
      <c r="D42" s="15">
        <f t="shared" ref="D42" si="46">SUM(D40:D41)</f>
        <v>89</v>
      </c>
      <c r="E42" s="15">
        <f t="shared" ref="E42" si="47">SUM(E40:E41)</f>
        <v>47</v>
      </c>
      <c r="F42" s="15">
        <f t="shared" ref="F42" si="48">SUM(F40:F41)</f>
        <v>1245</v>
      </c>
      <c r="G42" s="15">
        <f>SUM(G40:G41)</f>
        <v>270</v>
      </c>
      <c r="H42" s="16" t="s">
        <v>12</v>
      </c>
      <c r="I42" s="429"/>
      <c r="J42" s="12"/>
    </row>
    <row r="43" spans="2:10" ht="13.5" thickBot="1" x14ac:dyDescent="0.25">
      <c r="B43" s="12"/>
      <c r="C43" s="15">
        <v>18</v>
      </c>
      <c r="D43" s="15">
        <v>21</v>
      </c>
      <c r="E43" s="15">
        <v>0</v>
      </c>
      <c r="F43" s="15">
        <v>596</v>
      </c>
      <c r="G43" s="15">
        <v>162</v>
      </c>
      <c r="H43" s="16" t="s">
        <v>9</v>
      </c>
      <c r="I43" s="430" t="s">
        <v>138</v>
      </c>
      <c r="J43" s="12"/>
    </row>
    <row r="44" spans="2:10" ht="15.75" customHeight="1" thickBot="1" x14ac:dyDescent="0.25">
      <c r="B44" s="12"/>
      <c r="C44" s="15">
        <v>10</v>
      </c>
      <c r="D44" s="15">
        <v>20</v>
      </c>
      <c r="E44" s="15">
        <v>0</v>
      </c>
      <c r="F44" s="15">
        <v>576</v>
      </c>
      <c r="G44" s="15">
        <v>183</v>
      </c>
      <c r="H44" s="16" t="s">
        <v>10</v>
      </c>
      <c r="I44" s="428"/>
      <c r="J44" s="12"/>
    </row>
    <row r="45" spans="2:10" ht="15.75" customHeight="1" thickBot="1" x14ac:dyDescent="0.25">
      <c r="B45" s="12"/>
      <c r="C45" s="15">
        <f t="shared" ref="C45" si="49">SUM(C43:C44)</f>
        <v>28</v>
      </c>
      <c r="D45" s="15">
        <f t="shared" ref="D45" si="50">SUM(D43:D44)</f>
        <v>41</v>
      </c>
      <c r="E45" s="15">
        <f t="shared" ref="E45" si="51">SUM(E43:E44)</f>
        <v>0</v>
      </c>
      <c r="F45" s="15">
        <f t="shared" ref="F45" si="52">SUM(F43:F44)</f>
        <v>1172</v>
      </c>
      <c r="G45" s="15">
        <f>SUM(G43:G44)</f>
        <v>345</v>
      </c>
      <c r="H45" s="16" t="s">
        <v>12</v>
      </c>
      <c r="I45" s="429"/>
      <c r="J45" s="12"/>
    </row>
    <row r="46" spans="2:10" ht="13.5" thickBot="1" x14ac:dyDescent="0.25">
      <c r="B46" s="12"/>
      <c r="C46" s="15">
        <v>7</v>
      </c>
      <c r="D46" s="15">
        <v>12</v>
      </c>
      <c r="E46" s="15">
        <v>0</v>
      </c>
      <c r="F46" s="15">
        <v>241</v>
      </c>
      <c r="G46" s="15">
        <v>150</v>
      </c>
      <c r="H46" s="16" t="s">
        <v>9</v>
      </c>
      <c r="I46" s="430" t="s">
        <v>139</v>
      </c>
      <c r="J46" s="12"/>
    </row>
    <row r="47" spans="2:10" ht="15.75" customHeight="1" thickBot="1" x14ac:dyDescent="0.25">
      <c r="B47" s="12"/>
      <c r="C47" s="15">
        <v>0</v>
      </c>
      <c r="D47" s="15">
        <v>0</v>
      </c>
      <c r="E47" s="15">
        <v>0</v>
      </c>
      <c r="F47" s="15">
        <v>78</v>
      </c>
      <c r="G47" s="15">
        <v>78</v>
      </c>
      <c r="H47" s="16" t="s">
        <v>10</v>
      </c>
      <c r="I47" s="428"/>
      <c r="J47" s="12"/>
    </row>
    <row r="48" spans="2:10" ht="15.75" customHeight="1" thickBot="1" x14ac:dyDescent="0.25">
      <c r="B48" s="12"/>
      <c r="C48" s="15">
        <f t="shared" ref="C48" si="53">SUM(C46:C47)</f>
        <v>7</v>
      </c>
      <c r="D48" s="15">
        <f t="shared" ref="D48" si="54">SUM(D46:D47)</f>
        <v>12</v>
      </c>
      <c r="E48" s="15">
        <f t="shared" ref="E48" si="55">SUM(E46:E47)</f>
        <v>0</v>
      </c>
      <c r="F48" s="15">
        <f t="shared" ref="F48" si="56">SUM(F46:F47)</f>
        <v>319</v>
      </c>
      <c r="G48" s="15">
        <f>SUM(G46:G47)</f>
        <v>228</v>
      </c>
      <c r="H48" s="16" t="s">
        <v>12</v>
      </c>
      <c r="I48" s="429"/>
      <c r="J48" s="12"/>
    </row>
    <row r="49" spans="2:10" ht="13.5" thickBot="1" x14ac:dyDescent="0.25">
      <c r="B49" s="12"/>
      <c r="C49" s="15">
        <v>31</v>
      </c>
      <c r="D49" s="15">
        <v>31</v>
      </c>
      <c r="E49" s="15">
        <v>30</v>
      </c>
      <c r="F49" s="15">
        <v>301</v>
      </c>
      <c r="G49" s="15">
        <v>124</v>
      </c>
      <c r="H49" s="16" t="s">
        <v>9</v>
      </c>
      <c r="I49" s="430" t="s">
        <v>140</v>
      </c>
      <c r="J49" s="12"/>
    </row>
    <row r="50" spans="2:10" ht="15.75" customHeight="1" thickBot="1" x14ac:dyDescent="0.25">
      <c r="B50" s="12"/>
      <c r="C50" s="15">
        <v>14</v>
      </c>
      <c r="D50" s="15">
        <v>17</v>
      </c>
      <c r="E50" s="15">
        <v>0</v>
      </c>
      <c r="F50" s="15">
        <v>178</v>
      </c>
      <c r="G50" s="15">
        <v>69</v>
      </c>
      <c r="H50" s="16" t="s">
        <v>10</v>
      </c>
      <c r="I50" s="428"/>
      <c r="J50" s="12"/>
    </row>
    <row r="51" spans="2:10" ht="15.75" customHeight="1" thickBot="1" x14ac:dyDescent="0.25">
      <c r="B51" s="12"/>
      <c r="C51" s="15">
        <f t="shared" ref="C51" si="57">SUM(C49:C50)</f>
        <v>45</v>
      </c>
      <c r="D51" s="15">
        <f t="shared" ref="D51" si="58">SUM(D49:D50)</f>
        <v>48</v>
      </c>
      <c r="E51" s="15">
        <f t="shared" ref="E51" si="59">SUM(E49:E50)</f>
        <v>30</v>
      </c>
      <c r="F51" s="15">
        <f t="shared" ref="F51" si="60">SUM(F49:F50)</f>
        <v>479</v>
      </c>
      <c r="G51" s="15">
        <f>SUM(G49:G50)</f>
        <v>193</v>
      </c>
      <c r="H51" s="16" t="s">
        <v>12</v>
      </c>
      <c r="I51" s="429"/>
      <c r="J51" s="12"/>
    </row>
    <row r="52" spans="2:10" ht="13.5" thickBot="1" x14ac:dyDescent="0.25">
      <c r="B52" s="12"/>
      <c r="C52" s="15">
        <v>33</v>
      </c>
      <c r="D52" s="15">
        <v>11</v>
      </c>
      <c r="E52" s="15">
        <v>0</v>
      </c>
      <c r="F52" s="15">
        <v>142</v>
      </c>
      <c r="G52" s="15">
        <v>126</v>
      </c>
      <c r="H52" s="16" t="s">
        <v>9</v>
      </c>
      <c r="I52" s="430" t="s">
        <v>192</v>
      </c>
      <c r="J52" s="12"/>
    </row>
    <row r="53" spans="2:10" ht="15.75" customHeight="1" thickBot="1" x14ac:dyDescent="0.25">
      <c r="B53" s="12"/>
      <c r="C53" s="15">
        <v>23</v>
      </c>
      <c r="D53" s="15">
        <v>17</v>
      </c>
      <c r="E53" s="15">
        <v>0</v>
      </c>
      <c r="F53" s="15">
        <v>145</v>
      </c>
      <c r="G53" s="15">
        <v>125</v>
      </c>
      <c r="H53" s="16" t="s">
        <v>10</v>
      </c>
      <c r="I53" s="428"/>
      <c r="J53" s="12"/>
    </row>
    <row r="54" spans="2:10" ht="15.75" customHeight="1" thickBot="1" x14ac:dyDescent="0.25">
      <c r="B54" s="12"/>
      <c r="C54" s="15">
        <f t="shared" ref="C54" si="61">SUM(C52:C53)</f>
        <v>56</v>
      </c>
      <c r="D54" s="15">
        <f t="shared" ref="D54" si="62">SUM(D52:D53)</f>
        <v>28</v>
      </c>
      <c r="E54" s="15">
        <f t="shared" ref="E54" si="63">SUM(E52:E53)</f>
        <v>0</v>
      </c>
      <c r="F54" s="15">
        <f t="shared" ref="F54" si="64">SUM(F52:F53)</f>
        <v>287</v>
      </c>
      <c r="G54" s="15">
        <f>SUM(G52:G53)</f>
        <v>251</v>
      </c>
      <c r="H54" s="16" t="s">
        <v>12</v>
      </c>
      <c r="I54" s="429"/>
      <c r="J54" s="12"/>
    </row>
    <row r="55" spans="2:10" ht="13.5" thickBot="1" x14ac:dyDescent="0.25">
      <c r="B55" s="12"/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6" t="s">
        <v>9</v>
      </c>
      <c r="I55" s="430" t="s">
        <v>193</v>
      </c>
      <c r="J55" s="12"/>
    </row>
    <row r="56" spans="2:10" ht="15.75" customHeight="1" thickBot="1" x14ac:dyDescent="0.25">
      <c r="B56" s="12"/>
      <c r="C56" s="15">
        <v>24</v>
      </c>
      <c r="D56" s="15">
        <v>23</v>
      </c>
      <c r="E56" s="15">
        <v>0</v>
      </c>
      <c r="F56" s="15">
        <v>211</v>
      </c>
      <c r="G56" s="15">
        <v>65</v>
      </c>
      <c r="H56" s="16" t="s">
        <v>10</v>
      </c>
      <c r="I56" s="428"/>
      <c r="J56" s="12"/>
    </row>
    <row r="57" spans="2:10" ht="15.75" customHeight="1" thickBot="1" x14ac:dyDescent="0.25">
      <c r="B57" s="12"/>
      <c r="C57" s="15">
        <f t="shared" ref="C57" si="65">SUM(C55:C56)</f>
        <v>24</v>
      </c>
      <c r="D57" s="15">
        <f t="shared" ref="D57" si="66">SUM(D55:D56)</f>
        <v>23</v>
      </c>
      <c r="E57" s="15">
        <f t="shared" ref="E57" si="67">SUM(E55:E56)</f>
        <v>0</v>
      </c>
      <c r="F57" s="15">
        <f t="shared" ref="F57" si="68">SUM(F55:F56)</f>
        <v>211</v>
      </c>
      <c r="G57" s="15">
        <f>SUM(G55:G56)</f>
        <v>65</v>
      </c>
      <c r="H57" s="16" t="s">
        <v>12</v>
      </c>
      <c r="I57" s="429"/>
      <c r="J57" s="12"/>
    </row>
    <row r="58" spans="2:10" ht="13.5" thickBot="1" x14ac:dyDescent="0.25">
      <c r="B58" s="12"/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6" t="s">
        <v>9</v>
      </c>
      <c r="I58" s="430" t="s">
        <v>141</v>
      </c>
      <c r="J58" s="12"/>
    </row>
    <row r="59" spans="2:10" ht="15.75" customHeight="1" thickBot="1" x14ac:dyDescent="0.25">
      <c r="B59" s="12"/>
      <c r="C59" s="15">
        <v>8</v>
      </c>
      <c r="D59" s="15">
        <v>15</v>
      </c>
      <c r="E59" s="15">
        <v>0</v>
      </c>
      <c r="F59" s="15">
        <v>132</v>
      </c>
      <c r="G59" s="15">
        <v>60</v>
      </c>
      <c r="H59" s="16" t="s">
        <v>10</v>
      </c>
      <c r="I59" s="428"/>
      <c r="J59" s="12"/>
    </row>
    <row r="60" spans="2:10" ht="15.75" customHeight="1" thickBot="1" x14ac:dyDescent="0.25">
      <c r="B60" s="12"/>
      <c r="C60" s="15">
        <f t="shared" ref="C60:F60" si="69">SUM(C58:C59)</f>
        <v>8</v>
      </c>
      <c r="D60" s="15">
        <f t="shared" si="69"/>
        <v>15</v>
      </c>
      <c r="E60" s="15">
        <f t="shared" si="69"/>
        <v>0</v>
      </c>
      <c r="F60" s="15">
        <f t="shared" si="69"/>
        <v>132</v>
      </c>
      <c r="G60" s="15">
        <f>SUM(G58:G59)</f>
        <v>60</v>
      </c>
      <c r="H60" s="16" t="s">
        <v>12</v>
      </c>
      <c r="I60" s="429"/>
      <c r="J60" s="12"/>
    </row>
    <row r="61" spans="2:10" ht="13.5" thickBot="1" x14ac:dyDescent="0.25">
      <c r="B61" s="12"/>
      <c r="C61" s="15">
        <v>10</v>
      </c>
      <c r="D61" s="15">
        <v>6</v>
      </c>
      <c r="E61" s="15">
        <v>0</v>
      </c>
      <c r="F61" s="15">
        <v>56</v>
      </c>
      <c r="G61" s="15">
        <v>27</v>
      </c>
      <c r="H61" s="16" t="s">
        <v>9</v>
      </c>
      <c r="I61" s="427" t="s">
        <v>203</v>
      </c>
      <c r="J61" s="12"/>
    </row>
    <row r="62" spans="2:10" ht="15.75" customHeight="1" thickBot="1" x14ac:dyDescent="0.25">
      <c r="B62" s="12"/>
      <c r="C62" s="15">
        <v>17</v>
      </c>
      <c r="D62" s="15">
        <v>32</v>
      </c>
      <c r="E62" s="15">
        <v>0</v>
      </c>
      <c r="F62" s="15">
        <v>242</v>
      </c>
      <c r="G62" s="15">
        <v>128</v>
      </c>
      <c r="H62" s="16" t="s">
        <v>10</v>
      </c>
      <c r="I62" s="428"/>
      <c r="J62" s="12"/>
    </row>
    <row r="63" spans="2:10" ht="15.75" customHeight="1" thickBot="1" x14ac:dyDescent="0.25">
      <c r="B63" s="12"/>
      <c r="C63" s="15">
        <f t="shared" ref="C63" si="70">SUM(C61:C62)</f>
        <v>27</v>
      </c>
      <c r="D63" s="15">
        <f t="shared" ref="D63" si="71">SUM(D61:D62)</f>
        <v>38</v>
      </c>
      <c r="E63" s="15">
        <f t="shared" ref="E63" si="72">SUM(E61:E62)</f>
        <v>0</v>
      </c>
      <c r="F63" s="15">
        <f t="shared" ref="F63" si="73">SUM(F61:F62)</f>
        <v>298</v>
      </c>
      <c r="G63" s="15">
        <f>SUM(G61:G62)</f>
        <v>155</v>
      </c>
      <c r="H63" s="16" t="s">
        <v>12</v>
      </c>
      <c r="I63" s="429"/>
      <c r="J63" s="12"/>
    </row>
    <row r="64" spans="2:10" ht="13.5" thickBot="1" x14ac:dyDescent="0.25">
      <c r="B64" s="12"/>
      <c r="C64" s="15">
        <v>0</v>
      </c>
      <c r="D64" s="15">
        <v>0</v>
      </c>
      <c r="E64" s="15">
        <v>0</v>
      </c>
      <c r="F64" s="15">
        <v>61</v>
      </c>
      <c r="G64" s="15">
        <v>61</v>
      </c>
      <c r="H64" s="13" t="s">
        <v>26</v>
      </c>
      <c r="I64" s="427" t="s">
        <v>194</v>
      </c>
      <c r="J64" s="12"/>
    </row>
    <row r="65" spans="2:10" ht="15.75" customHeight="1" thickBot="1" x14ac:dyDescent="0.25">
      <c r="B65" s="12"/>
      <c r="C65" s="15">
        <v>0</v>
      </c>
      <c r="D65" s="15">
        <v>0</v>
      </c>
      <c r="E65" s="15">
        <v>0</v>
      </c>
      <c r="F65" s="15">
        <v>186</v>
      </c>
      <c r="G65" s="15">
        <v>189</v>
      </c>
      <c r="H65" s="13" t="s">
        <v>27</v>
      </c>
      <c r="I65" s="428"/>
      <c r="J65" s="12"/>
    </row>
    <row r="66" spans="2:10" ht="15.75" customHeight="1" thickBot="1" x14ac:dyDescent="0.25">
      <c r="B66" s="12"/>
      <c r="C66" s="15">
        <f t="shared" ref="C66" si="74">SUM(C64:C65)</f>
        <v>0</v>
      </c>
      <c r="D66" s="15">
        <f t="shared" ref="D66" si="75">SUM(D64:D65)</f>
        <v>0</v>
      </c>
      <c r="E66" s="15">
        <f t="shared" ref="E66" si="76">SUM(E64:E65)</f>
        <v>0</v>
      </c>
      <c r="F66" s="15">
        <f t="shared" ref="F66" si="77">SUM(F64:F65)</f>
        <v>247</v>
      </c>
      <c r="G66" s="15">
        <f>SUM(G64:G65)</f>
        <v>250</v>
      </c>
      <c r="H66" s="13" t="s">
        <v>12</v>
      </c>
      <c r="I66" s="429"/>
      <c r="J66" s="12"/>
    </row>
    <row r="67" spans="2:10" ht="13.5" thickBot="1" x14ac:dyDescent="0.25"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29" t="s">
        <v>26</v>
      </c>
      <c r="I67" s="430" t="s">
        <v>195</v>
      </c>
    </row>
    <row r="68" spans="2:10" ht="15.75" customHeight="1" thickBot="1" x14ac:dyDescent="0.25">
      <c r="C68" s="15">
        <v>0</v>
      </c>
      <c r="D68" s="15">
        <v>0</v>
      </c>
      <c r="E68" s="15">
        <v>0</v>
      </c>
      <c r="F68" s="15">
        <v>41</v>
      </c>
      <c r="G68" s="15">
        <v>40</v>
      </c>
      <c r="H68" s="29" t="s">
        <v>27</v>
      </c>
      <c r="I68" s="428"/>
    </row>
    <row r="69" spans="2:10" ht="15.75" customHeight="1" thickBot="1" x14ac:dyDescent="0.25">
      <c r="C69" s="15">
        <f t="shared" ref="C69" si="78">SUM(C67:C68)</f>
        <v>0</v>
      </c>
      <c r="D69" s="15">
        <f t="shared" ref="D69" si="79">SUM(D67:D68)</f>
        <v>0</v>
      </c>
      <c r="E69" s="15">
        <f t="shared" ref="E69" si="80">SUM(E67:E68)</f>
        <v>0</v>
      </c>
      <c r="F69" s="15">
        <f t="shared" ref="F69" si="81">SUM(F67:F68)</f>
        <v>41</v>
      </c>
      <c r="G69" s="15">
        <f>SUM(G67:G68)</f>
        <v>40</v>
      </c>
      <c r="H69" s="29" t="s">
        <v>12</v>
      </c>
      <c r="I69" s="429"/>
    </row>
    <row r="70" spans="2:10" ht="13.5" thickBot="1" x14ac:dyDescent="0.25">
      <c r="C70" s="15">
        <f t="shared" ref="C70:F72" si="82">C4+C7+C10+C13+C16+C19+C22+C25+C28+C31+C34+C37+C40+C43+C46+C49+C52+C55+C58+C61+C64+C67</f>
        <v>597</v>
      </c>
      <c r="D70" s="15">
        <f t="shared" si="82"/>
        <v>799</v>
      </c>
      <c r="E70" s="15">
        <f t="shared" si="82"/>
        <v>882</v>
      </c>
      <c r="F70" s="15">
        <f t="shared" si="82"/>
        <v>13447</v>
      </c>
      <c r="G70" s="15">
        <f>G4+G7+G10+G13+G16+G19+G22+G25+G28+G31+G34+G37+G40+G43+G46+G49+G52+G55+G58+G61+G64+G67</f>
        <v>3929</v>
      </c>
      <c r="H70" s="29" t="s">
        <v>26</v>
      </c>
      <c r="I70" s="417" t="s">
        <v>41</v>
      </c>
    </row>
    <row r="71" spans="2:10" ht="15.75" customHeight="1" thickBot="1" x14ac:dyDescent="0.25">
      <c r="C71" s="15">
        <f t="shared" si="82"/>
        <v>647</v>
      </c>
      <c r="D71" s="15">
        <f t="shared" si="82"/>
        <v>738</v>
      </c>
      <c r="E71" s="15">
        <f t="shared" si="82"/>
        <v>738</v>
      </c>
      <c r="F71" s="15">
        <f t="shared" si="82"/>
        <v>12969</v>
      </c>
      <c r="G71" s="15">
        <f t="shared" ref="G71:G72" si="83">G5+G8+G11+G14+G17+G20+G23+G26+G29+G32+G35+G38+G41+G44+G47+G50+G53+G56+G59+G62+G65+G68</f>
        <v>4037</v>
      </c>
      <c r="H71" s="29" t="s">
        <v>27</v>
      </c>
      <c r="I71" s="424"/>
    </row>
    <row r="72" spans="2:10" ht="15.75" customHeight="1" thickBot="1" x14ac:dyDescent="0.25">
      <c r="C72" s="15">
        <f t="shared" si="82"/>
        <v>1244</v>
      </c>
      <c r="D72" s="15">
        <f t="shared" si="82"/>
        <v>1537</v>
      </c>
      <c r="E72" s="15">
        <f t="shared" si="82"/>
        <v>1620</v>
      </c>
      <c r="F72" s="15">
        <f t="shared" si="82"/>
        <v>26416</v>
      </c>
      <c r="G72" s="15">
        <f t="shared" si="83"/>
        <v>7966</v>
      </c>
      <c r="H72" s="29" t="s">
        <v>12</v>
      </c>
      <c r="I72" s="418"/>
    </row>
  </sheetData>
  <mergeCells count="25">
    <mergeCell ref="C1:I1"/>
    <mergeCell ref="C2:I2"/>
    <mergeCell ref="I31:I33"/>
    <mergeCell ref="I28:I30"/>
    <mergeCell ref="I25:I27"/>
    <mergeCell ref="I22:I24"/>
    <mergeCell ref="I19:I21"/>
    <mergeCell ref="I16:I18"/>
    <mergeCell ref="I13:I15"/>
    <mergeCell ref="I10:I12"/>
    <mergeCell ref="I7:I9"/>
    <mergeCell ref="I4:I6"/>
    <mergeCell ref="I40:I42"/>
    <mergeCell ref="I37:I39"/>
    <mergeCell ref="I34:I36"/>
    <mergeCell ref="I70:I72"/>
    <mergeCell ref="I67:I69"/>
    <mergeCell ref="I64:I66"/>
    <mergeCell ref="I61:I63"/>
    <mergeCell ref="I58:I60"/>
    <mergeCell ref="I55:I57"/>
    <mergeCell ref="I52:I54"/>
    <mergeCell ref="I49:I51"/>
    <mergeCell ref="I46:I48"/>
    <mergeCell ref="I43:I45"/>
  </mergeCells>
  <pageMargins left="0.5" right="0.5" top="0.5" bottom="0.5" header="0.5" footer="0.5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D1:L129"/>
  <sheetViews>
    <sheetView showGridLines="0" topLeftCell="A34" zoomScale="88" zoomScaleNormal="88" workbookViewId="0">
      <selection activeCell="J132" sqref="J132"/>
    </sheetView>
  </sheetViews>
  <sheetFormatPr defaultRowHeight="17.25" customHeight="1" x14ac:dyDescent="0.2"/>
  <cols>
    <col min="1" max="1" width="9.125" style="2"/>
    <col min="2" max="2" width="9.25" style="2" customWidth="1"/>
    <col min="3" max="3" width="0" style="2" hidden="1" customWidth="1"/>
    <col min="4" max="9" width="11" style="2" customWidth="1"/>
    <col min="10" max="10" width="20.625" style="2" customWidth="1"/>
    <col min="11" max="11" width="27.375" style="2" customWidth="1"/>
    <col min="12" max="12" width="8.75" style="2" customWidth="1"/>
    <col min="13" max="255" width="9.125" style="2"/>
    <col min="256" max="261" width="11" style="2" customWidth="1"/>
    <col min="262" max="262" width="20.625" style="2" customWidth="1"/>
    <col min="263" max="263" width="27.375" style="2" customWidth="1"/>
    <col min="264" max="264" width="16.375" style="2" customWidth="1"/>
    <col min="265" max="511" width="9.125" style="2"/>
    <col min="512" max="517" width="11" style="2" customWidth="1"/>
    <col min="518" max="518" width="20.625" style="2" customWidth="1"/>
    <col min="519" max="519" width="27.375" style="2" customWidth="1"/>
    <col min="520" max="520" width="16.375" style="2" customWidth="1"/>
    <col min="521" max="767" width="9.125" style="2"/>
    <col min="768" max="773" width="11" style="2" customWidth="1"/>
    <col min="774" max="774" width="20.625" style="2" customWidth="1"/>
    <col min="775" max="775" width="27.375" style="2" customWidth="1"/>
    <col min="776" max="776" width="16.375" style="2" customWidth="1"/>
    <col min="777" max="1023" width="9.125" style="2"/>
    <col min="1024" max="1029" width="11" style="2" customWidth="1"/>
    <col min="1030" max="1030" width="20.625" style="2" customWidth="1"/>
    <col min="1031" max="1031" width="27.375" style="2" customWidth="1"/>
    <col min="1032" max="1032" width="16.375" style="2" customWidth="1"/>
    <col min="1033" max="1279" width="9.125" style="2"/>
    <col min="1280" max="1285" width="11" style="2" customWidth="1"/>
    <col min="1286" max="1286" width="20.625" style="2" customWidth="1"/>
    <col min="1287" max="1287" width="27.375" style="2" customWidth="1"/>
    <col min="1288" max="1288" width="16.375" style="2" customWidth="1"/>
    <col min="1289" max="1535" width="9.125" style="2"/>
    <col min="1536" max="1541" width="11" style="2" customWidth="1"/>
    <col min="1542" max="1542" width="20.625" style="2" customWidth="1"/>
    <col min="1543" max="1543" width="27.375" style="2" customWidth="1"/>
    <col min="1544" max="1544" width="16.375" style="2" customWidth="1"/>
    <col min="1545" max="1791" width="9.125" style="2"/>
    <col min="1792" max="1797" width="11" style="2" customWidth="1"/>
    <col min="1798" max="1798" width="20.625" style="2" customWidth="1"/>
    <col min="1799" max="1799" width="27.375" style="2" customWidth="1"/>
    <col min="1800" max="1800" width="16.375" style="2" customWidth="1"/>
    <col min="1801" max="2047" width="9.125" style="2"/>
    <col min="2048" max="2053" width="11" style="2" customWidth="1"/>
    <col min="2054" max="2054" width="20.625" style="2" customWidth="1"/>
    <col min="2055" max="2055" width="27.375" style="2" customWidth="1"/>
    <col min="2056" max="2056" width="16.375" style="2" customWidth="1"/>
    <col min="2057" max="2303" width="9.125" style="2"/>
    <col min="2304" max="2309" width="11" style="2" customWidth="1"/>
    <col min="2310" max="2310" width="20.625" style="2" customWidth="1"/>
    <col min="2311" max="2311" width="27.375" style="2" customWidth="1"/>
    <col min="2312" max="2312" width="16.375" style="2" customWidth="1"/>
    <col min="2313" max="2559" width="9.125" style="2"/>
    <col min="2560" max="2565" width="11" style="2" customWidth="1"/>
    <col min="2566" max="2566" width="20.625" style="2" customWidth="1"/>
    <col min="2567" max="2567" width="27.375" style="2" customWidth="1"/>
    <col min="2568" max="2568" width="16.375" style="2" customWidth="1"/>
    <col min="2569" max="2815" width="9.125" style="2"/>
    <col min="2816" max="2821" width="11" style="2" customWidth="1"/>
    <col min="2822" max="2822" width="20.625" style="2" customWidth="1"/>
    <col min="2823" max="2823" width="27.375" style="2" customWidth="1"/>
    <col min="2824" max="2824" width="16.375" style="2" customWidth="1"/>
    <col min="2825" max="3071" width="9.125" style="2"/>
    <col min="3072" max="3077" width="11" style="2" customWidth="1"/>
    <col min="3078" max="3078" width="20.625" style="2" customWidth="1"/>
    <col min="3079" max="3079" width="27.375" style="2" customWidth="1"/>
    <col min="3080" max="3080" width="16.375" style="2" customWidth="1"/>
    <col min="3081" max="3327" width="9.125" style="2"/>
    <col min="3328" max="3333" width="11" style="2" customWidth="1"/>
    <col min="3334" max="3334" width="20.625" style="2" customWidth="1"/>
    <col min="3335" max="3335" width="27.375" style="2" customWidth="1"/>
    <col min="3336" max="3336" width="16.375" style="2" customWidth="1"/>
    <col min="3337" max="3583" width="9.125" style="2"/>
    <col min="3584" max="3589" width="11" style="2" customWidth="1"/>
    <col min="3590" max="3590" width="20.625" style="2" customWidth="1"/>
    <col min="3591" max="3591" width="27.375" style="2" customWidth="1"/>
    <col min="3592" max="3592" width="16.375" style="2" customWidth="1"/>
    <col min="3593" max="3839" width="9.125" style="2"/>
    <col min="3840" max="3845" width="11" style="2" customWidth="1"/>
    <col min="3846" max="3846" width="20.625" style="2" customWidth="1"/>
    <col min="3847" max="3847" width="27.375" style="2" customWidth="1"/>
    <col min="3848" max="3848" width="16.375" style="2" customWidth="1"/>
    <col min="3849" max="4095" width="9.125" style="2"/>
    <col min="4096" max="4101" width="11" style="2" customWidth="1"/>
    <col min="4102" max="4102" width="20.625" style="2" customWidth="1"/>
    <col min="4103" max="4103" width="27.375" style="2" customWidth="1"/>
    <col min="4104" max="4104" width="16.375" style="2" customWidth="1"/>
    <col min="4105" max="4351" width="9.125" style="2"/>
    <col min="4352" max="4357" width="11" style="2" customWidth="1"/>
    <col min="4358" max="4358" width="20.625" style="2" customWidth="1"/>
    <col min="4359" max="4359" width="27.375" style="2" customWidth="1"/>
    <col min="4360" max="4360" width="16.375" style="2" customWidth="1"/>
    <col min="4361" max="4607" width="9.125" style="2"/>
    <col min="4608" max="4613" width="11" style="2" customWidth="1"/>
    <col min="4614" max="4614" width="20.625" style="2" customWidth="1"/>
    <col min="4615" max="4615" width="27.375" style="2" customWidth="1"/>
    <col min="4616" max="4616" width="16.375" style="2" customWidth="1"/>
    <col min="4617" max="4863" width="9.125" style="2"/>
    <col min="4864" max="4869" width="11" style="2" customWidth="1"/>
    <col min="4870" max="4870" width="20.625" style="2" customWidth="1"/>
    <col min="4871" max="4871" width="27.375" style="2" customWidth="1"/>
    <col min="4872" max="4872" width="16.375" style="2" customWidth="1"/>
    <col min="4873" max="5119" width="9.125" style="2"/>
    <col min="5120" max="5125" width="11" style="2" customWidth="1"/>
    <col min="5126" max="5126" width="20.625" style="2" customWidth="1"/>
    <col min="5127" max="5127" width="27.375" style="2" customWidth="1"/>
    <col min="5128" max="5128" width="16.375" style="2" customWidth="1"/>
    <col min="5129" max="5375" width="9.125" style="2"/>
    <col min="5376" max="5381" width="11" style="2" customWidth="1"/>
    <col min="5382" max="5382" width="20.625" style="2" customWidth="1"/>
    <col min="5383" max="5383" width="27.375" style="2" customWidth="1"/>
    <col min="5384" max="5384" width="16.375" style="2" customWidth="1"/>
    <col min="5385" max="5631" width="9.125" style="2"/>
    <col min="5632" max="5637" width="11" style="2" customWidth="1"/>
    <col min="5638" max="5638" width="20.625" style="2" customWidth="1"/>
    <col min="5639" max="5639" width="27.375" style="2" customWidth="1"/>
    <col min="5640" max="5640" width="16.375" style="2" customWidth="1"/>
    <col min="5641" max="5887" width="9.125" style="2"/>
    <col min="5888" max="5893" width="11" style="2" customWidth="1"/>
    <col min="5894" max="5894" width="20.625" style="2" customWidth="1"/>
    <col min="5895" max="5895" width="27.375" style="2" customWidth="1"/>
    <col min="5896" max="5896" width="16.375" style="2" customWidth="1"/>
    <col min="5897" max="6143" width="9.125" style="2"/>
    <col min="6144" max="6149" width="11" style="2" customWidth="1"/>
    <col min="6150" max="6150" width="20.625" style="2" customWidth="1"/>
    <col min="6151" max="6151" width="27.375" style="2" customWidth="1"/>
    <col min="6152" max="6152" width="16.375" style="2" customWidth="1"/>
    <col min="6153" max="6399" width="9.125" style="2"/>
    <col min="6400" max="6405" width="11" style="2" customWidth="1"/>
    <col min="6406" max="6406" width="20.625" style="2" customWidth="1"/>
    <col min="6407" max="6407" width="27.375" style="2" customWidth="1"/>
    <col min="6408" max="6408" width="16.375" style="2" customWidth="1"/>
    <col min="6409" max="6655" width="9.125" style="2"/>
    <col min="6656" max="6661" width="11" style="2" customWidth="1"/>
    <col min="6662" max="6662" width="20.625" style="2" customWidth="1"/>
    <col min="6663" max="6663" width="27.375" style="2" customWidth="1"/>
    <col min="6664" max="6664" width="16.375" style="2" customWidth="1"/>
    <col min="6665" max="6911" width="9.125" style="2"/>
    <col min="6912" max="6917" width="11" style="2" customWidth="1"/>
    <col min="6918" max="6918" width="20.625" style="2" customWidth="1"/>
    <col min="6919" max="6919" width="27.375" style="2" customWidth="1"/>
    <col min="6920" max="6920" width="16.375" style="2" customWidth="1"/>
    <col min="6921" max="7167" width="9.125" style="2"/>
    <col min="7168" max="7173" width="11" style="2" customWidth="1"/>
    <col min="7174" max="7174" width="20.625" style="2" customWidth="1"/>
    <col min="7175" max="7175" width="27.375" style="2" customWidth="1"/>
    <col min="7176" max="7176" width="16.375" style="2" customWidth="1"/>
    <col min="7177" max="7423" width="9.125" style="2"/>
    <col min="7424" max="7429" width="11" style="2" customWidth="1"/>
    <col min="7430" max="7430" width="20.625" style="2" customWidth="1"/>
    <col min="7431" max="7431" width="27.375" style="2" customWidth="1"/>
    <col min="7432" max="7432" width="16.375" style="2" customWidth="1"/>
    <col min="7433" max="7679" width="9.125" style="2"/>
    <col min="7680" max="7685" width="11" style="2" customWidth="1"/>
    <col min="7686" max="7686" width="20.625" style="2" customWidth="1"/>
    <col min="7687" max="7687" width="27.375" style="2" customWidth="1"/>
    <col min="7688" max="7688" width="16.375" style="2" customWidth="1"/>
    <col min="7689" max="7935" width="9.125" style="2"/>
    <col min="7936" max="7941" width="11" style="2" customWidth="1"/>
    <col min="7942" max="7942" width="20.625" style="2" customWidth="1"/>
    <col min="7943" max="7943" width="27.375" style="2" customWidth="1"/>
    <col min="7944" max="7944" width="16.375" style="2" customWidth="1"/>
    <col min="7945" max="8191" width="9.125" style="2"/>
    <col min="8192" max="8197" width="11" style="2" customWidth="1"/>
    <col min="8198" max="8198" width="20.625" style="2" customWidth="1"/>
    <col min="8199" max="8199" width="27.375" style="2" customWidth="1"/>
    <col min="8200" max="8200" width="16.375" style="2" customWidth="1"/>
    <col min="8201" max="8447" width="9.125" style="2"/>
    <col min="8448" max="8453" width="11" style="2" customWidth="1"/>
    <col min="8454" max="8454" width="20.625" style="2" customWidth="1"/>
    <col min="8455" max="8455" width="27.375" style="2" customWidth="1"/>
    <col min="8456" max="8456" width="16.375" style="2" customWidth="1"/>
    <col min="8457" max="8703" width="9.125" style="2"/>
    <col min="8704" max="8709" width="11" style="2" customWidth="1"/>
    <col min="8710" max="8710" width="20.625" style="2" customWidth="1"/>
    <col min="8711" max="8711" width="27.375" style="2" customWidth="1"/>
    <col min="8712" max="8712" width="16.375" style="2" customWidth="1"/>
    <col min="8713" max="8959" width="9.125" style="2"/>
    <col min="8960" max="8965" width="11" style="2" customWidth="1"/>
    <col min="8966" max="8966" width="20.625" style="2" customWidth="1"/>
    <col min="8967" max="8967" width="27.375" style="2" customWidth="1"/>
    <col min="8968" max="8968" width="16.375" style="2" customWidth="1"/>
    <col min="8969" max="9215" width="9.125" style="2"/>
    <col min="9216" max="9221" width="11" style="2" customWidth="1"/>
    <col min="9222" max="9222" width="20.625" style="2" customWidth="1"/>
    <col min="9223" max="9223" width="27.375" style="2" customWidth="1"/>
    <col min="9224" max="9224" width="16.375" style="2" customWidth="1"/>
    <col min="9225" max="9471" width="9.125" style="2"/>
    <col min="9472" max="9477" width="11" style="2" customWidth="1"/>
    <col min="9478" max="9478" width="20.625" style="2" customWidth="1"/>
    <col min="9479" max="9479" width="27.375" style="2" customWidth="1"/>
    <col min="9480" max="9480" width="16.375" style="2" customWidth="1"/>
    <col min="9481" max="9727" width="9.125" style="2"/>
    <col min="9728" max="9733" width="11" style="2" customWidth="1"/>
    <col min="9734" max="9734" width="20.625" style="2" customWidth="1"/>
    <col min="9735" max="9735" width="27.375" style="2" customWidth="1"/>
    <col min="9736" max="9736" width="16.375" style="2" customWidth="1"/>
    <col min="9737" max="9983" width="9.125" style="2"/>
    <col min="9984" max="9989" width="11" style="2" customWidth="1"/>
    <col min="9990" max="9990" width="20.625" style="2" customWidth="1"/>
    <col min="9991" max="9991" width="27.375" style="2" customWidth="1"/>
    <col min="9992" max="9992" width="16.375" style="2" customWidth="1"/>
    <col min="9993" max="10239" width="9.125" style="2"/>
    <col min="10240" max="10245" width="11" style="2" customWidth="1"/>
    <col min="10246" max="10246" width="20.625" style="2" customWidth="1"/>
    <col min="10247" max="10247" width="27.375" style="2" customWidth="1"/>
    <col min="10248" max="10248" width="16.375" style="2" customWidth="1"/>
    <col min="10249" max="10495" width="9.125" style="2"/>
    <col min="10496" max="10501" width="11" style="2" customWidth="1"/>
    <col min="10502" max="10502" width="20.625" style="2" customWidth="1"/>
    <col min="10503" max="10503" width="27.375" style="2" customWidth="1"/>
    <col min="10504" max="10504" width="16.375" style="2" customWidth="1"/>
    <col min="10505" max="10751" width="9.125" style="2"/>
    <col min="10752" max="10757" width="11" style="2" customWidth="1"/>
    <col min="10758" max="10758" width="20.625" style="2" customWidth="1"/>
    <col min="10759" max="10759" width="27.375" style="2" customWidth="1"/>
    <col min="10760" max="10760" width="16.375" style="2" customWidth="1"/>
    <col min="10761" max="11007" width="9.125" style="2"/>
    <col min="11008" max="11013" width="11" style="2" customWidth="1"/>
    <col min="11014" max="11014" width="20.625" style="2" customWidth="1"/>
    <col min="11015" max="11015" width="27.375" style="2" customWidth="1"/>
    <col min="11016" max="11016" width="16.375" style="2" customWidth="1"/>
    <col min="11017" max="11263" width="9.125" style="2"/>
    <col min="11264" max="11269" width="11" style="2" customWidth="1"/>
    <col min="11270" max="11270" width="20.625" style="2" customWidth="1"/>
    <col min="11271" max="11271" width="27.375" style="2" customWidth="1"/>
    <col min="11272" max="11272" width="16.375" style="2" customWidth="1"/>
    <col min="11273" max="11519" width="9.125" style="2"/>
    <col min="11520" max="11525" width="11" style="2" customWidth="1"/>
    <col min="11526" max="11526" width="20.625" style="2" customWidth="1"/>
    <col min="11527" max="11527" width="27.375" style="2" customWidth="1"/>
    <col min="11528" max="11528" width="16.375" style="2" customWidth="1"/>
    <col min="11529" max="11775" width="9.125" style="2"/>
    <col min="11776" max="11781" width="11" style="2" customWidth="1"/>
    <col min="11782" max="11782" width="20.625" style="2" customWidth="1"/>
    <col min="11783" max="11783" width="27.375" style="2" customWidth="1"/>
    <col min="11784" max="11784" width="16.375" style="2" customWidth="1"/>
    <col min="11785" max="12031" width="9.125" style="2"/>
    <col min="12032" max="12037" width="11" style="2" customWidth="1"/>
    <col min="12038" max="12038" width="20.625" style="2" customWidth="1"/>
    <col min="12039" max="12039" width="27.375" style="2" customWidth="1"/>
    <col min="12040" max="12040" width="16.375" style="2" customWidth="1"/>
    <col min="12041" max="12287" width="9.125" style="2"/>
    <col min="12288" max="12293" width="11" style="2" customWidth="1"/>
    <col min="12294" max="12294" width="20.625" style="2" customWidth="1"/>
    <col min="12295" max="12295" width="27.375" style="2" customWidth="1"/>
    <col min="12296" max="12296" width="16.375" style="2" customWidth="1"/>
    <col min="12297" max="12543" width="9.125" style="2"/>
    <col min="12544" max="12549" width="11" style="2" customWidth="1"/>
    <col min="12550" max="12550" width="20.625" style="2" customWidth="1"/>
    <col min="12551" max="12551" width="27.375" style="2" customWidth="1"/>
    <col min="12552" max="12552" width="16.375" style="2" customWidth="1"/>
    <col min="12553" max="12799" width="9.125" style="2"/>
    <col min="12800" max="12805" width="11" style="2" customWidth="1"/>
    <col min="12806" max="12806" width="20.625" style="2" customWidth="1"/>
    <col min="12807" max="12807" width="27.375" style="2" customWidth="1"/>
    <col min="12808" max="12808" width="16.375" style="2" customWidth="1"/>
    <col min="12809" max="13055" width="9.125" style="2"/>
    <col min="13056" max="13061" width="11" style="2" customWidth="1"/>
    <col min="13062" max="13062" width="20.625" style="2" customWidth="1"/>
    <col min="13063" max="13063" width="27.375" style="2" customWidth="1"/>
    <col min="13064" max="13064" width="16.375" style="2" customWidth="1"/>
    <col min="13065" max="13311" width="9.125" style="2"/>
    <col min="13312" max="13317" width="11" style="2" customWidth="1"/>
    <col min="13318" max="13318" width="20.625" style="2" customWidth="1"/>
    <col min="13319" max="13319" width="27.375" style="2" customWidth="1"/>
    <col min="13320" max="13320" width="16.375" style="2" customWidth="1"/>
    <col min="13321" max="13567" width="9.125" style="2"/>
    <col min="13568" max="13573" width="11" style="2" customWidth="1"/>
    <col min="13574" max="13574" width="20.625" style="2" customWidth="1"/>
    <col min="13575" max="13575" width="27.375" style="2" customWidth="1"/>
    <col min="13576" max="13576" width="16.375" style="2" customWidth="1"/>
    <col min="13577" max="13823" width="9.125" style="2"/>
    <col min="13824" max="13829" width="11" style="2" customWidth="1"/>
    <col min="13830" max="13830" width="20.625" style="2" customWidth="1"/>
    <col min="13831" max="13831" width="27.375" style="2" customWidth="1"/>
    <col min="13832" max="13832" width="16.375" style="2" customWidth="1"/>
    <col min="13833" max="14079" width="9.125" style="2"/>
    <col min="14080" max="14085" width="11" style="2" customWidth="1"/>
    <col min="14086" max="14086" width="20.625" style="2" customWidth="1"/>
    <col min="14087" max="14087" width="27.375" style="2" customWidth="1"/>
    <col min="14088" max="14088" width="16.375" style="2" customWidth="1"/>
    <col min="14089" max="14335" width="9.125" style="2"/>
    <col min="14336" max="14341" width="11" style="2" customWidth="1"/>
    <col min="14342" max="14342" width="20.625" style="2" customWidth="1"/>
    <col min="14343" max="14343" width="27.375" style="2" customWidth="1"/>
    <col min="14344" max="14344" width="16.375" style="2" customWidth="1"/>
    <col min="14345" max="14591" width="9.125" style="2"/>
    <col min="14592" max="14597" width="11" style="2" customWidth="1"/>
    <col min="14598" max="14598" width="20.625" style="2" customWidth="1"/>
    <col min="14599" max="14599" width="27.375" style="2" customWidth="1"/>
    <col min="14600" max="14600" width="16.375" style="2" customWidth="1"/>
    <col min="14601" max="14847" width="9.125" style="2"/>
    <col min="14848" max="14853" width="11" style="2" customWidth="1"/>
    <col min="14854" max="14854" width="20.625" style="2" customWidth="1"/>
    <col min="14855" max="14855" width="27.375" style="2" customWidth="1"/>
    <col min="14856" max="14856" width="16.375" style="2" customWidth="1"/>
    <col min="14857" max="15103" width="9.125" style="2"/>
    <col min="15104" max="15109" width="11" style="2" customWidth="1"/>
    <col min="15110" max="15110" width="20.625" style="2" customWidth="1"/>
    <col min="15111" max="15111" width="27.375" style="2" customWidth="1"/>
    <col min="15112" max="15112" width="16.375" style="2" customWidth="1"/>
    <col min="15113" max="15359" width="9.125" style="2"/>
    <col min="15360" max="15365" width="11" style="2" customWidth="1"/>
    <col min="15366" max="15366" width="20.625" style="2" customWidth="1"/>
    <col min="15367" max="15367" width="27.375" style="2" customWidth="1"/>
    <col min="15368" max="15368" width="16.375" style="2" customWidth="1"/>
    <col min="15369" max="15615" width="9.125" style="2"/>
    <col min="15616" max="15621" width="11" style="2" customWidth="1"/>
    <col min="15622" max="15622" width="20.625" style="2" customWidth="1"/>
    <col min="15623" max="15623" width="27.375" style="2" customWidth="1"/>
    <col min="15624" max="15624" width="16.375" style="2" customWidth="1"/>
    <col min="15625" max="15871" width="9.125" style="2"/>
    <col min="15872" max="15877" width="11" style="2" customWidth="1"/>
    <col min="15878" max="15878" width="20.625" style="2" customWidth="1"/>
    <col min="15879" max="15879" width="27.375" style="2" customWidth="1"/>
    <col min="15880" max="15880" width="16.375" style="2" customWidth="1"/>
    <col min="15881" max="16127" width="9.125" style="2"/>
    <col min="16128" max="16133" width="11" style="2" customWidth="1"/>
    <col min="16134" max="16134" width="20.625" style="2" customWidth="1"/>
    <col min="16135" max="16135" width="27.375" style="2" customWidth="1"/>
    <col min="16136" max="16136" width="16.375" style="2" customWidth="1"/>
    <col min="16137" max="16384" width="9.125" style="2"/>
  </cols>
  <sheetData>
    <row r="1" spans="4:12" ht="17.25" customHeight="1" x14ac:dyDescent="0.2">
      <c r="D1" s="406" t="s">
        <v>223</v>
      </c>
      <c r="E1" s="407"/>
      <c r="F1" s="407"/>
      <c r="G1" s="407"/>
      <c r="H1" s="407"/>
      <c r="I1" s="407"/>
      <c r="J1" s="407"/>
      <c r="K1" s="407"/>
      <c r="L1" s="12"/>
    </row>
    <row r="2" spans="4:12" ht="17.25" customHeight="1" thickBot="1" x14ac:dyDescent="0.25">
      <c r="D2" s="408" t="s">
        <v>78</v>
      </c>
      <c r="E2" s="408"/>
      <c r="F2" s="408"/>
      <c r="G2" s="408"/>
      <c r="H2" s="408"/>
      <c r="I2" s="408"/>
      <c r="J2" s="408"/>
      <c r="K2" s="408"/>
      <c r="L2" s="12"/>
    </row>
    <row r="3" spans="4:12" ht="38.25" customHeight="1" thickBot="1" x14ac:dyDescent="0.25">
      <c r="D3" s="13" t="s">
        <v>63</v>
      </c>
      <c r="E3" s="13" t="s">
        <v>64</v>
      </c>
      <c r="F3" s="13" t="s">
        <v>1</v>
      </c>
      <c r="G3" s="13" t="s">
        <v>2</v>
      </c>
      <c r="H3" s="13" t="s">
        <v>3</v>
      </c>
      <c r="I3" s="14" t="s">
        <v>7</v>
      </c>
      <c r="J3" s="13" t="s">
        <v>79</v>
      </c>
      <c r="K3" s="13" t="s">
        <v>66</v>
      </c>
      <c r="L3" s="12"/>
    </row>
    <row r="4" spans="4:12" ht="17.25" customHeight="1" thickBot="1" x14ac:dyDescent="0.25">
      <c r="D4" s="35">
        <v>0</v>
      </c>
      <c r="E4" s="35">
        <v>67</v>
      </c>
      <c r="F4" s="35">
        <v>214</v>
      </c>
      <c r="G4" s="35">
        <v>1742</v>
      </c>
      <c r="H4" s="35">
        <v>933</v>
      </c>
      <c r="I4" s="16" t="s">
        <v>9</v>
      </c>
      <c r="J4" s="417" t="s">
        <v>80</v>
      </c>
      <c r="K4" s="417" t="s">
        <v>68</v>
      </c>
      <c r="L4" s="12"/>
    </row>
    <row r="5" spans="4:12" ht="17.25" customHeight="1" thickBot="1" x14ac:dyDescent="0.25">
      <c r="D5" s="35">
        <v>0</v>
      </c>
      <c r="E5" s="35">
        <v>0</v>
      </c>
      <c r="F5" s="35">
        <v>180</v>
      </c>
      <c r="G5" s="35">
        <v>0</v>
      </c>
      <c r="H5" s="35">
        <v>0</v>
      </c>
      <c r="I5" s="16" t="s">
        <v>10</v>
      </c>
      <c r="J5" s="424"/>
      <c r="K5" s="424"/>
      <c r="L5" s="12"/>
    </row>
    <row r="6" spans="4:12" ht="17.25" customHeight="1" thickBot="1" x14ac:dyDescent="0.25">
      <c r="D6" s="35">
        <f t="shared" ref="D6:G6" si="0">SUM(D4:D5)</f>
        <v>0</v>
      </c>
      <c r="E6" s="35">
        <f t="shared" si="0"/>
        <v>67</v>
      </c>
      <c r="F6" s="35">
        <f t="shared" si="0"/>
        <v>394</v>
      </c>
      <c r="G6" s="35">
        <f t="shared" si="0"/>
        <v>1742</v>
      </c>
      <c r="H6" s="35">
        <f>SUM(H4:H5)</f>
        <v>933</v>
      </c>
      <c r="I6" s="16" t="s">
        <v>12</v>
      </c>
      <c r="J6" s="418"/>
      <c r="K6" s="418"/>
      <c r="L6" s="12"/>
    </row>
    <row r="7" spans="4:12" ht="17.25" customHeight="1" thickBot="1" x14ac:dyDescent="0.25">
      <c r="D7" s="35">
        <v>20</v>
      </c>
      <c r="E7" s="35">
        <v>29</v>
      </c>
      <c r="F7" s="35">
        <v>308</v>
      </c>
      <c r="G7" s="35">
        <v>200</v>
      </c>
      <c r="H7" s="35">
        <v>187</v>
      </c>
      <c r="I7" s="16" t="s">
        <v>9</v>
      </c>
      <c r="J7" s="417" t="s">
        <v>81</v>
      </c>
      <c r="K7" s="410" t="s">
        <v>206</v>
      </c>
      <c r="L7" s="12"/>
    </row>
    <row r="8" spans="4:12" ht="17.25" customHeight="1" thickBot="1" x14ac:dyDescent="0.25"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16" t="s">
        <v>10</v>
      </c>
      <c r="J8" s="424"/>
      <c r="K8" s="424"/>
      <c r="L8" s="12"/>
    </row>
    <row r="9" spans="4:12" ht="17.25" customHeight="1" thickBot="1" x14ac:dyDescent="0.25">
      <c r="D9" s="35">
        <f t="shared" ref="D9" si="1">SUM(D7:D8)</f>
        <v>20</v>
      </c>
      <c r="E9" s="35">
        <f t="shared" ref="E9" si="2">SUM(E7:E8)</f>
        <v>29</v>
      </c>
      <c r="F9" s="35">
        <f t="shared" ref="F9" si="3">SUM(F7:F8)</f>
        <v>308</v>
      </c>
      <c r="G9" s="35">
        <f t="shared" ref="G9" si="4">SUM(G7:G8)</f>
        <v>200</v>
      </c>
      <c r="H9" s="35">
        <f>SUM(H7:H8)</f>
        <v>187</v>
      </c>
      <c r="I9" s="16" t="s">
        <v>12</v>
      </c>
      <c r="J9" s="418"/>
      <c r="K9" s="424"/>
      <c r="L9" s="12"/>
    </row>
    <row r="10" spans="4:12" ht="17.25" customHeight="1" thickBot="1" x14ac:dyDescent="0.25">
      <c r="D10" s="35">
        <v>13</v>
      </c>
      <c r="E10" s="35">
        <v>26</v>
      </c>
      <c r="F10" s="35">
        <v>50</v>
      </c>
      <c r="G10" s="35">
        <v>131</v>
      </c>
      <c r="H10" s="35">
        <v>125</v>
      </c>
      <c r="I10" s="16" t="s">
        <v>9</v>
      </c>
      <c r="J10" s="417" t="s">
        <v>82</v>
      </c>
      <c r="K10" s="424"/>
      <c r="L10" s="12"/>
    </row>
    <row r="11" spans="4:12" ht="17.25" customHeight="1" thickBot="1" x14ac:dyDescent="0.25">
      <c r="D11" s="35">
        <v>0</v>
      </c>
      <c r="E11" s="35">
        <v>0</v>
      </c>
      <c r="F11" s="35">
        <v>0</v>
      </c>
      <c r="G11" s="35">
        <v>0</v>
      </c>
      <c r="H11" s="35">
        <v>0</v>
      </c>
      <c r="I11" s="16" t="s">
        <v>10</v>
      </c>
      <c r="J11" s="424"/>
      <c r="K11" s="424"/>
    </row>
    <row r="12" spans="4:12" ht="17.25" customHeight="1" thickBot="1" x14ac:dyDescent="0.25">
      <c r="D12" s="35">
        <f t="shared" ref="D12" si="5">SUM(D10:D11)</f>
        <v>13</v>
      </c>
      <c r="E12" s="35">
        <f t="shared" ref="E12" si="6">SUM(E10:E11)</f>
        <v>26</v>
      </c>
      <c r="F12" s="35">
        <f t="shared" ref="F12" si="7">SUM(F10:F11)</f>
        <v>50</v>
      </c>
      <c r="G12" s="35">
        <f t="shared" ref="G12" si="8">SUM(G10:G11)</f>
        <v>131</v>
      </c>
      <c r="H12" s="35">
        <f>SUM(H10:H11)</f>
        <v>125</v>
      </c>
      <c r="I12" s="16" t="s">
        <v>12</v>
      </c>
      <c r="J12" s="418"/>
      <c r="K12" s="418"/>
      <c r="L12" s="12"/>
    </row>
    <row r="13" spans="4:12" ht="17.25" customHeight="1" thickBot="1" x14ac:dyDescent="0.25">
      <c r="D13" s="35">
        <v>19</v>
      </c>
      <c r="E13" s="35">
        <v>142</v>
      </c>
      <c r="F13" s="35">
        <v>359</v>
      </c>
      <c r="G13" s="35">
        <v>2999</v>
      </c>
      <c r="H13" s="35">
        <v>1537</v>
      </c>
      <c r="I13" s="16" t="s">
        <v>9</v>
      </c>
      <c r="J13" s="417" t="s">
        <v>83</v>
      </c>
      <c r="K13" s="417" t="s">
        <v>72</v>
      </c>
      <c r="L13" s="12"/>
    </row>
    <row r="14" spans="4:12" ht="17.25" customHeight="1" thickBot="1" x14ac:dyDescent="0.25">
      <c r="D14" s="35">
        <v>0</v>
      </c>
      <c r="E14" s="35">
        <v>0</v>
      </c>
      <c r="F14" s="35">
        <v>0</v>
      </c>
      <c r="G14" s="35">
        <v>0</v>
      </c>
      <c r="H14" s="35">
        <v>0</v>
      </c>
      <c r="I14" s="16" t="s">
        <v>10</v>
      </c>
      <c r="J14" s="424"/>
      <c r="K14" s="424"/>
    </row>
    <row r="15" spans="4:12" ht="17.25" customHeight="1" thickBot="1" x14ac:dyDescent="0.25">
      <c r="D15" s="35">
        <f t="shared" ref="D15" si="9">SUM(D13:D14)</f>
        <v>19</v>
      </c>
      <c r="E15" s="35">
        <f t="shared" ref="E15" si="10">SUM(E13:E14)</f>
        <v>142</v>
      </c>
      <c r="F15" s="35">
        <f t="shared" ref="F15" si="11">SUM(F13:F14)</f>
        <v>359</v>
      </c>
      <c r="G15" s="35">
        <f t="shared" ref="G15" si="12">SUM(G13:G14)</f>
        <v>2999</v>
      </c>
      <c r="H15" s="35">
        <f>SUM(H13:H14)</f>
        <v>1537</v>
      </c>
      <c r="I15" s="16" t="s">
        <v>12</v>
      </c>
      <c r="J15" s="418"/>
      <c r="K15" s="424"/>
      <c r="L15" s="12"/>
    </row>
    <row r="16" spans="4:12" ht="17.25" customHeight="1" thickBot="1" x14ac:dyDescent="0.25">
      <c r="D16" s="35">
        <v>14</v>
      </c>
      <c r="E16" s="35">
        <v>51</v>
      </c>
      <c r="F16" s="35">
        <v>123</v>
      </c>
      <c r="G16" s="35">
        <v>678</v>
      </c>
      <c r="H16" s="35">
        <v>216</v>
      </c>
      <c r="I16" s="16" t="s">
        <v>9</v>
      </c>
      <c r="J16" s="417" t="s">
        <v>84</v>
      </c>
      <c r="K16" s="424"/>
      <c r="L16" s="12"/>
    </row>
    <row r="17" spans="4:12" ht="17.25" customHeight="1" thickBot="1" x14ac:dyDescent="0.25">
      <c r="D17" s="35">
        <v>0</v>
      </c>
      <c r="E17" s="35">
        <v>0</v>
      </c>
      <c r="F17" s="35">
        <v>0</v>
      </c>
      <c r="G17" s="35">
        <v>0</v>
      </c>
      <c r="H17" s="35">
        <v>0</v>
      </c>
      <c r="I17" s="16" t="s">
        <v>10</v>
      </c>
      <c r="J17" s="424"/>
      <c r="K17" s="424"/>
    </row>
    <row r="18" spans="4:12" ht="17.25" customHeight="1" thickBot="1" x14ac:dyDescent="0.25">
      <c r="D18" s="35">
        <f t="shared" ref="D18" si="13">SUM(D16:D17)</f>
        <v>14</v>
      </c>
      <c r="E18" s="35">
        <f t="shared" ref="E18" si="14">SUM(E16:E17)</f>
        <v>51</v>
      </c>
      <c r="F18" s="35">
        <f t="shared" ref="F18" si="15">SUM(F16:F17)</f>
        <v>123</v>
      </c>
      <c r="G18" s="35">
        <f t="shared" ref="G18" si="16">SUM(G16:G17)</f>
        <v>678</v>
      </c>
      <c r="H18" s="35">
        <f>SUM(H16:H17)</f>
        <v>216</v>
      </c>
      <c r="I18" s="16" t="s">
        <v>12</v>
      </c>
      <c r="J18" s="418"/>
      <c r="K18" s="424"/>
      <c r="L18" s="12"/>
    </row>
    <row r="19" spans="4:12" ht="17.25" customHeight="1" thickBot="1" x14ac:dyDescent="0.25">
      <c r="D19" s="35">
        <v>20</v>
      </c>
      <c r="E19" s="35">
        <v>59</v>
      </c>
      <c r="F19" s="35">
        <v>98</v>
      </c>
      <c r="G19" s="35">
        <v>662</v>
      </c>
      <c r="H19" s="35">
        <v>208</v>
      </c>
      <c r="I19" s="16" t="s">
        <v>9</v>
      </c>
      <c r="J19" s="417" t="s">
        <v>85</v>
      </c>
      <c r="K19" s="424"/>
      <c r="L19" s="12"/>
    </row>
    <row r="20" spans="4:12" ht="17.25" customHeight="1" thickBot="1" x14ac:dyDescent="0.25">
      <c r="D20" s="35">
        <v>0</v>
      </c>
      <c r="E20" s="35">
        <v>0</v>
      </c>
      <c r="F20" s="35">
        <v>0</v>
      </c>
      <c r="G20" s="35">
        <v>0</v>
      </c>
      <c r="H20" s="35">
        <v>0</v>
      </c>
      <c r="I20" s="16" t="s">
        <v>10</v>
      </c>
      <c r="J20" s="424"/>
      <c r="K20" s="424"/>
    </row>
    <row r="21" spans="4:12" ht="17.25" customHeight="1" thickBot="1" x14ac:dyDescent="0.25">
      <c r="D21" s="35">
        <f t="shared" ref="D21" si="17">SUM(D19:D20)</f>
        <v>20</v>
      </c>
      <c r="E21" s="35">
        <f t="shared" ref="E21" si="18">SUM(E19:E20)</f>
        <v>59</v>
      </c>
      <c r="F21" s="35">
        <f t="shared" ref="F21" si="19">SUM(F19:F20)</f>
        <v>98</v>
      </c>
      <c r="G21" s="35">
        <f t="shared" ref="G21" si="20">SUM(G19:G20)</f>
        <v>662</v>
      </c>
      <c r="H21" s="35">
        <f>SUM(H19:H20)</f>
        <v>208</v>
      </c>
      <c r="I21" s="16" t="s">
        <v>12</v>
      </c>
      <c r="J21" s="418"/>
      <c r="K21" s="424"/>
      <c r="L21" s="12"/>
    </row>
    <row r="22" spans="4:12" ht="17.25" customHeight="1" thickBot="1" x14ac:dyDescent="0.25">
      <c r="D22" s="35">
        <v>13</v>
      </c>
      <c r="E22" s="35">
        <v>23</v>
      </c>
      <c r="F22" s="35">
        <v>11</v>
      </c>
      <c r="G22" s="35">
        <v>555</v>
      </c>
      <c r="H22" s="35">
        <v>165</v>
      </c>
      <c r="I22" s="16" t="s">
        <v>9</v>
      </c>
      <c r="J22" s="417" t="s">
        <v>86</v>
      </c>
      <c r="K22" s="424"/>
      <c r="L22" s="12"/>
    </row>
    <row r="23" spans="4:12" ht="17.25" customHeight="1" thickBot="1" x14ac:dyDescent="0.25">
      <c r="D23" s="35">
        <v>0</v>
      </c>
      <c r="E23" s="35">
        <v>0</v>
      </c>
      <c r="F23" s="35">
        <v>0</v>
      </c>
      <c r="G23" s="35">
        <v>364</v>
      </c>
      <c r="H23" s="35">
        <v>342</v>
      </c>
      <c r="I23" s="16" t="s">
        <v>10</v>
      </c>
      <c r="J23" s="424"/>
      <c r="K23" s="424"/>
    </row>
    <row r="24" spans="4:12" ht="17.25" customHeight="1" thickBot="1" x14ac:dyDescent="0.25">
      <c r="D24" s="35">
        <f t="shared" ref="D24" si="21">SUM(D22:D23)</f>
        <v>13</v>
      </c>
      <c r="E24" s="35">
        <f t="shared" ref="E24" si="22">SUM(E22:E23)</f>
        <v>23</v>
      </c>
      <c r="F24" s="35">
        <f t="shared" ref="F24" si="23">SUM(F22:F23)</f>
        <v>11</v>
      </c>
      <c r="G24" s="35">
        <f t="shared" ref="G24" si="24">SUM(G22:G23)</f>
        <v>919</v>
      </c>
      <c r="H24" s="35">
        <f>SUM(H22:H23)</f>
        <v>507</v>
      </c>
      <c r="I24" s="16" t="s">
        <v>12</v>
      </c>
      <c r="J24" s="418"/>
      <c r="K24" s="424"/>
      <c r="L24" s="12"/>
    </row>
    <row r="25" spans="4:12" ht="17.25" customHeight="1" thickBot="1" x14ac:dyDescent="0.25">
      <c r="D25" s="35">
        <v>0</v>
      </c>
      <c r="E25" s="35">
        <v>0</v>
      </c>
      <c r="F25" s="35">
        <v>9</v>
      </c>
      <c r="G25" s="35">
        <v>491</v>
      </c>
      <c r="H25" s="35">
        <v>210</v>
      </c>
      <c r="I25" s="16" t="s">
        <v>9</v>
      </c>
      <c r="J25" s="417" t="s">
        <v>87</v>
      </c>
      <c r="K25" s="424"/>
      <c r="L25" s="12"/>
    </row>
    <row r="26" spans="4:12" ht="17.25" customHeight="1" thickBot="1" x14ac:dyDescent="0.25">
      <c r="D26" s="35">
        <v>0</v>
      </c>
      <c r="E26" s="35">
        <v>0</v>
      </c>
      <c r="F26" s="35">
        <v>0</v>
      </c>
      <c r="G26" s="35">
        <v>0</v>
      </c>
      <c r="H26" s="35">
        <v>0</v>
      </c>
      <c r="I26" s="16" t="s">
        <v>10</v>
      </c>
      <c r="J26" s="424"/>
      <c r="K26" s="424"/>
    </row>
    <row r="27" spans="4:12" ht="17.25" customHeight="1" thickBot="1" x14ac:dyDescent="0.25">
      <c r="D27" s="35">
        <f t="shared" ref="D27" si="25">SUM(D25:D26)</f>
        <v>0</v>
      </c>
      <c r="E27" s="35">
        <f t="shared" ref="E27" si="26">SUM(E25:E26)</f>
        <v>0</v>
      </c>
      <c r="F27" s="35">
        <f t="shared" ref="F27" si="27">SUM(F25:F26)</f>
        <v>9</v>
      </c>
      <c r="G27" s="35">
        <f t="shared" ref="G27" si="28">SUM(G25:G26)</f>
        <v>491</v>
      </c>
      <c r="H27" s="35">
        <f>SUM(H25:H26)</f>
        <v>210</v>
      </c>
      <c r="I27" s="16" t="s">
        <v>12</v>
      </c>
      <c r="J27" s="418"/>
      <c r="K27" s="424"/>
      <c r="L27" s="12"/>
    </row>
    <row r="28" spans="4:12" ht="17.25" customHeight="1" thickBot="1" x14ac:dyDescent="0.25">
      <c r="D28" s="35">
        <v>0</v>
      </c>
      <c r="E28" s="35">
        <v>0</v>
      </c>
      <c r="F28" s="35">
        <v>0</v>
      </c>
      <c r="G28" s="35">
        <v>444</v>
      </c>
      <c r="H28" s="35">
        <v>164</v>
      </c>
      <c r="I28" s="16" t="s">
        <v>9</v>
      </c>
      <c r="J28" s="417" t="s">
        <v>197</v>
      </c>
      <c r="K28" s="424"/>
      <c r="L28" s="12"/>
    </row>
    <row r="29" spans="4:12" ht="17.25" customHeight="1" thickBot="1" x14ac:dyDescent="0.25">
      <c r="D29" s="35">
        <v>0</v>
      </c>
      <c r="E29" s="35">
        <v>0</v>
      </c>
      <c r="F29" s="35">
        <v>0</v>
      </c>
      <c r="G29" s="35">
        <v>0</v>
      </c>
      <c r="H29" s="35">
        <v>0</v>
      </c>
      <c r="I29" s="16" t="s">
        <v>10</v>
      </c>
      <c r="J29" s="424"/>
      <c r="K29" s="424"/>
    </row>
    <row r="30" spans="4:12" ht="17.25" customHeight="1" thickBot="1" x14ac:dyDescent="0.25">
      <c r="D30" s="35">
        <f t="shared" ref="D30" si="29">SUM(D28:D29)</f>
        <v>0</v>
      </c>
      <c r="E30" s="35">
        <f t="shared" ref="E30" si="30">SUM(E28:E29)</f>
        <v>0</v>
      </c>
      <c r="F30" s="35">
        <f t="shared" ref="F30" si="31">SUM(F28:F29)</f>
        <v>0</v>
      </c>
      <c r="G30" s="35">
        <f t="shared" ref="G30" si="32">SUM(G28:G29)</f>
        <v>444</v>
      </c>
      <c r="H30" s="35">
        <f>SUM(H28:H29)</f>
        <v>164</v>
      </c>
      <c r="I30" s="16" t="s">
        <v>12</v>
      </c>
      <c r="J30" s="418"/>
      <c r="K30" s="424"/>
      <c r="L30" s="12"/>
    </row>
    <row r="31" spans="4:12" ht="17.25" customHeight="1" thickBot="1" x14ac:dyDescent="0.25">
      <c r="D31" s="35">
        <v>0</v>
      </c>
      <c r="E31" s="35">
        <v>0</v>
      </c>
      <c r="F31" s="35">
        <v>0</v>
      </c>
      <c r="G31" s="35">
        <v>153</v>
      </c>
      <c r="H31" s="35">
        <v>109</v>
      </c>
      <c r="I31" s="16" t="s">
        <v>9</v>
      </c>
      <c r="J31" s="417" t="s">
        <v>196</v>
      </c>
      <c r="K31" s="424"/>
      <c r="L31" s="12"/>
    </row>
    <row r="32" spans="4:12" ht="17.25" customHeight="1" thickBot="1" x14ac:dyDescent="0.25">
      <c r="D32" s="35">
        <v>0</v>
      </c>
      <c r="E32" s="35">
        <v>0</v>
      </c>
      <c r="F32" s="35">
        <v>0</v>
      </c>
      <c r="G32" s="35">
        <v>0</v>
      </c>
      <c r="H32" s="35">
        <v>0</v>
      </c>
      <c r="I32" s="16" t="s">
        <v>10</v>
      </c>
      <c r="J32" s="424"/>
      <c r="K32" s="424"/>
    </row>
    <row r="33" spans="4:12" ht="17.25" customHeight="1" thickBot="1" x14ac:dyDescent="0.25">
      <c r="D33" s="35">
        <f t="shared" ref="D33" si="33">SUM(D31:D32)</f>
        <v>0</v>
      </c>
      <c r="E33" s="35">
        <f t="shared" ref="E33" si="34">SUM(E31:E32)</f>
        <v>0</v>
      </c>
      <c r="F33" s="35">
        <f t="shared" ref="F33" si="35">SUM(F31:F32)</f>
        <v>0</v>
      </c>
      <c r="G33" s="35">
        <f t="shared" ref="G33" si="36">SUM(G31:G32)</f>
        <v>153</v>
      </c>
      <c r="H33" s="35">
        <f>SUM(H31:H32)</f>
        <v>109</v>
      </c>
      <c r="I33" s="16" t="s">
        <v>12</v>
      </c>
      <c r="J33" s="418"/>
      <c r="K33" s="418"/>
      <c r="L33" s="12"/>
    </row>
    <row r="34" spans="4:12" ht="17.25" customHeight="1" thickBot="1" x14ac:dyDescent="0.25">
      <c r="D34" s="35">
        <v>24</v>
      </c>
      <c r="E34" s="35">
        <v>54</v>
      </c>
      <c r="F34" s="35">
        <v>48</v>
      </c>
      <c r="G34" s="35">
        <v>733</v>
      </c>
      <c r="H34" s="35">
        <v>149</v>
      </c>
      <c r="I34" s="16" t="s">
        <v>9</v>
      </c>
      <c r="J34" s="417" t="s">
        <v>88</v>
      </c>
      <c r="K34" s="417" t="s">
        <v>73</v>
      </c>
      <c r="L34" s="12"/>
    </row>
    <row r="35" spans="4:12" ht="17.25" customHeight="1" thickBot="1" x14ac:dyDescent="0.25">
      <c r="D35" s="35">
        <v>0</v>
      </c>
      <c r="E35" s="35">
        <v>0</v>
      </c>
      <c r="F35" s="35">
        <v>0</v>
      </c>
      <c r="G35" s="35">
        <v>0</v>
      </c>
      <c r="H35" s="35">
        <v>0</v>
      </c>
      <c r="I35" s="16" t="s">
        <v>10</v>
      </c>
      <c r="J35" s="424"/>
      <c r="K35" s="424"/>
      <c r="L35" s="12"/>
    </row>
    <row r="36" spans="4:12" ht="17.25" customHeight="1" thickBot="1" x14ac:dyDescent="0.25">
      <c r="D36" s="35">
        <f t="shared" ref="D36" si="37">SUM(D34:D35)</f>
        <v>24</v>
      </c>
      <c r="E36" s="35">
        <f t="shared" ref="E36" si="38">SUM(E34:E35)</f>
        <v>54</v>
      </c>
      <c r="F36" s="35">
        <f t="shared" ref="F36" si="39">SUM(F34:F35)</f>
        <v>48</v>
      </c>
      <c r="G36" s="35">
        <f t="shared" ref="G36" si="40">SUM(G34:G35)</f>
        <v>733</v>
      </c>
      <c r="H36" s="35">
        <f>SUM(H34:H35)</f>
        <v>149</v>
      </c>
      <c r="I36" s="16" t="s">
        <v>12</v>
      </c>
      <c r="J36" s="418"/>
      <c r="K36" s="424"/>
    </row>
    <row r="37" spans="4:12" ht="17.25" customHeight="1" thickBot="1" x14ac:dyDescent="0.25">
      <c r="D37" s="35">
        <v>0</v>
      </c>
      <c r="E37" s="35">
        <v>1</v>
      </c>
      <c r="F37" s="35">
        <v>0</v>
      </c>
      <c r="G37" s="35">
        <v>0</v>
      </c>
      <c r="H37" s="35">
        <v>0</v>
      </c>
      <c r="I37" s="16" t="s">
        <v>9</v>
      </c>
      <c r="J37" s="417" t="s">
        <v>198</v>
      </c>
      <c r="K37" s="424"/>
      <c r="L37" s="12"/>
    </row>
    <row r="38" spans="4:12" ht="17.25" customHeight="1" thickBot="1" x14ac:dyDescent="0.25">
      <c r="D38" s="35">
        <v>3</v>
      </c>
      <c r="E38" s="35">
        <v>0</v>
      </c>
      <c r="F38" s="35">
        <v>66</v>
      </c>
      <c r="G38" s="35">
        <v>54</v>
      </c>
      <c r="H38" s="35">
        <v>35</v>
      </c>
      <c r="I38" s="16" t="s">
        <v>10</v>
      </c>
      <c r="J38" s="424"/>
      <c r="K38" s="424"/>
    </row>
    <row r="39" spans="4:12" ht="17.25" customHeight="1" thickBot="1" x14ac:dyDescent="0.25">
      <c r="D39" s="35">
        <f t="shared" ref="D39" si="41">SUM(D37:D38)</f>
        <v>3</v>
      </c>
      <c r="E39" s="35">
        <f t="shared" ref="E39" si="42">SUM(E37:E38)</f>
        <v>1</v>
      </c>
      <c r="F39" s="35">
        <f t="shared" ref="F39" si="43">SUM(F37:F38)</f>
        <v>66</v>
      </c>
      <c r="G39" s="35">
        <f t="shared" ref="G39" si="44">SUM(G37:G38)</f>
        <v>54</v>
      </c>
      <c r="H39" s="35">
        <f>SUM(H37:H38)</f>
        <v>35</v>
      </c>
      <c r="I39" s="16" t="s">
        <v>12</v>
      </c>
      <c r="J39" s="418"/>
      <c r="K39" s="418"/>
      <c r="L39" s="12"/>
    </row>
    <row r="40" spans="4:12" ht="17.25" customHeight="1" thickBot="1" x14ac:dyDescent="0.25">
      <c r="D40" s="35">
        <v>39</v>
      </c>
      <c r="E40" s="35">
        <v>44</v>
      </c>
      <c r="F40" s="35">
        <v>54</v>
      </c>
      <c r="G40" s="35">
        <v>495</v>
      </c>
      <c r="H40" s="35">
        <v>341</v>
      </c>
      <c r="I40" s="16" t="s">
        <v>9</v>
      </c>
      <c r="J40" s="417" t="s">
        <v>89</v>
      </c>
      <c r="K40" s="417" t="s">
        <v>90</v>
      </c>
      <c r="L40" s="12"/>
    </row>
    <row r="41" spans="4:12" ht="17.25" customHeight="1" thickBot="1" x14ac:dyDescent="0.25">
      <c r="D41" s="35">
        <v>0</v>
      </c>
      <c r="E41" s="35">
        <v>0</v>
      </c>
      <c r="F41" s="35">
        <v>0</v>
      </c>
      <c r="G41" s="35">
        <v>0</v>
      </c>
      <c r="H41" s="35">
        <v>0</v>
      </c>
      <c r="I41" s="16" t="s">
        <v>10</v>
      </c>
      <c r="J41" s="424"/>
      <c r="K41" s="424"/>
    </row>
    <row r="42" spans="4:12" ht="17.25" customHeight="1" thickBot="1" x14ac:dyDescent="0.25">
      <c r="D42" s="35">
        <f t="shared" ref="D42" si="45">SUM(D40:D41)</f>
        <v>39</v>
      </c>
      <c r="E42" s="35">
        <f t="shared" ref="E42" si="46">SUM(E40:E41)</f>
        <v>44</v>
      </c>
      <c r="F42" s="35">
        <f t="shared" ref="F42" si="47">SUM(F40:F41)</f>
        <v>54</v>
      </c>
      <c r="G42" s="35">
        <f t="shared" ref="G42" si="48">SUM(G40:G41)</f>
        <v>495</v>
      </c>
      <c r="H42" s="35">
        <f>SUM(H40:H41)</f>
        <v>341</v>
      </c>
      <c r="I42" s="16" t="s">
        <v>12</v>
      </c>
      <c r="J42" s="418"/>
      <c r="K42" s="424"/>
      <c r="L42" s="12"/>
    </row>
    <row r="43" spans="4:12" ht="17.25" customHeight="1" thickBot="1" x14ac:dyDescent="0.25">
      <c r="D43" s="35">
        <v>11</v>
      </c>
      <c r="E43" s="35">
        <v>72</v>
      </c>
      <c r="F43" s="35">
        <v>86</v>
      </c>
      <c r="G43" s="35">
        <v>1170</v>
      </c>
      <c r="H43" s="35">
        <v>730</v>
      </c>
      <c r="I43" s="16" t="s">
        <v>9</v>
      </c>
      <c r="J43" s="417" t="s">
        <v>91</v>
      </c>
      <c r="K43" s="424"/>
      <c r="L43" s="12"/>
    </row>
    <row r="44" spans="4:12" ht="17.25" customHeight="1" thickBot="1" x14ac:dyDescent="0.25">
      <c r="D44" s="35">
        <v>0</v>
      </c>
      <c r="E44" s="35">
        <v>0</v>
      </c>
      <c r="F44" s="35">
        <v>0</v>
      </c>
      <c r="G44" s="35">
        <v>0</v>
      </c>
      <c r="H44" s="35">
        <v>0</v>
      </c>
      <c r="I44" s="16" t="s">
        <v>10</v>
      </c>
      <c r="J44" s="424"/>
      <c r="K44" s="424"/>
    </row>
    <row r="45" spans="4:12" ht="17.25" customHeight="1" thickBot="1" x14ac:dyDescent="0.25">
      <c r="D45" s="35">
        <f t="shared" ref="D45" si="49">SUM(D43:D44)</f>
        <v>11</v>
      </c>
      <c r="E45" s="35">
        <f t="shared" ref="E45" si="50">SUM(E43:E44)</f>
        <v>72</v>
      </c>
      <c r="F45" s="35">
        <f t="shared" ref="F45" si="51">SUM(F43:F44)</f>
        <v>86</v>
      </c>
      <c r="G45" s="35">
        <f t="shared" ref="G45" si="52">SUM(G43:G44)</f>
        <v>1170</v>
      </c>
      <c r="H45" s="35">
        <f>SUM(H43:H44)</f>
        <v>730</v>
      </c>
      <c r="I45" s="16" t="s">
        <v>12</v>
      </c>
      <c r="J45" s="418"/>
      <c r="K45" s="418"/>
      <c r="L45" s="12"/>
    </row>
    <row r="46" spans="4:12" ht="17.25" customHeight="1" thickBot="1" x14ac:dyDescent="0.25">
      <c r="D46" s="35">
        <v>0</v>
      </c>
      <c r="E46" s="35">
        <v>0</v>
      </c>
      <c r="F46" s="35">
        <v>0</v>
      </c>
      <c r="G46" s="35">
        <v>0</v>
      </c>
      <c r="H46" s="35">
        <v>0</v>
      </c>
      <c r="I46" s="16" t="s">
        <v>9</v>
      </c>
      <c r="J46" s="417" t="s">
        <v>92</v>
      </c>
      <c r="K46" s="417" t="s">
        <v>74</v>
      </c>
    </row>
    <row r="47" spans="4:12" ht="17.25" customHeight="1" thickBot="1" x14ac:dyDescent="0.25">
      <c r="D47" s="35">
        <v>3</v>
      </c>
      <c r="E47" s="35">
        <v>11</v>
      </c>
      <c r="F47" s="35">
        <v>264</v>
      </c>
      <c r="G47" s="35">
        <v>444</v>
      </c>
      <c r="H47" s="35">
        <v>231</v>
      </c>
      <c r="I47" s="16" t="s">
        <v>10</v>
      </c>
      <c r="J47" s="424"/>
      <c r="K47" s="424"/>
      <c r="L47" s="12"/>
    </row>
    <row r="48" spans="4:12" ht="17.25" customHeight="1" thickBot="1" x14ac:dyDescent="0.25">
      <c r="D48" s="35">
        <f t="shared" ref="D48" si="53">SUM(D46:D47)</f>
        <v>3</v>
      </c>
      <c r="E48" s="35">
        <f t="shared" ref="E48" si="54">SUM(E46:E47)</f>
        <v>11</v>
      </c>
      <c r="F48" s="35">
        <f t="shared" ref="F48" si="55">SUM(F46:F47)</f>
        <v>264</v>
      </c>
      <c r="G48" s="35">
        <f t="shared" ref="G48" si="56">SUM(G46:G47)</f>
        <v>444</v>
      </c>
      <c r="H48" s="35">
        <f>SUM(H46:H47)</f>
        <v>231</v>
      </c>
      <c r="I48" s="16" t="s">
        <v>12</v>
      </c>
      <c r="J48" s="418"/>
      <c r="K48" s="424"/>
      <c r="L48" s="12"/>
    </row>
    <row r="49" spans="4:12" ht="17.25" customHeight="1" thickBot="1" x14ac:dyDescent="0.25"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16" t="s">
        <v>9</v>
      </c>
      <c r="J49" s="417" t="s">
        <v>93</v>
      </c>
      <c r="K49" s="424"/>
      <c r="L49" s="12"/>
    </row>
    <row r="50" spans="4:12" ht="17.25" customHeight="1" thickBot="1" x14ac:dyDescent="0.25">
      <c r="D50" s="35">
        <v>0</v>
      </c>
      <c r="E50" s="35">
        <v>6</v>
      </c>
      <c r="F50" s="35">
        <v>411</v>
      </c>
      <c r="G50" s="35">
        <v>644</v>
      </c>
      <c r="H50" s="35">
        <v>383</v>
      </c>
      <c r="I50" s="16" t="s">
        <v>10</v>
      </c>
      <c r="J50" s="424"/>
      <c r="K50" s="424"/>
    </row>
    <row r="51" spans="4:12" ht="17.25" customHeight="1" thickBot="1" x14ac:dyDescent="0.25">
      <c r="D51" s="35">
        <f t="shared" ref="D51" si="57">SUM(D49:D50)</f>
        <v>0</v>
      </c>
      <c r="E51" s="35">
        <f t="shared" ref="E51" si="58">SUM(E49:E50)</f>
        <v>6</v>
      </c>
      <c r="F51" s="35">
        <f t="shared" ref="F51" si="59">SUM(F49:F50)</f>
        <v>411</v>
      </c>
      <c r="G51" s="35">
        <f t="shared" ref="G51" si="60">SUM(G49:G50)</f>
        <v>644</v>
      </c>
      <c r="H51" s="35">
        <f>SUM(H49:H50)</f>
        <v>383</v>
      </c>
      <c r="I51" s="16" t="s">
        <v>12</v>
      </c>
      <c r="J51" s="418"/>
      <c r="K51" s="418"/>
      <c r="L51" s="12"/>
    </row>
    <row r="52" spans="4:12" ht="17.25" customHeight="1" thickBot="1" x14ac:dyDescent="0.25">
      <c r="D52" s="35">
        <v>3</v>
      </c>
      <c r="E52" s="35">
        <v>21</v>
      </c>
      <c r="F52" s="35">
        <v>95</v>
      </c>
      <c r="G52" s="35">
        <v>451</v>
      </c>
      <c r="H52" s="35">
        <v>450</v>
      </c>
      <c r="I52" s="16" t="s">
        <v>9</v>
      </c>
      <c r="J52" s="417" t="s">
        <v>94</v>
      </c>
      <c r="K52" s="417" t="s">
        <v>75</v>
      </c>
      <c r="L52" s="12"/>
    </row>
    <row r="53" spans="4:12" ht="17.25" customHeight="1" thickBot="1" x14ac:dyDescent="0.25">
      <c r="D53" s="35">
        <v>0</v>
      </c>
      <c r="E53" s="35">
        <v>0</v>
      </c>
      <c r="F53" s="35">
        <v>0</v>
      </c>
      <c r="G53" s="35">
        <v>0</v>
      </c>
      <c r="H53" s="35">
        <v>0</v>
      </c>
      <c r="I53" s="16" t="s">
        <v>10</v>
      </c>
      <c r="J53" s="424"/>
      <c r="K53" s="424"/>
    </row>
    <row r="54" spans="4:12" ht="17.25" customHeight="1" thickBot="1" x14ac:dyDescent="0.25">
      <c r="D54" s="35">
        <f t="shared" ref="D54" si="61">SUM(D52:D53)</f>
        <v>3</v>
      </c>
      <c r="E54" s="35">
        <f t="shared" ref="E54" si="62">SUM(E52:E53)</f>
        <v>21</v>
      </c>
      <c r="F54" s="35">
        <f t="shared" ref="F54" si="63">SUM(F52:F53)</f>
        <v>95</v>
      </c>
      <c r="G54" s="35">
        <f t="shared" ref="G54" si="64">SUM(G52:G53)</f>
        <v>451</v>
      </c>
      <c r="H54" s="35">
        <f>SUM(H52:H53)</f>
        <v>450</v>
      </c>
      <c r="I54" s="16" t="s">
        <v>12</v>
      </c>
      <c r="J54" s="418"/>
      <c r="K54" s="424"/>
      <c r="L54" s="12"/>
    </row>
    <row r="55" spans="4:12" ht="17.25" customHeight="1" thickBot="1" x14ac:dyDescent="0.25">
      <c r="D55" s="35">
        <v>2</v>
      </c>
      <c r="E55" s="35">
        <v>29</v>
      </c>
      <c r="F55" s="35">
        <v>323</v>
      </c>
      <c r="G55" s="35">
        <v>903</v>
      </c>
      <c r="H55" s="35">
        <v>888</v>
      </c>
      <c r="I55" s="16" t="s">
        <v>9</v>
      </c>
      <c r="J55" s="417" t="s">
        <v>95</v>
      </c>
      <c r="K55" s="424"/>
      <c r="L55" s="12"/>
    </row>
    <row r="56" spans="4:12" ht="17.25" customHeight="1" thickBot="1" x14ac:dyDescent="0.25">
      <c r="D56" s="35">
        <v>0</v>
      </c>
      <c r="E56" s="35">
        <v>0</v>
      </c>
      <c r="F56" s="35">
        <v>0</v>
      </c>
      <c r="G56" s="35">
        <v>0</v>
      </c>
      <c r="H56" s="35">
        <v>0</v>
      </c>
      <c r="I56" s="16" t="s">
        <v>10</v>
      </c>
      <c r="J56" s="424"/>
      <c r="K56" s="424"/>
      <c r="L56" s="12"/>
    </row>
    <row r="57" spans="4:12" ht="17.25" customHeight="1" thickBot="1" x14ac:dyDescent="0.25">
      <c r="D57" s="35">
        <f t="shared" ref="D57" si="65">SUM(D55:D56)</f>
        <v>2</v>
      </c>
      <c r="E57" s="35">
        <f t="shared" ref="E57" si="66">SUM(E55:E56)</f>
        <v>29</v>
      </c>
      <c r="F57" s="35">
        <f t="shared" ref="F57" si="67">SUM(F55:F56)</f>
        <v>323</v>
      </c>
      <c r="G57" s="35">
        <f t="shared" ref="G57" si="68">SUM(G55:G56)</f>
        <v>903</v>
      </c>
      <c r="H57" s="35">
        <f>SUM(H55:H56)</f>
        <v>888</v>
      </c>
      <c r="I57" s="16" t="s">
        <v>12</v>
      </c>
      <c r="J57" s="418"/>
      <c r="K57" s="424"/>
      <c r="L57" s="12"/>
    </row>
    <row r="58" spans="4:12" ht="17.25" customHeight="1" thickBot="1" x14ac:dyDescent="0.25">
      <c r="D58" s="35">
        <v>0</v>
      </c>
      <c r="E58" s="35">
        <v>6</v>
      </c>
      <c r="F58" s="35">
        <v>0</v>
      </c>
      <c r="G58" s="35">
        <v>0</v>
      </c>
      <c r="H58" s="35">
        <v>0</v>
      </c>
      <c r="I58" s="16" t="s">
        <v>9</v>
      </c>
      <c r="J58" s="417" t="s">
        <v>96</v>
      </c>
      <c r="K58" s="424"/>
      <c r="L58" s="12"/>
    </row>
    <row r="59" spans="4:12" ht="17.25" customHeight="1" thickBot="1" x14ac:dyDescent="0.25">
      <c r="D59" s="35">
        <v>0</v>
      </c>
      <c r="E59" s="35">
        <v>44</v>
      </c>
      <c r="F59" s="35">
        <v>0</v>
      </c>
      <c r="G59" s="35">
        <v>626</v>
      </c>
      <c r="H59" s="35">
        <v>369</v>
      </c>
      <c r="I59" s="16" t="s">
        <v>10</v>
      </c>
      <c r="J59" s="424"/>
      <c r="K59" s="424"/>
      <c r="L59" s="12"/>
    </row>
    <row r="60" spans="4:12" ht="17.25" customHeight="1" thickBot="1" x14ac:dyDescent="0.25">
      <c r="D60" s="35">
        <f t="shared" ref="D60" si="69">SUM(D58:D59)</f>
        <v>0</v>
      </c>
      <c r="E60" s="35">
        <f t="shared" ref="E60" si="70">SUM(E58:E59)</f>
        <v>50</v>
      </c>
      <c r="F60" s="35">
        <f t="shared" ref="F60" si="71">SUM(F58:F59)</f>
        <v>0</v>
      </c>
      <c r="G60" s="35">
        <f t="shared" ref="G60" si="72">SUM(G58:G59)</f>
        <v>626</v>
      </c>
      <c r="H60" s="35">
        <f>SUM(H58:H59)</f>
        <v>369</v>
      </c>
      <c r="I60" s="16" t="s">
        <v>12</v>
      </c>
      <c r="J60" s="418"/>
      <c r="K60" s="424"/>
      <c r="L60" s="12"/>
    </row>
    <row r="61" spans="4:12" ht="17.25" customHeight="1" thickBot="1" x14ac:dyDescent="0.25">
      <c r="D61" s="35">
        <v>1</v>
      </c>
      <c r="E61" s="35">
        <v>14</v>
      </c>
      <c r="F61" s="35">
        <v>0</v>
      </c>
      <c r="G61" s="35">
        <v>370</v>
      </c>
      <c r="H61" s="35">
        <v>250</v>
      </c>
      <c r="I61" s="16" t="s">
        <v>9</v>
      </c>
      <c r="J61" s="417" t="s">
        <v>97</v>
      </c>
      <c r="K61" s="424"/>
      <c r="L61" s="12"/>
    </row>
    <row r="62" spans="4:12" ht="17.25" customHeight="1" thickBot="1" x14ac:dyDescent="0.25">
      <c r="D62" s="35">
        <v>0</v>
      </c>
      <c r="E62" s="35">
        <v>0</v>
      </c>
      <c r="F62" s="35">
        <v>0</v>
      </c>
      <c r="G62" s="35">
        <v>0</v>
      </c>
      <c r="H62" s="35">
        <v>0</v>
      </c>
      <c r="I62" s="16" t="s">
        <v>10</v>
      </c>
      <c r="J62" s="424"/>
      <c r="K62" s="424"/>
      <c r="L62" s="12"/>
    </row>
    <row r="63" spans="4:12" ht="17.25" customHeight="1" thickBot="1" x14ac:dyDescent="0.25">
      <c r="D63" s="35">
        <f t="shared" ref="D63" si="73">SUM(D61:D62)</f>
        <v>1</v>
      </c>
      <c r="E63" s="35">
        <f t="shared" ref="E63" si="74">SUM(E61:E62)</f>
        <v>14</v>
      </c>
      <c r="F63" s="35">
        <f t="shared" ref="F63" si="75">SUM(F61:F62)</f>
        <v>0</v>
      </c>
      <c r="G63" s="35">
        <f t="shared" ref="G63" si="76">SUM(G61:G62)</f>
        <v>370</v>
      </c>
      <c r="H63" s="35">
        <f>SUM(H61:H62)</f>
        <v>250</v>
      </c>
      <c r="I63" s="16" t="s">
        <v>12</v>
      </c>
      <c r="J63" s="418"/>
      <c r="K63" s="424"/>
      <c r="L63" s="12"/>
    </row>
    <row r="64" spans="4:12" ht="17.25" customHeight="1" thickBot="1" x14ac:dyDescent="0.25">
      <c r="D64" s="35">
        <v>0</v>
      </c>
      <c r="E64" s="35">
        <v>0</v>
      </c>
      <c r="F64" s="35">
        <v>0</v>
      </c>
      <c r="G64" s="35">
        <v>347</v>
      </c>
      <c r="H64" s="35">
        <v>175</v>
      </c>
      <c r="I64" s="16" t="s">
        <v>9</v>
      </c>
      <c r="J64" s="417" t="s">
        <v>98</v>
      </c>
      <c r="K64" s="424"/>
      <c r="L64" s="12"/>
    </row>
    <row r="65" spans="4:12" ht="17.25" customHeight="1" thickBot="1" x14ac:dyDescent="0.25">
      <c r="D65" s="35">
        <v>0</v>
      </c>
      <c r="E65" s="35">
        <v>0</v>
      </c>
      <c r="F65" s="35">
        <v>0</v>
      </c>
      <c r="G65" s="35">
        <v>0</v>
      </c>
      <c r="H65" s="35">
        <v>0</v>
      </c>
      <c r="I65" s="16" t="s">
        <v>10</v>
      </c>
      <c r="J65" s="424"/>
      <c r="K65" s="424"/>
      <c r="L65" s="12"/>
    </row>
    <row r="66" spans="4:12" ht="17.25" customHeight="1" thickBot="1" x14ac:dyDescent="0.25">
      <c r="D66" s="35">
        <f t="shared" ref="D66" si="77">SUM(D64:D65)</f>
        <v>0</v>
      </c>
      <c r="E66" s="35">
        <f t="shared" ref="E66" si="78">SUM(E64:E65)</f>
        <v>0</v>
      </c>
      <c r="F66" s="35">
        <f t="shared" ref="F66" si="79">SUM(F64:F65)</f>
        <v>0</v>
      </c>
      <c r="G66" s="35">
        <f t="shared" ref="G66" si="80">SUM(G64:G65)</f>
        <v>347</v>
      </c>
      <c r="H66" s="35">
        <f>SUM(H64:H65)</f>
        <v>175</v>
      </c>
      <c r="I66" s="16" t="s">
        <v>12</v>
      </c>
      <c r="J66" s="418"/>
      <c r="K66" s="424"/>
      <c r="L66" s="12"/>
    </row>
    <row r="67" spans="4:12" ht="17.25" customHeight="1" thickBot="1" x14ac:dyDescent="0.25">
      <c r="D67" s="35">
        <v>0</v>
      </c>
      <c r="E67" s="35">
        <v>0</v>
      </c>
      <c r="F67" s="35">
        <v>0</v>
      </c>
      <c r="G67" s="35">
        <v>0</v>
      </c>
      <c r="H67" s="35">
        <v>0</v>
      </c>
      <c r="I67" s="16" t="s">
        <v>9</v>
      </c>
      <c r="J67" s="417" t="s">
        <v>199</v>
      </c>
      <c r="K67" s="424"/>
      <c r="L67" s="12"/>
    </row>
    <row r="68" spans="4:12" ht="17.25" customHeight="1" thickBot="1" x14ac:dyDescent="0.25">
      <c r="D68" s="35">
        <v>0</v>
      </c>
      <c r="E68" s="35">
        <v>0</v>
      </c>
      <c r="F68" s="35">
        <v>0</v>
      </c>
      <c r="G68" s="35">
        <v>77</v>
      </c>
      <c r="H68" s="35">
        <v>77</v>
      </c>
      <c r="I68" s="16" t="s">
        <v>10</v>
      </c>
      <c r="J68" s="424"/>
      <c r="K68" s="424"/>
      <c r="L68" s="12"/>
    </row>
    <row r="69" spans="4:12" ht="17.25" customHeight="1" thickBot="1" x14ac:dyDescent="0.25">
      <c r="D69" s="35">
        <f t="shared" ref="D69" si="81">SUM(D67:D68)</f>
        <v>0</v>
      </c>
      <c r="E69" s="35">
        <f t="shared" ref="E69" si="82">SUM(E67:E68)</f>
        <v>0</v>
      </c>
      <c r="F69" s="35">
        <f t="shared" ref="F69" si="83">SUM(F67:F68)</f>
        <v>0</v>
      </c>
      <c r="G69" s="35">
        <f t="shared" ref="G69" si="84">SUM(G67:G68)</f>
        <v>77</v>
      </c>
      <c r="H69" s="35">
        <f>SUM(H67:H68)</f>
        <v>77</v>
      </c>
      <c r="I69" s="16" t="s">
        <v>12</v>
      </c>
      <c r="J69" s="418"/>
      <c r="K69" s="418"/>
      <c r="L69" s="12"/>
    </row>
    <row r="70" spans="4:12" ht="17.25" customHeight="1" thickBot="1" x14ac:dyDescent="0.25">
      <c r="D70" s="35">
        <v>0</v>
      </c>
      <c r="E70" s="35">
        <v>10</v>
      </c>
      <c r="F70" s="35">
        <v>0</v>
      </c>
      <c r="G70" s="35">
        <v>726</v>
      </c>
      <c r="H70" s="35">
        <v>209</v>
      </c>
      <c r="I70" s="16" t="s">
        <v>9</v>
      </c>
      <c r="J70" s="417" t="s">
        <v>99</v>
      </c>
      <c r="K70" s="417" t="s">
        <v>100</v>
      </c>
      <c r="L70" s="12"/>
    </row>
    <row r="71" spans="4:12" ht="17.25" customHeight="1" thickBot="1" x14ac:dyDescent="0.25">
      <c r="D71" s="35">
        <v>0</v>
      </c>
      <c r="E71" s="35">
        <v>0</v>
      </c>
      <c r="F71" s="35">
        <v>0</v>
      </c>
      <c r="G71" s="35">
        <v>0</v>
      </c>
      <c r="H71" s="35">
        <v>0</v>
      </c>
      <c r="I71" s="16" t="s">
        <v>10</v>
      </c>
      <c r="J71" s="424"/>
      <c r="K71" s="424"/>
      <c r="L71" s="12"/>
    </row>
    <row r="72" spans="4:12" ht="17.25" customHeight="1" thickBot="1" x14ac:dyDescent="0.25">
      <c r="D72" s="35">
        <f t="shared" ref="D72" si="85">SUM(D70:D71)</f>
        <v>0</v>
      </c>
      <c r="E72" s="35">
        <f t="shared" ref="E72" si="86">SUM(E70:E71)</f>
        <v>10</v>
      </c>
      <c r="F72" s="35">
        <f t="shared" ref="F72" si="87">SUM(F70:F71)</f>
        <v>0</v>
      </c>
      <c r="G72" s="35">
        <f t="shared" ref="G72" si="88">SUM(G70:G71)</f>
        <v>726</v>
      </c>
      <c r="H72" s="35">
        <f>SUM(H70:H71)</f>
        <v>209</v>
      </c>
      <c r="I72" s="16" t="s">
        <v>12</v>
      </c>
      <c r="J72" s="418"/>
      <c r="K72" s="424"/>
      <c r="L72" s="12"/>
    </row>
    <row r="73" spans="4:12" ht="17.25" customHeight="1" thickBot="1" x14ac:dyDescent="0.25">
      <c r="D73" s="35">
        <v>0</v>
      </c>
      <c r="E73" s="35">
        <v>12</v>
      </c>
      <c r="F73" s="35">
        <v>0</v>
      </c>
      <c r="G73" s="35">
        <v>312</v>
      </c>
      <c r="H73" s="35">
        <v>190</v>
      </c>
      <c r="I73" s="16" t="s">
        <v>9</v>
      </c>
      <c r="J73" s="417" t="s">
        <v>101</v>
      </c>
      <c r="K73" s="424"/>
      <c r="L73" s="12"/>
    </row>
    <row r="74" spans="4:12" ht="17.25" customHeight="1" thickBot="1" x14ac:dyDescent="0.25">
      <c r="D74" s="35">
        <v>0</v>
      </c>
      <c r="E74" s="35">
        <v>0</v>
      </c>
      <c r="F74" s="35">
        <v>0</v>
      </c>
      <c r="G74" s="35">
        <v>0</v>
      </c>
      <c r="H74" s="35">
        <v>0</v>
      </c>
      <c r="I74" s="16" t="s">
        <v>10</v>
      </c>
      <c r="J74" s="424"/>
      <c r="K74" s="424"/>
      <c r="L74" s="12"/>
    </row>
    <row r="75" spans="4:12" ht="17.25" customHeight="1" thickBot="1" x14ac:dyDescent="0.25">
      <c r="D75" s="35">
        <f t="shared" ref="D75" si="89">SUM(D73:D74)</f>
        <v>0</v>
      </c>
      <c r="E75" s="35">
        <f t="shared" ref="E75" si="90">SUM(E73:E74)</f>
        <v>12</v>
      </c>
      <c r="F75" s="35">
        <f t="shared" ref="F75" si="91">SUM(F73:F74)</f>
        <v>0</v>
      </c>
      <c r="G75" s="35">
        <f t="shared" ref="G75" si="92">SUM(G73:G74)</f>
        <v>312</v>
      </c>
      <c r="H75" s="35">
        <f>SUM(H73:H74)</f>
        <v>190</v>
      </c>
      <c r="I75" s="16" t="s">
        <v>12</v>
      </c>
      <c r="J75" s="418"/>
      <c r="K75" s="424"/>
      <c r="L75" s="12"/>
    </row>
    <row r="76" spans="4:12" ht="17.25" customHeight="1" thickBot="1" x14ac:dyDescent="0.25">
      <c r="D76" s="35">
        <v>0</v>
      </c>
      <c r="E76" s="35">
        <v>0</v>
      </c>
      <c r="F76" s="35">
        <v>0</v>
      </c>
      <c r="G76" s="35">
        <v>0</v>
      </c>
      <c r="H76" s="35">
        <v>0</v>
      </c>
      <c r="I76" s="16" t="s">
        <v>9</v>
      </c>
      <c r="J76" s="417" t="s">
        <v>102</v>
      </c>
      <c r="K76" s="417" t="s">
        <v>76</v>
      </c>
      <c r="L76" s="12"/>
    </row>
    <row r="77" spans="4:12" ht="17.25" customHeight="1" thickBot="1" x14ac:dyDescent="0.25">
      <c r="D77" s="35">
        <v>7</v>
      </c>
      <c r="E77" s="35">
        <v>0</v>
      </c>
      <c r="F77" s="35">
        <v>224</v>
      </c>
      <c r="G77" s="35">
        <v>646</v>
      </c>
      <c r="H77" s="35">
        <v>497</v>
      </c>
      <c r="I77" s="16" t="s">
        <v>10</v>
      </c>
      <c r="J77" s="424"/>
      <c r="K77" s="424"/>
    </row>
    <row r="78" spans="4:12" ht="17.25" customHeight="1" thickBot="1" x14ac:dyDescent="0.25">
      <c r="D78" s="35">
        <f t="shared" ref="D78" si="93">SUM(D76:D77)</f>
        <v>7</v>
      </c>
      <c r="E78" s="35">
        <f t="shared" ref="E78" si="94">SUM(E76:E77)</f>
        <v>0</v>
      </c>
      <c r="F78" s="35">
        <f t="shared" ref="F78" si="95">SUM(F76:F77)</f>
        <v>224</v>
      </c>
      <c r="G78" s="35">
        <f t="shared" ref="G78" si="96">SUM(G76:G77)</f>
        <v>646</v>
      </c>
      <c r="H78" s="35">
        <f>SUM(H76:H77)</f>
        <v>497</v>
      </c>
      <c r="I78" s="16" t="s">
        <v>12</v>
      </c>
      <c r="J78" s="418"/>
      <c r="K78" s="424"/>
      <c r="L78" s="12"/>
    </row>
    <row r="79" spans="4:12" ht="17.25" customHeight="1" thickBot="1" x14ac:dyDescent="0.25">
      <c r="D79" s="35">
        <v>0</v>
      </c>
      <c r="E79" s="35">
        <v>31</v>
      </c>
      <c r="F79" s="35">
        <v>175</v>
      </c>
      <c r="G79" s="35">
        <v>884</v>
      </c>
      <c r="H79" s="35">
        <v>454</v>
      </c>
      <c r="I79" s="16" t="s">
        <v>9</v>
      </c>
      <c r="J79" s="417" t="s">
        <v>103</v>
      </c>
      <c r="K79" s="424"/>
    </row>
    <row r="80" spans="4:12" ht="17.25" customHeight="1" thickBot="1" x14ac:dyDescent="0.25">
      <c r="D80" s="35">
        <v>0</v>
      </c>
      <c r="E80" s="35">
        <v>66</v>
      </c>
      <c r="F80" s="35">
        <v>99</v>
      </c>
      <c r="G80" s="35">
        <v>680</v>
      </c>
      <c r="H80" s="35">
        <v>407</v>
      </c>
      <c r="I80" s="16" t="s">
        <v>10</v>
      </c>
      <c r="J80" s="424"/>
      <c r="K80" s="424"/>
      <c r="L80" s="12"/>
    </row>
    <row r="81" spans="4:12" ht="17.25" customHeight="1" thickBot="1" x14ac:dyDescent="0.25">
      <c r="D81" s="35">
        <f t="shared" ref="D81" si="97">SUM(D79:D80)</f>
        <v>0</v>
      </c>
      <c r="E81" s="35">
        <f t="shared" ref="E81" si="98">SUM(E79:E80)</f>
        <v>97</v>
      </c>
      <c r="F81" s="35">
        <f t="shared" ref="F81" si="99">SUM(F79:F80)</f>
        <v>274</v>
      </c>
      <c r="G81" s="35">
        <f t="shared" ref="G81" si="100">SUM(G79:G80)</f>
        <v>1564</v>
      </c>
      <c r="H81" s="35">
        <f>SUM(H79:H80)</f>
        <v>861</v>
      </c>
      <c r="I81" s="16" t="s">
        <v>12</v>
      </c>
      <c r="J81" s="418"/>
      <c r="K81" s="418"/>
      <c r="L81" s="12"/>
    </row>
    <row r="82" spans="4:12" ht="17.25" customHeight="1" thickBot="1" x14ac:dyDescent="0.25">
      <c r="D82" s="35">
        <v>0</v>
      </c>
      <c r="E82" s="35">
        <v>2</v>
      </c>
      <c r="F82" s="35">
        <v>0</v>
      </c>
      <c r="G82" s="35">
        <v>0</v>
      </c>
      <c r="H82" s="35">
        <v>0</v>
      </c>
      <c r="I82" s="16" t="s">
        <v>9</v>
      </c>
      <c r="J82" s="417" t="s">
        <v>104</v>
      </c>
      <c r="K82" s="17"/>
      <c r="L82" s="12"/>
    </row>
    <row r="83" spans="4:12" ht="17.25" customHeight="1" thickBot="1" x14ac:dyDescent="0.25">
      <c r="D83" s="35">
        <v>0</v>
      </c>
      <c r="E83" s="35">
        <v>10</v>
      </c>
      <c r="F83" s="35">
        <v>200</v>
      </c>
      <c r="G83" s="35">
        <v>274</v>
      </c>
      <c r="H83" s="35">
        <v>223</v>
      </c>
      <c r="I83" s="16" t="s">
        <v>10</v>
      </c>
      <c r="J83" s="424"/>
      <c r="K83" s="17" t="s">
        <v>77</v>
      </c>
      <c r="L83" s="12"/>
    </row>
    <row r="84" spans="4:12" ht="17.25" customHeight="1" thickBot="1" x14ac:dyDescent="0.25">
      <c r="D84" s="35">
        <f t="shared" ref="D84" si="101">SUM(D82:D83)</f>
        <v>0</v>
      </c>
      <c r="E84" s="35">
        <f t="shared" ref="E84" si="102">SUM(E82:E83)</f>
        <v>12</v>
      </c>
      <c r="F84" s="35">
        <f t="shared" ref="F84" si="103">SUM(F82:F83)</f>
        <v>200</v>
      </c>
      <c r="G84" s="35">
        <f t="shared" ref="G84" si="104">SUM(G82:G83)</f>
        <v>274</v>
      </c>
      <c r="H84" s="35">
        <f>SUM(H82:H83)</f>
        <v>223</v>
      </c>
      <c r="I84" s="16" t="s">
        <v>12</v>
      </c>
      <c r="J84" s="418"/>
      <c r="K84" s="18"/>
      <c r="L84" s="12"/>
    </row>
    <row r="85" spans="4:12" ht="17.25" customHeight="1" thickBot="1" x14ac:dyDescent="0.25">
      <c r="D85" s="35">
        <v>18</v>
      </c>
      <c r="E85" s="35">
        <v>63</v>
      </c>
      <c r="F85" s="35">
        <v>355</v>
      </c>
      <c r="G85" s="35">
        <v>812</v>
      </c>
      <c r="H85" s="35">
        <v>635</v>
      </c>
      <c r="I85" s="16" t="s">
        <v>9</v>
      </c>
      <c r="J85" s="417" t="s">
        <v>105</v>
      </c>
      <c r="K85" s="417" t="s">
        <v>106</v>
      </c>
    </row>
    <row r="86" spans="4:12" ht="17.25" customHeight="1" thickBot="1" x14ac:dyDescent="0.25">
      <c r="D86" s="35">
        <v>0</v>
      </c>
      <c r="E86" s="35">
        <v>0</v>
      </c>
      <c r="F86" s="35">
        <v>0</v>
      </c>
      <c r="G86" s="35">
        <v>2</v>
      </c>
      <c r="H86" s="35">
        <v>0</v>
      </c>
      <c r="I86" s="16" t="s">
        <v>10</v>
      </c>
      <c r="J86" s="424"/>
      <c r="K86" s="424"/>
      <c r="L86" s="12"/>
    </row>
    <row r="87" spans="4:12" ht="17.25" customHeight="1" thickBot="1" x14ac:dyDescent="0.25">
      <c r="D87" s="35">
        <f t="shared" ref="D87" si="105">SUM(D85:D86)</f>
        <v>18</v>
      </c>
      <c r="E87" s="35">
        <f t="shared" ref="E87" si="106">SUM(E85:E86)</f>
        <v>63</v>
      </c>
      <c r="F87" s="35">
        <f t="shared" ref="F87" si="107">SUM(F85:F86)</f>
        <v>355</v>
      </c>
      <c r="G87" s="35">
        <f t="shared" ref="G87" si="108">SUM(G85:G86)</f>
        <v>814</v>
      </c>
      <c r="H87" s="35">
        <f>SUM(H85:H86)</f>
        <v>635</v>
      </c>
      <c r="I87" s="16" t="s">
        <v>12</v>
      </c>
      <c r="J87" s="418"/>
      <c r="K87" s="424"/>
      <c r="L87" s="12"/>
    </row>
    <row r="88" spans="4:12" ht="17.25" customHeight="1" thickBot="1" x14ac:dyDescent="0.25">
      <c r="D88" s="35">
        <v>0</v>
      </c>
      <c r="E88" s="35">
        <v>0</v>
      </c>
      <c r="F88" s="35">
        <v>0</v>
      </c>
      <c r="G88" s="35">
        <v>0</v>
      </c>
      <c r="H88" s="35">
        <v>0</v>
      </c>
      <c r="I88" s="16" t="s">
        <v>9</v>
      </c>
      <c r="J88" s="417" t="s">
        <v>107</v>
      </c>
      <c r="K88" s="424"/>
      <c r="L88" s="12"/>
    </row>
    <row r="89" spans="4:12" ht="17.25" customHeight="1" thickBot="1" x14ac:dyDescent="0.25">
      <c r="D89" s="35">
        <v>1</v>
      </c>
      <c r="E89" s="35">
        <v>2</v>
      </c>
      <c r="F89" s="35">
        <v>271</v>
      </c>
      <c r="G89" s="35">
        <v>947</v>
      </c>
      <c r="H89" s="35">
        <v>249</v>
      </c>
      <c r="I89" s="16" t="s">
        <v>10</v>
      </c>
      <c r="J89" s="424"/>
      <c r="K89" s="424"/>
    </row>
    <row r="90" spans="4:12" ht="17.25" customHeight="1" thickBot="1" x14ac:dyDescent="0.25">
      <c r="D90" s="35">
        <f t="shared" ref="D90" si="109">SUM(D88:D89)</f>
        <v>1</v>
      </c>
      <c r="E90" s="35">
        <f t="shared" ref="E90" si="110">SUM(E88:E89)</f>
        <v>2</v>
      </c>
      <c r="F90" s="35">
        <f t="shared" ref="F90" si="111">SUM(F88:F89)</f>
        <v>271</v>
      </c>
      <c r="G90" s="35">
        <f t="shared" ref="G90" si="112">SUM(G88:G89)</f>
        <v>947</v>
      </c>
      <c r="H90" s="35">
        <f>SUM(H88:H89)</f>
        <v>249</v>
      </c>
      <c r="I90" s="16" t="s">
        <v>12</v>
      </c>
      <c r="J90" s="418"/>
      <c r="K90" s="418"/>
      <c r="L90" s="12"/>
    </row>
    <row r="91" spans="4:12" ht="17.25" customHeight="1" thickBot="1" x14ac:dyDescent="0.25">
      <c r="D91" s="35">
        <v>18</v>
      </c>
      <c r="E91" s="35">
        <v>56</v>
      </c>
      <c r="F91" s="35">
        <v>3</v>
      </c>
      <c r="G91" s="35">
        <v>826</v>
      </c>
      <c r="H91" s="35">
        <v>568</v>
      </c>
      <c r="I91" s="16" t="s">
        <v>9</v>
      </c>
      <c r="J91" s="417" t="s">
        <v>108</v>
      </c>
      <c r="K91" s="17"/>
      <c r="L91" s="12"/>
    </row>
    <row r="92" spans="4:12" ht="17.25" customHeight="1" thickBot="1" x14ac:dyDescent="0.25">
      <c r="D92" s="35">
        <v>0</v>
      </c>
      <c r="E92" s="35">
        <v>0</v>
      </c>
      <c r="F92" s="35">
        <v>296</v>
      </c>
      <c r="G92" s="35">
        <v>1271</v>
      </c>
      <c r="H92" s="35">
        <v>382</v>
      </c>
      <c r="I92" s="16" t="s">
        <v>10</v>
      </c>
      <c r="J92" s="424"/>
      <c r="K92" s="17" t="s">
        <v>109</v>
      </c>
    </row>
    <row r="93" spans="4:12" ht="17.25" customHeight="1" thickBot="1" x14ac:dyDescent="0.25">
      <c r="D93" s="35">
        <f t="shared" ref="D93" si="113">SUM(D91:D92)</f>
        <v>18</v>
      </c>
      <c r="E93" s="35">
        <f t="shared" ref="E93" si="114">SUM(E91:E92)</f>
        <v>56</v>
      </c>
      <c r="F93" s="35">
        <f t="shared" ref="F93" si="115">SUM(F91:F92)</f>
        <v>299</v>
      </c>
      <c r="G93" s="35">
        <f t="shared" ref="G93" si="116">SUM(G91:G92)</f>
        <v>2097</v>
      </c>
      <c r="H93" s="35">
        <f>SUM(H91:H92)</f>
        <v>950</v>
      </c>
      <c r="I93" s="16" t="s">
        <v>12</v>
      </c>
      <c r="J93" s="418"/>
      <c r="K93" s="18"/>
      <c r="L93" s="12"/>
    </row>
    <row r="94" spans="4:12" ht="17.25" customHeight="1" thickBot="1" x14ac:dyDescent="0.25">
      <c r="D94" s="35">
        <v>46</v>
      </c>
      <c r="E94" s="35">
        <v>32</v>
      </c>
      <c r="F94" s="35">
        <v>187</v>
      </c>
      <c r="G94" s="35">
        <v>762</v>
      </c>
      <c r="H94" s="35">
        <v>58</v>
      </c>
      <c r="I94" s="16" t="s">
        <v>9</v>
      </c>
      <c r="J94" s="417" t="s">
        <v>110</v>
      </c>
      <c r="K94" s="417" t="s">
        <v>111</v>
      </c>
      <c r="L94" s="12"/>
    </row>
    <row r="95" spans="4:12" ht="17.25" customHeight="1" thickBot="1" x14ac:dyDescent="0.25">
      <c r="D95" s="35">
        <v>0</v>
      </c>
      <c r="E95" s="35">
        <v>0</v>
      </c>
      <c r="F95" s="35">
        <v>0</v>
      </c>
      <c r="G95" s="35">
        <v>0</v>
      </c>
      <c r="H95" s="35">
        <v>0</v>
      </c>
      <c r="I95" s="16" t="s">
        <v>10</v>
      </c>
      <c r="J95" s="424"/>
      <c r="K95" s="424"/>
    </row>
    <row r="96" spans="4:12" ht="17.25" customHeight="1" thickBot="1" x14ac:dyDescent="0.25">
      <c r="D96" s="35">
        <f t="shared" ref="D96" si="117">SUM(D94:D95)</f>
        <v>46</v>
      </c>
      <c r="E96" s="35">
        <f t="shared" ref="E96" si="118">SUM(E94:E95)</f>
        <v>32</v>
      </c>
      <c r="F96" s="35">
        <f t="shared" ref="F96" si="119">SUM(F94:F95)</f>
        <v>187</v>
      </c>
      <c r="G96" s="35">
        <f t="shared" ref="G96" si="120">SUM(G94:G95)</f>
        <v>762</v>
      </c>
      <c r="H96" s="35">
        <f>SUM(H94:H95)</f>
        <v>58</v>
      </c>
      <c r="I96" s="16" t="s">
        <v>12</v>
      </c>
      <c r="J96" s="418"/>
      <c r="K96" s="424"/>
      <c r="L96" s="12"/>
    </row>
    <row r="97" spans="4:12" ht="17.25" customHeight="1" thickBot="1" x14ac:dyDescent="0.25">
      <c r="D97" s="35">
        <v>0</v>
      </c>
      <c r="E97" s="35">
        <v>0</v>
      </c>
      <c r="F97" s="35">
        <v>0</v>
      </c>
      <c r="G97" s="35">
        <v>0</v>
      </c>
      <c r="H97" s="35">
        <v>0</v>
      </c>
      <c r="I97" s="16" t="s">
        <v>9</v>
      </c>
      <c r="J97" s="417" t="s">
        <v>112</v>
      </c>
      <c r="K97" s="424"/>
      <c r="L97" s="12"/>
    </row>
    <row r="98" spans="4:12" ht="17.25" customHeight="1" thickBot="1" x14ac:dyDescent="0.25">
      <c r="D98" s="35">
        <v>0</v>
      </c>
      <c r="E98" s="35">
        <v>1</v>
      </c>
      <c r="F98" s="35">
        <v>88</v>
      </c>
      <c r="G98" s="35">
        <v>294</v>
      </c>
      <c r="H98" s="35">
        <v>58</v>
      </c>
      <c r="I98" s="16" t="s">
        <v>10</v>
      </c>
      <c r="J98" s="424"/>
      <c r="K98" s="424"/>
      <c r="L98" s="12"/>
    </row>
    <row r="99" spans="4:12" ht="17.25" customHeight="1" thickBot="1" x14ac:dyDescent="0.25">
      <c r="D99" s="35">
        <f t="shared" ref="D99" si="121">SUM(D97:D98)</f>
        <v>0</v>
      </c>
      <c r="E99" s="35">
        <f t="shared" ref="E99" si="122">SUM(E97:E98)</f>
        <v>1</v>
      </c>
      <c r="F99" s="35">
        <f t="shared" ref="F99" si="123">SUM(F97:F98)</f>
        <v>88</v>
      </c>
      <c r="G99" s="35">
        <f t="shared" ref="G99" si="124">SUM(G97:G98)</f>
        <v>294</v>
      </c>
      <c r="H99" s="35">
        <f>SUM(H97:H98)</f>
        <v>58</v>
      </c>
      <c r="I99" s="16" t="s">
        <v>12</v>
      </c>
      <c r="J99" s="418"/>
      <c r="K99" s="424"/>
      <c r="L99" s="12"/>
    </row>
    <row r="100" spans="4:12" ht="17.25" customHeight="1" thickBot="1" x14ac:dyDescent="0.25">
      <c r="D100" s="35">
        <v>0</v>
      </c>
      <c r="E100" s="35">
        <v>0</v>
      </c>
      <c r="F100" s="35">
        <v>0</v>
      </c>
      <c r="G100" s="35">
        <v>0</v>
      </c>
      <c r="H100" s="35">
        <v>0</v>
      </c>
      <c r="I100" s="16" t="s">
        <v>9</v>
      </c>
      <c r="J100" s="417" t="s">
        <v>113</v>
      </c>
      <c r="K100" s="424"/>
    </row>
    <row r="101" spans="4:12" ht="17.25" customHeight="1" thickBot="1" x14ac:dyDescent="0.25">
      <c r="D101" s="35">
        <v>0</v>
      </c>
      <c r="E101" s="35">
        <v>1</v>
      </c>
      <c r="F101" s="35">
        <v>67</v>
      </c>
      <c r="G101" s="35">
        <v>294</v>
      </c>
      <c r="H101" s="35">
        <v>65</v>
      </c>
      <c r="I101" s="16" t="s">
        <v>10</v>
      </c>
      <c r="J101" s="424"/>
      <c r="K101" s="424"/>
    </row>
    <row r="102" spans="4:12" ht="17.25" customHeight="1" thickBot="1" x14ac:dyDescent="0.25">
      <c r="D102" s="35">
        <f t="shared" ref="D102" si="125">SUM(D100:D101)</f>
        <v>0</v>
      </c>
      <c r="E102" s="35">
        <f t="shared" ref="E102" si="126">SUM(E100:E101)</f>
        <v>1</v>
      </c>
      <c r="F102" s="35">
        <f t="shared" ref="F102" si="127">SUM(F100:F101)</f>
        <v>67</v>
      </c>
      <c r="G102" s="35">
        <f t="shared" ref="G102" si="128">SUM(G100:G101)</f>
        <v>294</v>
      </c>
      <c r="H102" s="35">
        <f>SUM(H100:H101)</f>
        <v>65</v>
      </c>
      <c r="I102" s="16" t="s">
        <v>12</v>
      </c>
      <c r="J102" s="418"/>
      <c r="K102" s="418"/>
      <c r="L102" s="12"/>
    </row>
    <row r="103" spans="4:12" ht="17.25" customHeight="1" thickBot="1" x14ac:dyDescent="0.25">
      <c r="D103" s="35">
        <v>8</v>
      </c>
      <c r="E103" s="35">
        <v>0</v>
      </c>
      <c r="F103" s="35">
        <v>221</v>
      </c>
      <c r="G103" s="35">
        <v>405</v>
      </c>
      <c r="H103" s="35">
        <v>307</v>
      </c>
      <c r="I103" s="16" t="s">
        <v>9</v>
      </c>
      <c r="J103" s="417" t="s">
        <v>114</v>
      </c>
      <c r="K103" s="17"/>
      <c r="L103" s="12"/>
    </row>
    <row r="104" spans="4:12" ht="17.25" customHeight="1" thickBot="1" x14ac:dyDescent="0.25">
      <c r="D104" s="35">
        <v>21</v>
      </c>
      <c r="E104" s="35">
        <v>0</v>
      </c>
      <c r="F104" s="35">
        <v>272</v>
      </c>
      <c r="G104" s="35">
        <v>1070</v>
      </c>
      <c r="H104" s="35">
        <v>456</v>
      </c>
      <c r="I104" s="16" t="s">
        <v>10</v>
      </c>
      <c r="J104" s="424"/>
      <c r="K104" s="17" t="s">
        <v>115</v>
      </c>
      <c r="L104" s="12"/>
    </row>
    <row r="105" spans="4:12" ht="17.25" customHeight="1" thickBot="1" x14ac:dyDescent="0.25">
      <c r="D105" s="35">
        <f t="shared" ref="D105" si="129">SUM(D103:D104)</f>
        <v>29</v>
      </c>
      <c r="E105" s="35">
        <f t="shared" ref="E105" si="130">SUM(E103:E104)</f>
        <v>0</v>
      </c>
      <c r="F105" s="35">
        <f t="shared" ref="F105" si="131">SUM(F103:F104)</f>
        <v>493</v>
      </c>
      <c r="G105" s="35">
        <f t="shared" ref="G105" si="132">SUM(G103:G104)</f>
        <v>1475</v>
      </c>
      <c r="H105" s="35">
        <f>SUM(H103:H104)</f>
        <v>763</v>
      </c>
      <c r="I105" s="16" t="s">
        <v>12</v>
      </c>
      <c r="J105" s="418"/>
      <c r="K105" s="18"/>
      <c r="L105" s="12"/>
    </row>
    <row r="106" spans="4:12" ht="17.25" customHeight="1" thickBot="1" x14ac:dyDescent="0.25">
      <c r="D106" s="35">
        <v>44</v>
      </c>
      <c r="E106" s="35">
        <v>55</v>
      </c>
      <c r="F106" s="35">
        <v>133</v>
      </c>
      <c r="G106" s="35">
        <v>840</v>
      </c>
      <c r="H106" s="35">
        <v>471</v>
      </c>
      <c r="I106" s="16" t="s">
        <v>9</v>
      </c>
      <c r="J106" s="417" t="s">
        <v>116</v>
      </c>
      <c r="K106" s="417" t="s">
        <v>117</v>
      </c>
      <c r="L106" s="12"/>
    </row>
    <row r="107" spans="4:12" ht="17.25" customHeight="1" thickBot="1" x14ac:dyDescent="0.25">
      <c r="D107" s="35">
        <v>0</v>
      </c>
      <c r="E107" s="35">
        <v>0</v>
      </c>
      <c r="F107" s="35">
        <v>0</v>
      </c>
      <c r="G107" s="35">
        <v>0</v>
      </c>
      <c r="H107" s="35">
        <v>0</v>
      </c>
      <c r="I107" s="16" t="s">
        <v>10</v>
      </c>
      <c r="J107" s="424"/>
      <c r="K107" s="424"/>
      <c r="L107" s="12"/>
    </row>
    <row r="108" spans="4:12" ht="17.25" customHeight="1" thickBot="1" x14ac:dyDescent="0.25">
      <c r="D108" s="35">
        <f t="shared" ref="D108" si="133">SUM(D106:D107)</f>
        <v>44</v>
      </c>
      <c r="E108" s="35">
        <f t="shared" ref="E108" si="134">SUM(E106:E107)</f>
        <v>55</v>
      </c>
      <c r="F108" s="35">
        <f t="shared" ref="F108" si="135">SUM(F106:F107)</f>
        <v>133</v>
      </c>
      <c r="G108" s="35">
        <f t="shared" ref="G108" si="136">SUM(G106:G107)</f>
        <v>840</v>
      </c>
      <c r="H108" s="35">
        <f>SUM(H106:H107)</f>
        <v>471</v>
      </c>
      <c r="I108" s="16" t="s">
        <v>12</v>
      </c>
      <c r="J108" s="418"/>
      <c r="K108" s="424"/>
      <c r="L108" s="12"/>
    </row>
    <row r="109" spans="4:12" ht="17.25" customHeight="1" thickBot="1" x14ac:dyDescent="0.25"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16" t="s">
        <v>9</v>
      </c>
      <c r="J109" s="417" t="s">
        <v>118</v>
      </c>
      <c r="K109" s="424"/>
      <c r="L109" s="12"/>
    </row>
    <row r="110" spans="4:12" ht="17.25" customHeight="1" thickBot="1" x14ac:dyDescent="0.25">
      <c r="D110" s="35">
        <v>0</v>
      </c>
      <c r="E110" s="35">
        <v>1</v>
      </c>
      <c r="F110" s="35">
        <v>130</v>
      </c>
      <c r="G110" s="35">
        <v>54</v>
      </c>
      <c r="H110" s="35">
        <v>30</v>
      </c>
      <c r="I110" s="16" t="s">
        <v>10</v>
      </c>
      <c r="J110" s="424"/>
      <c r="K110" s="424"/>
      <c r="L110" s="12"/>
    </row>
    <row r="111" spans="4:12" ht="17.25" customHeight="1" thickBot="1" x14ac:dyDescent="0.25">
      <c r="D111" s="35">
        <f t="shared" ref="D111" si="137">SUM(D109:D110)</f>
        <v>0</v>
      </c>
      <c r="E111" s="35">
        <f t="shared" ref="E111" si="138">SUM(E109:E110)</f>
        <v>1</v>
      </c>
      <c r="F111" s="35">
        <f t="shared" ref="F111" si="139">SUM(F109:F110)</f>
        <v>130</v>
      </c>
      <c r="G111" s="35">
        <f t="shared" ref="G111" si="140">SUM(G109:G110)</f>
        <v>54</v>
      </c>
      <c r="H111" s="35">
        <f>SUM(H109:H110)</f>
        <v>30</v>
      </c>
      <c r="I111" s="16" t="s">
        <v>12</v>
      </c>
      <c r="J111" s="418"/>
      <c r="K111" s="418"/>
      <c r="L111" s="12"/>
    </row>
    <row r="112" spans="4:12" ht="17.25" customHeight="1" thickBot="1" x14ac:dyDescent="0.25">
      <c r="D112" s="35">
        <v>0</v>
      </c>
      <c r="E112" s="35">
        <v>6</v>
      </c>
      <c r="F112" s="35">
        <v>0</v>
      </c>
      <c r="G112" s="35">
        <v>0</v>
      </c>
      <c r="H112" s="35">
        <v>0</v>
      </c>
      <c r="I112" s="16" t="s">
        <v>9</v>
      </c>
      <c r="J112" s="410" t="s">
        <v>208</v>
      </c>
      <c r="K112" s="417" t="s">
        <v>119</v>
      </c>
      <c r="L112" s="12"/>
    </row>
    <row r="113" spans="4:12" ht="17.25" customHeight="1" thickBot="1" x14ac:dyDescent="0.25">
      <c r="D113" s="35">
        <v>12</v>
      </c>
      <c r="E113" s="35">
        <v>18</v>
      </c>
      <c r="F113" s="35">
        <v>203</v>
      </c>
      <c r="G113" s="35">
        <v>868</v>
      </c>
      <c r="H113" s="35">
        <v>212</v>
      </c>
      <c r="I113" s="16" t="s">
        <v>10</v>
      </c>
      <c r="J113" s="411"/>
      <c r="K113" s="424"/>
      <c r="L113" s="12"/>
    </row>
    <row r="114" spans="4:12" ht="17.25" customHeight="1" thickBot="1" x14ac:dyDescent="0.25">
      <c r="D114" s="35">
        <f t="shared" ref="D114" si="141">SUM(D112:D113)</f>
        <v>12</v>
      </c>
      <c r="E114" s="35">
        <f t="shared" ref="E114" si="142">SUM(E112:E113)</f>
        <v>24</v>
      </c>
      <c r="F114" s="35">
        <f t="shared" ref="F114" si="143">SUM(F112:F113)</f>
        <v>203</v>
      </c>
      <c r="G114" s="35">
        <f t="shared" ref="G114" si="144">SUM(G112:G113)</f>
        <v>868</v>
      </c>
      <c r="H114" s="35">
        <f>SUM(H112:H113)</f>
        <v>212</v>
      </c>
      <c r="I114" s="16" t="s">
        <v>12</v>
      </c>
      <c r="J114" s="412"/>
      <c r="K114" s="424"/>
      <c r="L114" s="12"/>
    </row>
    <row r="115" spans="4:12" ht="17.25" customHeight="1" thickBot="1" x14ac:dyDescent="0.25">
      <c r="D115" s="35">
        <v>30</v>
      </c>
      <c r="E115" s="35">
        <v>238</v>
      </c>
      <c r="F115" s="35">
        <v>114</v>
      </c>
      <c r="G115" s="35">
        <v>332</v>
      </c>
      <c r="H115" s="35">
        <v>119</v>
      </c>
      <c r="I115" s="16" t="s">
        <v>9</v>
      </c>
      <c r="J115" s="410" t="s">
        <v>209</v>
      </c>
      <c r="K115" s="424"/>
      <c r="L115" s="12"/>
    </row>
    <row r="116" spans="4:12" ht="17.25" customHeight="1" thickBot="1" x14ac:dyDescent="0.25">
      <c r="D116" s="35">
        <v>0</v>
      </c>
      <c r="E116" s="35">
        <v>0</v>
      </c>
      <c r="F116" s="35">
        <v>0</v>
      </c>
      <c r="G116" s="35">
        <v>0</v>
      </c>
      <c r="H116" s="35">
        <v>0</v>
      </c>
      <c r="I116" s="16" t="s">
        <v>10</v>
      </c>
      <c r="J116" s="411"/>
      <c r="K116" s="424"/>
      <c r="L116" s="12"/>
    </row>
    <row r="117" spans="4:12" ht="17.25" customHeight="1" thickBot="1" x14ac:dyDescent="0.25">
      <c r="D117" s="35">
        <f t="shared" ref="D117" si="145">SUM(D115:D116)</f>
        <v>30</v>
      </c>
      <c r="E117" s="35">
        <f t="shared" ref="E117" si="146">SUM(E115:E116)</f>
        <v>238</v>
      </c>
      <c r="F117" s="35">
        <f t="shared" ref="F117" si="147">SUM(F115:F116)</f>
        <v>114</v>
      </c>
      <c r="G117" s="35">
        <f t="shared" ref="G117" si="148">SUM(G115:G116)</f>
        <v>332</v>
      </c>
      <c r="H117" s="35">
        <f>SUM(H115:H116)</f>
        <v>119</v>
      </c>
      <c r="I117" s="16" t="s">
        <v>12</v>
      </c>
      <c r="J117" s="412"/>
      <c r="K117" s="418"/>
      <c r="L117" s="12"/>
    </row>
    <row r="118" spans="4:12" ht="17.25" customHeight="1" thickBot="1" x14ac:dyDescent="0.25">
      <c r="D118" s="35">
        <v>0</v>
      </c>
      <c r="E118" s="35">
        <v>0</v>
      </c>
      <c r="F118" s="35">
        <v>0</v>
      </c>
      <c r="G118" s="35">
        <v>0</v>
      </c>
      <c r="H118" s="35">
        <v>0</v>
      </c>
      <c r="I118" s="16" t="s">
        <v>9</v>
      </c>
      <c r="J118" s="417" t="s">
        <v>120</v>
      </c>
      <c r="K118" s="17"/>
      <c r="L118" s="12"/>
    </row>
    <row r="119" spans="4:12" ht="17.25" customHeight="1" thickBot="1" x14ac:dyDescent="0.25">
      <c r="D119" s="35">
        <v>0</v>
      </c>
      <c r="E119" s="35">
        <v>1</v>
      </c>
      <c r="F119" s="35">
        <v>1166</v>
      </c>
      <c r="G119" s="35">
        <v>2171</v>
      </c>
      <c r="H119" s="35">
        <v>1383</v>
      </c>
      <c r="I119" s="16" t="s">
        <v>10</v>
      </c>
      <c r="J119" s="424"/>
      <c r="K119" s="17" t="s">
        <v>121</v>
      </c>
    </row>
    <row r="120" spans="4:12" ht="17.25" customHeight="1" thickBot="1" x14ac:dyDescent="0.25">
      <c r="D120" s="35">
        <f t="shared" ref="D120" si="149">SUM(D118:D119)</f>
        <v>0</v>
      </c>
      <c r="E120" s="35">
        <f t="shared" ref="E120" si="150">SUM(E118:E119)</f>
        <v>1</v>
      </c>
      <c r="F120" s="35">
        <f t="shared" ref="F120" si="151">SUM(F118:F119)</f>
        <v>1166</v>
      </c>
      <c r="G120" s="35">
        <f t="shared" ref="G120" si="152">SUM(G118:G119)</f>
        <v>2171</v>
      </c>
      <c r="H120" s="35">
        <f>SUM(H118:H119)</f>
        <v>1383</v>
      </c>
      <c r="I120" s="16" t="s">
        <v>12</v>
      </c>
      <c r="J120" s="418"/>
      <c r="K120" s="18"/>
      <c r="L120" s="12"/>
    </row>
    <row r="121" spans="4:12" ht="17.25" customHeight="1" thickBot="1" x14ac:dyDescent="0.25">
      <c r="D121" s="35">
        <v>0</v>
      </c>
      <c r="E121" s="35">
        <v>0</v>
      </c>
      <c r="F121" s="35">
        <v>0</v>
      </c>
      <c r="G121" s="35">
        <v>0</v>
      </c>
      <c r="H121" s="35">
        <v>0</v>
      </c>
      <c r="I121" s="16" t="s">
        <v>9</v>
      </c>
      <c r="J121" s="417" t="s">
        <v>122</v>
      </c>
      <c r="K121" s="417" t="s">
        <v>123</v>
      </c>
      <c r="L121" s="12"/>
    </row>
    <row r="122" spans="4:12" ht="17.25" customHeight="1" thickBot="1" x14ac:dyDescent="0.25">
      <c r="D122" s="35">
        <v>9</v>
      </c>
      <c r="E122" s="35">
        <v>13</v>
      </c>
      <c r="F122" s="35">
        <v>72</v>
      </c>
      <c r="G122" s="35">
        <v>201</v>
      </c>
      <c r="H122" s="35">
        <v>79</v>
      </c>
      <c r="I122" s="16" t="s">
        <v>10</v>
      </c>
      <c r="J122" s="424"/>
      <c r="K122" s="424"/>
      <c r="L122" s="12"/>
    </row>
    <row r="123" spans="4:12" ht="17.25" customHeight="1" thickBot="1" x14ac:dyDescent="0.25">
      <c r="D123" s="35">
        <f t="shared" ref="D123" si="153">SUM(D121:D122)</f>
        <v>9</v>
      </c>
      <c r="E123" s="35">
        <f t="shared" ref="E123" si="154">SUM(E121:E122)</f>
        <v>13</v>
      </c>
      <c r="F123" s="35">
        <f t="shared" ref="F123" si="155">SUM(F121:F122)</f>
        <v>72</v>
      </c>
      <c r="G123" s="35">
        <f t="shared" ref="G123" si="156">SUM(G121:G122)</f>
        <v>201</v>
      </c>
      <c r="H123" s="35">
        <f>SUM(H121:H122)</f>
        <v>79</v>
      </c>
      <c r="I123" s="16" t="s">
        <v>12</v>
      </c>
      <c r="J123" s="418"/>
      <c r="K123" s="424"/>
      <c r="L123" s="12"/>
    </row>
    <row r="124" spans="4:12" ht="17.25" customHeight="1" thickBot="1" x14ac:dyDescent="0.25">
      <c r="D124" s="35">
        <v>49</v>
      </c>
      <c r="E124" s="35">
        <v>15</v>
      </c>
      <c r="F124" s="35">
        <v>0</v>
      </c>
      <c r="G124" s="35">
        <v>155</v>
      </c>
      <c r="H124" s="35">
        <v>50</v>
      </c>
      <c r="I124" s="16" t="s">
        <v>9</v>
      </c>
      <c r="J124" s="417" t="s">
        <v>124</v>
      </c>
      <c r="K124" s="424"/>
    </row>
    <row r="125" spans="4:12" ht="17.25" customHeight="1" thickBot="1" x14ac:dyDescent="0.25">
      <c r="D125" s="35">
        <v>0</v>
      </c>
      <c r="E125" s="35">
        <v>0</v>
      </c>
      <c r="F125" s="35">
        <v>0</v>
      </c>
      <c r="G125" s="35">
        <v>0</v>
      </c>
      <c r="H125" s="35">
        <v>0</v>
      </c>
      <c r="I125" s="16" t="s">
        <v>10</v>
      </c>
      <c r="J125" s="424"/>
      <c r="K125" s="424"/>
    </row>
    <row r="126" spans="4:12" ht="17.25" customHeight="1" thickBot="1" x14ac:dyDescent="0.25">
      <c r="D126" s="35">
        <f t="shared" ref="D126" si="157">SUM(D124:D125)</f>
        <v>49</v>
      </c>
      <c r="E126" s="35">
        <f t="shared" ref="E126" si="158">SUM(E124:E125)</f>
        <v>15</v>
      </c>
      <c r="F126" s="35">
        <f t="shared" ref="F126" si="159">SUM(F124:F125)</f>
        <v>0</v>
      </c>
      <c r="G126" s="35">
        <f t="shared" ref="G126" si="160">SUM(G124:G125)</f>
        <v>155</v>
      </c>
      <c r="H126" s="35">
        <f>SUM(H124:H125)</f>
        <v>50</v>
      </c>
      <c r="I126" s="16" t="s">
        <v>12</v>
      </c>
      <c r="J126" s="418"/>
      <c r="K126" s="418"/>
    </row>
    <row r="127" spans="4:12" ht="17.25" customHeight="1" thickBot="1" x14ac:dyDescent="0.25">
      <c r="D127" s="35">
        <f t="shared" ref="D127:G127" si="161">D4+D7+D10+D13+D16+D19+D22+D25+D28+D31+D34+D37+D40+D43+D46+D49+D52+D55+D58+D61+D64+D67+D70+D73+D76+D79+D82+D85+D88+D91+D94+D97+D100+D103+D106+D109+D112+D115+D118+D121+D124</f>
        <v>392</v>
      </c>
      <c r="E127" s="35">
        <f t="shared" si="161"/>
        <v>1158</v>
      </c>
      <c r="F127" s="35">
        <f t="shared" si="161"/>
        <v>2966</v>
      </c>
      <c r="G127" s="35">
        <f t="shared" si="161"/>
        <v>18578</v>
      </c>
      <c r="H127" s="35">
        <f>H4+H7+H10+H13+H16+H19+H22+H25+H28+H31+H34+H37+H40+H43+H46+H49+H52+H55+H58+H61+H64+H67+H70+H73+H76+H79+H82+H85+H88+H91+H94+H97+H100+H103+H106+H109+H112+H115+H118+H121+H124</f>
        <v>9898</v>
      </c>
      <c r="I127" s="13" t="s">
        <v>26</v>
      </c>
      <c r="J127" s="431" t="s">
        <v>41</v>
      </c>
      <c r="K127" s="432"/>
    </row>
    <row r="128" spans="4:12" ht="17.25" customHeight="1" thickBot="1" x14ac:dyDescent="0.25">
      <c r="D128" s="35">
        <f t="shared" ref="D128:G128" si="162">D5+D8+D11+D14+D17+D20+D23+D26+D29+D32+D35+D38+D41+D44+D47+D50+D53+D56+D59+D62+D65+D68+D71+D74+D77+D80+D83+D86+D89+D92+D95+D98+D101+D104+D107+D110+D113+D116+D119+D122+D125</f>
        <v>56</v>
      </c>
      <c r="E128" s="35">
        <f t="shared" si="162"/>
        <v>174</v>
      </c>
      <c r="F128" s="35">
        <f t="shared" si="162"/>
        <v>4009</v>
      </c>
      <c r="G128" s="35">
        <f t="shared" si="162"/>
        <v>10981</v>
      </c>
      <c r="H128" s="35">
        <f t="shared" ref="H128:H129" si="163">H5+H8+H11+H14+H17+H20+H23+H26+H29+H32+H35+H38+H41+H44+H47+H50+H53+H56+H59+H62+H65+H68+H71+H74+H77+H80+H83+H86+H89+H92+H95+H98+H101+H104+H107+H110+H113+H116+H119+H122+H125</f>
        <v>5478</v>
      </c>
      <c r="I128" s="13" t="s">
        <v>27</v>
      </c>
      <c r="J128" s="433"/>
      <c r="K128" s="434"/>
    </row>
    <row r="129" spans="4:11" ht="17.25" customHeight="1" thickBot="1" x14ac:dyDescent="0.25">
      <c r="D129" s="35">
        <f t="shared" ref="D129:G129" si="164">D6+D9+D12+D15+D18+D21+D24+D27+D30+D33+D36+D39+D42+D45+D48+D51+D54+D57+D60+D63+D66+D69+D72+D75+D78+D81+D84+D87+D90+D93+D96+D99+D102+D105+D108+D111+D114+D117+D120+D123+D126</f>
        <v>448</v>
      </c>
      <c r="E129" s="35">
        <f t="shared" si="164"/>
        <v>1332</v>
      </c>
      <c r="F129" s="35">
        <f t="shared" si="164"/>
        <v>6975</v>
      </c>
      <c r="G129" s="35">
        <f t="shared" si="164"/>
        <v>29559</v>
      </c>
      <c r="H129" s="35">
        <f t="shared" si="163"/>
        <v>15376</v>
      </c>
      <c r="I129" s="13" t="s">
        <v>12</v>
      </c>
      <c r="J129" s="435"/>
      <c r="K129" s="436"/>
    </row>
  </sheetData>
  <mergeCells count="58">
    <mergeCell ref="J115:J117"/>
    <mergeCell ref="J112:J114"/>
    <mergeCell ref="J109:J111"/>
    <mergeCell ref="J106:J108"/>
    <mergeCell ref="J124:J126"/>
    <mergeCell ref="J121:J123"/>
    <mergeCell ref="J64:J66"/>
    <mergeCell ref="J61:J63"/>
    <mergeCell ref="J58:J60"/>
    <mergeCell ref="J55:J57"/>
    <mergeCell ref="J82:J84"/>
    <mergeCell ref="J79:J81"/>
    <mergeCell ref="J76:J78"/>
    <mergeCell ref="J73:J75"/>
    <mergeCell ref="J70:J72"/>
    <mergeCell ref="J67:J69"/>
    <mergeCell ref="J7:J9"/>
    <mergeCell ref="J4:J6"/>
    <mergeCell ref="J52:J54"/>
    <mergeCell ref="J49:J51"/>
    <mergeCell ref="J46:J48"/>
    <mergeCell ref="J43:J45"/>
    <mergeCell ref="J40:J42"/>
    <mergeCell ref="J37:J39"/>
    <mergeCell ref="J34:J36"/>
    <mergeCell ref="J31:J33"/>
    <mergeCell ref="D1:K1"/>
    <mergeCell ref="D2:K2"/>
    <mergeCell ref="K4:K6"/>
    <mergeCell ref="K13:K33"/>
    <mergeCell ref="K52:K69"/>
    <mergeCell ref="K7:K12"/>
    <mergeCell ref="K34:K39"/>
    <mergeCell ref="K40:K45"/>
    <mergeCell ref="K46:K51"/>
    <mergeCell ref="J28:J30"/>
    <mergeCell ref="J25:J27"/>
    <mergeCell ref="J22:J24"/>
    <mergeCell ref="J19:J21"/>
    <mergeCell ref="J16:J18"/>
    <mergeCell ref="J13:J15"/>
    <mergeCell ref="J10:J12"/>
    <mergeCell ref="J127:K129"/>
    <mergeCell ref="K70:K75"/>
    <mergeCell ref="K76:K81"/>
    <mergeCell ref="K85:K90"/>
    <mergeCell ref="K94:K102"/>
    <mergeCell ref="K106:K111"/>
    <mergeCell ref="K112:K117"/>
    <mergeCell ref="K121:K126"/>
    <mergeCell ref="J103:J105"/>
    <mergeCell ref="J100:J102"/>
    <mergeCell ref="J97:J99"/>
    <mergeCell ref="J94:J96"/>
    <mergeCell ref="J91:J93"/>
    <mergeCell ref="J88:J90"/>
    <mergeCell ref="J85:J87"/>
    <mergeCell ref="J118:J120"/>
  </mergeCells>
  <pageMargins left="0.5" right="0.5" top="1.07" bottom="0.27" header="0.5" footer="0.16"/>
  <pageSetup paperSize="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K33"/>
  <sheetViews>
    <sheetView showGridLines="0" workbookViewId="0">
      <selection activeCell="H10" sqref="H10"/>
    </sheetView>
  </sheetViews>
  <sheetFormatPr defaultRowHeight="12.75" x14ac:dyDescent="0.2"/>
  <cols>
    <col min="1" max="1" width="16.375" style="2" customWidth="1"/>
    <col min="2" max="2" width="0" style="2" hidden="1" customWidth="1"/>
    <col min="3" max="8" width="11" style="2" customWidth="1"/>
    <col min="9" max="9" width="27.375" style="2" customWidth="1"/>
    <col min="10" max="10" width="30.875" style="2" customWidth="1"/>
    <col min="11" max="11" width="9.625" style="2" customWidth="1"/>
    <col min="12" max="258" width="9.125" style="2"/>
    <col min="259" max="264" width="11" style="2" customWidth="1"/>
    <col min="265" max="266" width="27.375" style="2" customWidth="1"/>
    <col min="267" max="267" width="9.625" style="2" customWidth="1"/>
    <col min="268" max="514" width="9.125" style="2"/>
    <col min="515" max="520" width="11" style="2" customWidth="1"/>
    <col min="521" max="522" width="27.375" style="2" customWidth="1"/>
    <col min="523" max="523" width="9.625" style="2" customWidth="1"/>
    <col min="524" max="770" width="9.125" style="2"/>
    <col min="771" max="776" width="11" style="2" customWidth="1"/>
    <col min="777" max="778" width="27.375" style="2" customWidth="1"/>
    <col min="779" max="779" width="9.625" style="2" customWidth="1"/>
    <col min="780" max="1026" width="9.125" style="2"/>
    <col min="1027" max="1032" width="11" style="2" customWidth="1"/>
    <col min="1033" max="1034" width="27.375" style="2" customWidth="1"/>
    <col min="1035" max="1035" width="9.625" style="2" customWidth="1"/>
    <col min="1036" max="1282" width="9.125" style="2"/>
    <col min="1283" max="1288" width="11" style="2" customWidth="1"/>
    <col min="1289" max="1290" width="27.375" style="2" customWidth="1"/>
    <col min="1291" max="1291" width="9.625" style="2" customWidth="1"/>
    <col min="1292" max="1538" width="9.125" style="2"/>
    <col min="1539" max="1544" width="11" style="2" customWidth="1"/>
    <col min="1545" max="1546" width="27.375" style="2" customWidth="1"/>
    <col min="1547" max="1547" width="9.625" style="2" customWidth="1"/>
    <col min="1548" max="1794" width="9.125" style="2"/>
    <col min="1795" max="1800" width="11" style="2" customWidth="1"/>
    <col min="1801" max="1802" width="27.375" style="2" customWidth="1"/>
    <col min="1803" max="1803" width="9.625" style="2" customWidth="1"/>
    <col min="1804" max="2050" width="9.125" style="2"/>
    <col min="2051" max="2056" width="11" style="2" customWidth="1"/>
    <col min="2057" max="2058" width="27.375" style="2" customWidth="1"/>
    <col min="2059" max="2059" width="9.625" style="2" customWidth="1"/>
    <col min="2060" max="2306" width="9.125" style="2"/>
    <col min="2307" max="2312" width="11" style="2" customWidth="1"/>
    <col min="2313" max="2314" width="27.375" style="2" customWidth="1"/>
    <col min="2315" max="2315" width="9.625" style="2" customWidth="1"/>
    <col min="2316" max="2562" width="9.125" style="2"/>
    <col min="2563" max="2568" width="11" style="2" customWidth="1"/>
    <col min="2569" max="2570" width="27.375" style="2" customWidth="1"/>
    <col min="2571" max="2571" width="9.625" style="2" customWidth="1"/>
    <col min="2572" max="2818" width="9.125" style="2"/>
    <col min="2819" max="2824" width="11" style="2" customWidth="1"/>
    <col min="2825" max="2826" width="27.375" style="2" customWidth="1"/>
    <col min="2827" max="2827" width="9.625" style="2" customWidth="1"/>
    <col min="2828" max="3074" width="9.125" style="2"/>
    <col min="3075" max="3080" width="11" style="2" customWidth="1"/>
    <col min="3081" max="3082" width="27.375" style="2" customWidth="1"/>
    <col min="3083" max="3083" width="9.625" style="2" customWidth="1"/>
    <col min="3084" max="3330" width="9.125" style="2"/>
    <col min="3331" max="3336" width="11" style="2" customWidth="1"/>
    <col min="3337" max="3338" width="27.375" style="2" customWidth="1"/>
    <col min="3339" max="3339" width="9.625" style="2" customWidth="1"/>
    <col min="3340" max="3586" width="9.125" style="2"/>
    <col min="3587" max="3592" width="11" style="2" customWidth="1"/>
    <col min="3593" max="3594" width="27.375" style="2" customWidth="1"/>
    <col min="3595" max="3595" width="9.625" style="2" customWidth="1"/>
    <col min="3596" max="3842" width="9.125" style="2"/>
    <col min="3843" max="3848" width="11" style="2" customWidth="1"/>
    <col min="3849" max="3850" width="27.375" style="2" customWidth="1"/>
    <col min="3851" max="3851" width="9.625" style="2" customWidth="1"/>
    <col min="3852" max="4098" width="9.125" style="2"/>
    <col min="4099" max="4104" width="11" style="2" customWidth="1"/>
    <col min="4105" max="4106" width="27.375" style="2" customWidth="1"/>
    <col min="4107" max="4107" width="9.625" style="2" customWidth="1"/>
    <col min="4108" max="4354" width="9.125" style="2"/>
    <col min="4355" max="4360" width="11" style="2" customWidth="1"/>
    <col min="4361" max="4362" width="27.375" style="2" customWidth="1"/>
    <col min="4363" max="4363" width="9.625" style="2" customWidth="1"/>
    <col min="4364" max="4610" width="9.125" style="2"/>
    <col min="4611" max="4616" width="11" style="2" customWidth="1"/>
    <col min="4617" max="4618" width="27.375" style="2" customWidth="1"/>
    <col min="4619" max="4619" width="9.625" style="2" customWidth="1"/>
    <col min="4620" max="4866" width="9.125" style="2"/>
    <col min="4867" max="4872" width="11" style="2" customWidth="1"/>
    <col min="4873" max="4874" width="27.375" style="2" customWidth="1"/>
    <col min="4875" max="4875" width="9.625" style="2" customWidth="1"/>
    <col min="4876" max="5122" width="9.125" style="2"/>
    <col min="5123" max="5128" width="11" style="2" customWidth="1"/>
    <col min="5129" max="5130" width="27.375" style="2" customWidth="1"/>
    <col min="5131" max="5131" width="9.625" style="2" customWidth="1"/>
    <col min="5132" max="5378" width="9.125" style="2"/>
    <col min="5379" max="5384" width="11" style="2" customWidth="1"/>
    <col min="5385" max="5386" width="27.375" style="2" customWidth="1"/>
    <col min="5387" max="5387" width="9.625" style="2" customWidth="1"/>
    <col min="5388" max="5634" width="9.125" style="2"/>
    <col min="5635" max="5640" width="11" style="2" customWidth="1"/>
    <col min="5641" max="5642" width="27.375" style="2" customWidth="1"/>
    <col min="5643" max="5643" width="9.625" style="2" customWidth="1"/>
    <col min="5644" max="5890" width="9.125" style="2"/>
    <col min="5891" max="5896" width="11" style="2" customWidth="1"/>
    <col min="5897" max="5898" width="27.375" style="2" customWidth="1"/>
    <col min="5899" max="5899" width="9.625" style="2" customWidth="1"/>
    <col min="5900" max="6146" width="9.125" style="2"/>
    <col min="6147" max="6152" width="11" style="2" customWidth="1"/>
    <col min="6153" max="6154" width="27.375" style="2" customWidth="1"/>
    <col min="6155" max="6155" width="9.625" style="2" customWidth="1"/>
    <col min="6156" max="6402" width="9.125" style="2"/>
    <col min="6403" max="6408" width="11" style="2" customWidth="1"/>
    <col min="6409" max="6410" width="27.375" style="2" customWidth="1"/>
    <col min="6411" max="6411" width="9.625" style="2" customWidth="1"/>
    <col min="6412" max="6658" width="9.125" style="2"/>
    <col min="6659" max="6664" width="11" style="2" customWidth="1"/>
    <col min="6665" max="6666" width="27.375" style="2" customWidth="1"/>
    <col min="6667" max="6667" width="9.625" style="2" customWidth="1"/>
    <col min="6668" max="6914" width="9.125" style="2"/>
    <col min="6915" max="6920" width="11" style="2" customWidth="1"/>
    <col min="6921" max="6922" width="27.375" style="2" customWidth="1"/>
    <col min="6923" max="6923" width="9.625" style="2" customWidth="1"/>
    <col min="6924" max="7170" width="9.125" style="2"/>
    <col min="7171" max="7176" width="11" style="2" customWidth="1"/>
    <col min="7177" max="7178" width="27.375" style="2" customWidth="1"/>
    <col min="7179" max="7179" width="9.625" style="2" customWidth="1"/>
    <col min="7180" max="7426" width="9.125" style="2"/>
    <col min="7427" max="7432" width="11" style="2" customWidth="1"/>
    <col min="7433" max="7434" width="27.375" style="2" customWidth="1"/>
    <col min="7435" max="7435" width="9.625" style="2" customWidth="1"/>
    <col min="7436" max="7682" width="9.125" style="2"/>
    <col min="7683" max="7688" width="11" style="2" customWidth="1"/>
    <col min="7689" max="7690" width="27.375" style="2" customWidth="1"/>
    <col min="7691" max="7691" width="9.625" style="2" customWidth="1"/>
    <col min="7692" max="7938" width="9.125" style="2"/>
    <col min="7939" max="7944" width="11" style="2" customWidth="1"/>
    <col min="7945" max="7946" width="27.375" style="2" customWidth="1"/>
    <col min="7947" max="7947" width="9.625" style="2" customWidth="1"/>
    <col min="7948" max="8194" width="9.125" style="2"/>
    <col min="8195" max="8200" width="11" style="2" customWidth="1"/>
    <col min="8201" max="8202" width="27.375" style="2" customWidth="1"/>
    <col min="8203" max="8203" width="9.625" style="2" customWidth="1"/>
    <col min="8204" max="8450" width="9.125" style="2"/>
    <col min="8451" max="8456" width="11" style="2" customWidth="1"/>
    <col min="8457" max="8458" width="27.375" style="2" customWidth="1"/>
    <col min="8459" max="8459" width="9.625" style="2" customWidth="1"/>
    <col min="8460" max="8706" width="9.125" style="2"/>
    <col min="8707" max="8712" width="11" style="2" customWidth="1"/>
    <col min="8713" max="8714" width="27.375" style="2" customWidth="1"/>
    <col min="8715" max="8715" width="9.625" style="2" customWidth="1"/>
    <col min="8716" max="8962" width="9.125" style="2"/>
    <col min="8963" max="8968" width="11" style="2" customWidth="1"/>
    <col min="8969" max="8970" width="27.375" style="2" customWidth="1"/>
    <col min="8971" max="8971" width="9.625" style="2" customWidth="1"/>
    <col min="8972" max="9218" width="9.125" style="2"/>
    <col min="9219" max="9224" width="11" style="2" customWidth="1"/>
    <col min="9225" max="9226" width="27.375" style="2" customWidth="1"/>
    <col min="9227" max="9227" width="9.625" style="2" customWidth="1"/>
    <col min="9228" max="9474" width="9.125" style="2"/>
    <col min="9475" max="9480" width="11" style="2" customWidth="1"/>
    <col min="9481" max="9482" width="27.375" style="2" customWidth="1"/>
    <col min="9483" max="9483" width="9.625" style="2" customWidth="1"/>
    <col min="9484" max="9730" width="9.125" style="2"/>
    <col min="9731" max="9736" width="11" style="2" customWidth="1"/>
    <col min="9737" max="9738" width="27.375" style="2" customWidth="1"/>
    <col min="9739" max="9739" width="9.625" style="2" customWidth="1"/>
    <col min="9740" max="9986" width="9.125" style="2"/>
    <col min="9987" max="9992" width="11" style="2" customWidth="1"/>
    <col min="9993" max="9994" width="27.375" style="2" customWidth="1"/>
    <col min="9995" max="9995" width="9.625" style="2" customWidth="1"/>
    <col min="9996" max="10242" width="9.125" style="2"/>
    <col min="10243" max="10248" width="11" style="2" customWidth="1"/>
    <col min="10249" max="10250" width="27.375" style="2" customWidth="1"/>
    <col min="10251" max="10251" width="9.625" style="2" customWidth="1"/>
    <col min="10252" max="10498" width="9.125" style="2"/>
    <col min="10499" max="10504" width="11" style="2" customWidth="1"/>
    <col min="10505" max="10506" width="27.375" style="2" customWidth="1"/>
    <col min="10507" max="10507" width="9.625" style="2" customWidth="1"/>
    <col min="10508" max="10754" width="9.125" style="2"/>
    <col min="10755" max="10760" width="11" style="2" customWidth="1"/>
    <col min="10761" max="10762" width="27.375" style="2" customWidth="1"/>
    <col min="10763" max="10763" width="9.625" style="2" customWidth="1"/>
    <col min="10764" max="11010" width="9.125" style="2"/>
    <col min="11011" max="11016" width="11" style="2" customWidth="1"/>
    <col min="11017" max="11018" width="27.375" style="2" customWidth="1"/>
    <col min="11019" max="11019" width="9.625" style="2" customWidth="1"/>
    <col min="11020" max="11266" width="9.125" style="2"/>
    <col min="11267" max="11272" width="11" style="2" customWidth="1"/>
    <col min="11273" max="11274" width="27.375" style="2" customWidth="1"/>
    <col min="11275" max="11275" width="9.625" style="2" customWidth="1"/>
    <col min="11276" max="11522" width="9.125" style="2"/>
    <col min="11523" max="11528" width="11" style="2" customWidth="1"/>
    <col min="11529" max="11530" width="27.375" style="2" customWidth="1"/>
    <col min="11531" max="11531" width="9.625" style="2" customWidth="1"/>
    <col min="11532" max="11778" width="9.125" style="2"/>
    <col min="11779" max="11784" width="11" style="2" customWidth="1"/>
    <col min="11785" max="11786" width="27.375" style="2" customWidth="1"/>
    <col min="11787" max="11787" width="9.625" style="2" customWidth="1"/>
    <col min="11788" max="12034" width="9.125" style="2"/>
    <col min="12035" max="12040" width="11" style="2" customWidth="1"/>
    <col min="12041" max="12042" width="27.375" style="2" customWidth="1"/>
    <col min="12043" max="12043" width="9.625" style="2" customWidth="1"/>
    <col min="12044" max="12290" width="9.125" style="2"/>
    <col min="12291" max="12296" width="11" style="2" customWidth="1"/>
    <col min="12297" max="12298" width="27.375" style="2" customWidth="1"/>
    <col min="12299" max="12299" width="9.625" style="2" customWidth="1"/>
    <col min="12300" max="12546" width="9.125" style="2"/>
    <col min="12547" max="12552" width="11" style="2" customWidth="1"/>
    <col min="12553" max="12554" width="27.375" style="2" customWidth="1"/>
    <col min="12555" max="12555" width="9.625" style="2" customWidth="1"/>
    <col min="12556" max="12802" width="9.125" style="2"/>
    <col min="12803" max="12808" width="11" style="2" customWidth="1"/>
    <col min="12809" max="12810" width="27.375" style="2" customWidth="1"/>
    <col min="12811" max="12811" width="9.625" style="2" customWidth="1"/>
    <col min="12812" max="13058" width="9.125" style="2"/>
    <col min="13059" max="13064" width="11" style="2" customWidth="1"/>
    <col min="13065" max="13066" width="27.375" style="2" customWidth="1"/>
    <col min="13067" max="13067" width="9.625" style="2" customWidth="1"/>
    <col min="13068" max="13314" width="9.125" style="2"/>
    <col min="13315" max="13320" width="11" style="2" customWidth="1"/>
    <col min="13321" max="13322" width="27.375" style="2" customWidth="1"/>
    <col min="13323" max="13323" width="9.625" style="2" customWidth="1"/>
    <col min="13324" max="13570" width="9.125" style="2"/>
    <col min="13571" max="13576" width="11" style="2" customWidth="1"/>
    <col min="13577" max="13578" width="27.375" style="2" customWidth="1"/>
    <col min="13579" max="13579" width="9.625" style="2" customWidth="1"/>
    <col min="13580" max="13826" width="9.125" style="2"/>
    <col min="13827" max="13832" width="11" style="2" customWidth="1"/>
    <col min="13833" max="13834" width="27.375" style="2" customWidth="1"/>
    <col min="13835" max="13835" width="9.625" style="2" customWidth="1"/>
    <col min="13836" max="14082" width="9.125" style="2"/>
    <col min="14083" max="14088" width="11" style="2" customWidth="1"/>
    <col min="14089" max="14090" width="27.375" style="2" customWidth="1"/>
    <col min="14091" max="14091" width="9.625" style="2" customWidth="1"/>
    <col min="14092" max="14338" width="9.125" style="2"/>
    <col min="14339" max="14344" width="11" style="2" customWidth="1"/>
    <col min="14345" max="14346" width="27.375" style="2" customWidth="1"/>
    <col min="14347" max="14347" width="9.625" style="2" customWidth="1"/>
    <col min="14348" max="14594" width="9.125" style="2"/>
    <col min="14595" max="14600" width="11" style="2" customWidth="1"/>
    <col min="14601" max="14602" width="27.375" style="2" customWidth="1"/>
    <col min="14603" max="14603" width="9.625" style="2" customWidth="1"/>
    <col min="14604" max="14850" width="9.125" style="2"/>
    <col min="14851" max="14856" width="11" style="2" customWidth="1"/>
    <col min="14857" max="14858" width="27.375" style="2" customWidth="1"/>
    <col min="14859" max="14859" width="9.625" style="2" customWidth="1"/>
    <col min="14860" max="15106" width="9.125" style="2"/>
    <col min="15107" max="15112" width="11" style="2" customWidth="1"/>
    <col min="15113" max="15114" width="27.375" style="2" customWidth="1"/>
    <col min="15115" max="15115" width="9.625" style="2" customWidth="1"/>
    <col min="15116" max="15362" width="9.125" style="2"/>
    <col min="15363" max="15368" width="11" style="2" customWidth="1"/>
    <col min="15369" max="15370" width="27.375" style="2" customWidth="1"/>
    <col min="15371" max="15371" width="9.625" style="2" customWidth="1"/>
    <col min="15372" max="15618" width="9.125" style="2"/>
    <col min="15619" max="15624" width="11" style="2" customWidth="1"/>
    <col min="15625" max="15626" width="27.375" style="2" customWidth="1"/>
    <col min="15627" max="15627" width="9.625" style="2" customWidth="1"/>
    <col min="15628" max="15874" width="9.125" style="2"/>
    <col min="15875" max="15880" width="11" style="2" customWidth="1"/>
    <col min="15881" max="15882" width="27.375" style="2" customWidth="1"/>
    <col min="15883" max="15883" width="9.625" style="2" customWidth="1"/>
    <col min="15884" max="16130" width="9.125" style="2"/>
    <col min="16131" max="16136" width="11" style="2" customWidth="1"/>
    <col min="16137" max="16138" width="27.375" style="2" customWidth="1"/>
    <col min="16139" max="16139" width="9.625" style="2" customWidth="1"/>
    <col min="16140" max="16384" width="9.125" style="2"/>
  </cols>
  <sheetData>
    <row r="1" spans="3:11" ht="20.100000000000001" customHeight="1" x14ac:dyDescent="0.2">
      <c r="C1" s="406" t="s">
        <v>224</v>
      </c>
      <c r="D1" s="407"/>
      <c r="E1" s="407"/>
      <c r="F1" s="407"/>
      <c r="G1" s="407"/>
      <c r="H1" s="407"/>
      <c r="I1" s="407"/>
      <c r="J1" s="407"/>
      <c r="K1" s="12"/>
    </row>
    <row r="2" spans="3:11" ht="20.100000000000001" customHeight="1" thickBot="1" x14ac:dyDescent="0.25">
      <c r="C2" s="408" t="s">
        <v>62</v>
      </c>
      <c r="D2" s="408"/>
      <c r="E2" s="408"/>
      <c r="F2" s="408"/>
      <c r="G2" s="408"/>
      <c r="H2" s="408"/>
      <c r="I2" s="408"/>
      <c r="J2" s="408"/>
      <c r="K2" s="12"/>
    </row>
    <row r="3" spans="3:11" ht="26.25" thickBot="1" x14ac:dyDescent="0.25">
      <c r="C3" s="13" t="s">
        <v>63</v>
      </c>
      <c r="D3" s="13" t="s">
        <v>64</v>
      </c>
      <c r="E3" s="13" t="s">
        <v>1</v>
      </c>
      <c r="F3" s="13" t="s">
        <v>2</v>
      </c>
      <c r="G3" s="13" t="s">
        <v>3</v>
      </c>
      <c r="H3" s="14" t="s">
        <v>7</v>
      </c>
      <c r="I3" s="13" t="s">
        <v>65</v>
      </c>
      <c r="J3" s="13" t="s">
        <v>66</v>
      </c>
      <c r="K3" s="12"/>
    </row>
    <row r="4" spans="3:11" ht="13.5" thickBot="1" x14ac:dyDescent="0.25">
      <c r="C4" s="15">
        <v>0</v>
      </c>
      <c r="D4" s="15">
        <v>0</v>
      </c>
      <c r="E4" s="15">
        <v>0</v>
      </c>
      <c r="F4" s="15">
        <v>472</v>
      </c>
      <c r="G4" s="15">
        <v>355</v>
      </c>
      <c r="H4" s="16" t="s">
        <v>9</v>
      </c>
      <c r="I4" s="417" t="s">
        <v>67</v>
      </c>
      <c r="J4" s="417" t="s">
        <v>68</v>
      </c>
      <c r="K4" s="12"/>
    </row>
    <row r="5" spans="3:11" ht="15.75" customHeight="1" thickBot="1" x14ac:dyDescent="0.25">
      <c r="C5" s="15">
        <v>0</v>
      </c>
      <c r="D5" s="15">
        <v>0</v>
      </c>
      <c r="E5" s="15">
        <v>0</v>
      </c>
      <c r="F5" s="15">
        <v>703</v>
      </c>
      <c r="G5" s="15">
        <v>530</v>
      </c>
      <c r="H5" s="16" t="s">
        <v>10</v>
      </c>
      <c r="I5" s="424"/>
      <c r="J5" s="424"/>
      <c r="K5" s="12"/>
    </row>
    <row r="6" spans="3:11" ht="15.75" customHeight="1" thickBot="1" x14ac:dyDescent="0.25">
      <c r="C6" s="15">
        <f t="shared" ref="C6:F6" si="0">SUM(C4:C5)</f>
        <v>0</v>
      </c>
      <c r="D6" s="15">
        <f t="shared" si="0"/>
        <v>0</v>
      </c>
      <c r="E6" s="15">
        <f t="shared" si="0"/>
        <v>0</v>
      </c>
      <c r="F6" s="15">
        <f t="shared" si="0"/>
        <v>1175</v>
      </c>
      <c r="G6" s="15">
        <f>SUM(G4:G5)</f>
        <v>885</v>
      </c>
      <c r="H6" s="16" t="s">
        <v>12</v>
      </c>
      <c r="I6" s="418"/>
      <c r="J6" s="418"/>
      <c r="K6" s="12"/>
    </row>
    <row r="7" spans="3:11" ht="13.5" thickBot="1" x14ac:dyDescent="0.25">
      <c r="C7" s="15">
        <v>0</v>
      </c>
      <c r="D7" s="15">
        <v>0</v>
      </c>
      <c r="E7" s="15">
        <v>379</v>
      </c>
      <c r="F7" s="15">
        <v>1152</v>
      </c>
      <c r="G7" s="15">
        <v>1052</v>
      </c>
      <c r="H7" s="16" t="s">
        <v>9</v>
      </c>
      <c r="I7" s="417" t="s">
        <v>69</v>
      </c>
      <c r="J7" s="410" t="s">
        <v>206</v>
      </c>
      <c r="K7" s="12"/>
    </row>
    <row r="8" spans="3:11" ht="15.75" customHeight="1" thickBot="1" x14ac:dyDescent="0.25">
      <c r="C8" s="15">
        <v>0</v>
      </c>
      <c r="D8" s="15">
        <v>0</v>
      </c>
      <c r="E8" s="15">
        <v>86</v>
      </c>
      <c r="F8" s="15">
        <v>422</v>
      </c>
      <c r="G8" s="15">
        <v>441</v>
      </c>
      <c r="H8" s="16" t="s">
        <v>10</v>
      </c>
      <c r="I8" s="424"/>
      <c r="J8" s="424"/>
      <c r="K8" s="12"/>
    </row>
    <row r="9" spans="3:11" ht="15.75" customHeight="1" thickBot="1" x14ac:dyDescent="0.25">
      <c r="C9" s="15">
        <f t="shared" ref="C9" si="1">SUM(C7:C8)</f>
        <v>0</v>
      </c>
      <c r="D9" s="15">
        <f t="shared" ref="D9" si="2">SUM(D7:D8)</f>
        <v>0</v>
      </c>
      <c r="E9" s="15">
        <f t="shared" ref="E9" si="3">SUM(E7:E8)</f>
        <v>465</v>
      </c>
      <c r="F9" s="15">
        <f t="shared" ref="F9" si="4">SUM(F7:F8)</f>
        <v>1574</v>
      </c>
      <c r="G9" s="15">
        <f>SUM(G7:G8)</f>
        <v>1493</v>
      </c>
      <c r="H9" s="16" t="s">
        <v>12</v>
      </c>
      <c r="I9" s="418"/>
      <c r="J9" s="418"/>
      <c r="K9" s="12"/>
    </row>
    <row r="10" spans="3:11" ht="13.5" thickBot="1" x14ac:dyDescent="0.25">
      <c r="C10" s="15">
        <v>17</v>
      </c>
      <c r="D10" s="15">
        <v>0</v>
      </c>
      <c r="E10" s="15">
        <v>338</v>
      </c>
      <c r="F10" s="15">
        <v>1000</v>
      </c>
      <c r="G10" s="15">
        <v>283</v>
      </c>
      <c r="H10" s="16" t="s">
        <v>9</v>
      </c>
      <c r="I10" s="417" t="s">
        <v>71</v>
      </c>
      <c r="J10" s="417" t="s">
        <v>72</v>
      </c>
      <c r="K10" s="12"/>
    </row>
    <row r="11" spans="3:11" ht="15.75" customHeight="1" thickBot="1" x14ac:dyDescent="0.25">
      <c r="C11" s="15">
        <v>10</v>
      </c>
      <c r="D11" s="15">
        <v>12</v>
      </c>
      <c r="E11" s="15">
        <v>366</v>
      </c>
      <c r="F11" s="15">
        <v>3449</v>
      </c>
      <c r="G11" s="15">
        <v>1239</v>
      </c>
      <c r="H11" s="16" t="s">
        <v>10</v>
      </c>
      <c r="I11" s="424"/>
      <c r="J11" s="424"/>
      <c r="K11" s="12"/>
    </row>
    <row r="12" spans="3:11" ht="15.75" customHeight="1" thickBot="1" x14ac:dyDescent="0.25">
      <c r="C12" s="15">
        <f t="shared" ref="C12" si="5">SUM(C10:C11)</f>
        <v>27</v>
      </c>
      <c r="D12" s="15">
        <f t="shared" ref="D12" si="6">SUM(D10:D11)</f>
        <v>12</v>
      </c>
      <c r="E12" s="15">
        <f t="shared" ref="E12" si="7">SUM(E10:E11)</f>
        <v>704</v>
      </c>
      <c r="F12" s="15">
        <f t="shared" ref="F12" si="8">SUM(F10:F11)</f>
        <v>4449</v>
      </c>
      <c r="G12" s="15">
        <f>SUM(G10:G11)</f>
        <v>1522</v>
      </c>
      <c r="H12" s="16" t="s">
        <v>12</v>
      </c>
      <c r="I12" s="418"/>
      <c r="J12" s="418"/>
      <c r="K12" s="12"/>
    </row>
    <row r="13" spans="3:11" ht="13.5" thickBot="1" x14ac:dyDescent="0.25">
      <c r="C13" s="15">
        <v>0</v>
      </c>
      <c r="D13" s="15">
        <v>0</v>
      </c>
      <c r="E13" s="15">
        <v>0</v>
      </c>
      <c r="F13" s="15">
        <v>89</v>
      </c>
      <c r="G13" s="15">
        <v>332</v>
      </c>
      <c r="H13" s="16" t="s">
        <v>9</v>
      </c>
      <c r="I13" s="417" t="s">
        <v>69</v>
      </c>
      <c r="J13" s="417" t="s">
        <v>73</v>
      </c>
      <c r="K13" s="12"/>
    </row>
    <row r="14" spans="3:11" ht="15.75" customHeight="1" thickBot="1" x14ac:dyDescent="0.25">
      <c r="C14" s="15">
        <v>0</v>
      </c>
      <c r="D14" s="15">
        <v>0</v>
      </c>
      <c r="E14" s="15">
        <v>0</v>
      </c>
      <c r="F14" s="15">
        <v>81</v>
      </c>
      <c r="G14" s="15">
        <v>211</v>
      </c>
      <c r="H14" s="16" t="s">
        <v>10</v>
      </c>
      <c r="I14" s="424"/>
      <c r="J14" s="424"/>
      <c r="K14" s="12"/>
    </row>
    <row r="15" spans="3:11" ht="15.75" customHeight="1" thickBot="1" x14ac:dyDescent="0.25">
      <c r="C15" s="15">
        <f t="shared" ref="C15" si="9">SUM(C13:C14)</f>
        <v>0</v>
      </c>
      <c r="D15" s="15">
        <f t="shared" ref="D15" si="10">SUM(D13:D14)</f>
        <v>0</v>
      </c>
      <c r="E15" s="15">
        <f t="shared" ref="E15" si="11">SUM(E13:E14)</f>
        <v>0</v>
      </c>
      <c r="F15" s="15">
        <f t="shared" ref="F15" si="12">SUM(F13:F14)</f>
        <v>170</v>
      </c>
      <c r="G15" s="15">
        <f>SUM(G13:G14)</f>
        <v>543</v>
      </c>
      <c r="H15" s="16" t="s">
        <v>12</v>
      </c>
      <c r="I15" s="418"/>
      <c r="J15" s="418"/>
      <c r="K15" s="12"/>
    </row>
    <row r="16" spans="3:11" ht="13.5" thickBot="1" x14ac:dyDescent="0.25">
      <c r="C16" s="15">
        <v>42</v>
      </c>
      <c r="D16" s="15">
        <v>24</v>
      </c>
      <c r="E16" s="15">
        <v>102</v>
      </c>
      <c r="F16" s="15">
        <v>494</v>
      </c>
      <c r="G16" s="15">
        <v>69</v>
      </c>
      <c r="H16" s="16" t="s">
        <v>9</v>
      </c>
      <c r="I16" s="417" t="s">
        <v>71</v>
      </c>
      <c r="J16" s="417" t="s">
        <v>74</v>
      </c>
      <c r="K16" s="12"/>
    </row>
    <row r="17" spans="3:11" ht="15.75" customHeight="1" thickBot="1" x14ac:dyDescent="0.25">
      <c r="C17" s="15">
        <v>49</v>
      </c>
      <c r="D17" s="15">
        <v>24</v>
      </c>
      <c r="E17" s="15">
        <v>313</v>
      </c>
      <c r="F17" s="15">
        <v>2218</v>
      </c>
      <c r="G17" s="15">
        <v>443</v>
      </c>
      <c r="H17" s="16" t="s">
        <v>10</v>
      </c>
      <c r="I17" s="424"/>
      <c r="J17" s="424"/>
      <c r="K17" s="12"/>
    </row>
    <row r="18" spans="3:11" ht="15.75" customHeight="1" thickBot="1" x14ac:dyDescent="0.25">
      <c r="C18" s="15">
        <f t="shared" ref="C18" si="13">SUM(C16:C17)</f>
        <v>91</v>
      </c>
      <c r="D18" s="15">
        <f t="shared" ref="D18" si="14">SUM(D16:D17)</f>
        <v>48</v>
      </c>
      <c r="E18" s="15">
        <f t="shared" ref="E18" si="15">SUM(E16:E17)</f>
        <v>415</v>
      </c>
      <c r="F18" s="15">
        <f t="shared" ref="F18" si="16">SUM(F16:F17)</f>
        <v>2712</v>
      </c>
      <c r="G18" s="15">
        <f>SUM(G16:G17)</f>
        <v>512</v>
      </c>
      <c r="H18" s="16" t="s">
        <v>12</v>
      </c>
      <c r="I18" s="418"/>
      <c r="J18" s="418"/>
      <c r="K18" s="12"/>
    </row>
    <row r="19" spans="3:11" ht="15.75" customHeight="1" thickBot="1" x14ac:dyDescent="0.25"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6" t="s">
        <v>9</v>
      </c>
      <c r="I19" s="417" t="s">
        <v>67</v>
      </c>
      <c r="J19" s="417" t="s">
        <v>75</v>
      </c>
      <c r="K19" s="12"/>
    </row>
    <row r="20" spans="3:11" ht="15.75" customHeight="1" thickBot="1" x14ac:dyDescent="0.25">
      <c r="C20" s="15">
        <v>0</v>
      </c>
      <c r="D20" s="15">
        <v>0</v>
      </c>
      <c r="E20" s="15">
        <v>229</v>
      </c>
      <c r="F20" s="15">
        <v>886</v>
      </c>
      <c r="G20" s="15">
        <v>517</v>
      </c>
      <c r="H20" s="16" t="s">
        <v>10</v>
      </c>
      <c r="I20" s="424"/>
      <c r="J20" s="424"/>
      <c r="K20" s="12"/>
    </row>
    <row r="21" spans="3:11" ht="15.75" customHeight="1" thickBot="1" x14ac:dyDescent="0.25">
      <c r="C21" s="15">
        <f t="shared" ref="C21" si="17">SUM(C19:C20)</f>
        <v>0</v>
      </c>
      <c r="D21" s="15">
        <f t="shared" ref="D21" si="18">SUM(D19:D20)</f>
        <v>0</v>
      </c>
      <c r="E21" s="15">
        <f t="shared" ref="E21" si="19">SUM(E19:E20)</f>
        <v>229</v>
      </c>
      <c r="F21" s="15">
        <f t="shared" ref="F21" si="20">SUM(F19:F20)</f>
        <v>886</v>
      </c>
      <c r="G21" s="15">
        <f>SUM(G19:G20)</f>
        <v>517</v>
      </c>
      <c r="H21" s="16" t="s">
        <v>12</v>
      </c>
      <c r="I21" s="418"/>
      <c r="J21" s="446"/>
      <c r="K21" s="12"/>
    </row>
    <row r="22" spans="3:11" ht="13.5" thickBot="1" x14ac:dyDescent="0.25">
      <c r="C22" s="15">
        <v>0</v>
      </c>
      <c r="D22" s="15">
        <v>0</v>
      </c>
      <c r="E22" s="15">
        <v>0</v>
      </c>
      <c r="F22" s="15">
        <v>9</v>
      </c>
      <c r="G22" s="15">
        <v>9</v>
      </c>
      <c r="H22" s="16" t="s">
        <v>9</v>
      </c>
      <c r="I22" s="447" t="s">
        <v>67</v>
      </c>
      <c r="J22" s="437" t="s">
        <v>200</v>
      </c>
      <c r="K22" s="12"/>
    </row>
    <row r="23" spans="3:11" ht="15.75" customHeight="1" thickBot="1" x14ac:dyDescent="0.25">
      <c r="C23" s="15">
        <v>0</v>
      </c>
      <c r="D23" s="15">
        <v>0</v>
      </c>
      <c r="E23" s="15">
        <v>143</v>
      </c>
      <c r="F23" s="15">
        <v>286</v>
      </c>
      <c r="G23" s="15">
        <v>164</v>
      </c>
      <c r="H23" s="16" t="s">
        <v>10</v>
      </c>
      <c r="I23" s="448"/>
      <c r="J23" s="438"/>
      <c r="K23" s="12"/>
    </row>
    <row r="24" spans="3:11" ht="15.75" customHeight="1" thickBot="1" x14ac:dyDescent="0.25">
      <c r="C24" s="15">
        <f t="shared" ref="C24" si="21">SUM(C22:C23)</f>
        <v>0</v>
      </c>
      <c r="D24" s="15">
        <f t="shared" ref="D24" si="22">SUM(D22:D23)</f>
        <v>0</v>
      </c>
      <c r="E24" s="15">
        <f t="shared" ref="E24" si="23">SUM(E22:E23)</f>
        <v>143</v>
      </c>
      <c r="F24" s="15">
        <f t="shared" ref="F24" si="24">SUM(F22:F23)</f>
        <v>295</v>
      </c>
      <c r="G24" s="15">
        <f>SUM(G22:G23)</f>
        <v>173</v>
      </c>
      <c r="H24" s="16" t="s">
        <v>12</v>
      </c>
      <c r="I24" s="450"/>
      <c r="J24" s="439"/>
      <c r="K24" s="12"/>
    </row>
    <row r="25" spans="3:11" ht="13.5" thickBot="1" x14ac:dyDescent="0.25">
      <c r="C25" s="15">
        <v>0</v>
      </c>
      <c r="D25" s="15">
        <v>0</v>
      </c>
      <c r="E25" s="15">
        <v>761</v>
      </c>
      <c r="F25" s="15">
        <v>3904</v>
      </c>
      <c r="G25" s="15">
        <v>2048</v>
      </c>
      <c r="H25" s="16" t="s">
        <v>9</v>
      </c>
      <c r="I25" s="447" t="s">
        <v>189</v>
      </c>
      <c r="J25" s="437" t="s">
        <v>76</v>
      </c>
      <c r="K25" s="12"/>
    </row>
    <row r="26" spans="3:11" ht="15.75" customHeight="1" thickBot="1" x14ac:dyDescent="0.25">
      <c r="C26" s="15">
        <v>0</v>
      </c>
      <c r="D26" s="15">
        <v>0</v>
      </c>
      <c r="E26" s="15">
        <v>615</v>
      </c>
      <c r="F26" s="15">
        <v>2763</v>
      </c>
      <c r="G26" s="15">
        <v>1531</v>
      </c>
      <c r="H26" s="16" t="s">
        <v>10</v>
      </c>
      <c r="I26" s="448"/>
      <c r="J26" s="438"/>
      <c r="K26" s="12"/>
    </row>
    <row r="27" spans="3:11" ht="15.75" customHeight="1" thickBot="1" x14ac:dyDescent="0.25">
      <c r="C27" s="15">
        <f t="shared" ref="C27" si="25">SUM(C25:C26)</f>
        <v>0</v>
      </c>
      <c r="D27" s="15">
        <f t="shared" ref="D27" si="26">SUM(D25:D26)</f>
        <v>0</v>
      </c>
      <c r="E27" s="15">
        <f t="shared" ref="E27" si="27">SUM(E25:E26)</f>
        <v>1376</v>
      </c>
      <c r="F27" s="15">
        <f t="shared" ref="F27" si="28">SUM(F25:F26)</f>
        <v>6667</v>
      </c>
      <c r="G27" s="15">
        <f>SUM(G25:G26)</f>
        <v>3579</v>
      </c>
      <c r="H27" s="16" t="s">
        <v>12</v>
      </c>
      <c r="I27" s="450"/>
      <c r="J27" s="439"/>
      <c r="K27" s="12"/>
    </row>
    <row r="28" spans="3:11" ht="15.75" customHeight="1" thickBot="1" x14ac:dyDescent="0.25">
      <c r="C28" s="15">
        <v>0</v>
      </c>
      <c r="D28" s="15">
        <v>0</v>
      </c>
      <c r="E28" s="15">
        <v>0</v>
      </c>
      <c r="F28" s="15">
        <v>315</v>
      </c>
      <c r="G28" s="15">
        <v>215</v>
      </c>
      <c r="H28" s="16" t="s">
        <v>9</v>
      </c>
      <c r="I28" s="447" t="s">
        <v>67</v>
      </c>
      <c r="J28" s="437" t="s">
        <v>77</v>
      </c>
      <c r="K28" s="12"/>
    </row>
    <row r="29" spans="3:11" ht="15.75" customHeight="1" thickBot="1" x14ac:dyDescent="0.25">
      <c r="C29" s="15">
        <v>0</v>
      </c>
      <c r="D29" s="15">
        <v>0</v>
      </c>
      <c r="E29" s="15">
        <v>0</v>
      </c>
      <c r="F29" s="15">
        <v>373</v>
      </c>
      <c r="G29" s="15">
        <v>104</v>
      </c>
      <c r="H29" s="16" t="s">
        <v>10</v>
      </c>
      <c r="I29" s="448"/>
      <c r="J29" s="438"/>
      <c r="K29" s="12"/>
    </row>
    <row r="30" spans="3:11" ht="15.75" customHeight="1" thickBot="1" x14ac:dyDescent="0.25">
      <c r="C30" s="15">
        <f t="shared" ref="C30" si="29">SUM(C28:C29)</f>
        <v>0</v>
      </c>
      <c r="D30" s="15">
        <f t="shared" ref="D30" si="30">SUM(D28:D29)</f>
        <v>0</v>
      </c>
      <c r="E30" s="15">
        <f t="shared" ref="E30" si="31">SUM(E28:E29)</f>
        <v>0</v>
      </c>
      <c r="F30" s="15">
        <f t="shared" ref="F30" si="32">SUM(F28:F29)</f>
        <v>688</v>
      </c>
      <c r="G30" s="15">
        <f>SUM(G28:G29)</f>
        <v>319</v>
      </c>
      <c r="H30" s="16" t="s">
        <v>12</v>
      </c>
      <c r="I30" s="449"/>
      <c r="J30" s="439"/>
      <c r="K30" s="12"/>
    </row>
    <row r="31" spans="3:11" ht="13.5" thickBot="1" x14ac:dyDescent="0.25">
      <c r="C31" s="15">
        <f t="shared" ref="C31:F33" si="33">C4+C7+C10+C13+C16+C19+C22+C25+C28</f>
        <v>59</v>
      </c>
      <c r="D31" s="15">
        <f t="shared" si="33"/>
        <v>24</v>
      </c>
      <c r="E31" s="15">
        <f t="shared" si="33"/>
        <v>1580</v>
      </c>
      <c r="F31" s="15">
        <f t="shared" si="33"/>
        <v>7435</v>
      </c>
      <c r="G31" s="15">
        <f>G4+G7+G10+G13+G16+G19+G22+G25+G28</f>
        <v>4363</v>
      </c>
      <c r="H31" s="19" t="s">
        <v>26</v>
      </c>
      <c r="I31" s="440" t="s">
        <v>41</v>
      </c>
      <c r="J31" s="441"/>
    </row>
    <row r="32" spans="3:11" ht="13.5" thickBot="1" x14ac:dyDescent="0.25">
      <c r="C32" s="15">
        <f t="shared" si="33"/>
        <v>59</v>
      </c>
      <c r="D32" s="15">
        <f t="shared" si="33"/>
        <v>36</v>
      </c>
      <c r="E32" s="15">
        <f t="shared" si="33"/>
        <v>1752</v>
      </c>
      <c r="F32" s="15">
        <f t="shared" si="33"/>
        <v>11181</v>
      </c>
      <c r="G32" s="15">
        <f t="shared" ref="G32:G33" si="34">G5+G8+G11+G14+G17+G20+G23+G26+G29</f>
        <v>5180</v>
      </c>
      <c r="H32" s="19" t="s">
        <v>27</v>
      </c>
      <c r="I32" s="442"/>
      <c r="J32" s="443"/>
    </row>
    <row r="33" spans="3:10" ht="13.5" thickBot="1" x14ac:dyDescent="0.25">
      <c r="C33" s="15">
        <f t="shared" si="33"/>
        <v>118</v>
      </c>
      <c r="D33" s="15">
        <f t="shared" si="33"/>
        <v>60</v>
      </c>
      <c r="E33" s="15">
        <f t="shared" si="33"/>
        <v>3332</v>
      </c>
      <c r="F33" s="15">
        <f t="shared" si="33"/>
        <v>18616</v>
      </c>
      <c r="G33" s="15">
        <f t="shared" si="34"/>
        <v>9543</v>
      </c>
      <c r="H33" s="19" t="s">
        <v>12</v>
      </c>
      <c r="I33" s="444"/>
      <c r="J33" s="445"/>
    </row>
  </sheetData>
  <mergeCells count="21">
    <mergeCell ref="C1:J1"/>
    <mergeCell ref="C2:J2"/>
    <mergeCell ref="J25:J27"/>
    <mergeCell ref="J28:J30"/>
    <mergeCell ref="I31:J33"/>
    <mergeCell ref="J22:J24"/>
    <mergeCell ref="J19:J21"/>
    <mergeCell ref="J16:J18"/>
    <mergeCell ref="J13:J15"/>
    <mergeCell ref="J10:J12"/>
    <mergeCell ref="J7:J9"/>
    <mergeCell ref="J4:J6"/>
    <mergeCell ref="I28:I30"/>
    <mergeCell ref="I25:I27"/>
    <mergeCell ref="I22:I24"/>
    <mergeCell ref="I19:I21"/>
    <mergeCell ref="I16:I18"/>
    <mergeCell ref="I13:I15"/>
    <mergeCell ref="I10:I12"/>
    <mergeCell ref="I7:I9"/>
    <mergeCell ref="I4:I6"/>
  </mergeCells>
  <pageMargins left="0.5" right="0.5" top="0.5" bottom="0.5" header="0.5" footer="0.5"/>
  <pageSetup paperSize="9" scale="97" orientation="landscape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28"/>
  <sheetViews>
    <sheetView showGridLines="0" workbookViewId="0">
      <selection activeCell="F29" sqref="F29"/>
    </sheetView>
  </sheetViews>
  <sheetFormatPr defaultRowHeight="12.75" x14ac:dyDescent="0.2"/>
  <cols>
    <col min="1" max="1" width="6.875" style="2" customWidth="1"/>
    <col min="2" max="11" width="9.625" style="2" customWidth="1"/>
    <col min="12" max="12" width="27.375" style="2" customWidth="1"/>
    <col min="13" max="13" width="6.875" style="2" customWidth="1"/>
    <col min="14" max="256" width="9.125" style="2"/>
    <col min="257" max="257" width="6.875" style="2" customWidth="1"/>
    <col min="258" max="267" width="9.625" style="2" customWidth="1"/>
    <col min="268" max="268" width="27.375" style="2" customWidth="1"/>
    <col min="269" max="269" width="6.875" style="2" customWidth="1"/>
    <col min="270" max="512" width="9.125" style="2"/>
    <col min="513" max="513" width="6.875" style="2" customWidth="1"/>
    <col min="514" max="523" width="9.625" style="2" customWidth="1"/>
    <col min="524" max="524" width="27.375" style="2" customWidth="1"/>
    <col min="525" max="525" width="6.875" style="2" customWidth="1"/>
    <col min="526" max="768" width="9.125" style="2"/>
    <col min="769" max="769" width="6.875" style="2" customWidth="1"/>
    <col min="770" max="779" width="9.625" style="2" customWidth="1"/>
    <col min="780" max="780" width="27.375" style="2" customWidth="1"/>
    <col min="781" max="781" width="6.875" style="2" customWidth="1"/>
    <col min="782" max="1024" width="9.125" style="2"/>
    <col min="1025" max="1025" width="6.875" style="2" customWidth="1"/>
    <col min="1026" max="1035" width="9.625" style="2" customWidth="1"/>
    <col min="1036" max="1036" width="27.375" style="2" customWidth="1"/>
    <col min="1037" max="1037" width="6.875" style="2" customWidth="1"/>
    <col min="1038" max="1280" width="9.125" style="2"/>
    <col min="1281" max="1281" width="6.875" style="2" customWidth="1"/>
    <col min="1282" max="1291" width="9.625" style="2" customWidth="1"/>
    <col min="1292" max="1292" width="27.375" style="2" customWidth="1"/>
    <col min="1293" max="1293" width="6.875" style="2" customWidth="1"/>
    <col min="1294" max="1536" width="9.125" style="2"/>
    <col min="1537" max="1537" width="6.875" style="2" customWidth="1"/>
    <col min="1538" max="1547" width="9.625" style="2" customWidth="1"/>
    <col min="1548" max="1548" width="27.375" style="2" customWidth="1"/>
    <col min="1549" max="1549" width="6.875" style="2" customWidth="1"/>
    <col min="1550" max="1792" width="9.125" style="2"/>
    <col min="1793" max="1793" width="6.875" style="2" customWidth="1"/>
    <col min="1794" max="1803" width="9.625" style="2" customWidth="1"/>
    <col min="1804" max="1804" width="27.375" style="2" customWidth="1"/>
    <col min="1805" max="1805" width="6.875" style="2" customWidth="1"/>
    <col min="1806" max="2048" width="9.125" style="2"/>
    <col min="2049" max="2049" width="6.875" style="2" customWidth="1"/>
    <col min="2050" max="2059" width="9.625" style="2" customWidth="1"/>
    <col min="2060" max="2060" width="27.375" style="2" customWidth="1"/>
    <col min="2061" max="2061" width="6.875" style="2" customWidth="1"/>
    <col min="2062" max="2304" width="9.125" style="2"/>
    <col min="2305" max="2305" width="6.875" style="2" customWidth="1"/>
    <col min="2306" max="2315" width="9.625" style="2" customWidth="1"/>
    <col min="2316" max="2316" width="27.375" style="2" customWidth="1"/>
    <col min="2317" max="2317" width="6.875" style="2" customWidth="1"/>
    <col min="2318" max="2560" width="9.125" style="2"/>
    <col min="2561" max="2561" width="6.875" style="2" customWidth="1"/>
    <col min="2562" max="2571" width="9.625" style="2" customWidth="1"/>
    <col min="2572" max="2572" width="27.375" style="2" customWidth="1"/>
    <col min="2573" max="2573" width="6.875" style="2" customWidth="1"/>
    <col min="2574" max="2816" width="9.125" style="2"/>
    <col min="2817" max="2817" width="6.875" style="2" customWidth="1"/>
    <col min="2818" max="2827" width="9.625" style="2" customWidth="1"/>
    <col min="2828" max="2828" width="27.375" style="2" customWidth="1"/>
    <col min="2829" max="2829" width="6.875" style="2" customWidth="1"/>
    <col min="2830" max="3072" width="9.125" style="2"/>
    <col min="3073" max="3073" width="6.875" style="2" customWidth="1"/>
    <col min="3074" max="3083" width="9.625" style="2" customWidth="1"/>
    <col min="3084" max="3084" width="27.375" style="2" customWidth="1"/>
    <col min="3085" max="3085" width="6.875" style="2" customWidth="1"/>
    <col min="3086" max="3328" width="9.125" style="2"/>
    <col min="3329" max="3329" width="6.875" style="2" customWidth="1"/>
    <col min="3330" max="3339" width="9.625" style="2" customWidth="1"/>
    <col min="3340" max="3340" width="27.375" style="2" customWidth="1"/>
    <col min="3341" max="3341" width="6.875" style="2" customWidth="1"/>
    <col min="3342" max="3584" width="9.125" style="2"/>
    <col min="3585" max="3585" width="6.875" style="2" customWidth="1"/>
    <col min="3586" max="3595" width="9.625" style="2" customWidth="1"/>
    <col min="3596" max="3596" width="27.375" style="2" customWidth="1"/>
    <col min="3597" max="3597" width="6.875" style="2" customWidth="1"/>
    <col min="3598" max="3840" width="9.125" style="2"/>
    <col min="3841" max="3841" width="6.875" style="2" customWidth="1"/>
    <col min="3842" max="3851" width="9.625" style="2" customWidth="1"/>
    <col min="3852" max="3852" width="27.375" style="2" customWidth="1"/>
    <col min="3853" max="3853" width="6.875" style="2" customWidth="1"/>
    <col min="3854" max="4096" width="9.125" style="2"/>
    <col min="4097" max="4097" width="6.875" style="2" customWidth="1"/>
    <col min="4098" max="4107" width="9.625" style="2" customWidth="1"/>
    <col min="4108" max="4108" width="27.375" style="2" customWidth="1"/>
    <col min="4109" max="4109" width="6.875" style="2" customWidth="1"/>
    <col min="4110" max="4352" width="9.125" style="2"/>
    <col min="4353" max="4353" width="6.875" style="2" customWidth="1"/>
    <col min="4354" max="4363" width="9.625" style="2" customWidth="1"/>
    <col min="4364" max="4364" width="27.375" style="2" customWidth="1"/>
    <col min="4365" max="4365" width="6.875" style="2" customWidth="1"/>
    <col min="4366" max="4608" width="9.125" style="2"/>
    <col min="4609" max="4609" width="6.875" style="2" customWidth="1"/>
    <col min="4610" max="4619" width="9.625" style="2" customWidth="1"/>
    <col min="4620" max="4620" width="27.375" style="2" customWidth="1"/>
    <col min="4621" max="4621" width="6.875" style="2" customWidth="1"/>
    <col min="4622" max="4864" width="9.125" style="2"/>
    <col min="4865" max="4865" width="6.875" style="2" customWidth="1"/>
    <col min="4866" max="4875" width="9.625" style="2" customWidth="1"/>
    <col min="4876" max="4876" width="27.375" style="2" customWidth="1"/>
    <col min="4877" max="4877" width="6.875" style="2" customWidth="1"/>
    <col min="4878" max="5120" width="9.125" style="2"/>
    <col min="5121" max="5121" width="6.875" style="2" customWidth="1"/>
    <col min="5122" max="5131" width="9.625" style="2" customWidth="1"/>
    <col min="5132" max="5132" width="27.375" style="2" customWidth="1"/>
    <col min="5133" max="5133" width="6.875" style="2" customWidth="1"/>
    <col min="5134" max="5376" width="9.125" style="2"/>
    <col min="5377" max="5377" width="6.875" style="2" customWidth="1"/>
    <col min="5378" max="5387" width="9.625" style="2" customWidth="1"/>
    <col min="5388" max="5388" width="27.375" style="2" customWidth="1"/>
    <col min="5389" max="5389" width="6.875" style="2" customWidth="1"/>
    <col min="5390" max="5632" width="9.125" style="2"/>
    <col min="5633" max="5633" width="6.875" style="2" customWidth="1"/>
    <col min="5634" max="5643" width="9.625" style="2" customWidth="1"/>
    <col min="5644" max="5644" width="27.375" style="2" customWidth="1"/>
    <col min="5645" max="5645" width="6.875" style="2" customWidth="1"/>
    <col min="5646" max="5888" width="9.125" style="2"/>
    <col min="5889" max="5889" width="6.875" style="2" customWidth="1"/>
    <col min="5890" max="5899" width="9.625" style="2" customWidth="1"/>
    <col min="5900" max="5900" width="27.375" style="2" customWidth="1"/>
    <col min="5901" max="5901" width="6.875" style="2" customWidth="1"/>
    <col min="5902" max="6144" width="9.125" style="2"/>
    <col min="6145" max="6145" width="6.875" style="2" customWidth="1"/>
    <col min="6146" max="6155" width="9.625" style="2" customWidth="1"/>
    <col min="6156" max="6156" width="27.375" style="2" customWidth="1"/>
    <col min="6157" max="6157" width="6.875" style="2" customWidth="1"/>
    <col min="6158" max="6400" width="9.125" style="2"/>
    <col min="6401" max="6401" width="6.875" style="2" customWidth="1"/>
    <col min="6402" max="6411" width="9.625" style="2" customWidth="1"/>
    <col min="6412" max="6412" width="27.375" style="2" customWidth="1"/>
    <col min="6413" max="6413" width="6.875" style="2" customWidth="1"/>
    <col min="6414" max="6656" width="9.125" style="2"/>
    <col min="6657" max="6657" width="6.875" style="2" customWidth="1"/>
    <col min="6658" max="6667" width="9.625" style="2" customWidth="1"/>
    <col min="6668" max="6668" width="27.375" style="2" customWidth="1"/>
    <col min="6669" max="6669" width="6.875" style="2" customWidth="1"/>
    <col min="6670" max="6912" width="9.125" style="2"/>
    <col min="6913" max="6913" width="6.875" style="2" customWidth="1"/>
    <col min="6914" max="6923" width="9.625" style="2" customWidth="1"/>
    <col min="6924" max="6924" width="27.375" style="2" customWidth="1"/>
    <col min="6925" max="6925" width="6.875" style="2" customWidth="1"/>
    <col min="6926" max="7168" width="9.125" style="2"/>
    <col min="7169" max="7169" width="6.875" style="2" customWidth="1"/>
    <col min="7170" max="7179" width="9.625" style="2" customWidth="1"/>
    <col min="7180" max="7180" width="27.375" style="2" customWidth="1"/>
    <col min="7181" max="7181" width="6.875" style="2" customWidth="1"/>
    <col min="7182" max="7424" width="9.125" style="2"/>
    <col min="7425" max="7425" width="6.875" style="2" customWidth="1"/>
    <col min="7426" max="7435" width="9.625" style="2" customWidth="1"/>
    <col min="7436" max="7436" width="27.375" style="2" customWidth="1"/>
    <col min="7437" max="7437" width="6.875" style="2" customWidth="1"/>
    <col min="7438" max="7680" width="9.125" style="2"/>
    <col min="7681" max="7681" width="6.875" style="2" customWidth="1"/>
    <col min="7682" max="7691" width="9.625" style="2" customWidth="1"/>
    <col min="7692" max="7692" width="27.375" style="2" customWidth="1"/>
    <col min="7693" max="7693" width="6.875" style="2" customWidth="1"/>
    <col min="7694" max="7936" width="9.125" style="2"/>
    <col min="7937" max="7937" width="6.875" style="2" customWidth="1"/>
    <col min="7938" max="7947" width="9.625" style="2" customWidth="1"/>
    <col min="7948" max="7948" width="27.375" style="2" customWidth="1"/>
    <col min="7949" max="7949" width="6.875" style="2" customWidth="1"/>
    <col min="7950" max="8192" width="9.125" style="2"/>
    <col min="8193" max="8193" width="6.875" style="2" customWidth="1"/>
    <col min="8194" max="8203" width="9.625" style="2" customWidth="1"/>
    <col min="8204" max="8204" width="27.375" style="2" customWidth="1"/>
    <col min="8205" max="8205" width="6.875" style="2" customWidth="1"/>
    <col min="8206" max="8448" width="9.125" style="2"/>
    <col min="8449" max="8449" width="6.875" style="2" customWidth="1"/>
    <col min="8450" max="8459" width="9.625" style="2" customWidth="1"/>
    <col min="8460" max="8460" width="27.375" style="2" customWidth="1"/>
    <col min="8461" max="8461" width="6.875" style="2" customWidth="1"/>
    <col min="8462" max="8704" width="9.125" style="2"/>
    <col min="8705" max="8705" width="6.875" style="2" customWidth="1"/>
    <col min="8706" max="8715" width="9.625" style="2" customWidth="1"/>
    <col min="8716" max="8716" width="27.375" style="2" customWidth="1"/>
    <col min="8717" max="8717" width="6.875" style="2" customWidth="1"/>
    <col min="8718" max="8960" width="9.125" style="2"/>
    <col min="8961" max="8961" width="6.875" style="2" customWidth="1"/>
    <col min="8962" max="8971" width="9.625" style="2" customWidth="1"/>
    <col min="8972" max="8972" width="27.375" style="2" customWidth="1"/>
    <col min="8973" max="8973" width="6.875" style="2" customWidth="1"/>
    <col min="8974" max="9216" width="9.125" style="2"/>
    <col min="9217" max="9217" width="6.875" style="2" customWidth="1"/>
    <col min="9218" max="9227" width="9.625" style="2" customWidth="1"/>
    <col min="9228" max="9228" width="27.375" style="2" customWidth="1"/>
    <col min="9229" max="9229" width="6.875" style="2" customWidth="1"/>
    <col min="9230" max="9472" width="9.125" style="2"/>
    <col min="9473" max="9473" width="6.875" style="2" customWidth="1"/>
    <col min="9474" max="9483" width="9.625" style="2" customWidth="1"/>
    <col min="9484" max="9484" width="27.375" style="2" customWidth="1"/>
    <col min="9485" max="9485" width="6.875" style="2" customWidth="1"/>
    <col min="9486" max="9728" width="9.125" style="2"/>
    <col min="9729" max="9729" width="6.875" style="2" customWidth="1"/>
    <col min="9730" max="9739" width="9.625" style="2" customWidth="1"/>
    <col min="9740" max="9740" width="27.375" style="2" customWidth="1"/>
    <col min="9741" max="9741" width="6.875" style="2" customWidth="1"/>
    <col min="9742" max="9984" width="9.125" style="2"/>
    <col min="9985" max="9985" width="6.875" style="2" customWidth="1"/>
    <col min="9986" max="9995" width="9.625" style="2" customWidth="1"/>
    <col min="9996" max="9996" width="27.375" style="2" customWidth="1"/>
    <col min="9997" max="9997" width="6.875" style="2" customWidth="1"/>
    <col min="9998" max="10240" width="9.125" style="2"/>
    <col min="10241" max="10241" width="6.875" style="2" customWidth="1"/>
    <col min="10242" max="10251" width="9.625" style="2" customWidth="1"/>
    <col min="10252" max="10252" width="27.375" style="2" customWidth="1"/>
    <col min="10253" max="10253" width="6.875" style="2" customWidth="1"/>
    <col min="10254" max="10496" width="9.125" style="2"/>
    <col min="10497" max="10497" width="6.875" style="2" customWidth="1"/>
    <col min="10498" max="10507" width="9.625" style="2" customWidth="1"/>
    <col min="10508" max="10508" width="27.375" style="2" customWidth="1"/>
    <col min="10509" max="10509" width="6.875" style="2" customWidth="1"/>
    <col min="10510" max="10752" width="9.125" style="2"/>
    <col min="10753" max="10753" width="6.875" style="2" customWidth="1"/>
    <col min="10754" max="10763" width="9.625" style="2" customWidth="1"/>
    <col min="10764" max="10764" width="27.375" style="2" customWidth="1"/>
    <col min="10765" max="10765" width="6.875" style="2" customWidth="1"/>
    <col min="10766" max="11008" width="9.125" style="2"/>
    <col min="11009" max="11009" width="6.875" style="2" customWidth="1"/>
    <col min="11010" max="11019" width="9.625" style="2" customWidth="1"/>
    <col min="11020" max="11020" width="27.375" style="2" customWidth="1"/>
    <col min="11021" max="11021" width="6.875" style="2" customWidth="1"/>
    <col min="11022" max="11264" width="9.125" style="2"/>
    <col min="11265" max="11265" width="6.875" style="2" customWidth="1"/>
    <col min="11266" max="11275" width="9.625" style="2" customWidth="1"/>
    <col min="11276" max="11276" width="27.375" style="2" customWidth="1"/>
    <col min="11277" max="11277" width="6.875" style="2" customWidth="1"/>
    <col min="11278" max="11520" width="9.125" style="2"/>
    <col min="11521" max="11521" width="6.875" style="2" customWidth="1"/>
    <col min="11522" max="11531" width="9.625" style="2" customWidth="1"/>
    <col min="11532" max="11532" width="27.375" style="2" customWidth="1"/>
    <col min="11533" max="11533" width="6.875" style="2" customWidth="1"/>
    <col min="11534" max="11776" width="9.125" style="2"/>
    <col min="11777" max="11777" width="6.875" style="2" customWidth="1"/>
    <col min="11778" max="11787" width="9.625" style="2" customWidth="1"/>
    <col min="11788" max="11788" width="27.375" style="2" customWidth="1"/>
    <col min="11789" max="11789" width="6.875" style="2" customWidth="1"/>
    <col min="11790" max="12032" width="9.125" style="2"/>
    <col min="12033" max="12033" width="6.875" style="2" customWidth="1"/>
    <col min="12034" max="12043" width="9.625" style="2" customWidth="1"/>
    <col min="12044" max="12044" width="27.375" style="2" customWidth="1"/>
    <col min="12045" max="12045" width="6.875" style="2" customWidth="1"/>
    <col min="12046" max="12288" width="9.125" style="2"/>
    <col min="12289" max="12289" width="6.875" style="2" customWidth="1"/>
    <col min="12290" max="12299" width="9.625" style="2" customWidth="1"/>
    <col min="12300" max="12300" width="27.375" style="2" customWidth="1"/>
    <col min="12301" max="12301" width="6.875" style="2" customWidth="1"/>
    <col min="12302" max="12544" width="9.125" style="2"/>
    <col min="12545" max="12545" width="6.875" style="2" customWidth="1"/>
    <col min="12546" max="12555" width="9.625" style="2" customWidth="1"/>
    <col min="12556" max="12556" width="27.375" style="2" customWidth="1"/>
    <col min="12557" max="12557" width="6.875" style="2" customWidth="1"/>
    <col min="12558" max="12800" width="9.125" style="2"/>
    <col min="12801" max="12801" width="6.875" style="2" customWidth="1"/>
    <col min="12802" max="12811" width="9.625" style="2" customWidth="1"/>
    <col min="12812" max="12812" width="27.375" style="2" customWidth="1"/>
    <col min="12813" max="12813" width="6.875" style="2" customWidth="1"/>
    <col min="12814" max="13056" width="9.125" style="2"/>
    <col min="13057" max="13057" width="6.875" style="2" customWidth="1"/>
    <col min="13058" max="13067" width="9.625" style="2" customWidth="1"/>
    <col min="13068" max="13068" width="27.375" style="2" customWidth="1"/>
    <col min="13069" max="13069" width="6.875" style="2" customWidth="1"/>
    <col min="13070" max="13312" width="9.125" style="2"/>
    <col min="13313" max="13313" width="6.875" style="2" customWidth="1"/>
    <col min="13314" max="13323" width="9.625" style="2" customWidth="1"/>
    <col min="13324" max="13324" width="27.375" style="2" customWidth="1"/>
    <col min="13325" max="13325" width="6.875" style="2" customWidth="1"/>
    <col min="13326" max="13568" width="9.125" style="2"/>
    <col min="13569" max="13569" width="6.875" style="2" customWidth="1"/>
    <col min="13570" max="13579" width="9.625" style="2" customWidth="1"/>
    <col min="13580" max="13580" width="27.375" style="2" customWidth="1"/>
    <col min="13581" max="13581" width="6.875" style="2" customWidth="1"/>
    <col min="13582" max="13824" width="9.125" style="2"/>
    <col min="13825" max="13825" width="6.875" style="2" customWidth="1"/>
    <col min="13826" max="13835" width="9.625" style="2" customWidth="1"/>
    <col min="13836" max="13836" width="27.375" style="2" customWidth="1"/>
    <col min="13837" max="13837" width="6.875" style="2" customWidth="1"/>
    <col min="13838" max="14080" width="9.125" style="2"/>
    <col min="14081" max="14081" width="6.875" style="2" customWidth="1"/>
    <col min="14082" max="14091" width="9.625" style="2" customWidth="1"/>
    <col min="14092" max="14092" width="27.375" style="2" customWidth="1"/>
    <col min="14093" max="14093" width="6.875" style="2" customWidth="1"/>
    <col min="14094" max="14336" width="9.125" style="2"/>
    <col min="14337" max="14337" width="6.875" style="2" customWidth="1"/>
    <col min="14338" max="14347" width="9.625" style="2" customWidth="1"/>
    <col min="14348" max="14348" width="27.375" style="2" customWidth="1"/>
    <col min="14349" max="14349" width="6.875" style="2" customWidth="1"/>
    <col min="14350" max="14592" width="9.125" style="2"/>
    <col min="14593" max="14593" width="6.875" style="2" customWidth="1"/>
    <col min="14594" max="14603" width="9.625" style="2" customWidth="1"/>
    <col min="14604" max="14604" width="27.375" style="2" customWidth="1"/>
    <col min="14605" max="14605" width="6.875" style="2" customWidth="1"/>
    <col min="14606" max="14848" width="9.125" style="2"/>
    <col min="14849" max="14849" width="6.875" style="2" customWidth="1"/>
    <col min="14850" max="14859" width="9.625" style="2" customWidth="1"/>
    <col min="14860" max="14860" width="27.375" style="2" customWidth="1"/>
    <col min="14861" max="14861" width="6.875" style="2" customWidth="1"/>
    <col min="14862" max="15104" width="9.125" style="2"/>
    <col min="15105" max="15105" width="6.875" style="2" customWidth="1"/>
    <col min="15106" max="15115" width="9.625" style="2" customWidth="1"/>
    <col min="15116" max="15116" width="27.375" style="2" customWidth="1"/>
    <col min="15117" max="15117" width="6.875" style="2" customWidth="1"/>
    <col min="15118" max="15360" width="9.125" style="2"/>
    <col min="15361" max="15361" width="6.875" style="2" customWidth="1"/>
    <col min="15362" max="15371" width="9.625" style="2" customWidth="1"/>
    <col min="15372" max="15372" width="27.375" style="2" customWidth="1"/>
    <col min="15373" max="15373" width="6.875" style="2" customWidth="1"/>
    <col min="15374" max="15616" width="9.125" style="2"/>
    <col min="15617" max="15617" width="6.875" style="2" customWidth="1"/>
    <col min="15618" max="15627" width="9.625" style="2" customWidth="1"/>
    <col min="15628" max="15628" width="27.375" style="2" customWidth="1"/>
    <col min="15629" max="15629" width="6.875" style="2" customWidth="1"/>
    <col min="15630" max="15872" width="9.125" style="2"/>
    <col min="15873" max="15873" width="6.875" style="2" customWidth="1"/>
    <col min="15874" max="15883" width="9.625" style="2" customWidth="1"/>
    <col min="15884" max="15884" width="27.375" style="2" customWidth="1"/>
    <col min="15885" max="15885" width="6.875" style="2" customWidth="1"/>
    <col min="15886" max="16128" width="9.125" style="2"/>
    <col min="16129" max="16129" width="6.875" style="2" customWidth="1"/>
    <col min="16130" max="16139" width="9.625" style="2" customWidth="1"/>
    <col min="16140" max="16140" width="27.375" style="2" customWidth="1"/>
    <col min="16141" max="16141" width="6.875" style="2" customWidth="1"/>
    <col min="16142" max="16384" width="9.125" style="2"/>
  </cols>
  <sheetData>
    <row r="1" spans="1:13" ht="20.100000000000001" customHeight="1" x14ac:dyDescent="0.2">
      <c r="A1" s="1"/>
      <c r="B1" s="406" t="s">
        <v>202</v>
      </c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1"/>
    </row>
    <row r="2" spans="1:13" ht="20.100000000000001" customHeight="1" thickBot="1" x14ac:dyDescent="0.25">
      <c r="A2" s="1"/>
      <c r="B2" s="425" t="s">
        <v>54</v>
      </c>
      <c r="C2" s="425"/>
      <c r="D2" s="425"/>
      <c r="E2" s="425"/>
      <c r="F2" s="425"/>
      <c r="G2" s="425"/>
      <c r="H2" s="425"/>
      <c r="I2" s="425"/>
      <c r="J2" s="425"/>
      <c r="K2" s="425"/>
      <c r="L2" s="425"/>
      <c r="M2" s="1"/>
    </row>
    <row r="3" spans="1:13" ht="15.75" customHeight="1" thickBot="1" x14ac:dyDescent="0.25">
      <c r="A3" s="1"/>
      <c r="B3" s="426" t="s">
        <v>1</v>
      </c>
      <c r="C3" s="426"/>
      <c r="D3" s="426"/>
      <c r="E3" s="426" t="s">
        <v>2</v>
      </c>
      <c r="F3" s="426"/>
      <c r="G3" s="426"/>
      <c r="H3" s="426" t="s">
        <v>3</v>
      </c>
      <c r="I3" s="426"/>
      <c r="J3" s="426"/>
      <c r="K3" s="3"/>
      <c r="L3" s="410" t="s">
        <v>55</v>
      </c>
      <c r="M3" s="1"/>
    </row>
    <row r="4" spans="1:13" ht="26.25" thickBot="1" x14ac:dyDescent="0.25">
      <c r="A4" s="1"/>
      <c r="B4" s="4" t="s">
        <v>4</v>
      </c>
      <c r="C4" s="4" t="s">
        <v>5</v>
      </c>
      <c r="D4" s="4" t="s">
        <v>6</v>
      </c>
      <c r="E4" s="4" t="s">
        <v>4</v>
      </c>
      <c r="F4" s="4" t="s">
        <v>5</v>
      </c>
      <c r="G4" s="4" t="s">
        <v>6</v>
      </c>
      <c r="H4" s="4" t="s">
        <v>4</v>
      </c>
      <c r="I4" s="4" t="s">
        <v>5</v>
      </c>
      <c r="J4" s="4" t="s">
        <v>6</v>
      </c>
      <c r="K4" s="5" t="s">
        <v>7</v>
      </c>
      <c r="L4" s="412"/>
      <c r="M4" s="1"/>
    </row>
    <row r="5" spans="1:13" ht="13.5" thickBot="1" x14ac:dyDescent="0.25">
      <c r="A5" s="1"/>
      <c r="B5" s="32">
        <f>SUM(C5:D5)</f>
        <v>71</v>
      </c>
      <c r="C5" s="32">
        <v>15</v>
      </c>
      <c r="D5" s="32">
        <v>56</v>
      </c>
      <c r="E5" s="32">
        <f>SUM(F5:G5)</f>
        <v>2269</v>
      </c>
      <c r="F5" s="32">
        <v>334</v>
      </c>
      <c r="G5" s="32">
        <v>1935</v>
      </c>
      <c r="H5" s="32">
        <f>SUM(I5:J5)</f>
        <v>571</v>
      </c>
      <c r="I5" s="32">
        <v>84</v>
      </c>
      <c r="J5" s="32">
        <v>487</v>
      </c>
      <c r="K5" s="7" t="s">
        <v>9</v>
      </c>
      <c r="L5" s="410" t="s">
        <v>56</v>
      </c>
    </row>
    <row r="6" spans="1:13" ht="15.75" customHeight="1" thickBot="1" x14ac:dyDescent="0.25">
      <c r="A6" s="1"/>
      <c r="B6" s="32">
        <f t="shared" ref="B6:B24" si="0">SUM(C6:D6)</f>
        <v>19</v>
      </c>
      <c r="C6" s="32">
        <v>5</v>
      </c>
      <c r="D6" s="32">
        <v>14</v>
      </c>
      <c r="E6" s="32">
        <f t="shared" ref="E6:E24" si="1">SUM(F6:G6)</f>
        <v>636</v>
      </c>
      <c r="F6" s="32">
        <v>38</v>
      </c>
      <c r="G6" s="32">
        <v>598</v>
      </c>
      <c r="H6" s="32">
        <f t="shared" ref="H6:H24" si="2">SUM(I6:J6)</f>
        <v>160</v>
      </c>
      <c r="I6" s="32">
        <v>10</v>
      </c>
      <c r="J6" s="32">
        <v>150</v>
      </c>
      <c r="K6" s="7" t="s">
        <v>10</v>
      </c>
      <c r="L6" s="411"/>
      <c r="M6" s="1"/>
    </row>
    <row r="7" spans="1:13" ht="15.75" customHeight="1" thickBot="1" x14ac:dyDescent="0.25">
      <c r="A7" s="1"/>
      <c r="B7" s="32">
        <f t="shared" ref="B7:I7" si="3">SUM(B5:B6)</f>
        <v>90</v>
      </c>
      <c r="C7" s="32">
        <f t="shared" si="3"/>
        <v>20</v>
      </c>
      <c r="D7" s="32">
        <f t="shared" si="3"/>
        <v>70</v>
      </c>
      <c r="E7" s="32">
        <f t="shared" si="3"/>
        <v>2905</v>
      </c>
      <c r="F7" s="32">
        <f t="shared" si="3"/>
        <v>372</v>
      </c>
      <c r="G7" s="32">
        <f t="shared" si="3"/>
        <v>2533</v>
      </c>
      <c r="H7" s="32">
        <f t="shared" si="3"/>
        <v>731</v>
      </c>
      <c r="I7" s="32">
        <f t="shared" si="3"/>
        <v>94</v>
      </c>
      <c r="J7" s="32">
        <f>SUM(J5:J6)</f>
        <v>637</v>
      </c>
      <c r="K7" s="7" t="s">
        <v>12</v>
      </c>
      <c r="L7" s="412"/>
      <c r="M7" s="1"/>
    </row>
    <row r="8" spans="1:13" ht="13.5" thickBot="1" x14ac:dyDescent="0.25">
      <c r="A8" s="1"/>
      <c r="B8" s="32">
        <f t="shared" si="0"/>
        <v>232</v>
      </c>
      <c r="C8" s="32">
        <v>56</v>
      </c>
      <c r="D8" s="32">
        <v>176</v>
      </c>
      <c r="E8" s="32">
        <f t="shared" si="1"/>
        <v>8505</v>
      </c>
      <c r="F8" s="32">
        <v>1429</v>
      </c>
      <c r="G8" s="32">
        <v>7076</v>
      </c>
      <c r="H8" s="32">
        <f t="shared" si="2"/>
        <v>5309</v>
      </c>
      <c r="I8" s="32">
        <v>892</v>
      </c>
      <c r="J8" s="32">
        <v>4417</v>
      </c>
      <c r="K8" s="7" t="s">
        <v>9</v>
      </c>
      <c r="L8" s="410" t="s">
        <v>57</v>
      </c>
    </row>
    <row r="9" spans="1:13" ht="15.75" customHeight="1" thickBot="1" x14ac:dyDescent="0.25">
      <c r="A9" s="1"/>
      <c r="B9" s="32">
        <f t="shared" si="0"/>
        <v>60</v>
      </c>
      <c r="C9" s="32">
        <v>14</v>
      </c>
      <c r="D9" s="32">
        <v>46</v>
      </c>
      <c r="E9" s="32">
        <f t="shared" si="1"/>
        <v>2995</v>
      </c>
      <c r="F9" s="32">
        <v>293</v>
      </c>
      <c r="G9" s="32">
        <v>2702</v>
      </c>
      <c r="H9" s="32">
        <f t="shared" si="2"/>
        <v>1870</v>
      </c>
      <c r="I9" s="32">
        <v>183</v>
      </c>
      <c r="J9" s="32">
        <v>1687</v>
      </c>
      <c r="K9" s="7" t="s">
        <v>10</v>
      </c>
      <c r="L9" s="411"/>
      <c r="M9" s="1"/>
    </row>
    <row r="10" spans="1:13" ht="15.75" customHeight="1" thickBot="1" x14ac:dyDescent="0.25">
      <c r="A10" s="1"/>
      <c r="B10" s="32">
        <f t="shared" ref="B10" si="4">SUM(B8:B9)</f>
        <v>292</v>
      </c>
      <c r="C10" s="32">
        <f t="shared" ref="C10" si="5">SUM(C8:C9)</f>
        <v>70</v>
      </c>
      <c r="D10" s="32">
        <f t="shared" ref="D10" si="6">SUM(D8:D9)</f>
        <v>222</v>
      </c>
      <c r="E10" s="32">
        <f t="shared" ref="E10" si="7">SUM(E8:E9)</f>
        <v>11500</v>
      </c>
      <c r="F10" s="32">
        <f t="shared" ref="F10" si="8">SUM(F8:F9)</f>
        <v>1722</v>
      </c>
      <c r="G10" s="32">
        <f t="shared" ref="G10" si="9">SUM(G8:G9)</f>
        <v>9778</v>
      </c>
      <c r="H10" s="32">
        <f t="shared" ref="H10" si="10">SUM(H8:H9)</f>
        <v>7179</v>
      </c>
      <c r="I10" s="32">
        <f t="shared" ref="I10" si="11">SUM(I8:I9)</f>
        <v>1075</v>
      </c>
      <c r="J10" s="32">
        <f>SUM(J8:J9)</f>
        <v>6104</v>
      </c>
      <c r="K10" s="7" t="s">
        <v>12</v>
      </c>
      <c r="L10" s="412"/>
      <c r="M10" s="1"/>
    </row>
    <row r="11" spans="1:13" ht="13.5" thickBot="1" x14ac:dyDescent="0.25">
      <c r="A11" s="1"/>
      <c r="B11" s="32">
        <f t="shared" si="0"/>
        <v>184</v>
      </c>
      <c r="C11" s="32">
        <v>0</v>
      </c>
      <c r="D11" s="32">
        <v>184</v>
      </c>
      <c r="E11" s="32">
        <f t="shared" si="1"/>
        <v>1004</v>
      </c>
      <c r="F11" s="32">
        <v>0</v>
      </c>
      <c r="G11" s="32">
        <v>1004</v>
      </c>
      <c r="H11" s="32">
        <f t="shared" si="2"/>
        <v>184</v>
      </c>
      <c r="I11" s="32">
        <v>0</v>
      </c>
      <c r="J11" s="32">
        <v>184</v>
      </c>
      <c r="K11" s="7" t="s">
        <v>9</v>
      </c>
      <c r="L11" s="410" t="s">
        <v>58</v>
      </c>
      <c r="M11" s="1"/>
    </row>
    <row r="12" spans="1:13" ht="15.75" customHeight="1" thickBot="1" x14ac:dyDescent="0.25">
      <c r="A12" s="1"/>
      <c r="B12" s="32">
        <f t="shared" si="0"/>
        <v>48</v>
      </c>
      <c r="C12" s="32">
        <v>0</v>
      </c>
      <c r="D12" s="32">
        <v>48</v>
      </c>
      <c r="E12" s="32">
        <f t="shared" si="1"/>
        <v>226</v>
      </c>
      <c r="F12" s="32">
        <v>1</v>
      </c>
      <c r="G12" s="32">
        <v>225</v>
      </c>
      <c r="H12" s="32">
        <f t="shared" si="2"/>
        <v>42</v>
      </c>
      <c r="I12" s="32">
        <v>0</v>
      </c>
      <c r="J12" s="32">
        <v>42</v>
      </c>
      <c r="K12" s="7" t="s">
        <v>10</v>
      </c>
      <c r="L12" s="411"/>
    </row>
    <row r="13" spans="1:13" ht="15.75" customHeight="1" thickBot="1" x14ac:dyDescent="0.25">
      <c r="A13" s="1"/>
      <c r="B13" s="32">
        <f t="shared" ref="B13" si="12">SUM(B11:B12)</f>
        <v>232</v>
      </c>
      <c r="C13" s="32">
        <f t="shared" ref="C13" si="13">SUM(C11:C12)</f>
        <v>0</v>
      </c>
      <c r="D13" s="32">
        <f t="shared" ref="D13" si="14">SUM(D11:D12)</f>
        <v>232</v>
      </c>
      <c r="E13" s="32">
        <f t="shared" ref="E13" si="15">SUM(E11:E12)</f>
        <v>1230</v>
      </c>
      <c r="F13" s="32">
        <f t="shared" ref="F13" si="16">SUM(F11:F12)</f>
        <v>1</v>
      </c>
      <c r="G13" s="32">
        <f t="shared" ref="G13" si="17">SUM(G11:G12)</f>
        <v>1229</v>
      </c>
      <c r="H13" s="32">
        <f t="shared" ref="H13" si="18">SUM(H11:H12)</f>
        <v>226</v>
      </c>
      <c r="I13" s="32">
        <f t="shared" ref="I13" si="19">SUM(I11:I12)</f>
        <v>0</v>
      </c>
      <c r="J13" s="32">
        <f>SUM(J11:J12)</f>
        <v>226</v>
      </c>
      <c r="K13" s="7" t="s">
        <v>12</v>
      </c>
      <c r="L13" s="412"/>
    </row>
    <row r="14" spans="1:13" ht="13.5" thickBot="1" x14ac:dyDescent="0.25">
      <c r="A14" s="1"/>
      <c r="B14" s="32">
        <f t="shared" si="0"/>
        <v>231</v>
      </c>
      <c r="C14" s="32">
        <v>220</v>
      </c>
      <c r="D14" s="32">
        <v>11</v>
      </c>
      <c r="E14" s="32">
        <f t="shared" si="1"/>
        <v>28</v>
      </c>
      <c r="F14" s="32">
        <v>4</v>
      </c>
      <c r="G14" s="32">
        <v>24</v>
      </c>
      <c r="H14" s="32">
        <f t="shared" si="2"/>
        <v>12</v>
      </c>
      <c r="I14" s="32">
        <v>2</v>
      </c>
      <c r="J14" s="32">
        <v>10</v>
      </c>
      <c r="K14" s="7" t="s">
        <v>9</v>
      </c>
      <c r="L14" s="410" t="s">
        <v>59</v>
      </c>
    </row>
    <row r="15" spans="1:13" ht="15.75" customHeight="1" thickBot="1" x14ac:dyDescent="0.25">
      <c r="A15" s="1"/>
      <c r="B15" s="32">
        <f t="shared" si="0"/>
        <v>60</v>
      </c>
      <c r="C15" s="32">
        <v>57</v>
      </c>
      <c r="D15" s="32">
        <v>3</v>
      </c>
      <c r="E15" s="32">
        <f t="shared" si="1"/>
        <v>0</v>
      </c>
      <c r="F15" s="32">
        <v>0</v>
      </c>
      <c r="G15" s="32">
        <v>0</v>
      </c>
      <c r="H15" s="32">
        <f t="shared" si="2"/>
        <v>0</v>
      </c>
      <c r="I15" s="32">
        <v>0</v>
      </c>
      <c r="J15" s="32">
        <v>0</v>
      </c>
      <c r="K15" s="7" t="s">
        <v>10</v>
      </c>
      <c r="L15" s="411"/>
    </row>
    <row r="16" spans="1:13" ht="15.75" customHeight="1" thickBot="1" x14ac:dyDescent="0.25">
      <c r="A16" s="1"/>
      <c r="B16" s="32">
        <f t="shared" ref="B16" si="20">SUM(B14:B15)</f>
        <v>291</v>
      </c>
      <c r="C16" s="32">
        <f t="shared" ref="C16" si="21">SUM(C14:C15)</f>
        <v>277</v>
      </c>
      <c r="D16" s="32">
        <f t="shared" ref="D16" si="22">SUM(D14:D15)</f>
        <v>14</v>
      </c>
      <c r="E16" s="32">
        <f t="shared" ref="E16" si="23">SUM(E14:E15)</f>
        <v>28</v>
      </c>
      <c r="F16" s="32">
        <f t="shared" ref="F16" si="24">SUM(F14:F15)</f>
        <v>4</v>
      </c>
      <c r="G16" s="32">
        <f t="shared" ref="G16" si="25">SUM(G14:G15)</f>
        <v>24</v>
      </c>
      <c r="H16" s="32">
        <f t="shared" ref="H16" si="26">SUM(H14:H15)</f>
        <v>12</v>
      </c>
      <c r="I16" s="32">
        <f t="shared" ref="I16" si="27">SUM(I14:I15)</f>
        <v>2</v>
      </c>
      <c r="J16" s="32">
        <f>SUM(J14:J15)</f>
        <v>10</v>
      </c>
      <c r="K16" s="7" t="s">
        <v>12</v>
      </c>
      <c r="L16" s="412"/>
    </row>
    <row r="17" spans="1:13" ht="13.5" thickBot="1" x14ac:dyDescent="0.25">
      <c r="A17" s="1"/>
      <c r="B17" s="32">
        <f t="shared" si="0"/>
        <v>516</v>
      </c>
      <c r="C17" s="32">
        <v>154</v>
      </c>
      <c r="D17" s="32">
        <v>362</v>
      </c>
      <c r="E17" s="32">
        <f t="shared" si="1"/>
        <v>22467</v>
      </c>
      <c r="F17" s="32">
        <v>4767</v>
      </c>
      <c r="G17" s="32">
        <v>17700</v>
      </c>
      <c r="H17" s="32">
        <f t="shared" si="2"/>
        <v>8410</v>
      </c>
      <c r="I17" s="32">
        <v>1785</v>
      </c>
      <c r="J17" s="32">
        <v>6625</v>
      </c>
      <c r="K17" s="7" t="s">
        <v>9</v>
      </c>
      <c r="L17" s="410" t="s">
        <v>60</v>
      </c>
      <c r="M17" s="1"/>
    </row>
    <row r="18" spans="1:13" ht="15.75" customHeight="1" thickBot="1" x14ac:dyDescent="0.25">
      <c r="A18" s="1"/>
      <c r="B18" s="32">
        <f t="shared" si="0"/>
        <v>134</v>
      </c>
      <c r="C18" s="32">
        <v>40</v>
      </c>
      <c r="D18" s="32">
        <v>94</v>
      </c>
      <c r="E18" s="32">
        <f t="shared" si="1"/>
        <v>4207</v>
      </c>
      <c r="F18" s="32">
        <v>895</v>
      </c>
      <c r="G18" s="32">
        <v>3312</v>
      </c>
      <c r="H18" s="32">
        <f t="shared" si="2"/>
        <v>1575</v>
      </c>
      <c r="I18" s="32">
        <v>335</v>
      </c>
      <c r="J18" s="32">
        <v>1240</v>
      </c>
      <c r="K18" s="7" t="s">
        <v>10</v>
      </c>
      <c r="L18" s="411"/>
      <c r="M18" s="1"/>
    </row>
    <row r="19" spans="1:13" ht="15.75" customHeight="1" thickBot="1" x14ac:dyDescent="0.25">
      <c r="A19" s="1"/>
      <c r="B19" s="32">
        <f t="shared" ref="B19" si="28">SUM(B17:B18)</f>
        <v>650</v>
      </c>
      <c r="C19" s="32">
        <f t="shared" ref="C19" si="29">SUM(C17:C18)</f>
        <v>194</v>
      </c>
      <c r="D19" s="32">
        <f t="shared" ref="D19" si="30">SUM(D17:D18)</f>
        <v>456</v>
      </c>
      <c r="E19" s="32">
        <f t="shared" ref="E19" si="31">SUM(E17:E18)</f>
        <v>26674</v>
      </c>
      <c r="F19" s="32">
        <f t="shared" ref="F19" si="32">SUM(F17:F18)</f>
        <v>5662</v>
      </c>
      <c r="G19" s="32">
        <f t="shared" ref="G19" si="33">SUM(G17:G18)</f>
        <v>21012</v>
      </c>
      <c r="H19" s="32">
        <f t="shared" ref="H19" si="34">SUM(H17:H18)</f>
        <v>9985</v>
      </c>
      <c r="I19" s="32">
        <f t="shared" ref="I19" si="35">SUM(I17:I18)</f>
        <v>2120</v>
      </c>
      <c r="J19" s="32">
        <f>SUM(J17:J18)</f>
        <v>7865</v>
      </c>
      <c r="K19" s="7" t="s">
        <v>12</v>
      </c>
      <c r="L19" s="412"/>
      <c r="M19" s="1"/>
    </row>
    <row r="20" spans="1:13" ht="13.5" thickBot="1" x14ac:dyDescent="0.25">
      <c r="A20" s="1"/>
      <c r="B20" s="32">
        <f t="shared" si="0"/>
        <v>117</v>
      </c>
      <c r="C20" s="32">
        <v>16</v>
      </c>
      <c r="D20" s="32">
        <v>101</v>
      </c>
      <c r="E20" s="32">
        <f t="shared" si="1"/>
        <v>8750</v>
      </c>
      <c r="F20" s="32">
        <v>1276</v>
      </c>
      <c r="G20" s="32">
        <v>7474</v>
      </c>
      <c r="H20" s="32">
        <f t="shared" si="2"/>
        <v>2926</v>
      </c>
      <c r="I20" s="32">
        <v>427</v>
      </c>
      <c r="J20" s="32">
        <v>2499</v>
      </c>
      <c r="K20" s="7" t="s">
        <v>9</v>
      </c>
      <c r="L20" s="410" t="s">
        <v>61</v>
      </c>
      <c r="M20" s="1"/>
    </row>
    <row r="21" spans="1:13" ht="15.75" customHeight="1" thickBot="1" x14ac:dyDescent="0.25">
      <c r="A21" s="1"/>
      <c r="B21" s="32">
        <f t="shared" si="0"/>
        <v>30</v>
      </c>
      <c r="C21" s="32">
        <v>4</v>
      </c>
      <c r="D21" s="32">
        <v>26</v>
      </c>
      <c r="E21" s="32">
        <f t="shared" si="1"/>
        <v>3542</v>
      </c>
      <c r="F21" s="32">
        <v>174</v>
      </c>
      <c r="G21" s="32">
        <v>3368</v>
      </c>
      <c r="H21" s="32">
        <f t="shared" si="2"/>
        <v>1185</v>
      </c>
      <c r="I21" s="32">
        <v>58</v>
      </c>
      <c r="J21" s="32">
        <v>1127</v>
      </c>
      <c r="K21" s="7" t="s">
        <v>10</v>
      </c>
      <c r="L21" s="411"/>
    </row>
    <row r="22" spans="1:13" ht="15.75" customHeight="1" thickBot="1" x14ac:dyDescent="0.25">
      <c r="A22" s="1"/>
      <c r="B22" s="32">
        <f t="shared" ref="B22" si="36">SUM(B20:B21)</f>
        <v>147</v>
      </c>
      <c r="C22" s="32">
        <f t="shared" ref="C22" si="37">SUM(C20:C21)</f>
        <v>20</v>
      </c>
      <c r="D22" s="32">
        <f t="shared" ref="D22" si="38">SUM(D20:D21)</f>
        <v>127</v>
      </c>
      <c r="E22" s="32">
        <f t="shared" ref="E22" si="39">SUM(E20:E21)</f>
        <v>12292</v>
      </c>
      <c r="F22" s="32">
        <f t="shared" ref="F22" si="40">SUM(F20:F21)</f>
        <v>1450</v>
      </c>
      <c r="G22" s="32">
        <f t="shared" ref="G22" si="41">SUM(G20:G21)</f>
        <v>10842</v>
      </c>
      <c r="H22" s="32">
        <f t="shared" ref="H22" si="42">SUM(H20:H21)</f>
        <v>4111</v>
      </c>
      <c r="I22" s="32">
        <f t="shared" ref="I22" si="43">SUM(I20:I21)</f>
        <v>485</v>
      </c>
      <c r="J22" s="32">
        <f>SUM(J20:J21)</f>
        <v>3626</v>
      </c>
      <c r="K22" s="7" t="s">
        <v>12</v>
      </c>
      <c r="L22" s="412"/>
    </row>
    <row r="23" spans="1:13" ht="13.5" thickBot="1" x14ac:dyDescent="0.25">
      <c r="A23" s="1"/>
      <c r="B23" s="32">
        <f t="shared" si="0"/>
        <v>80</v>
      </c>
      <c r="C23" s="32">
        <v>1</v>
      </c>
      <c r="D23" s="32">
        <v>79</v>
      </c>
      <c r="E23" s="32">
        <f t="shared" si="1"/>
        <v>3521</v>
      </c>
      <c r="F23" s="32">
        <v>513</v>
      </c>
      <c r="G23" s="32">
        <v>3008</v>
      </c>
      <c r="H23" s="32">
        <f t="shared" si="2"/>
        <v>631</v>
      </c>
      <c r="I23" s="32">
        <v>92</v>
      </c>
      <c r="J23" s="32">
        <v>539</v>
      </c>
      <c r="K23" s="7" t="s">
        <v>9</v>
      </c>
      <c r="L23" s="410" t="s">
        <v>53</v>
      </c>
    </row>
    <row r="24" spans="1:13" ht="15.75" customHeight="1" thickBot="1" x14ac:dyDescent="0.25">
      <c r="A24" s="1"/>
      <c r="B24" s="32">
        <f t="shared" si="0"/>
        <v>22</v>
      </c>
      <c r="C24" s="32">
        <v>1</v>
      </c>
      <c r="D24" s="32">
        <v>21</v>
      </c>
      <c r="E24" s="32">
        <f t="shared" si="1"/>
        <v>560</v>
      </c>
      <c r="F24" s="32">
        <v>27</v>
      </c>
      <c r="G24" s="32">
        <v>533</v>
      </c>
      <c r="H24" s="32">
        <f t="shared" si="2"/>
        <v>101</v>
      </c>
      <c r="I24" s="32">
        <v>5</v>
      </c>
      <c r="J24" s="32">
        <v>96</v>
      </c>
      <c r="K24" s="7" t="s">
        <v>10</v>
      </c>
      <c r="L24" s="411"/>
    </row>
    <row r="25" spans="1:13" ht="15.75" customHeight="1" thickBot="1" x14ac:dyDescent="0.25">
      <c r="A25" s="1"/>
      <c r="B25" s="32">
        <f t="shared" ref="B25" si="44">SUM(B23:B24)</f>
        <v>102</v>
      </c>
      <c r="C25" s="32">
        <f t="shared" ref="C25" si="45">SUM(C23:C24)</f>
        <v>2</v>
      </c>
      <c r="D25" s="32">
        <f t="shared" ref="D25" si="46">SUM(D23:D24)</f>
        <v>100</v>
      </c>
      <c r="E25" s="32">
        <f t="shared" ref="E25" si="47">SUM(E23:E24)</f>
        <v>4081</v>
      </c>
      <c r="F25" s="32">
        <f t="shared" ref="F25" si="48">SUM(F23:F24)</f>
        <v>540</v>
      </c>
      <c r="G25" s="32">
        <f t="shared" ref="G25" si="49">SUM(G23:G24)</f>
        <v>3541</v>
      </c>
      <c r="H25" s="32">
        <f t="shared" ref="H25" si="50">SUM(H23:H24)</f>
        <v>732</v>
      </c>
      <c r="I25" s="32">
        <f t="shared" ref="I25" si="51">SUM(I23:I24)</f>
        <v>97</v>
      </c>
      <c r="J25" s="32">
        <f>SUM(J23:J24)</f>
        <v>635</v>
      </c>
      <c r="K25" s="7" t="s">
        <v>12</v>
      </c>
      <c r="L25" s="412"/>
    </row>
    <row r="26" spans="1:13" ht="13.5" thickBot="1" x14ac:dyDescent="0.25">
      <c r="A26" s="1"/>
      <c r="B26" s="32">
        <f t="shared" ref="B26:I26" si="52">B5+B8+B11+B14+B17+B20+B23</f>
        <v>1431</v>
      </c>
      <c r="C26" s="32">
        <f t="shared" si="52"/>
        <v>462</v>
      </c>
      <c r="D26" s="32">
        <f t="shared" si="52"/>
        <v>969</v>
      </c>
      <c r="E26" s="32">
        <f t="shared" si="52"/>
        <v>46544</v>
      </c>
      <c r="F26" s="32">
        <f t="shared" si="52"/>
        <v>8323</v>
      </c>
      <c r="G26" s="32">
        <f t="shared" si="52"/>
        <v>38221</v>
      </c>
      <c r="H26" s="32">
        <f t="shared" si="52"/>
        <v>18043</v>
      </c>
      <c r="I26" s="32">
        <f t="shared" si="52"/>
        <v>3282</v>
      </c>
      <c r="J26" s="32">
        <f>J5+J8+J11+J14+J17+J20+J23</f>
        <v>14761</v>
      </c>
      <c r="K26" s="4" t="s">
        <v>26</v>
      </c>
      <c r="L26" s="410" t="s">
        <v>41</v>
      </c>
    </row>
    <row r="27" spans="1:13" ht="15.75" customHeight="1" thickBot="1" x14ac:dyDescent="0.25">
      <c r="A27" s="1"/>
      <c r="B27" s="32">
        <f t="shared" ref="B27:I27" si="53">B6+B9+B12+B15+B18+B21+B24</f>
        <v>373</v>
      </c>
      <c r="C27" s="32">
        <f t="shared" si="53"/>
        <v>121</v>
      </c>
      <c r="D27" s="32">
        <f t="shared" si="53"/>
        <v>252</v>
      </c>
      <c r="E27" s="32">
        <f t="shared" si="53"/>
        <v>12166</v>
      </c>
      <c r="F27" s="32">
        <f t="shared" si="53"/>
        <v>1428</v>
      </c>
      <c r="G27" s="32">
        <f t="shared" si="53"/>
        <v>10738</v>
      </c>
      <c r="H27" s="32">
        <f t="shared" si="53"/>
        <v>4933</v>
      </c>
      <c r="I27" s="32">
        <f t="shared" si="53"/>
        <v>591</v>
      </c>
      <c r="J27" s="32">
        <f t="shared" ref="J27" si="54">J6+J9+J12+J15+J18+J21+J24</f>
        <v>4342</v>
      </c>
      <c r="K27" s="4" t="s">
        <v>27</v>
      </c>
      <c r="L27" s="411"/>
    </row>
    <row r="28" spans="1:13" ht="15.75" customHeight="1" thickBot="1" x14ac:dyDescent="0.25">
      <c r="A28" s="1"/>
      <c r="B28" s="32">
        <f t="shared" ref="B28:I28" si="55">B7+B10+B13+B16+B19+B22+B25</f>
        <v>1804</v>
      </c>
      <c r="C28" s="32">
        <f t="shared" si="55"/>
        <v>583</v>
      </c>
      <c r="D28" s="32">
        <f t="shared" si="55"/>
        <v>1221</v>
      </c>
      <c r="E28" s="32">
        <f t="shared" si="55"/>
        <v>58710</v>
      </c>
      <c r="F28" s="32">
        <f t="shared" si="55"/>
        <v>9751</v>
      </c>
      <c r="G28" s="32">
        <f t="shared" si="55"/>
        <v>48959</v>
      </c>
      <c r="H28" s="32">
        <f t="shared" si="55"/>
        <v>22976</v>
      </c>
      <c r="I28" s="32">
        <f t="shared" si="55"/>
        <v>3873</v>
      </c>
      <c r="J28" s="32">
        <f t="shared" ref="J28" si="56">J7+J10+J13+J16+J19+J22+J25</f>
        <v>19103</v>
      </c>
      <c r="K28" s="4" t="s">
        <v>12</v>
      </c>
      <c r="L28" s="412"/>
    </row>
  </sheetData>
  <mergeCells count="14">
    <mergeCell ref="L11:L13"/>
    <mergeCell ref="L8:L10"/>
    <mergeCell ref="L5:L7"/>
    <mergeCell ref="L26:L28"/>
    <mergeCell ref="L23:L25"/>
    <mergeCell ref="L20:L22"/>
    <mergeCell ref="L17:L19"/>
    <mergeCell ref="L14:L16"/>
    <mergeCell ref="B1:L1"/>
    <mergeCell ref="B2:L2"/>
    <mergeCell ref="B3:D3"/>
    <mergeCell ref="E3:G3"/>
    <mergeCell ref="H3:J3"/>
    <mergeCell ref="L3:L4"/>
  </mergeCells>
  <printOptions horizontalCentered="1" verticalCentered="1"/>
  <pageMargins left="0.4" right="0.4" top="0" bottom="0" header="0.25" footer="0.25"/>
  <pageSetup paperSize="9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37"/>
  <sheetViews>
    <sheetView showGridLines="0" topLeftCell="A4" zoomScale="90" zoomScaleNormal="90" workbookViewId="0">
      <selection activeCell="F31" sqref="F31"/>
    </sheetView>
  </sheetViews>
  <sheetFormatPr defaultRowHeight="12.75" x14ac:dyDescent="0.2"/>
  <cols>
    <col min="1" max="1" width="6.875" style="2" customWidth="1"/>
    <col min="2" max="11" width="9.625" style="2" customWidth="1"/>
    <col min="12" max="12" width="27.375" style="2" customWidth="1"/>
    <col min="13" max="13" width="6.875" style="2" customWidth="1"/>
    <col min="14" max="256" width="9.125" style="2"/>
    <col min="257" max="257" width="6.875" style="2" customWidth="1"/>
    <col min="258" max="267" width="9.625" style="2" customWidth="1"/>
    <col min="268" max="268" width="27.375" style="2" customWidth="1"/>
    <col min="269" max="269" width="6.875" style="2" customWidth="1"/>
    <col min="270" max="512" width="9.125" style="2"/>
    <col min="513" max="513" width="6.875" style="2" customWidth="1"/>
    <col min="514" max="523" width="9.625" style="2" customWidth="1"/>
    <col min="524" max="524" width="27.375" style="2" customWidth="1"/>
    <col min="525" max="525" width="6.875" style="2" customWidth="1"/>
    <col min="526" max="768" width="9.125" style="2"/>
    <col min="769" max="769" width="6.875" style="2" customWidth="1"/>
    <col min="770" max="779" width="9.625" style="2" customWidth="1"/>
    <col min="780" max="780" width="27.375" style="2" customWidth="1"/>
    <col min="781" max="781" width="6.875" style="2" customWidth="1"/>
    <col min="782" max="1024" width="9.125" style="2"/>
    <col min="1025" max="1025" width="6.875" style="2" customWidth="1"/>
    <col min="1026" max="1035" width="9.625" style="2" customWidth="1"/>
    <col min="1036" max="1036" width="27.375" style="2" customWidth="1"/>
    <col min="1037" max="1037" width="6.875" style="2" customWidth="1"/>
    <col min="1038" max="1280" width="9.125" style="2"/>
    <col min="1281" max="1281" width="6.875" style="2" customWidth="1"/>
    <col min="1282" max="1291" width="9.625" style="2" customWidth="1"/>
    <col min="1292" max="1292" width="27.375" style="2" customWidth="1"/>
    <col min="1293" max="1293" width="6.875" style="2" customWidth="1"/>
    <col min="1294" max="1536" width="9.125" style="2"/>
    <col min="1537" max="1537" width="6.875" style="2" customWidth="1"/>
    <col min="1538" max="1547" width="9.625" style="2" customWidth="1"/>
    <col min="1548" max="1548" width="27.375" style="2" customWidth="1"/>
    <col min="1549" max="1549" width="6.875" style="2" customWidth="1"/>
    <col min="1550" max="1792" width="9.125" style="2"/>
    <col min="1793" max="1793" width="6.875" style="2" customWidth="1"/>
    <col min="1794" max="1803" width="9.625" style="2" customWidth="1"/>
    <col min="1804" max="1804" width="27.375" style="2" customWidth="1"/>
    <col min="1805" max="1805" width="6.875" style="2" customWidth="1"/>
    <col min="1806" max="2048" width="9.125" style="2"/>
    <col min="2049" max="2049" width="6.875" style="2" customWidth="1"/>
    <col min="2050" max="2059" width="9.625" style="2" customWidth="1"/>
    <col min="2060" max="2060" width="27.375" style="2" customWidth="1"/>
    <col min="2061" max="2061" width="6.875" style="2" customWidth="1"/>
    <col min="2062" max="2304" width="9.125" style="2"/>
    <col min="2305" max="2305" width="6.875" style="2" customWidth="1"/>
    <col min="2306" max="2315" width="9.625" style="2" customWidth="1"/>
    <col min="2316" max="2316" width="27.375" style="2" customWidth="1"/>
    <col min="2317" max="2317" width="6.875" style="2" customWidth="1"/>
    <col min="2318" max="2560" width="9.125" style="2"/>
    <col min="2561" max="2561" width="6.875" style="2" customWidth="1"/>
    <col min="2562" max="2571" width="9.625" style="2" customWidth="1"/>
    <col min="2572" max="2572" width="27.375" style="2" customWidth="1"/>
    <col min="2573" max="2573" width="6.875" style="2" customWidth="1"/>
    <col min="2574" max="2816" width="9.125" style="2"/>
    <col min="2817" max="2817" width="6.875" style="2" customWidth="1"/>
    <col min="2818" max="2827" width="9.625" style="2" customWidth="1"/>
    <col min="2828" max="2828" width="27.375" style="2" customWidth="1"/>
    <col min="2829" max="2829" width="6.875" style="2" customWidth="1"/>
    <col min="2830" max="3072" width="9.125" style="2"/>
    <col min="3073" max="3073" width="6.875" style="2" customWidth="1"/>
    <col min="3074" max="3083" width="9.625" style="2" customWidth="1"/>
    <col min="3084" max="3084" width="27.375" style="2" customWidth="1"/>
    <col min="3085" max="3085" width="6.875" style="2" customWidth="1"/>
    <col min="3086" max="3328" width="9.125" style="2"/>
    <col min="3329" max="3329" width="6.875" style="2" customWidth="1"/>
    <col min="3330" max="3339" width="9.625" style="2" customWidth="1"/>
    <col min="3340" max="3340" width="27.375" style="2" customWidth="1"/>
    <col min="3341" max="3341" width="6.875" style="2" customWidth="1"/>
    <col min="3342" max="3584" width="9.125" style="2"/>
    <col min="3585" max="3585" width="6.875" style="2" customWidth="1"/>
    <col min="3586" max="3595" width="9.625" style="2" customWidth="1"/>
    <col min="3596" max="3596" width="27.375" style="2" customWidth="1"/>
    <col min="3597" max="3597" width="6.875" style="2" customWidth="1"/>
    <col min="3598" max="3840" width="9.125" style="2"/>
    <col min="3841" max="3841" width="6.875" style="2" customWidth="1"/>
    <col min="3842" max="3851" width="9.625" style="2" customWidth="1"/>
    <col min="3852" max="3852" width="27.375" style="2" customWidth="1"/>
    <col min="3853" max="3853" width="6.875" style="2" customWidth="1"/>
    <col min="3854" max="4096" width="9.125" style="2"/>
    <col min="4097" max="4097" width="6.875" style="2" customWidth="1"/>
    <col min="4098" max="4107" width="9.625" style="2" customWidth="1"/>
    <col min="4108" max="4108" width="27.375" style="2" customWidth="1"/>
    <col min="4109" max="4109" width="6.875" style="2" customWidth="1"/>
    <col min="4110" max="4352" width="9.125" style="2"/>
    <col min="4353" max="4353" width="6.875" style="2" customWidth="1"/>
    <col min="4354" max="4363" width="9.625" style="2" customWidth="1"/>
    <col min="4364" max="4364" width="27.375" style="2" customWidth="1"/>
    <col min="4365" max="4365" width="6.875" style="2" customWidth="1"/>
    <col min="4366" max="4608" width="9.125" style="2"/>
    <col min="4609" max="4609" width="6.875" style="2" customWidth="1"/>
    <col min="4610" max="4619" width="9.625" style="2" customWidth="1"/>
    <col min="4620" max="4620" width="27.375" style="2" customWidth="1"/>
    <col min="4621" max="4621" width="6.875" style="2" customWidth="1"/>
    <col min="4622" max="4864" width="9.125" style="2"/>
    <col min="4865" max="4865" width="6.875" style="2" customWidth="1"/>
    <col min="4866" max="4875" width="9.625" style="2" customWidth="1"/>
    <col min="4876" max="4876" width="27.375" style="2" customWidth="1"/>
    <col min="4877" max="4877" width="6.875" style="2" customWidth="1"/>
    <col min="4878" max="5120" width="9.125" style="2"/>
    <col min="5121" max="5121" width="6.875" style="2" customWidth="1"/>
    <col min="5122" max="5131" width="9.625" style="2" customWidth="1"/>
    <col min="5132" max="5132" width="27.375" style="2" customWidth="1"/>
    <col min="5133" max="5133" width="6.875" style="2" customWidth="1"/>
    <col min="5134" max="5376" width="9.125" style="2"/>
    <col min="5377" max="5377" width="6.875" style="2" customWidth="1"/>
    <col min="5378" max="5387" width="9.625" style="2" customWidth="1"/>
    <col min="5388" max="5388" width="27.375" style="2" customWidth="1"/>
    <col min="5389" max="5389" width="6.875" style="2" customWidth="1"/>
    <col min="5390" max="5632" width="9.125" style="2"/>
    <col min="5633" max="5633" width="6.875" style="2" customWidth="1"/>
    <col min="5634" max="5643" width="9.625" style="2" customWidth="1"/>
    <col min="5644" max="5644" width="27.375" style="2" customWidth="1"/>
    <col min="5645" max="5645" width="6.875" style="2" customWidth="1"/>
    <col min="5646" max="5888" width="9.125" style="2"/>
    <col min="5889" max="5889" width="6.875" style="2" customWidth="1"/>
    <col min="5890" max="5899" width="9.625" style="2" customWidth="1"/>
    <col min="5900" max="5900" width="27.375" style="2" customWidth="1"/>
    <col min="5901" max="5901" width="6.875" style="2" customWidth="1"/>
    <col min="5902" max="6144" width="9.125" style="2"/>
    <col min="6145" max="6145" width="6.875" style="2" customWidth="1"/>
    <col min="6146" max="6155" width="9.625" style="2" customWidth="1"/>
    <col min="6156" max="6156" width="27.375" style="2" customWidth="1"/>
    <col min="6157" max="6157" width="6.875" style="2" customWidth="1"/>
    <col min="6158" max="6400" width="9.125" style="2"/>
    <col min="6401" max="6401" width="6.875" style="2" customWidth="1"/>
    <col min="6402" max="6411" width="9.625" style="2" customWidth="1"/>
    <col min="6412" max="6412" width="27.375" style="2" customWidth="1"/>
    <col min="6413" max="6413" width="6.875" style="2" customWidth="1"/>
    <col min="6414" max="6656" width="9.125" style="2"/>
    <col min="6657" max="6657" width="6.875" style="2" customWidth="1"/>
    <col min="6658" max="6667" width="9.625" style="2" customWidth="1"/>
    <col min="6668" max="6668" width="27.375" style="2" customWidth="1"/>
    <col min="6669" max="6669" width="6.875" style="2" customWidth="1"/>
    <col min="6670" max="6912" width="9.125" style="2"/>
    <col min="6913" max="6913" width="6.875" style="2" customWidth="1"/>
    <col min="6914" max="6923" width="9.625" style="2" customWidth="1"/>
    <col min="6924" max="6924" width="27.375" style="2" customWidth="1"/>
    <col min="6925" max="6925" width="6.875" style="2" customWidth="1"/>
    <col min="6926" max="7168" width="9.125" style="2"/>
    <col min="7169" max="7169" width="6.875" style="2" customWidth="1"/>
    <col min="7170" max="7179" width="9.625" style="2" customWidth="1"/>
    <col min="7180" max="7180" width="27.375" style="2" customWidth="1"/>
    <col min="7181" max="7181" width="6.875" style="2" customWidth="1"/>
    <col min="7182" max="7424" width="9.125" style="2"/>
    <col min="7425" max="7425" width="6.875" style="2" customWidth="1"/>
    <col min="7426" max="7435" width="9.625" style="2" customWidth="1"/>
    <col min="7436" max="7436" width="27.375" style="2" customWidth="1"/>
    <col min="7437" max="7437" width="6.875" style="2" customWidth="1"/>
    <col min="7438" max="7680" width="9.125" style="2"/>
    <col min="7681" max="7681" width="6.875" style="2" customWidth="1"/>
    <col min="7682" max="7691" width="9.625" style="2" customWidth="1"/>
    <col min="7692" max="7692" width="27.375" style="2" customWidth="1"/>
    <col min="7693" max="7693" width="6.875" style="2" customWidth="1"/>
    <col min="7694" max="7936" width="9.125" style="2"/>
    <col min="7937" max="7937" width="6.875" style="2" customWidth="1"/>
    <col min="7938" max="7947" width="9.625" style="2" customWidth="1"/>
    <col min="7948" max="7948" width="27.375" style="2" customWidth="1"/>
    <col min="7949" max="7949" width="6.875" style="2" customWidth="1"/>
    <col min="7950" max="8192" width="9.125" style="2"/>
    <col min="8193" max="8193" width="6.875" style="2" customWidth="1"/>
    <col min="8194" max="8203" width="9.625" style="2" customWidth="1"/>
    <col min="8204" max="8204" width="27.375" style="2" customWidth="1"/>
    <col min="8205" max="8205" width="6.875" style="2" customWidth="1"/>
    <col min="8206" max="8448" width="9.125" style="2"/>
    <col min="8449" max="8449" width="6.875" style="2" customWidth="1"/>
    <col min="8450" max="8459" width="9.625" style="2" customWidth="1"/>
    <col min="8460" max="8460" width="27.375" style="2" customWidth="1"/>
    <col min="8461" max="8461" width="6.875" style="2" customWidth="1"/>
    <col min="8462" max="8704" width="9.125" style="2"/>
    <col min="8705" max="8705" width="6.875" style="2" customWidth="1"/>
    <col min="8706" max="8715" width="9.625" style="2" customWidth="1"/>
    <col min="8716" max="8716" width="27.375" style="2" customWidth="1"/>
    <col min="8717" max="8717" width="6.875" style="2" customWidth="1"/>
    <col min="8718" max="8960" width="9.125" style="2"/>
    <col min="8961" max="8961" width="6.875" style="2" customWidth="1"/>
    <col min="8962" max="8971" width="9.625" style="2" customWidth="1"/>
    <col min="8972" max="8972" width="27.375" style="2" customWidth="1"/>
    <col min="8973" max="8973" width="6.875" style="2" customWidth="1"/>
    <col min="8974" max="9216" width="9.125" style="2"/>
    <col min="9217" max="9217" width="6.875" style="2" customWidth="1"/>
    <col min="9218" max="9227" width="9.625" style="2" customWidth="1"/>
    <col min="9228" max="9228" width="27.375" style="2" customWidth="1"/>
    <col min="9229" max="9229" width="6.875" style="2" customWidth="1"/>
    <col min="9230" max="9472" width="9.125" style="2"/>
    <col min="9473" max="9473" width="6.875" style="2" customWidth="1"/>
    <col min="9474" max="9483" width="9.625" style="2" customWidth="1"/>
    <col min="9484" max="9484" width="27.375" style="2" customWidth="1"/>
    <col min="9485" max="9485" width="6.875" style="2" customWidth="1"/>
    <col min="9486" max="9728" width="9.125" style="2"/>
    <col min="9729" max="9729" width="6.875" style="2" customWidth="1"/>
    <col min="9730" max="9739" width="9.625" style="2" customWidth="1"/>
    <col min="9740" max="9740" width="27.375" style="2" customWidth="1"/>
    <col min="9741" max="9741" width="6.875" style="2" customWidth="1"/>
    <col min="9742" max="9984" width="9.125" style="2"/>
    <col min="9985" max="9985" width="6.875" style="2" customWidth="1"/>
    <col min="9986" max="9995" width="9.625" style="2" customWidth="1"/>
    <col min="9996" max="9996" width="27.375" style="2" customWidth="1"/>
    <col min="9997" max="9997" width="6.875" style="2" customWidth="1"/>
    <col min="9998" max="10240" width="9.125" style="2"/>
    <col min="10241" max="10241" width="6.875" style="2" customWidth="1"/>
    <col min="10242" max="10251" width="9.625" style="2" customWidth="1"/>
    <col min="10252" max="10252" width="27.375" style="2" customWidth="1"/>
    <col min="10253" max="10253" width="6.875" style="2" customWidth="1"/>
    <col min="10254" max="10496" width="9.125" style="2"/>
    <col min="10497" max="10497" width="6.875" style="2" customWidth="1"/>
    <col min="10498" max="10507" width="9.625" style="2" customWidth="1"/>
    <col min="10508" max="10508" width="27.375" style="2" customWidth="1"/>
    <col min="10509" max="10509" width="6.875" style="2" customWidth="1"/>
    <col min="10510" max="10752" width="9.125" style="2"/>
    <col min="10753" max="10753" width="6.875" style="2" customWidth="1"/>
    <col min="10754" max="10763" width="9.625" style="2" customWidth="1"/>
    <col min="10764" max="10764" width="27.375" style="2" customWidth="1"/>
    <col min="10765" max="10765" width="6.875" style="2" customWidth="1"/>
    <col min="10766" max="11008" width="9.125" style="2"/>
    <col min="11009" max="11009" width="6.875" style="2" customWidth="1"/>
    <col min="11010" max="11019" width="9.625" style="2" customWidth="1"/>
    <col min="11020" max="11020" width="27.375" style="2" customWidth="1"/>
    <col min="11021" max="11021" width="6.875" style="2" customWidth="1"/>
    <col min="11022" max="11264" width="9.125" style="2"/>
    <col min="11265" max="11265" width="6.875" style="2" customWidth="1"/>
    <col min="11266" max="11275" width="9.625" style="2" customWidth="1"/>
    <col min="11276" max="11276" width="27.375" style="2" customWidth="1"/>
    <col min="11277" max="11277" width="6.875" style="2" customWidth="1"/>
    <col min="11278" max="11520" width="9.125" style="2"/>
    <col min="11521" max="11521" width="6.875" style="2" customWidth="1"/>
    <col min="11522" max="11531" width="9.625" style="2" customWidth="1"/>
    <col min="11532" max="11532" width="27.375" style="2" customWidth="1"/>
    <col min="11533" max="11533" width="6.875" style="2" customWidth="1"/>
    <col min="11534" max="11776" width="9.125" style="2"/>
    <col min="11777" max="11777" width="6.875" style="2" customWidth="1"/>
    <col min="11778" max="11787" width="9.625" style="2" customWidth="1"/>
    <col min="11788" max="11788" width="27.375" style="2" customWidth="1"/>
    <col min="11789" max="11789" width="6.875" style="2" customWidth="1"/>
    <col min="11790" max="12032" width="9.125" style="2"/>
    <col min="12033" max="12033" width="6.875" style="2" customWidth="1"/>
    <col min="12034" max="12043" width="9.625" style="2" customWidth="1"/>
    <col min="12044" max="12044" width="27.375" style="2" customWidth="1"/>
    <col min="12045" max="12045" width="6.875" style="2" customWidth="1"/>
    <col min="12046" max="12288" width="9.125" style="2"/>
    <col min="12289" max="12289" width="6.875" style="2" customWidth="1"/>
    <col min="12290" max="12299" width="9.625" style="2" customWidth="1"/>
    <col min="12300" max="12300" width="27.375" style="2" customWidth="1"/>
    <col min="12301" max="12301" width="6.875" style="2" customWidth="1"/>
    <col min="12302" max="12544" width="9.125" style="2"/>
    <col min="12545" max="12545" width="6.875" style="2" customWidth="1"/>
    <col min="12546" max="12555" width="9.625" style="2" customWidth="1"/>
    <col min="12556" max="12556" width="27.375" style="2" customWidth="1"/>
    <col min="12557" max="12557" width="6.875" style="2" customWidth="1"/>
    <col min="12558" max="12800" width="9.125" style="2"/>
    <col min="12801" max="12801" width="6.875" style="2" customWidth="1"/>
    <col min="12802" max="12811" width="9.625" style="2" customWidth="1"/>
    <col min="12812" max="12812" width="27.375" style="2" customWidth="1"/>
    <col min="12813" max="12813" width="6.875" style="2" customWidth="1"/>
    <col min="12814" max="13056" width="9.125" style="2"/>
    <col min="13057" max="13057" width="6.875" style="2" customWidth="1"/>
    <col min="13058" max="13067" width="9.625" style="2" customWidth="1"/>
    <col min="13068" max="13068" width="27.375" style="2" customWidth="1"/>
    <col min="13069" max="13069" width="6.875" style="2" customWidth="1"/>
    <col min="13070" max="13312" width="9.125" style="2"/>
    <col min="13313" max="13313" width="6.875" style="2" customWidth="1"/>
    <col min="13314" max="13323" width="9.625" style="2" customWidth="1"/>
    <col min="13324" max="13324" width="27.375" style="2" customWidth="1"/>
    <col min="13325" max="13325" width="6.875" style="2" customWidth="1"/>
    <col min="13326" max="13568" width="9.125" style="2"/>
    <col min="13569" max="13569" width="6.875" style="2" customWidth="1"/>
    <col min="13570" max="13579" width="9.625" style="2" customWidth="1"/>
    <col min="13580" max="13580" width="27.375" style="2" customWidth="1"/>
    <col min="13581" max="13581" width="6.875" style="2" customWidth="1"/>
    <col min="13582" max="13824" width="9.125" style="2"/>
    <col min="13825" max="13825" width="6.875" style="2" customWidth="1"/>
    <col min="13826" max="13835" width="9.625" style="2" customWidth="1"/>
    <col min="13836" max="13836" width="27.375" style="2" customWidth="1"/>
    <col min="13837" max="13837" width="6.875" style="2" customWidth="1"/>
    <col min="13838" max="14080" width="9.125" style="2"/>
    <col min="14081" max="14081" width="6.875" style="2" customWidth="1"/>
    <col min="14082" max="14091" width="9.625" style="2" customWidth="1"/>
    <col min="14092" max="14092" width="27.375" style="2" customWidth="1"/>
    <col min="14093" max="14093" width="6.875" style="2" customWidth="1"/>
    <col min="14094" max="14336" width="9.125" style="2"/>
    <col min="14337" max="14337" width="6.875" style="2" customWidth="1"/>
    <col min="14338" max="14347" width="9.625" style="2" customWidth="1"/>
    <col min="14348" max="14348" width="27.375" style="2" customWidth="1"/>
    <col min="14349" max="14349" width="6.875" style="2" customWidth="1"/>
    <col min="14350" max="14592" width="9.125" style="2"/>
    <col min="14593" max="14593" width="6.875" style="2" customWidth="1"/>
    <col min="14594" max="14603" width="9.625" style="2" customWidth="1"/>
    <col min="14604" max="14604" width="27.375" style="2" customWidth="1"/>
    <col min="14605" max="14605" width="6.875" style="2" customWidth="1"/>
    <col min="14606" max="14848" width="9.125" style="2"/>
    <col min="14849" max="14849" width="6.875" style="2" customWidth="1"/>
    <col min="14850" max="14859" width="9.625" style="2" customWidth="1"/>
    <col min="14860" max="14860" width="27.375" style="2" customWidth="1"/>
    <col min="14861" max="14861" width="6.875" style="2" customWidth="1"/>
    <col min="14862" max="15104" width="9.125" style="2"/>
    <col min="15105" max="15105" width="6.875" style="2" customWidth="1"/>
    <col min="15106" max="15115" width="9.625" style="2" customWidth="1"/>
    <col min="15116" max="15116" width="27.375" style="2" customWidth="1"/>
    <col min="15117" max="15117" width="6.875" style="2" customWidth="1"/>
    <col min="15118" max="15360" width="9.125" style="2"/>
    <col min="15361" max="15361" width="6.875" style="2" customWidth="1"/>
    <col min="15362" max="15371" width="9.625" style="2" customWidth="1"/>
    <col min="15372" max="15372" width="27.375" style="2" customWidth="1"/>
    <col min="15373" max="15373" width="6.875" style="2" customWidth="1"/>
    <col min="15374" max="15616" width="9.125" style="2"/>
    <col min="15617" max="15617" width="6.875" style="2" customWidth="1"/>
    <col min="15618" max="15627" width="9.625" style="2" customWidth="1"/>
    <col min="15628" max="15628" width="27.375" style="2" customWidth="1"/>
    <col min="15629" max="15629" width="6.875" style="2" customWidth="1"/>
    <col min="15630" max="15872" width="9.125" style="2"/>
    <col min="15873" max="15873" width="6.875" style="2" customWidth="1"/>
    <col min="15874" max="15883" width="9.625" style="2" customWidth="1"/>
    <col min="15884" max="15884" width="27.375" style="2" customWidth="1"/>
    <col min="15885" max="15885" width="6.875" style="2" customWidth="1"/>
    <col min="15886" max="16128" width="9.125" style="2"/>
    <col min="16129" max="16129" width="6.875" style="2" customWidth="1"/>
    <col min="16130" max="16139" width="9.625" style="2" customWidth="1"/>
    <col min="16140" max="16140" width="27.375" style="2" customWidth="1"/>
    <col min="16141" max="16141" width="6.875" style="2" customWidth="1"/>
    <col min="16142" max="16384" width="9.125" style="2"/>
  </cols>
  <sheetData>
    <row r="1" spans="1:13" ht="20.100000000000001" customHeight="1" x14ac:dyDescent="0.2">
      <c r="A1" s="1"/>
      <c r="B1" s="406" t="s">
        <v>210</v>
      </c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1"/>
    </row>
    <row r="2" spans="1:13" ht="20.100000000000001" customHeight="1" thickBot="1" x14ac:dyDescent="0.25">
      <c r="A2" s="1"/>
      <c r="B2" s="425" t="s">
        <v>42</v>
      </c>
      <c r="C2" s="425"/>
      <c r="D2" s="425"/>
      <c r="E2" s="425"/>
      <c r="F2" s="425"/>
      <c r="G2" s="425"/>
      <c r="H2" s="425"/>
      <c r="I2" s="425"/>
      <c r="J2" s="425"/>
      <c r="K2" s="425"/>
      <c r="L2" s="425"/>
      <c r="M2" s="1"/>
    </row>
    <row r="3" spans="1:13" ht="15.75" customHeight="1" thickBot="1" x14ac:dyDescent="0.25">
      <c r="A3" s="1"/>
      <c r="B3" s="426" t="s">
        <v>1</v>
      </c>
      <c r="C3" s="426"/>
      <c r="D3" s="426"/>
      <c r="E3" s="426" t="s">
        <v>2</v>
      </c>
      <c r="F3" s="426"/>
      <c r="G3" s="426"/>
      <c r="H3" s="426" t="s">
        <v>3</v>
      </c>
      <c r="I3" s="426"/>
      <c r="J3" s="426"/>
      <c r="K3" s="3"/>
      <c r="L3" s="410" t="s">
        <v>43</v>
      </c>
      <c r="M3" s="1"/>
    </row>
    <row r="4" spans="1:13" ht="26.25" thickBot="1" x14ac:dyDescent="0.25">
      <c r="A4" s="1"/>
      <c r="B4" s="4" t="s">
        <v>4</v>
      </c>
      <c r="C4" s="4" t="s">
        <v>5</v>
      </c>
      <c r="D4" s="4" t="s">
        <v>6</v>
      </c>
      <c r="E4" s="4" t="s">
        <v>4</v>
      </c>
      <c r="F4" s="4" t="s">
        <v>5</v>
      </c>
      <c r="G4" s="4" t="s">
        <v>6</v>
      </c>
      <c r="H4" s="4" t="s">
        <v>4</v>
      </c>
      <c r="I4" s="4" t="s">
        <v>5</v>
      </c>
      <c r="J4" s="4" t="s">
        <v>6</v>
      </c>
      <c r="K4" s="5" t="s">
        <v>7</v>
      </c>
      <c r="L4" s="412"/>
      <c r="M4" s="1"/>
    </row>
    <row r="5" spans="1:13" ht="13.5" thickBot="1" x14ac:dyDescent="0.25">
      <c r="A5" s="1"/>
      <c r="B5" s="32">
        <f>SUM(C5:D5)</f>
        <v>50</v>
      </c>
      <c r="C5" s="32">
        <v>29</v>
      </c>
      <c r="D5" s="32">
        <v>21</v>
      </c>
      <c r="E5" s="32">
        <f>SUM(F5:G5)</f>
        <v>5233</v>
      </c>
      <c r="F5" s="32">
        <v>897</v>
      </c>
      <c r="G5" s="32">
        <v>4336</v>
      </c>
      <c r="H5" s="32">
        <f>SUM(I5:J5)</f>
        <v>2074</v>
      </c>
      <c r="I5" s="32">
        <v>358</v>
      </c>
      <c r="J5" s="32">
        <v>1716</v>
      </c>
      <c r="K5" s="7" t="s">
        <v>9</v>
      </c>
      <c r="L5" s="410" t="s">
        <v>44</v>
      </c>
      <c r="M5" s="1"/>
    </row>
    <row r="6" spans="1:13" ht="15.75" customHeight="1" thickBot="1" x14ac:dyDescent="0.25">
      <c r="A6" s="1"/>
      <c r="B6" s="32">
        <f t="shared" ref="B6:B33" si="0">SUM(C6:D6)</f>
        <v>45</v>
      </c>
      <c r="C6" s="32">
        <v>15</v>
      </c>
      <c r="D6" s="32">
        <v>30</v>
      </c>
      <c r="E6" s="32">
        <f t="shared" ref="E6:E33" si="1">SUM(F6:G6)</f>
        <v>3140</v>
      </c>
      <c r="F6" s="32">
        <v>320</v>
      </c>
      <c r="G6" s="32">
        <v>2820</v>
      </c>
      <c r="H6" s="32">
        <f t="shared" ref="H6:H33" si="2">SUM(I6:J6)</f>
        <v>1170</v>
      </c>
      <c r="I6" s="32">
        <v>124</v>
      </c>
      <c r="J6" s="32">
        <v>1046</v>
      </c>
      <c r="K6" s="7" t="s">
        <v>10</v>
      </c>
      <c r="L6" s="411"/>
      <c r="M6" s="1"/>
    </row>
    <row r="7" spans="1:13" ht="15.75" customHeight="1" thickBot="1" x14ac:dyDescent="0.25">
      <c r="A7" s="1"/>
      <c r="B7" s="32">
        <f t="shared" ref="B7:I7" si="3">SUM(B5:B6)</f>
        <v>95</v>
      </c>
      <c r="C7" s="32">
        <f t="shared" si="3"/>
        <v>44</v>
      </c>
      <c r="D7" s="32">
        <f t="shared" si="3"/>
        <v>51</v>
      </c>
      <c r="E7" s="32">
        <f t="shared" si="3"/>
        <v>8373</v>
      </c>
      <c r="F7" s="32">
        <f t="shared" si="3"/>
        <v>1217</v>
      </c>
      <c r="G7" s="32">
        <f t="shared" si="3"/>
        <v>7156</v>
      </c>
      <c r="H7" s="32">
        <f t="shared" si="3"/>
        <v>3244</v>
      </c>
      <c r="I7" s="32">
        <f t="shared" si="3"/>
        <v>482</v>
      </c>
      <c r="J7" s="32">
        <f>SUM(J5:J6)</f>
        <v>2762</v>
      </c>
      <c r="K7" s="7" t="s">
        <v>12</v>
      </c>
      <c r="L7" s="412"/>
      <c r="M7" s="1"/>
    </row>
    <row r="8" spans="1:13" ht="13.5" thickBot="1" x14ac:dyDescent="0.25">
      <c r="A8" s="1"/>
      <c r="B8" s="32">
        <f t="shared" si="0"/>
        <v>349</v>
      </c>
      <c r="C8" s="32">
        <v>268</v>
      </c>
      <c r="D8" s="32">
        <v>81</v>
      </c>
      <c r="E8" s="32">
        <f t="shared" si="1"/>
        <v>1499</v>
      </c>
      <c r="F8" s="32">
        <v>245</v>
      </c>
      <c r="G8" s="32">
        <v>1254</v>
      </c>
      <c r="H8" s="32">
        <f t="shared" si="2"/>
        <v>603</v>
      </c>
      <c r="I8" s="32">
        <v>99</v>
      </c>
      <c r="J8" s="32">
        <v>504</v>
      </c>
      <c r="K8" s="7" t="s">
        <v>9</v>
      </c>
      <c r="L8" s="410" t="s">
        <v>45</v>
      </c>
      <c r="M8" s="1"/>
    </row>
    <row r="9" spans="1:13" ht="15.75" customHeight="1" thickBot="1" x14ac:dyDescent="0.25">
      <c r="A9" s="1"/>
      <c r="B9" s="32">
        <f t="shared" si="0"/>
        <v>106</v>
      </c>
      <c r="C9" s="32">
        <v>54</v>
      </c>
      <c r="D9" s="32">
        <v>52</v>
      </c>
      <c r="E9" s="32">
        <f t="shared" si="1"/>
        <v>802</v>
      </c>
      <c r="F9" s="32">
        <v>92</v>
      </c>
      <c r="G9" s="32">
        <v>710</v>
      </c>
      <c r="H9" s="32">
        <f t="shared" si="2"/>
        <v>370</v>
      </c>
      <c r="I9" s="32">
        <v>43</v>
      </c>
      <c r="J9" s="32">
        <v>327</v>
      </c>
      <c r="K9" s="7" t="s">
        <v>10</v>
      </c>
      <c r="L9" s="411"/>
      <c r="M9" s="1"/>
    </row>
    <row r="10" spans="1:13" ht="15.75" customHeight="1" thickBot="1" x14ac:dyDescent="0.25">
      <c r="A10" s="1"/>
      <c r="B10" s="32">
        <f t="shared" ref="B10" si="4">SUM(B8:B9)</f>
        <v>455</v>
      </c>
      <c r="C10" s="32">
        <f t="shared" ref="C10" si="5">SUM(C8:C9)</f>
        <v>322</v>
      </c>
      <c r="D10" s="32">
        <f t="shared" ref="D10" si="6">SUM(D8:D9)</f>
        <v>133</v>
      </c>
      <c r="E10" s="32">
        <f t="shared" ref="E10" si="7">SUM(E8:E9)</f>
        <v>2301</v>
      </c>
      <c r="F10" s="32">
        <f t="shared" ref="F10" si="8">SUM(F8:F9)</f>
        <v>337</v>
      </c>
      <c r="G10" s="32">
        <f t="shared" ref="G10" si="9">SUM(G8:G9)</f>
        <v>1964</v>
      </c>
      <c r="H10" s="32">
        <f t="shared" ref="H10" si="10">SUM(H8:H9)</f>
        <v>973</v>
      </c>
      <c r="I10" s="32">
        <f t="shared" ref="I10" si="11">SUM(I8:I9)</f>
        <v>142</v>
      </c>
      <c r="J10" s="32">
        <f>SUM(J8:J9)</f>
        <v>831</v>
      </c>
      <c r="K10" s="7" t="s">
        <v>12</v>
      </c>
      <c r="L10" s="412"/>
      <c r="M10" s="1"/>
    </row>
    <row r="11" spans="1:13" ht="13.5" thickBot="1" x14ac:dyDescent="0.25">
      <c r="A11" s="1"/>
      <c r="B11" s="32">
        <f t="shared" si="0"/>
        <v>212</v>
      </c>
      <c r="C11" s="32">
        <v>69</v>
      </c>
      <c r="D11" s="32">
        <v>143</v>
      </c>
      <c r="E11" s="32">
        <f t="shared" si="1"/>
        <v>11573</v>
      </c>
      <c r="F11" s="32">
        <v>2111</v>
      </c>
      <c r="G11" s="32">
        <v>9462</v>
      </c>
      <c r="H11" s="32">
        <f t="shared" si="2"/>
        <v>4768</v>
      </c>
      <c r="I11" s="32">
        <v>872</v>
      </c>
      <c r="J11" s="32">
        <v>3896</v>
      </c>
      <c r="K11" s="7" t="s">
        <v>9</v>
      </c>
      <c r="L11" s="410" t="s">
        <v>46</v>
      </c>
      <c r="M11" s="1"/>
    </row>
    <row r="12" spans="1:13" ht="15.75" customHeight="1" thickBot="1" x14ac:dyDescent="0.25">
      <c r="A12" s="1"/>
      <c r="B12" s="32">
        <f t="shared" si="0"/>
        <v>53</v>
      </c>
      <c r="C12" s="32">
        <v>23</v>
      </c>
      <c r="D12" s="32">
        <v>30</v>
      </c>
      <c r="E12" s="32">
        <f t="shared" si="1"/>
        <v>2323</v>
      </c>
      <c r="F12" s="32">
        <v>278</v>
      </c>
      <c r="G12" s="32">
        <v>2045</v>
      </c>
      <c r="H12" s="32">
        <f t="shared" si="2"/>
        <v>997</v>
      </c>
      <c r="I12" s="32">
        <v>120</v>
      </c>
      <c r="J12" s="32">
        <v>877</v>
      </c>
      <c r="K12" s="7" t="s">
        <v>10</v>
      </c>
      <c r="L12" s="411"/>
      <c r="M12" s="1"/>
    </row>
    <row r="13" spans="1:13" ht="15.75" customHeight="1" thickBot="1" x14ac:dyDescent="0.25">
      <c r="A13" s="1"/>
      <c r="B13" s="32">
        <f t="shared" ref="B13" si="12">SUM(B11:B12)</f>
        <v>265</v>
      </c>
      <c r="C13" s="32">
        <f t="shared" ref="C13" si="13">SUM(C11:C12)</f>
        <v>92</v>
      </c>
      <c r="D13" s="32">
        <f t="shared" ref="D13" si="14">SUM(D11:D12)</f>
        <v>173</v>
      </c>
      <c r="E13" s="32">
        <f t="shared" ref="E13" si="15">SUM(E11:E12)</f>
        <v>13896</v>
      </c>
      <c r="F13" s="32">
        <f t="shared" ref="F13" si="16">SUM(F11:F12)</f>
        <v>2389</v>
      </c>
      <c r="G13" s="32">
        <f t="shared" ref="G13" si="17">SUM(G11:G12)</f>
        <v>11507</v>
      </c>
      <c r="H13" s="32">
        <f t="shared" ref="H13" si="18">SUM(H11:H12)</f>
        <v>5765</v>
      </c>
      <c r="I13" s="32">
        <f t="shared" ref="I13" si="19">SUM(I11:I12)</f>
        <v>992</v>
      </c>
      <c r="J13" s="32">
        <f>SUM(J11:J12)</f>
        <v>4773</v>
      </c>
      <c r="K13" s="7" t="s">
        <v>12</v>
      </c>
      <c r="L13" s="412"/>
      <c r="M13" s="1"/>
    </row>
    <row r="14" spans="1:13" ht="13.5" thickBot="1" x14ac:dyDescent="0.25">
      <c r="A14" s="1"/>
      <c r="B14" s="32">
        <f t="shared" si="0"/>
        <v>72</v>
      </c>
      <c r="C14" s="32">
        <v>9</v>
      </c>
      <c r="D14" s="32">
        <v>63</v>
      </c>
      <c r="E14" s="32">
        <f t="shared" si="1"/>
        <v>8713</v>
      </c>
      <c r="F14" s="32">
        <v>1595</v>
      </c>
      <c r="G14" s="32">
        <v>7118</v>
      </c>
      <c r="H14" s="32">
        <f t="shared" si="2"/>
        <v>3447</v>
      </c>
      <c r="I14" s="32">
        <v>634</v>
      </c>
      <c r="J14" s="32">
        <v>2813</v>
      </c>
      <c r="K14" s="7" t="s">
        <v>9</v>
      </c>
      <c r="L14" s="410" t="s">
        <v>47</v>
      </c>
      <c r="M14" s="1"/>
    </row>
    <row r="15" spans="1:13" ht="15.75" customHeight="1" thickBot="1" x14ac:dyDescent="0.25">
      <c r="A15" s="1"/>
      <c r="B15" s="32">
        <f t="shared" si="0"/>
        <v>29</v>
      </c>
      <c r="C15" s="32">
        <v>7</v>
      </c>
      <c r="D15" s="32">
        <v>22</v>
      </c>
      <c r="E15" s="32">
        <f t="shared" si="1"/>
        <v>1950</v>
      </c>
      <c r="F15" s="32">
        <v>235</v>
      </c>
      <c r="G15" s="32">
        <v>1715</v>
      </c>
      <c r="H15" s="32">
        <f t="shared" si="2"/>
        <v>855</v>
      </c>
      <c r="I15" s="32">
        <v>102</v>
      </c>
      <c r="J15" s="32">
        <v>753</v>
      </c>
      <c r="K15" s="7" t="s">
        <v>10</v>
      </c>
      <c r="L15" s="411"/>
      <c r="M15" s="1"/>
    </row>
    <row r="16" spans="1:13" ht="15.75" customHeight="1" thickBot="1" x14ac:dyDescent="0.25">
      <c r="A16" s="1"/>
      <c r="B16" s="32">
        <f t="shared" ref="B16" si="20">SUM(B14:B15)</f>
        <v>101</v>
      </c>
      <c r="C16" s="32">
        <f t="shared" ref="C16" si="21">SUM(C14:C15)</f>
        <v>16</v>
      </c>
      <c r="D16" s="32">
        <f t="shared" ref="D16" si="22">SUM(D14:D15)</f>
        <v>85</v>
      </c>
      <c r="E16" s="32">
        <f t="shared" ref="E16" si="23">SUM(E14:E15)</f>
        <v>10663</v>
      </c>
      <c r="F16" s="32">
        <f t="shared" ref="F16" si="24">SUM(F14:F15)</f>
        <v>1830</v>
      </c>
      <c r="G16" s="32">
        <f t="shared" ref="G16" si="25">SUM(G14:G15)</f>
        <v>8833</v>
      </c>
      <c r="H16" s="32">
        <f t="shared" ref="H16" si="26">SUM(H14:H15)</f>
        <v>4302</v>
      </c>
      <c r="I16" s="32">
        <f t="shared" ref="I16" si="27">SUM(I14:I15)</f>
        <v>736</v>
      </c>
      <c r="J16" s="32">
        <f>SUM(J14:J15)</f>
        <v>3566</v>
      </c>
      <c r="K16" s="7" t="s">
        <v>12</v>
      </c>
      <c r="L16" s="412"/>
      <c r="M16" s="1"/>
    </row>
    <row r="17" spans="1:13" ht="13.5" thickBot="1" x14ac:dyDescent="0.25">
      <c r="A17" s="1"/>
      <c r="B17" s="32">
        <f t="shared" si="0"/>
        <v>196</v>
      </c>
      <c r="C17" s="32">
        <v>27</v>
      </c>
      <c r="D17" s="32">
        <v>169</v>
      </c>
      <c r="E17" s="32">
        <f t="shared" si="1"/>
        <v>8243</v>
      </c>
      <c r="F17" s="32">
        <v>1578</v>
      </c>
      <c r="G17" s="32">
        <v>6665</v>
      </c>
      <c r="H17" s="32">
        <f t="shared" si="2"/>
        <v>3143</v>
      </c>
      <c r="I17" s="32">
        <v>604</v>
      </c>
      <c r="J17" s="32">
        <v>2539</v>
      </c>
      <c r="K17" s="7" t="s">
        <v>9</v>
      </c>
      <c r="L17" s="410" t="s">
        <v>48</v>
      </c>
      <c r="M17" s="1"/>
    </row>
    <row r="18" spans="1:13" ht="15.75" customHeight="1" thickBot="1" x14ac:dyDescent="0.25">
      <c r="A18" s="1"/>
      <c r="B18" s="32">
        <f t="shared" si="0"/>
        <v>16</v>
      </c>
      <c r="C18" s="32">
        <v>2</v>
      </c>
      <c r="D18" s="32">
        <v>14</v>
      </c>
      <c r="E18" s="32">
        <f t="shared" si="1"/>
        <v>372</v>
      </c>
      <c r="F18" s="32">
        <v>55</v>
      </c>
      <c r="G18" s="32">
        <v>317</v>
      </c>
      <c r="H18" s="32">
        <f t="shared" si="2"/>
        <v>153</v>
      </c>
      <c r="I18" s="32">
        <v>23</v>
      </c>
      <c r="J18" s="32">
        <v>130</v>
      </c>
      <c r="K18" s="7" t="s">
        <v>10</v>
      </c>
      <c r="L18" s="411"/>
      <c r="M18" s="1"/>
    </row>
    <row r="19" spans="1:13" ht="15.75" customHeight="1" thickBot="1" x14ac:dyDescent="0.25">
      <c r="A19" s="1"/>
      <c r="B19" s="32">
        <f t="shared" ref="B19" si="28">SUM(B17:B18)</f>
        <v>212</v>
      </c>
      <c r="C19" s="32">
        <f t="shared" ref="C19" si="29">SUM(C17:C18)</f>
        <v>29</v>
      </c>
      <c r="D19" s="32">
        <f t="shared" ref="D19" si="30">SUM(D17:D18)</f>
        <v>183</v>
      </c>
      <c r="E19" s="32">
        <f t="shared" ref="E19" si="31">SUM(E17:E18)</f>
        <v>8615</v>
      </c>
      <c r="F19" s="32">
        <f t="shared" ref="F19" si="32">SUM(F17:F18)</f>
        <v>1633</v>
      </c>
      <c r="G19" s="32">
        <f t="shared" ref="G19" si="33">SUM(G17:G18)</f>
        <v>6982</v>
      </c>
      <c r="H19" s="32">
        <f t="shared" ref="H19" si="34">SUM(H17:H18)</f>
        <v>3296</v>
      </c>
      <c r="I19" s="32">
        <f t="shared" ref="I19" si="35">SUM(I17:I18)</f>
        <v>627</v>
      </c>
      <c r="J19" s="32">
        <f>SUM(J17:J18)</f>
        <v>2669</v>
      </c>
      <c r="K19" s="7" t="s">
        <v>12</v>
      </c>
      <c r="L19" s="412"/>
      <c r="M19" s="1"/>
    </row>
    <row r="20" spans="1:13" ht="13.5" thickBot="1" x14ac:dyDescent="0.25">
      <c r="A20" s="1"/>
      <c r="B20" s="32">
        <f t="shared" si="0"/>
        <v>419</v>
      </c>
      <c r="C20" s="32">
        <v>41</v>
      </c>
      <c r="D20" s="32">
        <v>378</v>
      </c>
      <c r="E20" s="32">
        <f t="shared" si="1"/>
        <v>7437</v>
      </c>
      <c r="F20" s="32">
        <v>1264</v>
      </c>
      <c r="G20" s="32">
        <v>6173</v>
      </c>
      <c r="H20" s="32">
        <f t="shared" si="2"/>
        <v>2679</v>
      </c>
      <c r="I20" s="32">
        <v>490</v>
      </c>
      <c r="J20" s="32">
        <v>2189</v>
      </c>
      <c r="K20" s="7" t="s">
        <v>9</v>
      </c>
      <c r="L20" s="410" t="s">
        <v>49</v>
      </c>
      <c r="M20" s="1"/>
    </row>
    <row r="21" spans="1:13" ht="15.75" customHeight="1" thickBot="1" x14ac:dyDescent="0.25">
      <c r="A21" s="1"/>
      <c r="B21" s="32">
        <f t="shared" si="0"/>
        <v>98</v>
      </c>
      <c r="C21" s="32">
        <v>14</v>
      </c>
      <c r="D21" s="32">
        <v>84</v>
      </c>
      <c r="E21" s="32">
        <f t="shared" si="1"/>
        <v>2718</v>
      </c>
      <c r="F21" s="32">
        <v>378</v>
      </c>
      <c r="G21" s="32">
        <v>2340</v>
      </c>
      <c r="H21" s="32">
        <f t="shared" si="2"/>
        <v>1065</v>
      </c>
      <c r="I21" s="32">
        <v>151</v>
      </c>
      <c r="J21" s="32">
        <v>914</v>
      </c>
      <c r="K21" s="7" t="s">
        <v>10</v>
      </c>
      <c r="L21" s="411"/>
      <c r="M21" s="1"/>
    </row>
    <row r="22" spans="1:13" ht="15.75" customHeight="1" thickBot="1" x14ac:dyDescent="0.25">
      <c r="A22" s="1"/>
      <c r="B22" s="32">
        <f t="shared" ref="B22" si="36">SUM(B20:B21)</f>
        <v>517</v>
      </c>
      <c r="C22" s="32">
        <f t="shared" ref="C22" si="37">SUM(C20:C21)</f>
        <v>55</v>
      </c>
      <c r="D22" s="32">
        <f t="shared" ref="D22" si="38">SUM(D20:D21)</f>
        <v>462</v>
      </c>
      <c r="E22" s="32">
        <f t="shared" ref="E22" si="39">SUM(E20:E21)</f>
        <v>10155</v>
      </c>
      <c r="F22" s="32">
        <f t="shared" ref="F22" si="40">SUM(F20:F21)</f>
        <v>1642</v>
      </c>
      <c r="G22" s="32">
        <f t="shared" ref="G22" si="41">SUM(G20:G21)</f>
        <v>8513</v>
      </c>
      <c r="H22" s="32">
        <f t="shared" ref="H22" si="42">SUM(H20:H21)</f>
        <v>3744</v>
      </c>
      <c r="I22" s="32">
        <f t="shared" ref="I22" si="43">SUM(I20:I21)</f>
        <v>641</v>
      </c>
      <c r="J22" s="32">
        <f>SUM(J20:J21)</f>
        <v>3103</v>
      </c>
      <c r="K22" s="7" t="s">
        <v>12</v>
      </c>
      <c r="L22" s="412"/>
      <c r="M22" s="1"/>
    </row>
    <row r="23" spans="1:13" ht="13.5" thickBot="1" x14ac:dyDescent="0.25">
      <c r="A23" s="1"/>
      <c r="B23" s="32">
        <f t="shared" si="0"/>
        <v>4</v>
      </c>
      <c r="C23" s="32">
        <v>1</v>
      </c>
      <c r="D23" s="32">
        <v>3</v>
      </c>
      <c r="E23" s="32">
        <f t="shared" si="1"/>
        <v>52</v>
      </c>
      <c r="F23" s="32">
        <v>8</v>
      </c>
      <c r="G23" s="32">
        <v>44</v>
      </c>
      <c r="H23" s="32">
        <f t="shared" si="2"/>
        <v>24</v>
      </c>
      <c r="I23" s="32">
        <v>4</v>
      </c>
      <c r="J23" s="32">
        <v>20</v>
      </c>
      <c r="K23" s="7" t="s">
        <v>9</v>
      </c>
      <c r="L23" s="410" t="s">
        <v>50</v>
      </c>
      <c r="M23" s="1"/>
    </row>
    <row r="24" spans="1:13" ht="15.75" customHeight="1" thickBot="1" x14ac:dyDescent="0.25">
      <c r="A24" s="1"/>
      <c r="B24" s="32">
        <f t="shared" si="0"/>
        <v>2</v>
      </c>
      <c r="C24" s="32">
        <v>1</v>
      </c>
      <c r="D24" s="32">
        <v>1</v>
      </c>
      <c r="E24" s="32">
        <f t="shared" si="1"/>
        <v>0</v>
      </c>
      <c r="F24" s="32">
        <v>0</v>
      </c>
      <c r="G24" s="32">
        <v>0</v>
      </c>
      <c r="H24" s="32">
        <f t="shared" si="2"/>
        <v>10</v>
      </c>
      <c r="I24" s="32">
        <v>1</v>
      </c>
      <c r="J24" s="32">
        <v>9</v>
      </c>
      <c r="K24" s="7" t="s">
        <v>10</v>
      </c>
      <c r="L24" s="411"/>
      <c r="M24" s="1"/>
    </row>
    <row r="25" spans="1:13" ht="15.75" customHeight="1" thickBot="1" x14ac:dyDescent="0.25">
      <c r="A25" s="1"/>
      <c r="B25" s="32">
        <f t="shared" ref="B25" si="44">SUM(B23:B24)</f>
        <v>6</v>
      </c>
      <c r="C25" s="32">
        <f t="shared" ref="C25" si="45">SUM(C23:C24)</f>
        <v>2</v>
      </c>
      <c r="D25" s="32">
        <f t="shared" ref="D25" si="46">SUM(D23:D24)</f>
        <v>4</v>
      </c>
      <c r="E25" s="32">
        <f t="shared" ref="E25" si="47">SUM(E23:E24)</f>
        <v>52</v>
      </c>
      <c r="F25" s="32">
        <f t="shared" ref="F25" si="48">SUM(F23:F24)</f>
        <v>8</v>
      </c>
      <c r="G25" s="32">
        <f t="shared" ref="G25" si="49">SUM(G23:G24)</f>
        <v>44</v>
      </c>
      <c r="H25" s="32">
        <f t="shared" ref="H25" si="50">SUM(H23:H24)</f>
        <v>34</v>
      </c>
      <c r="I25" s="32">
        <f t="shared" ref="I25" si="51">SUM(I23:I24)</f>
        <v>5</v>
      </c>
      <c r="J25" s="32">
        <f>SUM(J23:J24)</f>
        <v>29</v>
      </c>
      <c r="K25" s="7" t="s">
        <v>12</v>
      </c>
      <c r="L25" s="412"/>
      <c r="M25" s="1"/>
    </row>
    <row r="26" spans="1:13" ht="13.5" thickBot="1" x14ac:dyDescent="0.25">
      <c r="A26" s="1"/>
      <c r="B26" s="32">
        <f t="shared" si="0"/>
        <v>45</v>
      </c>
      <c r="C26" s="32">
        <v>17</v>
      </c>
      <c r="D26" s="32">
        <v>28</v>
      </c>
      <c r="E26" s="32">
        <f t="shared" si="1"/>
        <v>2096</v>
      </c>
      <c r="F26" s="32">
        <v>352</v>
      </c>
      <c r="G26" s="32">
        <v>1744</v>
      </c>
      <c r="H26" s="32">
        <f t="shared" si="2"/>
        <v>816</v>
      </c>
      <c r="I26" s="32">
        <v>137</v>
      </c>
      <c r="J26" s="32">
        <v>679</v>
      </c>
      <c r="K26" s="7" t="s">
        <v>9</v>
      </c>
      <c r="L26" s="410" t="s">
        <v>51</v>
      </c>
      <c r="M26" s="1"/>
    </row>
    <row r="27" spans="1:13" ht="15.75" customHeight="1" thickBot="1" x14ac:dyDescent="0.25">
      <c r="A27" s="1"/>
      <c r="B27" s="32">
        <f t="shared" si="0"/>
        <v>5</v>
      </c>
      <c r="C27" s="32">
        <v>2</v>
      </c>
      <c r="D27" s="32">
        <v>3</v>
      </c>
      <c r="E27" s="32">
        <f t="shared" si="1"/>
        <v>232</v>
      </c>
      <c r="F27" s="32">
        <v>24</v>
      </c>
      <c r="G27" s="32">
        <v>208</v>
      </c>
      <c r="H27" s="32">
        <f t="shared" si="2"/>
        <v>128</v>
      </c>
      <c r="I27" s="32">
        <v>10</v>
      </c>
      <c r="J27" s="32">
        <v>118</v>
      </c>
      <c r="K27" s="7" t="s">
        <v>10</v>
      </c>
      <c r="L27" s="411"/>
      <c r="M27" s="1"/>
    </row>
    <row r="28" spans="1:13" ht="15.75" customHeight="1" thickBot="1" x14ac:dyDescent="0.25">
      <c r="A28" s="1"/>
      <c r="B28" s="32">
        <f t="shared" ref="B28" si="52">SUM(B26:B27)</f>
        <v>50</v>
      </c>
      <c r="C28" s="32">
        <f t="shared" ref="C28" si="53">SUM(C26:C27)</f>
        <v>19</v>
      </c>
      <c r="D28" s="32">
        <f t="shared" ref="D28" si="54">SUM(D26:D27)</f>
        <v>31</v>
      </c>
      <c r="E28" s="32">
        <f t="shared" ref="E28" si="55">SUM(E26:E27)</f>
        <v>2328</v>
      </c>
      <c r="F28" s="32">
        <f t="shared" ref="F28" si="56">SUM(F26:F27)</f>
        <v>376</v>
      </c>
      <c r="G28" s="32">
        <f t="shared" ref="G28" si="57">SUM(G26:G27)</f>
        <v>1952</v>
      </c>
      <c r="H28" s="32">
        <f t="shared" ref="H28" si="58">SUM(H26:H27)</f>
        <v>944</v>
      </c>
      <c r="I28" s="32">
        <f t="shared" ref="I28" si="59">SUM(I26:I27)</f>
        <v>147</v>
      </c>
      <c r="J28" s="32">
        <f>SUM(J26:J27)</f>
        <v>797</v>
      </c>
      <c r="K28" s="7" t="s">
        <v>12</v>
      </c>
      <c r="L28" s="412"/>
      <c r="M28" s="1"/>
    </row>
    <row r="29" spans="1:13" ht="13.5" thickBot="1" x14ac:dyDescent="0.25">
      <c r="A29" s="1"/>
      <c r="B29" s="32">
        <f t="shared" si="0"/>
        <v>2</v>
      </c>
      <c r="C29" s="32">
        <v>0</v>
      </c>
      <c r="D29" s="32">
        <v>2</v>
      </c>
      <c r="E29" s="32">
        <f t="shared" si="1"/>
        <v>84</v>
      </c>
      <c r="F29" s="32">
        <v>16</v>
      </c>
      <c r="G29" s="32">
        <v>68</v>
      </c>
      <c r="H29" s="32">
        <f t="shared" si="2"/>
        <v>33</v>
      </c>
      <c r="I29" s="32">
        <v>7</v>
      </c>
      <c r="J29" s="32">
        <v>26</v>
      </c>
      <c r="K29" s="7" t="s">
        <v>9</v>
      </c>
      <c r="L29" s="410" t="s">
        <v>52</v>
      </c>
      <c r="M29" s="1"/>
    </row>
    <row r="30" spans="1:13" ht="15.75" customHeight="1" thickBot="1" x14ac:dyDescent="0.25">
      <c r="A30" s="1"/>
      <c r="B30" s="32">
        <f t="shared" si="0"/>
        <v>8</v>
      </c>
      <c r="C30" s="32">
        <v>2</v>
      </c>
      <c r="D30" s="32">
        <v>6</v>
      </c>
      <c r="E30" s="32">
        <f t="shared" si="1"/>
        <v>195</v>
      </c>
      <c r="F30" s="32">
        <v>17</v>
      </c>
      <c r="G30" s="32">
        <v>178</v>
      </c>
      <c r="H30" s="32">
        <f t="shared" si="2"/>
        <v>98</v>
      </c>
      <c r="I30" s="32">
        <v>9</v>
      </c>
      <c r="J30" s="32">
        <v>89</v>
      </c>
      <c r="K30" s="7" t="s">
        <v>10</v>
      </c>
      <c r="L30" s="411"/>
      <c r="M30" s="1"/>
    </row>
    <row r="31" spans="1:13" ht="15.75" customHeight="1" thickBot="1" x14ac:dyDescent="0.25">
      <c r="A31" s="1"/>
      <c r="B31" s="32">
        <f t="shared" ref="B31" si="60">SUM(B29:B30)</f>
        <v>10</v>
      </c>
      <c r="C31" s="32">
        <f t="shared" ref="C31" si="61">SUM(C29:C30)</f>
        <v>2</v>
      </c>
      <c r="D31" s="32">
        <f t="shared" ref="D31" si="62">SUM(D29:D30)</f>
        <v>8</v>
      </c>
      <c r="E31" s="32">
        <f t="shared" ref="E31" si="63">SUM(E29:E30)</f>
        <v>279</v>
      </c>
      <c r="F31" s="32">
        <f t="shared" ref="F31" si="64">SUM(F29:F30)</f>
        <v>33</v>
      </c>
      <c r="G31" s="32">
        <f t="shared" ref="G31" si="65">SUM(G29:G30)</f>
        <v>246</v>
      </c>
      <c r="H31" s="32">
        <f t="shared" ref="H31" si="66">SUM(H29:H30)</f>
        <v>131</v>
      </c>
      <c r="I31" s="32">
        <f t="shared" ref="I31" si="67">SUM(I29:I30)</f>
        <v>16</v>
      </c>
      <c r="J31" s="32">
        <f>SUM(J29:J30)</f>
        <v>115</v>
      </c>
      <c r="K31" s="7" t="s">
        <v>12</v>
      </c>
      <c r="L31" s="412"/>
      <c r="M31" s="1"/>
    </row>
    <row r="32" spans="1:13" ht="13.5" thickBot="1" x14ac:dyDescent="0.25">
      <c r="A32" s="1"/>
      <c r="B32" s="32">
        <f t="shared" si="0"/>
        <v>82</v>
      </c>
      <c r="C32" s="32">
        <v>1</v>
      </c>
      <c r="D32" s="32">
        <v>81</v>
      </c>
      <c r="E32" s="32">
        <f t="shared" si="1"/>
        <v>1614</v>
      </c>
      <c r="F32" s="32">
        <v>257</v>
      </c>
      <c r="G32" s="32">
        <v>1357</v>
      </c>
      <c r="H32" s="32">
        <f t="shared" si="2"/>
        <v>456</v>
      </c>
      <c r="I32" s="32">
        <v>77</v>
      </c>
      <c r="J32" s="32">
        <v>379</v>
      </c>
      <c r="K32" s="7" t="s">
        <v>9</v>
      </c>
      <c r="L32" s="410" t="s">
        <v>53</v>
      </c>
      <c r="M32" s="1"/>
    </row>
    <row r="33" spans="1:13" ht="15.75" customHeight="1" thickBot="1" x14ac:dyDescent="0.25">
      <c r="A33" s="1"/>
      <c r="B33" s="32">
        <f t="shared" si="0"/>
        <v>11</v>
      </c>
      <c r="C33" s="32">
        <v>1</v>
      </c>
      <c r="D33" s="32">
        <v>10</v>
      </c>
      <c r="E33" s="32">
        <f t="shared" si="1"/>
        <v>434</v>
      </c>
      <c r="F33" s="32">
        <v>29</v>
      </c>
      <c r="G33" s="32">
        <v>405</v>
      </c>
      <c r="H33" s="32">
        <f t="shared" si="2"/>
        <v>87</v>
      </c>
      <c r="I33" s="32">
        <v>8</v>
      </c>
      <c r="J33" s="32">
        <v>79</v>
      </c>
      <c r="K33" s="7" t="s">
        <v>10</v>
      </c>
      <c r="L33" s="411"/>
      <c r="M33" s="1"/>
    </row>
    <row r="34" spans="1:13" ht="15.75" customHeight="1" thickBot="1" x14ac:dyDescent="0.25">
      <c r="A34" s="1"/>
      <c r="B34" s="32">
        <f t="shared" ref="B34" si="68">SUM(B32:B33)</f>
        <v>93</v>
      </c>
      <c r="C34" s="32">
        <f t="shared" ref="C34" si="69">SUM(C32:C33)</f>
        <v>2</v>
      </c>
      <c r="D34" s="32">
        <f t="shared" ref="D34" si="70">SUM(D32:D33)</f>
        <v>91</v>
      </c>
      <c r="E34" s="32">
        <f t="shared" ref="E34" si="71">SUM(E32:E33)</f>
        <v>2048</v>
      </c>
      <c r="F34" s="32">
        <f t="shared" ref="F34" si="72">SUM(F32:F33)</f>
        <v>286</v>
      </c>
      <c r="G34" s="32">
        <f t="shared" ref="G34" si="73">SUM(G32:G33)</f>
        <v>1762</v>
      </c>
      <c r="H34" s="32">
        <f t="shared" ref="H34" si="74">SUM(H32:H33)</f>
        <v>543</v>
      </c>
      <c r="I34" s="32">
        <f t="shared" ref="I34" si="75">SUM(I32:I33)</f>
        <v>85</v>
      </c>
      <c r="J34" s="32">
        <f>SUM(J32:J33)</f>
        <v>458</v>
      </c>
      <c r="K34" s="7" t="s">
        <v>12</v>
      </c>
      <c r="L34" s="412"/>
      <c r="M34" s="1"/>
    </row>
    <row r="35" spans="1:13" ht="13.5" thickBot="1" x14ac:dyDescent="0.25">
      <c r="A35" s="1"/>
      <c r="B35" s="32">
        <f t="shared" ref="B35:I35" si="76">B5+B8+B11+B14+B17+B20+B23+B26+B29+B32</f>
        <v>1431</v>
      </c>
      <c r="C35" s="32">
        <f t="shared" si="76"/>
        <v>462</v>
      </c>
      <c r="D35" s="32">
        <f t="shared" si="76"/>
        <v>969</v>
      </c>
      <c r="E35" s="32">
        <f t="shared" si="76"/>
        <v>46544</v>
      </c>
      <c r="F35" s="32">
        <f t="shared" si="76"/>
        <v>8323</v>
      </c>
      <c r="G35" s="32">
        <f t="shared" si="76"/>
        <v>38221</v>
      </c>
      <c r="H35" s="32">
        <f t="shared" si="76"/>
        <v>18043</v>
      </c>
      <c r="I35" s="32">
        <f t="shared" si="76"/>
        <v>3282</v>
      </c>
      <c r="J35" s="32">
        <f>J5+J8+J11+J14+J17+J20+J23+J26+J29+J32</f>
        <v>14761</v>
      </c>
      <c r="K35" s="4" t="s">
        <v>26</v>
      </c>
      <c r="L35" s="410" t="s">
        <v>41</v>
      </c>
      <c r="M35" s="1"/>
    </row>
    <row r="36" spans="1:13" ht="15.75" customHeight="1" thickBot="1" x14ac:dyDescent="0.25">
      <c r="A36" s="1"/>
      <c r="B36" s="32">
        <f t="shared" ref="B36:I36" si="77">B6+B9+B12+B15+B18+B21+B24+B27+B30+B33</f>
        <v>373</v>
      </c>
      <c r="C36" s="32">
        <f t="shared" si="77"/>
        <v>121</v>
      </c>
      <c r="D36" s="32">
        <f t="shared" si="77"/>
        <v>252</v>
      </c>
      <c r="E36" s="32">
        <f t="shared" si="77"/>
        <v>12166</v>
      </c>
      <c r="F36" s="32">
        <f t="shared" si="77"/>
        <v>1428</v>
      </c>
      <c r="G36" s="32">
        <f t="shared" si="77"/>
        <v>10738</v>
      </c>
      <c r="H36" s="32">
        <f t="shared" si="77"/>
        <v>4933</v>
      </c>
      <c r="I36" s="32">
        <f t="shared" si="77"/>
        <v>591</v>
      </c>
      <c r="J36" s="32">
        <f t="shared" ref="J36:J37" si="78">J6+J9+J12+J15+J18+J21+J24+J27+J30+J33</f>
        <v>4342</v>
      </c>
      <c r="K36" s="4" t="s">
        <v>27</v>
      </c>
      <c r="L36" s="411"/>
      <c r="M36" s="1"/>
    </row>
    <row r="37" spans="1:13" ht="15.75" customHeight="1" thickBot="1" x14ac:dyDescent="0.25">
      <c r="A37" s="1"/>
      <c r="B37" s="32">
        <f t="shared" ref="B37:I37" si="79">B7+B10+B13+B16+B19+B22+B25+B28+B31+B34</f>
        <v>1804</v>
      </c>
      <c r="C37" s="32">
        <f t="shared" si="79"/>
        <v>583</v>
      </c>
      <c r="D37" s="32">
        <f t="shared" si="79"/>
        <v>1221</v>
      </c>
      <c r="E37" s="32">
        <f t="shared" si="79"/>
        <v>58710</v>
      </c>
      <c r="F37" s="32">
        <f t="shared" si="79"/>
        <v>9751</v>
      </c>
      <c r="G37" s="32">
        <f t="shared" si="79"/>
        <v>48959</v>
      </c>
      <c r="H37" s="32">
        <f t="shared" si="79"/>
        <v>22976</v>
      </c>
      <c r="I37" s="32">
        <f t="shared" si="79"/>
        <v>3873</v>
      </c>
      <c r="J37" s="32">
        <f t="shared" si="78"/>
        <v>19103</v>
      </c>
      <c r="K37" s="4" t="s">
        <v>12</v>
      </c>
      <c r="L37" s="412"/>
      <c r="M37" s="1"/>
    </row>
  </sheetData>
  <mergeCells count="17">
    <mergeCell ref="L5:L7"/>
    <mergeCell ref="L3:L4"/>
    <mergeCell ref="L20:L22"/>
    <mergeCell ref="L17:L19"/>
    <mergeCell ref="L14:L16"/>
    <mergeCell ref="L11:L13"/>
    <mergeCell ref="L8:L10"/>
    <mergeCell ref="L35:L37"/>
    <mergeCell ref="L32:L34"/>
    <mergeCell ref="L29:L31"/>
    <mergeCell ref="L26:L28"/>
    <mergeCell ref="L23:L25"/>
    <mergeCell ref="B1:L1"/>
    <mergeCell ref="B2:L2"/>
    <mergeCell ref="B3:D3"/>
    <mergeCell ref="E3:G3"/>
    <mergeCell ref="H3:J3"/>
  </mergeCells>
  <pageMargins left="0.4" right="0.4" top="0.25" bottom="0.25" header="0.25" footer="0.25"/>
  <pageSetup paperSize="9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108"/>
  <sheetViews>
    <sheetView showGridLines="0" zoomScaleNormal="100" workbookViewId="0">
      <selection activeCell="E111" sqref="E111"/>
    </sheetView>
  </sheetViews>
  <sheetFormatPr defaultRowHeight="22.5" customHeight="1" x14ac:dyDescent="0.2"/>
  <cols>
    <col min="1" max="1" width="6.875" style="2" customWidth="1"/>
    <col min="2" max="11" width="9.625" style="2" customWidth="1"/>
    <col min="12" max="12" width="27.375" style="2" customWidth="1"/>
    <col min="13" max="13" width="5.875" style="2" customWidth="1"/>
    <col min="14" max="242" width="9.125" style="2"/>
    <col min="243" max="243" width="6.875" style="2" customWidth="1"/>
    <col min="244" max="253" width="9.625" style="2" customWidth="1"/>
    <col min="254" max="254" width="27.375" style="2" customWidth="1"/>
    <col min="255" max="255" width="6.875" style="2" customWidth="1"/>
    <col min="256" max="498" width="9.125" style="2"/>
    <col min="499" max="499" width="6.875" style="2" customWidth="1"/>
    <col min="500" max="509" width="9.625" style="2" customWidth="1"/>
    <col min="510" max="510" width="27.375" style="2" customWidth="1"/>
    <col min="511" max="511" width="6.875" style="2" customWidth="1"/>
    <col min="512" max="754" width="9.125" style="2"/>
    <col min="755" max="755" width="6.875" style="2" customWidth="1"/>
    <col min="756" max="765" width="9.625" style="2" customWidth="1"/>
    <col min="766" max="766" width="27.375" style="2" customWidth="1"/>
    <col min="767" max="767" width="6.875" style="2" customWidth="1"/>
    <col min="768" max="1010" width="9.125" style="2"/>
    <col min="1011" max="1011" width="6.875" style="2" customWidth="1"/>
    <col min="1012" max="1021" width="9.625" style="2" customWidth="1"/>
    <col min="1022" max="1022" width="27.375" style="2" customWidth="1"/>
    <col min="1023" max="1023" width="6.875" style="2" customWidth="1"/>
    <col min="1024" max="1266" width="9.125" style="2"/>
    <col min="1267" max="1267" width="6.875" style="2" customWidth="1"/>
    <col min="1268" max="1277" width="9.625" style="2" customWidth="1"/>
    <col min="1278" max="1278" width="27.375" style="2" customWidth="1"/>
    <col min="1279" max="1279" width="6.875" style="2" customWidth="1"/>
    <col min="1280" max="1522" width="9.125" style="2"/>
    <col min="1523" max="1523" width="6.875" style="2" customWidth="1"/>
    <col min="1524" max="1533" width="9.625" style="2" customWidth="1"/>
    <col min="1534" max="1534" width="27.375" style="2" customWidth="1"/>
    <col min="1535" max="1535" width="6.875" style="2" customWidth="1"/>
    <col min="1536" max="1778" width="9.125" style="2"/>
    <col min="1779" max="1779" width="6.875" style="2" customWidth="1"/>
    <col min="1780" max="1789" width="9.625" style="2" customWidth="1"/>
    <col min="1790" max="1790" width="27.375" style="2" customWidth="1"/>
    <col min="1791" max="1791" width="6.875" style="2" customWidth="1"/>
    <col min="1792" max="2034" width="9.125" style="2"/>
    <col min="2035" max="2035" width="6.875" style="2" customWidth="1"/>
    <col min="2036" max="2045" width="9.625" style="2" customWidth="1"/>
    <col min="2046" max="2046" width="27.375" style="2" customWidth="1"/>
    <col min="2047" max="2047" width="6.875" style="2" customWidth="1"/>
    <col min="2048" max="2290" width="9.125" style="2"/>
    <col min="2291" max="2291" width="6.875" style="2" customWidth="1"/>
    <col min="2292" max="2301" width="9.625" style="2" customWidth="1"/>
    <col min="2302" max="2302" width="27.375" style="2" customWidth="1"/>
    <col min="2303" max="2303" width="6.875" style="2" customWidth="1"/>
    <col min="2304" max="2546" width="9.125" style="2"/>
    <col min="2547" max="2547" width="6.875" style="2" customWidth="1"/>
    <col min="2548" max="2557" width="9.625" style="2" customWidth="1"/>
    <col min="2558" max="2558" width="27.375" style="2" customWidth="1"/>
    <col min="2559" max="2559" width="6.875" style="2" customWidth="1"/>
    <col min="2560" max="2802" width="9.125" style="2"/>
    <col min="2803" max="2803" width="6.875" style="2" customWidth="1"/>
    <col min="2804" max="2813" width="9.625" style="2" customWidth="1"/>
    <col min="2814" max="2814" width="27.375" style="2" customWidth="1"/>
    <col min="2815" max="2815" width="6.875" style="2" customWidth="1"/>
    <col min="2816" max="3058" width="9.125" style="2"/>
    <col min="3059" max="3059" width="6.875" style="2" customWidth="1"/>
    <col min="3060" max="3069" width="9.625" style="2" customWidth="1"/>
    <col min="3070" max="3070" width="27.375" style="2" customWidth="1"/>
    <col min="3071" max="3071" width="6.875" style="2" customWidth="1"/>
    <col min="3072" max="3314" width="9.125" style="2"/>
    <col min="3315" max="3315" width="6.875" style="2" customWidth="1"/>
    <col min="3316" max="3325" width="9.625" style="2" customWidth="1"/>
    <col min="3326" max="3326" width="27.375" style="2" customWidth="1"/>
    <col min="3327" max="3327" width="6.875" style="2" customWidth="1"/>
    <col min="3328" max="3570" width="9.125" style="2"/>
    <col min="3571" max="3571" width="6.875" style="2" customWidth="1"/>
    <col min="3572" max="3581" width="9.625" style="2" customWidth="1"/>
    <col min="3582" max="3582" width="27.375" style="2" customWidth="1"/>
    <col min="3583" max="3583" width="6.875" style="2" customWidth="1"/>
    <col min="3584" max="3826" width="9.125" style="2"/>
    <col min="3827" max="3827" width="6.875" style="2" customWidth="1"/>
    <col min="3828" max="3837" width="9.625" style="2" customWidth="1"/>
    <col min="3838" max="3838" width="27.375" style="2" customWidth="1"/>
    <col min="3839" max="3839" width="6.875" style="2" customWidth="1"/>
    <col min="3840" max="4082" width="9.125" style="2"/>
    <col min="4083" max="4083" width="6.875" style="2" customWidth="1"/>
    <col min="4084" max="4093" width="9.625" style="2" customWidth="1"/>
    <col min="4094" max="4094" width="27.375" style="2" customWidth="1"/>
    <col min="4095" max="4095" width="6.875" style="2" customWidth="1"/>
    <col min="4096" max="4338" width="9.125" style="2"/>
    <col min="4339" max="4339" width="6.875" style="2" customWidth="1"/>
    <col min="4340" max="4349" width="9.625" style="2" customWidth="1"/>
    <col min="4350" max="4350" width="27.375" style="2" customWidth="1"/>
    <col min="4351" max="4351" width="6.875" style="2" customWidth="1"/>
    <col min="4352" max="4594" width="9.125" style="2"/>
    <col min="4595" max="4595" width="6.875" style="2" customWidth="1"/>
    <col min="4596" max="4605" width="9.625" style="2" customWidth="1"/>
    <col min="4606" max="4606" width="27.375" style="2" customWidth="1"/>
    <col min="4607" max="4607" width="6.875" style="2" customWidth="1"/>
    <col min="4608" max="4850" width="9.125" style="2"/>
    <col min="4851" max="4851" width="6.875" style="2" customWidth="1"/>
    <col min="4852" max="4861" width="9.625" style="2" customWidth="1"/>
    <col min="4862" max="4862" width="27.375" style="2" customWidth="1"/>
    <col min="4863" max="4863" width="6.875" style="2" customWidth="1"/>
    <col min="4864" max="5106" width="9.125" style="2"/>
    <col min="5107" max="5107" width="6.875" style="2" customWidth="1"/>
    <col min="5108" max="5117" width="9.625" style="2" customWidth="1"/>
    <col min="5118" max="5118" width="27.375" style="2" customWidth="1"/>
    <col min="5119" max="5119" width="6.875" style="2" customWidth="1"/>
    <col min="5120" max="5362" width="9.125" style="2"/>
    <col min="5363" max="5363" width="6.875" style="2" customWidth="1"/>
    <col min="5364" max="5373" width="9.625" style="2" customWidth="1"/>
    <col min="5374" max="5374" width="27.375" style="2" customWidth="1"/>
    <col min="5375" max="5375" width="6.875" style="2" customWidth="1"/>
    <col min="5376" max="5618" width="9.125" style="2"/>
    <col min="5619" max="5619" width="6.875" style="2" customWidth="1"/>
    <col min="5620" max="5629" width="9.625" style="2" customWidth="1"/>
    <col min="5630" max="5630" width="27.375" style="2" customWidth="1"/>
    <col min="5631" max="5631" width="6.875" style="2" customWidth="1"/>
    <col min="5632" max="5874" width="9.125" style="2"/>
    <col min="5875" max="5875" width="6.875" style="2" customWidth="1"/>
    <col min="5876" max="5885" width="9.625" style="2" customWidth="1"/>
    <col min="5886" max="5886" width="27.375" style="2" customWidth="1"/>
    <col min="5887" max="5887" width="6.875" style="2" customWidth="1"/>
    <col min="5888" max="6130" width="9.125" style="2"/>
    <col min="6131" max="6131" width="6.875" style="2" customWidth="1"/>
    <col min="6132" max="6141" width="9.625" style="2" customWidth="1"/>
    <col min="6142" max="6142" width="27.375" style="2" customWidth="1"/>
    <col min="6143" max="6143" width="6.875" style="2" customWidth="1"/>
    <col min="6144" max="6386" width="9.125" style="2"/>
    <col min="6387" max="6387" width="6.875" style="2" customWidth="1"/>
    <col min="6388" max="6397" width="9.625" style="2" customWidth="1"/>
    <col min="6398" max="6398" width="27.375" style="2" customWidth="1"/>
    <col min="6399" max="6399" width="6.875" style="2" customWidth="1"/>
    <col min="6400" max="6642" width="9.125" style="2"/>
    <col min="6643" max="6643" width="6.875" style="2" customWidth="1"/>
    <col min="6644" max="6653" width="9.625" style="2" customWidth="1"/>
    <col min="6654" max="6654" width="27.375" style="2" customWidth="1"/>
    <col min="6655" max="6655" width="6.875" style="2" customWidth="1"/>
    <col min="6656" max="6898" width="9.125" style="2"/>
    <col min="6899" max="6899" width="6.875" style="2" customWidth="1"/>
    <col min="6900" max="6909" width="9.625" style="2" customWidth="1"/>
    <col min="6910" max="6910" width="27.375" style="2" customWidth="1"/>
    <col min="6911" max="6911" width="6.875" style="2" customWidth="1"/>
    <col min="6912" max="7154" width="9.125" style="2"/>
    <col min="7155" max="7155" width="6.875" style="2" customWidth="1"/>
    <col min="7156" max="7165" width="9.625" style="2" customWidth="1"/>
    <col min="7166" max="7166" width="27.375" style="2" customWidth="1"/>
    <col min="7167" max="7167" width="6.875" style="2" customWidth="1"/>
    <col min="7168" max="7410" width="9.125" style="2"/>
    <col min="7411" max="7411" width="6.875" style="2" customWidth="1"/>
    <col min="7412" max="7421" width="9.625" style="2" customWidth="1"/>
    <col min="7422" max="7422" width="27.375" style="2" customWidth="1"/>
    <col min="7423" max="7423" width="6.875" style="2" customWidth="1"/>
    <col min="7424" max="7666" width="9.125" style="2"/>
    <col min="7667" max="7667" width="6.875" style="2" customWidth="1"/>
    <col min="7668" max="7677" width="9.625" style="2" customWidth="1"/>
    <col min="7678" max="7678" width="27.375" style="2" customWidth="1"/>
    <col min="7679" max="7679" width="6.875" style="2" customWidth="1"/>
    <col min="7680" max="7922" width="9.125" style="2"/>
    <col min="7923" max="7923" width="6.875" style="2" customWidth="1"/>
    <col min="7924" max="7933" width="9.625" style="2" customWidth="1"/>
    <col min="7934" max="7934" width="27.375" style="2" customWidth="1"/>
    <col min="7935" max="7935" width="6.875" style="2" customWidth="1"/>
    <col min="7936" max="8178" width="9.125" style="2"/>
    <col min="8179" max="8179" width="6.875" style="2" customWidth="1"/>
    <col min="8180" max="8189" width="9.625" style="2" customWidth="1"/>
    <col min="8190" max="8190" width="27.375" style="2" customWidth="1"/>
    <col min="8191" max="8191" width="6.875" style="2" customWidth="1"/>
    <col min="8192" max="8434" width="9.125" style="2"/>
    <col min="8435" max="8435" width="6.875" style="2" customWidth="1"/>
    <col min="8436" max="8445" width="9.625" style="2" customWidth="1"/>
    <col min="8446" max="8446" width="27.375" style="2" customWidth="1"/>
    <col min="8447" max="8447" width="6.875" style="2" customWidth="1"/>
    <col min="8448" max="8690" width="9.125" style="2"/>
    <col min="8691" max="8691" width="6.875" style="2" customWidth="1"/>
    <col min="8692" max="8701" width="9.625" style="2" customWidth="1"/>
    <col min="8702" max="8702" width="27.375" style="2" customWidth="1"/>
    <col min="8703" max="8703" width="6.875" style="2" customWidth="1"/>
    <col min="8704" max="8946" width="9.125" style="2"/>
    <col min="8947" max="8947" width="6.875" style="2" customWidth="1"/>
    <col min="8948" max="8957" width="9.625" style="2" customWidth="1"/>
    <col min="8958" max="8958" width="27.375" style="2" customWidth="1"/>
    <col min="8959" max="8959" width="6.875" style="2" customWidth="1"/>
    <col min="8960" max="9202" width="9.125" style="2"/>
    <col min="9203" max="9203" width="6.875" style="2" customWidth="1"/>
    <col min="9204" max="9213" width="9.625" style="2" customWidth="1"/>
    <col min="9214" max="9214" width="27.375" style="2" customWidth="1"/>
    <col min="9215" max="9215" width="6.875" style="2" customWidth="1"/>
    <col min="9216" max="9458" width="9.125" style="2"/>
    <col min="9459" max="9459" width="6.875" style="2" customWidth="1"/>
    <col min="9460" max="9469" width="9.625" style="2" customWidth="1"/>
    <col min="9470" max="9470" width="27.375" style="2" customWidth="1"/>
    <col min="9471" max="9471" width="6.875" style="2" customWidth="1"/>
    <col min="9472" max="9714" width="9.125" style="2"/>
    <col min="9715" max="9715" width="6.875" style="2" customWidth="1"/>
    <col min="9716" max="9725" width="9.625" style="2" customWidth="1"/>
    <col min="9726" max="9726" width="27.375" style="2" customWidth="1"/>
    <col min="9727" max="9727" width="6.875" style="2" customWidth="1"/>
    <col min="9728" max="9970" width="9.125" style="2"/>
    <col min="9971" max="9971" width="6.875" style="2" customWidth="1"/>
    <col min="9972" max="9981" width="9.625" style="2" customWidth="1"/>
    <col min="9982" max="9982" width="27.375" style="2" customWidth="1"/>
    <col min="9983" max="9983" width="6.875" style="2" customWidth="1"/>
    <col min="9984" max="10226" width="9.125" style="2"/>
    <col min="10227" max="10227" width="6.875" style="2" customWidth="1"/>
    <col min="10228" max="10237" width="9.625" style="2" customWidth="1"/>
    <col min="10238" max="10238" width="27.375" style="2" customWidth="1"/>
    <col min="10239" max="10239" width="6.875" style="2" customWidth="1"/>
    <col min="10240" max="10482" width="9.125" style="2"/>
    <col min="10483" max="10483" width="6.875" style="2" customWidth="1"/>
    <col min="10484" max="10493" width="9.625" style="2" customWidth="1"/>
    <col min="10494" max="10494" width="27.375" style="2" customWidth="1"/>
    <col min="10495" max="10495" width="6.875" style="2" customWidth="1"/>
    <col min="10496" max="10738" width="9.125" style="2"/>
    <col min="10739" max="10739" width="6.875" style="2" customWidth="1"/>
    <col min="10740" max="10749" width="9.625" style="2" customWidth="1"/>
    <col min="10750" max="10750" width="27.375" style="2" customWidth="1"/>
    <col min="10751" max="10751" width="6.875" style="2" customWidth="1"/>
    <col min="10752" max="10994" width="9.125" style="2"/>
    <col min="10995" max="10995" width="6.875" style="2" customWidth="1"/>
    <col min="10996" max="11005" width="9.625" style="2" customWidth="1"/>
    <col min="11006" max="11006" width="27.375" style="2" customWidth="1"/>
    <col min="11007" max="11007" width="6.875" style="2" customWidth="1"/>
    <col min="11008" max="11250" width="9.125" style="2"/>
    <col min="11251" max="11251" width="6.875" style="2" customWidth="1"/>
    <col min="11252" max="11261" width="9.625" style="2" customWidth="1"/>
    <col min="11262" max="11262" width="27.375" style="2" customWidth="1"/>
    <col min="11263" max="11263" width="6.875" style="2" customWidth="1"/>
    <col min="11264" max="11506" width="9.125" style="2"/>
    <col min="11507" max="11507" width="6.875" style="2" customWidth="1"/>
    <col min="11508" max="11517" width="9.625" style="2" customWidth="1"/>
    <col min="11518" max="11518" width="27.375" style="2" customWidth="1"/>
    <col min="11519" max="11519" width="6.875" style="2" customWidth="1"/>
    <col min="11520" max="11762" width="9.125" style="2"/>
    <col min="11763" max="11763" width="6.875" style="2" customWidth="1"/>
    <col min="11764" max="11773" width="9.625" style="2" customWidth="1"/>
    <col min="11774" max="11774" width="27.375" style="2" customWidth="1"/>
    <col min="11775" max="11775" width="6.875" style="2" customWidth="1"/>
    <col min="11776" max="12018" width="9.125" style="2"/>
    <col min="12019" max="12019" width="6.875" style="2" customWidth="1"/>
    <col min="12020" max="12029" width="9.625" style="2" customWidth="1"/>
    <col min="12030" max="12030" width="27.375" style="2" customWidth="1"/>
    <col min="12031" max="12031" width="6.875" style="2" customWidth="1"/>
    <col min="12032" max="12274" width="9.125" style="2"/>
    <col min="12275" max="12275" width="6.875" style="2" customWidth="1"/>
    <col min="12276" max="12285" width="9.625" style="2" customWidth="1"/>
    <col min="12286" max="12286" width="27.375" style="2" customWidth="1"/>
    <col min="12287" max="12287" width="6.875" style="2" customWidth="1"/>
    <col min="12288" max="12530" width="9.125" style="2"/>
    <col min="12531" max="12531" width="6.875" style="2" customWidth="1"/>
    <col min="12532" max="12541" width="9.625" style="2" customWidth="1"/>
    <col min="12542" max="12542" width="27.375" style="2" customWidth="1"/>
    <col min="12543" max="12543" width="6.875" style="2" customWidth="1"/>
    <col min="12544" max="12786" width="9.125" style="2"/>
    <col min="12787" max="12787" width="6.875" style="2" customWidth="1"/>
    <col min="12788" max="12797" width="9.625" style="2" customWidth="1"/>
    <col min="12798" max="12798" width="27.375" style="2" customWidth="1"/>
    <col min="12799" max="12799" width="6.875" style="2" customWidth="1"/>
    <col min="12800" max="13042" width="9.125" style="2"/>
    <col min="13043" max="13043" width="6.875" style="2" customWidth="1"/>
    <col min="13044" max="13053" width="9.625" style="2" customWidth="1"/>
    <col min="13054" max="13054" width="27.375" style="2" customWidth="1"/>
    <col min="13055" max="13055" width="6.875" style="2" customWidth="1"/>
    <col min="13056" max="13298" width="9.125" style="2"/>
    <col min="13299" max="13299" width="6.875" style="2" customWidth="1"/>
    <col min="13300" max="13309" width="9.625" style="2" customWidth="1"/>
    <col min="13310" max="13310" width="27.375" style="2" customWidth="1"/>
    <col min="13311" max="13311" width="6.875" style="2" customWidth="1"/>
    <col min="13312" max="13554" width="9.125" style="2"/>
    <col min="13555" max="13555" width="6.875" style="2" customWidth="1"/>
    <col min="13556" max="13565" width="9.625" style="2" customWidth="1"/>
    <col min="13566" max="13566" width="27.375" style="2" customWidth="1"/>
    <col min="13567" max="13567" width="6.875" style="2" customWidth="1"/>
    <col min="13568" max="13810" width="9.125" style="2"/>
    <col min="13811" max="13811" width="6.875" style="2" customWidth="1"/>
    <col min="13812" max="13821" width="9.625" style="2" customWidth="1"/>
    <col min="13822" max="13822" width="27.375" style="2" customWidth="1"/>
    <col min="13823" max="13823" width="6.875" style="2" customWidth="1"/>
    <col min="13824" max="14066" width="9.125" style="2"/>
    <col min="14067" max="14067" width="6.875" style="2" customWidth="1"/>
    <col min="14068" max="14077" width="9.625" style="2" customWidth="1"/>
    <col min="14078" max="14078" width="27.375" style="2" customWidth="1"/>
    <col min="14079" max="14079" width="6.875" style="2" customWidth="1"/>
    <col min="14080" max="14322" width="9.125" style="2"/>
    <col min="14323" max="14323" width="6.875" style="2" customWidth="1"/>
    <col min="14324" max="14333" width="9.625" style="2" customWidth="1"/>
    <col min="14334" max="14334" width="27.375" style="2" customWidth="1"/>
    <col min="14335" max="14335" width="6.875" style="2" customWidth="1"/>
    <col min="14336" max="14578" width="9.125" style="2"/>
    <col min="14579" max="14579" width="6.875" style="2" customWidth="1"/>
    <col min="14580" max="14589" width="9.625" style="2" customWidth="1"/>
    <col min="14590" max="14590" width="27.375" style="2" customWidth="1"/>
    <col min="14591" max="14591" width="6.875" style="2" customWidth="1"/>
    <col min="14592" max="14834" width="9.125" style="2"/>
    <col min="14835" max="14835" width="6.875" style="2" customWidth="1"/>
    <col min="14836" max="14845" width="9.625" style="2" customWidth="1"/>
    <col min="14846" max="14846" width="27.375" style="2" customWidth="1"/>
    <col min="14847" max="14847" width="6.875" style="2" customWidth="1"/>
    <col min="14848" max="15090" width="9.125" style="2"/>
    <col min="15091" max="15091" width="6.875" style="2" customWidth="1"/>
    <col min="15092" max="15101" width="9.625" style="2" customWidth="1"/>
    <col min="15102" max="15102" width="27.375" style="2" customWidth="1"/>
    <col min="15103" max="15103" width="6.875" style="2" customWidth="1"/>
    <col min="15104" max="15346" width="9.125" style="2"/>
    <col min="15347" max="15347" width="6.875" style="2" customWidth="1"/>
    <col min="15348" max="15357" width="9.625" style="2" customWidth="1"/>
    <col min="15358" max="15358" width="27.375" style="2" customWidth="1"/>
    <col min="15359" max="15359" width="6.875" style="2" customWidth="1"/>
    <col min="15360" max="15602" width="9.125" style="2"/>
    <col min="15603" max="15603" width="6.875" style="2" customWidth="1"/>
    <col min="15604" max="15613" width="9.625" style="2" customWidth="1"/>
    <col min="15614" max="15614" width="27.375" style="2" customWidth="1"/>
    <col min="15615" max="15615" width="6.875" style="2" customWidth="1"/>
    <col min="15616" max="15858" width="9.125" style="2"/>
    <col min="15859" max="15859" width="6.875" style="2" customWidth="1"/>
    <col min="15860" max="15869" width="9.625" style="2" customWidth="1"/>
    <col min="15870" max="15870" width="27.375" style="2" customWidth="1"/>
    <col min="15871" max="15871" width="6.875" style="2" customWidth="1"/>
    <col min="15872" max="16114" width="9.125" style="2"/>
    <col min="16115" max="16115" width="6.875" style="2" customWidth="1"/>
    <col min="16116" max="16125" width="9.625" style="2" customWidth="1"/>
    <col min="16126" max="16126" width="27.375" style="2" customWidth="1"/>
    <col min="16127" max="16127" width="6.875" style="2" customWidth="1"/>
    <col min="16128" max="16384" width="9.125" style="2"/>
  </cols>
  <sheetData>
    <row r="1" spans="1:13" ht="22.5" customHeight="1" x14ac:dyDescent="0.2">
      <c r="A1" s="1"/>
      <c r="B1" s="406" t="s">
        <v>217</v>
      </c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1"/>
    </row>
    <row r="2" spans="1:13" ht="22.5" customHeight="1" thickBot="1" x14ac:dyDescent="0.25">
      <c r="A2" s="1"/>
      <c r="B2" s="425" t="s">
        <v>0</v>
      </c>
      <c r="C2" s="425"/>
      <c r="D2" s="425"/>
      <c r="E2" s="425"/>
      <c r="F2" s="425"/>
      <c r="G2" s="425"/>
      <c r="H2" s="425"/>
      <c r="I2" s="425"/>
      <c r="J2" s="425"/>
      <c r="K2" s="425"/>
      <c r="L2" s="425"/>
      <c r="M2" s="1"/>
    </row>
    <row r="3" spans="1:13" ht="22.5" customHeight="1" thickBot="1" x14ac:dyDescent="0.25">
      <c r="A3" s="1"/>
      <c r="B3" s="426" t="s">
        <v>1</v>
      </c>
      <c r="C3" s="426"/>
      <c r="D3" s="426"/>
      <c r="E3" s="426" t="s">
        <v>2</v>
      </c>
      <c r="F3" s="426"/>
      <c r="G3" s="426"/>
      <c r="H3" s="426" t="s">
        <v>3</v>
      </c>
      <c r="I3" s="426"/>
      <c r="J3" s="426"/>
      <c r="K3" s="410" t="s">
        <v>7</v>
      </c>
      <c r="L3" s="410" t="s">
        <v>8</v>
      </c>
      <c r="M3" s="1"/>
    </row>
    <row r="4" spans="1:13" ht="27" customHeight="1" thickBot="1" x14ac:dyDescent="0.25">
      <c r="A4" s="1"/>
      <c r="B4" s="4" t="s">
        <v>4</v>
      </c>
      <c r="C4" s="4" t="s">
        <v>5</v>
      </c>
      <c r="D4" s="4" t="s">
        <v>6</v>
      </c>
      <c r="E4" s="4" t="s">
        <v>4</v>
      </c>
      <c r="F4" s="4" t="s">
        <v>5</v>
      </c>
      <c r="G4" s="4" t="s">
        <v>6</v>
      </c>
      <c r="H4" s="4" t="s">
        <v>4</v>
      </c>
      <c r="I4" s="4" t="s">
        <v>5</v>
      </c>
      <c r="J4" s="4" t="s">
        <v>6</v>
      </c>
      <c r="K4" s="412"/>
      <c r="L4" s="412"/>
      <c r="M4" s="1"/>
    </row>
    <row r="5" spans="1:13" ht="22.5" customHeight="1" thickBot="1" x14ac:dyDescent="0.25">
      <c r="A5" s="1"/>
      <c r="B5" s="33">
        <f>SUM(C5:D5)</f>
        <v>1</v>
      </c>
      <c r="C5" s="33">
        <v>0</v>
      </c>
      <c r="D5" s="34">
        <v>1</v>
      </c>
      <c r="E5" s="33">
        <f>SUM(F5:G5)</f>
        <v>16</v>
      </c>
      <c r="F5" s="33">
        <v>3</v>
      </c>
      <c r="G5" s="33">
        <v>13</v>
      </c>
      <c r="H5" s="33">
        <f>SUM(I5:J5)</f>
        <v>7</v>
      </c>
      <c r="I5" s="33">
        <v>2</v>
      </c>
      <c r="J5" s="33">
        <v>5</v>
      </c>
      <c r="K5" s="7" t="s">
        <v>9</v>
      </c>
      <c r="L5" s="410" t="s">
        <v>11</v>
      </c>
      <c r="M5" s="1"/>
    </row>
    <row r="6" spans="1:13" ht="22.5" customHeight="1" thickBot="1" x14ac:dyDescent="0.25">
      <c r="A6" s="1"/>
      <c r="B6" s="33">
        <f t="shared" ref="B6:B81" si="0">SUM(C6:D6)</f>
        <v>1</v>
      </c>
      <c r="C6" s="33">
        <v>0</v>
      </c>
      <c r="D6" s="34">
        <v>1</v>
      </c>
      <c r="E6" s="33">
        <f t="shared" ref="E6:E81" si="1">SUM(F6:G6)</f>
        <v>2</v>
      </c>
      <c r="F6" s="33">
        <v>0</v>
      </c>
      <c r="G6" s="33">
        <v>2</v>
      </c>
      <c r="H6" s="33">
        <f t="shared" ref="H6:H81" si="2">SUM(I6:J6)</f>
        <v>1</v>
      </c>
      <c r="I6" s="33">
        <v>0</v>
      </c>
      <c r="J6" s="33">
        <v>1</v>
      </c>
      <c r="K6" s="7" t="s">
        <v>10</v>
      </c>
      <c r="L6" s="411"/>
      <c r="M6" s="1"/>
    </row>
    <row r="7" spans="1:13" ht="22.5" customHeight="1" thickBot="1" x14ac:dyDescent="0.25">
      <c r="A7" s="1"/>
      <c r="B7" s="33">
        <f t="shared" ref="B7:I7" si="3">SUM(B5:B6)</f>
        <v>2</v>
      </c>
      <c r="C7" s="33">
        <f t="shared" si="3"/>
        <v>0</v>
      </c>
      <c r="D7" s="33">
        <f t="shared" si="3"/>
        <v>2</v>
      </c>
      <c r="E7" s="33">
        <f t="shared" si="3"/>
        <v>18</v>
      </c>
      <c r="F7" s="33">
        <f t="shared" si="3"/>
        <v>3</v>
      </c>
      <c r="G7" s="33">
        <f t="shared" si="3"/>
        <v>15</v>
      </c>
      <c r="H7" s="33">
        <f t="shared" si="3"/>
        <v>8</v>
      </c>
      <c r="I7" s="33">
        <f t="shared" si="3"/>
        <v>2</v>
      </c>
      <c r="J7" s="33">
        <f>SUM(J5:J6)</f>
        <v>6</v>
      </c>
      <c r="K7" s="7" t="s">
        <v>12</v>
      </c>
      <c r="L7" s="412"/>
      <c r="M7" s="1"/>
    </row>
    <row r="8" spans="1:13" ht="22.5" customHeight="1" thickBot="1" x14ac:dyDescent="0.25">
      <c r="A8" s="1"/>
      <c r="B8" s="33">
        <f t="shared" si="0"/>
        <v>3</v>
      </c>
      <c r="C8" s="33">
        <v>1</v>
      </c>
      <c r="D8" s="33">
        <v>2</v>
      </c>
      <c r="E8" s="33">
        <f t="shared" si="1"/>
        <v>25</v>
      </c>
      <c r="F8" s="33">
        <v>5</v>
      </c>
      <c r="G8" s="33">
        <v>20</v>
      </c>
      <c r="H8" s="33">
        <f t="shared" si="2"/>
        <v>9</v>
      </c>
      <c r="I8" s="33">
        <v>2</v>
      </c>
      <c r="J8" s="33">
        <v>7</v>
      </c>
      <c r="K8" s="7" t="s">
        <v>9</v>
      </c>
      <c r="L8" s="410" t="s">
        <v>13</v>
      </c>
      <c r="M8" s="1"/>
    </row>
    <row r="9" spans="1:13" ht="22.5" customHeight="1" thickBot="1" x14ac:dyDescent="0.25">
      <c r="A9" s="1"/>
      <c r="B9" s="33">
        <f t="shared" si="0"/>
        <v>6</v>
      </c>
      <c r="C9" s="33">
        <v>6</v>
      </c>
      <c r="D9" s="33">
        <v>0</v>
      </c>
      <c r="E9" s="33">
        <f t="shared" si="1"/>
        <v>19</v>
      </c>
      <c r="F9" s="33">
        <v>4</v>
      </c>
      <c r="G9" s="33">
        <v>15</v>
      </c>
      <c r="H9" s="33">
        <f t="shared" si="2"/>
        <v>7</v>
      </c>
      <c r="I9" s="33">
        <v>1</v>
      </c>
      <c r="J9" s="33">
        <v>6</v>
      </c>
      <c r="K9" s="7" t="s">
        <v>10</v>
      </c>
      <c r="L9" s="411"/>
      <c r="M9" s="1"/>
    </row>
    <row r="10" spans="1:13" ht="22.5" customHeight="1" thickBot="1" x14ac:dyDescent="0.25">
      <c r="A10" s="1"/>
      <c r="B10" s="33">
        <f t="shared" ref="B10" si="4">SUM(B8:B9)</f>
        <v>9</v>
      </c>
      <c r="C10" s="33">
        <f t="shared" ref="C10" si="5">SUM(C8:C9)</f>
        <v>7</v>
      </c>
      <c r="D10" s="33">
        <f t="shared" ref="D10" si="6">SUM(D8:D9)</f>
        <v>2</v>
      </c>
      <c r="E10" s="33">
        <f t="shared" ref="E10" si="7">SUM(E8:E9)</f>
        <v>44</v>
      </c>
      <c r="F10" s="33">
        <f t="shared" ref="F10" si="8">SUM(F8:F9)</f>
        <v>9</v>
      </c>
      <c r="G10" s="33">
        <f t="shared" ref="G10" si="9">SUM(G8:G9)</f>
        <v>35</v>
      </c>
      <c r="H10" s="33">
        <f t="shared" ref="H10" si="10">SUM(H8:H9)</f>
        <v>16</v>
      </c>
      <c r="I10" s="33">
        <f t="shared" ref="I10" si="11">SUM(I8:I9)</f>
        <v>3</v>
      </c>
      <c r="J10" s="33">
        <f>SUM(J8:J9)</f>
        <v>13</v>
      </c>
      <c r="K10" s="7" t="s">
        <v>12</v>
      </c>
      <c r="L10" s="412"/>
      <c r="M10" s="1"/>
    </row>
    <row r="11" spans="1:13" ht="22.5" customHeight="1" thickBot="1" x14ac:dyDescent="0.25">
      <c r="A11" s="1"/>
      <c r="B11" s="33">
        <f t="shared" si="0"/>
        <v>100</v>
      </c>
      <c r="C11" s="33">
        <v>0</v>
      </c>
      <c r="D11" s="33">
        <v>100</v>
      </c>
      <c r="E11" s="33">
        <f t="shared" si="1"/>
        <v>686</v>
      </c>
      <c r="F11" s="33">
        <v>112</v>
      </c>
      <c r="G11" s="33">
        <v>574</v>
      </c>
      <c r="H11" s="33">
        <f t="shared" si="2"/>
        <v>214</v>
      </c>
      <c r="I11" s="33">
        <v>36</v>
      </c>
      <c r="J11" s="33">
        <v>178</v>
      </c>
      <c r="K11" s="7" t="s">
        <v>9</v>
      </c>
      <c r="L11" s="410" t="s">
        <v>14</v>
      </c>
      <c r="M11" s="1"/>
    </row>
    <row r="12" spans="1:13" ht="22.5" customHeight="1" thickBot="1" x14ac:dyDescent="0.25">
      <c r="A12" s="1"/>
      <c r="B12" s="33">
        <f t="shared" si="0"/>
        <v>67</v>
      </c>
      <c r="C12" s="33">
        <v>0</v>
      </c>
      <c r="D12" s="33">
        <v>67</v>
      </c>
      <c r="E12" s="33">
        <f t="shared" si="1"/>
        <v>674</v>
      </c>
      <c r="F12" s="33">
        <v>115</v>
      </c>
      <c r="G12" s="33">
        <v>559</v>
      </c>
      <c r="H12" s="33">
        <f t="shared" si="2"/>
        <v>242</v>
      </c>
      <c r="I12" s="33">
        <v>42</v>
      </c>
      <c r="J12" s="33">
        <v>200</v>
      </c>
      <c r="K12" s="7" t="s">
        <v>10</v>
      </c>
      <c r="L12" s="411"/>
      <c r="M12" s="1"/>
    </row>
    <row r="13" spans="1:13" ht="22.5" customHeight="1" thickBot="1" x14ac:dyDescent="0.25">
      <c r="A13" s="1"/>
      <c r="B13" s="33">
        <f t="shared" ref="B13" si="12">SUM(B11:B12)</f>
        <v>167</v>
      </c>
      <c r="C13" s="33">
        <f t="shared" ref="C13" si="13">SUM(C11:C12)</f>
        <v>0</v>
      </c>
      <c r="D13" s="33">
        <f t="shared" ref="D13" si="14">SUM(D11:D12)</f>
        <v>167</v>
      </c>
      <c r="E13" s="33">
        <f t="shared" ref="E13" si="15">SUM(E11:E12)</f>
        <v>1360</v>
      </c>
      <c r="F13" s="33">
        <f t="shared" ref="F13" si="16">SUM(F11:F12)</f>
        <v>227</v>
      </c>
      <c r="G13" s="33">
        <f t="shared" ref="G13" si="17">SUM(G11:G12)</f>
        <v>1133</v>
      </c>
      <c r="H13" s="33">
        <f t="shared" ref="H13" si="18">SUM(H11:H12)</f>
        <v>456</v>
      </c>
      <c r="I13" s="33">
        <f t="shared" ref="I13" si="19">SUM(I11:I12)</f>
        <v>78</v>
      </c>
      <c r="J13" s="33">
        <f>SUM(J11:J12)</f>
        <v>378</v>
      </c>
      <c r="K13" s="7" t="s">
        <v>12</v>
      </c>
      <c r="L13" s="412"/>
      <c r="M13" s="1"/>
    </row>
    <row r="14" spans="1:13" ht="22.5" customHeight="1" thickBot="1" x14ac:dyDescent="0.25">
      <c r="A14" s="1"/>
      <c r="B14" s="33">
        <f t="shared" si="0"/>
        <v>3</v>
      </c>
      <c r="C14" s="33">
        <v>2</v>
      </c>
      <c r="D14" s="33">
        <v>1</v>
      </c>
      <c r="E14" s="33">
        <f t="shared" si="1"/>
        <v>79</v>
      </c>
      <c r="F14" s="33">
        <v>16</v>
      </c>
      <c r="G14" s="33">
        <v>63</v>
      </c>
      <c r="H14" s="33">
        <f t="shared" si="2"/>
        <v>29</v>
      </c>
      <c r="I14" s="33">
        <v>6</v>
      </c>
      <c r="J14" s="33">
        <v>23</v>
      </c>
      <c r="K14" s="7" t="s">
        <v>9</v>
      </c>
      <c r="L14" s="410" t="s">
        <v>15</v>
      </c>
      <c r="M14" s="1"/>
    </row>
    <row r="15" spans="1:13" ht="22.5" customHeight="1" thickBot="1" x14ac:dyDescent="0.25">
      <c r="A15" s="1"/>
      <c r="B15" s="33">
        <f t="shared" si="0"/>
        <v>2</v>
      </c>
      <c r="C15" s="33">
        <v>1</v>
      </c>
      <c r="D15" s="33">
        <v>1</v>
      </c>
      <c r="E15" s="33">
        <f t="shared" si="1"/>
        <v>55</v>
      </c>
      <c r="F15" s="33">
        <v>10</v>
      </c>
      <c r="G15" s="33">
        <v>45</v>
      </c>
      <c r="H15" s="33">
        <f t="shared" si="2"/>
        <v>20</v>
      </c>
      <c r="I15" s="33">
        <v>4</v>
      </c>
      <c r="J15" s="33">
        <v>16</v>
      </c>
      <c r="K15" s="7" t="s">
        <v>10</v>
      </c>
      <c r="L15" s="411"/>
      <c r="M15" s="1"/>
    </row>
    <row r="16" spans="1:13" ht="22.5" customHeight="1" thickBot="1" x14ac:dyDescent="0.25">
      <c r="A16" s="1"/>
      <c r="B16" s="33">
        <f t="shared" ref="B16" si="20">SUM(B14:B15)</f>
        <v>5</v>
      </c>
      <c r="C16" s="33">
        <f t="shared" ref="C16" si="21">SUM(C14:C15)</f>
        <v>3</v>
      </c>
      <c r="D16" s="33">
        <f t="shared" ref="D16" si="22">SUM(D14:D15)</f>
        <v>2</v>
      </c>
      <c r="E16" s="33">
        <f t="shared" ref="E16" si="23">SUM(E14:E15)</f>
        <v>134</v>
      </c>
      <c r="F16" s="33">
        <f t="shared" ref="F16" si="24">SUM(F14:F15)</f>
        <v>26</v>
      </c>
      <c r="G16" s="33">
        <f t="shared" ref="G16" si="25">SUM(G14:G15)</f>
        <v>108</v>
      </c>
      <c r="H16" s="33">
        <f t="shared" ref="H16" si="26">SUM(H14:H15)</f>
        <v>49</v>
      </c>
      <c r="I16" s="33">
        <f t="shared" ref="I16" si="27">SUM(I14:I15)</f>
        <v>10</v>
      </c>
      <c r="J16" s="33">
        <f>SUM(J14:J15)</f>
        <v>39</v>
      </c>
      <c r="K16" s="7" t="s">
        <v>12</v>
      </c>
      <c r="L16" s="412"/>
      <c r="M16" s="1"/>
    </row>
    <row r="17" spans="1:13" ht="22.5" customHeight="1" thickBot="1" x14ac:dyDescent="0.25">
      <c r="A17" s="1"/>
      <c r="B17" s="33">
        <f t="shared" si="0"/>
        <v>1</v>
      </c>
      <c r="C17" s="33">
        <v>0</v>
      </c>
      <c r="D17" s="33">
        <v>1</v>
      </c>
      <c r="E17" s="33">
        <f t="shared" si="1"/>
        <v>16</v>
      </c>
      <c r="F17" s="33">
        <v>3</v>
      </c>
      <c r="G17" s="33">
        <v>13</v>
      </c>
      <c r="H17" s="33">
        <f t="shared" si="2"/>
        <v>5</v>
      </c>
      <c r="I17" s="33">
        <v>1</v>
      </c>
      <c r="J17" s="33">
        <v>4</v>
      </c>
      <c r="K17" s="7" t="s">
        <v>9</v>
      </c>
      <c r="L17" s="410" t="s">
        <v>16</v>
      </c>
      <c r="M17" s="1"/>
    </row>
    <row r="18" spans="1:13" ht="22.5" customHeight="1" thickBot="1" x14ac:dyDescent="0.25">
      <c r="A18" s="1"/>
      <c r="B18" s="33">
        <f t="shared" si="0"/>
        <v>0</v>
      </c>
      <c r="C18" s="33">
        <v>0</v>
      </c>
      <c r="D18" s="33">
        <v>0</v>
      </c>
      <c r="E18" s="33">
        <f t="shared" si="1"/>
        <v>8</v>
      </c>
      <c r="F18" s="33">
        <v>1</v>
      </c>
      <c r="G18" s="33">
        <v>7</v>
      </c>
      <c r="H18" s="33">
        <f t="shared" si="2"/>
        <v>4</v>
      </c>
      <c r="I18" s="33">
        <v>0</v>
      </c>
      <c r="J18" s="33">
        <v>4</v>
      </c>
      <c r="K18" s="7" t="s">
        <v>10</v>
      </c>
      <c r="L18" s="411"/>
      <c r="M18" s="1"/>
    </row>
    <row r="19" spans="1:13" ht="22.5" customHeight="1" thickBot="1" x14ac:dyDescent="0.25">
      <c r="A19" s="1"/>
      <c r="B19" s="33">
        <f t="shared" ref="B19" si="28">SUM(B17:B18)</f>
        <v>1</v>
      </c>
      <c r="C19" s="33">
        <f t="shared" ref="C19" si="29">SUM(C17:C18)</f>
        <v>0</v>
      </c>
      <c r="D19" s="33">
        <f t="shared" ref="D19" si="30">SUM(D17:D18)</f>
        <v>1</v>
      </c>
      <c r="E19" s="33">
        <f t="shared" ref="E19" si="31">SUM(E17:E18)</f>
        <v>24</v>
      </c>
      <c r="F19" s="33">
        <f t="shared" ref="F19" si="32">SUM(F17:F18)</f>
        <v>4</v>
      </c>
      <c r="G19" s="33">
        <f t="shared" ref="G19" si="33">SUM(G17:G18)</f>
        <v>20</v>
      </c>
      <c r="H19" s="33">
        <f t="shared" ref="H19" si="34">SUM(H17:H18)</f>
        <v>9</v>
      </c>
      <c r="I19" s="33">
        <f t="shared" ref="I19" si="35">SUM(I17:I18)</f>
        <v>1</v>
      </c>
      <c r="J19" s="33">
        <f>SUM(J17:J18)</f>
        <v>8</v>
      </c>
      <c r="K19" s="7" t="s">
        <v>12</v>
      </c>
      <c r="L19" s="412"/>
      <c r="M19" s="1"/>
    </row>
    <row r="20" spans="1:13" ht="22.5" customHeight="1" thickBot="1" x14ac:dyDescent="0.25">
      <c r="A20" s="1"/>
      <c r="B20" s="33">
        <f t="shared" si="0"/>
        <v>22</v>
      </c>
      <c r="C20" s="33">
        <v>14</v>
      </c>
      <c r="D20" s="33">
        <v>8</v>
      </c>
      <c r="E20" s="33">
        <f t="shared" si="1"/>
        <v>330</v>
      </c>
      <c r="F20" s="33">
        <v>68</v>
      </c>
      <c r="G20" s="33">
        <v>262</v>
      </c>
      <c r="H20" s="33">
        <f t="shared" si="2"/>
        <v>123</v>
      </c>
      <c r="I20" s="33">
        <v>25</v>
      </c>
      <c r="J20" s="33">
        <v>98</v>
      </c>
      <c r="K20" s="7" t="s">
        <v>9</v>
      </c>
      <c r="L20" s="410" t="s">
        <v>17</v>
      </c>
      <c r="M20" s="1"/>
    </row>
    <row r="21" spans="1:13" ht="22.5" customHeight="1" thickBot="1" x14ac:dyDescent="0.25">
      <c r="A21" s="1"/>
      <c r="B21" s="33">
        <f t="shared" si="0"/>
        <v>12</v>
      </c>
      <c r="C21" s="33">
        <v>5</v>
      </c>
      <c r="D21" s="33">
        <v>7</v>
      </c>
      <c r="E21" s="33">
        <f t="shared" si="1"/>
        <v>387</v>
      </c>
      <c r="F21" s="33">
        <v>80</v>
      </c>
      <c r="G21" s="33">
        <v>307</v>
      </c>
      <c r="H21" s="33">
        <f t="shared" si="2"/>
        <v>148</v>
      </c>
      <c r="I21" s="33">
        <v>30</v>
      </c>
      <c r="J21" s="33">
        <v>118</v>
      </c>
      <c r="K21" s="7" t="s">
        <v>10</v>
      </c>
      <c r="L21" s="411"/>
      <c r="M21" s="1"/>
    </row>
    <row r="22" spans="1:13" ht="22.5" customHeight="1" thickBot="1" x14ac:dyDescent="0.25">
      <c r="A22" s="1"/>
      <c r="B22" s="33">
        <f t="shared" ref="B22" si="36">SUM(B20:B21)</f>
        <v>34</v>
      </c>
      <c r="C22" s="33">
        <f t="shared" ref="C22" si="37">SUM(C20:C21)</f>
        <v>19</v>
      </c>
      <c r="D22" s="33">
        <f t="shared" ref="D22" si="38">SUM(D20:D21)</f>
        <v>15</v>
      </c>
      <c r="E22" s="33">
        <f t="shared" ref="E22" si="39">SUM(E20:E21)</f>
        <v>717</v>
      </c>
      <c r="F22" s="33">
        <f t="shared" ref="F22" si="40">SUM(F20:F21)</f>
        <v>148</v>
      </c>
      <c r="G22" s="33">
        <f t="shared" ref="G22" si="41">SUM(G20:G21)</f>
        <v>569</v>
      </c>
      <c r="H22" s="33">
        <f t="shared" ref="H22" si="42">SUM(H20:H21)</f>
        <v>271</v>
      </c>
      <c r="I22" s="33">
        <f t="shared" ref="I22" si="43">SUM(I20:I21)</f>
        <v>55</v>
      </c>
      <c r="J22" s="33">
        <f>SUM(J20:J21)</f>
        <v>216</v>
      </c>
      <c r="K22" s="7" t="s">
        <v>12</v>
      </c>
      <c r="L22" s="412"/>
      <c r="M22" s="1"/>
    </row>
    <row r="23" spans="1:13" ht="22.5" customHeight="1" thickBot="1" x14ac:dyDescent="0.25">
      <c r="A23" s="1"/>
      <c r="B23" s="33">
        <f t="shared" si="0"/>
        <v>4</v>
      </c>
      <c r="C23" s="33">
        <v>0</v>
      </c>
      <c r="D23" s="33">
        <v>4</v>
      </c>
      <c r="E23" s="33">
        <f t="shared" si="1"/>
        <v>32</v>
      </c>
      <c r="F23" s="33">
        <v>6</v>
      </c>
      <c r="G23" s="33">
        <v>26</v>
      </c>
      <c r="H23" s="33">
        <f t="shared" si="2"/>
        <v>14</v>
      </c>
      <c r="I23" s="33">
        <v>2</v>
      </c>
      <c r="J23" s="33">
        <v>12</v>
      </c>
      <c r="K23" s="7" t="s">
        <v>9</v>
      </c>
      <c r="L23" s="410" t="s">
        <v>18</v>
      </c>
      <c r="M23" s="1"/>
    </row>
    <row r="24" spans="1:13" ht="22.5" customHeight="1" thickBot="1" x14ac:dyDescent="0.25">
      <c r="A24" s="1"/>
      <c r="B24" s="33">
        <f t="shared" si="0"/>
        <v>1</v>
      </c>
      <c r="C24" s="33">
        <v>0</v>
      </c>
      <c r="D24" s="33">
        <v>1</v>
      </c>
      <c r="E24" s="33">
        <f t="shared" si="1"/>
        <v>25</v>
      </c>
      <c r="F24" s="33">
        <v>4</v>
      </c>
      <c r="G24" s="33">
        <v>21</v>
      </c>
      <c r="H24" s="33">
        <f t="shared" si="2"/>
        <v>9</v>
      </c>
      <c r="I24" s="33">
        <v>1</v>
      </c>
      <c r="J24" s="33">
        <v>8</v>
      </c>
      <c r="K24" s="7" t="s">
        <v>10</v>
      </c>
      <c r="L24" s="411"/>
      <c r="M24" s="1"/>
    </row>
    <row r="25" spans="1:13" ht="22.5" customHeight="1" thickBot="1" x14ac:dyDescent="0.25">
      <c r="A25" s="1"/>
      <c r="B25" s="33">
        <f t="shared" ref="B25" si="44">SUM(B23:B24)</f>
        <v>5</v>
      </c>
      <c r="C25" s="33">
        <f t="shared" ref="C25" si="45">SUM(C23:C24)</f>
        <v>0</v>
      </c>
      <c r="D25" s="33">
        <f t="shared" ref="D25" si="46">SUM(D23:D24)</f>
        <v>5</v>
      </c>
      <c r="E25" s="33">
        <f t="shared" ref="E25" si="47">SUM(E23:E24)</f>
        <v>57</v>
      </c>
      <c r="F25" s="33">
        <f t="shared" ref="F25" si="48">SUM(F23:F24)</f>
        <v>10</v>
      </c>
      <c r="G25" s="33">
        <f t="shared" ref="G25" si="49">SUM(G23:G24)</f>
        <v>47</v>
      </c>
      <c r="H25" s="33">
        <f t="shared" ref="H25" si="50">SUM(H23:H24)</f>
        <v>23</v>
      </c>
      <c r="I25" s="33">
        <f t="shared" ref="I25" si="51">SUM(I23:I24)</f>
        <v>3</v>
      </c>
      <c r="J25" s="33">
        <f>SUM(J23:J24)</f>
        <v>20</v>
      </c>
      <c r="K25" s="7" t="s">
        <v>12</v>
      </c>
      <c r="L25" s="412"/>
      <c r="M25" s="1"/>
    </row>
    <row r="26" spans="1:13" ht="22.5" customHeight="1" thickBot="1" x14ac:dyDescent="0.25">
      <c r="A26" s="1"/>
      <c r="B26" s="33">
        <f t="shared" si="0"/>
        <v>1</v>
      </c>
      <c r="C26" s="33">
        <v>0</v>
      </c>
      <c r="D26" s="33">
        <v>1</v>
      </c>
      <c r="E26" s="33">
        <f t="shared" si="1"/>
        <v>34</v>
      </c>
      <c r="F26" s="33">
        <v>5</v>
      </c>
      <c r="G26" s="33">
        <v>29</v>
      </c>
      <c r="H26" s="33">
        <f t="shared" si="2"/>
        <v>13</v>
      </c>
      <c r="I26" s="33">
        <v>2</v>
      </c>
      <c r="J26" s="33">
        <v>11</v>
      </c>
      <c r="K26" s="7" t="s">
        <v>9</v>
      </c>
      <c r="L26" s="410" t="s">
        <v>19</v>
      </c>
      <c r="M26" s="1"/>
    </row>
    <row r="27" spans="1:13" ht="22.5" customHeight="1" thickBot="1" x14ac:dyDescent="0.25">
      <c r="A27" s="1"/>
      <c r="B27" s="33">
        <f t="shared" si="0"/>
        <v>0</v>
      </c>
      <c r="C27" s="33">
        <v>0</v>
      </c>
      <c r="D27" s="33">
        <v>0</v>
      </c>
      <c r="E27" s="33">
        <f t="shared" si="1"/>
        <v>17</v>
      </c>
      <c r="F27" s="33">
        <v>3</v>
      </c>
      <c r="G27" s="33">
        <v>14</v>
      </c>
      <c r="H27" s="33">
        <f t="shared" si="2"/>
        <v>8</v>
      </c>
      <c r="I27" s="33">
        <v>2</v>
      </c>
      <c r="J27" s="33">
        <v>6</v>
      </c>
      <c r="K27" s="7" t="s">
        <v>10</v>
      </c>
      <c r="L27" s="411"/>
      <c r="M27" s="1"/>
    </row>
    <row r="28" spans="1:13" ht="22.5" customHeight="1" thickBot="1" x14ac:dyDescent="0.25">
      <c r="A28" s="1"/>
      <c r="B28" s="33">
        <f t="shared" ref="B28" si="52">SUM(B26:B27)</f>
        <v>1</v>
      </c>
      <c r="C28" s="33">
        <f t="shared" ref="C28" si="53">SUM(C26:C27)</f>
        <v>0</v>
      </c>
      <c r="D28" s="33">
        <f t="shared" ref="D28" si="54">SUM(D26:D27)</f>
        <v>1</v>
      </c>
      <c r="E28" s="33">
        <f t="shared" ref="E28" si="55">SUM(E26:E27)</f>
        <v>51</v>
      </c>
      <c r="F28" s="33">
        <f t="shared" ref="F28" si="56">SUM(F26:F27)</f>
        <v>8</v>
      </c>
      <c r="G28" s="33">
        <f t="shared" ref="G28" si="57">SUM(G26:G27)</f>
        <v>43</v>
      </c>
      <c r="H28" s="33">
        <f t="shared" ref="H28" si="58">SUM(H26:H27)</f>
        <v>21</v>
      </c>
      <c r="I28" s="33">
        <f t="shared" ref="I28" si="59">SUM(I26:I27)</f>
        <v>4</v>
      </c>
      <c r="J28" s="33">
        <f>SUM(J26:J27)</f>
        <v>17</v>
      </c>
      <c r="K28" s="7" t="s">
        <v>12</v>
      </c>
      <c r="L28" s="412"/>
      <c r="M28" s="1"/>
    </row>
    <row r="29" spans="1:13" ht="22.5" customHeight="1" thickBot="1" x14ac:dyDescent="0.25">
      <c r="A29" s="1"/>
      <c r="B29" s="33">
        <f t="shared" si="0"/>
        <v>28</v>
      </c>
      <c r="C29" s="33">
        <v>19</v>
      </c>
      <c r="D29" s="33">
        <v>9</v>
      </c>
      <c r="E29" s="33">
        <f t="shared" si="1"/>
        <v>348</v>
      </c>
      <c r="F29" s="33">
        <v>70</v>
      </c>
      <c r="G29" s="33">
        <v>278</v>
      </c>
      <c r="H29" s="33">
        <f t="shared" si="2"/>
        <v>140</v>
      </c>
      <c r="I29" s="33">
        <v>28</v>
      </c>
      <c r="J29" s="33">
        <v>112</v>
      </c>
      <c r="K29" s="7" t="s">
        <v>9</v>
      </c>
      <c r="L29" s="410" t="s">
        <v>20</v>
      </c>
      <c r="M29" s="1"/>
    </row>
    <row r="30" spans="1:13" ht="22.5" customHeight="1" thickBot="1" x14ac:dyDescent="0.25">
      <c r="A30" s="1"/>
      <c r="B30" s="33">
        <f t="shared" si="0"/>
        <v>12</v>
      </c>
      <c r="C30" s="33">
        <v>3</v>
      </c>
      <c r="D30" s="33">
        <v>9</v>
      </c>
      <c r="E30" s="33">
        <f t="shared" si="1"/>
        <v>438</v>
      </c>
      <c r="F30" s="33">
        <v>84</v>
      </c>
      <c r="G30" s="33">
        <v>354</v>
      </c>
      <c r="H30" s="33">
        <f t="shared" si="2"/>
        <v>179</v>
      </c>
      <c r="I30" s="33">
        <v>33</v>
      </c>
      <c r="J30" s="33">
        <v>146</v>
      </c>
      <c r="K30" s="7" t="s">
        <v>10</v>
      </c>
      <c r="L30" s="411"/>
      <c r="M30" s="1"/>
    </row>
    <row r="31" spans="1:13" ht="22.5" customHeight="1" thickBot="1" x14ac:dyDescent="0.25">
      <c r="A31" s="1"/>
      <c r="B31" s="33">
        <f t="shared" ref="B31" si="60">SUM(B29:B30)</f>
        <v>40</v>
      </c>
      <c r="C31" s="33">
        <f t="shared" ref="C31" si="61">SUM(C29:C30)</f>
        <v>22</v>
      </c>
      <c r="D31" s="33">
        <f t="shared" ref="D31" si="62">SUM(D29:D30)</f>
        <v>18</v>
      </c>
      <c r="E31" s="33">
        <f t="shared" ref="E31" si="63">SUM(E29:E30)</f>
        <v>786</v>
      </c>
      <c r="F31" s="33">
        <f t="shared" ref="F31" si="64">SUM(F29:F30)</f>
        <v>154</v>
      </c>
      <c r="G31" s="33">
        <f t="shared" ref="G31" si="65">SUM(G29:G30)</f>
        <v>632</v>
      </c>
      <c r="H31" s="33">
        <f t="shared" ref="H31" si="66">SUM(H29:H30)</f>
        <v>319</v>
      </c>
      <c r="I31" s="33">
        <f t="shared" ref="I31" si="67">SUM(I29:I30)</f>
        <v>61</v>
      </c>
      <c r="J31" s="33">
        <f>SUM(J29:J30)</f>
        <v>258</v>
      </c>
      <c r="K31" s="7" t="s">
        <v>12</v>
      </c>
      <c r="L31" s="412"/>
      <c r="M31" s="1"/>
    </row>
    <row r="32" spans="1:13" ht="22.5" customHeight="1" thickBot="1" x14ac:dyDescent="0.25">
      <c r="A32" s="1"/>
      <c r="B32" s="33">
        <f t="shared" si="0"/>
        <v>369</v>
      </c>
      <c r="C32" s="33">
        <v>287</v>
      </c>
      <c r="D32" s="33">
        <v>82</v>
      </c>
      <c r="E32" s="33">
        <f t="shared" si="1"/>
        <v>5136</v>
      </c>
      <c r="F32" s="33">
        <v>990</v>
      </c>
      <c r="G32" s="33">
        <v>4146</v>
      </c>
      <c r="H32" s="33">
        <f t="shared" si="2"/>
        <v>2128</v>
      </c>
      <c r="I32" s="33">
        <v>408</v>
      </c>
      <c r="J32" s="33">
        <v>1720</v>
      </c>
      <c r="K32" s="7" t="s">
        <v>9</v>
      </c>
      <c r="L32" s="410" t="s">
        <v>21</v>
      </c>
      <c r="M32" s="1"/>
    </row>
    <row r="33" spans="1:13" ht="22.5" customHeight="1" thickBot="1" x14ac:dyDescent="0.25">
      <c r="A33" s="1"/>
      <c r="B33" s="33">
        <f t="shared" si="0"/>
        <v>80</v>
      </c>
      <c r="C33" s="33">
        <v>70</v>
      </c>
      <c r="D33" s="33">
        <v>10</v>
      </c>
      <c r="E33" s="33">
        <f t="shared" si="1"/>
        <v>1099</v>
      </c>
      <c r="F33" s="33">
        <v>171</v>
      </c>
      <c r="G33" s="33">
        <v>928</v>
      </c>
      <c r="H33" s="33">
        <f t="shared" si="2"/>
        <v>464</v>
      </c>
      <c r="I33" s="33">
        <v>70</v>
      </c>
      <c r="J33" s="33">
        <v>394</v>
      </c>
      <c r="K33" s="7" t="s">
        <v>10</v>
      </c>
      <c r="L33" s="411"/>
      <c r="M33" s="1"/>
    </row>
    <row r="34" spans="1:13" ht="22.5" customHeight="1" thickBot="1" x14ac:dyDescent="0.25">
      <c r="A34" s="1"/>
      <c r="B34" s="33">
        <f t="shared" ref="B34" si="68">SUM(B32:B33)</f>
        <v>449</v>
      </c>
      <c r="C34" s="33">
        <f t="shared" ref="C34" si="69">SUM(C32:C33)</f>
        <v>357</v>
      </c>
      <c r="D34" s="33">
        <f t="shared" ref="D34" si="70">SUM(D32:D33)</f>
        <v>92</v>
      </c>
      <c r="E34" s="33">
        <f t="shared" ref="E34" si="71">SUM(E32:E33)</f>
        <v>6235</v>
      </c>
      <c r="F34" s="33">
        <f t="shared" ref="F34" si="72">SUM(F32:F33)</f>
        <v>1161</v>
      </c>
      <c r="G34" s="33">
        <f t="shared" ref="G34" si="73">SUM(G32:G33)</f>
        <v>5074</v>
      </c>
      <c r="H34" s="33">
        <f t="shared" ref="H34" si="74">SUM(H32:H33)</f>
        <v>2592</v>
      </c>
      <c r="I34" s="33">
        <f t="shared" ref="I34" si="75">SUM(I32:I33)</f>
        <v>478</v>
      </c>
      <c r="J34" s="33">
        <f>SUM(J32:J33)</f>
        <v>2114</v>
      </c>
      <c r="K34" s="7" t="s">
        <v>12</v>
      </c>
      <c r="L34" s="412"/>
      <c r="M34" s="1"/>
    </row>
    <row r="35" spans="1:13" ht="22.5" customHeight="1" thickBot="1" x14ac:dyDescent="0.25">
      <c r="A35" s="1"/>
      <c r="B35" s="33">
        <f t="shared" si="0"/>
        <v>12</v>
      </c>
      <c r="C35" s="33">
        <v>0</v>
      </c>
      <c r="D35" s="33">
        <v>12</v>
      </c>
      <c r="E35" s="33">
        <f t="shared" si="1"/>
        <v>82</v>
      </c>
      <c r="F35" s="33">
        <v>17</v>
      </c>
      <c r="G35" s="33">
        <v>65</v>
      </c>
      <c r="H35" s="33">
        <f t="shared" si="2"/>
        <v>32</v>
      </c>
      <c r="I35" s="33">
        <v>6</v>
      </c>
      <c r="J35" s="33">
        <v>26</v>
      </c>
      <c r="K35" s="7" t="s">
        <v>9</v>
      </c>
      <c r="L35" s="410" t="s">
        <v>22</v>
      </c>
      <c r="M35" s="1"/>
    </row>
    <row r="36" spans="1:13" ht="22.5" customHeight="1" thickBot="1" x14ac:dyDescent="0.25">
      <c r="A36" s="1"/>
      <c r="B36" s="33">
        <f t="shared" si="0"/>
        <v>2</v>
      </c>
      <c r="C36" s="33">
        <v>0</v>
      </c>
      <c r="D36" s="33">
        <v>2</v>
      </c>
      <c r="E36" s="33">
        <f t="shared" si="1"/>
        <v>25</v>
      </c>
      <c r="F36" s="33">
        <v>4</v>
      </c>
      <c r="G36" s="33">
        <v>21</v>
      </c>
      <c r="H36" s="33">
        <f t="shared" si="2"/>
        <v>12</v>
      </c>
      <c r="I36" s="33">
        <v>2</v>
      </c>
      <c r="J36" s="33">
        <v>10</v>
      </c>
      <c r="K36" s="7" t="s">
        <v>10</v>
      </c>
      <c r="L36" s="411"/>
      <c r="M36" s="1"/>
    </row>
    <row r="37" spans="1:13" ht="22.5" customHeight="1" thickBot="1" x14ac:dyDescent="0.25">
      <c r="A37" s="1"/>
      <c r="B37" s="33">
        <f t="shared" ref="B37" si="76">SUM(B35:B36)</f>
        <v>14</v>
      </c>
      <c r="C37" s="33">
        <f t="shared" ref="C37" si="77">SUM(C35:C36)</f>
        <v>0</v>
      </c>
      <c r="D37" s="33">
        <f t="shared" ref="D37" si="78">SUM(D35:D36)</f>
        <v>14</v>
      </c>
      <c r="E37" s="33">
        <f t="shared" ref="E37" si="79">SUM(E35:E36)</f>
        <v>107</v>
      </c>
      <c r="F37" s="33">
        <f t="shared" ref="F37" si="80">SUM(F35:F36)</f>
        <v>21</v>
      </c>
      <c r="G37" s="33">
        <f t="shared" ref="G37" si="81">SUM(G35:G36)</f>
        <v>86</v>
      </c>
      <c r="H37" s="33">
        <f t="shared" ref="H37" si="82">SUM(H35:H36)</f>
        <v>44</v>
      </c>
      <c r="I37" s="33">
        <f t="shared" ref="I37" si="83">SUM(I35:I36)</f>
        <v>8</v>
      </c>
      <c r="J37" s="33">
        <f>SUM(J35:J36)</f>
        <v>36</v>
      </c>
      <c r="K37" s="7" t="s">
        <v>12</v>
      </c>
      <c r="L37" s="412"/>
      <c r="M37" s="1"/>
    </row>
    <row r="38" spans="1:13" ht="22.5" customHeight="1" thickBot="1" x14ac:dyDescent="0.25">
      <c r="A38" s="1"/>
      <c r="B38" s="33">
        <f t="shared" si="0"/>
        <v>224</v>
      </c>
      <c r="C38" s="33">
        <v>104</v>
      </c>
      <c r="D38" s="33">
        <v>120</v>
      </c>
      <c r="E38" s="33">
        <f t="shared" si="1"/>
        <v>3122</v>
      </c>
      <c r="F38" s="33">
        <v>618</v>
      </c>
      <c r="G38" s="33">
        <v>2504</v>
      </c>
      <c r="H38" s="33">
        <f t="shared" si="2"/>
        <v>1237</v>
      </c>
      <c r="I38" s="33">
        <v>244</v>
      </c>
      <c r="J38" s="33">
        <v>993</v>
      </c>
      <c r="K38" s="7" t="s">
        <v>9</v>
      </c>
      <c r="L38" s="410" t="s">
        <v>23</v>
      </c>
      <c r="M38" s="1"/>
    </row>
    <row r="39" spans="1:13" ht="22.5" customHeight="1" thickBot="1" x14ac:dyDescent="0.25">
      <c r="A39" s="1"/>
      <c r="B39" s="33">
        <f t="shared" si="0"/>
        <v>31</v>
      </c>
      <c r="C39" s="33">
        <v>26</v>
      </c>
      <c r="D39" s="33">
        <v>5</v>
      </c>
      <c r="E39" s="33">
        <f t="shared" si="1"/>
        <v>509</v>
      </c>
      <c r="F39" s="33">
        <v>78</v>
      </c>
      <c r="G39" s="33">
        <v>431</v>
      </c>
      <c r="H39" s="33">
        <f t="shared" si="2"/>
        <v>207</v>
      </c>
      <c r="I39" s="33">
        <v>32</v>
      </c>
      <c r="J39" s="33">
        <v>175</v>
      </c>
      <c r="K39" s="7" t="s">
        <v>10</v>
      </c>
      <c r="L39" s="411"/>
      <c r="M39" s="1"/>
    </row>
    <row r="40" spans="1:13" ht="22.5" customHeight="1" thickBot="1" x14ac:dyDescent="0.25">
      <c r="A40" s="1"/>
      <c r="B40" s="33">
        <f t="shared" ref="B40" si="84">SUM(B38:B39)</f>
        <v>255</v>
      </c>
      <c r="C40" s="33">
        <f t="shared" ref="C40" si="85">SUM(C38:C39)</f>
        <v>130</v>
      </c>
      <c r="D40" s="33">
        <f t="shared" ref="D40" si="86">SUM(D38:D39)</f>
        <v>125</v>
      </c>
      <c r="E40" s="33">
        <f t="shared" ref="E40" si="87">SUM(E38:E39)</f>
        <v>3631</v>
      </c>
      <c r="F40" s="33">
        <f t="shared" ref="F40" si="88">SUM(F38:F39)</f>
        <v>696</v>
      </c>
      <c r="G40" s="33">
        <f t="shared" ref="G40" si="89">SUM(G38:G39)</f>
        <v>2935</v>
      </c>
      <c r="H40" s="33">
        <f t="shared" ref="H40" si="90">SUM(H38:H39)</f>
        <v>1444</v>
      </c>
      <c r="I40" s="33">
        <f t="shared" ref="I40" si="91">SUM(I38:I39)</f>
        <v>276</v>
      </c>
      <c r="J40" s="33">
        <f>SUM(J38:J39)</f>
        <v>1168</v>
      </c>
      <c r="K40" s="7" t="s">
        <v>12</v>
      </c>
      <c r="L40" s="412"/>
      <c r="M40" s="1"/>
    </row>
    <row r="41" spans="1:13" ht="22.5" customHeight="1" thickBot="1" x14ac:dyDescent="0.25">
      <c r="A41" s="1"/>
      <c r="B41" s="33">
        <f t="shared" si="0"/>
        <v>22</v>
      </c>
      <c r="C41" s="34">
        <v>13</v>
      </c>
      <c r="D41" s="33">
        <v>9</v>
      </c>
      <c r="E41" s="33">
        <f t="shared" si="1"/>
        <v>94</v>
      </c>
      <c r="F41" s="33">
        <v>19</v>
      </c>
      <c r="G41" s="33">
        <v>75</v>
      </c>
      <c r="H41" s="33">
        <f t="shared" si="2"/>
        <v>35</v>
      </c>
      <c r="I41" s="33">
        <v>7</v>
      </c>
      <c r="J41" s="33">
        <v>28</v>
      </c>
      <c r="K41" s="7" t="s">
        <v>9</v>
      </c>
      <c r="L41" s="410" t="s">
        <v>24</v>
      </c>
      <c r="M41" s="1"/>
    </row>
    <row r="42" spans="1:13" ht="22.5" customHeight="1" thickBot="1" x14ac:dyDescent="0.25">
      <c r="A42" s="1"/>
      <c r="B42" s="33">
        <f t="shared" si="0"/>
        <v>11</v>
      </c>
      <c r="C42" s="34">
        <v>10</v>
      </c>
      <c r="D42" s="33">
        <v>1</v>
      </c>
      <c r="E42" s="33">
        <f t="shared" si="1"/>
        <v>110</v>
      </c>
      <c r="F42" s="33">
        <v>23</v>
      </c>
      <c r="G42" s="33">
        <v>87</v>
      </c>
      <c r="H42" s="33">
        <f t="shared" si="2"/>
        <v>43</v>
      </c>
      <c r="I42" s="33">
        <v>9</v>
      </c>
      <c r="J42" s="33">
        <v>34</v>
      </c>
      <c r="K42" s="7" t="s">
        <v>10</v>
      </c>
      <c r="L42" s="411"/>
      <c r="M42" s="1"/>
    </row>
    <row r="43" spans="1:13" ht="22.5" customHeight="1" thickBot="1" x14ac:dyDescent="0.25">
      <c r="A43" s="1"/>
      <c r="B43" s="33">
        <f t="shared" ref="B43" si="92">SUM(B41:B42)</f>
        <v>33</v>
      </c>
      <c r="C43" s="33">
        <f t="shared" ref="C43" si="93">SUM(C41:C42)</f>
        <v>23</v>
      </c>
      <c r="D43" s="33">
        <f t="shared" ref="D43" si="94">SUM(D41:D42)</f>
        <v>10</v>
      </c>
      <c r="E43" s="33">
        <f t="shared" ref="E43" si="95">SUM(E41:E42)</f>
        <v>204</v>
      </c>
      <c r="F43" s="33">
        <f t="shared" ref="F43" si="96">SUM(F41:F42)</f>
        <v>42</v>
      </c>
      <c r="G43" s="33">
        <f t="shared" ref="G43" si="97">SUM(G41:G42)</f>
        <v>162</v>
      </c>
      <c r="H43" s="33">
        <f t="shared" ref="H43" si="98">SUM(H41:H42)</f>
        <v>78</v>
      </c>
      <c r="I43" s="33">
        <f t="shared" ref="I43" si="99">SUM(I41:I42)</f>
        <v>16</v>
      </c>
      <c r="J43" s="33">
        <f>SUM(J41:J42)</f>
        <v>62</v>
      </c>
      <c r="K43" s="7" t="s">
        <v>12</v>
      </c>
      <c r="L43" s="412"/>
      <c r="M43" s="1"/>
    </row>
    <row r="44" spans="1:13" ht="22.5" customHeight="1" thickBot="1" x14ac:dyDescent="0.25">
      <c r="A44" s="1"/>
      <c r="B44" s="33">
        <f t="shared" si="0"/>
        <v>25</v>
      </c>
      <c r="C44" s="34">
        <v>20</v>
      </c>
      <c r="D44" s="33">
        <v>5</v>
      </c>
      <c r="E44" s="33">
        <f t="shared" si="1"/>
        <v>506</v>
      </c>
      <c r="F44" s="33">
        <v>106</v>
      </c>
      <c r="G44" s="33">
        <v>400</v>
      </c>
      <c r="H44" s="33">
        <f t="shared" si="2"/>
        <v>194</v>
      </c>
      <c r="I44" s="33">
        <v>40</v>
      </c>
      <c r="J44" s="33">
        <v>154</v>
      </c>
      <c r="K44" s="7" t="s">
        <v>9</v>
      </c>
      <c r="L44" s="410" t="s">
        <v>25</v>
      </c>
      <c r="M44" s="1"/>
    </row>
    <row r="45" spans="1:13" ht="22.5" customHeight="1" thickBot="1" x14ac:dyDescent="0.25">
      <c r="A45" s="1"/>
      <c r="B45" s="33">
        <f t="shared" si="0"/>
        <v>5</v>
      </c>
      <c r="C45" s="34">
        <v>0</v>
      </c>
      <c r="D45" s="33">
        <v>5</v>
      </c>
      <c r="E45" s="33">
        <f t="shared" si="1"/>
        <v>105</v>
      </c>
      <c r="F45" s="33">
        <v>18</v>
      </c>
      <c r="G45" s="33">
        <v>87</v>
      </c>
      <c r="H45" s="33">
        <f t="shared" si="2"/>
        <v>44</v>
      </c>
      <c r="I45" s="33">
        <v>7</v>
      </c>
      <c r="J45" s="33">
        <v>37</v>
      </c>
      <c r="K45" s="7" t="s">
        <v>10</v>
      </c>
      <c r="L45" s="411"/>
      <c r="M45" s="1"/>
    </row>
    <row r="46" spans="1:13" ht="22.5" customHeight="1" thickBot="1" x14ac:dyDescent="0.25">
      <c r="A46" s="1"/>
      <c r="B46" s="33">
        <f t="shared" ref="B46" si="100">SUM(B44:B45)</f>
        <v>30</v>
      </c>
      <c r="C46" s="33">
        <f t="shared" ref="C46" si="101">SUM(C44:C45)</f>
        <v>20</v>
      </c>
      <c r="D46" s="33">
        <f t="shared" ref="D46" si="102">SUM(D44:D45)</f>
        <v>10</v>
      </c>
      <c r="E46" s="33">
        <f t="shared" ref="E46" si="103">SUM(E44:E45)</f>
        <v>611</v>
      </c>
      <c r="F46" s="33">
        <f t="shared" ref="F46" si="104">SUM(F44:F45)</f>
        <v>124</v>
      </c>
      <c r="G46" s="33">
        <f t="shared" ref="G46" si="105">SUM(G44:G45)</f>
        <v>487</v>
      </c>
      <c r="H46" s="33">
        <f t="shared" ref="H46" si="106">SUM(H44:H45)</f>
        <v>238</v>
      </c>
      <c r="I46" s="33">
        <f t="shared" ref="I46" si="107">SUM(I44:I45)</f>
        <v>47</v>
      </c>
      <c r="J46" s="33">
        <f>SUM(J44:J45)</f>
        <v>191</v>
      </c>
      <c r="K46" s="7" t="s">
        <v>12</v>
      </c>
      <c r="L46" s="412"/>
      <c r="M46" s="1"/>
    </row>
    <row r="47" spans="1:13" ht="22.5" customHeight="1" thickBot="1" x14ac:dyDescent="0.25">
      <c r="A47" s="1"/>
      <c r="B47" s="33">
        <f t="shared" ref="B47:I49" si="108">B5+B8+B11+B14+B17+B20+B23+B26+B29+B32+B35+B38+B41+B44</f>
        <v>815</v>
      </c>
      <c r="C47" s="33">
        <f t="shared" si="108"/>
        <v>460</v>
      </c>
      <c r="D47" s="33">
        <f t="shared" si="108"/>
        <v>355</v>
      </c>
      <c r="E47" s="33">
        <f t="shared" si="108"/>
        <v>10506</v>
      </c>
      <c r="F47" s="33">
        <f t="shared" si="108"/>
        <v>2038</v>
      </c>
      <c r="G47" s="33">
        <f t="shared" si="108"/>
        <v>8468</v>
      </c>
      <c r="H47" s="33">
        <f t="shared" si="108"/>
        <v>4180</v>
      </c>
      <c r="I47" s="33">
        <f t="shared" si="108"/>
        <v>809</v>
      </c>
      <c r="J47" s="33">
        <f>J5+J8+J11+J14+J17+J20+J23+J26+J29+J32+J35+J38+J41+J44</f>
        <v>3371</v>
      </c>
      <c r="K47" s="4" t="s">
        <v>26</v>
      </c>
      <c r="L47" s="410" t="s">
        <v>28</v>
      </c>
      <c r="M47" s="1"/>
    </row>
    <row r="48" spans="1:13" ht="22.5" customHeight="1" thickBot="1" x14ac:dyDescent="0.25">
      <c r="A48" s="1"/>
      <c r="B48" s="33">
        <f t="shared" si="108"/>
        <v>230</v>
      </c>
      <c r="C48" s="33">
        <f t="shared" si="108"/>
        <v>121</v>
      </c>
      <c r="D48" s="33">
        <f t="shared" si="108"/>
        <v>109</v>
      </c>
      <c r="E48" s="33">
        <f t="shared" si="108"/>
        <v>3473</v>
      </c>
      <c r="F48" s="33">
        <f t="shared" si="108"/>
        <v>595</v>
      </c>
      <c r="G48" s="33">
        <f t="shared" si="108"/>
        <v>2878</v>
      </c>
      <c r="H48" s="33">
        <f t="shared" si="108"/>
        <v>1388</v>
      </c>
      <c r="I48" s="33">
        <f t="shared" si="108"/>
        <v>233</v>
      </c>
      <c r="J48" s="33">
        <f t="shared" ref="J48:J49" si="109">J6+J9+J12+J15+J18+J21+J24+J27+J30+J33+J36+J39+J42+J45</f>
        <v>1155</v>
      </c>
      <c r="K48" s="4" t="s">
        <v>27</v>
      </c>
      <c r="L48" s="411"/>
      <c r="M48" s="1"/>
    </row>
    <row r="49" spans="1:13" ht="22.5" customHeight="1" thickBot="1" x14ac:dyDescent="0.25">
      <c r="A49" s="1"/>
      <c r="B49" s="33">
        <f t="shared" si="108"/>
        <v>1045</v>
      </c>
      <c r="C49" s="33">
        <f t="shared" si="108"/>
        <v>581</v>
      </c>
      <c r="D49" s="33">
        <f t="shared" si="108"/>
        <v>464</v>
      </c>
      <c r="E49" s="33">
        <f t="shared" si="108"/>
        <v>13979</v>
      </c>
      <c r="F49" s="33">
        <f t="shared" si="108"/>
        <v>2633</v>
      </c>
      <c r="G49" s="33">
        <f t="shared" si="108"/>
        <v>11346</v>
      </c>
      <c r="H49" s="33">
        <f t="shared" si="108"/>
        <v>5568</v>
      </c>
      <c r="I49" s="33">
        <f t="shared" si="108"/>
        <v>1042</v>
      </c>
      <c r="J49" s="33">
        <f t="shared" si="109"/>
        <v>4526</v>
      </c>
      <c r="K49" s="4" t="s">
        <v>12</v>
      </c>
      <c r="L49" s="412"/>
      <c r="M49" s="1"/>
    </row>
    <row r="50" spans="1:13" ht="22.5" customHeight="1" thickBot="1" x14ac:dyDescent="0.25">
      <c r="A50" s="1"/>
      <c r="B50" s="33">
        <f t="shared" si="0"/>
        <v>0</v>
      </c>
      <c r="C50" s="33">
        <v>0</v>
      </c>
      <c r="D50" s="33">
        <v>0</v>
      </c>
      <c r="E50" s="33">
        <f t="shared" si="1"/>
        <v>79</v>
      </c>
      <c r="F50" s="33">
        <v>17</v>
      </c>
      <c r="G50" s="33">
        <v>62</v>
      </c>
      <c r="H50" s="33">
        <f t="shared" si="2"/>
        <v>29</v>
      </c>
      <c r="I50" s="33">
        <v>6</v>
      </c>
      <c r="J50" s="33">
        <v>23</v>
      </c>
      <c r="K50" s="7" t="s">
        <v>9</v>
      </c>
      <c r="L50" s="410" t="s">
        <v>29</v>
      </c>
      <c r="M50" s="1"/>
    </row>
    <row r="51" spans="1:13" ht="22.5" customHeight="1" thickBot="1" x14ac:dyDescent="0.25">
      <c r="A51" s="1"/>
      <c r="B51" s="33">
        <f t="shared" si="0"/>
        <v>0</v>
      </c>
      <c r="C51" s="33">
        <v>0</v>
      </c>
      <c r="D51" s="33">
        <v>0</v>
      </c>
      <c r="E51" s="33">
        <f t="shared" si="1"/>
        <v>4</v>
      </c>
      <c r="F51" s="33">
        <v>1</v>
      </c>
      <c r="G51" s="33">
        <v>3</v>
      </c>
      <c r="H51" s="33">
        <f t="shared" si="2"/>
        <v>1</v>
      </c>
      <c r="I51" s="33">
        <v>0</v>
      </c>
      <c r="J51" s="33">
        <v>1</v>
      </c>
      <c r="K51" s="7" t="s">
        <v>10</v>
      </c>
      <c r="L51" s="411"/>
      <c r="M51" s="1"/>
    </row>
    <row r="52" spans="1:13" ht="22.5" customHeight="1" thickBot="1" x14ac:dyDescent="0.25">
      <c r="A52" s="1"/>
      <c r="B52" s="33">
        <f t="shared" ref="B52" si="110">SUM(B50:B51)</f>
        <v>0</v>
      </c>
      <c r="C52" s="33">
        <f t="shared" ref="C52" si="111">SUM(C50:C51)</f>
        <v>0</v>
      </c>
      <c r="D52" s="33">
        <f t="shared" ref="D52" si="112">SUM(D50:D51)</f>
        <v>0</v>
      </c>
      <c r="E52" s="33">
        <f t="shared" ref="E52" si="113">SUM(E50:E51)</f>
        <v>83</v>
      </c>
      <c r="F52" s="33">
        <f t="shared" ref="F52" si="114">SUM(F50:F51)</f>
        <v>18</v>
      </c>
      <c r="G52" s="33">
        <f t="shared" ref="G52" si="115">SUM(G50:G51)</f>
        <v>65</v>
      </c>
      <c r="H52" s="33">
        <f t="shared" ref="H52" si="116">SUM(H50:H51)</f>
        <v>30</v>
      </c>
      <c r="I52" s="33">
        <f t="shared" ref="I52" si="117">SUM(I50:I51)</f>
        <v>6</v>
      </c>
      <c r="J52" s="33">
        <f>SUM(J50:J51)</f>
        <v>24</v>
      </c>
      <c r="K52" s="7" t="s">
        <v>12</v>
      </c>
      <c r="L52" s="412"/>
      <c r="M52" s="1"/>
    </row>
    <row r="53" spans="1:13" ht="22.5" customHeight="1" thickBot="1" x14ac:dyDescent="0.25">
      <c r="A53" s="1"/>
      <c r="B53" s="33">
        <f t="shared" si="0"/>
        <v>26</v>
      </c>
      <c r="C53" s="33">
        <v>0</v>
      </c>
      <c r="D53" s="33">
        <v>26</v>
      </c>
      <c r="E53" s="33">
        <f t="shared" si="1"/>
        <v>171</v>
      </c>
      <c r="F53" s="33">
        <v>37</v>
      </c>
      <c r="G53" s="33">
        <v>134</v>
      </c>
      <c r="H53" s="33">
        <f t="shared" si="2"/>
        <v>65</v>
      </c>
      <c r="I53" s="33">
        <v>14</v>
      </c>
      <c r="J53" s="33">
        <v>51</v>
      </c>
      <c r="K53" s="7" t="s">
        <v>9</v>
      </c>
      <c r="L53" s="410" t="s">
        <v>30</v>
      </c>
      <c r="M53" s="1"/>
    </row>
    <row r="54" spans="1:13" ht="22.5" customHeight="1" thickBot="1" x14ac:dyDescent="0.25">
      <c r="A54" s="1"/>
      <c r="B54" s="33">
        <f t="shared" si="0"/>
        <v>2</v>
      </c>
      <c r="C54" s="33">
        <v>0</v>
      </c>
      <c r="D54" s="33">
        <v>2</v>
      </c>
      <c r="E54" s="33">
        <f t="shared" si="1"/>
        <v>42</v>
      </c>
      <c r="F54" s="33">
        <v>8</v>
      </c>
      <c r="G54" s="33">
        <v>34</v>
      </c>
      <c r="H54" s="33">
        <f t="shared" si="2"/>
        <v>16</v>
      </c>
      <c r="I54" s="33">
        <v>3</v>
      </c>
      <c r="J54" s="33">
        <v>13</v>
      </c>
      <c r="K54" s="7" t="s">
        <v>10</v>
      </c>
      <c r="L54" s="411"/>
      <c r="M54" s="1"/>
    </row>
    <row r="55" spans="1:13" ht="22.5" customHeight="1" thickBot="1" x14ac:dyDescent="0.25">
      <c r="A55" s="1"/>
      <c r="B55" s="33">
        <f t="shared" ref="B55" si="118">SUM(B53:B54)</f>
        <v>28</v>
      </c>
      <c r="C55" s="33">
        <f t="shared" ref="C55" si="119">SUM(C53:C54)</f>
        <v>0</v>
      </c>
      <c r="D55" s="33">
        <f t="shared" ref="D55" si="120">SUM(D53:D54)</f>
        <v>28</v>
      </c>
      <c r="E55" s="33">
        <f t="shared" ref="E55" si="121">SUM(E53:E54)</f>
        <v>213</v>
      </c>
      <c r="F55" s="33">
        <f t="shared" ref="F55" si="122">SUM(F53:F54)</f>
        <v>45</v>
      </c>
      <c r="G55" s="33">
        <f t="shared" ref="G55" si="123">SUM(G53:G54)</f>
        <v>168</v>
      </c>
      <c r="H55" s="33">
        <f t="shared" ref="H55" si="124">SUM(H53:H54)</f>
        <v>81</v>
      </c>
      <c r="I55" s="33">
        <f t="shared" ref="I55" si="125">SUM(I53:I54)</f>
        <v>17</v>
      </c>
      <c r="J55" s="33">
        <f>SUM(J53:J54)</f>
        <v>64</v>
      </c>
      <c r="K55" s="7" t="s">
        <v>12</v>
      </c>
      <c r="L55" s="412"/>
      <c r="M55" s="1"/>
    </row>
    <row r="56" spans="1:13" ht="22.5" customHeight="1" thickBot="1" x14ac:dyDescent="0.25">
      <c r="A56" s="1"/>
      <c r="B56" s="33">
        <f t="shared" si="0"/>
        <v>146</v>
      </c>
      <c r="C56" s="33">
        <v>0</v>
      </c>
      <c r="D56" s="33">
        <v>146</v>
      </c>
      <c r="E56" s="33">
        <f t="shared" si="1"/>
        <v>7023</v>
      </c>
      <c r="F56" s="33">
        <v>1328</v>
      </c>
      <c r="G56" s="33">
        <v>5695</v>
      </c>
      <c r="H56" s="33">
        <f t="shared" si="2"/>
        <v>3224</v>
      </c>
      <c r="I56" s="33">
        <v>599</v>
      </c>
      <c r="J56" s="33">
        <v>2625</v>
      </c>
      <c r="K56" s="7" t="s">
        <v>9</v>
      </c>
      <c r="L56" s="410" t="s">
        <v>31</v>
      </c>
      <c r="M56" s="1"/>
    </row>
    <row r="57" spans="1:13" ht="22.5" customHeight="1" thickBot="1" x14ac:dyDescent="0.25">
      <c r="A57" s="1"/>
      <c r="B57" s="33">
        <f t="shared" si="0"/>
        <v>12</v>
      </c>
      <c r="C57" s="33">
        <v>0</v>
      </c>
      <c r="D57" s="33">
        <v>12</v>
      </c>
      <c r="E57" s="33">
        <f t="shared" si="1"/>
        <v>1232</v>
      </c>
      <c r="F57" s="33">
        <v>153</v>
      </c>
      <c r="G57" s="33">
        <v>1079</v>
      </c>
      <c r="H57" s="33">
        <f t="shared" si="2"/>
        <v>637</v>
      </c>
      <c r="I57" s="33">
        <v>75</v>
      </c>
      <c r="J57" s="33">
        <v>562</v>
      </c>
      <c r="K57" s="7" t="s">
        <v>10</v>
      </c>
      <c r="L57" s="411"/>
      <c r="M57" s="1"/>
    </row>
    <row r="58" spans="1:13" ht="22.5" customHeight="1" thickBot="1" x14ac:dyDescent="0.25">
      <c r="A58" s="1"/>
      <c r="B58" s="33">
        <f t="shared" ref="B58" si="126">SUM(B56:B57)</f>
        <v>158</v>
      </c>
      <c r="C58" s="33">
        <f t="shared" ref="C58" si="127">SUM(C56:C57)</f>
        <v>0</v>
      </c>
      <c r="D58" s="33">
        <f t="shared" ref="D58" si="128">SUM(D56:D57)</f>
        <v>158</v>
      </c>
      <c r="E58" s="33">
        <f t="shared" ref="E58" si="129">SUM(E56:E57)</f>
        <v>8255</v>
      </c>
      <c r="F58" s="33">
        <f t="shared" ref="F58" si="130">SUM(F56:F57)</f>
        <v>1481</v>
      </c>
      <c r="G58" s="33">
        <f t="shared" ref="G58" si="131">SUM(G56:G57)</f>
        <v>6774</v>
      </c>
      <c r="H58" s="33">
        <f t="shared" ref="H58" si="132">SUM(H56:H57)</f>
        <v>3861</v>
      </c>
      <c r="I58" s="33">
        <f t="shared" ref="I58" si="133">SUM(I56:I57)</f>
        <v>674</v>
      </c>
      <c r="J58" s="33">
        <f>SUM(J56:J57)</f>
        <v>3187</v>
      </c>
      <c r="K58" s="7" t="s">
        <v>12</v>
      </c>
      <c r="L58" s="412"/>
      <c r="M58" s="1"/>
    </row>
    <row r="59" spans="1:13" ht="22.5" customHeight="1" thickBot="1" x14ac:dyDescent="0.25">
      <c r="A59" s="1"/>
      <c r="B59" s="33">
        <f t="shared" ref="B59:B60" si="134">SUM(C59:D59)</f>
        <v>0</v>
      </c>
      <c r="C59" s="33">
        <v>0</v>
      </c>
      <c r="D59" s="33">
        <v>0</v>
      </c>
      <c r="E59" s="33">
        <f t="shared" ref="E59:E60" si="135">SUM(F59:G59)</f>
        <v>692</v>
      </c>
      <c r="F59" s="33">
        <v>131</v>
      </c>
      <c r="G59" s="33">
        <v>561</v>
      </c>
      <c r="H59" s="33">
        <f t="shared" ref="H59:H60" si="136">SUM(I59:J59)</f>
        <v>305</v>
      </c>
      <c r="I59" s="33">
        <v>57</v>
      </c>
      <c r="J59" s="33">
        <v>248</v>
      </c>
      <c r="K59" s="7" t="s">
        <v>9</v>
      </c>
      <c r="L59" s="410" t="s">
        <v>211</v>
      </c>
      <c r="M59" s="1"/>
    </row>
    <row r="60" spans="1:13" ht="22.5" customHeight="1" thickBot="1" x14ac:dyDescent="0.25">
      <c r="A60" s="1"/>
      <c r="B60" s="33">
        <f t="shared" si="134"/>
        <v>0</v>
      </c>
      <c r="C60" s="33">
        <v>0</v>
      </c>
      <c r="D60" s="33">
        <v>0</v>
      </c>
      <c r="E60" s="33">
        <f t="shared" si="135"/>
        <v>170</v>
      </c>
      <c r="F60" s="33">
        <v>19</v>
      </c>
      <c r="G60" s="33">
        <v>151</v>
      </c>
      <c r="H60" s="33">
        <f t="shared" si="136"/>
        <v>90</v>
      </c>
      <c r="I60" s="33">
        <v>9</v>
      </c>
      <c r="J60" s="33">
        <v>81</v>
      </c>
      <c r="K60" s="7" t="s">
        <v>10</v>
      </c>
      <c r="L60" s="411"/>
      <c r="M60" s="1"/>
    </row>
    <row r="61" spans="1:13" ht="22.5" customHeight="1" thickBot="1" x14ac:dyDescent="0.25">
      <c r="A61" s="1"/>
      <c r="B61" s="33">
        <f t="shared" ref="B61" si="137">SUM(B59:B60)</f>
        <v>0</v>
      </c>
      <c r="C61" s="33">
        <f t="shared" ref="C61" si="138">SUM(C59:C60)</f>
        <v>0</v>
      </c>
      <c r="D61" s="33">
        <f t="shared" ref="D61" si="139">SUM(D59:D60)</f>
        <v>0</v>
      </c>
      <c r="E61" s="33">
        <f t="shared" ref="E61" si="140">SUM(E59:E60)</f>
        <v>862</v>
      </c>
      <c r="F61" s="33">
        <f t="shared" ref="F61" si="141">SUM(F59:F60)</f>
        <v>150</v>
      </c>
      <c r="G61" s="33">
        <f t="shared" ref="G61" si="142">SUM(G59:G60)</f>
        <v>712</v>
      </c>
      <c r="H61" s="33">
        <f t="shared" ref="H61" si="143">SUM(H59:H60)</f>
        <v>395</v>
      </c>
      <c r="I61" s="33">
        <f t="shared" ref="I61" si="144">SUM(I59:I60)</f>
        <v>66</v>
      </c>
      <c r="J61" s="33">
        <f>SUM(J59:J60)</f>
        <v>329</v>
      </c>
      <c r="K61" s="7" t="s">
        <v>12</v>
      </c>
      <c r="L61" s="412"/>
      <c r="M61" s="1"/>
    </row>
    <row r="62" spans="1:13" ht="22.5" customHeight="1" thickBot="1" x14ac:dyDescent="0.25">
      <c r="A62" s="1"/>
      <c r="B62" s="33">
        <f t="shared" ref="B62:B63" si="145">SUM(C62:D62)</f>
        <v>0</v>
      </c>
      <c r="C62" s="33">
        <v>0</v>
      </c>
      <c r="D62" s="33">
        <v>0</v>
      </c>
      <c r="E62" s="33">
        <f t="shared" ref="E62:E63" si="146">SUM(F62:G62)</f>
        <v>197</v>
      </c>
      <c r="F62" s="33">
        <v>41</v>
      </c>
      <c r="G62" s="33">
        <v>156</v>
      </c>
      <c r="H62" s="33">
        <f t="shared" ref="H62:H63" si="147">SUM(I62:J62)</f>
        <v>76</v>
      </c>
      <c r="I62" s="33">
        <v>16</v>
      </c>
      <c r="J62" s="33">
        <v>60</v>
      </c>
      <c r="K62" s="7" t="s">
        <v>9</v>
      </c>
      <c r="L62" s="410" t="s">
        <v>212</v>
      </c>
      <c r="M62" s="1"/>
    </row>
    <row r="63" spans="1:13" ht="22.5" customHeight="1" thickBot="1" x14ac:dyDescent="0.25">
      <c r="A63" s="1"/>
      <c r="B63" s="33">
        <f t="shared" si="145"/>
        <v>0</v>
      </c>
      <c r="C63" s="33">
        <v>0</v>
      </c>
      <c r="D63" s="33">
        <v>0</v>
      </c>
      <c r="E63" s="33">
        <f t="shared" si="146"/>
        <v>34</v>
      </c>
      <c r="F63" s="33">
        <v>6</v>
      </c>
      <c r="G63" s="33">
        <v>28</v>
      </c>
      <c r="H63" s="33">
        <f t="shared" si="147"/>
        <v>13</v>
      </c>
      <c r="I63" s="33">
        <v>3</v>
      </c>
      <c r="J63" s="33">
        <v>10</v>
      </c>
      <c r="K63" s="7" t="s">
        <v>10</v>
      </c>
      <c r="L63" s="411"/>
      <c r="M63" s="1"/>
    </row>
    <row r="64" spans="1:13" ht="22.5" customHeight="1" thickBot="1" x14ac:dyDescent="0.25">
      <c r="A64" s="1"/>
      <c r="B64" s="33">
        <f t="shared" ref="B64" si="148">SUM(B62:B63)</f>
        <v>0</v>
      </c>
      <c r="C64" s="33">
        <f t="shared" ref="C64" si="149">SUM(C62:C63)</f>
        <v>0</v>
      </c>
      <c r="D64" s="33">
        <f t="shared" ref="D64" si="150">SUM(D62:D63)</f>
        <v>0</v>
      </c>
      <c r="E64" s="33">
        <f t="shared" ref="E64" si="151">SUM(E62:E63)</f>
        <v>231</v>
      </c>
      <c r="F64" s="33">
        <f t="shared" ref="F64" si="152">SUM(F62:F63)</f>
        <v>47</v>
      </c>
      <c r="G64" s="33">
        <f t="shared" ref="G64" si="153">SUM(G62:G63)</f>
        <v>184</v>
      </c>
      <c r="H64" s="33">
        <f t="shared" ref="H64" si="154">SUM(H62:H63)</f>
        <v>89</v>
      </c>
      <c r="I64" s="33">
        <f t="shared" ref="I64" si="155">SUM(I62:I63)</f>
        <v>19</v>
      </c>
      <c r="J64" s="33">
        <f>SUM(J62:J63)</f>
        <v>70</v>
      </c>
      <c r="K64" s="7" t="s">
        <v>12</v>
      </c>
      <c r="L64" s="412"/>
      <c r="M64" s="1"/>
    </row>
    <row r="65" spans="1:13" ht="22.5" customHeight="1" thickBot="1" x14ac:dyDescent="0.25">
      <c r="A65" s="1"/>
      <c r="B65" s="33">
        <f t="shared" ref="B65:B66" si="156">SUM(C65:D65)</f>
        <v>0</v>
      </c>
      <c r="C65" s="33">
        <v>0</v>
      </c>
      <c r="D65" s="33">
        <v>0</v>
      </c>
      <c r="E65" s="33">
        <f t="shared" ref="E65:E66" si="157">SUM(F65:G65)</f>
        <v>142</v>
      </c>
      <c r="F65" s="33">
        <v>29</v>
      </c>
      <c r="G65" s="33">
        <v>113</v>
      </c>
      <c r="H65" s="33">
        <f t="shared" ref="H65:H66" si="158">SUM(I65:J65)</f>
        <v>57</v>
      </c>
      <c r="I65" s="33">
        <v>11</v>
      </c>
      <c r="J65" s="33">
        <v>46</v>
      </c>
      <c r="K65" s="7" t="s">
        <v>9</v>
      </c>
      <c r="L65" s="410" t="s">
        <v>213</v>
      </c>
      <c r="M65" s="1"/>
    </row>
    <row r="66" spans="1:13" ht="22.5" customHeight="1" thickBot="1" x14ac:dyDescent="0.25">
      <c r="A66" s="1"/>
      <c r="B66" s="33">
        <f t="shared" si="156"/>
        <v>0</v>
      </c>
      <c r="C66" s="33">
        <v>0</v>
      </c>
      <c r="D66" s="33">
        <v>0</v>
      </c>
      <c r="E66" s="33">
        <f t="shared" si="157"/>
        <v>11</v>
      </c>
      <c r="F66" s="33">
        <v>1</v>
      </c>
      <c r="G66" s="33">
        <v>10</v>
      </c>
      <c r="H66" s="33">
        <f t="shared" si="158"/>
        <v>5</v>
      </c>
      <c r="I66" s="33">
        <v>0</v>
      </c>
      <c r="J66" s="33">
        <v>5</v>
      </c>
      <c r="K66" s="7" t="s">
        <v>10</v>
      </c>
      <c r="L66" s="411"/>
      <c r="M66" s="1"/>
    </row>
    <row r="67" spans="1:13" ht="22.5" customHeight="1" thickBot="1" x14ac:dyDescent="0.25">
      <c r="A67" s="1"/>
      <c r="B67" s="33">
        <f t="shared" ref="B67" si="159">SUM(B65:B66)</f>
        <v>0</v>
      </c>
      <c r="C67" s="33">
        <f t="shared" ref="C67" si="160">SUM(C65:C66)</f>
        <v>0</v>
      </c>
      <c r="D67" s="33">
        <f t="shared" ref="D67" si="161">SUM(D65:D66)</f>
        <v>0</v>
      </c>
      <c r="E67" s="33">
        <f t="shared" ref="E67" si="162">SUM(E65:E66)</f>
        <v>153</v>
      </c>
      <c r="F67" s="33">
        <f t="shared" ref="F67" si="163">SUM(F65:F66)</f>
        <v>30</v>
      </c>
      <c r="G67" s="33">
        <f t="shared" ref="G67" si="164">SUM(G65:G66)</f>
        <v>123</v>
      </c>
      <c r="H67" s="33">
        <f t="shared" ref="H67" si="165">SUM(H65:H66)</f>
        <v>62</v>
      </c>
      <c r="I67" s="33">
        <f t="shared" ref="I67" si="166">SUM(I65:I66)</f>
        <v>11</v>
      </c>
      <c r="J67" s="33">
        <f>SUM(J65:J66)</f>
        <v>51</v>
      </c>
      <c r="K67" s="7" t="s">
        <v>12</v>
      </c>
      <c r="L67" s="412"/>
      <c r="M67" s="1"/>
    </row>
    <row r="68" spans="1:13" ht="22.5" customHeight="1" thickBot="1" x14ac:dyDescent="0.25">
      <c r="A68" s="1"/>
      <c r="B68" s="33">
        <f t="shared" ref="B68:B69" si="167">SUM(C68:D68)</f>
        <v>0</v>
      </c>
      <c r="C68" s="33">
        <v>0</v>
      </c>
      <c r="D68" s="33">
        <v>0</v>
      </c>
      <c r="E68" s="33">
        <f t="shared" ref="E68:E69" si="168">SUM(F68:G68)</f>
        <v>236</v>
      </c>
      <c r="F68" s="33">
        <v>49</v>
      </c>
      <c r="G68" s="33">
        <v>187</v>
      </c>
      <c r="H68" s="33">
        <f t="shared" ref="H68:H69" si="169">SUM(I68:J68)</f>
        <v>91</v>
      </c>
      <c r="I68" s="33">
        <v>19</v>
      </c>
      <c r="J68" s="33">
        <v>72</v>
      </c>
      <c r="K68" s="7" t="s">
        <v>9</v>
      </c>
      <c r="L68" s="410" t="s">
        <v>214</v>
      </c>
      <c r="M68" s="1"/>
    </row>
    <row r="69" spans="1:13" ht="22.5" customHeight="1" thickBot="1" x14ac:dyDescent="0.25">
      <c r="A69" s="1"/>
      <c r="B69" s="33">
        <f t="shared" si="167"/>
        <v>0</v>
      </c>
      <c r="C69" s="33">
        <v>0</v>
      </c>
      <c r="D69" s="33">
        <v>0</v>
      </c>
      <c r="E69" s="33">
        <f t="shared" si="168"/>
        <v>23</v>
      </c>
      <c r="F69" s="33">
        <v>4</v>
      </c>
      <c r="G69" s="33">
        <v>19</v>
      </c>
      <c r="H69" s="33">
        <f t="shared" si="169"/>
        <v>10</v>
      </c>
      <c r="I69" s="33">
        <v>2</v>
      </c>
      <c r="J69" s="33">
        <v>8</v>
      </c>
      <c r="K69" s="7" t="s">
        <v>10</v>
      </c>
      <c r="L69" s="411"/>
      <c r="M69" s="1"/>
    </row>
    <row r="70" spans="1:13" ht="22.5" customHeight="1" thickBot="1" x14ac:dyDescent="0.25">
      <c r="A70" s="1"/>
      <c r="B70" s="33">
        <f t="shared" ref="B70" si="170">SUM(B68:B69)</f>
        <v>0</v>
      </c>
      <c r="C70" s="33">
        <f t="shared" ref="C70" si="171">SUM(C68:C69)</f>
        <v>0</v>
      </c>
      <c r="D70" s="33">
        <f t="shared" ref="D70" si="172">SUM(D68:D69)</f>
        <v>0</v>
      </c>
      <c r="E70" s="33">
        <f t="shared" ref="E70" si="173">SUM(E68:E69)</f>
        <v>259</v>
      </c>
      <c r="F70" s="33">
        <f t="shared" ref="F70" si="174">SUM(F68:F69)</f>
        <v>53</v>
      </c>
      <c r="G70" s="33">
        <f t="shared" ref="G70" si="175">SUM(G68:G69)</f>
        <v>206</v>
      </c>
      <c r="H70" s="33">
        <f t="shared" ref="H70" si="176">SUM(H68:H69)</f>
        <v>101</v>
      </c>
      <c r="I70" s="33">
        <f t="shared" ref="I70" si="177">SUM(I68:I69)</f>
        <v>21</v>
      </c>
      <c r="J70" s="33">
        <f>SUM(J68:J69)</f>
        <v>80</v>
      </c>
      <c r="K70" s="7" t="s">
        <v>12</v>
      </c>
      <c r="L70" s="412"/>
      <c r="M70" s="1"/>
    </row>
    <row r="71" spans="1:13" ht="22.5" customHeight="1" thickBot="1" x14ac:dyDescent="0.25">
      <c r="A71" s="1"/>
      <c r="B71" s="33">
        <f t="shared" ref="B71:B72" si="178">SUM(C71:D71)</f>
        <v>0</v>
      </c>
      <c r="C71" s="33">
        <v>0</v>
      </c>
      <c r="D71" s="33">
        <v>0</v>
      </c>
      <c r="E71" s="33">
        <f t="shared" ref="E71:E72" si="179">SUM(F71:G71)</f>
        <v>19</v>
      </c>
      <c r="F71" s="33">
        <v>4</v>
      </c>
      <c r="G71" s="33">
        <v>15</v>
      </c>
      <c r="H71" s="33">
        <f t="shared" ref="H71:H72" si="180">SUM(I71:J71)</f>
        <v>9</v>
      </c>
      <c r="I71" s="33">
        <v>2</v>
      </c>
      <c r="J71" s="33">
        <v>7</v>
      </c>
      <c r="K71" s="7" t="s">
        <v>9</v>
      </c>
      <c r="L71" s="410" t="s">
        <v>215</v>
      </c>
      <c r="M71" s="1"/>
    </row>
    <row r="72" spans="1:13" ht="22.5" customHeight="1" thickBot="1" x14ac:dyDescent="0.25">
      <c r="A72" s="1"/>
      <c r="B72" s="33">
        <f t="shared" si="178"/>
        <v>0</v>
      </c>
      <c r="C72" s="33">
        <v>0</v>
      </c>
      <c r="D72" s="33">
        <v>0</v>
      </c>
      <c r="E72" s="33">
        <f t="shared" si="179"/>
        <v>27</v>
      </c>
      <c r="F72" s="33">
        <v>3</v>
      </c>
      <c r="G72" s="33">
        <v>24</v>
      </c>
      <c r="H72" s="33">
        <f t="shared" si="180"/>
        <v>16</v>
      </c>
      <c r="I72" s="33">
        <v>2</v>
      </c>
      <c r="J72" s="33">
        <v>14</v>
      </c>
      <c r="K72" s="7" t="s">
        <v>10</v>
      </c>
      <c r="L72" s="411"/>
      <c r="M72" s="1"/>
    </row>
    <row r="73" spans="1:13" ht="22.5" customHeight="1" thickBot="1" x14ac:dyDescent="0.25">
      <c r="A73" s="1"/>
      <c r="B73" s="33">
        <f t="shared" ref="B73" si="181">SUM(B71:B72)</f>
        <v>0</v>
      </c>
      <c r="C73" s="33">
        <f t="shared" ref="C73" si="182">SUM(C71:C72)</f>
        <v>0</v>
      </c>
      <c r="D73" s="33">
        <f t="shared" ref="D73" si="183">SUM(D71:D72)</f>
        <v>0</v>
      </c>
      <c r="E73" s="33">
        <f t="shared" ref="E73" si="184">SUM(E71:E72)</f>
        <v>46</v>
      </c>
      <c r="F73" s="33">
        <f t="shared" ref="F73" si="185">SUM(F71:F72)</f>
        <v>7</v>
      </c>
      <c r="G73" s="33">
        <f t="shared" ref="G73" si="186">SUM(G71:G72)</f>
        <v>39</v>
      </c>
      <c r="H73" s="33">
        <f t="shared" ref="H73" si="187">SUM(H71:H72)</f>
        <v>25</v>
      </c>
      <c r="I73" s="33">
        <f t="shared" ref="I73" si="188">SUM(I71:I72)</f>
        <v>4</v>
      </c>
      <c r="J73" s="33">
        <f>SUM(J71:J72)</f>
        <v>21</v>
      </c>
      <c r="K73" s="7" t="s">
        <v>12</v>
      </c>
      <c r="L73" s="412"/>
      <c r="M73" s="1"/>
    </row>
    <row r="74" spans="1:13" ht="22.5" customHeight="1" thickBot="1" x14ac:dyDescent="0.25">
      <c r="A74" s="1"/>
      <c r="B74" s="33">
        <f t="shared" ref="B74:I76" si="189">B50+B53+B56+B59+B62+B65+B68+B71</f>
        <v>172</v>
      </c>
      <c r="C74" s="33">
        <f t="shared" si="189"/>
        <v>0</v>
      </c>
      <c r="D74" s="33">
        <f t="shared" si="189"/>
        <v>172</v>
      </c>
      <c r="E74" s="33">
        <f t="shared" si="189"/>
        <v>8559</v>
      </c>
      <c r="F74" s="33">
        <f t="shared" si="189"/>
        <v>1636</v>
      </c>
      <c r="G74" s="33">
        <f t="shared" si="189"/>
        <v>6923</v>
      </c>
      <c r="H74" s="33">
        <f t="shared" si="189"/>
        <v>3856</v>
      </c>
      <c r="I74" s="33">
        <f t="shared" si="189"/>
        <v>724</v>
      </c>
      <c r="J74" s="33">
        <f>J50+J53+J56+J59+J62+J65+J68+J71</f>
        <v>3132</v>
      </c>
      <c r="K74" s="4" t="s">
        <v>26</v>
      </c>
      <c r="L74" s="410" t="s">
        <v>216</v>
      </c>
      <c r="M74" s="1"/>
    </row>
    <row r="75" spans="1:13" ht="22.5" customHeight="1" thickBot="1" x14ac:dyDescent="0.25">
      <c r="A75" s="1"/>
      <c r="B75" s="33">
        <f t="shared" si="189"/>
        <v>14</v>
      </c>
      <c r="C75" s="33">
        <f t="shared" si="189"/>
        <v>0</v>
      </c>
      <c r="D75" s="33">
        <f t="shared" si="189"/>
        <v>14</v>
      </c>
      <c r="E75" s="33">
        <f t="shared" si="189"/>
        <v>1543</v>
      </c>
      <c r="F75" s="33">
        <f t="shared" si="189"/>
        <v>195</v>
      </c>
      <c r="G75" s="33">
        <f t="shared" si="189"/>
        <v>1348</v>
      </c>
      <c r="H75" s="33">
        <f t="shared" si="189"/>
        <v>788</v>
      </c>
      <c r="I75" s="33">
        <f t="shared" si="189"/>
        <v>94</v>
      </c>
      <c r="J75" s="33">
        <f t="shared" ref="J75:J76" si="190">J51+J54+J57+J60+J63+J66+J69+J72</f>
        <v>694</v>
      </c>
      <c r="K75" s="4" t="s">
        <v>27</v>
      </c>
      <c r="L75" s="411"/>
      <c r="M75" s="1"/>
    </row>
    <row r="76" spans="1:13" ht="22.5" customHeight="1" thickBot="1" x14ac:dyDescent="0.25">
      <c r="A76" s="1"/>
      <c r="B76" s="33">
        <f t="shared" si="189"/>
        <v>186</v>
      </c>
      <c r="C76" s="33">
        <f t="shared" si="189"/>
        <v>0</v>
      </c>
      <c r="D76" s="33">
        <f t="shared" si="189"/>
        <v>186</v>
      </c>
      <c r="E76" s="33">
        <f t="shared" si="189"/>
        <v>10102</v>
      </c>
      <c r="F76" s="33">
        <f t="shared" si="189"/>
        <v>1831</v>
      </c>
      <c r="G76" s="33">
        <f t="shared" si="189"/>
        <v>8271</v>
      </c>
      <c r="H76" s="33">
        <f t="shared" si="189"/>
        <v>4644</v>
      </c>
      <c r="I76" s="33">
        <f t="shared" si="189"/>
        <v>818</v>
      </c>
      <c r="J76" s="33">
        <f t="shared" si="190"/>
        <v>3826</v>
      </c>
      <c r="K76" s="4" t="s">
        <v>12</v>
      </c>
      <c r="L76" s="412"/>
      <c r="M76" s="1"/>
    </row>
    <row r="77" spans="1:13" ht="22.5" customHeight="1" thickBot="1" x14ac:dyDescent="0.25">
      <c r="A77" s="1"/>
      <c r="B77" s="33">
        <f t="shared" si="0"/>
        <v>6</v>
      </c>
      <c r="C77" s="33">
        <v>0</v>
      </c>
      <c r="D77" s="33">
        <v>6</v>
      </c>
      <c r="E77" s="33">
        <f t="shared" si="1"/>
        <v>463</v>
      </c>
      <c r="F77" s="33">
        <v>81</v>
      </c>
      <c r="G77" s="33">
        <v>382</v>
      </c>
      <c r="H77" s="33">
        <f t="shared" si="2"/>
        <v>165</v>
      </c>
      <c r="I77" s="33">
        <v>31</v>
      </c>
      <c r="J77" s="33">
        <v>134</v>
      </c>
      <c r="K77" s="7" t="s">
        <v>9</v>
      </c>
      <c r="L77" s="410" t="s">
        <v>32</v>
      </c>
      <c r="M77" s="1"/>
    </row>
    <row r="78" spans="1:13" ht="22.5" customHeight="1" thickBot="1" x14ac:dyDescent="0.25">
      <c r="A78" s="1"/>
      <c r="B78" s="33">
        <f t="shared" si="0"/>
        <v>1</v>
      </c>
      <c r="C78" s="33">
        <v>0</v>
      </c>
      <c r="D78" s="33">
        <v>1</v>
      </c>
      <c r="E78" s="33">
        <f t="shared" si="1"/>
        <v>126</v>
      </c>
      <c r="F78" s="33">
        <v>23</v>
      </c>
      <c r="G78" s="33">
        <v>103</v>
      </c>
      <c r="H78" s="33">
        <f t="shared" si="2"/>
        <v>48</v>
      </c>
      <c r="I78" s="33">
        <v>9</v>
      </c>
      <c r="J78" s="33">
        <v>39</v>
      </c>
      <c r="K78" s="7" t="s">
        <v>10</v>
      </c>
      <c r="L78" s="411"/>
      <c r="M78" s="1"/>
    </row>
    <row r="79" spans="1:13" ht="22.5" customHeight="1" thickBot="1" x14ac:dyDescent="0.25">
      <c r="A79" s="1"/>
      <c r="B79" s="33">
        <f t="shared" ref="B79" si="191">SUM(B77:B78)</f>
        <v>7</v>
      </c>
      <c r="C79" s="33">
        <f t="shared" ref="C79" si="192">SUM(C77:C78)</f>
        <v>0</v>
      </c>
      <c r="D79" s="33">
        <f t="shared" ref="D79" si="193">SUM(D77:D78)</f>
        <v>7</v>
      </c>
      <c r="E79" s="33">
        <f t="shared" ref="E79" si="194">SUM(E77:E78)</f>
        <v>589</v>
      </c>
      <c r="F79" s="33">
        <f t="shared" ref="F79" si="195">SUM(F77:F78)</f>
        <v>104</v>
      </c>
      <c r="G79" s="33">
        <f t="shared" ref="G79" si="196">SUM(G77:G78)</f>
        <v>485</v>
      </c>
      <c r="H79" s="33">
        <f t="shared" ref="H79" si="197">SUM(H77:H78)</f>
        <v>213</v>
      </c>
      <c r="I79" s="33">
        <f t="shared" ref="I79" si="198">SUM(I77:I78)</f>
        <v>40</v>
      </c>
      <c r="J79" s="33">
        <f>SUM(J77:J78)</f>
        <v>173</v>
      </c>
      <c r="K79" s="7" t="s">
        <v>12</v>
      </c>
      <c r="L79" s="412"/>
      <c r="M79" s="1"/>
    </row>
    <row r="80" spans="1:13" ht="22.5" customHeight="1" thickBot="1" x14ac:dyDescent="0.25">
      <c r="A80" s="1"/>
      <c r="B80" s="33">
        <f t="shared" si="0"/>
        <v>8</v>
      </c>
      <c r="C80" s="33">
        <v>2</v>
      </c>
      <c r="D80" s="33">
        <v>6</v>
      </c>
      <c r="E80" s="33">
        <f t="shared" si="1"/>
        <v>324</v>
      </c>
      <c r="F80" s="33">
        <v>68</v>
      </c>
      <c r="G80" s="33">
        <v>256</v>
      </c>
      <c r="H80" s="33">
        <f t="shared" si="2"/>
        <v>123</v>
      </c>
      <c r="I80" s="33">
        <v>25</v>
      </c>
      <c r="J80" s="33">
        <v>98</v>
      </c>
      <c r="K80" s="7" t="s">
        <v>9</v>
      </c>
      <c r="L80" s="410" t="s">
        <v>33</v>
      </c>
      <c r="M80" s="1"/>
    </row>
    <row r="81" spans="1:13" ht="22.5" customHeight="1" thickBot="1" x14ac:dyDescent="0.25">
      <c r="A81" s="1"/>
      <c r="B81" s="33">
        <f t="shared" si="0"/>
        <v>1</v>
      </c>
      <c r="C81" s="33">
        <v>0</v>
      </c>
      <c r="D81" s="33">
        <v>1</v>
      </c>
      <c r="E81" s="33">
        <f t="shared" si="1"/>
        <v>53</v>
      </c>
      <c r="F81" s="33">
        <v>10</v>
      </c>
      <c r="G81" s="33">
        <v>43</v>
      </c>
      <c r="H81" s="33">
        <f t="shared" si="2"/>
        <v>22</v>
      </c>
      <c r="I81" s="33">
        <v>4</v>
      </c>
      <c r="J81" s="33">
        <v>18</v>
      </c>
      <c r="K81" s="7" t="s">
        <v>10</v>
      </c>
      <c r="L81" s="411"/>
      <c r="M81" s="1"/>
    </row>
    <row r="82" spans="1:13" ht="22.5" customHeight="1" thickBot="1" x14ac:dyDescent="0.25">
      <c r="A82" s="1"/>
      <c r="B82" s="33">
        <f t="shared" ref="B82" si="199">SUM(B80:B81)</f>
        <v>9</v>
      </c>
      <c r="C82" s="33">
        <f t="shared" ref="C82" si="200">SUM(C80:C81)</f>
        <v>2</v>
      </c>
      <c r="D82" s="33">
        <f t="shared" ref="D82" si="201">SUM(D80:D81)</f>
        <v>7</v>
      </c>
      <c r="E82" s="33">
        <f t="shared" ref="E82" si="202">SUM(E80:E81)</f>
        <v>377</v>
      </c>
      <c r="F82" s="33">
        <f t="shared" ref="F82" si="203">SUM(F80:F81)</f>
        <v>78</v>
      </c>
      <c r="G82" s="33">
        <f t="shared" ref="G82" si="204">SUM(G80:G81)</f>
        <v>299</v>
      </c>
      <c r="H82" s="33">
        <f t="shared" ref="H82" si="205">SUM(H80:H81)</f>
        <v>145</v>
      </c>
      <c r="I82" s="33">
        <f t="shared" ref="I82" si="206">SUM(I80:I81)</f>
        <v>29</v>
      </c>
      <c r="J82" s="33">
        <f>SUM(J80:J81)</f>
        <v>116</v>
      </c>
      <c r="K82" s="7" t="s">
        <v>12</v>
      </c>
      <c r="L82" s="412"/>
      <c r="M82" s="1"/>
    </row>
    <row r="83" spans="1:13" ht="22.5" customHeight="1" thickBot="1" x14ac:dyDescent="0.25">
      <c r="A83" s="1"/>
      <c r="B83" s="33">
        <f t="shared" ref="B83:B99" si="207">SUM(C83:D83)</f>
        <v>16</v>
      </c>
      <c r="C83" s="33">
        <v>0</v>
      </c>
      <c r="D83" s="33">
        <v>16</v>
      </c>
      <c r="E83" s="33">
        <f t="shared" ref="E83:E99" si="208">SUM(F83:G83)</f>
        <v>10272</v>
      </c>
      <c r="F83" s="33">
        <v>1595</v>
      </c>
      <c r="G83" s="33">
        <v>8677</v>
      </c>
      <c r="H83" s="33">
        <f t="shared" ref="H83:H99" si="209">SUM(I83:J83)</f>
        <v>3454</v>
      </c>
      <c r="I83" s="33">
        <v>548</v>
      </c>
      <c r="J83" s="33">
        <v>2906</v>
      </c>
      <c r="K83" s="7" t="s">
        <v>9</v>
      </c>
      <c r="L83" s="410" t="s">
        <v>34</v>
      </c>
      <c r="M83" s="1"/>
    </row>
    <row r="84" spans="1:13" ht="22.5" customHeight="1" thickBot="1" x14ac:dyDescent="0.25">
      <c r="A84" s="1"/>
      <c r="B84" s="33">
        <f t="shared" si="207"/>
        <v>7</v>
      </c>
      <c r="C84" s="33">
        <v>0</v>
      </c>
      <c r="D84" s="33">
        <v>7</v>
      </c>
      <c r="E84" s="33">
        <f t="shared" si="208"/>
        <v>3372</v>
      </c>
      <c r="F84" s="33">
        <v>230</v>
      </c>
      <c r="G84" s="33">
        <v>3142</v>
      </c>
      <c r="H84" s="33">
        <f t="shared" si="209"/>
        <v>1187</v>
      </c>
      <c r="I84" s="33">
        <v>87</v>
      </c>
      <c r="J84" s="33">
        <v>1100</v>
      </c>
      <c r="K84" s="7" t="s">
        <v>10</v>
      </c>
      <c r="L84" s="411"/>
      <c r="M84" s="1"/>
    </row>
    <row r="85" spans="1:13" ht="22.5" customHeight="1" thickBot="1" x14ac:dyDescent="0.25">
      <c r="A85" s="1"/>
      <c r="B85" s="33">
        <f t="shared" ref="B85" si="210">SUM(B83:B84)</f>
        <v>23</v>
      </c>
      <c r="C85" s="33">
        <f t="shared" ref="C85" si="211">SUM(C83:C84)</f>
        <v>0</v>
      </c>
      <c r="D85" s="33">
        <f t="shared" ref="D85" si="212">SUM(D83:D84)</f>
        <v>23</v>
      </c>
      <c r="E85" s="33">
        <f t="shared" ref="E85" si="213">SUM(E83:E84)</f>
        <v>13644</v>
      </c>
      <c r="F85" s="33">
        <f t="shared" ref="F85" si="214">SUM(F83:F84)</f>
        <v>1825</v>
      </c>
      <c r="G85" s="33">
        <f t="shared" ref="G85" si="215">SUM(G83:G84)</f>
        <v>11819</v>
      </c>
      <c r="H85" s="33">
        <f t="shared" ref="H85" si="216">SUM(H83:H84)</f>
        <v>4641</v>
      </c>
      <c r="I85" s="33">
        <f t="shared" ref="I85" si="217">SUM(I83:I84)</f>
        <v>635</v>
      </c>
      <c r="J85" s="33">
        <f>SUM(J83:J84)</f>
        <v>4006</v>
      </c>
      <c r="K85" s="7" t="s">
        <v>12</v>
      </c>
      <c r="L85" s="412"/>
      <c r="M85" s="1"/>
    </row>
    <row r="86" spans="1:13" ht="22.5" customHeight="1" thickBot="1" x14ac:dyDescent="0.25">
      <c r="A86" s="1"/>
      <c r="B86" s="33">
        <f t="shared" si="207"/>
        <v>1</v>
      </c>
      <c r="C86" s="33">
        <v>0</v>
      </c>
      <c r="D86" s="33">
        <v>1</v>
      </c>
      <c r="E86" s="33">
        <f t="shared" si="208"/>
        <v>502</v>
      </c>
      <c r="F86" s="33">
        <v>61</v>
      </c>
      <c r="G86" s="33">
        <v>441</v>
      </c>
      <c r="H86" s="33">
        <f t="shared" si="209"/>
        <v>170</v>
      </c>
      <c r="I86" s="33">
        <v>26</v>
      </c>
      <c r="J86" s="33">
        <v>144</v>
      </c>
      <c r="K86" s="7" t="s">
        <v>9</v>
      </c>
      <c r="L86" s="410" t="s">
        <v>35</v>
      </c>
      <c r="M86" s="1"/>
    </row>
    <row r="87" spans="1:13" ht="22.5" customHeight="1" thickBot="1" x14ac:dyDescent="0.25">
      <c r="A87" s="1"/>
      <c r="B87" s="33">
        <f t="shared" si="207"/>
        <v>1</v>
      </c>
      <c r="C87" s="33">
        <v>0</v>
      </c>
      <c r="D87" s="33">
        <v>1</v>
      </c>
      <c r="E87" s="33">
        <f t="shared" si="208"/>
        <v>169</v>
      </c>
      <c r="F87" s="33">
        <v>24</v>
      </c>
      <c r="G87" s="33">
        <v>145</v>
      </c>
      <c r="H87" s="33">
        <f t="shared" si="209"/>
        <v>68</v>
      </c>
      <c r="I87" s="33">
        <v>9</v>
      </c>
      <c r="J87" s="33">
        <v>59</v>
      </c>
      <c r="K87" s="7" t="s">
        <v>10</v>
      </c>
      <c r="L87" s="411"/>
      <c r="M87" s="1"/>
    </row>
    <row r="88" spans="1:13" ht="22.5" customHeight="1" thickBot="1" x14ac:dyDescent="0.25">
      <c r="A88" s="1"/>
      <c r="B88" s="33">
        <f t="shared" ref="B88" si="218">SUM(B86:B87)</f>
        <v>2</v>
      </c>
      <c r="C88" s="33">
        <f t="shared" ref="C88" si="219">SUM(C86:C87)</f>
        <v>0</v>
      </c>
      <c r="D88" s="33">
        <f t="shared" ref="D88" si="220">SUM(D86:D87)</f>
        <v>2</v>
      </c>
      <c r="E88" s="33">
        <f t="shared" ref="E88" si="221">SUM(E86:E87)</f>
        <v>671</v>
      </c>
      <c r="F88" s="33">
        <f t="shared" ref="F88" si="222">SUM(F86:F87)</f>
        <v>85</v>
      </c>
      <c r="G88" s="33">
        <f t="shared" ref="G88" si="223">SUM(G86:G87)</f>
        <v>586</v>
      </c>
      <c r="H88" s="33">
        <f t="shared" ref="H88" si="224">SUM(H86:H87)</f>
        <v>238</v>
      </c>
      <c r="I88" s="33">
        <f t="shared" ref="I88" si="225">SUM(I86:I87)</f>
        <v>35</v>
      </c>
      <c r="J88" s="33">
        <f>SUM(J86:J87)</f>
        <v>203</v>
      </c>
      <c r="K88" s="7" t="s">
        <v>12</v>
      </c>
      <c r="L88" s="412"/>
      <c r="M88" s="1"/>
    </row>
    <row r="89" spans="1:13" ht="22.5" customHeight="1" thickBot="1" x14ac:dyDescent="0.25">
      <c r="A89" s="1"/>
      <c r="B89" s="33">
        <f t="shared" si="207"/>
        <v>0</v>
      </c>
      <c r="C89" s="33">
        <v>0</v>
      </c>
      <c r="D89" s="33">
        <v>0</v>
      </c>
      <c r="E89" s="33">
        <f t="shared" si="208"/>
        <v>10</v>
      </c>
      <c r="F89" s="33">
        <v>2</v>
      </c>
      <c r="G89" s="33">
        <v>8</v>
      </c>
      <c r="H89" s="33">
        <f t="shared" si="209"/>
        <v>12</v>
      </c>
      <c r="I89" s="33">
        <v>2</v>
      </c>
      <c r="J89" s="33">
        <v>10</v>
      </c>
      <c r="K89" s="7" t="s">
        <v>9</v>
      </c>
      <c r="L89" s="410" t="s">
        <v>36</v>
      </c>
      <c r="M89" s="1"/>
    </row>
    <row r="90" spans="1:13" ht="22.5" customHeight="1" thickBot="1" x14ac:dyDescent="0.25">
      <c r="A90" s="1"/>
      <c r="B90" s="33">
        <f t="shared" si="207"/>
        <v>0</v>
      </c>
      <c r="C90" s="33">
        <v>0</v>
      </c>
      <c r="D90" s="33">
        <v>0</v>
      </c>
      <c r="E90" s="33">
        <f t="shared" si="208"/>
        <v>15</v>
      </c>
      <c r="F90" s="33">
        <v>2</v>
      </c>
      <c r="G90" s="33">
        <v>13</v>
      </c>
      <c r="H90" s="33">
        <f t="shared" si="209"/>
        <v>6</v>
      </c>
      <c r="I90" s="33">
        <v>1</v>
      </c>
      <c r="J90" s="33">
        <v>5</v>
      </c>
      <c r="K90" s="7" t="s">
        <v>10</v>
      </c>
      <c r="L90" s="411"/>
      <c r="M90" s="1"/>
    </row>
    <row r="91" spans="1:13" ht="22.5" customHeight="1" thickBot="1" x14ac:dyDescent="0.25">
      <c r="A91" s="1"/>
      <c r="B91" s="33">
        <f t="shared" ref="B91" si="226">SUM(B89:B90)</f>
        <v>0</v>
      </c>
      <c r="C91" s="33">
        <f t="shared" ref="C91" si="227">SUM(C89:C90)</f>
        <v>0</v>
      </c>
      <c r="D91" s="33">
        <f t="shared" ref="D91" si="228">SUM(D89:D90)</f>
        <v>0</v>
      </c>
      <c r="E91" s="33">
        <f t="shared" ref="E91" si="229">SUM(E89:E90)</f>
        <v>25</v>
      </c>
      <c r="F91" s="33">
        <f t="shared" ref="F91" si="230">SUM(F89:F90)</f>
        <v>4</v>
      </c>
      <c r="G91" s="33">
        <f t="shared" ref="G91" si="231">SUM(G89:G90)</f>
        <v>21</v>
      </c>
      <c r="H91" s="33">
        <f t="shared" ref="H91" si="232">SUM(H89:H90)</f>
        <v>18</v>
      </c>
      <c r="I91" s="33">
        <f t="shared" ref="I91" si="233">SUM(I89:I90)</f>
        <v>3</v>
      </c>
      <c r="J91" s="33">
        <f>SUM(J89:J90)</f>
        <v>15</v>
      </c>
      <c r="K91" s="7" t="s">
        <v>12</v>
      </c>
      <c r="L91" s="412"/>
      <c r="M91" s="1"/>
    </row>
    <row r="92" spans="1:13" ht="22.5" customHeight="1" thickBot="1" x14ac:dyDescent="0.25">
      <c r="A92" s="1"/>
      <c r="B92" s="33">
        <f t="shared" ref="B92:I94" si="234">B77+B80+B83+B86+B89</f>
        <v>31</v>
      </c>
      <c r="C92" s="33">
        <f t="shared" si="234"/>
        <v>2</v>
      </c>
      <c r="D92" s="33">
        <f t="shared" si="234"/>
        <v>29</v>
      </c>
      <c r="E92" s="33">
        <f t="shared" si="234"/>
        <v>11571</v>
      </c>
      <c r="F92" s="33">
        <f t="shared" si="234"/>
        <v>1807</v>
      </c>
      <c r="G92" s="33">
        <f t="shared" si="234"/>
        <v>9764</v>
      </c>
      <c r="H92" s="33">
        <f t="shared" si="234"/>
        <v>3924</v>
      </c>
      <c r="I92" s="33">
        <f t="shared" si="234"/>
        <v>632</v>
      </c>
      <c r="J92" s="33">
        <f>J77+J80+J83+J86+J89</f>
        <v>3292</v>
      </c>
      <c r="K92" s="4" t="s">
        <v>26</v>
      </c>
      <c r="L92" s="410" t="s">
        <v>37</v>
      </c>
      <c r="M92" s="1"/>
    </row>
    <row r="93" spans="1:13" ht="22.5" customHeight="1" thickBot="1" x14ac:dyDescent="0.25">
      <c r="A93" s="1"/>
      <c r="B93" s="33">
        <f t="shared" si="234"/>
        <v>10</v>
      </c>
      <c r="C93" s="33">
        <f t="shared" si="234"/>
        <v>0</v>
      </c>
      <c r="D93" s="33">
        <f t="shared" si="234"/>
        <v>10</v>
      </c>
      <c r="E93" s="33">
        <f t="shared" si="234"/>
        <v>3735</v>
      </c>
      <c r="F93" s="33">
        <f t="shared" si="234"/>
        <v>289</v>
      </c>
      <c r="G93" s="33">
        <f t="shared" si="234"/>
        <v>3446</v>
      </c>
      <c r="H93" s="33">
        <f t="shared" si="234"/>
        <v>1331</v>
      </c>
      <c r="I93" s="33">
        <f t="shared" si="234"/>
        <v>110</v>
      </c>
      <c r="J93" s="33">
        <f t="shared" ref="J93:J94" si="235">J78+J81+J84+J87+J90</f>
        <v>1221</v>
      </c>
      <c r="K93" s="4" t="s">
        <v>27</v>
      </c>
      <c r="L93" s="411"/>
      <c r="M93" s="1"/>
    </row>
    <row r="94" spans="1:13" ht="22.5" customHeight="1" thickBot="1" x14ac:dyDescent="0.25">
      <c r="A94" s="1"/>
      <c r="B94" s="33">
        <f t="shared" si="234"/>
        <v>41</v>
      </c>
      <c r="C94" s="33">
        <f t="shared" si="234"/>
        <v>2</v>
      </c>
      <c r="D94" s="33">
        <f t="shared" si="234"/>
        <v>39</v>
      </c>
      <c r="E94" s="33">
        <f t="shared" si="234"/>
        <v>15306</v>
      </c>
      <c r="F94" s="33">
        <f t="shared" si="234"/>
        <v>2096</v>
      </c>
      <c r="G94" s="33">
        <f t="shared" si="234"/>
        <v>13210</v>
      </c>
      <c r="H94" s="33">
        <f t="shared" si="234"/>
        <v>5255</v>
      </c>
      <c r="I94" s="33">
        <f t="shared" si="234"/>
        <v>742</v>
      </c>
      <c r="J94" s="33">
        <f t="shared" si="235"/>
        <v>4513</v>
      </c>
      <c r="K94" s="4" t="s">
        <v>12</v>
      </c>
      <c r="L94" s="412"/>
      <c r="M94" s="1"/>
    </row>
    <row r="95" spans="1:13" ht="22.5" customHeight="1" thickBot="1" x14ac:dyDescent="0.25">
      <c r="B95" s="33">
        <f t="shared" si="207"/>
        <v>147</v>
      </c>
      <c r="C95" s="33">
        <v>0</v>
      </c>
      <c r="D95" s="33">
        <v>147</v>
      </c>
      <c r="E95" s="33">
        <f t="shared" si="208"/>
        <v>11603</v>
      </c>
      <c r="F95" s="33">
        <v>2133</v>
      </c>
      <c r="G95" s="33">
        <v>9470</v>
      </c>
      <c r="H95" s="33">
        <f t="shared" si="209"/>
        <v>4504</v>
      </c>
      <c r="I95" s="33">
        <v>839</v>
      </c>
      <c r="J95" s="33">
        <v>3665</v>
      </c>
      <c r="K95" s="7" t="s">
        <v>9</v>
      </c>
      <c r="L95" s="410" t="s">
        <v>38</v>
      </c>
    </row>
    <row r="96" spans="1:13" ht="22.5" customHeight="1" thickBot="1" x14ac:dyDescent="0.25">
      <c r="B96" s="33">
        <f t="shared" si="207"/>
        <v>53</v>
      </c>
      <c r="C96" s="33">
        <v>0</v>
      </c>
      <c r="D96" s="33">
        <v>53</v>
      </c>
      <c r="E96" s="33">
        <f t="shared" si="208"/>
        <v>2477</v>
      </c>
      <c r="F96" s="33">
        <v>268</v>
      </c>
      <c r="G96" s="33">
        <v>2209</v>
      </c>
      <c r="H96" s="33">
        <f t="shared" si="209"/>
        <v>1028</v>
      </c>
      <c r="I96" s="33">
        <v>116</v>
      </c>
      <c r="J96" s="33">
        <v>912</v>
      </c>
      <c r="K96" s="7" t="s">
        <v>10</v>
      </c>
      <c r="L96" s="411"/>
    </row>
    <row r="97" spans="2:12" ht="22.5" customHeight="1" thickBot="1" x14ac:dyDescent="0.25">
      <c r="B97" s="33">
        <f t="shared" ref="B97" si="236">SUM(B95:B96)</f>
        <v>200</v>
      </c>
      <c r="C97" s="33">
        <f t="shared" ref="C97" si="237">SUM(C95:C96)</f>
        <v>0</v>
      </c>
      <c r="D97" s="33">
        <f t="shared" ref="D97" si="238">SUM(D95:D96)</f>
        <v>200</v>
      </c>
      <c r="E97" s="33">
        <f t="shared" ref="E97" si="239">SUM(E95:E96)</f>
        <v>14080</v>
      </c>
      <c r="F97" s="33">
        <f t="shared" ref="F97" si="240">SUM(F95:F96)</f>
        <v>2401</v>
      </c>
      <c r="G97" s="33">
        <f t="shared" ref="G97" si="241">SUM(G95:G96)</f>
        <v>11679</v>
      </c>
      <c r="H97" s="33">
        <f t="shared" ref="H97" si="242">SUM(H95:H96)</f>
        <v>5532</v>
      </c>
      <c r="I97" s="33">
        <f t="shared" ref="I97" si="243">SUM(I95:I96)</f>
        <v>955</v>
      </c>
      <c r="J97" s="33">
        <f>SUM(J95:J96)</f>
        <v>4577</v>
      </c>
      <c r="K97" s="7" t="s">
        <v>12</v>
      </c>
      <c r="L97" s="412"/>
    </row>
    <row r="98" spans="2:12" ht="22.5" customHeight="1" thickBot="1" x14ac:dyDescent="0.25">
      <c r="B98" s="33">
        <f t="shared" si="207"/>
        <v>266</v>
      </c>
      <c r="C98" s="33">
        <v>0</v>
      </c>
      <c r="D98" s="33">
        <v>266</v>
      </c>
      <c r="E98" s="33">
        <f t="shared" si="208"/>
        <v>4305</v>
      </c>
      <c r="F98" s="33">
        <v>709</v>
      </c>
      <c r="G98" s="33">
        <v>3596</v>
      </c>
      <c r="H98" s="33">
        <f t="shared" si="209"/>
        <v>1579</v>
      </c>
      <c r="I98" s="33">
        <v>278</v>
      </c>
      <c r="J98" s="33">
        <v>1301</v>
      </c>
      <c r="K98" s="7" t="s">
        <v>9</v>
      </c>
      <c r="L98" s="410" t="s">
        <v>39</v>
      </c>
    </row>
    <row r="99" spans="2:12" ht="22.5" customHeight="1" thickBot="1" x14ac:dyDescent="0.25">
      <c r="B99" s="33">
        <f t="shared" si="207"/>
        <v>66</v>
      </c>
      <c r="C99" s="33">
        <v>0</v>
      </c>
      <c r="D99" s="33">
        <v>66</v>
      </c>
      <c r="E99" s="33">
        <f t="shared" si="208"/>
        <v>938</v>
      </c>
      <c r="F99" s="33">
        <v>81</v>
      </c>
      <c r="G99" s="33">
        <v>857</v>
      </c>
      <c r="H99" s="33">
        <f t="shared" si="209"/>
        <v>398</v>
      </c>
      <c r="I99" s="33">
        <v>38</v>
      </c>
      <c r="J99" s="33">
        <v>360</v>
      </c>
      <c r="K99" s="7" t="s">
        <v>10</v>
      </c>
      <c r="L99" s="411"/>
    </row>
    <row r="100" spans="2:12" ht="22.5" customHeight="1" thickBot="1" x14ac:dyDescent="0.25">
      <c r="B100" s="33">
        <f t="shared" ref="B100" si="244">SUM(B98:B99)</f>
        <v>332</v>
      </c>
      <c r="C100" s="33">
        <f t="shared" ref="C100" si="245">SUM(C98:C99)</f>
        <v>0</v>
      </c>
      <c r="D100" s="33">
        <f t="shared" ref="D100" si="246">SUM(D98:D99)</f>
        <v>332</v>
      </c>
      <c r="E100" s="33">
        <f t="shared" ref="E100" si="247">SUM(E98:E99)</f>
        <v>5243</v>
      </c>
      <c r="F100" s="33">
        <f t="shared" ref="F100" si="248">SUM(F98:F99)</f>
        <v>790</v>
      </c>
      <c r="G100" s="33">
        <f t="shared" ref="G100" si="249">SUM(G98:G99)</f>
        <v>4453</v>
      </c>
      <c r="H100" s="33">
        <f t="shared" ref="H100" si="250">SUM(H98:H99)</f>
        <v>1977</v>
      </c>
      <c r="I100" s="33">
        <f t="shared" ref="I100" si="251">SUM(I98:I99)</f>
        <v>316</v>
      </c>
      <c r="J100" s="33">
        <f>SUM(J98:J99)</f>
        <v>1661</v>
      </c>
      <c r="K100" s="7" t="s">
        <v>12</v>
      </c>
      <c r="L100" s="412"/>
    </row>
    <row r="101" spans="2:12" ht="22.5" customHeight="1" thickBot="1" x14ac:dyDescent="0.25">
      <c r="B101" s="33">
        <f t="shared" ref="B101:I103" si="252">B95+B98</f>
        <v>413</v>
      </c>
      <c r="C101" s="33">
        <f t="shared" si="252"/>
        <v>0</v>
      </c>
      <c r="D101" s="33">
        <f t="shared" si="252"/>
        <v>413</v>
      </c>
      <c r="E101" s="33">
        <f t="shared" si="252"/>
        <v>15908</v>
      </c>
      <c r="F101" s="33">
        <f t="shared" si="252"/>
        <v>2842</v>
      </c>
      <c r="G101" s="33">
        <f t="shared" si="252"/>
        <v>13066</v>
      </c>
      <c r="H101" s="33">
        <f t="shared" si="252"/>
        <v>6083</v>
      </c>
      <c r="I101" s="33">
        <f t="shared" si="252"/>
        <v>1117</v>
      </c>
      <c r="J101" s="33">
        <f>J95+J98</f>
        <v>4966</v>
      </c>
      <c r="K101" s="4" t="s">
        <v>26</v>
      </c>
      <c r="L101" s="410" t="s">
        <v>40</v>
      </c>
    </row>
    <row r="102" spans="2:12" ht="22.5" customHeight="1" thickBot="1" x14ac:dyDescent="0.25">
      <c r="B102" s="33">
        <f t="shared" si="252"/>
        <v>119</v>
      </c>
      <c r="C102" s="33">
        <f t="shared" si="252"/>
        <v>0</v>
      </c>
      <c r="D102" s="33">
        <f t="shared" si="252"/>
        <v>119</v>
      </c>
      <c r="E102" s="33">
        <f t="shared" si="252"/>
        <v>3415</v>
      </c>
      <c r="F102" s="33">
        <f t="shared" si="252"/>
        <v>349</v>
      </c>
      <c r="G102" s="33">
        <f t="shared" si="252"/>
        <v>3066</v>
      </c>
      <c r="H102" s="33">
        <f t="shared" si="252"/>
        <v>1426</v>
      </c>
      <c r="I102" s="33">
        <f t="shared" si="252"/>
        <v>154</v>
      </c>
      <c r="J102" s="33">
        <f t="shared" ref="J102:J103" si="253">J96+J99</f>
        <v>1272</v>
      </c>
      <c r="K102" s="4" t="s">
        <v>27</v>
      </c>
      <c r="L102" s="411"/>
    </row>
    <row r="103" spans="2:12" ht="22.5" customHeight="1" thickBot="1" x14ac:dyDescent="0.25">
      <c r="B103" s="33">
        <f t="shared" si="252"/>
        <v>532</v>
      </c>
      <c r="C103" s="33">
        <f t="shared" si="252"/>
        <v>0</v>
      </c>
      <c r="D103" s="33">
        <f t="shared" si="252"/>
        <v>532</v>
      </c>
      <c r="E103" s="33">
        <f t="shared" si="252"/>
        <v>19323</v>
      </c>
      <c r="F103" s="33">
        <f t="shared" si="252"/>
        <v>3191</v>
      </c>
      <c r="G103" s="33">
        <f t="shared" si="252"/>
        <v>16132</v>
      </c>
      <c r="H103" s="33">
        <f t="shared" si="252"/>
        <v>7509</v>
      </c>
      <c r="I103" s="33">
        <f t="shared" si="252"/>
        <v>1271</v>
      </c>
      <c r="J103" s="33">
        <f t="shared" si="253"/>
        <v>6238</v>
      </c>
      <c r="K103" s="4" t="s">
        <v>12</v>
      </c>
      <c r="L103" s="412"/>
    </row>
    <row r="104" spans="2:12" ht="22.5" customHeight="1" thickBot="1" x14ac:dyDescent="0.25">
      <c r="B104" s="33">
        <f t="shared" ref="B104:I106" si="254">B47+B74+B92+B101</f>
        <v>1431</v>
      </c>
      <c r="C104" s="33">
        <f t="shared" si="254"/>
        <v>462</v>
      </c>
      <c r="D104" s="33">
        <f t="shared" si="254"/>
        <v>969</v>
      </c>
      <c r="E104" s="33">
        <f t="shared" si="254"/>
        <v>46544</v>
      </c>
      <c r="F104" s="33">
        <f t="shared" si="254"/>
        <v>8323</v>
      </c>
      <c r="G104" s="33">
        <f t="shared" si="254"/>
        <v>38221</v>
      </c>
      <c r="H104" s="33">
        <f t="shared" si="254"/>
        <v>18043</v>
      </c>
      <c r="I104" s="33">
        <f t="shared" si="254"/>
        <v>3282</v>
      </c>
      <c r="J104" s="33">
        <f>J47+J74+J92+J101</f>
        <v>14761</v>
      </c>
      <c r="K104" s="4" t="s">
        <v>26</v>
      </c>
      <c r="L104" s="410" t="s">
        <v>41</v>
      </c>
    </row>
    <row r="105" spans="2:12" ht="22.5" customHeight="1" thickBot="1" x14ac:dyDescent="0.25">
      <c r="B105" s="33">
        <f t="shared" si="254"/>
        <v>373</v>
      </c>
      <c r="C105" s="33">
        <f t="shared" si="254"/>
        <v>121</v>
      </c>
      <c r="D105" s="33">
        <f t="shared" si="254"/>
        <v>252</v>
      </c>
      <c r="E105" s="33">
        <f t="shared" si="254"/>
        <v>12166</v>
      </c>
      <c r="F105" s="33">
        <f t="shared" si="254"/>
        <v>1428</v>
      </c>
      <c r="G105" s="33">
        <f t="shared" si="254"/>
        <v>10738</v>
      </c>
      <c r="H105" s="33">
        <f t="shared" si="254"/>
        <v>4933</v>
      </c>
      <c r="I105" s="33">
        <f t="shared" si="254"/>
        <v>591</v>
      </c>
      <c r="J105" s="33">
        <f t="shared" ref="J105:J106" si="255">J48+J75+J93+J102</f>
        <v>4342</v>
      </c>
      <c r="K105" s="4" t="s">
        <v>27</v>
      </c>
      <c r="L105" s="411"/>
    </row>
    <row r="106" spans="2:12" ht="22.5" customHeight="1" thickBot="1" x14ac:dyDescent="0.25">
      <c r="B106" s="33">
        <f t="shared" si="254"/>
        <v>1804</v>
      </c>
      <c r="C106" s="33">
        <f t="shared" si="254"/>
        <v>583</v>
      </c>
      <c r="D106" s="33">
        <f t="shared" si="254"/>
        <v>1221</v>
      </c>
      <c r="E106" s="33">
        <f t="shared" si="254"/>
        <v>58710</v>
      </c>
      <c r="F106" s="33">
        <f t="shared" si="254"/>
        <v>9751</v>
      </c>
      <c r="G106" s="33">
        <f t="shared" si="254"/>
        <v>48959</v>
      </c>
      <c r="H106" s="33">
        <f t="shared" si="254"/>
        <v>22976</v>
      </c>
      <c r="I106" s="33">
        <f t="shared" si="254"/>
        <v>3873</v>
      </c>
      <c r="J106" s="33">
        <f t="shared" si="255"/>
        <v>19103</v>
      </c>
      <c r="K106" s="4" t="s">
        <v>12</v>
      </c>
      <c r="L106" s="412"/>
    </row>
    <row r="108" spans="2:12" ht="22.5" customHeight="1" x14ac:dyDescent="0.2">
      <c r="J108" s="11"/>
    </row>
  </sheetData>
  <mergeCells count="41">
    <mergeCell ref="L104:L106"/>
    <mergeCell ref="L101:L103"/>
    <mergeCell ref="L98:L100"/>
    <mergeCell ref="L95:L97"/>
    <mergeCell ref="K3:K4"/>
    <mergeCell ref="L92:L94"/>
    <mergeCell ref="L89:L91"/>
    <mergeCell ref="L86:L88"/>
    <mergeCell ref="L83:L85"/>
    <mergeCell ref="L80:L82"/>
    <mergeCell ref="L62:L64"/>
    <mergeCell ref="L59:L61"/>
    <mergeCell ref="L56:L58"/>
    <mergeCell ref="L53:L55"/>
    <mergeCell ref="L77:L79"/>
    <mergeCell ref="L74:L76"/>
    <mergeCell ref="L71:L73"/>
    <mergeCell ref="L68:L70"/>
    <mergeCell ref="L65:L67"/>
    <mergeCell ref="L20:L22"/>
    <mergeCell ref="L50:L52"/>
    <mergeCell ref="L47:L49"/>
    <mergeCell ref="L44:L46"/>
    <mergeCell ref="L41:L43"/>
    <mergeCell ref="L38:L40"/>
    <mergeCell ref="L35:L37"/>
    <mergeCell ref="L32:L34"/>
    <mergeCell ref="L29:L31"/>
    <mergeCell ref="L26:L28"/>
    <mergeCell ref="L23:L25"/>
    <mergeCell ref="L17:L19"/>
    <mergeCell ref="L14:L16"/>
    <mergeCell ref="L11:L13"/>
    <mergeCell ref="L8:L10"/>
    <mergeCell ref="L5:L7"/>
    <mergeCell ref="B1:L1"/>
    <mergeCell ref="B2:L2"/>
    <mergeCell ref="B3:D3"/>
    <mergeCell ref="E3:G3"/>
    <mergeCell ref="H3:J3"/>
    <mergeCell ref="L3:L4"/>
  </mergeCells>
  <conditionalFormatting sqref="C41:C42 C44:C45">
    <cfRule type="cellIs" dxfId="2" priority="3" operator="lessThan">
      <formula>0</formula>
    </cfRule>
  </conditionalFormatting>
  <pageMargins left="0.4" right="0.4" top="0.25" bottom="0.25" header="0.25" footer="0.25"/>
  <pageSetup paperSize="9" scale="89" orientation="landscape" r:id="rId1"/>
  <headerFooter alignWithMargins="0"/>
  <rowBreaks count="1" manualBreakCount="1">
    <brk id="43" min="1" max="11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L29"/>
  <sheetViews>
    <sheetView showGridLines="0" zoomScaleSheetLayoutView="100" workbookViewId="0">
      <selection activeCell="F38" sqref="F38"/>
    </sheetView>
  </sheetViews>
  <sheetFormatPr defaultRowHeight="12.75" customHeight="1" x14ac:dyDescent="0.2"/>
  <cols>
    <col min="1" max="1" width="9" style="41"/>
    <col min="2" max="10" width="9.625" style="41" customWidth="1"/>
    <col min="11" max="11" width="30.625" style="41" customWidth="1"/>
    <col min="12" max="12" width="16.375" style="41" customWidth="1"/>
    <col min="13" max="257" width="9" style="41"/>
    <col min="258" max="266" width="9.625" style="41" customWidth="1"/>
    <col min="267" max="267" width="30.625" style="41" customWidth="1"/>
    <col min="268" max="268" width="16.375" style="41" customWidth="1"/>
    <col min="269" max="513" width="9" style="41"/>
    <col min="514" max="522" width="9.625" style="41" customWidth="1"/>
    <col min="523" max="523" width="30.625" style="41" customWidth="1"/>
    <col min="524" max="524" width="16.375" style="41" customWidth="1"/>
    <col min="525" max="769" width="9" style="41"/>
    <col min="770" max="778" width="9.625" style="41" customWidth="1"/>
    <col min="779" max="779" width="30.625" style="41" customWidth="1"/>
    <col min="780" max="780" width="16.375" style="41" customWidth="1"/>
    <col min="781" max="1025" width="9" style="41"/>
    <col min="1026" max="1034" width="9.625" style="41" customWidth="1"/>
    <col min="1035" max="1035" width="30.625" style="41" customWidth="1"/>
    <col min="1036" max="1036" width="16.375" style="41" customWidth="1"/>
    <col min="1037" max="1281" width="9" style="41"/>
    <col min="1282" max="1290" width="9.625" style="41" customWidth="1"/>
    <col min="1291" max="1291" width="30.625" style="41" customWidth="1"/>
    <col min="1292" max="1292" width="16.375" style="41" customWidth="1"/>
    <col min="1293" max="1537" width="9" style="41"/>
    <col min="1538" max="1546" width="9.625" style="41" customWidth="1"/>
    <col min="1547" max="1547" width="30.625" style="41" customWidth="1"/>
    <col min="1548" max="1548" width="16.375" style="41" customWidth="1"/>
    <col min="1549" max="1793" width="9" style="41"/>
    <col min="1794" max="1802" width="9.625" style="41" customWidth="1"/>
    <col min="1803" max="1803" width="30.625" style="41" customWidth="1"/>
    <col min="1804" max="1804" width="16.375" style="41" customWidth="1"/>
    <col min="1805" max="2049" width="9" style="41"/>
    <col min="2050" max="2058" width="9.625" style="41" customWidth="1"/>
    <col min="2059" max="2059" width="30.625" style="41" customWidth="1"/>
    <col min="2060" max="2060" width="16.375" style="41" customWidth="1"/>
    <col min="2061" max="2305" width="9" style="41"/>
    <col min="2306" max="2314" width="9.625" style="41" customWidth="1"/>
    <col min="2315" max="2315" width="30.625" style="41" customWidth="1"/>
    <col min="2316" max="2316" width="16.375" style="41" customWidth="1"/>
    <col min="2317" max="2561" width="9" style="41"/>
    <col min="2562" max="2570" width="9.625" style="41" customWidth="1"/>
    <col min="2571" max="2571" width="30.625" style="41" customWidth="1"/>
    <col min="2572" max="2572" width="16.375" style="41" customWidth="1"/>
    <col min="2573" max="2817" width="9" style="41"/>
    <col min="2818" max="2826" width="9.625" style="41" customWidth="1"/>
    <col min="2827" max="2827" width="30.625" style="41" customWidth="1"/>
    <col min="2828" max="2828" width="16.375" style="41" customWidth="1"/>
    <col min="2829" max="3073" width="9" style="41"/>
    <col min="3074" max="3082" width="9.625" style="41" customWidth="1"/>
    <col min="3083" max="3083" width="30.625" style="41" customWidth="1"/>
    <col min="3084" max="3084" width="16.375" style="41" customWidth="1"/>
    <col min="3085" max="3329" width="9" style="41"/>
    <col min="3330" max="3338" width="9.625" style="41" customWidth="1"/>
    <col min="3339" max="3339" width="30.625" style="41" customWidth="1"/>
    <col min="3340" max="3340" width="16.375" style="41" customWidth="1"/>
    <col min="3341" max="3585" width="9" style="41"/>
    <col min="3586" max="3594" width="9.625" style="41" customWidth="1"/>
    <col min="3595" max="3595" width="30.625" style="41" customWidth="1"/>
    <col min="3596" max="3596" width="16.375" style="41" customWidth="1"/>
    <col min="3597" max="3841" width="9" style="41"/>
    <col min="3842" max="3850" width="9.625" style="41" customWidth="1"/>
    <col min="3851" max="3851" width="30.625" style="41" customWidth="1"/>
    <col min="3852" max="3852" width="16.375" style="41" customWidth="1"/>
    <col min="3853" max="4097" width="9" style="41"/>
    <col min="4098" max="4106" width="9.625" style="41" customWidth="1"/>
    <col min="4107" max="4107" width="30.625" style="41" customWidth="1"/>
    <col min="4108" max="4108" width="16.375" style="41" customWidth="1"/>
    <col min="4109" max="4353" width="9" style="41"/>
    <col min="4354" max="4362" width="9.625" style="41" customWidth="1"/>
    <col min="4363" max="4363" width="30.625" style="41" customWidth="1"/>
    <col min="4364" max="4364" width="16.375" style="41" customWidth="1"/>
    <col min="4365" max="4609" width="9" style="41"/>
    <col min="4610" max="4618" width="9.625" style="41" customWidth="1"/>
    <col min="4619" max="4619" width="30.625" style="41" customWidth="1"/>
    <col min="4620" max="4620" width="16.375" style="41" customWidth="1"/>
    <col min="4621" max="4865" width="9" style="41"/>
    <col min="4866" max="4874" width="9.625" style="41" customWidth="1"/>
    <col min="4875" max="4875" width="30.625" style="41" customWidth="1"/>
    <col min="4876" max="4876" width="16.375" style="41" customWidth="1"/>
    <col min="4877" max="5121" width="9" style="41"/>
    <col min="5122" max="5130" width="9.625" style="41" customWidth="1"/>
    <col min="5131" max="5131" width="30.625" style="41" customWidth="1"/>
    <col min="5132" max="5132" width="16.375" style="41" customWidth="1"/>
    <col min="5133" max="5377" width="9" style="41"/>
    <col min="5378" max="5386" width="9.625" style="41" customWidth="1"/>
    <col min="5387" max="5387" width="30.625" style="41" customWidth="1"/>
    <col min="5388" max="5388" width="16.375" style="41" customWidth="1"/>
    <col min="5389" max="5633" width="9" style="41"/>
    <col min="5634" max="5642" width="9.625" style="41" customWidth="1"/>
    <col min="5643" max="5643" width="30.625" style="41" customWidth="1"/>
    <col min="5644" max="5644" width="16.375" style="41" customWidth="1"/>
    <col min="5645" max="5889" width="9" style="41"/>
    <col min="5890" max="5898" width="9.625" style="41" customWidth="1"/>
    <col min="5899" max="5899" width="30.625" style="41" customWidth="1"/>
    <col min="5900" max="5900" width="16.375" style="41" customWidth="1"/>
    <col min="5901" max="6145" width="9" style="41"/>
    <col min="6146" max="6154" width="9.625" style="41" customWidth="1"/>
    <col min="6155" max="6155" width="30.625" style="41" customWidth="1"/>
    <col min="6156" max="6156" width="16.375" style="41" customWidth="1"/>
    <col min="6157" max="6401" width="9" style="41"/>
    <col min="6402" max="6410" width="9.625" style="41" customWidth="1"/>
    <col min="6411" max="6411" width="30.625" style="41" customWidth="1"/>
    <col min="6412" max="6412" width="16.375" style="41" customWidth="1"/>
    <col min="6413" max="6657" width="9" style="41"/>
    <col min="6658" max="6666" width="9.625" style="41" customWidth="1"/>
    <col min="6667" max="6667" width="30.625" style="41" customWidth="1"/>
    <col min="6668" max="6668" width="16.375" style="41" customWidth="1"/>
    <col min="6669" max="6913" width="9" style="41"/>
    <col min="6914" max="6922" width="9.625" style="41" customWidth="1"/>
    <col min="6923" max="6923" width="30.625" style="41" customWidth="1"/>
    <col min="6924" max="6924" width="16.375" style="41" customWidth="1"/>
    <col min="6925" max="7169" width="9" style="41"/>
    <col min="7170" max="7178" width="9.625" style="41" customWidth="1"/>
    <col min="7179" max="7179" width="30.625" style="41" customWidth="1"/>
    <col min="7180" max="7180" width="16.375" style="41" customWidth="1"/>
    <col min="7181" max="7425" width="9" style="41"/>
    <col min="7426" max="7434" width="9.625" style="41" customWidth="1"/>
    <col min="7435" max="7435" width="30.625" style="41" customWidth="1"/>
    <col min="7436" max="7436" width="16.375" style="41" customWidth="1"/>
    <col min="7437" max="7681" width="9" style="41"/>
    <col min="7682" max="7690" width="9.625" style="41" customWidth="1"/>
    <col min="7691" max="7691" width="30.625" style="41" customWidth="1"/>
    <col min="7692" max="7692" width="16.375" style="41" customWidth="1"/>
    <col min="7693" max="7937" width="9" style="41"/>
    <col min="7938" max="7946" width="9.625" style="41" customWidth="1"/>
    <col min="7947" max="7947" width="30.625" style="41" customWidth="1"/>
    <col min="7948" max="7948" width="16.375" style="41" customWidth="1"/>
    <col min="7949" max="8193" width="9" style="41"/>
    <col min="8194" max="8202" width="9.625" style="41" customWidth="1"/>
    <col min="8203" max="8203" width="30.625" style="41" customWidth="1"/>
    <col min="8204" max="8204" width="16.375" style="41" customWidth="1"/>
    <col min="8205" max="8449" width="9" style="41"/>
    <col min="8450" max="8458" width="9.625" style="41" customWidth="1"/>
    <col min="8459" max="8459" width="30.625" style="41" customWidth="1"/>
    <col min="8460" max="8460" width="16.375" style="41" customWidth="1"/>
    <col min="8461" max="8705" width="9" style="41"/>
    <col min="8706" max="8714" width="9.625" style="41" customWidth="1"/>
    <col min="8715" max="8715" width="30.625" style="41" customWidth="1"/>
    <col min="8716" max="8716" width="16.375" style="41" customWidth="1"/>
    <col min="8717" max="8961" width="9" style="41"/>
    <col min="8962" max="8970" width="9.625" style="41" customWidth="1"/>
    <col min="8971" max="8971" width="30.625" style="41" customWidth="1"/>
    <col min="8972" max="8972" width="16.375" style="41" customWidth="1"/>
    <col min="8973" max="9217" width="9" style="41"/>
    <col min="9218" max="9226" width="9.625" style="41" customWidth="1"/>
    <col min="9227" max="9227" width="30.625" style="41" customWidth="1"/>
    <col min="9228" max="9228" width="16.375" style="41" customWidth="1"/>
    <col min="9229" max="9473" width="9" style="41"/>
    <col min="9474" max="9482" width="9.625" style="41" customWidth="1"/>
    <col min="9483" max="9483" width="30.625" style="41" customWidth="1"/>
    <col min="9484" max="9484" width="16.375" style="41" customWidth="1"/>
    <col min="9485" max="9729" width="9" style="41"/>
    <col min="9730" max="9738" width="9.625" style="41" customWidth="1"/>
    <col min="9739" max="9739" width="30.625" style="41" customWidth="1"/>
    <col min="9740" max="9740" width="16.375" style="41" customWidth="1"/>
    <col min="9741" max="9985" width="9" style="41"/>
    <col min="9986" max="9994" width="9.625" style="41" customWidth="1"/>
    <col min="9995" max="9995" width="30.625" style="41" customWidth="1"/>
    <col min="9996" max="9996" width="16.375" style="41" customWidth="1"/>
    <col min="9997" max="10241" width="9" style="41"/>
    <col min="10242" max="10250" width="9.625" style="41" customWidth="1"/>
    <col min="10251" max="10251" width="30.625" style="41" customWidth="1"/>
    <col min="10252" max="10252" width="16.375" style="41" customWidth="1"/>
    <col min="10253" max="10497" width="9" style="41"/>
    <col min="10498" max="10506" width="9.625" style="41" customWidth="1"/>
    <col min="10507" max="10507" width="30.625" style="41" customWidth="1"/>
    <col min="10508" max="10508" width="16.375" style="41" customWidth="1"/>
    <col min="10509" max="10753" width="9" style="41"/>
    <col min="10754" max="10762" width="9.625" style="41" customWidth="1"/>
    <col min="10763" max="10763" width="30.625" style="41" customWidth="1"/>
    <col min="10764" max="10764" width="16.375" style="41" customWidth="1"/>
    <col min="10765" max="11009" width="9" style="41"/>
    <col min="11010" max="11018" width="9.625" style="41" customWidth="1"/>
    <col min="11019" max="11019" width="30.625" style="41" customWidth="1"/>
    <col min="11020" max="11020" width="16.375" style="41" customWidth="1"/>
    <col min="11021" max="11265" width="9" style="41"/>
    <col min="11266" max="11274" width="9.625" style="41" customWidth="1"/>
    <col min="11275" max="11275" width="30.625" style="41" customWidth="1"/>
    <col min="11276" max="11276" width="16.375" style="41" customWidth="1"/>
    <col min="11277" max="11521" width="9" style="41"/>
    <col min="11522" max="11530" width="9.625" style="41" customWidth="1"/>
    <col min="11531" max="11531" width="30.625" style="41" customWidth="1"/>
    <col min="11532" max="11532" width="16.375" style="41" customWidth="1"/>
    <col min="11533" max="11777" width="9" style="41"/>
    <col min="11778" max="11786" width="9.625" style="41" customWidth="1"/>
    <col min="11787" max="11787" width="30.625" style="41" customWidth="1"/>
    <col min="11788" max="11788" width="16.375" style="41" customWidth="1"/>
    <col min="11789" max="12033" width="9" style="41"/>
    <col min="12034" max="12042" width="9.625" style="41" customWidth="1"/>
    <col min="12043" max="12043" width="30.625" style="41" customWidth="1"/>
    <col min="12044" max="12044" width="16.375" style="41" customWidth="1"/>
    <col min="12045" max="12289" width="9" style="41"/>
    <col min="12290" max="12298" width="9.625" style="41" customWidth="1"/>
    <col min="12299" max="12299" width="30.625" style="41" customWidth="1"/>
    <col min="12300" max="12300" width="16.375" style="41" customWidth="1"/>
    <col min="12301" max="12545" width="9" style="41"/>
    <col min="12546" max="12554" width="9.625" style="41" customWidth="1"/>
    <col min="12555" max="12555" width="30.625" style="41" customWidth="1"/>
    <col min="12556" max="12556" width="16.375" style="41" customWidth="1"/>
    <col min="12557" max="12801" width="9" style="41"/>
    <col min="12802" max="12810" width="9.625" style="41" customWidth="1"/>
    <col min="12811" max="12811" width="30.625" style="41" customWidth="1"/>
    <col min="12812" max="12812" width="16.375" style="41" customWidth="1"/>
    <col min="12813" max="13057" width="9" style="41"/>
    <col min="13058" max="13066" width="9.625" style="41" customWidth="1"/>
    <col min="13067" max="13067" width="30.625" style="41" customWidth="1"/>
    <col min="13068" max="13068" width="16.375" style="41" customWidth="1"/>
    <col min="13069" max="13313" width="9" style="41"/>
    <col min="13314" max="13322" width="9.625" style="41" customWidth="1"/>
    <col min="13323" max="13323" width="30.625" style="41" customWidth="1"/>
    <col min="13324" max="13324" width="16.375" style="41" customWidth="1"/>
    <col min="13325" max="13569" width="9" style="41"/>
    <col min="13570" max="13578" width="9.625" style="41" customWidth="1"/>
    <col min="13579" max="13579" width="30.625" style="41" customWidth="1"/>
    <col min="13580" max="13580" width="16.375" style="41" customWidth="1"/>
    <col min="13581" max="13825" width="9" style="41"/>
    <col min="13826" max="13834" width="9.625" style="41" customWidth="1"/>
    <col min="13835" max="13835" width="30.625" style="41" customWidth="1"/>
    <col min="13836" max="13836" width="16.375" style="41" customWidth="1"/>
    <col min="13837" max="14081" width="9" style="41"/>
    <col min="14082" max="14090" width="9.625" style="41" customWidth="1"/>
    <col min="14091" max="14091" width="30.625" style="41" customWidth="1"/>
    <col min="14092" max="14092" width="16.375" style="41" customWidth="1"/>
    <col min="14093" max="14337" width="9" style="41"/>
    <col min="14338" max="14346" width="9.625" style="41" customWidth="1"/>
    <col min="14347" max="14347" width="30.625" style="41" customWidth="1"/>
    <col min="14348" max="14348" width="16.375" style="41" customWidth="1"/>
    <col min="14349" max="14593" width="9" style="41"/>
    <col min="14594" max="14602" width="9.625" style="41" customWidth="1"/>
    <col min="14603" max="14603" width="30.625" style="41" customWidth="1"/>
    <col min="14604" max="14604" width="16.375" style="41" customWidth="1"/>
    <col min="14605" max="14849" width="9" style="41"/>
    <col min="14850" max="14858" width="9.625" style="41" customWidth="1"/>
    <col min="14859" max="14859" width="30.625" style="41" customWidth="1"/>
    <col min="14860" max="14860" width="16.375" style="41" customWidth="1"/>
    <col min="14861" max="15105" width="9" style="41"/>
    <col min="15106" max="15114" width="9.625" style="41" customWidth="1"/>
    <col min="15115" max="15115" width="30.625" style="41" customWidth="1"/>
    <col min="15116" max="15116" width="16.375" style="41" customWidth="1"/>
    <col min="15117" max="15361" width="9" style="41"/>
    <col min="15362" max="15370" width="9.625" style="41" customWidth="1"/>
    <col min="15371" max="15371" width="30.625" style="41" customWidth="1"/>
    <col min="15372" max="15372" width="16.375" style="41" customWidth="1"/>
    <col min="15373" max="15617" width="9" style="41"/>
    <col min="15618" max="15626" width="9.625" style="41" customWidth="1"/>
    <col min="15627" max="15627" width="30.625" style="41" customWidth="1"/>
    <col min="15628" max="15628" width="16.375" style="41" customWidth="1"/>
    <col min="15629" max="15873" width="9" style="41"/>
    <col min="15874" max="15882" width="9.625" style="41" customWidth="1"/>
    <col min="15883" max="15883" width="30.625" style="41" customWidth="1"/>
    <col min="15884" max="15884" width="16.375" style="41" customWidth="1"/>
    <col min="15885" max="16129" width="9" style="41"/>
    <col min="16130" max="16138" width="9.625" style="41" customWidth="1"/>
    <col min="16139" max="16139" width="30.625" style="41" customWidth="1"/>
    <col min="16140" max="16140" width="16.375" style="41" customWidth="1"/>
    <col min="16141" max="16384" width="9" style="41"/>
  </cols>
  <sheetData>
    <row r="1" spans="2:12" ht="12.75" customHeight="1" x14ac:dyDescent="0.2">
      <c r="B1" s="451" t="s">
        <v>225</v>
      </c>
      <c r="C1" s="451"/>
      <c r="D1" s="451"/>
      <c r="E1" s="451"/>
      <c r="F1" s="451"/>
      <c r="G1" s="451"/>
      <c r="H1" s="451"/>
      <c r="I1" s="451"/>
      <c r="J1" s="451"/>
      <c r="K1" s="451"/>
      <c r="L1" s="40"/>
    </row>
    <row r="2" spans="2:12" ht="12.75" customHeight="1" thickBot="1" x14ac:dyDescent="0.25">
      <c r="B2" s="452" t="s">
        <v>226</v>
      </c>
      <c r="C2" s="452"/>
      <c r="D2" s="452"/>
      <c r="E2" s="452"/>
      <c r="F2" s="452"/>
      <c r="G2" s="452"/>
      <c r="H2" s="452"/>
      <c r="I2" s="452"/>
      <c r="J2" s="452"/>
      <c r="K2" s="452"/>
      <c r="L2" s="40"/>
    </row>
    <row r="3" spans="2:12" ht="12.75" customHeight="1" thickBot="1" x14ac:dyDescent="0.25">
      <c r="B3" s="453" t="s">
        <v>4</v>
      </c>
      <c r="C3" s="453"/>
      <c r="D3" s="453"/>
      <c r="E3" s="453" t="s">
        <v>145</v>
      </c>
      <c r="F3" s="453"/>
      <c r="G3" s="453"/>
      <c r="H3" s="453" t="s">
        <v>146</v>
      </c>
      <c r="I3" s="453"/>
      <c r="J3" s="453"/>
      <c r="K3" s="42"/>
      <c r="L3" s="40"/>
    </row>
    <row r="4" spans="2:12" ht="12.75" customHeight="1" thickBot="1" x14ac:dyDescent="0.25">
      <c r="B4" s="43" t="s">
        <v>227</v>
      </c>
      <c r="C4" s="43" t="s">
        <v>10</v>
      </c>
      <c r="D4" s="43" t="s">
        <v>9</v>
      </c>
      <c r="E4" s="43" t="s">
        <v>227</v>
      </c>
      <c r="F4" s="43" t="s">
        <v>10</v>
      </c>
      <c r="G4" s="43" t="s">
        <v>9</v>
      </c>
      <c r="H4" s="43" t="s">
        <v>227</v>
      </c>
      <c r="I4" s="43" t="s">
        <v>10</v>
      </c>
      <c r="J4" s="43" t="s">
        <v>9</v>
      </c>
      <c r="K4" s="44" t="s">
        <v>66</v>
      </c>
      <c r="L4" s="40"/>
    </row>
    <row r="5" spans="2:12" ht="12.75" customHeight="1" thickBot="1" x14ac:dyDescent="0.25">
      <c r="B5" s="45">
        <f>SUM(C5:D5)</f>
        <v>1881</v>
      </c>
      <c r="C5" s="45">
        <f>I5+F5</f>
        <v>530</v>
      </c>
      <c r="D5" s="45">
        <f>J5+G5</f>
        <v>1351</v>
      </c>
      <c r="E5" s="45">
        <f>SUM(F5:G5)</f>
        <v>38</v>
      </c>
      <c r="F5" s="45">
        <v>0</v>
      </c>
      <c r="G5" s="45">
        <v>38</v>
      </c>
      <c r="H5" s="45">
        <f>SUM(I5:J5)</f>
        <v>1843</v>
      </c>
      <c r="I5" s="45">
        <v>530</v>
      </c>
      <c r="J5" s="45">
        <v>1313</v>
      </c>
      <c r="K5" s="46" t="s">
        <v>68</v>
      </c>
      <c r="L5" s="40"/>
    </row>
    <row r="6" spans="2:12" ht="12.75" customHeight="1" thickBot="1" x14ac:dyDescent="0.25">
      <c r="B6" s="45">
        <f t="shared" ref="B6:B28" si="0">SUM(C6:D6)</f>
        <v>470</v>
      </c>
      <c r="C6" s="45">
        <f t="shared" ref="C6:D28" si="1">I6+F6</f>
        <v>0</v>
      </c>
      <c r="D6" s="45">
        <f t="shared" si="1"/>
        <v>470</v>
      </c>
      <c r="E6" s="45">
        <f t="shared" ref="E6:E28" si="2">SUM(F6:G6)</f>
        <v>470</v>
      </c>
      <c r="F6" s="45">
        <v>0</v>
      </c>
      <c r="G6" s="45">
        <v>470</v>
      </c>
      <c r="H6" s="45">
        <f t="shared" ref="H6:H28" si="3">SUM(I6:J6)</f>
        <v>0</v>
      </c>
      <c r="I6" s="45">
        <v>0</v>
      </c>
      <c r="J6" s="45">
        <v>0</v>
      </c>
      <c r="K6" s="46" t="s">
        <v>147</v>
      </c>
      <c r="L6" s="40"/>
    </row>
    <row r="7" spans="2:12" ht="12.75" customHeight="1" thickBot="1" x14ac:dyDescent="0.25">
      <c r="B7" s="45">
        <f t="shared" si="0"/>
        <v>1072</v>
      </c>
      <c r="C7" s="45">
        <f t="shared" si="1"/>
        <v>56</v>
      </c>
      <c r="D7" s="45">
        <f t="shared" si="1"/>
        <v>1016</v>
      </c>
      <c r="E7" s="45">
        <f t="shared" si="2"/>
        <v>522</v>
      </c>
      <c r="F7" s="45">
        <v>1</v>
      </c>
      <c r="G7" s="45">
        <v>521</v>
      </c>
      <c r="H7" s="45">
        <f t="shared" si="3"/>
        <v>550</v>
      </c>
      <c r="I7" s="45">
        <v>55</v>
      </c>
      <c r="J7" s="45">
        <v>495</v>
      </c>
      <c r="K7" s="46" t="s">
        <v>70</v>
      </c>
      <c r="L7" s="40"/>
    </row>
    <row r="8" spans="2:12" ht="12.75" customHeight="1" thickBot="1" x14ac:dyDescent="0.25">
      <c r="B8" s="45">
        <f t="shared" si="0"/>
        <v>4614</v>
      </c>
      <c r="C8" s="45">
        <f t="shared" si="1"/>
        <v>1592</v>
      </c>
      <c r="D8" s="45">
        <f t="shared" si="1"/>
        <v>3022</v>
      </c>
      <c r="E8" s="45">
        <f t="shared" si="2"/>
        <v>185</v>
      </c>
      <c r="F8" s="45">
        <v>66</v>
      </c>
      <c r="G8" s="45">
        <v>119</v>
      </c>
      <c r="H8" s="45">
        <f t="shared" si="3"/>
        <v>4429</v>
      </c>
      <c r="I8" s="45">
        <v>1526</v>
      </c>
      <c r="J8" s="45">
        <v>2903</v>
      </c>
      <c r="K8" s="46" t="s">
        <v>72</v>
      </c>
      <c r="L8" s="40"/>
    </row>
    <row r="9" spans="2:12" ht="12.75" customHeight="1" thickBot="1" x14ac:dyDescent="0.25">
      <c r="B9" s="45">
        <f t="shared" si="0"/>
        <v>902</v>
      </c>
      <c r="C9" s="45">
        <f t="shared" si="1"/>
        <v>374</v>
      </c>
      <c r="D9" s="45">
        <f t="shared" si="1"/>
        <v>528</v>
      </c>
      <c r="E9" s="45">
        <f t="shared" si="2"/>
        <v>14</v>
      </c>
      <c r="F9" s="45">
        <v>10</v>
      </c>
      <c r="G9" s="45">
        <v>4</v>
      </c>
      <c r="H9" s="45">
        <f t="shared" si="3"/>
        <v>888</v>
      </c>
      <c r="I9" s="45">
        <v>364</v>
      </c>
      <c r="J9" s="45">
        <v>524</v>
      </c>
      <c r="K9" s="46" t="s">
        <v>73</v>
      </c>
      <c r="L9" s="40"/>
    </row>
    <row r="10" spans="2:12" ht="12.75" customHeight="1" thickBot="1" x14ac:dyDescent="0.25">
      <c r="B10" s="45">
        <f t="shared" si="0"/>
        <v>1071</v>
      </c>
      <c r="C10" s="45">
        <f t="shared" si="1"/>
        <v>0</v>
      </c>
      <c r="D10" s="45">
        <f t="shared" si="1"/>
        <v>1071</v>
      </c>
      <c r="E10" s="45">
        <f t="shared" si="2"/>
        <v>50</v>
      </c>
      <c r="F10" s="45">
        <v>0</v>
      </c>
      <c r="G10" s="45">
        <v>50</v>
      </c>
      <c r="H10" s="45">
        <f t="shared" si="3"/>
        <v>1021</v>
      </c>
      <c r="I10" s="45">
        <v>0</v>
      </c>
      <c r="J10" s="45">
        <v>1021</v>
      </c>
      <c r="K10" s="46" t="s">
        <v>90</v>
      </c>
      <c r="L10" s="40"/>
    </row>
    <row r="11" spans="2:12" ht="12.75" customHeight="1" thickBot="1" x14ac:dyDescent="0.25">
      <c r="B11" s="45">
        <f t="shared" si="0"/>
        <v>1671</v>
      </c>
      <c r="C11" s="45">
        <f t="shared" si="1"/>
        <v>1497</v>
      </c>
      <c r="D11" s="45">
        <f t="shared" si="1"/>
        <v>174</v>
      </c>
      <c r="E11" s="45">
        <f t="shared" si="2"/>
        <v>5</v>
      </c>
      <c r="F11" s="45">
        <v>5</v>
      </c>
      <c r="G11" s="45">
        <v>0</v>
      </c>
      <c r="H11" s="45">
        <f t="shared" si="3"/>
        <v>1666</v>
      </c>
      <c r="I11" s="45">
        <v>1492</v>
      </c>
      <c r="J11" s="45">
        <v>174</v>
      </c>
      <c r="K11" s="46" t="s">
        <v>74</v>
      </c>
      <c r="L11" s="40"/>
    </row>
    <row r="12" spans="2:12" ht="12.75" customHeight="1" thickBot="1" x14ac:dyDescent="0.25">
      <c r="B12" s="45">
        <f t="shared" si="0"/>
        <v>3223</v>
      </c>
      <c r="C12" s="45">
        <f t="shared" si="1"/>
        <v>1314</v>
      </c>
      <c r="D12" s="45">
        <f t="shared" si="1"/>
        <v>1909</v>
      </c>
      <c r="E12" s="45">
        <f t="shared" si="2"/>
        <v>2</v>
      </c>
      <c r="F12" s="45">
        <v>1</v>
      </c>
      <c r="G12" s="45">
        <v>1</v>
      </c>
      <c r="H12" s="45">
        <f t="shared" si="3"/>
        <v>3221</v>
      </c>
      <c r="I12" s="45">
        <v>1313</v>
      </c>
      <c r="J12" s="45">
        <v>1908</v>
      </c>
      <c r="K12" s="46" t="s">
        <v>75</v>
      </c>
      <c r="L12" s="40"/>
    </row>
    <row r="13" spans="2:12" ht="12.75" customHeight="1" thickBot="1" x14ac:dyDescent="0.25">
      <c r="B13" s="45">
        <f t="shared" si="0"/>
        <v>572</v>
      </c>
      <c r="C13" s="45">
        <f t="shared" si="1"/>
        <v>164</v>
      </c>
      <c r="D13" s="45">
        <f t="shared" si="1"/>
        <v>408</v>
      </c>
      <c r="E13" s="45">
        <f t="shared" si="2"/>
        <v>0</v>
      </c>
      <c r="F13" s="45">
        <v>0</v>
      </c>
      <c r="G13" s="45">
        <v>0</v>
      </c>
      <c r="H13" s="45">
        <f t="shared" si="3"/>
        <v>572</v>
      </c>
      <c r="I13" s="45">
        <v>164</v>
      </c>
      <c r="J13" s="45">
        <v>408</v>
      </c>
      <c r="K13" s="46" t="s">
        <v>100</v>
      </c>
      <c r="L13" s="40"/>
    </row>
    <row r="14" spans="2:12" ht="12.75" customHeight="1" thickBot="1" x14ac:dyDescent="0.25">
      <c r="B14" s="45">
        <f t="shared" si="0"/>
        <v>1929</v>
      </c>
      <c r="C14" s="45">
        <f t="shared" si="1"/>
        <v>1209</v>
      </c>
      <c r="D14" s="45">
        <f t="shared" si="1"/>
        <v>720</v>
      </c>
      <c r="E14" s="45">
        <f t="shared" si="2"/>
        <v>10</v>
      </c>
      <c r="F14" s="45">
        <v>6</v>
      </c>
      <c r="G14" s="45">
        <v>4</v>
      </c>
      <c r="H14" s="45">
        <f t="shared" si="3"/>
        <v>1919</v>
      </c>
      <c r="I14" s="45">
        <v>1203</v>
      </c>
      <c r="J14" s="45">
        <v>716</v>
      </c>
      <c r="K14" s="46" t="s">
        <v>76</v>
      </c>
      <c r="L14" s="40"/>
    </row>
    <row r="15" spans="2:12" ht="12.75" customHeight="1" thickBot="1" x14ac:dyDescent="0.25">
      <c r="B15" s="45">
        <f t="shared" si="0"/>
        <v>1304</v>
      </c>
      <c r="C15" s="45">
        <f t="shared" si="1"/>
        <v>681</v>
      </c>
      <c r="D15" s="45">
        <f t="shared" si="1"/>
        <v>623</v>
      </c>
      <c r="E15" s="45">
        <f t="shared" si="2"/>
        <v>4</v>
      </c>
      <c r="F15" s="45">
        <v>1</v>
      </c>
      <c r="G15" s="45">
        <v>3</v>
      </c>
      <c r="H15" s="45">
        <f t="shared" si="3"/>
        <v>1300</v>
      </c>
      <c r="I15" s="45">
        <v>680</v>
      </c>
      <c r="J15" s="45">
        <v>620</v>
      </c>
      <c r="K15" s="46" t="s">
        <v>77</v>
      </c>
      <c r="L15" s="40"/>
    </row>
    <row r="16" spans="2:12" ht="12.75" customHeight="1" thickBot="1" x14ac:dyDescent="0.25">
      <c r="B16" s="45">
        <f t="shared" si="0"/>
        <v>1539</v>
      </c>
      <c r="C16" s="45">
        <f t="shared" si="1"/>
        <v>400</v>
      </c>
      <c r="D16" s="45">
        <f t="shared" si="1"/>
        <v>1139</v>
      </c>
      <c r="E16" s="45">
        <f t="shared" si="2"/>
        <v>0</v>
      </c>
      <c r="F16" s="45">
        <v>0</v>
      </c>
      <c r="G16" s="45">
        <v>0</v>
      </c>
      <c r="H16" s="45">
        <f t="shared" si="3"/>
        <v>1539</v>
      </c>
      <c r="I16" s="45">
        <v>400</v>
      </c>
      <c r="J16" s="45">
        <v>1139</v>
      </c>
      <c r="K16" s="46" t="s">
        <v>106</v>
      </c>
      <c r="L16" s="40"/>
    </row>
    <row r="17" spans="2:12" ht="12.75" customHeight="1" thickBot="1" x14ac:dyDescent="0.25">
      <c r="B17" s="45">
        <f t="shared" si="0"/>
        <v>485</v>
      </c>
      <c r="C17" s="45">
        <f t="shared" si="1"/>
        <v>321</v>
      </c>
      <c r="D17" s="45">
        <f t="shared" si="1"/>
        <v>164</v>
      </c>
      <c r="E17" s="45">
        <f t="shared" si="2"/>
        <v>0</v>
      </c>
      <c r="F17" s="45">
        <v>0</v>
      </c>
      <c r="G17" s="45">
        <v>0</v>
      </c>
      <c r="H17" s="45">
        <f t="shared" si="3"/>
        <v>485</v>
      </c>
      <c r="I17" s="45">
        <v>321</v>
      </c>
      <c r="J17" s="45">
        <v>164</v>
      </c>
      <c r="K17" s="46" t="s">
        <v>109</v>
      </c>
      <c r="L17" s="40"/>
    </row>
    <row r="18" spans="2:12" ht="12.75" customHeight="1" thickBot="1" x14ac:dyDescent="0.25">
      <c r="B18" s="45">
        <f t="shared" si="0"/>
        <v>441</v>
      </c>
      <c r="C18" s="45">
        <f t="shared" si="1"/>
        <v>322</v>
      </c>
      <c r="D18" s="45">
        <f t="shared" si="1"/>
        <v>119</v>
      </c>
      <c r="E18" s="45">
        <f t="shared" si="2"/>
        <v>0</v>
      </c>
      <c r="F18" s="45">
        <v>0</v>
      </c>
      <c r="G18" s="45">
        <v>0</v>
      </c>
      <c r="H18" s="45">
        <f t="shared" si="3"/>
        <v>441</v>
      </c>
      <c r="I18" s="45">
        <v>322</v>
      </c>
      <c r="J18" s="45">
        <v>119</v>
      </c>
      <c r="K18" s="46" t="s">
        <v>111</v>
      </c>
      <c r="L18" s="40"/>
    </row>
    <row r="19" spans="2:12" ht="12.75" customHeight="1" thickBot="1" x14ac:dyDescent="0.25">
      <c r="B19" s="45">
        <f t="shared" si="0"/>
        <v>1112</v>
      </c>
      <c r="C19" s="45">
        <f t="shared" si="1"/>
        <v>638</v>
      </c>
      <c r="D19" s="45">
        <f t="shared" si="1"/>
        <v>474</v>
      </c>
      <c r="E19" s="45">
        <f t="shared" si="2"/>
        <v>0</v>
      </c>
      <c r="F19" s="45">
        <v>0</v>
      </c>
      <c r="G19" s="45">
        <v>0</v>
      </c>
      <c r="H19" s="45">
        <f t="shared" si="3"/>
        <v>1112</v>
      </c>
      <c r="I19" s="45">
        <v>638</v>
      </c>
      <c r="J19" s="45">
        <v>474</v>
      </c>
      <c r="K19" s="46" t="s">
        <v>115</v>
      </c>
      <c r="L19" s="40"/>
    </row>
    <row r="20" spans="2:12" ht="12.75" customHeight="1" thickBot="1" x14ac:dyDescent="0.25">
      <c r="B20" s="45">
        <f t="shared" si="0"/>
        <v>661</v>
      </c>
      <c r="C20" s="45">
        <f t="shared" si="1"/>
        <v>100</v>
      </c>
      <c r="D20" s="45">
        <f t="shared" si="1"/>
        <v>561</v>
      </c>
      <c r="E20" s="45">
        <f t="shared" si="2"/>
        <v>0</v>
      </c>
      <c r="F20" s="45">
        <v>0</v>
      </c>
      <c r="G20" s="45">
        <v>0</v>
      </c>
      <c r="H20" s="45">
        <f t="shared" si="3"/>
        <v>661</v>
      </c>
      <c r="I20" s="45">
        <v>100</v>
      </c>
      <c r="J20" s="45">
        <v>561</v>
      </c>
      <c r="K20" s="46" t="s">
        <v>117</v>
      </c>
      <c r="L20" s="40"/>
    </row>
    <row r="21" spans="2:12" ht="12.75" customHeight="1" thickBot="1" x14ac:dyDescent="0.25">
      <c r="B21" s="45">
        <f t="shared" si="0"/>
        <v>391</v>
      </c>
      <c r="C21" s="45">
        <f t="shared" si="1"/>
        <v>272</v>
      </c>
      <c r="D21" s="45">
        <f t="shared" si="1"/>
        <v>119</v>
      </c>
      <c r="E21" s="45">
        <f t="shared" si="2"/>
        <v>2</v>
      </c>
      <c r="F21" s="45">
        <v>1</v>
      </c>
      <c r="G21" s="45">
        <v>1</v>
      </c>
      <c r="H21" s="45">
        <f t="shared" si="3"/>
        <v>389</v>
      </c>
      <c r="I21" s="45">
        <v>271</v>
      </c>
      <c r="J21" s="45">
        <v>118</v>
      </c>
      <c r="K21" s="46" t="s">
        <v>119</v>
      </c>
      <c r="L21" s="40"/>
    </row>
    <row r="22" spans="2:12" ht="12.75" customHeight="1" thickBot="1" x14ac:dyDescent="0.25">
      <c r="B22" s="45">
        <f t="shared" si="0"/>
        <v>1383</v>
      </c>
      <c r="C22" s="45">
        <f t="shared" si="1"/>
        <v>1383</v>
      </c>
      <c r="D22" s="45">
        <f t="shared" si="1"/>
        <v>0</v>
      </c>
      <c r="E22" s="45">
        <f t="shared" si="2"/>
        <v>0</v>
      </c>
      <c r="F22" s="45">
        <v>0</v>
      </c>
      <c r="G22" s="45">
        <v>0</v>
      </c>
      <c r="H22" s="45">
        <f t="shared" si="3"/>
        <v>1383</v>
      </c>
      <c r="I22" s="45">
        <v>1383</v>
      </c>
      <c r="J22" s="45">
        <v>0</v>
      </c>
      <c r="K22" s="46" t="s">
        <v>121</v>
      </c>
      <c r="L22" s="40"/>
    </row>
    <row r="23" spans="2:12" ht="12.75" customHeight="1" thickBot="1" x14ac:dyDescent="0.25">
      <c r="B23" s="47">
        <f t="shared" si="0"/>
        <v>415</v>
      </c>
      <c r="C23" s="45">
        <f t="shared" si="1"/>
        <v>259</v>
      </c>
      <c r="D23" s="45">
        <f t="shared" si="1"/>
        <v>156</v>
      </c>
      <c r="E23" s="47">
        <f t="shared" si="2"/>
        <v>0</v>
      </c>
      <c r="F23" s="47">
        <v>0</v>
      </c>
      <c r="G23" s="47">
        <v>0</v>
      </c>
      <c r="H23" s="45">
        <f t="shared" si="3"/>
        <v>415</v>
      </c>
      <c r="I23" s="47">
        <v>259</v>
      </c>
      <c r="J23" s="47">
        <v>156</v>
      </c>
      <c r="K23" s="46" t="s">
        <v>123</v>
      </c>
      <c r="L23" s="40"/>
    </row>
    <row r="24" spans="2:12" ht="12.75" customHeight="1" thickBot="1" x14ac:dyDescent="0.25">
      <c r="B24" s="45">
        <f t="shared" si="0"/>
        <v>40533</v>
      </c>
      <c r="C24" s="45">
        <f t="shared" si="1"/>
        <v>2927</v>
      </c>
      <c r="D24" s="45">
        <f t="shared" si="1"/>
        <v>37606</v>
      </c>
      <c r="E24" s="45">
        <f t="shared" si="2"/>
        <v>0</v>
      </c>
      <c r="F24" s="45">
        <v>0</v>
      </c>
      <c r="G24" s="45">
        <v>0</v>
      </c>
      <c r="H24" s="45">
        <f t="shared" si="3"/>
        <v>40533</v>
      </c>
      <c r="I24" s="45">
        <v>2927</v>
      </c>
      <c r="J24" s="45">
        <v>37606</v>
      </c>
      <c r="K24" s="46" t="s">
        <v>151</v>
      </c>
      <c r="L24" s="40"/>
    </row>
    <row r="25" spans="2:12" ht="12.75" customHeight="1" thickBot="1" x14ac:dyDescent="0.25">
      <c r="B25" s="45">
        <f t="shared" si="0"/>
        <v>174</v>
      </c>
      <c r="C25" s="45">
        <f t="shared" si="1"/>
        <v>75</v>
      </c>
      <c r="D25" s="45">
        <f t="shared" si="1"/>
        <v>99</v>
      </c>
      <c r="E25" s="45">
        <f t="shared" si="2"/>
        <v>0</v>
      </c>
      <c r="F25" s="45">
        <v>0</v>
      </c>
      <c r="G25" s="45">
        <v>0</v>
      </c>
      <c r="H25" s="45">
        <f t="shared" si="3"/>
        <v>174</v>
      </c>
      <c r="I25" s="45">
        <v>75</v>
      </c>
      <c r="J25" s="45">
        <v>99</v>
      </c>
      <c r="K25" s="46" t="s">
        <v>152</v>
      </c>
      <c r="L25" s="40"/>
    </row>
    <row r="26" spans="2:12" ht="12.75" customHeight="1" thickBot="1" x14ac:dyDescent="0.25">
      <c r="B26" s="45">
        <f t="shared" si="0"/>
        <v>2540</v>
      </c>
      <c r="C26" s="45">
        <f t="shared" si="1"/>
        <v>0</v>
      </c>
      <c r="D26" s="45">
        <f t="shared" si="1"/>
        <v>2540</v>
      </c>
      <c r="E26" s="45">
        <f t="shared" si="2"/>
        <v>0</v>
      </c>
      <c r="F26" s="45">
        <v>0</v>
      </c>
      <c r="G26" s="45">
        <v>0</v>
      </c>
      <c r="H26" s="45">
        <f t="shared" si="3"/>
        <v>2540</v>
      </c>
      <c r="I26" s="45">
        <v>0</v>
      </c>
      <c r="J26" s="45">
        <v>2540</v>
      </c>
      <c r="K26" s="46" t="s">
        <v>228</v>
      </c>
      <c r="L26" s="40"/>
    </row>
    <row r="27" spans="2:12" ht="12.75" customHeight="1" thickBot="1" x14ac:dyDescent="0.25">
      <c r="B27" s="45">
        <f t="shared" si="0"/>
        <v>1063</v>
      </c>
      <c r="C27" s="45">
        <f t="shared" si="1"/>
        <v>66</v>
      </c>
      <c r="D27" s="45">
        <f t="shared" si="1"/>
        <v>997</v>
      </c>
      <c r="E27" s="45">
        <f t="shared" si="2"/>
        <v>0</v>
      </c>
      <c r="F27" s="45">
        <v>0</v>
      </c>
      <c r="G27" s="45">
        <v>0</v>
      </c>
      <c r="H27" s="45">
        <f t="shared" si="3"/>
        <v>1063</v>
      </c>
      <c r="I27" s="45">
        <v>66</v>
      </c>
      <c r="J27" s="45">
        <v>997</v>
      </c>
      <c r="K27" s="46" t="s">
        <v>153</v>
      </c>
      <c r="L27" s="40"/>
    </row>
    <row r="28" spans="2:12" ht="12.75" customHeight="1" thickBot="1" x14ac:dyDescent="0.25">
      <c r="B28" s="45">
        <f t="shared" si="0"/>
        <v>139</v>
      </c>
      <c r="C28" s="45">
        <f t="shared" si="1"/>
        <v>89</v>
      </c>
      <c r="D28" s="45">
        <f t="shared" si="1"/>
        <v>50</v>
      </c>
      <c r="E28" s="45">
        <f t="shared" si="2"/>
        <v>0</v>
      </c>
      <c r="F28" s="45">
        <v>0</v>
      </c>
      <c r="G28" s="45">
        <v>0</v>
      </c>
      <c r="H28" s="45">
        <f t="shared" si="3"/>
        <v>139</v>
      </c>
      <c r="I28" s="45">
        <v>89</v>
      </c>
      <c r="J28" s="45">
        <v>50</v>
      </c>
      <c r="K28" s="46" t="s">
        <v>155</v>
      </c>
      <c r="L28" s="40"/>
    </row>
    <row r="29" spans="2:12" ht="12.75" customHeight="1" thickBot="1" x14ac:dyDescent="0.25">
      <c r="B29" s="45">
        <f t="shared" ref="B29:I29" si="4">SUM(B5:B28)</f>
        <v>69585</v>
      </c>
      <c r="C29" s="45">
        <f t="shared" si="4"/>
        <v>14269</v>
      </c>
      <c r="D29" s="45">
        <f t="shared" si="4"/>
        <v>55316</v>
      </c>
      <c r="E29" s="45">
        <f t="shared" si="4"/>
        <v>1302</v>
      </c>
      <c r="F29" s="45">
        <f t="shared" si="4"/>
        <v>91</v>
      </c>
      <c r="G29" s="45">
        <f t="shared" si="4"/>
        <v>1211</v>
      </c>
      <c r="H29" s="45">
        <f t="shared" si="4"/>
        <v>68283</v>
      </c>
      <c r="I29" s="45">
        <f t="shared" si="4"/>
        <v>14178</v>
      </c>
      <c r="J29" s="45">
        <f>SUM(J5:J28)</f>
        <v>54105</v>
      </c>
      <c r="K29" s="44" t="s">
        <v>188</v>
      </c>
      <c r="L29" s="40"/>
    </row>
  </sheetData>
  <mergeCells count="5">
    <mergeCell ref="B1:K1"/>
    <mergeCell ref="B2:K2"/>
    <mergeCell ref="B3:D3"/>
    <mergeCell ref="E3:G3"/>
    <mergeCell ref="H3:J3"/>
  </mergeCells>
  <pageMargins left="0.39370078740157483" right="0.39370078740157483" top="0.23622047244094491" bottom="0.23622047244094491" header="0.23622047244094491" footer="0.23622047244094491"/>
  <pageSetup paperSize="9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L27"/>
  <sheetViews>
    <sheetView showGridLines="0" topLeftCell="A28" zoomScaleSheetLayoutView="100" workbookViewId="0">
      <selection activeCell="G38" sqref="G38"/>
    </sheetView>
  </sheetViews>
  <sheetFormatPr defaultRowHeight="17.25" customHeight="1" x14ac:dyDescent="0.2"/>
  <cols>
    <col min="1" max="1" width="9" style="49"/>
    <col min="2" max="10" width="9.625" style="49" customWidth="1"/>
    <col min="11" max="11" width="28.75" style="54" customWidth="1"/>
    <col min="12" max="12" width="11.25" style="49" customWidth="1"/>
    <col min="13" max="257" width="9" style="49"/>
    <col min="258" max="266" width="9.625" style="49" customWidth="1"/>
    <col min="267" max="267" width="28.75" style="49" customWidth="1"/>
    <col min="268" max="268" width="11.25" style="49" customWidth="1"/>
    <col min="269" max="513" width="9" style="49"/>
    <col min="514" max="522" width="9.625" style="49" customWidth="1"/>
    <col min="523" max="523" width="28.75" style="49" customWidth="1"/>
    <col min="524" max="524" width="11.25" style="49" customWidth="1"/>
    <col min="525" max="769" width="9" style="49"/>
    <col min="770" max="778" width="9.625" style="49" customWidth="1"/>
    <col min="779" max="779" width="28.75" style="49" customWidth="1"/>
    <col min="780" max="780" width="11.25" style="49" customWidth="1"/>
    <col min="781" max="1025" width="9" style="49"/>
    <col min="1026" max="1034" width="9.625" style="49" customWidth="1"/>
    <col min="1035" max="1035" width="28.75" style="49" customWidth="1"/>
    <col min="1036" max="1036" width="11.25" style="49" customWidth="1"/>
    <col min="1037" max="1281" width="9" style="49"/>
    <col min="1282" max="1290" width="9.625" style="49" customWidth="1"/>
    <col min="1291" max="1291" width="28.75" style="49" customWidth="1"/>
    <col min="1292" max="1292" width="11.25" style="49" customWidth="1"/>
    <col min="1293" max="1537" width="9" style="49"/>
    <col min="1538" max="1546" width="9.625" style="49" customWidth="1"/>
    <col min="1547" max="1547" width="28.75" style="49" customWidth="1"/>
    <col min="1548" max="1548" width="11.25" style="49" customWidth="1"/>
    <col min="1549" max="1793" width="9" style="49"/>
    <col min="1794" max="1802" width="9.625" style="49" customWidth="1"/>
    <col min="1803" max="1803" width="28.75" style="49" customWidth="1"/>
    <col min="1804" max="1804" width="11.25" style="49" customWidth="1"/>
    <col min="1805" max="2049" width="9" style="49"/>
    <col min="2050" max="2058" width="9.625" style="49" customWidth="1"/>
    <col min="2059" max="2059" width="28.75" style="49" customWidth="1"/>
    <col min="2060" max="2060" width="11.25" style="49" customWidth="1"/>
    <col min="2061" max="2305" width="9" style="49"/>
    <col min="2306" max="2314" width="9.625" style="49" customWidth="1"/>
    <col min="2315" max="2315" width="28.75" style="49" customWidth="1"/>
    <col min="2316" max="2316" width="11.25" style="49" customWidth="1"/>
    <col min="2317" max="2561" width="9" style="49"/>
    <col min="2562" max="2570" width="9.625" style="49" customWidth="1"/>
    <col min="2571" max="2571" width="28.75" style="49" customWidth="1"/>
    <col min="2572" max="2572" width="11.25" style="49" customWidth="1"/>
    <col min="2573" max="2817" width="9" style="49"/>
    <col min="2818" max="2826" width="9.625" style="49" customWidth="1"/>
    <col min="2827" max="2827" width="28.75" style="49" customWidth="1"/>
    <col min="2828" max="2828" width="11.25" style="49" customWidth="1"/>
    <col min="2829" max="3073" width="9" style="49"/>
    <col min="3074" max="3082" width="9.625" style="49" customWidth="1"/>
    <col min="3083" max="3083" width="28.75" style="49" customWidth="1"/>
    <col min="3084" max="3084" width="11.25" style="49" customWidth="1"/>
    <col min="3085" max="3329" width="9" style="49"/>
    <col min="3330" max="3338" width="9.625" style="49" customWidth="1"/>
    <col min="3339" max="3339" width="28.75" style="49" customWidth="1"/>
    <col min="3340" max="3340" width="11.25" style="49" customWidth="1"/>
    <col min="3341" max="3585" width="9" style="49"/>
    <col min="3586" max="3594" width="9.625" style="49" customWidth="1"/>
    <col min="3595" max="3595" width="28.75" style="49" customWidth="1"/>
    <col min="3596" max="3596" width="11.25" style="49" customWidth="1"/>
    <col min="3597" max="3841" width="9" style="49"/>
    <col min="3842" max="3850" width="9.625" style="49" customWidth="1"/>
    <col min="3851" max="3851" width="28.75" style="49" customWidth="1"/>
    <col min="3852" max="3852" width="11.25" style="49" customWidth="1"/>
    <col min="3853" max="4097" width="9" style="49"/>
    <col min="4098" max="4106" width="9.625" style="49" customWidth="1"/>
    <col min="4107" max="4107" width="28.75" style="49" customWidth="1"/>
    <col min="4108" max="4108" width="11.25" style="49" customWidth="1"/>
    <col min="4109" max="4353" width="9" style="49"/>
    <col min="4354" max="4362" width="9.625" style="49" customWidth="1"/>
    <col min="4363" max="4363" width="28.75" style="49" customWidth="1"/>
    <col min="4364" max="4364" width="11.25" style="49" customWidth="1"/>
    <col min="4365" max="4609" width="9" style="49"/>
    <col min="4610" max="4618" width="9.625" style="49" customWidth="1"/>
    <col min="4619" max="4619" width="28.75" style="49" customWidth="1"/>
    <col min="4620" max="4620" width="11.25" style="49" customWidth="1"/>
    <col min="4621" max="4865" width="9" style="49"/>
    <col min="4866" max="4874" width="9.625" style="49" customWidth="1"/>
    <col min="4875" max="4875" width="28.75" style="49" customWidth="1"/>
    <col min="4876" max="4876" width="11.25" style="49" customWidth="1"/>
    <col min="4877" max="5121" width="9" style="49"/>
    <col min="5122" max="5130" width="9.625" style="49" customWidth="1"/>
    <col min="5131" max="5131" width="28.75" style="49" customWidth="1"/>
    <col min="5132" max="5132" width="11.25" style="49" customWidth="1"/>
    <col min="5133" max="5377" width="9" style="49"/>
    <col min="5378" max="5386" width="9.625" style="49" customWidth="1"/>
    <col min="5387" max="5387" width="28.75" style="49" customWidth="1"/>
    <col min="5388" max="5388" width="11.25" style="49" customWidth="1"/>
    <col min="5389" max="5633" width="9" style="49"/>
    <col min="5634" max="5642" width="9.625" style="49" customWidth="1"/>
    <col min="5643" max="5643" width="28.75" style="49" customWidth="1"/>
    <col min="5644" max="5644" width="11.25" style="49" customWidth="1"/>
    <col min="5645" max="5889" width="9" style="49"/>
    <col min="5890" max="5898" width="9.625" style="49" customWidth="1"/>
    <col min="5899" max="5899" width="28.75" style="49" customWidth="1"/>
    <col min="5900" max="5900" width="11.25" style="49" customWidth="1"/>
    <col min="5901" max="6145" width="9" style="49"/>
    <col min="6146" max="6154" width="9.625" style="49" customWidth="1"/>
    <col min="6155" max="6155" width="28.75" style="49" customWidth="1"/>
    <col min="6156" max="6156" width="11.25" style="49" customWidth="1"/>
    <col min="6157" max="6401" width="9" style="49"/>
    <col min="6402" max="6410" width="9.625" style="49" customWidth="1"/>
    <col min="6411" max="6411" width="28.75" style="49" customWidth="1"/>
    <col min="6412" max="6412" width="11.25" style="49" customWidth="1"/>
    <col min="6413" max="6657" width="9" style="49"/>
    <col min="6658" max="6666" width="9.625" style="49" customWidth="1"/>
    <col min="6667" max="6667" width="28.75" style="49" customWidth="1"/>
    <col min="6668" max="6668" width="11.25" style="49" customWidth="1"/>
    <col min="6669" max="6913" width="9" style="49"/>
    <col min="6914" max="6922" width="9.625" style="49" customWidth="1"/>
    <col min="6923" max="6923" width="28.75" style="49" customWidth="1"/>
    <col min="6924" max="6924" width="11.25" style="49" customWidth="1"/>
    <col min="6925" max="7169" width="9" style="49"/>
    <col min="7170" max="7178" width="9.625" style="49" customWidth="1"/>
    <col min="7179" max="7179" width="28.75" style="49" customWidth="1"/>
    <col min="7180" max="7180" width="11.25" style="49" customWidth="1"/>
    <col min="7181" max="7425" width="9" style="49"/>
    <col min="7426" max="7434" width="9.625" style="49" customWidth="1"/>
    <col min="7435" max="7435" width="28.75" style="49" customWidth="1"/>
    <col min="7436" max="7436" width="11.25" style="49" customWidth="1"/>
    <col min="7437" max="7681" width="9" style="49"/>
    <col min="7682" max="7690" width="9.625" style="49" customWidth="1"/>
    <col min="7691" max="7691" width="28.75" style="49" customWidth="1"/>
    <col min="7692" max="7692" width="11.25" style="49" customWidth="1"/>
    <col min="7693" max="7937" width="9" style="49"/>
    <col min="7938" max="7946" width="9.625" style="49" customWidth="1"/>
    <col min="7947" max="7947" width="28.75" style="49" customWidth="1"/>
    <col min="7948" max="7948" width="11.25" style="49" customWidth="1"/>
    <col min="7949" max="8193" width="9" style="49"/>
    <col min="8194" max="8202" width="9.625" style="49" customWidth="1"/>
    <col min="8203" max="8203" width="28.75" style="49" customWidth="1"/>
    <col min="8204" max="8204" width="11.25" style="49" customWidth="1"/>
    <col min="8205" max="8449" width="9" style="49"/>
    <col min="8450" max="8458" width="9.625" style="49" customWidth="1"/>
    <col min="8459" max="8459" width="28.75" style="49" customWidth="1"/>
    <col min="8460" max="8460" width="11.25" style="49" customWidth="1"/>
    <col min="8461" max="8705" width="9" style="49"/>
    <col min="8706" max="8714" width="9.625" style="49" customWidth="1"/>
    <col min="8715" max="8715" width="28.75" style="49" customWidth="1"/>
    <col min="8716" max="8716" width="11.25" style="49" customWidth="1"/>
    <col min="8717" max="8961" width="9" style="49"/>
    <col min="8962" max="8970" width="9.625" style="49" customWidth="1"/>
    <col min="8971" max="8971" width="28.75" style="49" customWidth="1"/>
    <col min="8972" max="8972" width="11.25" style="49" customWidth="1"/>
    <col min="8973" max="9217" width="9" style="49"/>
    <col min="9218" max="9226" width="9.625" style="49" customWidth="1"/>
    <col min="9227" max="9227" width="28.75" style="49" customWidth="1"/>
    <col min="9228" max="9228" width="11.25" style="49" customWidth="1"/>
    <col min="9229" max="9473" width="9" style="49"/>
    <col min="9474" max="9482" width="9.625" style="49" customWidth="1"/>
    <col min="9483" max="9483" width="28.75" style="49" customWidth="1"/>
    <col min="9484" max="9484" width="11.25" style="49" customWidth="1"/>
    <col min="9485" max="9729" width="9" style="49"/>
    <col min="9730" max="9738" width="9.625" style="49" customWidth="1"/>
    <col min="9739" max="9739" width="28.75" style="49" customWidth="1"/>
    <col min="9740" max="9740" width="11.25" style="49" customWidth="1"/>
    <col min="9741" max="9985" width="9" style="49"/>
    <col min="9986" max="9994" width="9.625" style="49" customWidth="1"/>
    <col min="9995" max="9995" width="28.75" style="49" customWidth="1"/>
    <col min="9996" max="9996" width="11.25" style="49" customWidth="1"/>
    <col min="9997" max="10241" width="9" style="49"/>
    <col min="10242" max="10250" width="9.625" style="49" customWidth="1"/>
    <col min="10251" max="10251" width="28.75" style="49" customWidth="1"/>
    <col min="10252" max="10252" width="11.25" style="49" customWidth="1"/>
    <col min="10253" max="10497" width="9" style="49"/>
    <col min="10498" max="10506" width="9.625" style="49" customWidth="1"/>
    <col min="10507" max="10507" width="28.75" style="49" customWidth="1"/>
    <col min="10508" max="10508" width="11.25" style="49" customWidth="1"/>
    <col min="10509" max="10753" width="9" style="49"/>
    <col min="10754" max="10762" width="9.625" style="49" customWidth="1"/>
    <col min="10763" max="10763" width="28.75" style="49" customWidth="1"/>
    <col min="10764" max="10764" width="11.25" style="49" customWidth="1"/>
    <col min="10765" max="11009" width="9" style="49"/>
    <col min="11010" max="11018" width="9.625" style="49" customWidth="1"/>
    <col min="11019" max="11019" width="28.75" style="49" customWidth="1"/>
    <col min="11020" max="11020" width="11.25" style="49" customWidth="1"/>
    <col min="11021" max="11265" width="9" style="49"/>
    <col min="11266" max="11274" width="9.625" style="49" customWidth="1"/>
    <col min="11275" max="11275" width="28.75" style="49" customWidth="1"/>
    <col min="11276" max="11276" width="11.25" style="49" customWidth="1"/>
    <col min="11277" max="11521" width="9" style="49"/>
    <col min="11522" max="11530" width="9.625" style="49" customWidth="1"/>
    <col min="11531" max="11531" width="28.75" style="49" customWidth="1"/>
    <col min="11532" max="11532" width="11.25" style="49" customWidth="1"/>
    <col min="11533" max="11777" width="9" style="49"/>
    <col min="11778" max="11786" width="9.625" style="49" customWidth="1"/>
    <col min="11787" max="11787" width="28.75" style="49" customWidth="1"/>
    <col min="11788" max="11788" width="11.25" style="49" customWidth="1"/>
    <col min="11789" max="12033" width="9" style="49"/>
    <col min="12034" max="12042" width="9.625" style="49" customWidth="1"/>
    <col min="12043" max="12043" width="28.75" style="49" customWidth="1"/>
    <col min="12044" max="12044" width="11.25" style="49" customWidth="1"/>
    <col min="12045" max="12289" width="9" style="49"/>
    <col min="12290" max="12298" width="9.625" style="49" customWidth="1"/>
    <col min="12299" max="12299" width="28.75" style="49" customWidth="1"/>
    <col min="12300" max="12300" width="11.25" style="49" customWidth="1"/>
    <col min="12301" max="12545" width="9" style="49"/>
    <col min="12546" max="12554" width="9.625" style="49" customWidth="1"/>
    <col min="12555" max="12555" width="28.75" style="49" customWidth="1"/>
    <col min="12556" max="12556" width="11.25" style="49" customWidth="1"/>
    <col min="12557" max="12801" width="9" style="49"/>
    <col min="12802" max="12810" width="9.625" style="49" customWidth="1"/>
    <col min="12811" max="12811" width="28.75" style="49" customWidth="1"/>
    <col min="12812" max="12812" width="11.25" style="49" customWidth="1"/>
    <col min="12813" max="13057" width="9" style="49"/>
    <col min="13058" max="13066" width="9.625" style="49" customWidth="1"/>
    <col min="13067" max="13067" width="28.75" style="49" customWidth="1"/>
    <col min="13068" max="13068" width="11.25" style="49" customWidth="1"/>
    <col min="13069" max="13313" width="9" style="49"/>
    <col min="13314" max="13322" width="9.625" style="49" customWidth="1"/>
    <col min="13323" max="13323" width="28.75" style="49" customWidth="1"/>
    <col min="13324" max="13324" width="11.25" style="49" customWidth="1"/>
    <col min="13325" max="13569" width="9" style="49"/>
    <col min="13570" max="13578" width="9.625" style="49" customWidth="1"/>
    <col min="13579" max="13579" width="28.75" style="49" customWidth="1"/>
    <col min="13580" max="13580" width="11.25" style="49" customWidth="1"/>
    <col min="13581" max="13825" width="9" style="49"/>
    <col min="13826" max="13834" width="9.625" style="49" customWidth="1"/>
    <col min="13835" max="13835" width="28.75" style="49" customWidth="1"/>
    <col min="13836" max="13836" width="11.25" style="49" customWidth="1"/>
    <col min="13837" max="14081" width="9" style="49"/>
    <col min="14082" max="14090" width="9.625" style="49" customWidth="1"/>
    <col min="14091" max="14091" width="28.75" style="49" customWidth="1"/>
    <col min="14092" max="14092" width="11.25" style="49" customWidth="1"/>
    <col min="14093" max="14337" width="9" style="49"/>
    <col min="14338" max="14346" width="9.625" style="49" customWidth="1"/>
    <col min="14347" max="14347" width="28.75" style="49" customWidth="1"/>
    <col min="14348" max="14348" width="11.25" style="49" customWidth="1"/>
    <col min="14349" max="14593" width="9" style="49"/>
    <col min="14594" max="14602" width="9.625" style="49" customWidth="1"/>
    <col min="14603" max="14603" width="28.75" style="49" customWidth="1"/>
    <col min="14604" max="14604" width="11.25" style="49" customWidth="1"/>
    <col min="14605" max="14849" width="9" style="49"/>
    <col min="14850" max="14858" width="9.625" style="49" customWidth="1"/>
    <col min="14859" max="14859" width="28.75" style="49" customWidth="1"/>
    <col min="14860" max="14860" width="11.25" style="49" customWidth="1"/>
    <col min="14861" max="15105" width="9" style="49"/>
    <col min="15106" max="15114" width="9.625" style="49" customWidth="1"/>
    <col min="15115" max="15115" width="28.75" style="49" customWidth="1"/>
    <col min="15116" max="15116" width="11.25" style="49" customWidth="1"/>
    <col min="15117" max="15361" width="9" style="49"/>
    <col min="15362" max="15370" width="9.625" style="49" customWidth="1"/>
    <col min="15371" max="15371" width="28.75" style="49" customWidth="1"/>
    <col min="15372" max="15372" width="11.25" style="49" customWidth="1"/>
    <col min="15373" max="15617" width="9" style="49"/>
    <col min="15618" max="15626" width="9.625" style="49" customWidth="1"/>
    <col min="15627" max="15627" width="28.75" style="49" customWidth="1"/>
    <col min="15628" max="15628" width="11.25" style="49" customWidth="1"/>
    <col min="15629" max="15873" width="9" style="49"/>
    <col min="15874" max="15882" width="9.625" style="49" customWidth="1"/>
    <col min="15883" max="15883" width="28.75" style="49" customWidth="1"/>
    <col min="15884" max="15884" width="11.25" style="49" customWidth="1"/>
    <col min="15885" max="16129" width="9" style="49"/>
    <col min="16130" max="16138" width="9.625" style="49" customWidth="1"/>
    <col min="16139" max="16139" width="28.75" style="49" customWidth="1"/>
    <col min="16140" max="16140" width="11.25" style="49" customWidth="1"/>
    <col min="16141" max="16384" width="9" style="49"/>
  </cols>
  <sheetData>
    <row r="1" spans="2:12" ht="17.25" customHeight="1" x14ac:dyDescent="0.2">
      <c r="B1" s="454" t="s">
        <v>229</v>
      </c>
      <c r="C1" s="454"/>
      <c r="D1" s="454"/>
      <c r="E1" s="454"/>
      <c r="F1" s="454"/>
      <c r="G1" s="454"/>
      <c r="H1" s="454"/>
      <c r="I1" s="454"/>
      <c r="J1" s="454"/>
      <c r="K1" s="454"/>
      <c r="L1" s="48"/>
    </row>
    <row r="2" spans="2:12" ht="17.25" customHeight="1" thickBot="1" x14ac:dyDescent="0.25">
      <c r="B2" s="455" t="s">
        <v>230</v>
      </c>
      <c r="C2" s="455"/>
      <c r="D2" s="455"/>
      <c r="E2" s="455"/>
      <c r="F2" s="455"/>
      <c r="G2" s="455"/>
      <c r="H2" s="455"/>
      <c r="I2" s="455"/>
      <c r="J2" s="455"/>
      <c r="K2" s="455"/>
      <c r="L2" s="48"/>
    </row>
    <row r="3" spans="2:12" ht="17.25" customHeight="1" thickBot="1" x14ac:dyDescent="0.25">
      <c r="B3" s="456" t="s">
        <v>4</v>
      </c>
      <c r="C3" s="456"/>
      <c r="D3" s="456"/>
      <c r="E3" s="456" t="s">
        <v>145</v>
      </c>
      <c r="F3" s="456"/>
      <c r="G3" s="456"/>
      <c r="H3" s="456" t="s">
        <v>146</v>
      </c>
      <c r="I3" s="456"/>
      <c r="J3" s="456"/>
      <c r="K3" s="457" t="s">
        <v>159</v>
      </c>
      <c r="L3" s="48"/>
    </row>
    <row r="4" spans="2:12" ht="17.25" customHeight="1" thickBot="1" x14ac:dyDescent="0.25">
      <c r="B4" s="50" t="s">
        <v>227</v>
      </c>
      <c r="C4" s="50" t="s">
        <v>10</v>
      </c>
      <c r="D4" s="50" t="s">
        <v>9</v>
      </c>
      <c r="E4" s="50" t="s">
        <v>227</v>
      </c>
      <c r="F4" s="50" t="s">
        <v>10</v>
      </c>
      <c r="G4" s="50" t="s">
        <v>9</v>
      </c>
      <c r="H4" s="50" t="s">
        <v>227</v>
      </c>
      <c r="I4" s="50" t="s">
        <v>10</v>
      </c>
      <c r="J4" s="50" t="s">
        <v>9</v>
      </c>
      <c r="K4" s="458"/>
      <c r="L4" s="48"/>
    </row>
    <row r="5" spans="2:12" ht="17.25" customHeight="1" thickBot="1" x14ac:dyDescent="0.25">
      <c r="B5" s="51">
        <f>SUM(C5:D5)</f>
        <v>4401</v>
      </c>
      <c r="C5" s="51">
        <f>I5+F5</f>
        <v>1036</v>
      </c>
      <c r="D5" s="51">
        <f>J5+G5</f>
        <v>3365</v>
      </c>
      <c r="E5" s="51">
        <f>SUM(F5:G5)</f>
        <v>87</v>
      </c>
      <c r="F5" s="51">
        <v>11</v>
      </c>
      <c r="G5" s="51">
        <v>76</v>
      </c>
      <c r="H5" s="51">
        <f>SUM(I5:J5)</f>
        <v>4314</v>
      </c>
      <c r="I5" s="51">
        <v>1025</v>
      </c>
      <c r="J5" s="51">
        <v>3289</v>
      </c>
      <c r="K5" s="52" t="s">
        <v>161</v>
      </c>
      <c r="L5" s="48"/>
    </row>
    <row r="6" spans="2:12" ht="17.25" customHeight="1" thickBot="1" x14ac:dyDescent="0.25">
      <c r="B6" s="51">
        <f t="shared" ref="B6:B25" si="0">SUM(C6:D6)</f>
        <v>12308</v>
      </c>
      <c r="C6" s="51">
        <f t="shared" ref="C6:D25" si="1">I6+F6</f>
        <v>1342</v>
      </c>
      <c r="D6" s="51">
        <f t="shared" si="1"/>
        <v>10966</v>
      </c>
      <c r="E6" s="51">
        <f t="shared" ref="E6:E25" si="2">SUM(F6:G6)</f>
        <v>67</v>
      </c>
      <c r="F6" s="51">
        <v>0</v>
      </c>
      <c r="G6" s="51">
        <v>67</v>
      </c>
      <c r="H6" s="51">
        <f t="shared" ref="H6:H25" si="3">SUM(I6:J6)</f>
        <v>12241</v>
      </c>
      <c r="I6" s="51">
        <v>1342</v>
      </c>
      <c r="J6" s="51">
        <v>10899</v>
      </c>
      <c r="K6" s="52" t="s">
        <v>162</v>
      </c>
      <c r="L6" s="48"/>
    </row>
    <row r="7" spans="2:12" ht="17.25" customHeight="1" thickBot="1" x14ac:dyDescent="0.25">
      <c r="B7" s="51">
        <f t="shared" si="0"/>
        <v>1080</v>
      </c>
      <c r="C7" s="51">
        <f t="shared" si="1"/>
        <v>232</v>
      </c>
      <c r="D7" s="51">
        <f t="shared" si="1"/>
        <v>848</v>
      </c>
      <c r="E7" s="51">
        <f t="shared" si="2"/>
        <v>184</v>
      </c>
      <c r="F7" s="51">
        <v>0</v>
      </c>
      <c r="G7" s="51">
        <v>184</v>
      </c>
      <c r="H7" s="51">
        <f t="shared" si="3"/>
        <v>896</v>
      </c>
      <c r="I7" s="51">
        <v>232</v>
      </c>
      <c r="J7" s="51">
        <v>664</v>
      </c>
      <c r="K7" s="52" t="s">
        <v>163</v>
      </c>
      <c r="L7" s="48"/>
    </row>
    <row r="8" spans="2:12" ht="17.25" customHeight="1" thickBot="1" x14ac:dyDescent="0.25">
      <c r="B8" s="51">
        <f t="shared" si="0"/>
        <v>2528</v>
      </c>
      <c r="C8" s="51">
        <f t="shared" si="1"/>
        <v>572</v>
      </c>
      <c r="D8" s="51">
        <f t="shared" si="1"/>
        <v>1956</v>
      </c>
      <c r="E8" s="51">
        <f t="shared" si="2"/>
        <v>25</v>
      </c>
      <c r="F8" s="51">
        <v>3</v>
      </c>
      <c r="G8" s="51">
        <v>22</v>
      </c>
      <c r="H8" s="51">
        <f t="shared" si="3"/>
        <v>2503</v>
      </c>
      <c r="I8" s="51">
        <v>569</v>
      </c>
      <c r="J8" s="51">
        <v>1934</v>
      </c>
      <c r="K8" s="52" t="s">
        <v>164</v>
      </c>
      <c r="L8" s="48"/>
    </row>
    <row r="9" spans="2:12" ht="17.25" customHeight="1" thickBot="1" x14ac:dyDescent="0.25">
      <c r="B9" s="51">
        <f t="shared" si="0"/>
        <v>1859</v>
      </c>
      <c r="C9" s="51">
        <f t="shared" si="1"/>
        <v>0</v>
      </c>
      <c r="D9" s="51">
        <f t="shared" si="1"/>
        <v>1859</v>
      </c>
      <c r="E9" s="51">
        <f t="shared" si="2"/>
        <v>48</v>
      </c>
      <c r="F9" s="51">
        <v>0</v>
      </c>
      <c r="G9" s="51">
        <v>48</v>
      </c>
      <c r="H9" s="51">
        <f t="shared" si="3"/>
        <v>1811</v>
      </c>
      <c r="I9" s="51">
        <v>0</v>
      </c>
      <c r="J9" s="51">
        <v>1811</v>
      </c>
      <c r="K9" s="52" t="s">
        <v>165</v>
      </c>
      <c r="L9" s="48"/>
    </row>
    <row r="10" spans="2:12" ht="17.25" customHeight="1" thickBot="1" x14ac:dyDescent="0.25">
      <c r="B10" s="51">
        <f t="shared" si="0"/>
        <v>2938</v>
      </c>
      <c r="C10" s="51">
        <f t="shared" si="1"/>
        <v>1179</v>
      </c>
      <c r="D10" s="51">
        <f t="shared" si="1"/>
        <v>1759</v>
      </c>
      <c r="E10" s="51">
        <f t="shared" si="2"/>
        <v>241</v>
      </c>
      <c r="F10" s="51">
        <v>16</v>
      </c>
      <c r="G10" s="51">
        <v>225</v>
      </c>
      <c r="H10" s="51">
        <f t="shared" si="3"/>
        <v>2697</v>
      </c>
      <c r="I10" s="51">
        <v>1163</v>
      </c>
      <c r="J10" s="51">
        <v>1534</v>
      </c>
      <c r="K10" s="52" t="s">
        <v>166</v>
      </c>
      <c r="L10" s="48"/>
    </row>
    <row r="11" spans="2:12" ht="17.25" customHeight="1" thickBot="1" x14ac:dyDescent="0.25">
      <c r="B11" s="51">
        <f t="shared" si="0"/>
        <v>2620</v>
      </c>
      <c r="C11" s="51">
        <f t="shared" si="1"/>
        <v>1288</v>
      </c>
      <c r="D11" s="51">
        <f t="shared" si="1"/>
        <v>1332</v>
      </c>
      <c r="E11" s="51">
        <f t="shared" si="2"/>
        <v>44</v>
      </c>
      <c r="F11" s="51">
        <v>13</v>
      </c>
      <c r="G11" s="51">
        <v>31</v>
      </c>
      <c r="H11" s="51">
        <f t="shared" si="3"/>
        <v>2576</v>
      </c>
      <c r="I11" s="51">
        <v>1275</v>
      </c>
      <c r="J11" s="51">
        <v>1301</v>
      </c>
      <c r="K11" s="52" t="s">
        <v>167</v>
      </c>
      <c r="L11" s="48"/>
    </row>
    <row r="12" spans="2:12" ht="17.25" customHeight="1" thickBot="1" x14ac:dyDescent="0.25">
      <c r="B12" s="51">
        <f t="shared" si="0"/>
        <v>159</v>
      </c>
      <c r="C12" s="51">
        <f t="shared" si="1"/>
        <v>0</v>
      </c>
      <c r="D12" s="51">
        <f t="shared" si="1"/>
        <v>159</v>
      </c>
      <c r="E12" s="51">
        <f t="shared" si="2"/>
        <v>3</v>
      </c>
      <c r="F12" s="51">
        <v>0</v>
      </c>
      <c r="G12" s="51">
        <v>3</v>
      </c>
      <c r="H12" s="51">
        <f t="shared" si="3"/>
        <v>156</v>
      </c>
      <c r="I12" s="51">
        <v>0</v>
      </c>
      <c r="J12" s="51">
        <v>156</v>
      </c>
      <c r="K12" s="52" t="s">
        <v>168</v>
      </c>
      <c r="L12" s="48"/>
    </row>
    <row r="13" spans="2:12" ht="17.25" customHeight="1" thickBot="1" x14ac:dyDescent="0.25">
      <c r="B13" s="51">
        <f t="shared" si="0"/>
        <v>9952</v>
      </c>
      <c r="C13" s="51">
        <f t="shared" si="1"/>
        <v>1290</v>
      </c>
      <c r="D13" s="51">
        <f t="shared" si="1"/>
        <v>8662</v>
      </c>
      <c r="E13" s="51">
        <f t="shared" si="2"/>
        <v>181</v>
      </c>
      <c r="F13" s="51">
        <v>2</v>
      </c>
      <c r="G13" s="51">
        <v>179</v>
      </c>
      <c r="H13" s="51">
        <f t="shared" si="3"/>
        <v>9771</v>
      </c>
      <c r="I13" s="51">
        <v>1288</v>
      </c>
      <c r="J13" s="51">
        <v>8483</v>
      </c>
      <c r="K13" s="52" t="s">
        <v>169</v>
      </c>
      <c r="L13" s="48"/>
    </row>
    <row r="14" spans="2:12" ht="17.25" customHeight="1" thickBot="1" x14ac:dyDescent="0.25">
      <c r="B14" s="51">
        <f t="shared" si="0"/>
        <v>540</v>
      </c>
      <c r="C14" s="51">
        <f t="shared" si="1"/>
        <v>0</v>
      </c>
      <c r="D14" s="51">
        <f t="shared" si="1"/>
        <v>540</v>
      </c>
      <c r="E14" s="51">
        <f t="shared" si="2"/>
        <v>5</v>
      </c>
      <c r="F14" s="51">
        <v>0</v>
      </c>
      <c r="G14" s="51">
        <v>5</v>
      </c>
      <c r="H14" s="51">
        <f t="shared" si="3"/>
        <v>535</v>
      </c>
      <c r="I14" s="51">
        <v>0</v>
      </c>
      <c r="J14" s="51">
        <v>535</v>
      </c>
      <c r="K14" s="52" t="s">
        <v>170</v>
      </c>
      <c r="L14" s="48"/>
    </row>
    <row r="15" spans="2:12" ht="17.25" customHeight="1" thickBot="1" x14ac:dyDescent="0.25">
      <c r="B15" s="51">
        <f t="shared" si="0"/>
        <v>1430</v>
      </c>
      <c r="C15" s="51">
        <f t="shared" si="1"/>
        <v>767</v>
      </c>
      <c r="D15" s="51">
        <f t="shared" si="1"/>
        <v>663</v>
      </c>
      <c r="E15" s="51">
        <f t="shared" si="2"/>
        <v>1</v>
      </c>
      <c r="F15" s="51">
        <v>1</v>
      </c>
      <c r="G15" s="51">
        <v>0</v>
      </c>
      <c r="H15" s="51">
        <f t="shared" si="3"/>
        <v>1429</v>
      </c>
      <c r="I15" s="51">
        <v>766</v>
      </c>
      <c r="J15" s="51">
        <v>663</v>
      </c>
      <c r="K15" s="52" t="s">
        <v>171</v>
      </c>
      <c r="L15" s="48"/>
    </row>
    <row r="16" spans="2:12" ht="17.25" customHeight="1" thickBot="1" x14ac:dyDescent="0.25">
      <c r="B16" s="51">
        <f t="shared" si="0"/>
        <v>707</v>
      </c>
      <c r="C16" s="51">
        <f t="shared" si="1"/>
        <v>0</v>
      </c>
      <c r="D16" s="51">
        <f t="shared" si="1"/>
        <v>707</v>
      </c>
      <c r="E16" s="51">
        <f t="shared" si="2"/>
        <v>4</v>
      </c>
      <c r="F16" s="51">
        <v>0</v>
      </c>
      <c r="G16" s="51">
        <v>4</v>
      </c>
      <c r="H16" s="51">
        <f t="shared" si="3"/>
        <v>703</v>
      </c>
      <c r="I16" s="51">
        <v>0</v>
      </c>
      <c r="J16" s="51">
        <v>703</v>
      </c>
      <c r="K16" s="52" t="s">
        <v>172</v>
      </c>
      <c r="L16" s="48"/>
    </row>
    <row r="17" spans="2:12" ht="17.25" customHeight="1" thickBot="1" x14ac:dyDescent="0.25">
      <c r="B17" s="51">
        <f t="shared" si="0"/>
        <v>41</v>
      </c>
      <c r="C17" s="51">
        <f t="shared" si="1"/>
        <v>0</v>
      </c>
      <c r="D17" s="51">
        <f t="shared" si="1"/>
        <v>41</v>
      </c>
      <c r="E17" s="51">
        <f t="shared" si="2"/>
        <v>0</v>
      </c>
      <c r="F17" s="51">
        <v>0</v>
      </c>
      <c r="G17" s="51">
        <v>0</v>
      </c>
      <c r="H17" s="51">
        <f t="shared" si="3"/>
        <v>41</v>
      </c>
      <c r="I17" s="51">
        <v>0</v>
      </c>
      <c r="J17" s="51">
        <v>41</v>
      </c>
      <c r="K17" s="52" t="s">
        <v>173</v>
      </c>
      <c r="L17" s="48"/>
    </row>
    <row r="18" spans="2:12" ht="17.25" customHeight="1" thickBot="1" x14ac:dyDescent="0.25">
      <c r="B18" s="51">
        <f t="shared" si="0"/>
        <v>8492</v>
      </c>
      <c r="C18" s="51">
        <f t="shared" si="1"/>
        <v>3351</v>
      </c>
      <c r="D18" s="51">
        <f t="shared" si="1"/>
        <v>5141</v>
      </c>
      <c r="E18" s="51">
        <f t="shared" si="2"/>
        <v>236</v>
      </c>
      <c r="F18" s="51">
        <v>14</v>
      </c>
      <c r="G18" s="51">
        <v>222</v>
      </c>
      <c r="H18" s="51">
        <f t="shared" si="3"/>
        <v>8256</v>
      </c>
      <c r="I18" s="51">
        <v>3337</v>
      </c>
      <c r="J18" s="51">
        <v>4919</v>
      </c>
      <c r="K18" s="52" t="s">
        <v>174</v>
      </c>
      <c r="L18" s="48"/>
    </row>
    <row r="19" spans="2:12" ht="17.25" customHeight="1" thickBot="1" x14ac:dyDescent="0.25">
      <c r="B19" s="51">
        <f t="shared" si="0"/>
        <v>14312</v>
      </c>
      <c r="C19" s="51">
        <f t="shared" si="1"/>
        <v>783</v>
      </c>
      <c r="D19" s="51">
        <f t="shared" si="1"/>
        <v>13529</v>
      </c>
      <c r="E19" s="51">
        <f t="shared" si="2"/>
        <v>93</v>
      </c>
      <c r="F19" s="51">
        <v>0</v>
      </c>
      <c r="G19" s="51">
        <v>93</v>
      </c>
      <c r="H19" s="51">
        <f t="shared" si="3"/>
        <v>14219</v>
      </c>
      <c r="I19" s="51">
        <v>783</v>
      </c>
      <c r="J19" s="51">
        <v>13436</v>
      </c>
      <c r="K19" s="52" t="s">
        <v>175</v>
      </c>
      <c r="L19" s="48"/>
    </row>
    <row r="20" spans="2:12" ht="17.25" customHeight="1" thickBot="1" x14ac:dyDescent="0.25">
      <c r="B20" s="51">
        <f t="shared" si="0"/>
        <v>602</v>
      </c>
      <c r="C20" s="51">
        <f t="shared" si="1"/>
        <v>0</v>
      </c>
      <c r="D20" s="51">
        <f t="shared" si="1"/>
        <v>602</v>
      </c>
      <c r="E20" s="51">
        <f t="shared" si="2"/>
        <v>2</v>
      </c>
      <c r="F20" s="51">
        <v>0</v>
      </c>
      <c r="G20" s="51">
        <v>2</v>
      </c>
      <c r="H20" s="51">
        <f t="shared" si="3"/>
        <v>600</v>
      </c>
      <c r="I20" s="51">
        <v>0</v>
      </c>
      <c r="J20" s="51">
        <v>600</v>
      </c>
      <c r="K20" s="52" t="s">
        <v>176</v>
      </c>
      <c r="L20" s="48"/>
    </row>
    <row r="21" spans="2:12" ht="17.25" customHeight="1" thickBot="1" x14ac:dyDescent="0.25">
      <c r="B21" s="51">
        <f t="shared" si="0"/>
        <v>1104</v>
      </c>
      <c r="C21" s="51">
        <f t="shared" si="1"/>
        <v>0</v>
      </c>
      <c r="D21" s="51">
        <f t="shared" si="1"/>
        <v>1104</v>
      </c>
      <c r="E21" s="51">
        <f t="shared" si="2"/>
        <v>21</v>
      </c>
      <c r="F21" s="51">
        <v>0</v>
      </c>
      <c r="G21" s="51">
        <v>21</v>
      </c>
      <c r="H21" s="51">
        <f t="shared" si="3"/>
        <v>1083</v>
      </c>
      <c r="I21" s="51">
        <v>0</v>
      </c>
      <c r="J21" s="51">
        <v>1083</v>
      </c>
      <c r="K21" s="52" t="s">
        <v>177</v>
      </c>
      <c r="L21" s="48"/>
    </row>
    <row r="22" spans="2:12" ht="17.25" customHeight="1" thickBot="1" x14ac:dyDescent="0.25">
      <c r="B22" s="51">
        <f t="shared" si="0"/>
        <v>4082</v>
      </c>
      <c r="C22" s="51">
        <f t="shared" si="1"/>
        <v>2429</v>
      </c>
      <c r="D22" s="51">
        <f t="shared" si="1"/>
        <v>1653</v>
      </c>
      <c r="E22" s="51">
        <f t="shared" si="2"/>
        <v>60</v>
      </c>
      <c r="F22" s="51">
        <v>31</v>
      </c>
      <c r="G22" s="51">
        <v>29</v>
      </c>
      <c r="H22" s="51">
        <f t="shared" si="3"/>
        <v>4022</v>
      </c>
      <c r="I22" s="51">
        <v>2398</v>
      </c>
      <c r="J22" s="51">
        <v>1624</v>
      </c>
      <c r="K22" s="52" t="s">
        <v>180</v>
      </c>
      <c r="L22" s="48"/>
    </row>
    <row r="23" spans="2:12" ht="17.25" customHeight="1" thickBot="1" x14ac:dyDescent="0.25">
      <c r="B23" s="51">
        <f t="shared" si="0"/>
        <v>53</v>
      </c>
      <c r="C23" s="51">
        <f t="shared" si="1"/>
        <v>0</v>
      </c>
      <c r="D23" s="51">
        <f t="shared" si="1"/>
        <v>53</v>
      </c>
      <c r="E23" s="51">
        <f t="shared" si="2"/>
        <v>0</v>
      </c>
      <c r="F23" s="51">
        <v>0</v>
      </c>
      <c r="G23" s="51">
        <v>0</v>
      </c>
      <c r="H23" s="51">
        <f t="shared" si="3"/>
        <v>53</v>
      </c>
      <c r="I23" s="51">
        <v>0</v>
      </c>
      <c r="J23" s="51">
        <v>53</v>
      </c>
      <c r="K23" s="52" t="s">
        <v>181</v>
      </c>
      <c r="L23" s="48"/>
    </row>
    <row r="24" spans="2:12" ht="17.25" customHeight="1" thickBot="1" x14ac:dyDescent="0.25">
      <c r="B24" s="51">
        <f t="shared" si="0"/>
        <v>98</v>
      </c>
      <c r="C24" s="51">
        <f t="shared" si="1"/>
        <v>0</v>
      </c>
      <c r="D24" s="51">
        <f t="shared" si="1"/>
        <v>98</v>
      </c>
      <c r="E24" s="51">
        <f t="shared" si="2"/>
        <v>0</v>
      </c>
      <c r="F24" s="51">
        <v>0</v>
      </c>
      <c r="G24" s="51">
        <v>0</v>
      </c>
      <c r="H24" s="51">
        <f t="shared" si="3"/>
        <v>98</v>
      </c>
      <c r="I24" s="51">
        <v>0</v>
      </c>
      <c r="J24" s="51">
        <v>98</v>
      </c>
      <c r="K24" s="52" t="s">
        <v>183</v>
      </c>
      <c r="L24" s="48"/>
    </row>
    <row r="25" spans="2:12" ht="17.25" customHeight="1" thickBot="1" x14ac:dyDescent="0.25">
      <c r="B25" s="51">
        <f t="shared" si="0"/>
        <v>279</v>
      </c>
      <c r="C25" s="51">
        <f t="shared" si="1"/>
        <v>0</v>
      </c>
      <c r="D25" s="51">
        <f t="shared" si="1"/>
        <v>279</v>
      </c>
      <c r="E25" s="51">
        <f t="shared" si="2"/>
        <v>0</v>
      </c>
      <c r="F25" s="51">
        <v>0</v>
      </c>
      <c r="G25" s="51">
        <v>0</v>
      </c>
      <c r="H25" s="51">
        <f t="shared" si="3"/>
        <v>279</v>
      </c>
      <c r="I25" s="51">
        <v>0</v>
      </c>
      <c r="J25" s="51">
        <v>279</v>
      </c>
      <c r="K25" s="52" t="s">
        <v>53</v>
      </c>
      <c r="L25" s="48"/>
    </row>
    <row r="26" spans="2:12" ht="17.25" customHeight="1" thickBot="1" x14ac:dyDescent="0.25">
      <c r="B26" s="51">
        <f t="shared" ref="B26:I26" si="4">SUM(B5:B25)</f>
        <v>69585</v>
      </c>
      <c r="C26" s="51">
        <f t="shared" si="4"/>
        <v>14269</v>
      </c>
      <c r="D26" s="51">
        <f t="shared" si="4"/>
        <v>55316</v>
      </c>
      <c r="E26" s="51">
        <f t="shared" si="4"/>
        <v>1302</v>
      </c>
      <c r="F26" s="51">
        <f t="shared" si="4"/>
        <v>91</v>
      </c>
      <c r="G26" s="51">
        <f t="shared" si="4"/>
        <v>1211</v>
      </c>
      <c r="H26" s="51">
        <f t="shared" si="4"/>
        <v>68283</v>
      </c>
      <c r="I26" s="51">
        <f t="shared" si="4"/>
        <v>14178</v>
      </c>
      <c r="J26" s="51">
        <f>SUM(J5:J25)</f>
        <v>54105</v>
      </c>
      <c r="K26" s="53" t="s">
        <v>188</v>
      </c>
      <c r="L26" s="48"/>
    </row>
    <row r="27" spans="2:12" ht="17.25" customHeight="1" x14ac:dyDescent="0.2">
      <c r="K27" s="49"/>
    </row>
  </sheetData>
  <mergeCells count="6">
    <mergeCell ref="B1:K1"/>
    <mergeCell ref="B2:K2"/>
    <mergeCell ref="B3:D3"/>
    <mergeCell ref="E3:G3"/>
    <mergeCell ref="H3:J3"/>
    <mergeCell ref="K3:K4"/>
  </mergeCells>
  <printOptions horizontalCentered="1" verticalCentered="1"/>
  <pageMargins left="0.4" right="0.4" top="0.25" bottom="0.25" header="0.25" footer="0.25"/>
  <pageSetup paperSize="9" orientation="landscape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N83"/>
  <sheetViews>
    <sheetView showGridLines="0" zoomScale="90" zoomScaleNormal="90" zoomScaleSheetLayoutView="100" workbookViewId="0">
      <selection activeCell="F38" sqref="F38"/>
    </sheetView>
  </sheetViews>
  <sheetFormatPr defaultRowHeight="12.75" customHeight="1" x14ac:dyDescent="0.2"/>
  <cols>
    <col min="1" max="2" width="9" style="56"/>
    <col min="3" max="11" width="9.625" style="56" customWidth="1"/>
    <col min="12" max="12" width="5.75" style="56" bestFit="1" customWidth="1"/>
    <col min="13" max="13" width="34.375" style="56" bestFit="1" customWidth="1"/>
    <col min="14" max="14" width="2" style="56" customWidth="1"/>
    <col min="15" max="257" width="9" style="56"/>
    <col min="258" max="266" width="9.625" style="56" customWidth="1"/>
    <col min="267" max="267" width="5.75" style="56" bestFit="1" customWidth="1"/>
    <col min="268" max="268" width="34.375" style="56" bestFit="1" customWidth="1"/>
    <col min="269" max="269" width="2" style="56" customWidth="1"/>
    <col min="270" max="513" width="9" style="56"/>
    <col min="514" max="522" width="9.625" style="56" customWidth="1"/>
    <col min="523" max="523" width="5.75" style="56" bestFit="1" customWidth="1"/>
    <col min="524" max="524" width="34.375" style="56" bestFit="1" customWidth="1"/>
    <col min="525" max="525" width="2" style="56" customWidth="1"/>
    <col min="526" max="769" width="9" style="56"/>
    <col min="770" max="778" width="9.625" style="56" customWidth="1"/>
    <col min="779" max="779" width="5.75" style="56" bestFit="1" customWidth="1"/>
    <col min="780" max="780" width="34.375" style="56" bestFit="1" customWidth="1"/>
    <col min="781" max="781" width="2" style="56" customWidth="1"/>
    <col min="782" max="1025" width="9" style="56"/>
    <col min="1026" max="1034" width="9.625" style="56" customWidth="1"/>
    <col min="1035" max="1035" width="5.75" style="56" bestFit="1" customWidth="1"/>
    <col min="1036" max="1036" width="34.375" style="56" bestFit="1" customWidth="1"/>
    <col min="1037" max="1037" width="2" style="56" customWidth="1"/>
    <col min="1038" max="1281" width="9" style="56"/>
    <col min="1282" max="1290" width="9.625" style="56" customWidth="1"/>
    <col min="1291" max="1291" width="5.75" style="56" bestFit="1" customWidth="1"/>
    <col min="1292" max="1292" width="34.375" style="56" bestFit="1" customWidth="1"/>
    <col min="1293" max="1293" width="2" style="56" customWidth="1"/>
    <col min="1294" max="1537" width="9" style="56"/>
    <col min="1538" max="1546" width="9.625" style="56" customWidth="1"/>
    <col min="1547" max="1547" width="5.75" style="56" bestFit="1" customWidth="1"/>
    <col min="1548" max="1548" width="34.375" style="56" bestFit="1" customWidth="1"/>
    <col min="1549" max="1549" width="2" style="56" customWidth="1"/>
    <col min="1550" max="1793" width="9" style="56"/>
    <col min="1794" max="1802" width="9.625" style="56" customWidth="1"/>
    <col min="1803" max="1803" width="5.75" style="56" bestFit="1" customWidth="1"/>
    <col min="1804" max="1804" width="34.375" style="56" bestFit="1" customWidth="1"/>
    <col min="1805" max="1805" width="2" style="56" customWidth="1"/>
    <col min="1806" max="2049" width="9" style="56"/>
    <col min="2050" max="2058" width="9.625" style="56" customWidth="1"/>
    <col min="2059" max="2059" width="5.75" style="56" bestFit="1" customWidth="1"/>
    <col min="2060" max="2060" width="34.375" style="56" bestFit="1" customWidth="1"/>
    <col min="2061" max="2061" width="2" style="56" customWidth="1"/>
    <col min="2062" max="2305" width="9" style="56"/>
    <col min="2306" max="2314" width="9.625" style="56" customWidth="1"/>
    <col min="2315" max="2315" width="5.75" style="56" bestFit="1" customWidth="1"/>
    <col min="2316" max="2316" width="34.375" style="56" bestFit="1" customWidth="1"/>
    <col min="2317" max="2317" width="2" style="56" customWidth="1"/>
    <col min="2318" max="2561" width="9" style="56"/>
    <col min="2562" max="2570" width="9.625" style="56" customWidth="1"/>
    <col min="2571" max="2571" width="5.75" style="56" bestFit="1" customWidth="1"/>
    <col min="2572" max="2572" width="34.375" style="56" bestFit="1" customWidth="1"/>
    <col min="2573" max="2573" width="2" style="56" customWidth="1"/>
    <col min="2574" max="2817" width="9" style="56"/>
    <col min="2818" max="2826" width="9.625" style="56" customWidth="1"/>
    <col min="2827" max="2827" width="5.75" style="56" bestFit="1" customWidth="1"/>
    <col min="2828" max="2828" width="34.375" style="56" bestFit="1" customWidth="1"/>
    <col min="2829" max="2829" width="2" style="56" customWidth="1"/>
    <col min="2830" max="3073" width="9" style="56"/>
    <col min="3074" max="3082" width="9.625" style="56" customWidth="1"/>
    <col min="3083" max="3083" width="5.75" style="56" bestFit="1" customWidth="1"/>
    <col min="3084" max="3084" width="34.375" style="56" bestFit="1" customWidth="1"/>
    <col min="3085" max="3085" width="2" style="56" customWidth="1"/>
    <col min="3086" max="3329" width="9" style="56"/>
    <col min="3330" max="3338" width="9.625" style="56" customWidth="1"/>
    <col min="3339" max="3339" width="5.75" style="56" bestFit="1" customWidth="1"/>
    <col min="3340" max="3340" width="34.375" style="56" bestFit="1" customWidth="1"/>
    <col min="3341" max="3341" width="2" style="56" customWidth="1"/>
    <col min="3342" max="3585" width="9" style="56"/>
    <col min="3586" max="3594" width="9.625" style="56" customWidth="1"/>
    <col min="3595" max="3595" width="5.75" style="56" bestFit="1" customWidth="1"/>
    <col min="3596" max="3596" width="34.375" style="56" bestFit="1" customWidth="1"/>
    <col min="3597" max="3597" width="2" style="56" customWidth="1"/>
    <col min="3598" max="3841" width="9" style="56"/>
    <col min="3842" max="3850" width="9.625" style="56" customWidth="1"/>
    <col min="3851" max="3851" width="5.75" style="56" bestFit="1" customWidth="1"/>
    <col min="3852" max="3852" width="34.375" style="56" bestFit="1" customWidth="1"/>
    <col min="3853" max="3853" width="2" style="56" customWidth="1"/>
    <col min="3854" max="4097" width="9" style="56"/>
    <col min="4098" max="4106" width="9.625" style="56" customWidth="1"/>
    <col min="4107" max="4107" width="5.75" style="56" bestFit="1" customWidth="1"/>
    <col min="4108" max="4108" width="34.375" style="56" bestFit="1" customWidth="1"/>
    <col min="4109" max="4109" width="2" style="56" customWidth="1"/>
    <col min="4110" max="4353" width="9" style="56"/>
    <col min="4354" max="4362" width="9.625" style="56" customWidth="1"/>
    <col min="4363" max="4363" width="5.75" style="56" bestFit="1" customWidth="1"/>
    <col min="4364" max="4364" width="34.375" style="56" bestFit="1" customWidth="1"/>
    <col min="4365" max="4365" width="2" style="56" customWidth="1"/>
    <col min="4366" max="4609" width="9" style="56"/>
    <col min="4610" max="4618" width="9.625" style="56" customWidth="1"/>
    <col min="4619" max="4619" width="5.75" style="56" bestFit="1" customWidth="1"/>
    <col min="4620" max="4620" width="34.375" style="56" bestFit="1" customWidth="1"/>
    <col min="4621" max="4621" width="2" style="56" customWidth="1"/>
    <col min="4622" max="4865" width="9" style="56"/>
    <col min="4866" max="4874" width="9.625" style="56" customWidth="1"/>
    <col min="4875" max="4875" width="5.75" style="56" bestFit="1" customWidth="1"/>
    <col min="4876" max="4876" width="34.375" style="56" bestFit="1" customWidth="1"/>
    <col min="4877" max="4877" width="2" style="56" customWidth="1"/>
    <col min="4878" max="5121" width="9" style="56"/>
    <col min="5122" max="5130" width="9.625" style="56" customWidth="1"/>
    <col min="5131" max="5131" width="5.75" style="56" bestFit="1" customWidth="1"/>
    <col min="5132" max="5132" width="34.375" style="56" bestFit="1" customWidth="1"/>
    <col min="5133" max="5133" width="2" style="56" customWidth="1"/>
    <col min="5134" max="5377" width="9" style="56"/>
    <col min="5378" max="5386" width="9.625" style="56" customWidth="1"/>
    <col min="5387" max="5387" width="5.75" style="56" bestFit="1" customWidth="1"/>
    <col min="5388" max="5388" width="34.375" style="56" bestFit="1" customWidth="1"/>
    <col min="5389" max="5389" width="2" style="56" customWidth="1"/>
    <col min="5390" max="5633" width="9" style="56"/>
    <col min="5634" max="5642" width="9.625" style="56" customWidth="1"/>
    <col min="5643" max="5643" width="5.75" style="56" bestFit="1" customWidth="1"/>
    <col min="5644" max="5644" width="34.375" style="56" bestFit="1" customWidth="1"/>
    <col min="5645" max="5645" width="2" style="56" customWidth="1"/>
    <col min="5646" max="5889" width="9" style="56"/>
    <col min="5890" max="5898" width="9.625" style="56" customWidth="1"/>
    <col min="5899" max="5899" width="5.75" style="56" bestFit="1" customWidth="1"/>
    <col min="5900" max="5900" width="34.375" style="56" bestFit="1" customWidth="1"/>
    <col min="5901" max="5901" width="2" style="56" customWidth="1"/>
    <col min="5902" max="6145" width="9" style="56"/>
    <col min="6146" max="6154" width="9.625" style="56" customWidth="1"/>
    <col min="6155" max="6155" width="5.75" style="56" bestFit="1" customWidth="1"/>
    <col min="6156" max="6156" width="34.375" style="56" bestFit="1" customWidth="1"/>
    <col min="6157" max="6157" width="2" style="56" customWidth="1"/>
    <col min="6158" max="6401" width="9" style="56"/>
    <col min="6402" max="6410" width="9.625" style="56" customWidth="1"/>
    <col min="6411" max="6411" width="5.75" style="56" bestFit="1" customWidth="1"/>
    <col min="6412" max="6412" width="34.375" style="56" bestFit="1" customWidth="1"/>
    <col min="6413" max="6413" width="2" style="56" customWidth="1"/>
    <col min="6414" max="6657" width="9" style="56"/>
    <col min="6658" max="6666" width="9.625" style="56" customWidth="1"/>
    <col min="6667" max="6667" width="5.75" style="56" bestFit="1" customWidth="1"/>
    <col min="6668" max="6668" width="34.375" style="56" bestFit="1" customWidth="1"/>
    <col min="6669" max="6669" width="2" style="56" customWidth="1"/>
    <col min="6670" max="6913" width="9" style="56"/>
    <col min="6914" max="6922" width="9.625" style="56" customWidth="1"/>
    <col min="6923" max="6923" width="5.75" style="56" bestFit="1" customWidth="1"/>
    <col min="6924" max="6924" width="34.375" style="56" bestFit="1" customWidth="1"/>
    <col min="6925" max="6925" width="2" style="56" customWidth="1"/>
    <col min="6926" max="7169" width="9" style="56"/>
    <col min="7170" max="7178" width="9.625" style="56" customWidth="1"/>
    <col min="7179" max="7179" width="5.75" style="56" bestFit="1" customWidth="1"/>
    <col min="7180" max="7180" width="34.375" style="56" bestFit="1" customWidth="1"/>
    <col min="7181" max="7181" width="2" style="56" customWidth="1"/>
    <col min="7182" max="7425" width="9" style="56"/>
    <col min="7426" max="7434" width="9.625" style="56" customWidth="1"/>
    <col min="7435" max="7435" width="5.75" style="56" bestFit="1" customWidth="1"/>
    <col min="7436" max="7436" width="34.375" style="56" bestFit="1" customWidth="1"/>
    <col min="7437" max="7437" width="2" style="56" customWidth="1"/>
    <col min="7438" max="7681" width="9" style="56"/>
    <col min="7682" max="7690" width="9.625" style="56" customWidth="1"/>
    <col min="7691" max="7691" width="5.75" style="56" bestFit="1" customWidth="1"/>
    <col min="7692" max="7692" width="34.375" style="56" bestFit="1" customWidth="1"/>
    <col min="7693" max="7693" width="2" style="56" customWidth="1"/>
    <col min="7694" max="7937" width="9" style="56"/>
    <col min="7938" max="7946" width="9.625" style="56" customWidth="1"/>
    <col min="7947" max="7947" width="5.75" style="56" bestFit="1" customWidth="1"/>
    <col min="7948" max="7948" width="34.375" style="56" bestFit="1" customWidth="1"/>
    <col min="7949" max="7949" width="2" style="56" customWidth="1"/>
    <col min="7950" max="8193" width="9" style="56"/>
    <col min="8194" max="8202" width="9.625" style="56" customWidth="1"/>
    <col min="8203" max="8203" width="5.75" style="56" bestFit="1" customWidth="1"/>
    <col min="8204" max="8204" width="34.375" style="56" bestFit="1" customWidth="1"/>
    <col min="8205" max="8205" width="2" style="56" customWidth="1"/>
    <col min="8206" max="8449" width="9" style="56"/>
    <col min="8450" max="8458" width="9.625" style="56" customWidth="1"/>
    <col min="8459" max="8459" width="5.75" style="56" bestFit="1" customWidth="1"/>
    <col min="8460" max="8460" width="34.375" style="56" bestFit="1" customWidth="1"/>
    <col min="8461" max="8461" width="2" style="56" customWidth="1"/>
    <col min="8462" max="8705" width="9" style="56"/>
    <col min="8706" max="8714" width="9.625" style="56" customWidth="1"/>
    <col min="8715" max="8715" width="5.75" style="56" bestFit="1" customWidth="1"/>
    <col min="8716" max="8716" width="34.375" style="56" bestFit="1" customWidth="1"/>
    <col min="8717" max="8717" width="2" style="56" customWidth="1"/>
    <col min="8718" max="8961" width="9" style="56"/>
    <col min="8962" max="8970" width="9.625" style="56" customWidth="1"/>
    <col min="8971" max="8971" width="5.75" style="56" bestFit="1" customWidth="1"/>
    <col min="8972" max="8972" width="34.375" style="56" bestFit="1" customWidth="1"/>
    <col min="8973" max="8973" width="2" style="56" customWidth="1"/>
    <col min="8974" max="9217" width="9" style="56"/>
    <col min="9218" max="9226" width="9.625" style="56" customWidth="1"/>
    <col min="9227" max="9227" width="5.75" style="56" bestFit="1" customWidth="1"/>
    <col min="9228" max="9228" width="34.375" style="56" bestFit="1" customWidth="1"/>
    <col min="9229" max="9229" width="2" style="56" customWidth="1"/>
    <col min="9230" max="9473" width="9" style="56"/>
    <col min="9474" max="9482" width="9.625" style="56" customWidth="1"/>
    <col min="9483" max="9483" width="5.75" style="56" bestFit="1" customWidth="1"/>
    <col min="9484" max="9484" width="34.375" style="56" bestFit="1" customWidth="1"/>
    <col min="9485" max="9485" width="2" style="56" customWidth="1"/>
    <col min="9486" max="9729" width="9" style="56"/>
    <col min="9730" max="9738" width="9.625" style="56" customWidth="1"/>
    <col min="9739" max="9739" width="5.75" style="56" bestFit="1" customWidth="1"/>
    <col min="9740" max="9740" width="34.375" style="56" bestFit="1" customWidth="1"/>
    <col min="9741" max="9741" width="2" style="56" customWidth="1"/>
    <col min="9742" max="9985" width="9" style="56"/>
    <col min="9986" max="9994" width="9.625" style="56" customWidth="1"/>
    <col min="9995" max="9995" width="5.75" style="56" bestFit="1" customWidth="1"/>
    <col min="9996" max="9996" width="34.375" style="56" bestFit="1" customWidth="1"/>
    <col min="9997" max="9997" width="2" style="56" customWidth="1"/>
    <col min="9998" max="10241" width="9" style="56"/>
    <col min="10242" max="10250" width="9.625" style="56" customWidth="1"/>
    <col min="10251" max="10251" width="5.75" style="56" bestFit="1" customWidth="1"/>
    <col min="10252" max="10252" width="34.375" style="56" bestFit="1" customWidth="1"/>
    <col min="10253" max="10253" width="2" style="56" customWidth="1"/>
    <col min="10254" max="10497" width="9" style="56"/>
    <col min="10498" max="10506" width="9.625" style="56" customWidth="1"/>
    <col min="10507" max="10507" width="5.75" style="56" bestFit="1" customWidth="1"/>
    <col min="10508" max="10508" width="34.375" style="56" bestFit="1" customWidth="1"/>
    <col min="10509" max="10509" width="2" style="56" customWidth="1"/>
    <col min="10510" max="10753" width="9" style="56"/>
    <col min="10754" max="10762" width="9.625" style="56" customWidth="1"/>
    <col min="10763" max="10763" width="5.75" style="56" bestFit="1" customWidth="1"/>
    <col min="10764" max="10764" width="34.375" style="56" bestFit="1" customWidth="1"/>
    <col min="10765" max="10765" width="2" style="56" customWidth="1"/>
    <col min="10766" max="11009" width="9" style="56"/>
    <col min="11010" max="11018" width="9.625" style="56" customWidth="1"/>
    <col min="11019" max="11019" width="5.75" style="56" bestFit="1" customWidth="1"/>
    <col min="11020" max="11020" width="34.375" style="56" bestFit="1" customWidth="1"/>
    <col min="11021" max="11021" width="2" style="56" customWidth="1"/>
    <col min="11022" max="11265" width="9" style="56"/>
    <col min="11266" max="11274" width="9.625" style="56" customWidth="1"/>
    <col min="11275" max="11275" width="5.75" style="56" bestFit="1" customWidth="1"/>
    <col min="11276" max="11276" width="34.375" style="56" bestFit="1" customWidth="1"/>
    <col min="11277" max="11277" width="2" style="56" customWidth="1"/>
    <col min="11278" max="11521" width="9" style="56"/>
    <col min="11522" max="11530" width="9.625" style="56" customWidth="1"/>
    <col min="11531" max="11531" width="5.75" style="56" bestFit="1" customWidth="1"/>
    <col min="11532" max="11532" width="34.375" style="56" bestFit="1" customWidth="1"/>
    <col min="11533" max="11533" width="2" style="56" customWidth="1"/>
    <col min="11534" max="11777" width="9" style="56"/>
    <col min="11778" max="11786" width="9.625" style="56" customWidth="1"/>
    <col min="11787" max="11787" width="5.75" style="56" bestFit="1" customWidth="1"/>
    <col min="11788" max="11788" width="34.375" style="56" bestFit="1" customWidth="1"/>
    <col min="11789" max="11789" width="2" style="56" customWidth="1"/>
    <col min="11790" max="12033" width="9" style="56"/>
    <col min="12034" max="12042" width="9.625" style="56" customWidth="1"/>
    <col min="12043" max="12043" width="5.75" style="56" bestFit="1" customWidth="1"/>
    <col min="12044" max="12044" width="34.375" style="56" bestFit="1" customWidth="1"/>
    <col min="12045" max="12045" width="2" style="56" customWidth="1"/>
    <col min="12046" max="12289" width="9" style="56"/>
    <col min="12290" max="12298" width="9.625" style="56" customWidth="1"/>
    <col min="12299" max="12299" width="5.75" style="56" bestFit="1" customWidth="1"/>
    <col min="12300" max="12300" width="34.375" style="56" bestFit="1" customWidth="1"/>
    <col min="12301" max="12301" width="2" style="56" customWidth="1"/>
    <col min="12302" max="12545" width="9" style="56"/>
    <col min="12546" max="12554" width="9.625" style="56" customWidth="1"/>
    <col min="12555" max="12555" width="5.75" style="56" bestFit="1" customWidth="1"/>
    <col min="12556" max="12556" width="34.375" style="56" bestFit="1" customWidth="1"/>
    <col min="12557" max="12557" width="2" style="56" customWidth="1"/>
    <col min="12558" max="12801" width="9" style="56"/>
    <col min="12802" max="12810" width="9.625" style="56" customWidth="1"/>
    <col min="12811" max="12811" width="5.75" style="56" bestFit="1" customWidth="1"/>
    <col min="12812" max="12812" width="34.375" style="56" bestFit="1" customWidth="1"/>
    <col min="12813" max="12813" width="2" style="56" customWidth="1"/>
    <col min="12814" max="13057" width="9" style="56"/>
    <col min="13058" max="13066" width="9.625" style="56" customWidth="1"/>
    <col min="13067" max="13067" width="5.75" style="56" bestFit="1" customWidth="1"/>
    <col min="13068" max="13068" width="34.375" style="56" bestFit="1" customWidth="1"/>
    <col min="13069" max="13069" width="2" style="56" customWidth="1"/>
    <col min="13070" max="13313" width="9" style="56"/>
    <col min="13314" max="13322" width="9.625" style="56" customWidth="1"/>
    <col min="13323" max="13323" width="5.75" style="56" bestFit="1" customWidth="1"/>
    <col min="13324" max="13324" width="34.375" style="56" bestFit="1" customWidth="1"/>
    <col min="13325" max="13325" width="2" style="56" customWidth="1"/>
    <col min="13326" max="13569" width="9" style="56"/>
    <col min="13570" max="13578" width="9.625" style="56" customWidth="1"/>
    <col min="13579" max="13579" width="5.75" style="56" bestFit="1" customWidth="1"/>
    <col min="13580" max="13580" width="34.375" style="56" bestFit="1" customWidth="1"/>
    <col min="13581" max="13581" width="2" style="56" customWidth="1"/>
    <col min="13582" max="13825" width="9" style="56"/>
    <col min="13826" max="13834" width="9.625" style="56" customWidth="1"/>
    <col min="13835" max="13835" width="5.75" style="56" bestFit="1" customWidth="1"/>
    <col min="13836" max="13836" width="34.375" style="56" bestFit="1" customWidth="1"/>
    <col min="13837" max="13837" width="2" style="56" customWidth="1"/>
    <col min="13838" max="14081" width="9" style="56"/>
    <col min="14082" max="14090" width="9.625" style="56" customWidth="1"/>
    <col min="14091" max="14091" width="5.75" style="56" bestFit="1" customWidth="1"/>
    <col min="14092" max="14092" width="34.375" style="56" bestFit="1" customWidth="1"/>
    <col min="14093" max="14093" width="2" style="56" customWidth="1"/>
    <col min="14094" max="14337" width="9" style="56"/>
    <col min="14338" max="14346" width="9.625" style="56" customWidth="1"/>
    <col min="14347" max="14347" width="5.75" style="56" bestFit="1" customWidth="1"/>
    <col min="14348" max="14348" width="34.375" style="56" bestFit="1" customWidth="1"/>
    <col min="14349" max="14349" width="2" style="56" customWidth="1"/>
    <col min="14350" max="14593" width="9" style="56"/>
    <col min="14594" max="14602" width="9.625" style="56" customWidth="1"/>
    <col min="14603" max="14603" width="5.75" style="56" bestFit="1" customWidth="1"/>
    <col min="14604" max="14604" width="34.375" style="56" bestFit="1" customWidth="1"/>
    <col min="14605" max="14605" width="2" style="56" customWidth="1"/>
    <col min="14606" max="14849" width="9" style="56"/>
    <col min="14850" max="14858" width="9.625" style="56" customWidth="1"/>
    <col min="14859" max="14859" width="5.75" style="56" bestFit="1" customWidth="1"/>
    <col min="14860" max="14860" width="34.375" style="56" bestFit="1" customWidth="1"/>
    <col min="14861" max="14861" width="2" style="56" customWidth="1"/>
    <col min="14862" max="15105" width="9" style="56"/>
    <col min="15106" max="15114" width="9.625" style="56" customWidth="1"/>
    <col min="15115" max="15115" width="5.75" style="56" bestFit="1" customWidth="1"/>
    <col min="15116" max="15116" width="34.375" style="56" bestFit="1" customWidth="1"/>
    <col min="15117" max="15117" width="2" style="56" customWidth="1"/>
    <col min="15118" max="15361" width="9" style="56"/>
    <col min="15362" max="15370" width="9.625" style="56" customWidth="1"/>
    <col min="15371" max="15371" width="5.75" style="56" bestFit="1" customWidth="1"/>
    <col min="15372" max="15372" width="34.375" style="56" bestFit="1" customWidth="1"/>
    <col min="15373" max="15373" width="2" style="56" customWidth="1"/>
    <col min="15374" max="15617" width="9" style="56"/>
    <col min="15618" max="15626" width="9.625" style="56" customWidth="1"/>
    <col min="15627" max="15627" width="5.75" style="56" bestFit="1" customWidth="1"/>
    <col min="15628" max="15628" width="34.375" style="56" bestFit="1" customWidth="1"/>
    <col min="15629" max="15629" width="2" style="56" customWidth="1"/>
    <col min="15630" max="15873" width="9" style="56"/>
    <col min="15874" max="15882" width="9.625" style="56" customWidth="1"/>
    <col min="15883" max="15883" width="5.75" style="56" bestFit="1" customWidth="1"/>
    <col min="15884" max="15884" width="34.375" style="56" bestFit="1" customWidth="1"/>
    <col min="15885" max="15885" width="2" style="56" customWidth="1"/>
    <col min="15886" max="16129" width="9" style="56"/>
    <col min="16130" max="16138" width="9.625" style="56" customWidth="1"/>
    <col min="16139" max="16139" width="5.75" style="56" bestFit="1" customWidth="1"/>
    <col min="16140" max="16140" width="34.375" style="56" bestFit="1" customWidth="1"/>
    <col min="16141" max="16141" width="2" style="56" customWidth="1"/>
    <col min="16142" max="16384" width="9" style="56"/>
  </cols>
  <sheetData>
    <row r="1" spans="3:14" ht="12.75" customHeight="1" x14ac:dyDescent="0.2">
      <c r="C1" s="459" t="s">
        <v>231</v>
      </c>
      <c r="D1" s="459"/>
      <c r="E1" s="459"/>
      <c r="F1" s="459"/>
      <c r="G1" s="459"/>
      <c r="H1" s="459"/>
      <c r="I1" s="459"/>
      <c r="J1" s="459"/>
      <c r="K1" s="459"/>
      <c r="L1" s="459"/>
      <c r="M1" s="459"/>
      <c r="N1" s="55"/>
    </row>
    <row r="2" spans="3:14" ht="12.75" customHeight="1" thickBot="1" x14ac:dyDescent="0.25">
      <c r="C2" s="460" t="s">
        <v>232</v>
      </c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55"/>
    </row>
    <row r="3" spans="3:14" ht="12.75" customHeight="1" thickBot="1" x14ac:dyDescent="0.25">
      <c r="C3" s="456" t="s">
        <v>4</v>
      </c>
      <c r="D3" s="456"/>
      <c r="E3" s="456"/>
      <c r="F3" s="456" t="s">
        <v>145</v>
      </c>
      <c r="G3" s="456"/>
      <c r="H3" s="456"/>
      <c r="I3" s="456" t="s">
        <v>146</v>
      </c>
      <c r="J3" s="456"/>
      <c r="K3" s="456"/>
      <c r="L3" s="457"/>
      <c r="M3" s="457"/>
      <c r="N3" s="55"/>
    </row>
    <row r="4" spans="3:14" ht="12.75" customHeight="1" thickBot="1" x14ac:dyDescent="0.25">
      <c r="C4" s="50" t="s">
        <v>227</v>
      </c>
      <c r="D4" s="50" t="s">
        <v>10</v>
      </c>
      <c r="E4" s="50" t="s">
        <v>9</v>
      </c>
      <c r="F4" s="50" t="s">
        <v>227</v>
      </c>
      <c r="G4" s="50" t="s">
        <v>10</v>
      </c>
      <c r="H4" s="50" t="s">
        <v>9</v>
      </c>
      <c r="I4" s="50" t="s">
        <v>227</v>
      </c>
      <c r="J4" s="50" t="s">
        <v>10</v>
      </c>
      <c r="K4" s="50" t="s">
        <v>9</v>
      </c>
      <c r="L4" s="458" t="s">
        <v>66</v>
      </c>
      <c r="M4" s="458"/>
      <c r="N4" s="55"/>
    </row>
    <row r="5" spans="3:14" ht="12.75" customHeight="1" thickBot="1" x14ac:dyDescent="0.25">
      <c r="C5" s="57">
        <f>SUM(D5:E5)</f>
        <v>12250</v>
      </c>
      <c r="D5" s="57">
        <f>J5+G5</f>
        <v>7232</v>
      </c>
      <c r="E5" s="57">
        <f>K5+H5</f>
        <v>5018</v>
      </c>
      <c r="F5" s="57">
        <f>SUM(G5:H5)</f>
        <v>160</v>
      </c>
      <c r="G5" s="57">
        <v>82</v>
      </c>
      <c r="H5" s="57">
        <v>78</v>
      </c>
      <c r="I5" s="57">
        <f>SUM(J5:K5)</f>
        <v>12090</v>
      </c>
      <c r="J5" s="57">
        <v>7150</v>
      </c>
      <c r="K5" s="57">
        <v>4940</v>
      </c>
      <c r="L5" s="58" t="s">
        <v>233</v>
      </c>
      <c r="M5" s="59"/>
      <c r="N5" s="55"/>
    </row>
    <row r="6" spans="3:14" ht="12.75" customHeight="1" thickBot="1" x14ac:dyDescent="0.25">
      <c r="C6" s="57">
        <f t="shared" ref="C6:C69" si="0">SUM(D6:E6)</f>
        <v>687</v>
      </c>
      <c r="D6" s="57">
        <f t="shared" ref="D6:E69" si="1">J6+G6</f>
        <v>687</v>
      </c>
      <c r="E6" s="57">
        <f t="shared" si="1"/>
        <v>0</v>
      </c>
      <c r="F6" s="57">
        <f t="shared" ref="F6:F69" si="2">SUM(G6:H6)</f>
        <v>0</v>
      </c>
      <c r="G6" s="57">
        <v>0</v>
      </c>
      <c r="H6" s="57">
        <v>0</v>
      </c>
      <c r="I6" s="57">
        <f t="shared" ref="I6:I69" si="3">SUM(J6:K6)</f>
        <v>687</v>
      </c>
      <c r="J6" s="57">
        <v>687</v>
      </c>
      <c r="K6" s="57">
        <v>0</v>
      </c>
      <c r="L6" s="58" t="s">
        <v>234</v>
      </c>
      <c r="M6" s="59" t="s">
        <v>68</v>
      </c>
      <c r="N6" s="55"/>
    </row>
    <row r="7" spans="3:14" ht="12.75" customHeight="1" thickBot="1" x14ac:dyDescent="0.25">
      <c r="C7" s="57">
        <f t="shared" ref="C7:J7" si="4">SUM(C5:C6)</f>
        <v>12937</v>
      </c>
      <c r="D7" s="57">
        <f t="shared" si="4"/>
        <v>7919</v>
      </c>
      <c r="E7" s="57">
        <f t="shared" si="4"/>
        <v>5018</v>
      </c>
      <c r="F7" s="57">
        <f t="shared" si="4"/>
        <v>160</v>
      </c>
      <c r="G7" s="57">
        <f t="shared" si="4"/>
        <v>82</v>
      </c>
      <c r="H7" s="57">
        <f t="shared" si="4"/>
        <v>78</v>
      </c>
      <c r="I7" s="57">
        <f t="shared" si="4"/>
        <v>12777</v>
      </c>
      <c r="J7" s="57">
        <f t="shared" si="4"/>
        <v>7837</v>
      </c>
      <c r="K7" s="57">
        <f>SUM(K5:K6)</f>
        <v>4940</v>
      </c>
      <c r="L7" s="58" t="s">
        <v>12</v>
      </c>
      <c r="M7" s="60"/>
      <c r="N7" s="55"/>
    </row>
    <row r="8" spans="3:14" ht="12.75" customHeight="1" thickBot="1" x14ac:dyDescent="0.25">
      <c r="C8" s="57">
        <f t="shared" si="0"/>
        <v>2220</v>
      </c>
      <c r="D8" s="57">
        <f t="shared" si="1"/>
        <v>0</v>
      </c>
      <c r="E8" s="57">
        <f t="shared" si="1"/>
        <v>2220</v>
      </c>
      <c r="F8" s="57">
        <f t="shared" si="2"/>
        <v>844</v>
      </c>
      <c r="G8" s="57">
        <v>0</v>
      </c>
      <c r="H8" s="57">
        <v>844</v>
      </c>
      <c r="I8" s="57">
        <f t="shared" si="3"/>
        <v>1376</v>
      </c>
      <c r="J8" s="57">
        <v>0</v>
      </c>
      <c r="K8" s="57">
        <v>1376</v>
      </c>
      <c r="L8" s="58" t="s">
        <v>233</v>
      </c>
      <c r="M8" s="59"/>
      <c r="N8" s="55"/>
    </row>
    <row r="9" spans="3:14" ht="12.75" customHeight="1" thickBot="1" x14ac:dyDescent="0.25">
      <c r="C9" s="57">
        <f t="shared" si="0"/>
        <v>620</v>
      </c>
      <c r="D9" s="57">
        <f t="shared" si="1"/>
        <v>0</v>
      </c>
      <c r="E9" s="57">
        <f t="shared" si="1"/>
        <v>620</v>
      </c>
      <c r="F9" s="57">
        <f t="shared" si="2"/>
        <v>77</v>
      </c>
      <c r="G9" s="57">
        <v>0</v>
      </c>
      <c r="H9" s="57">
        <v>77</v>
      </c>
      <c r="I9" s="57">
        <f t="shared" si="3"/>
        <v>543</v>
      </c>
      <c r="J9" s="57">
        <v>0</v>
      </c>
      <c r="K9" s="57">
        <v>543</v>
      </c>
      <c r="L9" s="58" t="s">
        <v>234</v>
      </c>
      <c r="M9" s="59" t="s">
        <v>147</v>
      </c>
      <c r="N9" s="55"/>
    </row>
    <row r="10" spans="3:14" ht="12.75" customHeight="1" thickBot="1" x14ac:dyDescent="0.25">
      <c r="C10" s="57">
        <f t="shared" ref="C10:J10" si="5">SUM(C8:C9)</f>
        <v>2840</v>
      </c>
      <c r="D10" s="57">
        <f t="shared" si="5"/>
        <v>0</v>
      </c>
      <c r="E10" s="57">
        <f t="shared" si="5"/>
        <v>2840</v>
      </c>
      <c r="F10" s="57">
        <f t="shared" si="5"/>
        <v>921</v>
      </c>
      <c r="G10" s="57">
        <f t="shared" si="5"/>
        <v>0</v>
      </c>
      <c r="H10" s="57">
        <f t="shared" si="5"/>
        <v>921</v>
      </c>
      <c r="I10" s="57">
        <f t="shared" si="5"/>
        <v>1919</v>
      </c>
      <c r="J10" s="57">
        <f t="shared" si="5"/>
        <v>0</v>
      </c>
      <c r="K10" s="57">
        <f>SUM(K8:K9)</f>
        <v>1919</v>
      </c>
      <c r="L10" s="58" t="s">
        <v>12</v>
      </c>
      <c r="M10" s="60"/>
      <c r="N10" s="55"/>
    </row>
    <row r="11" spans="3:14" ht="12.75" customHeight="1" thickBot="1" x14ac:dyDescent="0.25">
      <c r="C11" s="57">
        <f t="shared" si="0"/>
        <v>10592</v>
      </c>
      <c r="D11" s="57">
        <f t="shared" si="1"/>
        <v>4741</v>
      </c>
      <c r="E11" s="57">
        <f t="shared" si="1"/>
        <v>5851</v>
      </c>
      <c r="F11" s="57">
        <f t="shared" si="2"/>
        <v>199</v>
      </c>
      <c r="G11" s="57">
        <v>65</v>
      </c>
      <c r="H11" s="57">
        <v>134</v>
      </c>
      <c r="I11" s="57">
        <f t="shared" si="3"/>
        <v>10393</v>
      </c>
      <c r="J11" s="57">
        <v>4676</v>
      </c>
      <c r="K11" s="57">
        <v>5717</v>
      </c>
      <c r="L11" s="58" t="s">
        <v>233</v>
      </c>
      <c r="M11" s="59"/>
      <c r="N11" s="55"/>
    </row>
    <row r="12" spans="3:14" ht="12.75" customHeight="1" thickBot="1" x14ac:dyDescent="0.25">
      <c r="C12" s="57">
        <f t="shared" si="0"/>
        <v>1123</v>
      </c>
      <c r="D12" s="57">
        <f t="shared" si="1"/>
        <v>470</v>
      </c>
      <c r="E12" s="57">
        <f t="shared" si="1"/>
        <v>653</v>
      </c>
      <c r="F12" s="57">
        <f t="shared" si="2"/>
        <v>5</v>
      </c>
      <c r="G12" s="57">
        <v>4</v>
      </c>
      <c r="H12" s="57">
        <v>1</v>
      </c>
      <c r="I12" s="57">
        <f t="shared" si="3"/>
        <v>1118</v>
      </c>
      <c r="J12" s="57">
        <v>466</v>
      </c>
      <c r="K12" s="57">
        <v>652</v>
      </c>
      <c r="L12" s="58" t="s">
        <v>234</v>
      </c>
      <c r="M12" s="59" t="s">
        <v>70</v>
      </c>
      <c r="N12" s="55"/>
    </row>
    <row r="13" spans="3:14" ht="12.75" customHeight="1" thickBot="1" x14ac:dyDescent="0.25">
      <c r="C13" s="57">
        <f t="shared" ref="C13:J13" si="6">SUM(C11:C12)</f>
        <v>11715</v>
      </c>
      <c r="D13" s="57">
        <f t="shared" si="6"/>
        <v>5211</v>
      </c>
      <c r="E13" s="57">
        <f t="shared" si="6"/>
        <v>6504</v>
      </c>
      <c r="F13" s="57">
        <f t="shared" si="6"/>
        <v>204</v>
      </c>
      <c r="G13" s="57">
        <f t="shared" si="6"/>
        <v>69</v>
      </c>
      <c r="H13" s="57">
        <f t="shared" si="6"/>
        <v>135</v>
      </c>
      <c r="I13" s="57">
        <f t="shared" si="6"/>
        <v>11511</v>
      </c>
      <c r="J13" s="57">
        <f t="shared" si="6"/>
        <v>5142</v>
      </c>
      <c r="K13" s="57">
        <f>SUM(K11:K12)</f>
        <v>6369</v>
      </c>
      <c r="L13" s="58" t="s">
        <v>12</v>
      </c>
      <c r="M13" s="60"/>
      <c r="N13" s="55"/>
    </row>
    <row r="14" spans="3:14" ht="12.75" customHeight="1" thickBot="1" x14ac:dyDescent="0.25">
      <c r="C14" s="57">
        <f t="shared" si="0"/>
        <v>13245</v>
      </c>
      <c r="D14" s="57">
        <f t="shared" si="1"/>
        <v>4852</v>
      </c>
      <c r="E14" s="57">
        <f t="shared" si="1"/>
        <v>8393</v>
      </c>
      <c r="F14" s="57">
        <f t="shared" si="2"/>
        <v>368</v>
      </c>
      <c r="G14" s="57">
        <v>159</v>
      </c>
      <c r="H14" s="57">
        <v>209</v>
      </c>
      <c r="I14" s="57">
        <f t="shared" si="3"/>
        <v>12877</v>
      </c>
      <c r="J14" s="57">
        <v>4693</v>
      </c>
      <c r="K14" s="57">
        <v>8184</v>
      </c>
      <c r="L14" s="58" t="s">
        <v>233</v>
      </c>
      <c r="M14" s="59"/>
      <c r="N14" s="55"/>
    </row>
    <row r="15" spans="3:14" ht="12.75" customHeight="1" thickBot="1" x14ac:dyDescent="0.25">
      <c r="C15" s="57">
        <f t="shared" si="0"/>
        <v>0</v>
      </c>
      <c r="D15" s="57">
        <f t="shared" si="1"/>
        <v>0</v>
      </c>
      <c r="E15" s="57">
        <f t="shared" si="1"/>
        <v>0</v>
      </c>
      <c r="F15" s="57">
        <f t="shared" si="2"/>
        <v>0</v>
      </c>
      <c r="G15" s="57">
        <v>0</v>
      </c>
      <c r="H15" s="57">
        <v>0</v>
      </c>
      <c r="I15" s="57">
        <f t="shared" si="3"/>
        <v>0</v>
      </c>
      <c r="J15" s="57">
        <v>0</v>
      </c>
      <c r="K15" s="57">
        <v>0</v>
      </c>
      <c r="L15" s="58" t="s">
        <v>234</v>
      </c>
      <c r="M15" s="59" t="s">
        <v>72</v>
      </c>
      <c r="N15" s="55"/>
    </row>
    <row r="16" spans="3:14" ht="12.75" customHeight="1" thickBot="1" x14ac:dyDescent="0.25">
      <c r="C16" s="57">
        <f t="shared" ref="C16:J16" si="7">SUM(C14:C15)</f>
        <v>13245</v>
      </c>
      <c r="D16" s="57">
        <f t="shared" si="7"/>
        <v>4852</v>
      </c>
      <c r="E16" s="57">
        <f t="shared" si="7"/>
        <v>8393</v>
      </c>
      <c r="F16" s="57">
        <f t="shared" si="7"/>
        <v>368</v>
      </c>
      <c r="G16" s="57">
        <f t="shared" si="7"/>
        <v>159</v>
      </c>
      <c r="H16" s="57">
        <f t="shared" si="7"/>
        <v>209</v>
      </c>
      <c r="I16" s="57">
        <f t="shared" si="7"/>
        <v>12877</v>
      </c>
      <c r="J16" s="57">
        <f t="shared" si="7"/>
        <v>4693</v>
      </c>
      <c r="K16" s="57">
        <f>SUM(K14:K15)</f>
        <v>8184</v>
      </c>
      <c r="L16" s="58" t="s">
        <v>12</v>
      </c>
      <c r="M16" s="60"/>
      <c r="N16" s="55"/>
    </row>
    <row r="17" spans="3:14" ht="12.75" customHeight="1" thickBot="1" x14ac:dyDescent="0.25">
      <c r="C17" s="57">
        <f t="shared" si="0"/>
        <v>10113</v>
      </c>
      <c r="D17" s="57">
        <f t="shared" si="1"/>
        <v>5640</v>
      </c>
      <c r="E17" s="57">
        <f t="shared" si="1"/>
        <v>4473</v>
      </c>
      <c r="F17" s="57">
        <f t="shared" si="2"/>
        <v>261</v>
      </c>
      <c r="G17" s="57">
        <v>158</v>
      </c>
      <c r="H17" s="57">
        <v>103</v>
      </c>
      <c r="I17" s="57">
        <f t="shared" si="3"/>
        <v>9852</v>
      </c>
      <c r="J17" s="57">
        <v>5482</v>
      </c>
      <c r="K17" s="57">
        <v>4370</v>
      </c>
      <c r="L17" s="58" t="s">
        <v>233</v>
      </c>
      <c r="M17" s="59"/>
      <c r="N17" s="55"/>
    </row>
    <row r="18" spans="3:14" ht="12.75" customHeight="1" thickBot="1" x14ac:dyDescent="0.25">
      <c r="C18" s="57">
        <f t="shared" si="0"/>
        <v>18563</v>
      </c>
      <c r="D18" s="57">
        <f t="shared" si="1"/>
        <v>3446</v>
      </c>
      <c r="E18" s="57">
        <f t="shared" si="1"/>
        <v>15117</v>
      </c>
      <c r="F18" s="57">
        <f t="shared" si="2"/>
        <v>563</v>
      </c>
      <c r="G18" s="57">
        <v>397</v>
      </c>
      <c r="H18" s="57">
        <v>166</v>
      </c>
      <c r="I18" s="57">
        <f t="shared" si="3"/>
        <v>18000</v>
      </c>
      <c r="J18" s="57">
        <v>3049</v>
      </c>
      <c r="K18" s="57">
        <v>14951</v>
      </c>
      <c r="L18" s="58" t="s">
        <v>234</v>
      </c>
      <c r="M18" s="59" t="s">
        <v>73</v>
      </c>
      <c r="N18" s="55"/>
    </row>
    <row r="19" spans="3:14" ht="12.75" customHeight="1" thickBot="1" x14ac:dyDescent="0.25">
      <c r="C19" s="57">
        <f t="shared" ref="C19:J19" si="8">SUM(C17:C18)</f>
        <v>28676</v>
      </c>
      <c r="D19" s="57">
        <f t="shared" si="8"/>
        <v>9086</v>
      </c>
      <c r="E19" s="57">
        <f t="shared" si="8"/>
        <v>19590</v>
      </c>
      <c r="F19" s="57">
        <f t="shared" si="8"/>
        <v>824</v>
      </c>
      <c r="G19" s="57">
        <f t="shared" si="8"/>
        <v>555</v>
      </c>
      <c r="H19" s="57">
        <f t="shared" si="8"/>
        <v>269</v>
      </c>
      <c r="I19" s="57">
        <f t="shared" si="8"/>
        <v>27852</v>
      </c>
      <c r="J19" s="57">
        <f t="shared" si="8"/>
        <v>8531</v>
      </c>
      <c r="K19" s="57">
        <f>SUM(K17:K18)</f>
        <v>19321</v>
      </c>
      <c r="L19" s="58" t="s">
        <v>12</v>
      </c>
      <c r="M19" s="60"/>
      <c r="N19" s="55"/>
    </row>
    <row r="20" spans="3:14" ht="12.75" customHeight="1" thickBot="1" x14ac:dyDescent="0.25">
      <c r="C20" s="57">
        <f t="shared" si="0"/>
        <v>2110</v>
      </c>
      <c r="D20" s="57">
        <f t="shared" si="1"/>
        <v>0</v>
      </c>
      <c r="E20" s="57">
        <f t="shared" si="1"/>
        <v>2110</v>
      </c>
      <c r="F20" s="57">
        <f t="shared" si="2"/>
        <v>123</v>
      </c>
      <c r="G20" s="57">
        <v>0</v>
      </c>
      <c r="H20" s="57">
        <v>123</v>
      </c>
      <c r="I20" s="57">
        <f t="shared" si="3"/>
        <v>1987</v>
      </c>
      <c r="J20" s="57">
        <v>0</v>
      </c>
      <c r="K20" s="57">
        <v>1987</v>
      </c>
      <c r="L20" s="58" t="s">
        <v>233</v>
      </c>
      <c r="M20" s="59"/>
      <c r="N20" s="55"/>
    </row>
    <row r="21" spans="3:14" ht="12.75" customHeight="1" thickBot="1" x14ac:dyDescent="0.25">
      <c r="C21" s="57">
        <f t="shared" si="0"/>
        <v>0</v>
      </c>
      <c r="D21" s="57">
        <f t="shared" si="1"/>
        <v>0</v>
      </c>
      <c r="E21" s="57">
        <f t="shared" si="1"/>
        <v>0</v>
      </c>
      <c r="F21" s="57">
        <f t="shared" si="2"/>
        <v>0</v>
      </c>
      <c r="G21" s="57">
        <v>0</v>
      </c>
      <c r="H21" s="57">
        <v>0</v>
      </c>
      <c r="I21" s="57">
        <f t="shared" si="3"/>
        <v>0</v>
      </c>
      <c r="J21" s="57">
        <v>0</v>
      </c>
      <c r="K21" s="57">
        <v>0</v>
      </c>
      <c r="L21" s="58" t="s">
        <v>234</v>
      </c>
      <c r="M21" s="59" t="s">
        <v>90</v>
      </c>
      <c r="N21" s="55"/>
    </row>
    <row r="22" spans="3:14" ht="12.75" customHeight="1" thickBot="1" x14ac:dyDescent="0.25">
      <c r="C22" s="57">
        <f t="shared" ref="C22:J22" si="9">SUM(C20:C21)</f>
        <v>2110</v>
      </c>
      <c r="D22" s="57">
        <f t="shared" si="9"/>
        <v>0</v>
      </c>
      <c r="E22" s="57">
        <f t="shared" si="9"/>
        <v>2110</v>
      </c>
      <c r="F22" s="57">
        <f t="shared" si="9"/>
        <v>123</v>
      </c>
      <c r="G22" s="57">
        <f t="shared" si="9"/>
        <v>0</v>
      </c>
      <c r="H22" s="57">
        <f t="shared" si="9"/>
        <v>123</v>
      </c>
      <c r="I22" s="57">
        <f t="shared" si="9"/>
        <v>1987</v>
      </c>
      <c r="J22" s="57">
        <f t="shared" si="9"/>
        <v>0</v>
      </c>
      <c r="K22" s="57">
        <f>SUM(K20:K21)</f>
        <v>1987</v>
      </c>
      <c r="L22" s="58" t="s">
        <v>12</v>
      </c>
      <c r="M22" s="60"/>
      <c r="N22" s="55"/>
    </row>
    <row r="23" spans="3:14" ht="12.75" customHeight="1" thickBot="1" x14ac:dyDescent="0.25">
      <c r="C23" s="57">
        <f t="shared" si="0"/>
        <v>12702</v>
      </c>
      <c r="D23" s="57">
        <f t="shared" si="1"/>
        <v>9205</v>
      </c>
      <c r="E23" s="57">
        <f t="shared" si="1"/>
        <v>3497</v>
      </c>
      <c r="F23" s="57">
        <f t="shared" si="2"/>
        <v>31</v>
      </c>
      <c r="G23" s="57">
        <v>23</v>
      </c>
      <c r="H23" s="57">
        <v>8</v>
      </c>
      <c r="I23" s="57">
        <f t="shared" si="3"/>
        <v>12671</v>
      </c>
      <c r="J23" s="57">
        <v>9182</v>
      </c>
      <c r="K23" s="57">
        <v>3489</v>
      </c>
      <c r="L23" s="58" t="s">
        <v>233</v>
      </c>
      <c r="M23" s="59"/>
      <c r="N23" s="55"/>
    </row>
    <row r="24" spans="3:14" ht="12.75" customHeight="1" thickBot="1" x14ac:dyDescent="0.25">
      <c r="C24" s="57">
        <f t="shared" si="0"/>
        <v>2603</v>
      </c>
      <c r="D24" s="57">
        <f t="shared" si="1"/>
        <v>2603</v>
      </c>
      <c r="E24" s="57">
        <f t="shared" si="1"/>
        <v>0</v>
      </c>
      <c r="F24" s="57">
        <f t="shared" si="2"/>
        <v>19</v>
      </c>
      <c r="G24" s="57">
        <v>19</v>
      </c>
      <c r="H24" s="57">
        <v>0</v>
      </c>
      <c r="I24" s="57">
        <f t="shared" si="3"/>
        <v>2584</v>
      </c>
      <c r="J24" s="57">
        <v>2584</v>
      </c>
      <c r="K24" s="57">
        <v>0</v>
      </c>
      <c r="L24" s="58" t="s">
        <v>234</v>
      </c>
      <c r="M24" s="59" t="s">
        <v>74</v>
      </c>
      <c r="N24" s="55"/>
    </row>
    <row r="25" spans="3:14" ht="12.75" customHeight="1" thickBot="1" x14ac:dyDescent="0.25">
      <c r="C25" s="57">
        <f t="shared" ref="C25:J25" si="10">SUM(C23:C24)</f>
        <v>15305</v>
      </c>
      <c r="D25" s="57">
        <f t="shared" si="10"/>
        <v>11808</v>
      </c>
      <c r="E25" s="57">
        <f t="shared" si="10"/>
        <v>3497</v>
      </c>
      <c r="F25" s="57">
        <f t="shared" si="10"/>
        <v>50</v>
      </c>
      <c r="G25" s="57">
        <f t="shared" si="10"/>
        <v>42</v>
      </c>
      <c r="H25" s="57">
        <f t="shared" si="10"/>
        <v>8</v>
      </c>
      <c r="I25" s="57">
        <f t="shared" si="10"/>
        <v>15255</v>
      </c>
      <c r="J25" s="57">
        <f t="shared" si="10"/>
        <v>11766</v>
      </c>
      <c r="K25" s="57">
        <f>SUM(K23:K24)</f>
        <v>3489</v>
      </c>
      <c r="L25" s="58" t="s">
        <v>12</v>
      </c>
      <c r="M25" s="60"/>
      <c r="N25" s="55"/>
    </row>
    <row r="26" spans="3:14" ht="12.75" customHeight="1" thickBot="1" x14ac:dyDescent="0.25">
      <c r="C26" s="57">
        <f t="shared" si="0"/>
        <v>8026</v>
      </c>
      <c r="D26" s="57">
        <f t="shared" si="1"/>
        <v>5773</v>
      </c>
      <c r="E26" s="57">
        <f t="shared" si="1"/>
        <v>2253</v>
      </c>
      <c r="F26" s="57">
        <f t="shared" si="2"/>
        <v>29</v>
      </c>
      <c r="G26" s="57">
        <v>4</v>
      </c>
      <c r="H26" s="57">
        <v>25</v>
      </c>
      <c r="I26" s="57">
        <f t="shared" si="3"/>
        <v>7997</v>
      </c>
      <c r="J26" s="57">
        <v>5769</v>
      </c>
      <c r="K26" s="57">
        <v>2228</v>
      </c>
      <c r="L26" s="58" t="s">
        <v>233</v>
      </c>
      <c r="M26" s="59"/>
      <c r="N26" s="55"/>
    </row>
    <row r="27" spans="3:14" ht="12.75" customHeight="1" thickBot="1" x14ac:dyDescent="0.25">
      <c r="C27" s="57">
        <f t="shared" si="0"/>
        <v>1206</v>
      </c>
      <c r="D27" s="57">
        <f t="shared" si="1"/>
        <v>1206</v>
      </c>
      <c r="E27" s="57">
        <f t="shared" si="1"/>
        <v>0</v>
      </c>
      <c r="F27" s="57">
        <f t="shared" si="2"/>
        <v>0</v>
      </c>
      <c r="G27" s="57">
        <v>0</v>
      </c>
      <c r="H27" s="57">
        <v>0</v>
      </c>
      <c r="I27" s="57">
        <f t="shared" si="3"/>
        <v>1206</v>
      </c>
      <c r="J27" s="57">
        <v>1206</v>
      </c>
      <c r="K27" s="57">
        <v>0</v>
      </c>
      <c r="L27" s="58" t="s">
        <v>234</v>
      </c>
      <c r="M27" s="59" t="s">
        <v>75</v>
      </c>
      <c r="N27" s="55"/>
    </row>
    <row r="28" spans="3:14" ht="12.75" customHeight="1" thickBot="1" x14ac:dyDescent="0.25">
      <c r="C28" s="57">
        <f t="shared" ref="C28:J28" si="11">SUM(C26:C27)</f>
        <v>9232</v>
      </c>
      <c r="D28" s="57">
        <f t="shared" si="11"/>
        <v>6979</v>
      </c>
      <c r="E28" s="57">
        <f t="shared" si="11"/>
        <v>2253</v>
      </c>
      <c r="F28" s="57">
        <f t="shared" si="11"/>
        <v>29</v>
      </c>
      <c r="G28" s="57">
        <f t="shared" si="11"/>
        <v>4</v>
      </c>
      <c r="H28" s="57">
        <f t="shared" si="11"/>
        <v>25</v>
      </c>
      <c r="I28" s="57">
        <f t="shared" si="11"/>
        <v>9203</v>
      </c>
      <c r="J28" s="57">
        <f t="shared" si="11"/>
        <v>6975</v>
      </c>
      <c r="K28" s="57">
        <f>SUM(K26:K27)</f>
        <v>2228</v>
      </c>
      <c r="L28" s="58" t="s">
        <v>12</v>
      </c>
      <c r="M28" s="60"/>
      <c r="N28" s="55"/>
    </row>
    <row r="29" spans="3:14" ht="12.75" customHeight="1" thickBot="1" x14ac:dyDescent="0.25">
      <c r="C29" s="57">
        <f t="shared" si="0"/>
        <v>10001</v>
      </c>
      <c r="D29" s="57">
        <f t="shared" si="1"/>
        <v>6655</v>
      </c>
      <c r="E29" s="57">
        <f t="shared" si="1"/>
        <v>3346</v>
      </c>
      <c r="F29" s="57">
        <f t="shared" si="2"/>
        <v>47</v>
      </c>
      <c r="G29" s="57">
        <v>21</v>
      </c>
      <c r="H29" s="57">
        <v>26</v>
      </c>
      <c r="I29" s="57">
        <f t="shared" si="3"/>
        <v>9954</v>
      </c>
      <c r="J29" s="57">
        <v>6634</v>
      </c>
      <c r="K29" s="57">
        <v>3320</v>
      </c>
      <c r="L29" s="58" t="s">
        <v>233</v>
      </c>
      <c r="M29" s="59"/>
      <c r="N29" s="55"/>
    </row>
    <row r="30" spans="3:14" ht="12.75" customHeight="1" thickBot="1" x14ac:dyDescent="0.25">
      <c r="C30" s="57">
        <f t="shared" si="0"/>
        <v>681</v>
      </c>
      <c r="D30" s="57">
        <f t="shared" si="1"/>
        <v>681</v>
      </c>
      <c r="E30" s="57">
        <f t="shared" si="1"/>
        <v>0</v>
      </c>
      <c r="F30" s="57">
        <f t="shared" si="2"/>
        <v>0</v>
      </c>
      <c r="G30" s="57">
        <v>0</v>
      </c>
      <c r="H30" s="57">
        <v>0</v>
      </c>
      <c r="I30" s="57">
        <f t="shared" si="3"/>
        <v>681</v>
      </c>
      <c r="J30" s="57">
        <v>681</v>
      </c>
      <c r="K30" s="57">
        <v>0</v>
      </c>
      <c r="L30" s="58" t="s">
        <v>234</v>
      </c>
      <c r="M30" s="59" t="s">
        <v>100</v>
      </c>
      <c r="N30" s="55"/>
    </row>
    <row r="31" spans="3:14" ht="12.75" customHeight="1" thickBot="1" x14ac:dyDescent="0.25">
      <c r="C31" s="57">
        <f t="shared" ref="C31:J31" si="12">SUM(C29:C30)</f>
        <v>10682</v>
      </c>
      <c r="D31" s="57">
        <f t="shared" si="12"/>
        <v>7336</v>
      </c>
      <c r="E31" s="57">
        <f t="shared" si="12"/>
        <v>3346</v>
      </c>
      <c r="F31" s="57">
        <f t="shared" si="12"/>
        <v>47</v>
      </c>
      <c r="G31" s="57">
        <f t="shared" si="12"/>
        <v>21</v>
      </c>
      <c r="H31" s="57">
        <f t="shared" si="12"/>
        <v>26</v>
      </c>
      <c r="I31" s="57">
        <f t="shared" si="12"/>
        <v>10635</v>
      </c>
      <c r="J31" s="57">
        <f t="shared" si="12"/>
        <v>7315</v>
      </c>
      <c r="K31" s="57">
        <f>SUM(K29:K30)</f>
        <v>3320</v>
      </c>
      <c r="L31" s="58" t="s">
        <v>12</v>
      </c>
      <c r="M31" s="60"/>
      <c r="N31" s="55"/>
    </row>
    <row r="32" spans="3:14" ht="12.75" customHeight="1" thickBot="1" x14ac:dyDescent="0.25">
      <c r="C32" s="57">
        <f t="shared" si="0"/>
        <v>8315</v>
      </c>
      <c r="D32" s="57">
        <f t="shared" si="1"/>
        <v>5039</v>
      </c>
      <c r="E32" s="57">
        <f t="shared" si="1"/>
        <v>3276</v>
      </c>
      <c r="F32" s="57">
        <f t="shared" si="2"/>
        <v>46</v>
      </c>
      <c r="G32" s="57">
        <v>36</v>
      </c>
      <c r="H32" s="57">
        <v>10</v>
      </c>
      <c r="I32" s="57">
        <f t="shared" si="3"/>
        <v>8269</v>
      </c>
      <c r="J32" s="57">
        <v>5003</v>
      </c>
      <c r="K32" s="57">
        <v>3266</v>
      </c>
      <c r="L32" s="58" t="s">
        <v>233</v>
      </c>
      <c r="M32" s="59"/>
      <c r="N32" s="55"/>
    </row>
    <row r="33" spans="3:14" ht="12.75" customHeight="1" thickBot="1" x14ac:dyDescent="0.25">
      <c r="C33" s="57">
        <f t="shared" si="0"/>
        <v>3595</v>
      </c>
      <c r="D33" s="57">
        <f t="shared" si="1"/>
        <v>2375</v>
      </c>
      <c r="E33" s="57">
        <f t="shared" si="1"/>
        <v>1220</v>
      </c>
      <c r="F33" s="57">
        <f t="shared" si="2"/>
        <v>95</v>
      </c>
      <c r="G33" s="57">
        <v>70</v>
      </c>
      <c r="H33" s="57">
        <v>25</v>
      </c>
      <c r="I33" s="57">
        <f t="shared" si="3"/>
        <v>3500</v>
      </c>
      <c r="J33" s="57">
        <v>2305</v>
      </c>
      <c r="K33" s="57">
        <v>1195</v>
      </c>
      <c r="L33" s="58" t="s">
        <v>234</v>
      </c>
      <c r="M33" s="59" t="s">
        <v>76</v>
      </c>
      <c r="N33" s="55"/>
    </row>
    <row r="34" spans="3:14" ht="12.75" customHeight="1" thickBot="1" x14ac:dyDescent="0.25">
      <c r="C34" s="57">
        <f t="shared" ref="C34:J34" si="13">SUM(C32:C33)</f>
        <v>11910</v>
      </c>
      <c r="D34" s="57">
        <f t="shared" si="13"/>
        <v>7414</v>
      </c>
      <c r="E34" s="57">
        <f t="shared" si="13"/>
        <v>4496</v>
      </c>
      <c r="F34" s="57">
        <f t="shared" si="13"/>
        <v>141</v>
      </c>
      <c r="G34" s="57">
        <f t="shared" si="13"/>
        <v>106</v>
      </c>
      <c r="H34" s="57">
        <f t="shared" si="13"/>
        <v>35</v>
      </c>
      <c r="I34" s="57">
        <f t="shared" si="13"/>
        <v>11769</v>
      </c>
      <c r="J34" s="57">
        <f t="shared" si="13"/>
        <v>7308</v>
      </c>
      <c r="K34" s="57">
        <f>SUM(K32:K33)</f>
        <v>4461</v>
      </c>
      <c r="L34" s="58" t="s">
        <v>12</v>
      </c>
      <c r="M34" s="60"/>
      <c r="N34" s="55"/>
    </row>
    <row r="35" spans="3:14" ht="12.75" customHeight="1" thickBot="1" x14ac:dyDescent="0.25">
      <c r="C35" s="57">
        <f t="shared" si="0"/>
        <v>9793</v>
      </c>
      <c r="D35" s="57">
        <f t="shared" si="1"/>
        <v>5586</v>
      </c>
      <c r="E35" s="57">
        <f t="shared" si="1"/>
        <v>4207</v>
      </c>
      <c r="F35" s="57">
        <f t="shared" si="2"/>
        <v>61</v>
      </c>
      <c r="G35" s="57">
        <v>39</v>
      </c>
      <c r="H35" s="57">
        <v>22</v>
      </c>
      <c r="I35" s="57">
        <f t="shared" si="3"/>
        <v>9732</v>
      </c>
      <c r="J35" s="57">
        <v>5547</v>
      </c>
      <c r="K35" s="57">
        <v>4185</v>
      </c>
      <c r="L35" s="58" t="s">
        <v>233</v>
      </c>
      <c r="M35" s="59"/>
      <c r="N35" s="55"/>
    </row>
    <row r="36" spans="3:14" ht="12.75" customHeight="1" thickBot="1" x14ac:dyDescent="0.25">
      <c r="C36" s="57">
        <f t="shared" si="0"/>
        <v>245</v>
      </c>
      <c r="D36" s="57">
        <f t="shared" si="1"/>
        <v>245</v>
      </c>
      <c r="E36" s="57">
        <f t="shared" si="1"/>
        <v>0</v>
      </c>
      <c r="F36" s="57">
        <f t="shared" si="2"/>
        <v>4</v>
      </c>
      <c r="G36" s="57">
        <v>4</v>
      </c>
      <c r="H36" s="57">
        <v>0</v>
      </c>
      <c r="I36" s="57">
        <f t="shared" si="3"/>
        <v>241</v>
      </c>
      <c r="J36" s="57">
        <v>241</v>
      </c>
      <c r="K36" s="57">
        <v>0</v>
      </c>
      <c r="L36" s="58" t="s">
        <v>234</v>
      </c>
      <c r="M36" s="59" t="s">
        <v>77</v>
      </c>
      <c r="N36" s="55"/>
    </row>
    <row r="37" spans="3:14" ht="12.75" customHeight="1" thickBot="1" x14ac:dyDescent="0.25">
      <c r="C37" s="57">
        <f t="shared" ref="C37:J37" si="14">SUM(C35:C36)</f>
        <v>10038</v>
      </c>
      <c r="D37" s="57">
        <f t="shared" si="14"/>
        <v>5831</v>
      </c>
      <c r="E37" s="57">
        <f t="shared" si="14"/>
        <v>4207</v>
      </c>
      <c r="F37" s="57">
        <f t="shared" si="14"/>
        <v>65</v>
      </c>
      <c r="G37" s="57">
        <f t="shared" si="14"/>
        <v>43</v>
      </c>
      <c r="H37" s="57">
        <f t="shared" si="14"/>
        <v>22</v>
      </c>
      <c r="I37" s="57">
        <f t="shared" si="14"/>
        <v>9973</v>
      </c>
      <c r="J37" s="57">
        <f t="shared" si="14"/>
        <v>5788</v>
      </c>
      <c r="K37" s="57">
        <f>SUM(K35:K36)</f>
        <v>4185</v>
      </c>
      <c r="L37" s="58" t="s">
        <v>12</v>
      </c>
      <c r="M37" s="60"/>
      <c r="N37" s="55"/>
    </row>
    <row r="38" spans="3:14" ht="12.75" customHeight="1" thickBot="1" x14ac:dyDescent="0.25">
      <c r="C38" s="57">
        <f t="shared" si="0"/>
        <v>316</v>
      </c>
      <c r="D38" s="57">
        <f t="shared" si="1"/>
        <v>159</v>
      </c>
      <c r="E38" s="57">
        <f t="shared" si="1"/>
        <v>157</v>
      </c>
      <c r="F38" s="57">
        <f t="shared" si="2"/>
        <v>0</v>
      </c>
      <c r="G38" s="57">
        <v>0</v>
      </c>
      <c r="H38" s="57">
        <v>0</v>
      </c>
      <c r="I38" s="57">
        <f t="shared" si="3"/>
        <v>316</v>
      </c>
      <c r="J38" s="57">
        <v>159</v>
      </c>
      <c r="K38" s="57">
        <v>157</v>
      </c>
      <c r="L38" s="58" t="s">
        <v>233</v>
      </c>
      <c r="M38" s="59"/>
      <c r="N38" s="55"/>
    </row>
    <row r="39" spans="3:14" ht="12.75" customHeight="1" thickBot="1" x14ac:dyDescent="0.25">
      <c r="C39" s="57">
        <f t="shared" si="0"/>
        <v>0</v>
      </c>
      <c r="D39" s="57">
        <f t="shared" si="1"/>
        <v>0</v>
      </c>
      <c r="E39" s="57">
        <f t="shared" si="1"/>
        <v>0</v>
      </c>
      <c r="F39" s="57">
        <f t="shared" si="2"/>
        <v>0</v>
      </c>
      <c r="G39" s="57">
        <v>0</v>
      </c>
      <c r="H39" s="57">
        <v>0</v>
      </c>
      <c r="I39" s="57">
        <f t="shared" si="3"/>
        <v>0</v>
      </c>
      <c r="J39" s="57">
        <v>0</v>
      </c>
      <c r="K39" s="57">
        <v>0</v>
      </c>
      <c r="L39" s="58" t="s">
        <v>234</v>
      </c>
      <c r="M39" s="59" t="s">
        <v>148</v>
      </c>
      <c r="N39" s="55"/>
    </row>
    <row r="40" spans="3:14" ht="12.75" customHeight="1" thickBot="1" x14ac:dyDescent="0.25">
      <c r="C40" s="57">
        <f t="shared" ref="C40:J40" si="15">SUM(C38:C39)</f>
        <v>316</v>
      </c>
      <c r="D40" s="57">
        <f t="shared" si="15"/>
        <v>159</v>
      </c>
      <c r="E40" s="57">
        <f t="shared" si="15"/>
        <v>157</v>
      </c>
      <c r="F40" s="57">
        <f t="shared" si="15"/>
        <v>0</v>
      </c>
      <c r="G40" s="57">
        <f t="shared" si="15"/>
        <v>0</v>
      </c>
      <c r="H40" s="57">
        <f t="shared" si="15"/>
        <v>0</v>
      </c>
      <c r="I40" s="57">
        <f t="shared" si="15"/>
        <v>316</v>
      </c>
      <c r="J40" s="57">
        <f t="shared" si="15"/>
        <v>159</v>
      </c>
      <c r="K40" s="57">
        <f>SUM(K38:K39)</f>
        <v>157</v>
      </c>
      <c r="L40" s="58" t="s">
        <v>12</v>
      </c>
      <c r="M40" s="60"/>
      <c r="N40" s="55"/>
    </row>
    <row r="41" spans="3:14" ht="12.75" customHeight="1" thickBot="1" x14ac:dyDescent="0.25">
      <c r="C41" s="57">
        <f t="shared" si="0"/>
        <v>11271</v>
      </c>
      <c r="D41" s="57">
        <f t="shared" si="1"/>
        <v>6869</v>
      </c>
      <c r="E41" s="57">
        <f t="shared" si="1"/>
        <v>4402</v>
      </c>
      <c r="F41" s="57">
        <f t="shared" si="2"/>
        <v>26</v>
      </c>
      <c r="G41" s="57">
        <v>26</v>
      </c>
      <c r="H41" s="57">
        <v>0</v>
      </c>
      <c r="I41" s="57">
        <f t="shared" si="3"/>
        <v>11245</v>
      </c>
      <c r="J41" s="57">
        <v>6843</v>
      </c>
      <c r="K41" s="57">
        <v>4402</v>
      </c>
      <c r="L41" s="58" t="s">
        <v>233</v>
      </c>
      <c r="M41" s="59"/>
      <c r="N41" s="55"/>
    </row>
    <row r="42" spans="3:14" ht="12.75" customHeight="1" thickBot="1" x14ac:dyDescent="0.25">
      <c r="C42" s="57">
        <f t="shared" si="0"/>
        <v>2735</v>
      </c>
      <c r="D42" s="57">
        <f t="shared" si="1"/>
        <v>2735</v>
      </c>
      <c r="E42" s="57">
        <f t="shared" si="1"/>
        <v>0</v>
      </c>
      <c r="F42" s="57">
        <f t="shared" si="2"/>
        <v>8</v>
      </c>
      <c r="G42" s="57">
        <v>8</v>
      </c>
      <c r="H42" s="57">
        <v>0</v>
      </c>
      <c r="I42" s="57">
        <f t="shared" si="3"/>
        <v>2727</v>
      </c>
      <c r="J42" s="57">
        <v>2727</v>
      </c>
      <c r="K42" s="57">
        <v>0</v>
      </c>
      <c r="L42" s="58" t="s">
        <v>234</v>
      </c>
      <c r="M42" s="59" t="s">
        <v>106</v>
      </c>
      <c r="N42" s="55"/>
    </row>
    <row r="43" spans="3:14" ht="12.75" customHeight="1" thickBot="1" x14ac:dyDescent="0.25">
      <c r="C43" s="57">
        <f t="shared" ref="C43:J43" si="16">SUM(C41:C42)</f>
        <v>14006</v>
      </c>
      <c r="D43" s="57">
        <f t="shared" si="16"/>
        <v>9604</v>
      </c>
      <c r="E43" s="57">
        <f t="shared" si="16"/>
        <v>4402</v>
      </c>
      <c r="F43" s="57">
        <f t="shared" si="16"/>
        <v>34</v>
      </c>
      <c r="G43" s="57">
        <f t="shared" si="16"/>
        <v>34</v>
      </c>
      <c r="H43" s="57">
        <f t="shared" si="16"/>
        <v>0</v>
      </c>
      <c r="I43" s="57">
        <f t="shared" si="16"/>
        <v>13972</v>
      </c>
      <c r="J43" s="57">
        <f t="shared" si="16"/>
        <v>9570</v>
      </c>
      <c r="K43" s="57">
        <f>SUM(K41:K42)</f>
        <v>4402</v>
      </c>
      <c r="L43" s="58" t="s">
        <v>12</v>
      </c>
      <c r="M43" s="60"/>
      <c r="N43" s="55"/>
    </row>
    <row r="44" spans="3:14" ht="12.75" customHeight="1" thickBot="1" x14ac:dyDescent="0.25">
      <c r="C44" s="57">
        <f t="shared" si="0"/>
        <v>3920</v>
      </c>
      <c r="D44" s="57">
        <f t="shared" si="1"/>
        <v>2417</v>
      </c>
      <c r="E44" s="57">
        <f t="shared" si="1"/>
        <v>1503</v>
      </c>
      <c r="F44" s="57">
        <f t="shared" si="2"/>
        <v>6</v>
      </c>
      <c r="G44" s="57">
        <v>4</v>
      </c>
      <c r="H44" s="57">
        <v>2</v>
      </c>
      <c r="I44" s="57">
        <f t="shared" si="3"/>
        <v>3914</v>
      </c>
      <c r="J44" s="57">
        <v>2413</v>
      </c>
      <c r="K44" s="57">
        <v>1501</v>
      </c>
      <c r="L44" s="58" t="s">
        <v>233</v>
      </c>
      <c r="M44" s="59"/>
      <c r="N44" s="55"/>
    </row>
    <row r="45" spans="3:14" ht="12.75" customHeight="1" thickBot="1" x14ac:dyDescent="0.25">
      <c r="C45" s="57">
        <f t="shared" si="0"/>
        <v>131</v>
      </c>
      <c r="D45" s="57">
        <f t="shared" si="1"/>
        <v>131</v>
      </c>
      <c r="E45" s="57">
        <f t="shared" si="1"/>
        <v>0</v>
      </c>
      <c r="F45" s="57">
        <f t="shared" si="2"/>
        <v>0</v>
      </c>
      <c r="G45" s="57">
        <v>0</v>
      </c>
      <c r="H45" s="57">
        <v>0</v>
      </c>
      <c r="I45" s="57">
        <f t="shared" si="3"/>
        <v>131</v>
      </c>
      <c r="J45" s="57">
        <v>131</v>
      </c>
      <c r="K45" s="57">
        <v>0</v>
      </c>
      <c r="L45" s="58" t="s">
        <v>234</v>
      </c>
      <c r="M45" s="59" t="s">
        <v>109</v>
      </c>
      <c r="N45" s="55"/>
    </row>
    <row r="46" spans="3:14" ht="12.75" customHeight="1" thickBot="1" x14ac:dyDescent="0.25">
      <c r="C46" s="57">
        <f t="shared" ref="C46:J46" si="17">SUM(C44:C45)</f>
        <v>4051</v>
      </c>
      <c r="D46" s="57">
        <f t="shared" si="17"/>
        <v>2548</v>
      </c>
      <c r="E46" s="57">
        <f t="shared" si="17"/>
        <v>1503</v>
      </c>
      <c r="F46" s="57">
        <f t="shared" si="17"/>
        <v>6</v>
      </c>
      <c r="G46" s="57">
        <f t="shared" si="17"/>
        <v>4</v>
      </c>
      <c r="H46" s="57">
        <f t="shared" si="17"/>
        <v>2</v>
      </c>
      <c r="I46" s="57">
        <f t="shared" si="17"/>
        <v>4045</v>
      </c>
      <c r="J46" s="57">
        <f t="shared" si="17"/>
        <v>2544</v>
      </c>
      <c r="K46" s="57">
        <f>SUM(K44:K45)</f>
        <v>1501</v>
      </c>
      <c r="L46" s="58" t="s">
        <v>12</v>
      </c>
      <c r="M46" s="60"/>
      <c r="N46" s="55"/>
    </row>
    <row r="47" spans="3:14" ht="12.75" customHeight="1" thickBot="1" x14ac:dyDescent="0.25">
      <c r="C47" s="57">
        <f t="shared" si="0"/>
        <v>4948</v>
      </c>
      <c r="D47" s="57">
        <f t="shared" si="1"/>
        <v>2843</v>
      </c>
      <c r="E47" s="57">
        <f t="shared" si="1"/>
        <v>2105</v>
      </c>
      <c r="F47" s="57">
        <f t="shared" si="2"/>
        <v>0</v>
      </c>
      <c r="G47" s="57">
        <v>0</v>
      </c>
      <c r="H47" s="57">
        <v>0</v>
      </c>
      <c r="I47" s="57">
        <f t="shared" si="3"/>
        <v>4948</v>
      </c>
      <c r="J47" s="57">
        <v>2843</v>
      </c>
      <c r="K47" s="57">
        <v>2105</v>
      </c>
      <c r="L47" s="58" t="s">
        <v>233</v>
      </c>
      <c r="M47" s="59"/>
      <c r="N47" s="55"/>
    </row>
    <row r="48" spans="3:14" ht="12.75" customHeight="1" thickBot="1" x14ac:dyDescent="0.25">
      <c r="C48" s="57">
        <f t="shared" si="0"/>
        <v>859</v>
      </c>
      <c r="D48" s="57">
        <f t="shared" si="1"/>
        <v>399</v>
      </c>
      <c r="E48" s="57">
        <f t="shared" si="1"/>
        <v>460</v>
      </c>
      <c r="F48" s="57">
        <f t="shared" si="2"/>
        <v>0</v>
      </c>
      <c r="G48" s="57">
        <v>0</v>
      </c>
      <c r="H48" s="57">
        <v>0</v>
      </c>
      <c r="I48" s="57">
        <f t="shared" si="3"/>
        <v>859</v>
      </c>
      <c r="J48" s="57">
        <v>399</v>
      </c>
      <c r="K48" s="57">
        <v>460</v>
      </c>
      <c r="L48" s="58" t="s">
        <v>234</v>
      </c>
      <c r="M48" s="59" t="s">
        <v>111</v>
      </c>
      <c r="N48" s="55"/>
    </row>
    <row r="49" spans="3:14" ht="12.75" customHeight="1" thickBot="1" x14ac:dyDescent="0.25">
      <c r="C49" s="57">
        <f t="shared" ref="C49:J49" si="18">SUM(C47:C48)</f>
        <v>5807</v>
      </c>
      <c r="D49" s="57">
        <f t="shared" si="18"/>
        <v>3242</v>
      </c>
      <c r="E49" s="57">
        <f t="shared" si="18"/>
        <v>2565</v>
      </c>
      <c r="F49" s="57">
        <f t="shared" si="18"/>
        <v>0</v>
      </c>
      <c r="G49" s="57">
        <f t="shared" si="18"/>
        <v>0</v>
      </c>
      <c r="H49" s="57">
        <f t="shared" si="18"/>
        <v>0</v>
      </c>
      <c r="I49" s="57">
        <f t="shared" si="18"/>
        <v>5807</v>
      </c>
      <c r="J49" s="57">
        <f t="shared" si="18"/>
        <v>3242</v>
      </c>
      <c r="K49" s="57">
        <f>SUM(K47:K48)</f>
        <v>2565</v>
      </c>
      <c r="L49" s="58" t="s">
        <v>12</v>
      </c>
      <c r="M49" s="60"/>
      <c r="N49" s="55"/>
    </row>
    <row r="50" spans="3:14" ht="12.75" customHeight="1" thickBot="1" x14ac:dyDescent="0.25">
      <c r="C50" s="57">
        <f t="shared" si="0"/>
        <v>3385</v>
      </c>
      <c r="D50" s="57">
        <f t="shared" si="1"/>
        <v>1873</v>
      </c>
      <c r="E50" s="57">
        <f t="shared" si="1"/>
        <v>1512</v>
      </c>
      <c r="F50" s="57">
        <f t="shared" si="2"/>
        <v>0</v>
      </c>
      <c r="G50" s="57">
        <v>0</v>
      </c>
      <c r="H50" s="57">
        <v>0</v>
      </c>
      <c r="I50" s="57">
        <f t="shared" si="3"/>
        <v>3385</v>
      </c>
      <c r="J50" s="57">
        <v>1873</v>
      </c>
      <c r="K50" s="57">
        <v>1512</v>
      </c>
      <c r="L50" s="58" t="s">
        <v>233</v>
      </c>
      <c r="M50" s="59"/>
      <c r="N50" s="55"/>
    </row>
    <row r="51" spans="3:14" ht="12.75" customHeight="1" thickBot="1" x14ac:dyDescent="0.25">
      <c r="C51" s="57">
        <f t="shared" si="0"/>
        <v>534</v>
      </c>
      <c r="D51" s="57">
        <f t="shared" si="1"/>
        <v>534</v>
      </c>
      <c r="E51" s="57">
        <f t="shared" si="1"/>
        <v>0</v>
      </c>
      <c r="F51" s="57">
        <f t="shared" si="2"/>
        <v>0</v>
      </c>
      <c r="G51" s="57">
        <v>0</v>
      </c>
      <c r="H51" s="57">
        <v>0</v>
      </c>
      <c r="I51" s="57">
        <f t="shared" si="3"/>
        <v>534</v>
      </c>
      <c r="J51" s="57">
        <v>534</v>
      </c>
      <c r="K51" s="57">
        <v>0</v>
      </c>
      <c r="L51" s="58" t="s">
        <v>234</v>
      </c>
      <c r="M51" s="59" t="s">
        <v>115</v>
      </c>
      <c r="N51" s="55"/>
    </row>
    <row r="52" spans="3:14" ht="12.75" customHeight="1" thickBot="1" x14ac:dyDescent="0.25">
      <c r="C52" s="57">
        <f t="shared" ref="C52:J52" si="19">SUM(C50:C51)</f>
        <v>3919</v>
      </c>
      <c r="D52" s="57">
        <f t="shared" si="19"/>
        <v>2407</v>
      </c>
      <c r="E52" s="57">
        <f t="shared" si="19"/>
        <v>1512</v>
      </c>
      <c r="F52" s="57">
        <f t="shared" si="19"/>
        <v>0</v>
      </c>
      <c r="G52" s="57">
        <f t="shared" si="19"/>
        <v>0</v>
      </c>
      <c r="H52" s="57">
        <f t="shared" si="19"/>
        <v>0</v>
      </c>
      <c r="I52" s="57">
        <f t="shared" si="19"/>
        <v>3919</v>
      </c>
      <c r="J52" s="57">
        <f t="shared" si="19"/>
        <v>2407</v>
      </c>
      <c r="K52" s="57">
        <f>SUM(K50:K51)</f>
        <v>1512</v>
      </c>
      <c r="L52" s="58" t="s">
        <v>12</v>
      </c>
      <c r="M52" s="60"/>
      <c r="N52" s="55"/>
    </row>
    <row r="53" spans="3:14" ht="12.75" customHeight="1" thickBot="1" x14ac:dyDescent="0.25">
      <c r="C53" s="57">
        <f t="shared" si="0"/>
        <v>3994</v>
      </c>
      <c r="D53" s="57">
        <f t="shared" si="1"/>
        <v>2439</v>
      </c>
      <c r="E53" s="57">
        <f t="shared" si="1"/>
        <v>1555</v>
      </c>
      <c r="F53" s="57">
        <f t="shared" si="2"/>
        <v>0</v>
      </c>
      <c r="G53" s="57">
        <v>0</v>
      </c>
      <c r="H53" s="57">
        <v>0</v>
      </c>
      <c r="I53" s="57">
        <f t="shared" si="3"/>
        <v>3994</v>
      </c>
      <c r="J53" s="57">
        <v>2439</v>
      </c>
      <c r="K53" s="57">
        <v>1555</v>
      </c>
      <c r="L53" s="58" t="s">
        <v>233</v>
      </c>
      <c r="M53" s="59"/>
      <c r="N53" s="55"/>
    </row>
    <row r="54" spans="3:14" ht="12.75" customHeight="1" thickBot="1" x14ac:dyDescent="0.25">
      <c r="C54" s="57">
        <f t="shared" si="0"/>
        <v>0</v>
      </c>
      <c r="D54" s="57">
        <f t="shared" si="1"/>
        <v>0</v>
      </c>
      <c r="E54" s="57">
        <f t="shared" si="1"/>
        <v>0</v>
      </c>
      <c r="F54" s="57">
        <f t="shared" si="2"/>
        <v>0</v>
      </c>
      <c r="G54" s="57">
        <v>0</v>
      </c>
      <c r="H54" s="57">
        <v>0</v>
      </c>
      <c r="I54" s="57">
        <f t="shared" si="3"/>
        <v>0</v>
      </c>
      <c r="J54" s="57">
        <v>0</v>
      </c>
      <c r="K54" s="57">
        <v>0</v>
      </c>
      <c r="L54" s="58" t="s">
        <v>234</v>
      </c>
      <c r="M54" s="59" t="s">
        <v>117</v>
      </c>
      <c r="N54" s="55"/>
    </row>
    <row r="55" spans="3:14" ht="12.75" customHeight="1" thickBot="1" x14ac:dyDescent="0.25">
      <c r="C55" s="57">
        <f t="shared" ref="C55:J55" si="20">SUM(C53:C54)</f>
        <v>3994</v>
      </c>
      <c r="D55" s="57">
        <f t="shared" si="20"/>
        <v>2439</v>
      </c>
      <c r="E55" s="57">
        <f t="shared" si="20"/>
        <v>1555</v>
      </c>
      <c r="F55" s="57">
        <f t="shared" si="20"/>
        <v>0</v>
      </c>
      <c r="G55" s="57">
        <f t="shared" si="20"/>
        <v>0</v>
      </c>
      <c r="H55" s="57">
        <f t="shared" si="20"/>
        <v>0</v>
      </c>
      <c r="I55" s="57">
        <f t="shared" si="20"/>
        <v>3994</v>
      </c>
      <c r="J55" s="57">
        <f t="shared" si="20"/>
        <v>2439</v>
      </c>
      <c r="K55" s="57">
        <f>SUM(K53:K54)</f>
        <v>1555</v>
      </c>
      <c r="L55" s="58" t="s">
        <v>12</v>
      </c>
      <c r="M55" s="60"/>
      <c r="N55" s="55"/>
    </row>
    <row r="56" spans="3:14" ht="12.75" customHeight="1" thickBot="1" x14ac:dyDescent="0.25">
      <c r="C56" s="57">
        <f t="shared" si="0"/>
        <v>2257</v>
      </c>
      <c r="D56" s="57">
        <f t="shared" si="1"/>
        <v>1411</v>
      </c>
      <c r="E56" s="57">
        <f t="shared" si="1"/>
        <v>846</v>
      </c>
      <c r="F56" s="57">
        <f t="shared" si="2"/>
        <v>3</v>
      </c>
      <c r="G56" s="57">
        <v>3</v>
      </c>
      <c r="H56" s="57">
        <v>0</v>
      </c>
      <c r="I56" s="57">
        <f t="shared" si="3"/>
        <v>2254</v>
      </c>
      <c r="J56" s="57">
        <v>1408</v>
      </c>
      <c r="K56" s="57">
        <v>846</v>
      </c>
      <c r="L56" s="58" t="s">
        <v>233</v>
      </c>
      <c r="M56" s="59"/>
      <c r="N56" s="55"/>
    </row>
    <row r="57" spans="3:14" ht="12.75" customHeight="1" thickBot="1" x14ac:dyDescent="0.25">
      <c r="C57" s="57">
        <f t="shared" si="0"/>
        <v>137</v>
      </c>
      <c r="D57" s="57">
        <f t="shared" si="1"/>
        <v>137</v>
      </c>
      <c r="E57" s="57">
        <f t="shared" si="1"/>
        <v>0</v>
      </c>
      <c r="F57" s="57">
        <f t="shared" si="2"/>
        <v>0</v>
      </c>
      <c r="G57" s="57">
        <v>0</v>
      </c>
      <c r="H57" s="57">
        <v>0</v>
      </c>
      <c r="I57" s="57">
        <f t="shared" si="3"/>
        <v>137</v>
      </c>
      <c r="J57" s="57">
        <v>137</v>
      </c>
      <c r="K57" s="57">
        <v>0</v>
      </c>
      <c r="L57" s="58" t="s">
        <v>234</v>
      </c>
      <c r="M57" s="59" t="s">
        <v>119</v>
      </c>
      <c r="N57" s="55"/>
    </row>
    <row r="58" spans="3:14" ht="12.75" customHeight="1" thickBot="1" x14ac:dyDescent="0.25">
      <c r="C58" s="57">
        <f t="shared" ref="C58:J58" si="21">SUM(C56:C57)</f>
        <v>2394</v>
      </c>
      <c r="D58" s="57">
        <f t="shared" si="21"/>
        <v>1548</v>
      </c>
      <c r="E58" s="57">
        <f t="shared" si="21"/>
        <v>846</v>
      </c>
      <c r="F58" s="57">
        <f t="shared" si="21"/>
        <v>3</v>
      </c>
      <c r="G58" s="57">
        <f t="shared" si="21"/>
        <v>3</v>
      </c>
      <c r="H58" s="57">
        <f t="shared" si="21"/>
        <v>0</v>
      </c>
      <c r="I58" s="57">
        <f t="shared" si="21"/>
        <v>2391</v>
      </c>
      <c r="J58" s="57">
        <f t="shared" si="21"/>
        <v>1545</v>
      </c>
      <c r="K58" s="57">
        <f>SUM(K56:K57)</f>
        <v>846</v>
      </c>
      <c r="L58" s="58" t="s">
        <v>12</v>
      </c>
      <c r="M58" s="60"/>
      <c r="N58" s="55"/>
    </row>
    <row r="59" spans="3:14" ht="12.75" customHeight="1" thickBot="1" x14ac:dyDescent="0.25">
      <c r="C59" s="57">
        <f t="shared" si="0"/>
        <v>14946</v>
      </c>
      <c r="D59" s="57">
        <f t="shared" si="1"/>
        <v>14946</v>
      </c>
      <c r="E59" s="57">
        <f t="shared" si="1"/>
        <v>0</v>
      </c>
      <c r="F59" s="57">
        <f t="shared" si="2"/>
        <v>42</v>
      </c>
      <c r="G59" s="57">
        <v>42</v>
      </c>
      <c r="H59" s="57">
        <v>0</v>
      </c>
      <c r="I59" s="57">
        <f t="shared" si="3"/>
        <v>14904</v>
      </c>
      <c r="J59" s="57">
        <v>14904</v>
      </c>
      <c r="K59" s="57">
        <v>0</v>
      </c>
      <c r="L59" s="58" t="s">
        <v>233</v>
      </c>
      <c r="M59" s="59"/>
      <c r="N59" s="55"/>
    </row>
    <row r="60" spans="3:14" ht="12.75" customHeight="1" thickBot="1" x14ac:dyDescent="0.25">
      <c r="C60" s="57">
        <f t="shared" si="0"/>
        <v>3514</v>
      </c>
      <c r="D60" s="57">
        <f t="shared" si="1"/>
        <v>3514</v>
      </c>
      <c r="E60" s="57">
        <f t="shared" si="1"/>
        <v>0</v>
      </c>
      <c r="F60" s="57">
        <f t="shared" si="2"/>
        <v>20</v>
      </c>
      <c r="G60" s="57">
        <v>20</v>
      </c>
      <c r="H60" s="57">
        <v>0</v>
      </c>
      <c r="I60" s="57">
        <f t="shared" si="3"/>
        <v>3494</v>
      </c>
      <c r="J60" s="57">
        <v>3494</v>
      </c>
      <c r="K60" s="57">
        <v>0</v>
      </c>
      <c r="L60" s="58" t="s">
        <v>234</v>
      </c>
      <c r="M60" s="59" t="s">
        <v>235</v>
      </c>
      <c r="N60" s="55"/>
    </row>
    <row r="61" spans="3:14" ht="12.75" customHeight="1" thickBot="1" x14ac:dyDescent="0.25">
      <c r="C61" s="57">
        <f t="shared" ref="C61:J61" si="22">SUM(C59:C60)</f>
        <v>18460</v>
      </c>
      <c r="D61" s="57">
        <f t="shared" si="22"/>
        <v>18460</v>
      </c>
      <c r="E61" s="57">
        <f t="shared" si="22"/>
        <v>0</v>
      </c>
      <c r="F61" s="57">
        <f t="shared" si="22"/>
        <v>62</v>
      </c>
      <c r="G61" s="57">
        <f t="shared" si="22"/>
        <v>62</v>
      </c>
      <c r="H61" s="57">
        <f t="shared" si="22"/>
        <v>0</v>
      </c>
      <c r="I61" s="57">
        <f t="shared" si="22"/>
        <v>18398</v>
      </c>
      <c r="J61" s="57">
        <f t="shared" si="22"/>
        <v>18398</v>
      </c>
      <c r="K61" s="57">
        <f>SUM(K59:K60)</f>
        <v>0</v>
      </c>
      <c r="L61" s="58" t="s">
        <v>12</v>
      </c>
      <c r="M61" s="60"/>
      <c r="N61" s="55"/>
    </row>
    <row r="62" spans="3:14" ht="12.75" customHeight="1" thickBot="1" x14ac:dyDescent="0.25">
      <c r="C62" s="57">
        <f t="shared" si="0"/>
        <v>2808</v>
      </c>
      <c r="D62" s="57">
        <f t="shared" si="1"/>
        <v>1529</v>
      </c>
      <c r="E62" s="57">
        <f t="shared" si="1"/>
        <v>1279</v>
      </c>
      <c r="F62" s="57">
        <f t="shared" si="2"/>
        <v>0</v>
      </c>
      <c r="G62" s="57">
        <v>0</v>
      </c>
      <c r="H62" s="57">
        <v>0</v>
      </c>
      <c r="I62" s="57">
        <f t="shared" si="3"/>
        <v>2808</v>
      </c>
      <c r="J62" s="57">
        <v>1529</v>
      </c>
      <c r="K62" s="57">
        <v>1279</v>
      </c>
      <c r="L62" s="58" t="s">
        <v>233</v>
      </c>
      <c r="M62" s="59"/>
      <c r="N62" s="55"/>
    </row>
    <row r="63" spans="3:14" ht="12.75" customHeight="1" thickBot="1" x14ac:dyDescent="0.25">
      <c r="C63" s="57">
        <f t="shared" si="0"/>
        <v>0</v>
      </c>
      <c r="D63" s="57">
        <f t="shared" si="1"/>
        <v>0</v>
      </c>
      <c r="E63" s="57">
        <f t="shared" si="1"/>
        <v>0</v>
      </c>
      <c r="F63" s="57">
        <f t="shared" si="2"/>
        <v>0</v>
      </c>
      <c r="G63" s="57">
        <v>0</v>
      </c>
      <c r="H63" s="57">
        <v>0</v>
      </c>
      <c r="I63" s="57">
        <f t="shared" si="3"/>
        <v>0</v>
      </c>
      <c r="J63" s="57">
        <v>0</v>
      </c>
      <c r="K63" s="57">
        <v>0</v>
      </c>
      <c r="L63" s="58" t="s">
        <v>234</v>
      </c>
      <c r="M63" s="59" t="s">
        <v>123</v>
      </c>
      <c r="N63" s="55"/>
    </row>
    <row r="64" spans="3:14" ht="12.75" customHeight="1" thickBot="1" x14ac:dyDescent="0.25">
      <c r="C64" s="57">
        <f t="shared" ref="C64:J64" si="23">SUM(C62:C63)</f>
        <v>2808</v>
      </c>
      <c r="D64" s="57">
        <f t="shared" si="23"/>
        <v>1529</v>
      </c>
      <c r="E64" s="57">
        <f t="shared" si="23"/>
        <v>1279</v>
      </c>
      <c r="F64" s="57">
        <f t="shared" si="23"/>
        <v>0</v>
      </c>
      <c r="G64" s="57">
        <f t="shared" si="23"/>
        <v>0</v>
      </c>
      <c r="H64" s="57">
        <f t="shared" si="23"/>
        <v>0</v>
      </c>
      <c r="I64" s="57">
        <f t="shared" si="23"/>
        <v>2808</v>
      </c>
      <c r="J64" s="57">
        <f t="shared" si="23"/>
        <v>1529</v>
      </c>
      <c r="K64" s="57">
        <f>SUM(K62:K63)</f>
        <v>1279</v>
      </c>
      <c r="L64" s="58" t="s">
        <v>12</v>
      </c>
      <c r="M64" s="60"/>
      <c r="N64" s="55"/>
    </row>
    <row r="65" spans="3:14" ht="12.75" customHeight="1" thickBot="1" x14ac:dyDescent="0.25">
      <c r="C65" s="57">
        <f t="shared" si="0"/>
        <v>547</v>
      </c>
      <c r="D65" s="57">
        <f t="shared" si="1"/>
        <v>0</v>
      </c>
      <c r="E65" s="57">
        <f t="shared" si="1"/>
        <v>547</v>
      </c>
      <c r="F65" s="57">
        <f t="shared" si="2"/>
        <v>0</v>
      </c>
      <c r="G65" s="57">
        <v>0</v>
      </c>
      <c r="H65" s="57">
        <v>0</v>
      </c>
      <c r="I65" s="57">
        <f t="shared" si="3"/>
        <v>547</v>
      </c>
      <c r="J65" s="57">
        <v>0</v>
      </c>
      <c r="K65" s="57">
        <v>547</v>
      </c>
      <c r="L65" s="58" t="s">
        <v>233</v>
      </c>
      <c r="M65" s="59"/>
      <c r="N65" s="55"/>
    </row>
    <row r="66" spans="3:14" ht="12.75" customHeight="1" thickBot="1" x14ac:dyDescent="0.25">
      <c r="C66" s="57">
        <f t="shared" si="0"/>
        <v>0</v>
      </c>
      <c r="D66" s="57">
        <f t="shared" si="1"/>
        <v>0</v>
      </c>
      <c r="E66" s="57">
        <f t="shared" si="1"/>
        <v>0</v>
      </c>
      <c r="F66" s="57">
        <f t="shared" si="2"/>
        <v>0</v>
      </c>
      <c r="G66" s="57">
        <v>0</v>
      </c>
      <c r="H66" s="57">
        <v>0</v>
      </c>
      <c r="I66" s="57">
        <f t="shared" si="3"/>
        <v>0</v>
      </c>
      <c r="J66" s="57">
        <v>0</v>
      </c>
      <c r="K66" s="57">
        <v>0</v>
      </c>
      <c r="L66" s="58" t="s">
        <v>234</v>
      </c>
      <c r="M66" s="59" t="s">
        <v>151</v>
      </c>
      <c r="N66" s="55"/>
    </row>
    <row r="67" spans="3:14" ht="12.75" customHeight="1" thickBot="1" x14ac:dyDescent="0.25">
      <c r="C67" s="57">
        <f t="shared" ref="C67:J67" si="24">SUM(C65:C66)</f>
        <v>547</v>
      </c>
      <c r="D67" s="57">
        <f t="shared" si="24"/>
        <v>0</v>
      </c>
      <c r="E67" s="57">
        <f t="shared" si="24"/>
        <v>547</v>
      </c>
      <c r="F67" s="57">
        <f t="shared" si="24"/>
        <v>0</v>
      </c>
      <c r="G67" s="57">
        <f t="shared" si="24"/>
        <v>0</v>
      </c>
      <c r="H67" s="57">
        <f t="shared" si="24"/>
        <v>0</v>
      </c>
      <c r="I67" s="57">
        <f t="shared" si="24"/>
        <v>547</v>
      </c>
      <c r="J67" s="57">
        <f t="shared" si="24"/>
        <v>0</v>
      </c>
      <c r="K67" s="57">
        <f>SUM(K65:K66)</f>
        <v>547</v>
      </c>
      <c r="L67" s="58" t="s">
        <v>12</v>
      </c>
      <c r="M67" s="60"/>
      <c r="N67" s="55"/>
    </row>
    <row r="68" spans="3:14" ht="12.75" customHeight="1" thickBot="1" x14ac:dyDescent="0.25">
      <c r="C68" s="57">
        <f t="shared" si="0"/>
        <v>91</v>
      </c>
      <c r="D68" s="57">
        <f t="shared" si="1"/>
        <v>52</v>
      </c>
      <c r="E68" s="57">
        <f t="shared" si="1"/>
        <v>39</v>
      </c>
      <c r="F68" s="57">
        <f t="shared" si="2"/>
        <v>0</v>
      </c>
      <c r="G68" s="57">
        <v>0</v>
      </c>
      <c r="H68" s="57">
        <v>0</v>
      </c>
      <c r="I68" s="57">
        <f t="shared" si="3"/>
        <v>91</v>
      </c>
      <c r="J68" s="57">
        <v>52</v>
      </c>
      <c r="K68" s="57">
        <v>39</v>
      </c>
      <c r="L68" s="58" t="s">
        <v>233</v>
      </c>
      <c r="M68" s="59"/>
      <c r="N68" s="55"/>
    </row>
    <row r="69" spans="3:14" ht="12.75" customHeight="1" thickBot="1" x14ac:dyDescent="0.25">
      <c r="C69" s="57">
        <f t="shared" si="0"/>
        <v>0</v>
      </c>
      <c r="D69" s="57">
        <f t="shared" si="1"/>
        <v>0</v>
      </c>
      <c r="E69" s="57">
        <f t="shared" si="1"/>
        <v>0</v>
      </c>
      <c r="F69" s="57">
        <f t="shared" si="2"/>
        <v>0</v>
      </c>
      <c r="G69" s="57">
        <v>0</v>
      </c>
      <c r="H69" s="57">
        <v>0</v>
      </c>
      <c r="I69" s="57">
        <f t="shared" si="3"/>
        <v>0</v>
      </c>
      <c r="J69" s="57">
        <v>0</v>
      </c>
      <c r="K69" s="57">
        <v>0</v>
      </c>
      <c r="L69" s="58" t="s">
        <v>234</v>
      </c>
      <c r="M69" s="59" t="s">
        <v>152</v>
      </c>
      <c r="N69" s="55"/>
    </row>
    <row r="70" spans="3:14" ht="12.75" customHeight="1" thickBot="1" x14ac:dyDescent="0.25">
      <c r="C70" s="57">
        <f t="shared" ref="C70:J70" si="25">SUM(C68:C69)</f>
        <v>91</v>
      </c>
      <c r="D70" s="57">
        <f t="shared" si="25"/>
        <v>52</v>
      </c>
      <c r="E70" s="57">
        <f t="shared" si="25"/>
        <v>39</v>
      </c>
      <c r="F70" s="57">
        <f t="shared" si="25"/>
        <v>0</v>
      </c>
      <c r="G70" s="57">
        <f t="shared" si="25"/>
        <v>0</v>
      </c>
      <c r="H70" s="57">
        <f t="shared" si="25"/>
        <v>0</v>
      </c>
      <c r="I70" s="57">
        <f t="shared" si="25"/>
        <v>91</v>
      </c>
      <c r="J70" s="57">
        <f t="shared" si="25"/>
        <v>52</v>
      </c>
      <c r="K70" s="57">
        <f>SUM(K68:K69)</f>
        <v>39</v>
      </c>
      <c r="L70" s="58" t="s">
        <v>12</v>
      </c>
      <c r="M70" s="60"/>
      <c r="N70" s="55"/>
    </row>
    <row r="71" spans="3:14" ht="12.75" customHeight="1" thickBot="1" x14ac:dyDescent="0.25">
      <c r="C71" s="57">
        <f t="shared" ref="C71:C75" si="26">SUM(D71:E71)</f>
        <v>1525</v>
      </c>
      <c r="D71" s="57">
        <f t="shared" ref="D71:E75" si="27">J71+G71</f>
        <v>524</v>
      </c>
      <c r="E71" s="57">
        <f t="shared" si="27"/>
        <v>1001</v>
      </c>
      <c r="F71" s="57">
        <f t="shared" ref="F71:F75" si="28">SUM(G71:H71)</f>
        <v>0</v>
      </c>
      <c r="G71" s="57">
        <v>0</v>
      </c>
      <c r="H71" s="57">
        <v>0</v>
      </c>
      <c r="I71" s="57">
        <f t="shared" ref="I71:I75" si="29">SUM(J71:K71)</f>
        <v>1525</v>
      </c>
      <c r="J71" s="57">
        <v>524</v>
      </c>
      <c r="K71" s="57">
        <v>1001</v>
      </c>
      <c r="L71" s="58" t="s">
        <v>233</v>
      </c>
      <c r="M71" s="59"/>
      <c r="N71" s="55"/>
    </row>
    <row r="72" spans="3:14" ht="12.75" customHeight="1" thickBot="1" x14ac:dyDescent="0.25">
      <c r="C72" s="57">
        <f t="shared" si="26"/>
        <v>0</v>
      </c>
      <c r="D72" s="57">
        <f t="shared" si="27"/>
        <v>0</v>
      </c>
      <c r="E72" s="57">
        <f t="shared" si="27"/>
        <v>0</v>
      </c>
      <c r="F72" s="57">
        <f t="shared" si="28"/>
        <v>0</v>
      </c>
      <c r="G72" s="57">
        <v>0</v>
      </c>
      <c r="H72" s="57">
        <v>0</v>
      </c>
      <c r="I72" s="57">
        <f t="shared" si="29"/>
        <v>0</v>
      </c>
      <c r="J72" s="57">
        <v>0</v>
      </c>
      <c r="K72" s="57">
        <v>0</v>
      </c>
      <c r="L72" s="58" t="s">
        <v>234</v>
      </c>
      <c r="M72" s="59" t="s">
        <v>228</v>
      </c>
      <c r="N72" s="55"/>
    </row>
    <row r="73" spans="3:14" ht="12.75" customHeight="1" thickBot="1" x14ac:dyDescent="0.25">
      <c r="C73" s="57">
        <f t="shared" ref="C73:J73" si="30">SUM(C71:C72)</f>
        <v>1525</v>
      </c>
      <c r="D73" s="57">
        <f t="shared" si="30"/>
        <v>524</v>
      </c>
      <c r="E73" s="57">
        <f t="shared" si="30"/>
        <v>1001</v>
      </c>
      <c r="F73" s="57">
        <f t="shared" si="30"/>
        <v>0</v>
      </c>
      <c r="G73" s="57">
        <f t="shared" si="30"/>
        <v>0</v>
      </c>
      <c r="H73" s="57">
        <f t="shared" si="30"/>
        <v>0</v>
      </c>
      <c r="I73" s="57">
        <f t="shared" si="30"/>
        <v>1525</v>
      </c>
      <c r="J73" s="57">
        <f t="shared" si="30"/>
        <v>524</v>
      </c>
      <c r="K73" s="57">
        <f>SUM(K71:K72)</f>
        <v>1001</v>
      </c>
      <c r="L73" s="58" t="s">
        <v>12</v>
      </c>
      <c r="M73" s="60"/>
      <c r="N73" s="55"/>
    </row>
    <row r="74" spans="3:14" ht="12.75" customHeight="1" thickBot="1" x14ac:dyDescent="0.25">
      <c r="C74" s="57">
        <f t="shared" si="26"/>
        <v>7543</v>
      </c>
      <c r="D74" s="57">
        <f t="shared" si="27"/>
        <v>3806</v>
      </c>
      <c r="E74" s="57">
        <f t="shared" si="27"/>
        <v>3737</v>
      </c>
      <c r="F74" s="57">
        <f t="shared" si="28"/>
        <v>1411</v>
      </c>
      <c r="G74" s="57">
        <v>648</v>
      </c>
      <c r="H74" s="57">
        <v>763</v>
      </c>
      <c r="I74" s="57">
        <f t="shared" si="29"/>
        <v>6132</v>
      </c>
      <c r="J74" s="57">
        <v>3158</v>
      </c>
      <c r="K74" s="57">
        <v>2974</v>
      </c>
      <c r="L74" s="58" t="s">
        <v>233</v>
      </c>
      <c r="M74" s="59"/>
      <c r="N74" s="55"/>
    </row>
    <row r="75" spans="3:14" ht="12.75" customHeight="1" thickBot="1" x14ac:dyDescent="0.25">
      <c r="C75" s="57">
        <f t="shared" si="26"/>
        <v>0</v>
      </c>
      <c r="D75" s="57">
        <f t="shared" si="27"/>
        <v>0</v>
      </c>
      <c r="E75" s="57">
        <f t="shared" si="27"/>
        <v>0</v>
      </c>
      <c r="F75" s="57">
        <f t="shared" si="28"/>
        <v>0</v>
      </c>
      <c r="G75" s="57">
        <v>0</v>
      </c>
      <c r="H75" s="57">
        <v>0</v>
      </c>
      <c r="I75" s="57">
        <f t="shared" si="29"/>
        <v>0</v>
      </c>
      <c r="J75" s="57">
        <v>0</v>
      </c>
      <c r="K75" s="57">
        <v>0</v>
      </c>
      <c r="L75" s="58" t="s">
        <v>234</v>
      </c>
      <c r="M75" s="59" t="s">
        <v>155</v>
      </c>
      <c r="N75" s="55"/>
    </row>
    <row r="76" spans="3:14" ht="12.75" customHeight="1" thickBot="1" x14ac:dyDescent="0.25">
      <c r="C76" s="57">
        <f t="shared" ref="C76:J76" si="31">SUM(C74:C75)</f>
        <v>7543</v>
      </c>
      <c r="D76" s="57">
        <f t="shared" si="31"/>
        <v>3806</v>
      </c>
      <c r="E76" s="57">
        <f t="shared" si="31"/>
        <v>3737</v>
      </c>
      <c r="F76" s="57">
        <f t="shared" si="31"/>
        <v>1411</v>
      </c>
      <c r="G76" s="57">
        <f t="shared" si="31"/>
        <v>648</v>
      </c>
      <c r="H76" s="57">
        <f t="shared" si="31"/>
        <v>763</v>
      </c>
      <c r="I76" s="57">
        <f t="shared" si="31"/>
        <v>6132</v>
      </c>
      <c r="J76" s="57">
        <f t="shared" si="31"/>
        <v>3158</v>
      </c>
      <c r="K76" s="57">
        <f>SUM(K74:K75)</f>
        <v>2974</v>
      </c>
      <c r="L76" s="58" t="s">
        <v>12</v>
      </c>
      <c r="M76" s="60"/>
      <c r="N76" s="55"/>
    </row>
    <row r="77" spans="3:14" ht="12.75" customHeight="1" thickBot="1" x14ac:dyDescent="0.25">
      <c r="C77" s="57">
        <f t="shared" ref="C77:K79" si="32">C5+C8+C11+C14+C17+C20+C23+C26+C29+C32+C35+C38+C41+C44+C47+C50+C53+C56+C59+C62+C65+C68+C71+C74</f>
        <v>156918</v>
      </c>
      <c r="D77" s="57">
        <f t="shared" si="32"/>
        <v>93591</v>
      </c>
      <c r="E77" s="57">
        <f t="shared" si="32"/>
        <v>63327</v>
      </c>
      <c r="F77" s="57">
        <f t="shared" si="32"/>
        <v>3657</v>
      </c>
      <c r="G77" s="57">
        <f t="shared" si="32"/>
        <v>1310</v>
      </c>
      <c r="H77" s="57">
        <f t="shared" si="32"/>
        <v>2347</v>
      </c>
      <c r="I77" s="57">
        <f t="shared" si="32"/>
        <v>153261</v>
      </c>
      <c r="J77" s="57">
        <f t="shared" si="32"/>
        <v>92281</v>
      </c>
      <c r="K77" s="57">
        <f>K5+K8+K11+K14+K17+K20+K23+K26+K29+K32+K35+K38+K41+K44+K47+K50+K53+K56+K59+K62+K65+K68+K71+K74</f>
        <v>60980</v>
      </c>
      <c r="L77" s="58" t="s">
        <v>236</v>
      </c>
      <c r="M77" s="61"/>
      <c r="N77" s="55"/>
    </row>
    <row r="78" spans="3:14" ht="12.75" customHeight="1" thickBot="1" x14ac:dyDescent="0.25">
      <c r="C78" s="57">
        <f t="shared" si="32"/>
        <v>37233</v>
      </c>
      <c r="D78" s="57">
        <f t="shared" si="32"/>
        <v>19163</v>
      </c>
      <c r="E78" s="57">
        <f t="shared" si="32"/>
        <v>18070</v>
      </c>
      <c r="F78" s="57">
        <f t="shared" si="32"/>
        <v>791</v>
      </c>
      <c r="G78" s="57">
        <f t="shared" si="32"/>
        <v>522</v>
      </c>
      <c r="H78" s="57">
        <f t="shared" si="32"/>
        <v>269</v>
      </c>
      <c r="I78" s="57">
        <f t="shared" si="32"/>
        <v>36442</v>
      </c>
      <c r="J78" s="57">
        <f t="shared" si="32"/>
        <v>18641</v>
      </c>
      <c r="K78" s="57">
        <f t="shared" si="32"/>
        <v>17801</v>
      </c>
      <c r="L78" s="58" t="s">
        <v>237</v>
      </c>
      <c r="M78" s="62" t="s">
        <v>188</v>
      </c>
      <c r="N78" s="55"/>
    </row>
    <row r="79" spans="3:14" ht="12.75" customHeight="1" thickBot="1" x14ac:dyDescent="0.25">
      <c r="C79" s="57">
        <f t="shared" si="32"/>
        <v>194151</v>
      </c>
      <c r="D79" s="57">
        <f t="shared" si="32"/>
        <v>112754</v>
      </c>
      <c r="E79" s="57">
        <f t="shared" si="32"/>
        <v>81397</v>
      </c>
      <c r="F79" s="57">
        <f t="shared" si="32"/>
        <v>4448</v>
      </c>
      <c r="G79" s="57">
        <f t="shared" si="32"/>
        <v>1832</v>
      </c>
      <c r="H79" s="57">
        <f t="shared" si="32"/>
        <v>2616</v>
      </c>
      <c r="I79" s="57">
        <f t="shared" si="32"/>
        <v>189703</v>
      </c>
      <c r="J79" s="57">
        <f t="shared" si="32"/>
        <v>110922</v>
      </c>
      <c r="K79" s="57">
        <f t="shared" si="32"/>
        <v>78781</v>
      </c>
      <c r="L79" s="58" t="s">
        <v>12</v>
      </c>
      <c r="M79" s="53"/>
      <c r="N79" s="55"/>
    </row>
    <row r="83" spans="5:5" ht="12.75" customHeight="1" x14ac:dyDescent="0.2">
      <c r="E83" s="63"/>
    </row>
  </sheetData>
  <mergeCells count="7">
    <mergeCell ref="L4:M4"/>
    <mergeCell ref="C1:M1"/>
    <mergeCell ref="C2:M2"/>
    <mergeCell ref="C3:E3"/>
    <mergeCell ref="F3:H3"/>
    <mergeCell ref="I3:K3"/>
    <mergeCell ref="L3:M3"/>
  </mergeCells>
  <pageMargins left="0.4" right="0.4" top="0.25" bottom="0.25" header="0.25" footer="0.25"/>
  <pageSetup paperSize="9" scale="98" orientation="landscape" horizontalDpi="300" verticalDpi="300" r:id="rId1"/>
  <headerFooter alignWithMargins="0"/>
  <rowBreaks count="1" manualBreakCount="1">
    <brk id="43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N84"/>
  <sheetViews>
    <sheetView showGridLines="0" zoomScaleSheetLayoutView="136" workbookViewId="0">
      <selection activeCell="F38" sqref="F38"/>
    </sheetView>
  </sheetViews>
  <sheetFormatPr defaultRowHeight="12.75" customHeight="1" x14ac:dyDescent="0.2"/>
  <cols>
    <col min="1" max="2" width="9" style="56"/>
    <col min="3" max="11" width="9.625" style="56" customWidth="1"/>
    <col min="12" max="12" width="5.75" style="56" bestFit="1" customWidth="1"/>
    <col min="13" max="13" width="27.375" style="56" customWidth="1"/>
    <col min="14" max="14" width="4.875" style="56" customWidth="1"/>
    <col min="15" max="258" width="9" style="56"/>
    <col min="259" max="267" width="9.625" style="56" customWidth="1"/>
    <col min="268" max="268" width="5.75" style="56" bestFit="1" customWidth="1"/>
    <col min="269" max="269" width="27.375" style="56" customWidth="1"/>
    <col min="270" max="270" width="4.875" style="56" customWidth="1"/>
    <col min="271" max="514" width="9" style="56"/>
    <col min="515" max="523" width="9.625" style="56" customWidth="1"/>
    <col min="524" max="524" width="5.75" style="56" bestFit="1" customWidth="1"/>
    <col min="525" max="525" width="27.375" style="56" customWidth="1"/>
    <col min="526" max="526" width="4.875" style="56" customWidth="1"/>
    <col min="527" max="770" width="9" style="56"/>
    <col min="771" max="779" width="9.625" style="56" customWidth="1"/>
    <col min="780" max="780" width="5.75" style="56" bestFit="1" customWidth="1"/>
    <col min="781" max="781" width="27.375" style="56" customWidth="1"/>
    <col min="782" max="782" width="4.875" style="56" customWidth="1"/>
    <col min="783" max="1026" width="9" style="56"/>
    <col min="1027" max="1035" width="9.625" style="56" customWidth="1"/>
    <col min="1036" max="1036" width="5.75" style="56" bestFit="1" customWidth="1"/>
    <col min="1037" max="1037" width="27.375" style="56" customWidth="1"/>
    <col min="1038" max="1038" width="4.875" style="56" customWidth="1"/>
    <col min="1039" max="1282" width="9" style="56"/>
    <col min="1283" max="1291" width="9.625" style="56" customWidth="1"/>
    <col min="1292" max="1292" width="5.75" style="56" bestFit="1" customWidth="1"/>
    <col min="1293" max="1293" width="27.375" style="56" customWidth="1"/>
    <col min="1294" max="1294" width="4.875" style="56" customWidth="1"/>
    <col min="1295" max="1538" width="9" style="56"/>
    <col min="1539" max="1547" width="9.625" style="56" customWidth="1"/>
    <col min="1548" max="1548" width="5.75" style="56" bestFit="1" customWidth="1"/>
    <col min="1549" max="1549" width="27.375" style="56" customWidth="1"/>
    <col min="1550" max="1550" width="4.875" style="56" customWidth="1"/>
    <col min="1551" max="1794" width="9" style="56"/>
    <col min="1795" max="1803" width="9.625" style="56" customWidth="1"/>
    <col min="1804" max="1804" width="5.75" style="56" bestFit="1" customWidth="1"/>
    <col min="1805" max="1805" width="27.375" style="56" customWidth="1"/>
    <col min="1806" max="1806" width="4.875" style="56" customWidth="1"/>
    <col min="1807" max="2050" width="9" style="56"/>
    <col min="2051" max="2059" width="9.625" style="56" customWidth="1"/>
    <col min="2060" max="2060" width="5.75" style="56" bestFit="1" customWidth="1"/>
    <col min="2061" max="2061" width="27.375" style="56" customWidth="1"/>
    <col min="2062" max="2062" width="4.875" style="56" customWidth="1"/>
    <col min="2063" max="2306" width="9" style="56"/>
    <col min="2307" max="2315" width="9.625" style="56" customWidth="1"/>
    <col min="2316" max="2316" width="5.75" style="56" bestFit="1" customWidth="1"/>
    <col min="2317" max="2317" width="27.375" style="56" customWidth="1"/>
    <col min="2318" max="2318" width="4.875" style="56" customWidth="1"/>
    <col min="2319" max="2562" width="9" style="56"/>
    <col min="2563" max="2571" width="9.625" style="56" customWidth="1"/>
    <col min="2572" max="2572" width="5.75" style="56" bestFit="1" customWidth="1"/>
    <col min="2573" max="2573" width="27.375" style="56" customWidth="1"/>
    <col min="2574" max="2574" width="4.875" style="56" customWidth="1"/>
    <col min="2575" max="2818" width="9" style="56"/>
    <col min="2819" max="2827" width="9.625" style="56" customWidth="1"/>
    <col min="2828" max="2828" width="5.75" style="56" bestFit="1" customWidth="1"/>
    <col min="2829" max="2829" width="27.375" style="56" customWidth="1"/>
    <col min="2830" max="2830" width="4.875" style="56" customWidth="1"/>
    <col min="2831" max="3074" width="9" style="56"/>
    <col min="3075" max="3083" width="9.625" style="56" customWidth="1"/>
    <col min="3084" max="3084" width="5.75" style="56" bestFit="1" customWidth="1"/>
    <col min="3085" max="3085" width="27.375" style="56" customWidth="1"/>
    <col min="3086" max="3086" width="4.875" style="56" customWidth="1"/>
    <col min="3087" max="3330" width="9" style="56"/>
    <col min="3331" max="3339" width="9.625" style="56" customWidth="1"/>
    <col min="3340" max="3340" width="5.75" style="56" bestFit="1" customWidth="1"/>
    <col min="3341" max="3341" width="27.375" style="56" customWidth="1"/>
    <col min="3342" max="3342" width="4.875" style="56" customWidth="1"/>
    <col min="3343" max="3586" width="9" style="56"/>
    <col min="3587" max="3595" width="9.625" style="56" customWidth="1"/>
    <col min="3596" max="3596" width="5.75" style="56" bestFit="1" customWidth="1"/>
    <col min="3597" max="3597" width="27.375" style="56" customWidth="1"/>
    <col min="3598" max="3598" width="4.875" style="56" customWidth="1"/>
    <col min="3599" max="3842" width="9" style="56"/>
    <col min="3843" max="3851" width="9.625" style="56" customWidth="1"/>
    <col min="3852" max="3852" width="5.75" style="56" bestFit="1" customWidth="1"/>
    <col min="3853" max="3853" width="27.375" style="56" customWidth="1"/>
    <col min="3854" max="3854" width="4.875" style="56" customWidth="1"/>
    <col min="3855" max="4098" width="9" style="56"/>
    <col min="4099" max="4107" width="9.625" style="56" customWidth="1"/>
    <col min="4108" max="4108" width="5.75" style="56" bestFit="1" customWidth="1"/>
    <col min="4109" max="4109" width="27.375" style="56" customWidth="1"/>
    <col min="4110" max="4110" width="4.875" style="56" customWidth="1"/>
    <col min="4111" max="4354" width="9" style="56"/>
    <col min="4355" max="4363" width="9.625" style="56" customWidth="1"/>
    <col min="4364" max="4364" width="5.75" style="56" bestFit="1" customWidth="1"/>
    <col min="4365" max="4365" width="27.375" style="56" customWidth="1"/>
    <col min="4366" max="4366" width="4.875" style="56" customWidth="1"/>
    <col min="4367" max="4610" width="9" style="56"/>
    <col min="4611" max="4619" width="9.625" style="56" customWidth="1"/>
    <col min="4620" max="4620" width="5.75" style="56" bestFit="1" customWidth="1"/>
    <col min="4621" max="4621" width="27.375" style="56" customWidth="1"/>
    <col min="4622" max="4622" width="4.875" style="56" customWidth="1"/>
    <col min="4623" max="4866" width="9" style="56"/>
    <col min="4867" max="4875" width="9.625" style="56" customWidth="1"/>
    <col min="4876" max="4876" width="5.75" style="56" bestFit="1" customWidth="1"/>
    <col min="4877" max="4877" width="27.375" style="56" customWidth="1"/>
    <col min="4878" max="4878" width="4.875" style="56" customWidth="1"/>
    <col min="4879" max="5122" width="9" style="56"/>
    <col min="5123" max="5131" width="9.625" style="56" customWidth="1"/>
    <col min="5132" max="5132" width="5.75" style="56" bestFit="1" customWidth="1"/>
    <col min="5133" max="5133" width="27.375" style="56" customWidth="1"/>
    <col min="5134" max="5134" width="4.875" style="56" customWidth="1"/>
    <col min="5135" max="5378" width="9" style="56"/>
    <col min="5379" max="5387" width="9.625" style="56" customWidth="1"/>
    <col min="5388" max="5388" width="5.75" style="56" bestFit="1" customWidth="1"/>
    <col min="5389" max="5389" width="27.375" style="56" customWidth="1"/>
    <col min="5390" max="5390" width="4.875" style="56" customWidth="1"/>
    <col min="5391" max="5634" width="9" style="56"/>
    <col min="5635" max="5643" width="9.625" style="56" customWidth="1"/>
    <col min="5644" max="5644" width="5.75" style="56" bestFit="1" customWidth="1"/>
    <col min="5645" max="5645" width="27.375" style="56" customWidth="1"/>
    <col min="5646" max="5646" width="4.875" style="56" customWidth="1"/>
    <col min="5647" max="5890" width="9" style="56"/>
    <col min="5891" max="5899" width="9.625" style="56" customWidth="1"/>
    <col min="5900" max="5900" width="5.75" style="56" bestFit="1" customWidth="1"/>
    <col min="5901" max="5901" width="27.375" style="56" customWidth="1"/>
    <col min="5902" max="5902" width="4.875" style="56" customWidth="1"/>
    <col min="5903" max="6146" width="9" style="56"/>
    <col min="6147" max="6155" width="9.625" style="56" customWidth="1"/>
    <col min="6156" max="6156" width="5.75" style="56" bestFit="1" customWidth="1"/>
    <col min="6157" max="6157" width="27.375" style="56" customWidth="1"/>
    <col min="6158" max="6158" width="4.875" style="56" customWidth="1"/>
    <col min="6159" max="6402" width="9" style="56"/>
    <col min="6403" max="6411" width="9.625" style="56" customWidth="1"/>
    <col min="6412" max="6412" width="5.75" style="56" bestFit="1" customWidth="1"/>
    <col min="6413" max="6413" width="27.375" style="56" customWidth="1"/>
    <col min="6414" max="6414" width="4.875" style="56" customWidth="1"/>
    <col min="6415" max="6658" width="9" style="56"/>
    <col min="6659" max="6667" width="9.625" style="56" customWidth="1"/>
    <col min="6668" max="6668" width="5.75" style="56" bestFit="1" customWidth="1"/>
    <col min="6669" max="6669" width="27.375" style="56" customWidth="1"/>
    <col min="6670" max="6670" width="4.875" style="56" customWidth="1"/>
    <col min="6671" max="6914" width="9" style="56"/>
    <col min="6915" max="6923" width="9.625" style="56" customWidth="1"/>
    <col min="6924" max="6924" width="5.75" style="56" bestFit="1" customWidth="1"/>
    <col min="6925" max="6925" width="27.375" style="56" customWidth="1"/>
    <col min="6926" max="6926" width="4.875" style="56" customWidth="1"/>
    <col min="6927" max="7170" width="9" style="56"/>
    <col min="7171" max="7179" width="9.625" style="56" customWidth="1"/>
    <col min="7180" max="7180" width="5.75" style="56" bestFit="1" customWidth="1"/>
    <col min="7181" max="7181" width="27.375" style="56" customWidth="1"/>
    <col min="7182" max="7182" width="4.875" style="56" customWidth="1"/>
    <col min="7183" max="7426" width="9" style="56"/>
    <col min="7427" max="7435" width="9.625" style="56" customWidth="1"/>
    <col min="7436" max="7436" width="5.75" style="56" bestFit="1" customWidth="1"/>
    <col min="7437" max="7437" width="27.375" style="56" customWidth="1"/>
    <col min="7438" max="7438" width="4.875" style="56" customWidth="1"/>
    <col min="7439" max="7682" width="9" style="56"/>
    <col min="7683" max="7691" width="9.625" style="56" customWidth="1"/>
    <col min="7692" max="7692" width="5.75" style="56" bestFit="1" customWidth="1"/>
    <col min="7693" max="7693" width="27.375" style="56" customWidth="1"/>
    <col min="7694" max="7694" width="4.875" style="56" customWidth="1"/>
    <col min="7695" max="7938" width="9" style="56"/>
    <col min="7939" max="7947" width="9.625" style="56" customWidth="1"/>
    <col min="7948" max="7948" width="5.75" style="56" bestFit="1" customWidth="1"/>
    <col min="7949" max="7949" width="27.375" style="56" customWidth="1"/>
    <col min="7950" max="7950" width="4.875" style="56" customWidth="1"/>
    <col min="7951" max="8194" width="9" style="56"/>
    <col min="8195" max="8203" width="9.625" style="56" customWidth="1"/>
    <col min="8204" max="8204" width="5.75" style="56" bestFit="1" customWidth="1"/>
    <col min="8205" max="8205" width="27.375" style="56" customWidth="1"/>
    <col min="8206" max="8206" width="4.875" style="56" customWidth="1"/>
    <col min="8207" max="8450" width="9" style="56"/>
    <col min="8451" max="8459" width="9.625" style="56" customWidth="1"/>
    <col min="8460" max="8460" width="5.75" style="56" bestFit="1" customWidth="1"/>
    <col min="8461" max="8461" width="27.375" style="56" customWidth="1"/>
    <col min="8462" max="8462" width="4.875" style="56" customWidth="1"/>
    <col min="8463" max="8706" width="9" style="56"/>
    <col min="8707" max="8715" width="9.625" style="56" customWidth="1"/>
    <col min="8716" max="8716" width="5.75" style="56" bestFit="1" customWidth="1"/>
    <col min="8717" max="8717" width="27.375" style="56" customWidth="1"/>
    <col min="8718" max="8718" width="4.875" style="56" customWidth="1"/>
    <col min="8719" max="8962" width="9" style="56"/>
    <col min="8963" max="8971" width="9.625" style="56" customWidth="1"/>
    <col min="8972" max="8972" width="5.75" style="56" bestFit="1" customWidth="1"/>
    <col min="8973" max="8973" width="27.375" style="56" customWidth="1"/>
    <col min="8974" max="8974" width="4.875" style="56" customWidth="1"/>
    <col min="8975" max="9218" width="9" style="56"/>
    <col min="9219" max="9227" width="9.625" style="56" customWidth="1"/>
    <col min="9228" max="9228" width="5.75" style="56" bestFit="1" customWidth="1"/>
    <col min="9229" max="9229" width="27.375" style="56" customWidth="1"/>
    <col min="9230" max="9230" width="4.875" style="56" customWidth="1"/>
    <col min="9231" max="9474" width="9" style="56"/>
    <col min="9475" max="9483" width="9.625" style="56" customWidth="1"/>
    <col min="9484" max="9484" width="5.75" style="56" bestFit="1" customWidth="1"/>
    <col min="9485" max="9485" width="27.375" style="56" customWidth="1"/>
    <col min="9486" max="9486" width="4.875" style="56" customWidth="1"/>
    <col min="9487" max="9730" width="9" style="56"/>
    <col min="9731" max="9739" width="9.625" style="56" customWidth="1"/>
    <col min="9740" max="9740" width="5.75" style="56" bestFit="1" customWidth="1"/>
    <col min="9741" max="9741" width="27.375" style="56" customWidth="1"/>
    <col min="9742" max="9742" width="4.875" style="56" customWidth="1"/>
    <col min="9743" max="9986" width="9" style="56"/>
    <col min="9987" max="9995" width="9.625" style="56" customWidth="1"/>
    <col min="9996" max="9996" width="5.75" style="56" bestFit="1" customWidth="1"/>
    <col min="9997" max="9997" width="27.375" style="56" customWidth="1"/>
    <col min="9998" max="9998" width="4.875" style="56" customWidth="1"/>
    <col min="9999" max="10242" width="9" style="56"/>
    <col min="10243" max="10251" width="9.625" style="56" customWidth="1"/>
    <col min="10252" max="10252" width="5.75" style="56" bestFit="1" customWidth="1"/>
    <col min="10253" max="10253" width="27.375" style="56" customWidth="1"/>
    <col min="10254" max="10254" width="4.875" style="56" customWidth="1"/>
    <col min="10255" max="10498" width="9" style="56"/>
    <col min="10499" max="10507" width="9.625" style="56" customWidth="1"/>
    <col min="10508" max="10508" width="5.75" style="56" bestFit="1" customWidth="1"/>
    <col min="10509" max="10509" width="27.375" style="56" customWidth="1"/>
    <col min="10510" max="10510" width="4.875" style="56" customWidth="1"/>
    <col min="10511" max="10754" width="9" style="56"/>
    <col min="10755" max="10763" width="9.625" style="56" customWidth="1"/>
    <col min="10764" max="10764" width="5.75" style="56" bestFit="1" customWidth="1"/>
    <col min="10765" max="10765" width="27.375" style="56" customWidth="1"/>
    <col min="10766" max="10766" width="4.875" style="56" customWidth="1"/>
    <col min="10767" max="11010" width="9" style="56"/>
    <col min="11011" max="11019" width="9.625" style="56" customWidth="1"/>
    <col min="11020" max="11020" width="5.75" style="56" bestFit="1" customWidth="1"/>
    <col min="11021" max="11021" width="27.375" style="56" customWidth="1"/>
    <col min="11022" max="11022" width="4.875" style="56" customWidth="1"/>
    <col min="11023" max="11266" width="9" style="56"/>
    <col min="11267" max="11275" width="9.625" style="56" customWidth="1"/>
    <col min="11276" max="11276" width="5.75" style="56" bestFit="1" customWidth="1"/>
    <col min="11277" max="11277" width="27.375" style="56" customWidth="1"/>
    <col min="11278" max="11278" width="4.875" style="56" customWidth="1"/>
    <col min="11279" max="11522" width="9" style="56"/>
    <col min="11523" max="11531" width="9.625" style="56" customWidth="1"/>
    <col min="11532" max="11532" width="5.75" style="56" bestFit="1" customWidth="1"/>
    <col min="11533" max="11533" width="27.375" style="56" customWidth="1"/>
    <col min="11534" max="11534" width="4.875" style="56" customWidth="1"/>
    <col min="11535" max="11778" width="9" style="56"/>
    <col min="11779" max="11787" width="9.625" style="56" customWidth="1"/>
    <col min="11788" max="11788" width="5.75" style="56" bestFit="1" customWidth="1"/>
    <col min="11789" max="11789" width="27.375" style="56" customWidth="1"/>
    <col min="11790" max="11790" width="4.875" style="56" customWidth="1"/>
    <col min="11791" max="12034" width="9" style="56"/>
    <col min="12035" max="12043" width="9.625" style="56" customWidth="1"/>
    <col min="12044" max="12044" width="5.75" style="56" bestFit="1" customWidth="1"/>
    <col min="12045" max="12045" width="27.375" style="56" customWidth="1"/>
    <col min="12046" max="12046" width="4.875" style="56" customWidth="1"/>
    <col min="12047" max="12290" width="9" style="56"/>
    <col min="12291" max="12299" width="9.625" style="56" customWidth="1"/>
    <col min="12300" max="12300" width="5.75" style="56" bestFit="1" customWidth="1"/>
    <col min="12301" max="12301" width="27.375" style="56" customWidth="1"/>
    <col min="12302" max="12302" width="4.875" style="56" customWidth="1"/>
    <col min="12303" max="12546" width="9" style="56"/>
    <col min="12547" max="12555" width="9.625" style="56" customWidth="1"/>
    <col min="12556" max="12556" width="5.75" style="56" bestFit="1" customWidth="1"/>
    <col min="12557" max="12557" width="27.375" style="56" customWidth="1"/>
    <col min="12558" max="12558" width="4.875" style="56" customWidth="1"/>
    <col min="12559" max="12802" width="9" style="56"/>
    <col min="12803" max="12811" width="9.625" style="56" customWidth="1"/>
    <col min="12812" max="12812" width="5.75" style="56" bestFit="1" customWidth="1"/>
    <col min="12813" max="12813" width="27.375" style="56" customWidth="1"/>
    <col min="12814" max="12814" width="4.875" style="56" customWidth="1"/>
    <col min="12815" max="13058" width="9" style="56"/>
    <col min="13059" max="13067" width="9.625" style="56" customWidth="1"/>
    <col min="13068" max="13068" width="5.75" style="56" bestFit="1" customWidth="1"/>
    <col min="13069" max="13069" width="27.375" style="56" customWidth="1"/>
    <col min="13070" max="13070" width="4.875" style="56" customWidth="1"/>
    <col min="13071" max="13314" width="9" style="56"/>
    <col min="13315" max="13323" width="9.625" style="56" customWidth="1"/>
    <col min="13324" max="13324" width="5.75" style="56" bestFit="1" customWidth="1"/>
    <col min="13325" max="13325" width="27.375" style="56" customWidth="1"/>
    <col min="13326" max="13326" width="4.875" style="56" customWidth="1"/>
    <col min="13327" max="13570" width="9" style="56"/>
    <col min="13571" max="13579" width="9.625" style="56" customWidth="1"/>
    <col min="13580" max="13580" width="5.75" style="56" bestFit="1" customWidth="1"/>
    <col min="13581" max="13581" width="27.375" style="56" customWidth="1"/>
    <col min="13582" max="13582" width="4.875" style="56" customWidth="1"/>
    <col min="13583" max="13826" width="9" style="56"/>
    <col min="13827" max="13835" width="9.625" style="56" customWidth="1"/>
    <col min="13836" max="13836" width="5.75" style="56" bestFit="1" customWidth="1"/>
    <col min="13837" max="13837" width="27.375" style="56" customWidth="1"/>
    <col min="13838" max="13838" width="4.875" style="56" customWidth="1"/>
    <col min="13839" max="14082" width="9" style="56"/>
    <col min="14083" max="14091" width="9.625" style="56" customWidth="1"/>
    <col min="14092" max="14092" width="5.75" style="56" bestFit="1" customWidth="1"/>
    <col min="14093" max="14093" width="27.375" style="56" customWidth="1"/>
    <col min="14094" max="14094" width="4.875" style="56" customWidth="1"/>
    <col min="14095" max="14338" width="9" style="56"/>
    <col min="14339" max="14347" width="9.625" style="56" customWidth="1"/>
    <col min="14348" max="14348" width="5.75" style="56" bestFit="1" customWidth="1"/>
    <col min="14349" max="14349" width="27.375" style="56" customWidth="1"/>
    <col min="14350" max="14350" width="4.875" style="56" customWidth="1"/>
    <col min="14351" max="14594" width="9" style="56"/>
    <col min="14595" max="14603" width="9.625" style="56" customWidth="1"/>
    <col min="14604" max="14604" width="5.75" style="56" bestFit="1" customWidth="1"/>
    <col min="14605" max="14605" width="27.375" style="56" customWidth="1"/>
    <col min="14606" max="14606" width="4.875" style="56" customWidth="1"/>
    <col min="14607" max="14850" width="9" style="56"/>
    <col min="14851" max="14859" width="9.625" style="56" customWidth="1"/>
    <col min="14860" max="14860" width="5.75" style="56" bestFit="1" customWidth="1"/>
    <col min="14861" max="14861" width="27.375" style="56" customWidth="1"/>
    <col min="14862" max="14862" width="4.875" style="56" customWidth="1"/>
    <col min="14863" max="15106" width="9" style="56"/>
    <col min="15107" max="15115" width="9.625" style="56" customWidth="1"/>
    <col min="15116" max="15116" width="5.75" style="56" bestFit="1" customWidth="1"/>
    <col min="15117" max="15117" width="27.375" style="56" customWidth="1"/>
    <col min="15118" max="15118" width="4.875" style="56" customWidth="1"/>
    <col min="15119" max="15362" width="9" style="56"/>
    <col min="15363" max="15371" width="9.625" style="56" customWidth="1"/>
    <col min="15372" max="15372" width="5.75" style="56" bestFit="1" customWidth="1"/>
    <col min="15373" max="15373" width="27.375" style="56" customWidth="1"/>
    <col min="15374" max="15374" width="4.875" style="56" customWidth="1"/>
    <col min="15375" max="15618" width="9" style="56"/>
    <col min="15619" max="15627" width="9.625" style="56" customWidth="1"/>
    <col min="15628" max="15628" width="5.75" style="56" bestFit="1" customWidth="1"/>
    <col min="15629" max="15629" width="27.375" style="56" customWidth="1"/>
    <col min="15630" max="15630" width="4.875" style="56" customWidth="1"/>
    <col min="15631" max="15874" width="9" style="56"/>
    <col min="15875" max="15883" width="9.625" style="56" customWidth="1"/>
    <col min="15884" max="15884" width="5.75" style="56" bestFit="1" customWidth="1"/>
    <col min="15885" max="15885" width="27.375" style="56" customWidth="1"/>
    <col min="15886" max="15886" width="4.875" style="56" customWidth="1"/>
    <col min="15887" max="16130" width="9" style="56"/>
    <col min="16131" max="16139" width="9.625" style="56" customWidth="1"/>
    <col min="16140" max="16140" width="5.75" style="56" bestFit="1" customWidth="1"/>
    <col min="16141" max="16141" width="27.375" style="56" customWidth="1"/>
    <col min="16142" max="16142" width="4.875" style="56" customWidth="1"/>
    <col min="16143" max="16384" width="9" style="56"/>
  </cols>
  <sheetData>
    <row r="1" spans="3:14" ht="12.75" customHeight="1" x14ac:dyDescent="0.2">
      <c r="C1" s="451" t="s">
        <v>238</v>
      </c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55"/>
    </row>
    <row r="2" spans="3:14" ht="12.75" customHeight="1" thickBot="1" x14ac:dyDescent="0.25">
      <c r="C2" s="452" t="s">
        <v>239</v>
      </c>
      <c r="D2" s="452"/>
      <c r="E2" s="452"/>
      <c r="F2" s="452"/>
      <c r="G2" s="452"/>
      <c r="H2" s="452"/>
      <c r="I2" s="452"/>
      <c r="J2" s="452"/>
      <c r="K2" s="452"/>
      <c r="L2" s="452"/>
      <c r="M2" s="452"/>
      <c r="N2" s="55"/>
    </row>
    <row r="3" spans="3:14" ht="12.75" customHeight="1" thickBot="1" x14ac:dyDescent="0.25">
      <c r="C3" s="453" t="s">
        <v>4</v>
      </c>
      <c r="D3" s="453"/>
      <c r="E3" s="453"/>
      <c r="F3" s="453" t="s">
        <v>145</v>
      </c>
      <c r="G3" s="453"/>
      <c r="H3" s="453"/>
      <c r="I3" s="453" t="s">
        <v>146</v>
      </c>
      <c r="J3" s="453"/>
      <c r="K3" s="453"/>
      <c r="L3" s="461" t="s">
        <v>240</v>
      </c>
      <c r="M3" s="462"/>
      <c r="N3" s="55"/>
    </row>
    <row r="4" spans="3:14" ht="12.75" customHeight="1" thickBot="1" x14ac:dyDescent="0.25">
      <c r="C4" s="43" t="s">
        <v>227</v>
      </c>
      <c r="D4" s="43" t="s">
        <v>10</v>
      </c>
      <c r="E4" s="43" t="s">
        <v>9</v>
      </c>
      <c r="F4" s="43" t="s">
        <v>227</v>
      </c>
      <c r="G4" s="43" t="s">
        <v>10</v>
      </c>
      <c r="H4" s="43" t="s">
        <v>9</v>
      </c>
      <c r="I4" s="43" t="s">
        <v>227</v>
      </c>
      <c r="J4" s="43" t="s">
        <v>10</v>
      </c>
      <c r="K4" s="43" t="s">
        <v>9</v>
      </c>
      <c r="L4" s="463"/>
      <c r="M4" s="464"/>
      <c r="N4" s="55"/>
    </row>
    <row r="5" spans="3:14" ht="12.75" customHeight="1" thickBot="1" x14ac:dyDescent="0.25">
      <c r="C5" s="45">
        <f>SUM(D5:E5)</f>
        <v>8345</v>
      </c>
      <c r="D5" s="45">
        <f>J5+G5</f>
        <v>3682</v>
      </c>
      <c r="E5" s="45">
        <f>K5+H5</f>
        <v>4663</v>
      </c>
      <c r="F5" s="45">
        <f>SUM(G5:H5)</f>
        <v>369</v>
      </c>
      <c r="G5" s="45">
        <v>152</v>
      </c>
      <c r="H5" s="45">
        <v>217</v>
      </c>
      <c r="I5" s="45">
        <f>SUM(J5:K5)</f>
        <v>7976</v>
      </c>
      <c r="J5" s="45">
        <v>3530</v>
      </c>
      <c r="K5" s="45">
        <v>4446</v>
      </c>
      <c r="L5" s="64" t="s">
        <v>233</v>
      </c>
      <c r="M5" s="465" t="s">
        <v>161</v>
      </c>
      <c r="N5" s="55"/>
    </row>
    <row r="6" spans="3:14" ht="12.75" customHeight="1" thickBot="1" x14ac:dyDescent="0.25">
      <c r="C6" s="45">
        <f t="shared" ref="C6" si="0">SUM(D6:E6)</f>
        <v>42</v>
      </c>
      <c r="D6" s="45">
        <f t="shared" ref="D6:E6" si="1">J6+G6</f>
        <v>42</v>
      </c>
      <c r="E6" s="45">
        <f t="shared" si="1"/>
        <v>0</v>
      </c>
      <c r="F6" s="45">
        <f t="shared" ref="F6" si="2">SUM(G6:H6)</f>
        <v>0</v>
      </c>
      <c r="G6" s="45">
        <v>0</v>
      </c>
      <c r="H6" s="45">
        <v>0</v>
      </c>
      <c r="I6" s="45">
        <f t="shared" ref="I6" si="3">SUM(J6:K6)</f>
        <v>42</v>
      </c>
      <c r="J6" s="45">
        <v>42</v>
      </c>
      <c r="K6" s="45">
        <v>0</v>
      </c>
      <c r="L6" s="64" t="s">
        <v>234</v>
      </c>
      <c r="M6" s="466"/>
      <c r="N6" s="55"/>
    </row>
    <row r="7" spans="3:14" ht="12.75" customHeight="1" thickBot="1" x14ac:dyDescent="0.25">
      <c r="C7" s="45">
        <f t="shared" ref="C7:J7" si="4">SUM(C5:C6)</f>
        <v>8387</v>
      </c>
      <c r="D7" s="45">
        <f t="shared" si="4"/>
        <v>3724</v>
      </c>
      <c r="E7" s="45">
        <f t="shared" si="4"/>
        <v>4663</v>
      </c>
      <c r="F7" s="45">
        <f t="shared" si="4"/>
        <v>369</v>
      </c>
      <c r="G7" s="45">
        <f t="shared" si="4"/>
        <v>152</v>
      </c>
      <c r="H7" s="45">
        <f t="shared" si="4"/>
        <v>217</v>
      </c>
      <c r="I7" s="45">
        <f t="shared" si="4"/>
        <v>8018</v>
      </c>
      <c r="J7" s="45">
        <f t="shared" si="4"/>
        <v>3572</v>
      </c>
      <c r="K7" s="45">
        <f>SUM(K5:K6)</f>
        <v>4446</v>
      </c>
      <c r="L7" s="64" t="s">
        <v>12</v>
      </c>
      <c r="M7" s="467"/>
      <c r="N7" s="55"/>
    </row>
    <row r="8" spans="3:14" ht="12.75" customHeight="1" thickBot="1" x14ac:dyDescent="0.25">
      <c r="C8" s="45">
        <f t="shared" ref="C8:C9" si="5">SUM(D8:E8)</f>
        <v>17147</v>
      </c>
      <c r="D8" s="45">
        <f t="shared" ref="D8:E9" si="6">J8+G8</f>
        <v>10555</v>
      </c>
      <c r="E8" s="45">
        <f t="shared" si="6"/>
        <v>6592</v>
      </c>
      <c r="F8" s="45">
        <f t="shared" ref="F8:F9" si="7">SUM(G8:H8)</f>
        <v>645</v>
      </c>
      <c r="G8" s="45">
        <v>31</v>
      </c>
      <c r="H8" s="45">
        <v>614</v>
      </c>
      <c r="I8" s="45">
        <f t="shared" ref="I8:I9" si="8">SUM(J8:K8)</f>
        <v>16502</v>
      </c>
      <c r="J8" s="45">
        <v>10524</v>
      </c>
      <c r="K8" s="45">
        <v>5978</v>
      </c>
      <c r="L8" s="64" t="s">
        <v>233</v>
      </c>
      <c r="M8" s="465" t="s">
        <v>162</v>
      </c>
      <c r="N8" s="55"/>
    </row>
    <row r="9" spans="3:14" ht="12.75" customHeight="1" thickBot="1" x14ac:dyDescent="0.25">
      <c r="C9" s="45">
        <f t="shared" si="5"/>
        <v>8780</v>
      </c>
      <c r="D9" s="45">
        <f t="shared" si="6"/>
        <v>6179</v>
      </c>
      <c r="E9" s="45">
        <f t="shared" si="6"/>
        <v>2601</v>
      </c>
      <c r="F9" s="45">
        <f t="shared" si="7"/>
        <v>58</v>
      </c>
      <c r="G9" s="45">
        <v>3</v>
      </c>
      <c r="H9" s="45">
        <v>55</v>
      </c>
      <c r="I9" s="45">
        <f t="shared" si="8"/>
        <v>8722</v>
      </c>
      <c r="J9" s="45">
        <v>6176</v>
      </c>
      <c r="K9" s="45">
        <v>2546</v>
      </c>
      <c r="L9" s="64" t="s">
        <v>234</v>
      </c>
      <c r="M9" s="466"/>
      <c r="N9" s="55"/>
    </row>
    <row r="10" spans="3:14" ht="12.75" customHeight="1" thickBot="1" x14ac:dyDescent="0.25">
      <c r="C10" s="45">
        <f t="shared" ref="C10:J10" si="9">SUM(C8:C9)</f>
        <v>25927</v>
      </c>
      <c r="D10" s="45">
        <f t="shared" si="9"/>
        <v>16734</v>
      </c>
      <c r="E10" s="45">
        <f t="shared" si="9"/>
        <v>9193</v>
      </c>
      <c r="F10" s="45">
        <f t="shared" si="9"/>
        <v>703</v>
      </c>
      <c r="G10" s="45">
        <f t="shared" si="9"/>
        <v>34</v>
      </c>
      <c r="H10" s="45">
        <f t="shared" si="9"/>
        <v>669</v>
      </c>
      <c r="I10" s="45">
        <f t="shared" si="9"/>
        <v>25224</v>
      </c>
      <c r="J10" s="45">
        <f t="shared" si="9"/>
        <v>16700</v>
      </c>
      <c r="K10" s="45">
        <f>SUM(K8:K9)</f>
        <v>8524</v>
      </c>
      <c r="L10" s="64" t="s">
        <v>12</v>
      </c>
      <c r="M10" s="467"/>
      <c r="N10" s="55"/>
    </row>
    <row r="11" spans="3:14" ht="12.75" customHeight="1" thickBot="1" x14ac:dyDescent="0.25">
      <c r="C11" s="45">
        <f t="shared" ref="C11:C12" si="10">SUM(D11:E11)</f>
        <v>5054</v>
      </c>
      <c r="D11" s="45">
        <f t="shared" ref="D11:E12" si="11">J11+G11</f>
        <v>2902</v>
      </c>
      <c r="E11" s="45">
        <f t="shared" si="11"/>
        <v>2152</v>
      </c>
      <c r="F11" s="45">
        <f t="shared" ref="F11:F12" si="12">SUM(G11:H11)</f>
        <v>3</v>
      </c>
      <c r="G11" s="45">
        <v>3</v>
      </c>
      <c r="H11" s="45">
        <v>0</v>
      </c>
      <c r="I11" s="45">
        <f t="shared" ref="I11:I12" si="13">SUM(J11:K11)</f>
        <v>5051</v>
      </c>
      <c r="J11" s="45">
        <v>2899</v>
      </c>
      <c r="K11" s="45">
        <v>2152</v>
      </c>
      <c r="L11" s="64" t="s">
        <v>233</v>
      </c>
      <c r="M11" s="465" t="s">
        <v>163</v>
      </c>
      <c r="N11" s="55"/>
    </row>
    <row r="12" spans="3:14" ht="12.75" customHeight="1" thickBot="1" x14ac:dyDescent="0.25">
      <c r="C12" s="45">
        <f t="shared" si="10"/>
        <v>1122</v>
      </c>
      <c r="D12" s="45">
        <f t="shared" si="11"/>
        <v>1122</v>
      </c>
      <c r="E12" s="45">
        <f t="shared" si="11"/>
        <v>0</v>
      </c>
      <c r="F12" s="45">
        <f t="shared" si="12"/>
        <v>0</v>
      </c>
      <c r="G12" s="45">
        <v>0</v>
      </c>
      <c r="H12" s="45">
        <v>0</v>
      </c>
      <c r="I12" s="45">
        <f t="shared" si="13"/>
        <v>1122</v>
      </c>
      <c r="J12" s="45">
        <v>1122</v>
      </c>
      <c r="K12" s="45">
        <v>0</v>
      </c>
      <c r="L12" s="64" t="s">
        <v>234</v>
      </c>
      <c r="M12" s="466"/>
      <c r="N12" s="55"/>
    </row>
    <row r="13" spans="3:14" ht="12.75" customHeight="1" thickBot="1" x14ac:dyDescent="0.25">
      <c r="C13" s="45">
        <f t="shared" ref="C13:J13" si="14">SUM(C11:C12)</f>
        <v>6176</v>
      </c>
      <c r="D13" s="45">
        <f t="shared" si="14"/>
        <v>4024</v>
      </c>
      <c r="E13" s="45">
        <f t="shared" si="14"/>
        <v>2152</v>
      </c>
      <c r="F13" s="45">
        <f t="shared" si="14"/>
        <v>3</v>
      </c>
      <c r="G13" s="45">
        <f t="shared" si="14"/>
        <v>3</v>
      </c>
      <c r="H13" s="45">
        <f t="shared" si="14"/>
        <v>0</v>
      </c>
      <c r="I13" s="45">
        <f t="shared" si="14"/>
        <v>6173</v>
      </c>
      <c r="J13" s="45">
        <f t="shared" si="14"/>
        <v>4021</v>
      </c>
      <c r="K13" s="45">
        <f>SUM(K11:K12)</f>
        <v>2152</v>
      </c>
      <c r="L13" s="64" t="s">
        <v>12</v>
      </c>
      <c r="M13" s="467"/>
      <c r="N13" s="55"/>
    </row>
    <row r="14" spans="3:14" ht="12.75" customHeight="1" thickBot="1" x14ac:dyDescent="0.25">
      <c r="C14" s="45">
        <f t="shared" ref="C14:C15" si="15">SUM(D14:E14)</f>
        <v>16440</v>
      </c>
      <c r="D14" s="45">
        <f t="shared" ref="D14:E15" si="16">J14+G14</f>
        <v>11994</v>
      </c>
      <c r="E14" s="45">
        <f t="shared" si="16"/>
        <v>4446</v>
      </c>
      <c r="F14" s="45">
        <f t="shared" ref="F14:F15" si="17">SUM(G14:H14)</f>
        <v>199</v>
      </c>
      <c r="G14" s="45">
        <v>112</v>
      </c>
      <c r="H14" s="45">
        <v>87</v>
      </c>
      <c r="I14" s="45">
        <f t="shared" ref="I14:I15" si="18">SUM(J14:K14)</f>
        <v>16241</v>
      </c>
      <c r="J14" s="45">
        <v>11882</v>
      </c>
      <c r="K14" s="45">
        <v>4359</v>
      </c>
      <c r="L14" s="64" t="s">
        <v>233</v>
      </c>
      <c r="M14" s="465" t="s">
        <v>164</v>
      </c>
      <c r="N14" s="55"/>
    </row>
    <row r="15" spans="3:14" ht="12.75" customHeight="1" thickBot="1" x14ac:dyDescent="0.25">
      <c r="C15" s="45">
        <f t="shared" si="15"/>
        <v>4862</v>
      </c>
      <c r="D15" s="45">
        <f t="shared" si="16"/>
        <v>4862</v>
      </c>
      <c r="E15" s="45">
        <f t="shared" si="16"/>
        <v>0</v>
      </c>
      <c r="F15" s="45">
        <f t="shared" si="17"/>
        <v>59</v>
      </c>
      <c r="G15" s="45">
        <v>59</v>
      </c>
      <c r="H15" s="45">
        <v>0</v>
      </c>
      <c r="I15" s="45">
        <f t="shared" si="18"/>
        <v>4803</v>
      </c>
      <c r="J15" s="45">
        <v>4803</v>
      </c>
      <c r="K15" s="45">
        <v>0</v>
      </c>
      <c r="L15" s="64" t="s">
        <v>234</v>
      </c>
      <c r="M15" s="466"/>
      <c r="N15" s="55"/>
    </row>
    <row r="16" spans="3:14" ht="12.75" customHeight="1" thickBot="1" x14ac:dyDescent="0.25">
      <c r="C16" s="45">
        <f t="shared" ref="C16:J16" si="19">SUM(C14:C15)</f>
        <v>21302</v>
      </c>
      <c r="D16" s="45">
        <f t="shared" si="19"/>
        <v>16856</v>
      </c>
      <c r="E16" s="45">
        <f t="shared" si="19"/>
        <v>4446</v>
      </c>
      <c r="F16" s="45">
        <f t="shared" si="19"/>
        <v>258</v>
      </c>
      <c r="G16" s="45">
        <f t="shared" si="19"/>
        <v>171</v>
      </c>
      <c r="H16" s="45">
        <f t="shared" si="19"/>
        <v>87</v>
      </c>
      <c r="I16" s="45">
        <f t="shared" si="19"/>
        <v>21044</v>
      </c>
      <c r="J16" s="45">
        <f t="shared" si="19"/>
        <v>16685</v>
      </c>
      <c r="K16" s="45">
        <f>SUM(K14:K15)</f>
        <v>4359</v>
      </c>
      <c r="L16" s="64" t="s">
        <v>12</v>
      </c>
      <c r="M16" s="467"/>
      <c r="N16" s="55"/>
    </row>
    <row r="17" spans="3:14" ht="12.75" customHeight="1" thickBot="1" x14ac:dyDescent="0.25">
      <c r="C17" s="45">
        <f t="shared" ref="C17:C18" si="20">SUM(D17:E17)</f>
        <v>166</v>
      </c>
      <c r="D17" s="45">
        <f t="shared" ref="D17:E18" si="21">J17+G17</f>
        <v>166</v>
      </c>
      <c r="E17" s="45">
        <f t="shared" si="21"/>
        <v>0</v>
      </c>
      <c r="F17" s="45">
        <f t="shared" ref="F17:F18" si="22">SUM(G17:H17)</f>
        <v>21</v>
      </c>
      <c r="G17" s="45">
        <v>21</v>
      </c>
      <c r="H17" s="45">
        <v>0</v>
      </c>
      <c r="I17" s="45">
        <f t="shared" ref="I17:I18" si="23">SUM(J17:K17)</f>
        <v>145</v>
      </c>
      <c r="J17" s="45">
        <v>145</v>
      </c>
      <c r="K17" s="45">
        <v>0</v>
      </c>
      <c r="L17" s="64" t="s">
        <v>233</v>
      </c>
      <c r="M17" s="465" t="s">
        <v>165</v>
      </c>
      <c r="N17" s="55"/>
    </row>
    <row r="18" spans="3:14" ht="12.75" customHeight="1" thickBot="1" x14ac:dyDescent="0.25">
      <c r="C18" s="45">
        <f t="shared" si="20"/>
        <v>0</v>
      </c>
      <c r="D18" s="45">
        <f t="shared" si="21"/>
        <v>0</v>
      </c>
      <c r="E18" s="45">
        <f t="shared" si="21"/>
        <v>0</v>
      </c>
      <c r="F18" s="45">
        <f t="shared" si="22"/>
        <v>0</v>
      </c>
      <c r="G18" s="45">
        <v>0</v>
      </c>
      <c r="H18" s="45">
        <v>0</v>
      </c>
      <c r="I18" s="45">
        <f t="shared" si="23"/>
        <v>0</v>
      </c>
      <c r="J18" s="45">
        <v>0</v>
      </c>
      <c r="K18" s="45">
        <v>0</v>
      </c>
      <c r="L18" s="64" t="s">
        <v>234</v>
      </c>
      <c r="M18" s="466"/>
      <c r="N18" s="55"/>
    </row>
    <row r="19" spans="3:14" ht="12.75" customHeight="1" thickBot="1" x14ac:dyDescent="0.25">
      <c r="C19" s="45">
        <f t="shared" ref="C19:J19" si="24">SUM(C17:C18)</f>
        <v>166</v>
      </c>
      <c r="D19" s="45">
        <f t="shared" si="24"/>
        <v>166</v>
      </c>
      <c r="E19" s="45">
        <f t="shared" si="24"/>
        <v>0</v>
      </c>
      <c r="F19" s="45">
        <f t="shared" si="24"/>
        <v>21</v>
      </c>
      <c r="G19" s="45">
        <f t="shared" si="24"/>
        <v>21</v>
      </c>
      <c r="H19" s="45">
        <f t="shared" si="24"/>
        <v>0</v>
      </c>
      <c r="I19" s="45">
        <f t="shared" si="24"/>
        <v>145</v>
      </c>
      <c r="J19" s="45">
        <f t="shared" si="24"/>
        <v>145</v>
      </c>
      <c r="K19" s="45">
        <f>SUM(K17:K18)</f>
        <v>0</v>
      </c>
      <c r="L19" s="64" t="s">
        <v>12</v>
      </c>
      <c r="M19" s="467"/>
      <c r="N19" s="55"/>
    </row>
    <row r="20" spans="3:14" ht="12.75" customHeight="1" thickBot="1" x14ac:dyDescent="0.25">
      <c r="C20" s="45">
        <f t="shared" ref="C20:C21" si="25">SUM(D20:E20)</f>
        <v>22469</v>
      </c>
      <c r="D20" s="45">
        <f t="shared" ref="D20:E21" si="26">J20+G20</f>
        <v>14202</v>
      </c>
      <c r="E20" s="45">
        <f t="shared" si="26"/>
        <v>8267</v>
      </c>
      <c r="F20" s="45">
        <f t="shared" ref="F20:F21" si="27">SUM(G20:H20)</f>
        <v>196</v>
      </c>
      <c r="G20" s="45">
        <v>119</v>
      </c>
      <c r="H20" s="45">
        <v>77</v>
      </c>
      <c r="I20" s="45">
        <f t="shared" ref="I20:I21" si="28">SUM(J20:K20)</f>
        <v>22273</v>
      </c>
      <c r="J20" s="45">
        <v>14083</v>
      </c>
      <c r="K20" s="45">
        <v>8190</v>
      </c>
      <c r="L20" s="64" t="s">
        <v>233</v>
      </c>
      <c r="M20" s="465" t="s">
        <v>166</v>
      </c>
      <c r="N20" s="55"/>
    </row>
    <row r="21" spans="3:14" ht="12.75" customHeight="1" thickBot="1" x14ac:dyDescent="0.25">
      <c r="C21" s="45">
        <f t="shared" si="25"/>
        <v>8640</v>
      </c>
      <c r="D21" s="45">
        <f t="shared" si="26"/>
        <v>2817</v>
      </c>
      <c r="E21" s="45">
        <f t="shared" si="26"/>
        <v>5823</v>
      </c>
      <c r="F21" s="45">
        <f t="shared" si="27"/>
        <v>201</v>
      </c>
      <c r="G21" s="45">
        <v>178</v>
      </c>
      <c r="H21" s="45">
        <v>23</v>
      </c>
      <c r="I21" s="45">
        <f t="shared" si="28"/>
        <v>8439</v>
      </c>
      <c r="J21" s="45">
        <v>2639</v>
      </c>
      <c r="K21" s="45">
        <v>5800</v>
      </c>
      <c r="L21" s="64" t="s">
        <v>234</v>
      </c>
      <c r="M21" s="466"/>
      <c r="N21" s="55"/>
    </row>
    <row r="22" spans="3:14" ht="12.75" customHeight="1" thickBot="1" x14ac:dyDescent="0.25">
      <c r="C22" s="45">
        <f t="shared" ref="C22:J22" si="29">SUM(C20:C21)</f>
        <v>31109</v>
      </c>
      <c r="D22" s="45">
        <f t="shared" si="29"/>
        <v>17019</v>
      </c>
      <c r="E22" s="45">
        <f t="shared" si="29"/>
        <v>14090</v>
      </c>
      <c r="F22" s="45">
        <f t="shared" si="29"/>
        <v>397</v>
      </c>
      <c r="G22" s="45">
        <f t="shared" si="29"/>
        <v>297</v>
      </c>
      <c r="H22" s="45">
        <f t="shared" si="29"/>
        <v>100</v>
      </c>
      <c r="I22" s="45">
        <f t="shared" si="29"/>
        <v>30712</v>
      </c>
      <c r="J22" s="45">
        <f t="shared" si="29"/>
        <v>16722</v>
      </c>
      <c r="K22" s="45">
        <f>SUM(K20:K21)</f>
        <v>13990</v>
      </c>
      <c r="L22" s="64" t="s">
        <v>12</v>
      </c>
      <c r="M22" s="467"/>
      <c r="N22" s="55"/>
    </row>
    <row r="23" spans="3:14" ht="12.75" customHeight="1" thickBot="1" x14ac:dyDescent="0.25">
      <c r="C23" s="45">
        <f t="shared" ref="C23:C24" si="30">SUM(D23:E23)</f>
        <v>13953</v>
      </c>
      <c r="D23" s="45">
        <f t="shared" ref="D23:E24" si="31">J23+G23</f>
        <v>12029</v>
      </c>
      <c r="E23" s="45">
        <f t="shared" si="31"/>
        <v>1924</v>
      </c>
      <c r="F23" s="45">
        <f t="shared" ref="F23:F24" si="32">SUM(G23:H23)</f>
        <v>31</v>
      </c>
      <c r="G23" s="45">
        <v>20</v>
      </c>
      <c r="H23" s="45">
        <v>11</v>
      </c>
      <c r="I23" s="45">
        <f t="shared" ref="I23:I24" si="33">SUM(J23:K23)</f>
        <v>13922</v>
      </c>
      <c r="J23" s="45">
        <v>12009</v>
      </c>
      <c r="K23" s="45">
        <v>1913</v>
      </c>
      <c r="L23" s="64" t="s">
        <v>233</v>
      </c>
      <c r="M23" s="465" t="s">
        <v>167</v>
      </c>
      <c r="N23" s="55"/>
    </row>
    <row r="24" spans="3:14" ht="12.75" customHeight="1" thickBot="1" x14ac:dyDescent="0.25">
      <c r="C24" s="45">
        <f t="shared" si="30"/>
        <v>742</v>
      </c>
      <c r="D24" s="45">
        <f t="shared" si="31"/>
        <v>742</v>
      </c>
      <c r="E24" s="45">
        <f t="shared" si="31"/>
        <v>0</v>
      </c>
      <c r="F24" s="45">
        <f t="shared" si="32"/>
        <v>0</v>
      </c>
      <c r="G24" s="45">
        <v>0</v>
      </c>
      <c r="H24" s="45">
        <v>0</v>
      </c>
      <c r="I24" s="45">
        <f t="shared" si="33"/>
        <v>742</v>
      </c>
      <c r="J24" s="45">
        <v>742</v>
      </c>
      <c r="K24" s="45">
        <v>0</v>
      </c>
      <c r="L24" s="64" t="s">
        <v>234</v>
      </c>
      <c r="M24" s="466"/>
      <c r="N24" s="55"/>
    </row>
    <row r="25" spans="3:14" ht="12.75" customHeight="1" thickBot="1" x14ac:dyDescent="0.25">
      <c r="C25" s="45">
        <f t="shared" ref="C25:J25" si="34">SUM(C23:C24)</f>
        <v>14695</v>
      </c>
      <c r="D25" s="45">
        <f t="shared" si="34"/>
        <v>12771</v>
      </c>
      <c r="E25" s="45">
        <f t="shared" si="34"/>
        <v>1924</v>
      </c>
      <c r="F25" s="45">
        <f t="shared" si="34"/>
        <v>31</v>
      </c>
      <c r="G25" s="45">
        <f t="shared" si="34"/>
        <v>20</v>
      </c>
      <c r="H25" s="45">
        <f t="shared" si="34"/>
        <v>11</v>
      </c>
      <c r="I25" s="45">
        <f t="shared" si="34"/>
        <v>14664</v>
      </c>
      <c r="J25" s="45">
        <f t="shared" si="34"/>
        <v>12751</v>
      </c>
      <c r="K25" s="45">
        <f>SUM(K23:K24)</f>
        <v>1913</v>
      </c>
      <c r="L25" s="64" t="s">
        <v>12</v>
      </c>
      <c r="M25" s="467"/>
      <c r="N25" s="55"/>
    </row>
    <row r="26" spans="3:14" ht="12.75" customHeight="1" thickBot="1" x14ac:dyDescent="0.25">
      <c r="C26" s="45">
        <f t="shared" ref="C26:C27" si="35">SUM(D26:E26)</f>
        <v>2796</v>
      </c>
      <c r="D26" s="45">
        <f t="shared" ref="D26:E27" si="36">J26+G26</f>
        <v>1297</v>
      </c>
      <c r="E26" s="45">
        <f t="shared" si="36"/>
        <v>1499</v>
      </c>
      <c r="F26" s="45">
        <f t="shared" ref="F26:F27" si="37">SUM(G26:H26)</f>
        <v>110</v>
      </c>
      <c r="G26" s="45">
        <v>20</v>
      </c>
      <c r="H26" s="45">
        <v>90</v>
      </c>
      <c r="I26" s="45">
        <f t="shared" ref="I26:I27" si="38">SUM(J26:K26)</f>
        <v>2686</v>
      </c>
      <c r="J26" s="45">
        <v>1277</v>
      </c>
      <c r="K26" s="45">
        <v>1409</v>
      </c>
      <c r="L26" s="64" t="s">
        <v>233</v>
      </c>
      <c r="M26" s="465" t="s">
        <v>168</v>
      </c>
      <c r="N26" s="55"/>
    </row>
    <row r="27" spans="3:14" ht="12.75" customHeight="1" thickBot="1" x14ac:dyDescent="0.25">
      <c r="C27" s="45">
        <f t="shared" si="35"/>
        <v>1863</v>
      </c>
      <c r="D27" s="45">
        <f t="shared" si="36"/>
        <v>892</v>
      </c>
      <c r="E27" s="45">
        <f t="shared" si="36"/>
        <v>971</v>
      </c>
      <c r="F27" s="45">
        <f t="shared" si="37"/>
        <v>1</v>
      </c>
      <c r="G27" s="45">
        <v>1</v>
      </c>
      <c r="H27" s="45">
        <v>0</v>
      </c>
      <c r="I27" s="45">
        <f t="shared" si="38"/>
        <v>1862</v>
      </c>
      <c r="J27" s="45">
        <v>891</v>
      </c>
      <c r="K27" s="45">
        <v>971</v>
      </c>
      <c r="L27" s="64" t="s">
        <v>234</v>
      </c>
      <c r="M27" s="466"/>
      <c r="N27" s="55"/>
    </row>
    <row r="28" spans="3:14" ht="12.75" customHeight="1" thickBot="1" x14ac:dyDescent="0.25">
      <c r="C28" s="45">
        <f t="shared" ref="C28:J28" si="39">SUM(C26:C27)</f>
        <v>4659</v>
      </c>
      <c r="D28" s="45">
        <f t="shared" si="39"/>
        <v>2189</v>
      </c>
      <c r="E28" s="45">
        <f t="shared" si="39"/>
        <v>2470</v>
      </c>
      <c r="F28" s="45">
        <f t="shared" si="39"/>
        <v>111</v>
      </c>
      <c r="G28" s="45">
        <f t="shared" si="39"/>
        <v>21</v>
      </c>
      <c r="H28" s="45">
        <f t="shared" si="39"/>
        <v>90</v>
      </c>
      <c r="I28" s="45">
        <f t="shared" si="39"/>
        <v>4548</v>
      </c>
      <c r="J28" s="45">
        <f t="shared" si="39"/>
        <v>2168</v>
      </c>
      <c r="K28" s="45">
        <f>SUM(K26:K27)</f>
        <v>2380</v>
      </c>
      <c r="L28" s="64" t="s">
        <v>12</v>
      </c>
      <c r="M28" s="467"/>
      <c r="N28" s="55"/>
    </row>
    <row r="29" spans="3:14" ht="12.75" customHeight="1" thickBot="1" x14ac:dyDescent="0.25">
      <c r="C29" s="45">
        <f t="shared" ref="C29:C30" si="40">SUM(D29:E29)</f>
        <v>11333</v>
      </c>
      <c r="D29" s="45">
        <f t="shared" ref="D29:E30" si="41">J29+G29</f>
        <v>3769</v>
      </c>
      <c r="E29" s="45">
        <f t="shared" si="41"/>
        <v>7564</v>
      </c>
      <c r="F29" s="45">
        <f t="shared" ref="F29:F30" si="42">SUM(G29:H29)</f>
        <v>489</v>
      </c>
      <c r="G29" s="45">
        <v>247</v>
      </c>
      <c r="H29" s="45">
        <v>242</v>
      </c>
      <c r="I29" s="45">
        <f t="shared" ref="I29:I30" si="43">SUM(J29:K29)</f>
        <v>10844</v>
      </c>
      <c r="J29" s="45">
        <v>3522</v>
      </c>
      <c r="K29" s="45">
        <v>7322</v>
      </c>
      <c r="L29" s="64" t="s">
        <v>233</v>
      </c>
      <c r="M29" s="465" t="s">
        <v>169</v>
      </c>
      <c r="N29" s="55"/>
    </row>
    <row r="30" spans="3:14" ht="12.75" customHeight="1" thickBot="1" x14ac:dyDescent="0.25">
      <c r="C30" s="45">
        <f t="shared" si="40"/>
        <v>10528</v>
      </c>
      <c r="D30" s="45">
        <f t="shared" si="41"/>
        <v>2099</v>
      </c>
      <c r="E30" s="45">
        <f t="shared" si="41"/>
        <v>8429</v>
      </c>
      <c r="F30" s="45">
        <f t="shared" si="42"/>
        <v>472</v>
      </c>
      <c r="G30" s="45">
        <v>281</v>
      </c>
      <c r="H30" s="45">
        <v>191</v>
      </c>
      <c r="I30" s="45">
        <f t="shared" si="43"/>
        <v>10056</v>
      </c>
      <c r="J30" s="45">
        <v>1818</v>
      </c>
      <c r="K30" s="45">
        <v>8238</v>
      </c>
      <c r="L30" s="64" t="s">
        <v>234</v>
      </c>
      <c r="M30" s="466"/>
      <c r="N30" s="55"/>
    </row>
    <row r="31" spans="3:14" ht="12.75" customHeight="1" thickBot="1" x14ac:dyDescent="0.25">
      <c r="C31" s="45">
        <f t="shared" ref="C31:J31" si="44">SUM(C29:C30)</f>
        <v>21861</v>
      </c>
      <c r="D31" s="45">
        <f t="shared" si="44"/>
        <v>5868</v>
      </c>
      <c r="E31" s="45">
        <f t="shared" si="44"/>
        <v>15993</v>
      </c>
      <c r="F31" s="45">
        <f t="shared" si="44"/>
        <v>961</v>
      </c>
      <c r="G31" s="45">
        <f t="shared" si="44"/>
        <v>528</v>
      </c>
      <c r="H31" s="45">
        <f t="shared" si="44"/>
        <v>433</v>
      </c>
      <c r="I31" s="45">
        <f t="shared" si="44"/>
        <v>20900</v>
      </c>
      <c r="J31" s="45">
        <f t="shared" si="44"/>
        <v>5340</v>
      </c>
      <c r="K31" s="45">
        <f>SUM(K29:K30)</f>
        <v>15560</v>
      </c>
      <c r="L31" s="64" t="s">
        <v>12</v>
      </c>
      <c r="M31" s="467"/>
      <c r="N31" s="55"/>
    </row>
    <row r="32" spans="3:14" ht="12.75" customHeight="1" thickBot="1" x14ac:dyDescent="0.25">
      <c r="C32" s="45">
        <f t="shared" ref="C32:C33" si="45">SUM(D32:E32)</f>
        <v>217</v>
      </c>
      <c r="D32" s="45">
        <f t="shared" ref="D32:E33" si="46">J32+G32</f>
        <v>217</v>
      </c>
      <c r="E32" s="45">
        <f t="shared" si="46"/>
        <v>0</v>
      </c>
      <c r="F32" s="45">
        <f t="shared" ref="F32:F33" si="47">SUM(G32:H32)</f>
        <v>0</v>
      </c>
      <c r="G32" s="45">
        <v>0</v>
      </c>
      <c r="H32" s="45">
        <v>0</v>
      </c>
      <c r="I32" s="45">
        <f t="shared" ref="I32:I33" si="48">SUM(J32:K32)</f>
        <v>217</v>
      </c>
      <c r="J32" s="45">
        <v>217</v>
      </c>
      <c r="K32" s="45">
        <v>0</v>
      </c>
      <c r="L32" s="64" t="s">
        <v>233</v>
      </c>
      <c r="M32" s="465" t="s">
        <v>170</v>
      </c>
      <c r="N32" s="55"/>
    </row>
    <row r="33" spans="3:14" ht="12.75" customHeight="1" thickBot="1" x14ac:dyDescent="0.25">
      <c r="C33" s="45">
        <f t="shared" si="45"/>
        <v>0</v>
      </c>
      <c r="D33" s="45">
        <f t="shared" si="46"/>
        <v>0</v>
      </c>
      <c r="E33" s="45">
        <f t="shared" si="46"/>
        <v>0</v>
      </c>
      <c r="F33" s="45">
        <f t="shared" si="47"/>
        <v>0</v>
      </c>
      <c r="G33" s="45">
        <v>0</v>
      </c>
      <c r="H33" s="45">
        <v>0</v>
      </c>
      <c r="I33" s="45">
        <f t="shared" si="48"/>
        <v>0</v>
      </c>
      <c r="J33" s="45">
        <v>0</v>
      </c>
      <c r="K33" s="45">
        <v>0</v>
      </c>
      <c r="L33" s="64" t="s">
        <v>234</v>
      </c>
      <c r="M33" s="466"/>
      <c r="N33" s="55"/>
    </row>
    <row r="34" spans="3:14" ht="12.75" customHeight="1" thickBot="1" x14ac:dyDescent="0.25">
      <c r="C34" s="45">
        <f t="shared" ref="C34:J34" si="49">SUM(C32:C33)</f>
        <v>217</v>
      </c>
      <c r="D34" s="45">
        <f t="shared" si="49"/>
        <v>217</v>
      </c>
      <c r="E34" s="45">
        <f t="shared" si="49"/>
        <v>0</v>
      </c>
      <c r="F34" s="45">
        <f t="shared" si="49"/>
        <v>0</v>
      </c>
      <c r="G34" s="45">
        <f t="shared" si="49"/>
        <v>0</v>
      </c>
      <c r="H34" s="45">
        <f t="shared" si="49"/>
        <v>0</v>
      </c>
      <c r="I34" s="45">
        <f t="shared" si="49"/>
        <v>217</v>
      </c>
      <c r="J34" s="45">
        <f t="shared" si="49"/>
        <v>217</v>
      </c>
      <c r="K34" s="45">
        <f>SUM(K32:K33)</f>
        <v>0</v>
      </c>
      <c r="L34" s="64" t="s">
        <v>12</v>
      </c>
      <c r="M34" s="467"/>
      <c r="N34" s="55"/>
    </row>
    <row r="35" spans="3:14" ht="12.75" customHeight="1" thickBot="1" x14ac:dyDescent="0.25">
      <c r="C35" s="45">
        <f t="shared" ref="C35:C36" si="50">SUM(D35:E35)</f>
        <v>11770</v>
      </c>
      <c r="D35" s="45">
        <f t="shared" ref="D35:E36" si="51">J35+G35</f>
        <v>6854</v>
      </c>
      <c r="E35" s="45">
        <f t="shared" si="51"/>
        <v>4916</v>
      </c>
      <c r="F35" s="45">
        <f t="shared" ref="F35:F36" si="52">SUM(G35:H35)</f>
        <v>159</v>
      </c>
      <c r="G35" s="45">
        <v>97</v>
      </c>
      <c r="H35" s="45">
        <v>62</v>
      </c>
      <c r="I35" s="45">
        <f t="shared" ref="I35:I36" si="53">SUM(J35:K35)</f>
        <v>11611</v>
      </c>
      <c r="J35" s="45">
        <v>6757</v>
      </c>
      <c r="K35" s="45">
        <v>4854</v>
      </c>
      <c r="L35" s="64" t="s">
        <v>233</v>
      </c>
      <c r="M35" s="465" t="s">
        <v>171</v>
      </c>
      <c r="N35" s="55"/>
    </row>
    <row r="36" spans="3:14" ht="12.75" customHeight="1" thickBot="1" x14ac:dyDescent="0.25">
      <c r="C36" s="45">
        <f t="shared" si="50"/>
        <v>72</v>
      </c>
      <c r="D36" s="45">
        <f t="shared" si="51"/>
        <v>69</v>
      </c>
      <c r="E36" s="45">
        <f t="shared" si="51"/>
        <v>3</v>
      </c>
      <c r="F36" s="45">
        <f t="shared" si="52"/>
        <v>0</v>
      </c>
      <c r="G36" s="45">
        <v>0</v>
      </c>
      <c r="H36" s="45">
        <v>0</v>
      </c>
      <c r="I36" s="45">
        <f t="shared" si="53"/>
        <v>72</v>
      </c>
      <c r="J36" s="45">
        <v>69</v>
      </c>
      <c r="K36" s="45">
        <v>3</v>
      </c>
      <c r="L36" s="64" t="s">
        <v>234</v>
      </c>
      <c r="M36" s="466"/>
      <c r="N36" s="55"/>
    </row>
    <row r="37" spans="3:14" ht="12.75" customHeight="1" thickBot="1" x14ac:dyDescent="0.25">
      <c r="C37" s="45">
        <f t="shared" ref="C37:J37" si="54">SUM(C35:C36)</f>
        <v>11842</v>
      </c>
      <c r="D37" s="45">
        <f t="shared" si="54"/>
        <v>6923</v>
      </c>
      <c r="E37" s="45">
        <f t="shared" si="54"/>
        <v>4919</v>
      </c>
      <c r="F37" s="45">
        <f t="shared" si="54"/>
        <v>159</v>
      </c>
      <c r="G37" s="45">
        <f t="shared" si="54"/>
        <v>97</v>
      </c>
      <c r="H37" s="45">
        <f t="shared" si="54"/>
        <v>62</v>
      </c>
      <c r="I37" s="45">
        <f t="shared" si="54"/>
        <v>11683</v>
      </c>
      <c r="J37" s="45">
        <f t="shared" si="54"/>
        <v>6826</v>
      </c>
      <c r="K37" s="45">
        <f>SUM(K35:K36)</f>
        <v>4857</v>
      </c>
      <c r="L37" s="64" t="s">
        <v>12</v>
      </c>
      <c r="M37" s="467"/>
      <c r="N37" s="55"/>
    </row>
    <row r="38" spans="3:14" ht="12.75" customHeight="1" thickBot="1" x14ac:dyDescent="0.25">
      <c r="C38" s="45">
        <f t="shared" ref="C38:C39" si="55">SUM(D38:E38)</f>
        <v>9363</v>
      </c>
      <c r="D38" s="45">
        <f t="shared" ref="D38:E39" si="56">J38+G38</f>
        <v>7433</v>
      </c>
      <c r="E38" s="45">
        <f t="shared" si="56"/>
        <v>1930</v>
      </c>
      <c r="F38" s="45">
        <f t="shared" ref="F38:F39" si="57">SUM(G38:H38)</f>
        <v>40</v>
      </c>
      <c r="G38" s="45">
        <v>25</v>
      </c>
      <c r="H38" s="45">
        <v>15</v>
      </c>
      <c r="I38" s="45">
        <f t="shared" ref="I38:I39" si="58">SUM(J38:K38)</f>
        <v>9323</v>
      </c>
      <c r="J38" s="45">
        <v>7408</v>
      </c>
      <c r="K38" s="45">
        <v>1915</v>
      </c>
      <c r="L38" s="64" t="s">
        <v>233</v>
      </c>
      <c r="M38" s="465" t="s">
        <v>172</v>
      </c>
      <c r="N38" s="55"/>
    </row>
    <row r="39" spans="3:14" ht="12.75" customHeight="1" thickBot="1" x14ac:dyDescent="0.25">
      <c r="C39" s="45">
        <f t="shared" si="55"/>
        <v>0</v>
      </c>
      <c r="D39" s="45">
        <f t="shared" si="56"/>
        <v>0</v>
      </c>
      <c r="E39" s="45">
        <f t="shared" si="56"/>
        <v>0</v>
      </c>
      <c r="F39" s="45">
        <f t="shared" si="57"/>
        <v>0</v>
      </c>
      <c r="G39" s="45">
        <v>0</v>
      </c>
      <c r="H39" s="45">
        <v>0</v>
      </c>
      <c r="I39" s="45">
        <f t="shared" si="58"/>
        <v>0</v>
      </c>
      <c r="J39" s="45">
        <v>0</v>
      </c>
      <c r="K39" s="45">
        <v>0</v>
      </c>
      <c r="L39" s="64" t="s">
        <v>234</v>
      </c>
      <c r="M39" s="466"/>
      <c r="N39" s="55"/>
    </row>
    <row r="40" spans="3:14" ht="12.75" customHeight="1" thickBot="1" x14ac:dyDescent="0.25">
      <c r="C40" s="45">
        <f t="shared" ref="C40:J40" si="59">SUM(C38:C39)</f>
        <v>9363</v>
      </c>
      <c r="D40" s="45">
        <f t="shared" si="59"/>
        <v>7433</v>
      </c>
      <c r="E40" s="45">
        <f t="shared" si="59"/>
        <v>1930</v>
      </c>
      <c r="F40" s="45">
        <f t="shared" si="59"/>
        <v>40</v>
      </c>
      <c r="G40" s="45">
        <f t="shared" si="59"/>
        <v>25</v>
      </c>
      <c r="H40" s="45">
        <f t="shared" si="59"/>
        <v>15</v>
      </c>
      <c r="I40" s="45">
        <f t="shared" si="59"/>
        <v>9323</v>
      </c>
      <c r="J40" s="45">
        <f t="shared" si="59"/>
        <v>7408</v>
      </c>
      <c r="K40" s="45">
        <f>SUM(K38:K39)</f>
        <v>1915</v>
      </c>
      <c r="L40" s="64" t="s">
        <v>12</v>
      </c>
      <c r="M40" s="467"/>
      <c r="N40" s="55"/>
    </row>
    <row r="41" spans="3:14" ht="12.75" customHeight="1" thickBot="1" x14ac:dyDescent="0.25">
      <c r="C41" s="45">
        <f t="shared" ref="C41:C42" si="60">SUM(D41:E41)</f>
        <v>7339</v>
      </c>
      <c r="D41" s="45">
        <f t="shared" ref="D41:E42" si="61">J41+G41</f>
        <v>6156</v>
      </c>
      <c r="E41" s="45">
        <f t="shared" si="61"/>
        <v>1183</v>
      </c>
      <c r="F41" s="45">
        <f t="shared" ref="F41:F42" si="62">SUM(G41:H41)</f>
        <v>50</v>
      </c>
      <c r="G41" s="45">
        <v>8</v>
      </c>
      <c r="H41" s="45">
        <v>42</v>
      </c>
      <c r="I41" s="45">
        <f t="shared" ref="I41:I42" si="63">SUM(J41:K41)</f>
        <v>7289</v>
      </c>
      <c r="J41" s="45">
        <v>6148</v>
      </c>
      <c r="K41" s="45">
        <v>1141</v>
      </c>
      <c r="L41" s="64" t="s">
        <v>233</v>
      </c>
      <c r="M41" s="465" t="s">
        <v>173</v>
      </c>
      <c r="N41" s="55"/>
    </row>
    <row r="42" spans="3:14" ht="12.75" customHeight="1" thickBot="1" x14ac:dyDescent="0.25">
      <c r="C42" s="45">
        <f t="shared" si="60"/>
        <v>327</v>
      </c>
      <c r="D42" s="45">
        <f t="shared" si="61"/>
        <v>327</v>
      </c>
      <c r="E42" s="45">
        <f t="shared" si="61"/>
        <v>0</v>
      </c>
      <c r="F42" s="45">
        <f t="shared" si="62"/>
        <v>0</v>
      </c>
      <c r="G42" s="45">
        <v>0</v>
      </c>
      <c r="H42" s="45">
        <v>0</v>
      </c>
      <c r="I42" s="45">
        <f t="shared" si="63"/>
        <v>327</v>
      </c>
      <c r="J42" s="45">
        <v>327</v>
      </c>
      <c r="K42" s="45">
        <v>0</v>
      </c>
      <c r="L42" s="64" t="s">
        <v>234</v>
      </c>
      <c r="M42" s="466"/>
      <c r="N42" s="55"/>
    </row>
    <row r="43" spans="3:14" ht="12.75" customHeight="1" thickBot="1" x14ac:dyDescent="0.25">
      <c r="C43" s="45">
        <f t="shared" ref="C43:J43" si="64">SUM(C41:C42)</f>
        <v>7666</v>
      </c>
      <c r="D43" s="45">
        <f t="shared" si="64"/>
        <v>6483</v>
      </c>
      <c r="E43" s="45">
        <f t="shared" si="64"/>
        <v>1183</v>
      </c>
      <c r="F43" s="45">
        <f t="shared" si="64"/>
        <v>50</v>
      </c>
      <c r="G43" s="45">
        <f t="shared" si="64"/>
        <v>8</v>
      </c>
      <c r="H43" s="45">
        <f t="shared" si="64"/>
        <v>42</v>
      </c>
      <c r="I43" s="45">
        <f t="shared" si="64"/>
        <v>7616</v>
      </c>
      <c r="J43" s="45">
        <f t="shared" si="64"/>
        <v>6475</v>
      </c>
      <c r="K43" s="45">
        <f>SUM(K41:K42)</f>
        <v>1141</v>
      </c>
      <c r="L43" s="64" t="s">
        <v>12</v>
      </c>
      <c r="M43" s="467"/>
      <c r="N43" s="55"/>
    </row>
    <row r="44" spans="3:14" ht="12.75" customHeight="1" thickBot="1" x14ac:dyDescent="0.25">
      <c r="C44" s="45">
        <f t="shared" ref="C44:C45" si="65">SUM(D44:E44)</f>
        <v>8178</v>
      </c>
      <c r="D44" s="45">
        <f t="shared" ref="D44:E45" si="66">J44+G44</f>
        <v>3449</v>
      </c>
      <c r="E44" s="45">
        <f t="shared" si="66"/>
        <v>4729</v>
      </c>
      <c r="F44" s="45">
        <f t="shared" ref="F44:F45" si="67">SUM(G44:H44)</f>
        <v>495</v>
      </c>
      <c r="G44" s="45">
        <v>202</v>
      </c>
      <c r="H44" s="45">
        <v>293</v>
      </c>
      <c r="I44" s="45">
        <f t="shared" ref="I44:I45" si="68">SUM(J44:K44)</f>
        <v>7683</v>
      </c>
      <c r="J44" s="45">
        <v>3247</v>
      </c>
      <c r="K44" s="45">
        <v>4436</v>
      </c>
      <c r="L44" s="64" t="s">
        <v>233</v>
      </c>
      <c r="M44" s="465" t="s">
        <v>174</v>
      </c>
      <c r="N44" s="55"/>
    </row>
    <row r="45" spans="3:14" ht="12.75" customHeight="1" thickBot="1" x14ac:dyDescent="0.25">
      <c r="C45" s="45">
        <f t="shared" si="65"/>
        <v>28</v>
      </c>
      <c r="D45" s="45">
        <f t="shared" si="66"/>
        <v>12</v>
      </c>
      <c r="E45" s="45">
        <f t="shared" si="66"/>
        <v>16</v>
      </c>
      <c r="F45" s="45">
        <f t="shared" si="67"/>
        <v>0</v>
      </c>
      <c r="G45" s="45">
        <v>0</v>
      </c>
      <c r="H45" s="45">
        <v>0</v>
      </c>
      <c r="I45" s="45">
        <f t="shared" si="68"/>
        <v>28</v>
      </c>
      <c r="J45" s="45">
        <v>12</v>
      </c>
      <c r="K45" s="45">
        <v>16</v>
      </c>
      <c r="L45" s="64" t="s">
        <v>234</v>
      </c>
      <c r="M45" s="466"/>
      <c r="N45" s="55"/>
    </row>
    <row r="46" spans="3:14" ht="12.75" customHeight="1" thickBot="1" x14ac:dyDescent="0.25">
      <c r="C46" s="45">
        <f t="shared" ref="C46:J46" si="69">SUM(C44:C45)</f>
        <v>8206</v>
      </c>
      <c r="D46" s="45">
        <f t="shared" si="69"/>
        <v>3461</v>
      </c>
      <c r="E46" s="45">
        <f t="shared" si="69"/>
        <v>4745</v>
      </c>
      <c r="F46" s="45">
        <f t="shared" si="69"/>
        <v>495</v>
      </c>
      <c r="G46" s="45">
        <f t="shared" si="69"/>
        <v>202</v>
      </c>
      <c r="H46" s="45">
        <f t="shared" si="69"/>
        <v>293</v>
      </c>
      <c r="I46" s="45">
        <f t="shared" si="69"/>
        <v>7711</v>
      </c>
      <c r="J46" s="45">
        <f t="shared" si="69"/>
        <v>3259</v>
      </c>
      <c r="K46" s="45">
        <f>SUM(K44:K45)</f>
        <v>4452</v>
      </c>
      <c r="L46" s="64" t="s">
        <v>12</v>
      </c>
      <c r="M46" s="467"/>
      <c r="N46" s="55"/>
    </row>
    <row r="47" spans="3:14" ht="12.75" customHeight="1" thickBot="1" x14ac:dyDescent="0.25">
      <c r="C47" s="45">
        <f t="shared" ref="C47:C48" si="70">SUM(D47:E47)</f>
        <v>4994</v>
      </c>
      <c r="D47" s="45">
        <f t="shared" ref="D47:E48" si="71">J47+G47</f>
        <v>148</v>
      </c>
      <c r="E47" s="45">
        <f t="shared" si="71"/>
        <v>4846</v>
      </c>
      <c r="F47" s="45">
        <f t="shared" ref="F47:F48" si="72">SUM(G47:H47)</f>
        <v>408</v>
      </c>
      <c r="G47" s="45">
        <v>3</v>
      </c>
      <c r="H47" s="45">
        <v>405</v>
      </c>
      <c r="I47" s="45">
        <f t="shared" ref="I47:I48" si="73">SUM(J47:K47)</f>
        <v>4586</v>
      </c>
      <c r="J47" s="45">
        <v>145</v>
      </c>
      <c r="K47" s="45">
        <v>4441</v>
      </c>
      <c r="L47" s="64" t="s">
        <v>233</v>
      </c>
      <c r="M47" s="465" t="s">
        <v>175</v>
      </c>
      <c r="N47" s="55"/>
    </row>
    <row r="48" spans="3:14" ht="12.75" customHeight="1" thickBot="1" x14ac:dyDescent="0.25">
      <c r="C48" s="45">
        <f t="shared" si="70"/>
        <v>0</v>
      </c>
      <c r="D48" s="45">
        <f t="shared" si="71"/>
        <v>0</v>
      </c>
      <c r="E48" s="45">
        <f t="shared" si="71"/>
        <v>0</v>
      </c>
      <c r="F48" s="45">
        <f t="shared" si="72"/>
        <v>0</v>
      </c>
      <c r="G48" s="45">
        <v>0</v>
      </c>
      <c r="H48" s="45">
        <v>0</v>
      </c>
      <c r="I48" s="45">
        <f t="shared" si="73"/>
        <v>0</v>
      </c>
      <c r="J48" s="45">
        <v>0</v>
      </c>
      <c r="K48" s="45">
        <v>0</v>
      </c>
      <c r="L48" s="64" t="s">
        <v>234</v>
      </c>
      <c r="M48" s="466"/>
      <c r="N48" s="55"/>
    </row>
    <row r="49" spans="3:14" ht="12.75" customHeight="1" thickBot="1" x14ac:dyDescent="0.25">
      <c r="C49" s="45">
        <f t="shared" ref="C49:J49" si="74">SUM(C47:C48)</f>
        <v>4994</v>
      </c>
      <c r="D49" s="45">
        <f t="shared" si="74"/>
        <v>148</v>
      </c>
      <c r="E49" s="45">
        <f t="shared" si="74"/>
        <v>4846</v>
      </c>
      <c r="F49" s="45">
        <f t="shared" si="74"/>
        <v>408</v>
      </c>
      <c r="G49" s="45">
        <f t="shared" si="74"/>
        <v>3</v>
      </c>
      <c r="H49" s="45">
        <f t="shared" si="74"/>
        <v>405</v>
      </c>
      <c r="I49" s="45">
        <f t="shared" si="74"/>
        <v>4586</v>
      </c>
      <c r="J49" s="45">
        <f t="shared" si="74"/>
        <v>145</v>
      </c>
      <c r="K49" s="45">
        <f>SUM(K47:K48)</f>
        <v>4441</v>
      </c>
      <c r="L49" s="64" t="s">
        <v>12</v>
      </c>
      <c r="M49" s="467"/>
      <c r="N49" s="55"/>
    </row>
    <row r="50" spans="3:14" ht="12.75" customHeight="1" thickBot="1" x14ac:dyDescent="0.25">
      <c r="C50" s="45">
        <f t="shared" ref="C50:C51" si="75">SUM(D50:E50)</f>
        <v>906</v>
      </c>
      <c r="D50" s="45">
        <f t="shared" ref="D50:E51" si="76">J50+G50</f>
        <v>502</v>
      </c>
      <c r="E50" s="45">
        <f t="shared" si="76"/>
        <v>404</v>
      </c>
      <c r="F50" s="45">
        <f t="shared" ref="F50:F51" si="77">SUM(G50:H50)</f>
        <v>0</v>
      </c>
      <c r="G50" s="45">
        <v>0</v>
      </c>
      <c r="H50" s="45">
        <v>0</v>
      </c>
      <c r="I50" s="45">
        <f t="shared" ref="I50:I51" si="78">SUM(J50:K50)</f>
        <v>906</v>
      </c>
      <c r="J50" s="45">
        <v>502</v>
      </c>
      <c r="K50" s="45">
        <v>404</v>
      </c>
      <c r="L50" s="64" t="s">
        <v>233</v>
      </c>
      <c r="M50" s="465" t="s">
        <v>176</v>
      </c>
      <c r="N50" s="55"/>
    </row>
    <row r="51" spans="3:14" ht="12.75" customHeight="1" thickBot="1" x14ac:dyDescent="0.25">
      <c r="C51" s="45">
        <f t="shared" si="75"/>
        <v>0</v>
      </c>
      <c r="D51" s="45">
        <f t="shared" si="76"/>
        <v>0</v>
      </c>
      <c r="E51" s="45">
        <f t="shared" si="76"/>
        <v>0</v>
      </c>
      <c r="F51" s="45">
        <f t="shared" si="77"/>
        <v>0</v>
      </c>
      <c r="G51" s="45">
        <v>0</v>
      </c>
      <c r="H51" s="45">
        <v>0</v>
      </c>
      <c r="I51" s="45">
        <f t="shared" si="78"/>
        <v>0</v>
      </c>
      <c r="J51" s="45">
        <v>0</v>
      </c>
      <c r="K51" s="45">
        <v>0</v>
      </c>
      <c r="L51" s="64" t="s">
        <v>234</v>
      </c>
      <c r="M51" s="466"/>
      <c r="N51" s="55"/>
    </row>
    <row r="52" spans="3:14" ht="12.75" customHeight="1" thickBot="1" x14ac:dyDescent="0.25">
      <c r="C52" s="45">
        <f t="shared" ref="C52:J52" si="79">SUM(C50:C51)</f>
        <v>906</v>
      </c>
      <c r="D52" s="45">
        <f t="shared" si="79"/>
        <v>502</v>
      </c>
      <c r="E52" s="45">
        <f t="shared" si="79"/>
        <v>404</v>
      </c>
      <c r="F52" s="45">
        <f t="shared" si="79"/>
        <v>0</v>
      </c>
      <c r="G52" s="45">
        <f t="shared" si="79"/>
        <v>0</v>
      </c>
      <c r="H52" s="45">
        <f t="shared" si="79"/>
        <v>0</v>
      </c>
      <c r="I52" s="45">
        <f t="shared" si="79"/>
        <v>906</v>
      </c>
      <c r="J52" s="45">
        <f t="shared" si="79"/>
        <v>502</v>
      </c>
      <c r="K52" s="45">
        <f>SUM(K50:K51)</f>
        <v>404</v>
      </c>
      <c r="L52" s="64" t="s">
        <v>12</v>
      </c>
      <c r="M52" s="467"/>
      <c r="N52" s="55"/>
    </row>
    <row r="53" spans="3:14" ht="12.75" customHeight="1" thickBot="1" x14ac:dyDescent="0.25">
      <c r="C53" s="45">
        <f t="shared" ref="C53:C54" si="80">SUM(D53:E53)</f>
        <v>1152</v>
      </c>
      <c r="D53" s="45">
        <f t="shared" ref="D53:E54" si="81">J53+G53</f>
        <v>94</v>
      </c>
      <c r="E53" s="45">
        <f t="shared" si="81"/>
        <v>1058</v>
      </c>
      <c r="F53" s="45">
        <f t="shared" ref="F53:F54" si="82">SUM(G53:H53)</f>
        <v>21</v>
      </c>
      <c r="G53" s="45">
        <v>6</v>
      </c>
      <c r="H53" s="45">
        <v>15</v>
      </c>
      <c r="I53" s="45">
        <f t="shared" ref="I53:I54" si="83">SUM(J53:K53)</f>
        <v>1131</v>
      </c>
      <c r="J53" s="45">
        <v>88</v>
      </c>
      <c r="K53" s="45">
        <v>1043</v>
      </c>
      <c r="L53" s="64" t="s">
        <v>233</v>
      </c>
      <c r="M53" s="465" t="s">
        <v>177</v>
      </c>
      <c r="N53" s="55"/>
    </row>
    <row r="54" spans="3:14" ht="12.75" customHeight="1" thickBot="1" x14ac:dyDescent="0.25">
      <c r="C54" s="45">
        <f t="shared" si="80"/>
        <v>0</v>
      </c>
      <c r="D54" s="45">
        <f t="shared" si="81"/>
        <v>0</v>
      </c>
      <c r="E54" s="45">
        <f t="shared" si="81"/>
        <v>0</v>
      </c>
      <c r="F54" s="45">
        <f t="shared" si="82"/>
        <v>0</v>
      </c>
      <c r="G54" s="45">
        <v>0</v>
      </c>
      <c r="H54" s="45">
        <v>0</v>
      </c>
      <c r="I54" s="45">
        <f t="shared" si="83"/>
        <v>0</v>
      </c>
      <c r="J54" s="45">
        <v>0</v>
      </c>
      <c r="K54" s="45">
        <v>0</v>
      </c>
      <c r="L54" s="64" t="s">
        <v>234</v>
      </c>
      <c r="M54" s="466"/>
      <c r="N54" s="55"/>
    </row>
    <row r="55" spans="3:14" ht="12.75" customHeight="1" thickBot="1" x14ac:dyDescent="0.25">
      <c r="C55" s="45">
        <f t="shared" ref="C55:J55" si="84">SUM(C53:C54)</f>
        <v>1152</v>
      </c>
      <c r="D55" s="45">
        <f t="shared" si="84"/>
        <v>94</v>
      </c>
      <c r="E55" s="45">
        <f t="shared" si="84"/>
        <v>1058</v>
      </c>
      <c r="F55" s="45">
        <f t="shared" si="84"/>
        <v>21</v>
      </c>
      <c r="G55" s="45">
        <f t="shared" si="84"/>
        <v>6</v>
      </c>
      <c r="H55" s="45">
        <f t="shared" si="84"/>
        <v>15</v>
      </c>
      <c r="I55" s="45">
        <f t="shared" si="84"/>
        <v>1131</v>
      </c>
      <c r="J55" s="45">
        <f t="shared" si="84"/>
        <v>88</v>
      </c>
      <c r="K55" s="45">
        <f>SUM(K53:K54)</f>
        <v>1043</v>
      </c>
      <c r="L55" s="64" t="s">
        <v>12</v>
      </c>
      <c r="M55" s="467"/>
      <c r="N55" s="55"/>
    </row>
    <row r="56" spans="3:14" ht="12.75" customHeight="1" thickBot="1" x14ac:dyDescent="0.25">
      <c r="C56" s="45">
        <f t="shared" ref="C56:C57" si="85">SUM(D56:E56)</f>
        <v>735</v>
      </c>
      <c r="D56" s="45">
        <f t="shared" ref="D56:E57" si="86">J56+G56</f>
        <v>0</v>
      </c>
      <c r="E56" s="45">
        <f t="shared" si="86"/>
        <v>735</v>
      </c>
      <c r="F56" s="45">
        <f t="shared" ref="F56:F57" si="87">SUM(G56:H56)</f>
        <v>9</v>
      </c>
      <c r="G56" s="45">
        <v>0</v>
      </c>
      <c r="H56" s="45">
        <v>9</v>
      </c>
      <c r="I56" s="45">
        <f t="shared" ref="I56:I57" si="88">SUM(J56:K56)</f>
        <v>726</v>
      </c>
      <c r="J56" s="45">
        <v>0</v>
      </c>
      <c r="K56" s="45">
        <v>726</v>
      </c>
      <c r="L56" s="64" t="s">
        <v>233</v>
      </c>
      <c r="M56" s="465" t="s">
        <v>178</v>
      </c>
      <c r="N56" s="55"/>
    </row>
    <row r="57" spans="3:14" ht="12.75" customHeight="1" thickBot="1" x14ac:dyDescent="0.25">
      <c r="C57" s="45">
        <f t="shared" si="85"/>
        <v>0</v>
      </c>
      <c r="D57" s="45">
        <f t="shared" si="86"/>
        <v>0</v>
      </c>
      <c r="E57" s="45">
        <f t="shared" si="86"/>
        <v>0</v>
      </c>
      <c r="F57" s="45">
        <f t="shared" si="87"/>
        <v>0</v>
      </c>
      <c r="G57" s="45">
        <v>0</v>
      </c>
      <c r="H57" s="45">
        <v>0</v>
      </c>
      <c r="I57" s="45">
        <f t="shared" si="88"/>
        <v>0</v>
      </c>
      <c r="J57" s="45">
        <v>0</v>
      </c>
      <c r="K57" s="45">
        <v>0</v>
      </c>
      <c r="L57" s="64" t="s">
        <v>234</v>
      </c>
      <c r="M57" s="466"/>
      <c r="N57" s="55"/>
    </row>
    <row r="58" spans="3:14" ht="12.75" customHeight="1" thickBot="1" x14ac:dyDescent="0.25">
      <c r="C58" s="45">
        <f t="shared" ref="C58:J58" si="89">SUM(C56:C57)</f>
        <v>735</v>
      </c>
      <c r="D58" s="45">
        <f t="shared" si="89"/>
        <v>0</v>
      </c>
      <c r="E58" s="45">
        <f t="shared" si="89"/>
        <v>735</v>
      </c>
      <c r="F58" s="45">
        <f t="shared" si="89"/>
        <v>9</v>
      </c>
      <c r="G58" s="45">
        <f t="shared" si="89"/>
        <v>0</v>
      </c>
      <c r="H58" s="45">
        <f t="shared" si="89"/>
        <v>9</v>
      </c>
      <c r="I58" s="45">
        <f t="shared" si="89"/>
        <v>726</v>
      </c>
      <c r="J58" s="45">
        <f t="shared" si="89"/>
        <v>0</v>
      </c>
      <c r="K58" s="45">
        <f>SUM(K56:K57)</f>
        <v>726</v>
      </c>
      <c r="L58" s="64" t="s">
        <v>12</v>
      </c>
      <c r="M58" s="467"/>
      <c r="N58" s="55"/>
    </row>
    <row r="59" spans="3:14" ht="12.75" customHeight="1" thickBot="1" x14ac:dyDescent="0.25">
      <c r="C59" s="45">
        <f t="shared" ref="C59:C60" si="90">SUM(D59:E59)</f>
        <v>184</v>
      </c>
      <c r="D59" s="45">
        <f t="shared" ref="D59:E60" si="91">J59+G59</f>
        <v>0</v>
      </c>
      <c r="E59" s="45">
        <f t="shared" si="91"/>
        <v>184</v>
      </c>
      <c r="F59" s="45">
        <f t="shared" ref="F59:F60" si="92">SUM(G59:H59)</f>
        <v>0</v>
      </c>
      <c r="G59" s="45">
        <v>0</v>
      </c>
      <c r="H59" s="45">
        <v>0</v>
      </c>
      <c r="I59" s="45">
        <f t="shared" ref="I59:I60" si="93">SUM(J59:K59)</f>
        <v>184</v>
      </c>
      <c r="J59" s="45">
        <v>0</v>
      </c>
      <c r="K59" s="45">
        <v>184</v>
      </c>
      <c r="L59" s="64" t="s">
        <v>233</v>
      </c>
      <c r="M59" s="465" t="s">
        <v>179</v>
      </c>
      <c r="N59" s="55"/>
    </row>
    <row r="60" spans="3:14" ht="12.75" customHeight="1" thickBot="1" x14ac:dyDescent="0.25">
      <c r="C60" s="45">
        <f t="shared" si="90"/>
        <v>0</v>
      </c>
      <c r="D60" s="45">
        <f t="shared" si="91"/>
        <v>0</v>
      </c>
      <c r="E60" s="45">
        <f t="shared" si="91"/>
        <v>0</v>
      </c>
      <c r="F60" s="45">
        <f t="shared" si="92"/>
        <v>0</v>
      </c>
      <c r="G60" s="45">
        <v>0</v>
      </c>
      <c r="H60" s="45">
        <v>0</v>
      </c>
      <c r="I60" s="45">
        <f t="shared" si="93"/>
        <v>0</v>
      </c>
      <c r="J60" s="45">
        <v>0</v>
      </c>
      <c r="K60" s="45">
        <v>0</v>
      </c>
      <c r="L60" s="64" t="s">
        <v>234</v>
      </c>
      <c r="M60" s="466"/>
      <c r="N60" s="55"/>
    </row>
    <row r="61" spans="3:14" ht="12.75" customHeight="1" thickBot="1" x14ac:dyDescent="0.25">
      <c r="C61" s="45">
        <f t="shared" ref="C61:J61" si="94">SUM(C59:C60)</f>
        <v>184</v>
      </c>
      <c r="D61" s="45">
        <f t="shared" si="94"/>
        <v>0</v>
      </c>
      <c r="E61" s="45">
        <f t="shared" si="94"/>
        <v>184</v>
      </c>
      <c r="F61" s="45">
        <f t="shared" si="94"/>
        <v>0</v>
      </c>
      <c r="G61" s="45">
        <f t="shared" si="94"/>
        <v>0</v>
      </c>
      <c r="H61" s="45">
        <f t="shared" si="94"/>
        <v>0</v>
      </c>
      <c r="I61" s="45">
        <f t="shared" si="94"/>
        <v>184</v>
      </c>
      <c r="J61" s="45">
        <f t="shared" si="94"/>
        <v>0</v>
      </c>
      <c r="K61" s="45">
        <f>SUM(K59:K60)</f>
        <v>184</v>
      </c>
      <c r="L61" s="64" t="s">
        <v>12</v>
      </c>
      <c r="M61" s="467"/>
      <c r="N61" s="55"/>
    </row>
    <row r="62" spans="3:14" ht="12.75" customHeight="1" thickBot="1" x14ac:dyDescent="0.25">
      <c r="C62" s="45">
        <f t="shared" ref="C62:C63" si="95">SUM(D62:E62)</f>
        <v>9514</v>
      </c>
      <c r="D62" s="45">
        <f t="shared" ref="D62:E63" si="96">J62+G62</f>
        <v>5166</v>
      </c>
      <c r="E62" s="45">
        <f t="shared" si="96"/>
        <v>4348</v>
      </c>
      <c r="F62" s="45">
        <f t="shared" ref="F62:F63" si="97">SUM(G62:H62)</f>
        <v>305</v>
      </c>
      <c r="G62" s="45">
        <v>181</v>
      </c>
      <c r="H62" s="45">
        <v>124</v>
      </c>
      <c r="I62" s="45">
        <f t="shared" ref="I62:I63" si="98">SUM(J62:K62)</f>
        <v>9209</v>
      </c>
      <c r="J62" s="45">
        <v>4985</v>
      </c>
      <c r="K62" s="45">
        <v>4224</v>
      </c>
      <c r="L62" s="64" t="s">
        <v>233</v>
      </c>
      <c r="M62" s="465" t="s">
        <v>180</v>
      </c>
      <c r="N62" s="55"/>
    </row>
    <row r="63" spans="3:14" ht="12.75" customHeight="1" thickBot="1" x14ac:dyDescent="0.25">
      <c r="C63" s="45">
        <f t="shared" si="95"/>
        <v>227</v>
      </c>
      <c r="D63" s="45">
        <f t="shared" si="96"/>
        <v>0</v>
      </c>
      <c r="E63" s="45">
        <f t="shared" si="96"/>
        <v>227</v>
      </c>
      <c r="F63" s="45">
        <f t="shared" si="97"/>
        <v>0</v>
      </c>
      <c r="G63" s="45">
        <v>0</v>
      </c>
      <c r="H63" s="45">
        <v>0</v>
      </c>
      <c r="I63" s="45">
        <f t="shared" si="98"/>
        <v>227</v>
      </c>
      <c r="J63" s="45">
        <v>0</v>
      </c>
      <c r="K63" s="45">
        <v>227</v>
      </c>
      <c r="L63" s="64" t="s">
        <v>234</v>
      </c>
      <c r="M63" s="466"/>
      <c r="N63" s="55"/>
    </row>
    <row r="64" spans="3:14" ht="12.75" customHeight="1" thickBot="1" x14ac:dyDescent="0.25">
      <c r="C64" s="45">
        <f t="shared" ref="C64:J64" si="99">SUM(C62:C63)</f>
        <v>9741</v>
      </c>
      <c r="D64" s="45">
        <f t="shared" si="99"/>
        <v>5166</v>
      </c>
      <c r="E64" s="45">
        <f t="shared" si="99"/>
        <v>4575</v>
      </c>
      <c r="F64" s="45">
        <f t="shared" si="99"/>
        <v>305</v>
      </c>
      <c r="G64" s="45">
        <f t="shared" si="99"/>
        <v>181</v>
      </c>
      <c r="H64" s="45">
        <f t="shared" si="99"/>
        <v>124</v>
      </c>
      <c r="I64" s="45">
        <f t="shared" si="99"/>
        <v>9436</v>
      </c>
      <c r="J64" s="45">
        <f t="shared" si="99"/>
        <v>4985</v>
      </c>
      <c r="K64" s="45">
        <f>SUM(K62:K63)</f>
        <v>4451</v>
      </c>
      <c r="L64" s="64" t="s">
        <v>12</v>
      </c>
      <c r="M64" s="467"/>
      <c r="N64" s="55"/>
    </row>
    <row r="65" spans="3:14" ht="12.75" customHeight="1" thickBot="1" x14ac:dyDescent="0.25">
      <c r="C65" s="45">
        <f t="shared" ref="C65:C66" si="100">SUM(D65:E65)</f>
        <v>2387</v>
      </c>
      <c r="D65" s="45">
        <f t="shared" ref="D65:E66" si="101">J65+G65</f>
        <v>1660</v>
      </c>
      <c r="E65" s="45">
        <f t="shared" si="101"/>
        <v>727</v>
      </c>
      <c r="F65" s="45">
        <f t="shared" ref="F65:F66" si="102">SUM(G65:H65)</f>
        <v>49</v>
      </c>
      <c r="G65" s="45">
        <v>17</v>
      </c>
      <c r="H65" s="45">
        <v>32</v>
      </c>
      <c r="I65" s="45">
        <f t="shared" ref="I65:I66" si="103">SUM(J65:K65)</f>
        <v>2338</v>
      </c>
      <c r="J65" s="45">
        <v>1643</v>
      </c>
      <c r="K65" s="45">
        <v>695</v>
      </c>
      <c r="L65" s="64" t="s">
        <v>233</v>
      </c>
      <c r="M65" s="465" t="s">
        <v>181</v>
      </c>
      <c r="N65" s="55"/>
    </row>
    <row r="66" spans="3:14" ht="12.75" customHeight="1" thickBot="1" x14ac:dyDescent="0.25">
      <c r="C66" s="45">
        <f t="shared" si="100"/>
        <v>0</v>
      </c>
      <c r="D66" s="45">
        <f t="shared" si="101"/>
        <v>0</v>
      </c>
      <c r="E66" s="45">
        <f t="shared" si="101"/>
        <v>0</v>
      </c>
      <c r="F66" s="45">
        <f t="shared" si="102"/>
        <v>0</v>
      </c>
      <c r="G66" s="45">
        <v>0</v>
      </c>
      <c r="H66" s="45">
        <v>0</v>
      </c>
      <c r="I66" s="45">
        <f t="shared" si="103"/>
        <v>0</v>
      </c>
      <c r="J66" s="45">
        <v>0</v>
      </c>
      <c r="K66" s="45">
        <v>0</v>
      </c>
      <c r="L66" s="64" t="s">
        <v>234</v>
      </c>
      <c r="M66" s="466"/>
      <c r="N66" s="55"/>
    </row>
    <row r="67" spans="3:14" ht="12.75" customHeight="1" thickBot="1" x14ac:dyDescent="0.25">
      <c r="C67" s="45">
        <f t="shared" ref="C67:J67" si="104">SUM(C65:C66)</f>
        <v>2387</v>
      </c>
      <c r="D67" s="45">
        <f t="shared" si="104"/>
        <v>1660</v>
      </c>
      <c r="E67" s="45">
        <f t="shared" si="104"/>
        <v>727</v>
      </c>
      <c r="F67" s="45">
        <f t="shared" si="104"/>
        <v>49</v>
      </c>
      <c r="G67" s="45">
        <f t="shared" si="104"/>
        <v>17</v>
      </c>
      <c r="H67" s="45">
        <f t="shared" si="104"/>
        <v>32</v>
      </c>
      <c r="I67" s="45">
        <f t="shared" si="104"/>
        <v>2338</v>
      </c>
      <c r="J67" s="45">
        <f t="shared" si="104"/>
        <v>1643</v>
      </c>
      <c r="K67" s="45">
        <f>SUM(K65:K66)</f>
        <v>695</v>
      </c>
      <c r="L67" s="64" t="s">
        <v>12</v>
      </c>
      <c r="M67" s="467"/>
      <c r="N67" s="55"/>
    </row>
    <row r="68" spans="3:14" ht="12.75" customHeight="1" thickBot="1" x14ac:dyDescent="0.25">
      <c r="C68" s="45">
        <f t="shared" ref="C68:C69" si="105">SUM(D68:E68)</f>
        <v>92</v>
      </c>
      <c r="D68" s="45">
        <f t="shared" ref="D68:E69" si="106">J68+G68</f>
        <v>0</v>
      </c>
      <c r="E68" s="45">
        <f t="shared" si="106"/>
        <v>92</v>
      </c>
      <c r="F68" s="45">
        <f t="shared" ref="F68:F69" si="107">SUM(G68:H68)</f>
        <v>0</v>
      </c>
      <c r="G68" s="45">
        <v>0</v>
      </c>
      <c r="H68" s="45">
        <v>0</v>
      </c>
      <c r="I68" s="45">
        <f t="shared" ref="I68:I69" si="108">SUM(J68:K68)</f>
        <v>92</v>
      </c>
      <c r="J68" s="45">
        <v>0</v>
      </c>
      <c r="K68" s="45">
        <v>92</v>
      </c>
      <c r="L68" s="64" t="s">
        <v>233</v>
      </c>
      <c r="M68" s="465" t="s">
        <v>182</v>
      </c>
      <c r="N68" s="55"/>
    </row>
    <row r="69" spans="3:14" ht="12.75" customHeight="1" thickBot="1" x14ac:dyDescent="0.25">
      <c r="C69" s="45">
        <f t="shared" si="105"/>
        <v>0</v>
      </c>
      <c r="D69" s="45">
        <f t="shared" si="106"/>
        <v>0</v>
      </c>
      <c r="E69" s="45">
        <f t="shared" si="106"/>
        <v>0</v>
      </c>
      <c r="F69" s="45">
        <f t="shared" si="107"/>
        <v>0</v>
      </c>
      <c r="G69" s="45">
        <v>0</v>
      </c>
      <c r="H69" s="45">
        <v>0</v>
      </c>
      <c r="I69" s="45">
        <f t="shared" si="108"/>
        <v>0</v>
      </c>
      <c r="J69" s="45">
        <v>0</v>
      </c>
      <c r="K69" s="45">
        <v>0</v>
      </c>
      <c r="L69" s="64" t="s">
        <v>234</v>
      </c>
      <c r="M69" s="466"/>
      <c r="N69" s="55"/>
    </row>
    <row r="70" spans="3:14" ht="12.75" customHeight="1" thickBot="1" x14ac:dyDescent="0.25">
      <c r="C70" s="45">
        <f t="shared" ref="C70:J70" si="109">SUM(C68:C69)</f>
        <v>92</v>
      </c>
      <c r="D70" s="45">
        <f t="shared" si="109"/>
        <v>0</v>
      </c>
      <c r="E70" s="45">
        <f t="shared" si="109"/>
        <v>92</v>
      </c>
      <c r="F70" s="45">
        <f t="shared" si="109"/>
        <v>0</v>
      </c>
      <c r="G70" s="45">
        <f t="shared" si="109"/>
        <v>0</v>
      </c>
      <c r="H70" s="45">
        <f t="shared" si="109"/>
        <v>0</v>
      </c>
      <c r="I70" s="45">
        <f t="shared" si="109"/>
        <v>92</v>
      </c>
      <c r="J70" s="45">
        <f t="shared" si="109"/>
        <v>0</v>
      </c>
      <c r="K70" s="45">
        <f>SUM(K68:K69)</f>
        <v>92</v>
      </c>
      <c r="L70" s="64" t="s">
        <v>12</v>
      </c>
      <c r="M70" s="467"/>
      <c r="N70" s="55"/>
    </row>
    <row r="71" spans="3:14" ht="12.75" customHeight="1" thickBot="1" x14ac:dyDescent="0.25">
      <c r="C71" s="45">
        <f t="shared" ref="C71:C72" si="110">SUM(D71:E71)</f>
        <v>2384</v>
      </c>
      <c r="D71" s="45">
        <f t="shared" ref="D71:E72" si="111">J71+G71</f>
        <v>1316</v>
      </c>
      <c r="E71" s="45">
        <f t="shared" si="111"/>
        <v>1068</v>
      </c>
      <c r="F71" s="45">
        <f t="shared" ref="F71:F72" si="112">SUM(G71:H71)</f>
        <v>58</v>
      </c>
      <c r="G71" s="45">
        <v>46</v>
      </c>
      <c r="H71" s="45">
        <v>12</v>
      </c>
      <c r="I71" s="45">
        <f t="shared" ref="I71:I72" si="113">SUM(J71:K71)</f>
        <v>2326</v>
      </c>
      <c r="J71" s="45">
        <v>1270</v>
      </c>
      <c r="K71" s="45">
        <v>1056</v>
      </c>
      <c r="L71" s="64" t="s">
        <v>233</v>
      </c>
      <c r="M71" s="465" t="s">
        <v>53</v>
      </c>
      <c r="N71" s="55"/>
    </row>
    <row r="72" spans="3:14" ht="12.75" customHeight="1" thickBot="1" x14ac:dyDescent="0.25">
      <c r="C72" s="45">
        <f t="shared" si="110"/>
        <v>0</v>
      </c>
      <c r="D72" s="45">
        <f t="shared" si="111"/>
        <v>0</v>
      </c>
      <c r="E72" s="45">
        <f t="shared" si="111"/>
        <v>0</v>
      </c>
      <c r="F72" s="45">
        <f t="shared" si="112"/>
        <v>0</v>
      </c>
      <c r="G72" s="45">
        <v>0</v>
      </c>
      <c r="H72" s="45">
        <v>0</v>
      </c>
      <c r="I72" s="45">
        <f t="shared" si="113"/>
        <v>0</v>
      </c>
      <c r="J72" s="45">
        <v>0</v>
      </c>
      <c r="K72" s="45">
        <v>0</v>
      </c>
      <c r="L72" s="64" t="s">
        <v>234</v>
      </c>
      <c r="M72" s="466"/>
      <c r="N72" s="55"/>
    </row>
    <row r="73" spans="3:14" ht="12.75" customHeight="1" thickBot="1" x14ac:dyDescent="0.25">
      <c r="C73" s="45">
        <f t="shared" ref="C73:G73" si="114">SUM(C71:C72)</f>
        <v>2384</v>
      </c>
      <c r="D73" s="45">
        <f t="shared" si="114"/>
        <v>1316</v>
      </c>
      <c r="E73" s="45">
        <f t="shared" si="114"/>
        <v>1068</v>
      </c>
      <c r="F73" s="45">
        <f t="shared" si="114"/>
        <v>58</v>
      </c>
      <c r="G73" s="45">
        <f t="shared" si="114"/>
        <v>46</v>
      </c>
      <c r="H73" s="45">
        <f t="shared" ref="H73" si="115">SUM(H71:H72)</f>
        <v>12</v>
      </c>
      <c r="I73" s="45">
        <f t="shared" ref="I73:J73" si="116">SUM(I71:I72)</f>
        <v>2326</v>
      </c>
      <c r="J73" s="45">
        <f t="shared" si="116"/>
        <v>1270</v>
      </c>
      <c r="K73" s="45">
        <f>SUM(K71:K72)</f>
        <v>1056</v>
      </c>
      <c r="L73" s="64" t="s">
        <v>12</v>
      </c>
      <c r="M73" s="467"/>
      <c r="N73" s="55"/>
    </row>
    <row r="74" spans="3:14" ht="12.75" customHeight="1" thickBot="1" x14ac:dyDescent="0.25">
      <c r="C74" s="45">
        <f t="shared" ref="C74:K76" si="117">C5+C8+C11+C14+C17+C20+C23+C26+C29+C32+C35+C38+C41+C44+C47+C50+C53+C56+C59+C62+C65+C68+C71</f>
        <v>156918</v>
      </c>
      <c r="D74" s="45">
        <f t="shared" si="117"/>
        <v>93591</v>
      </c>
      <c r="E74" s="45">
        <f t="shared" si="117"/>
        <v>63327</v>
      </c>
      <c r="F74" s="45">
        <f t="shared" si="117"/>
        <v>3657</v>
      </c>
      <c r="G74" s="45">
        <f t="shared" si="117"/>
        <v>1310</v>
      </c>
      <c r="H74" s="45">
        <f t="shared" si="117"/>
        <v>2347</v>
      </c>
      <c r="I74" s="45">
        <f t="shared" si="117"/>
        <v>153261</v>
      </c>
      <c r="J74" s="45">
        <f t="shared" si="117"/>
        <v>92281</v>
      </c>
      <c r="K74" s="45">
        <f>K5+K8+K11+K14+K17+K20+K23+K26+K29+K32+K35+K38+K41+K44+K47+K50+K53+K56+K59+K62+K65+K68+K71</f>
        <v>60980</v>
      </c>
      <c r="L74" s="64" t="s">
        <v>236</v>
      </c>
      <c r="M74" s="468" t="s">
        <v>188</v>
      </c>
      <c r="N74" s="55"/>
    </row>
    <row r="75" spans="3:14" ht="12.75" customHeight="1" thickBot="1" x14ac:dyDescent="0.25">
      <c r="C75" s="45">
        <f t="shared" si="117"/>
        <v>37233</v>
      </c>
      <c r="D75" s="45">
        <f t="shared" si="117"/>
        <v>19163</v>
      </c>
      <c r="E75" s="45">
        <f t="shared" si="117"/>
        <v>18070</v>
      </c>
      <c r="F75" s="45">
        <f t="shared" si="117"/>
        <v>791</v>
      </c>
      <c r="G75" s="45">
        <f t="shared" si="117"/>
        <v>522</v>
      </c>
      <c r="H75" s="45">
        <f t="shared" si="117"/>
        <v>269</v>
      </c>
      <c r="I75" s="45">
        <f t="shared" si="117"/>
        <v>36442</v>
      </c>
      <c r="J75" s="45">
        <f t="shared" si="117"/>
        <v>18641</v>
      </c>
      <c r="K75" s="45">
        <f t="shared" si="117"/>
        <v>17801</v>
      </c>
      <c r="L75" s="64" t="s">
        <v>237</v>
      </c>
      <c r="M75" s="469"/>
      <c r="N75" s="55"/>
    </row>
    <row r="76" spans="3:14" ht="12.75" customHeight="1" thickBot="1" x14ac:dyDescent="0.25">
      <c r="C76" s="45">
        <f t="shared" si="117"/>
        <v>194151</v>
      </c>
      <c r="D76" s="45">
        <f t="shared" si="117"/>
        <v>112754</v>
      </c>
      <c r="E76" s="45">
        <f t="shared" si="117"/>
        <v>81397</v>
      </c>
      <c r="F76" s="45">
        <f t="shared" si="117"/>
        <v>4448</v>
      </c>
      <c r="G76" s="45">
        <f t="shared" si="117"/>
        <v>1832</v>
      </c>
      <c r="H76" s="45">
        <f t="shared" si="117"/>
        <v>2616</v>
      </c>
      <c r="I76" s="45">
        <f t="shared" si="117"/>
        <v>189703</v>
      </c>
      <c r="J76" s="45">
        <f t="shared" si="117"/>
        <v>110922</v>
      </c>
      <c r="K76" s="45">
        <f t="shared" si="117"/>
        <v>78781</v>
      </c>
      <c r="L76" s="64" t="s">
        <v>12</v>
      </c>
      <c r="M76" s="470"/>
      <c r="N76" s="55"/>
    </row>
    <row r="77" spans="3:14" ht="12.75" customHeight="1" thickBot="1" x14ac:dyDescent="0.25"/>
    <row r="78" spans="3:14" ht="12.75" customHeight="1" thickBot="1" x14ac:dyDescent="0.25">
      <c r="C78" s="65">
        <v>156918</v>
      </c>
      <c r="D78" s="65">
        <v>93591</v>
      </c>
      <c r="E78" s="65">
        <v>63327</v>
      </c>
      <c r="F78" s="65">
        <v>3657</v>
      </c>
      <c r="G78" s="65">
        <v>1310</v>
      </c>
      <c r="H78" s="65">
        <v>2347</v>
      </c>
      <c r="I78" s="65">
        <v>153261</v>
      </c>
      <c r="J78" s="65">
        <v>92281</v>
      </c>
      <c r="K78" s="65">
        <v>60980</v>
      </c>
      <c r="L78" s="66" t="s">
        <v>236</v>
      </c>
      <c r="M78" s="67"/>
    </row>
    <row r="79" spans="3:14" ht="12.75" customHeight="1" thickBot="1" x14ac:dyDescent="0.25">
      <c r="C79" s="65">
        <v>37233</v>
      </c>
      <c r="D79" s="65">
        <v>19163</v>
      </c>
      <c r="E79" s="65">
        <v>18070</v>
      </c>
      <c r="F79" s="65">
        <v>791</v>
      </c>
      <c r="G79" s="65">
        <v>522</v>
      </c>
      <c r="H79" s="65">
        <v>269</v>
      </c>
      <c r="I79" s="65">
        <v>36442</v>
      </c>
      <c r="J79" s="65">
        <v>18641</v>
      </c>
      <c r="K79" s="65">
        <v>17801</v>
      </c>
      <c r="L79" s="66" t="s">
        <v>237</v>
      </c>
      <c r="M79" s="68" t="s">
        <v>188</v>
      </c>
    </row>
    <row r="80" spans="3:14" ht="12.75" customHeight="1" thickBot="1" x14ac:dyDescent="0.25">
      <c r="C80" s="65">
        <v>194151</v>
      </c>
      <c r="D80" s="65">
        <v>112754</v>
      </c>
      <c r="E80" s="65">
        <v>81397</v>
      </c>
      <c r="F80" s="65">
        <v>4448</v>
      </c>
      <c r="G80" s="65">
        <v>1832</v>
      </c>
      <c r="H80" s="65">
        <v>2616</v>
      </c>
      <c r="I80" s="65">
        <v>189703</v>
      </c>
      <c r="J80" s="65">
        <v>110922</v>
      </c>
      <c r="K80" s="65">
        <v>78781</v>
      </c>
      <c r="L80" s="66" t="s">
        <v>12</v>
      </c>
      <c r="M80" s="69"/>
    </row>
    <row r="82" spans="3:11" ht="12.75" customHeight="1" x14ac:dyDescent="0.2">
      <c r="C82" s="70">
        <f t="shared" ref="C82:K84" si="118">C78-C74</f>
        <v>0</v>
      </c>
      <c r="D82" s="70">
        <f t="shared" si="118"/>
        <v>0</v>
      </c>
      <c r="E82" s="70">
        <f t="shared" si="118"/>
        <v>0</v>
      </c>
      <c r="F82" s="70">
        <f t="shared" si="118"/>
        <v>0</v>
      </c>
      <c r="G82" s="70">
        <f t="shared" si="118"/>
        <v>0</v>
      </c>
      <c r="H82" s="70">
        <f t="shared" si="118"/>
        <v>0</v>
      </c>
      <c r="I82" s="70">
        <f t="shared" si="118"/>
        <v>0</v>
      </c>
      <c r="J82" s="70">
        <f t="shared" si="118"/>
        <v>0</v>
      </c>
      <c r="K82" s="70">
        <f>K78-K74</f>
        <v>0</v>
      </c>
    </row>
    <row r="83" spans="3:11" ht="12.75" customHeight="1" x14ac:dyDescent="0.2">
      <c r="C83" s="70">
        <f t="shared" si="118"/>
        <v>0</v>
      </c>
      <c r="D83" s="70">
        <f t="shared" si="118"/>
        <v>0</v>
      </c>
      <c r="E83" s="70">
        <f t="shared" si="118"/>
        <v>0</v>
      </c>
      <c r="F83" s="70">
        <f t="shared" si="118"/>
        <v>0</v>
      </c>
      <c r="G83" s="70">
        <f t="shared" si="118"/>
        <v>0</v>
      </c>
      <c r="H83" s="70">
        <f t="shared" si="118"/>
        <v>0</v>
      </c>
      <c r="I83" s="70">
        <f t="shared" si="118"/>
        <v>0</v>
      </c>
      <c r="J83" s="70">
        <f t="shared" si="118"/>
        <v>0</v>
      </c>
      <c r="K83" s="70">
        <f t="shared" si="118"/>
        <v>0</v>
      </c>
    </row>
    <row r="84" spans="3:11" ht="12.75" customHeight="1" x14ac:dyDescent="0.2">
      <c r="C84" s="70">
        <f t="shared" si="118"/>
        <v>0</v>
      </c>
      <c r="D84" s="70">
        <f t="shared" si="118"/>
        <v>0</v>
      </c>
      <c r="E84" s="70">
        <f t="shared" si="118"/>
        <v>0</v>
      </c>
      <c r="F84" s="70">
        <f t="shared" si="118"/>
        <v>0</v>
      </c>
      <c r="G84" s="70">
        <f t="shared" si="118"/>
        <v>0</v>
      </c>
      <c r="H84" s="70">
        <f t="shared" si="118"/>
        <v>0</v>
      </c>
      <c r="I84" s="70">
        <f t="shared" si="118"/>
        <v>0</v>
      </c>
      <c r="J84" s="70">
        <f t="shared" si="118"/>
        <v>0</v>
      </c>
      <c r="K84" s="70">
        <f t="shared" si="118"/>
        <v>0</v>
      </c>
    </row>
  </sheetData>
  <mergeCells count="30">
    <mergeCell ref="M74:M76"/>
    <mergeCell ref="M41:M43"/>
    <mergeCell ref="M44:M46"/>
    <mergeCell ref="M47:M49"/>
    <mergeCell ref="M50:M52"/>
    <mergeCell ref="M53:M55"/>
    <mergeCell ref="M56:M58"/>
    <mergeCell ref="M59:M61"/>
    <mergeCell ref="M62:M64"/>
    <mergeCell ref="M65:M67"/>
    <mergeCell ref="M68:M70"/>
    <mergeCell ref="M71:M73"/>
    <mergeCell ref="M38:M40"/>
    <mergeCell ref="M5:M7"/>
    <mergeCell ref="M8:M10"/>
    <mergeCell ref="M11:M13"/>
    <mergeCell ref="M14:M16"/>
    <mergeCell ref="M17:M19"/>
    <mergeCell ref="M20:M22"/>
    <mergeCell ref="M23:M25"/>
    <mergeCell ref="M26:M28"/>
    <mergeCell ref="M29:M31"/>
    <mergeCell ref="M32:M34"/>
    <mergeCell ref="M35:M37"/>
    <mergeCell ref="C1:M1"/>
    <mergeCell ref="C2:M2"/>
    <mergeCell ref="C3:E3"/>
    <mergeCell ref="F3:H3"/>
    <mergeCell ref="I3:K3"/>
    <mergeCell ref="L3:M4"/>
  </mergeCells>
  <printOptions horizontalCentered="1" verticalCentered="1"/>
  <pageMargins left="0.4" right="0.4" top="0.25" bottom="0.44" header="0.25" footer="0.25"/>
  <pageSetup paperSize="9" scale="90" orientation="landscape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S57"/>
  <sheetViews>
    <sheetView showGridLines="0" topLeftCell="A34" workbookViewId="0">
      <selection activeCell="D49" sqref="D49"/>
    </sheetView>
  </sheetViews>
  <sheetFormatPr defaultRowHeight="12.75" x14ac:dyDescent="0.2"/>
  <cols>
    <col min="1" max="2" width="9" style="56"/>
    <col min="3" max="11" width="7.75" style="56" customWidth="1"/>
    <col min="12" max="12" width="7.75" style="56" bestFit="1" customWidth="1"/>
    <col min="13" max="13" width="31.25" style="56" bestFit="1" customWidth="1"/>
    <col min="14" max="14" width="3.625" style="56" customWidth="1"/>
    <col min="15" max="258" width="9" style="56"/>
    <col min="259" max="267" width="7.75" style="56" customWidth="1"/>
    <col min="268" max="268" width="7.75" style="56" bestFit="1" customWidth="1"/>
    <col min="269" max="269" width="31.25" style="56" bestFit="1" customWidth="1"/>
    <col min="270" max="270" width="3.625" style="56" customWidth="1"/>
    <col min="271" max="514" width="9" style="56"/>
    <col min="515" max="523" width="7.75" style="56" customWidth="1"/>
    <col min="524" max="524" width="7.75" style="56" bestFit="1" customWidth="1"/>
    <col min="525" max="525" width="31.25" style="56" bestFit="1" customWidth="1"/>
    <col min="526" max="526" width="3.625" style="56" customWidth="1"/>
    <col min="527" max="770" width="9" style="56"/>
    <col min="771" max="779" width="7.75" style="56" customWidth="1"/>
    <col min="780" max="780" width="7.75" style="56" bestFit="1" customWidth="1"/>
    <col min="781" max="781" width="31.25" style="56" bestFit="1" customWidth="1"/>
    <col min="782" max="782" width="3.625" style="56" customWidth="1"/>
    <col min="783" max="1026" width="9" style="56"/>
    <col min="1027" max="1035" width="7.75" style="56" customWidth="1"/>
    <col min="1036" max="1036" width="7.75" style="56" bestFit="1" customWidth="1"/>
    <col min="1037" max="1037" width="31.25" style="56" bestFit="1" customWidth="1"/>
    <col min="1038" max="1038" width="3.625" style="56" customWidth="1"/>
    <col min="1039" max="1282" width="9" style="56"/>
    <col min="1283" max="1291" width="7.75" style="56" customWidth="1"/>
    <col min="1292" max="1292" width="7.75" style="56" bestFit="1" customWidth="1"/>
    <col min="1293" max="1293" width="31.25" style="56" bestFit="1" customWidth="1"/>
    <col min="1294" max="1294" width="3.625" style="56" customWidth="1"/>
    <col min="1295" max="1538" width="9" style="56"/>
    <col min="1539" max="1547" width="7.75" style="56" customWidth="1"/>
    <col min="1548" max="1548" width="7.75" style="56" bestFit="1" customWidth="1"/>
    <col min="1549" max="1549" width="31.25" style="56" bestFit="1" customWidth="1"/>
    <col min="1550" max="1550" width="3.625" style="56" customWidth="1"/>
    <col min="1551" max="1794" width="9" style="56"/>
    <col min="1795" max="1803" width="7.75" style="56" customWidth="1"/>
    <col min="1804" max="1804" width="7.75" style="56" bestFit="1" customWidth="1"/>
    <col min="1805" max="1805" width="31.25" style="56" bestFit="1" customWidth="1"/>
    <col min="1806" max="1806" width="3.625" style="56" customWidth="1"/>
    <col min="1807" max="2050" width="9" style="56"/>
    <col min="2051" max="2059" width="7.75" style="56" customWidth="1"/>
    <col min="2060" max="2060" width="7.75" style="56" bestFit="1" customWidth="1"/>
    <col min="2061" max="2061" width="31.25" style="56" bestFit="1" customWidth="1"/>
    <col min="2062" max="2062" width="3.625" style="56" customWidth="1"/>
    <col min="2063" max="2306" width="9" style="56"/>
    <col min="2307" max="2315" width="7.75" style="56" customWidth="1"/>
    <col min="2316" max="2316" width="7.75" style="56" bestFit="1" customWidth="1"/>
    <col min="2317" max="2317" width="31.25" style="56" bestFit="1" customWidth="1"/>
    <col min="2318" max="2318" width="3.625" style="56" customWidth="1"/>
    <col min="2319" max="2562" width="9" style="56"/>
    <col min="2563" max="2571" width="7.75" style="56" customWidth="1"/>
    <col min="2572" max="2572" width="7.75" style="56" bestFit="1" customWidth="1"/>
    <col min="2573" max="2573" width="31.25" style="56" bestFit="1" customWidth="1"/>
    <col min="2574" max="2574" width="3.625" style="56" customWidth="1"/>
    <col min="2575" max="2818" width="9" style="56"/>
    <col min="2819" max="2827" width="7.75" style="56" customWidth="1"/>
    <col min="2828" max="2828" width="7.75" style="56" bestFit="1" customWidth="1"/>
    <col min="2829" max="2829" width="31.25" style="56" bestFit="1" customWidth="1"/>
    <col min="2830" max="2830" width="3.625" style="56" customWidth="1"/>
    <col min="2831" max="3074" width="9" style="56"/>
    <col min="3075" max="3083" width="7.75" style="56" customWidth="1"/>
    <col min="3084" max="3084" width="7.75" style="56" bestFit="1" customWidth="1"/>
    <col min="3085" max="3085" width="31.25" style="56" bestFit="1" customWidth="1"/>
    <col min="3086" max="3086" width="3.625" style="56" customWidth="1"/>
    <col min="3087" max="3330" width="9" style="56"/>
    <col min="3331" max="3339" width="7.75" style="56" customWidth="1"/>
    <col min="3340" max="3340" width="7.75" style="56" bestFit="1" customWidth="1"/>
    <col min="3341" max="3341" width="31.25" style="56" bestFit="1" customWidth="1"/>
    <col min="3342" max="3342" width="3.625" style="56" customWidth="1"/>
    <col min="3343" max="3586" width="9" style="56"/>
    <col min="3587" max="3595" width="7.75" style="56" customWidth="1"/>
    <col min="3596" max="3596" width="7.75" style="56" bestFit="1" customWidth="1"/>
    <col min="3597" max="3597" width="31.25" style="56" bestFit="1" customWidth="1"/>
    <col min="3598" max="3598" width="3.625" style="56" customWidth="1"/>
    <col min="3599" max="3842" width="9" style="56"/>
    <col min="3843" max="3851" width="7.75" style="56" customWidth="1"/>
    <col min="3852" max="3852" width="7.75" style="56" bestFit="1" customWidth="1"/>
    <col min="3853" max="3853" width="31.25" style="56" bestFit="1" customWidth="1"/>
    <col min="3854" max="3854" width="3.625" style="56" customWidth="1"/>
    <col min="3855" max="4098" width="9" style="56"/>
    <col min="4099" max="4107" width="7.75" style="56" customWidth="1"/>
    <col min="4108" max="4108" width="7.75" style="56" bestFit="1" customWidth="1"/>
    <col min="4109" max="4109" width="31.25" style="56" bestFit="1" customWidth="1"/>
    <col min="4110" max="4110" width="3.625" style="56" customWidth="1"/>
    <col min="4111" max="4354" width="9" style="56"/>
    <col min="4355" max="4363" width="7.75" style="56" customWidth="1"/>
    <col min="4364" max="4364" width="7.75" style="56" bestFit="1" customWidth="1"/>
    <col min="4365" max="4365" width="31.25" style="56" bestFit="1" customWidth="1"/>
    <col min="4366" max="4366" width="3.625" style="56" customWidth="1"/>
    <col min="4367" max="4610" width="9" style="56"/>
    <col min="4611" max="4619" width="7.75" style="56" customWidth="1"/>
    <col min="4620" max="4620" width="7.75" style="56" bestFit="1" customWidth="1"/>
    <col min="4621" max="4621" width="31.25" style="56" bestFit="1" customWidth="1"/>
    <col min="4622" max="4622" width="3.625" style="56" customWidth="1"/>
    <col min="4623" max="4866" width="9" style="56"/>
    <col min="4867" max="4875" width="7.75" style="56" customWidth="1"/>
    <col min="4876" max="4876" width="7.75" style="56" bestFit="1" customWidth="1"/>
    <col min="4877" max="4877" width="31.25" style="56" bestFit="1" customWidth="1"/>
    <col min="4878" max="4878" width="3.625" style="56" customWidth="1"/>
    <col min="4879" max="5122" width="9" style="56"/>
    <col min="5123" max="5131" width="7.75" style="56" customWidth="1"/>
    <col min="5132" max="5132" width="7.75" style="56" bestFit="1" customWidth="1"/>
    <col min="5133" max="5133" width="31.25" style="56" bestFit="1" customWidth="1"/>
    <col min="5134" max="5134" width="3.625" style="56" customWidth="1"/>
    <col min="5135" max="5378" width="9" style="56"/>
    <col min="5379" max="5387" width="7.75" style="56" customWidth="1"/>
    <col min="5388" max="5388" width="7.75" style="56" bestFit="1" customWidth="1"/>
    <col min="5389" max="5389" width="31.25" style="56" bestFit="1" customWidth="1"/>
    <col min="5390" max="5390" width="3.625" style="56" customWidth="1"/>
    <col min="5391" max="5634" width="9" style="56"/>
    <col min="5635" max="5643" width="7.75" style="56" customWidth="1"/>
    <col min="5644" max="5644" width="7.75" style="56" bestFit="1" customWidth="1"/>
    <col min="5645" max="5645" width="31.25" style="56" bestFit="1" customWidth="1"/>
    <col min="5646" max="5646" width="3.625" style="56" customWidth="1"/>
    <col min="5647" max="5890" width="9" style="56"/>
    <col min="5891" max="5899" width="7.75" style="56" customWidth="1"/>
    <col min="5900" max="5900" width="7.75" style="56" bestFit="1" customWidth="1"/>
    <col min="5901" max="5901" width="31.25" style="56" bestFit="1" customWidth="1"/>
    <col min="5902" max="5902" width="3.625" style="56" customWidth="1"/>
    <col min="5903" max="6146" width="9" style="56"/>
    <col min="6147" max="6155" width="7.75" style="56" customWidth="1"/>
    <col min="6156" max="6156" width="7.75" style="56" bestFit="1" customWidth="1"/>
    <col min="6157" max="6157" width="31.25" style="56" bestFit="1" customWidth="1"/>
    <col min="6158" max="6158" width="3.625" style="56" customWidth="1"/>
    <col min="6159" max="6402" width="9" style="56"/>
    <col min="6403" max="6411" width="7.75" style="56" customWidth="1"/>
    <col min="6412" max="6412" width="7.75" style="56" bestFit="1" customWidth="1"/>
    <col min="6413" max="6413" width="31.25" style="56" bestFit="1" customWidth="1"/>
    <col min="6414" max="6414" width="3.625" style="56" customWidth="1"/>
    <col min="6415" max="6658" width="9" style="56"/>
    <col min="6659" max="6667" width="7.75" style="56" customWidth="1"/>
    <col min="6668" max="6668" width="7.75" style="56" bestFit="1" customWidth="1"/>
    <col min="6669" max="6669" width="31.25" style="56" bestFit="1" customWidth="1"/>
    <col min="6670" max="6670" width="3.625" style="56" customWidth="1"/>
    <col min="6671" max="6914" width="9" style="56"/>
    <col min="6915" max="6923" width="7.75" style="56" customWidth="1"/>
    <col min="6924" max="6924" width="7.75" style="56" bestFit="1" customWidth="1"/>
    <col min="6925" max="6925" width="31.25" style="56" bestFit="1" customWidth="1"/>
    <col min="6926" max="6926" width="3.625" style="56" customWidth="1"/>
    <col min="6927" max="7170" width="9" style="56"/>
    <col min="7171" max="7179" width="7.75" style="56" customWidth="1"/>
    <col min="7180" max="7180" width="7.75" style="56" bestFit="1" customWidth="1"/>
    <col min="7181" max="7181" width="31.25" style="56" bestFit="1" customWidth="1"/>
    <col min="7182" max="7182" width="3.625" style="56" customWidth="1"/>
    <col min="7183" max="7426" width="9" style="56"/>
    <col min="7427" max="7435" width="7.75" style="56" customWidth="1"/>
    <col min="7436" max="7436" width="7.75" style="56" bestFit="1" customWidth="1"/>
    <col min="7437" max="7437" width="31.25" style="56" bestFit="1" customWidth="1"/>
    <col min="7438" max="7438" width="3.625" style="56" customWidth="1"/>
    <col min="7439" max="7682" width="9" style="56"/>
    <col min="7683" max="7691" width="7.75" style="56" customWidth="1"/>
    <col min="7692" max="7692" width="7.75" style="56" bestFit="1" customWidth="1"/>
    <col min="7693" max="7693" width="31.25" style="56" bestFit="1" customWidth="1"/>
    <col min="7694" max="7694" width="3.625" style="56" customWidth="1"/>
    <col min="7695" max="7938" width="9" style="56"/>
    <col min="7939" max="7947" width="7.75" style="56" customWidth="1"/>
    <col min="7948" max="7948" width="7.75" style="56" bestFit="1" customWidth="1"/>
    <col min="7949" max="7949" width="31.25" style="56" bestFit="1" customWidth="1"/>
    <col min="7950" max="7950" width="3.625" style="56" customWidth="1"/>
    <col min="7951" max="8194" width="9" style="56"/>
    <col min="8195" max="8203" width="7.75" style="56" customWidth="1"/>
    <col min="8204" max="8204" width="7.75" style="56" bestFit="1" customWidth="1"/>
    <col min="8205" max="8205" width="31.25" style="56" bestFit="1" customWidth="1"/>
    <col min="8206" max="8206" width="3.625" style="56" customWidth="1"/>
    <col min="8207" max="8450" width="9" style="56"/>
    <col min="8451" max="8459" width="7.75" style="56" customWidth="1"/>
    <col min="8460" max="8460" width="7.75" style="56" bestFit="1" customWidth="1"/>
    <col min="8461" max="8461" width="31.25" style="56" bestFit="1" customWidth="1"/>
    <col min="8462" max="8462" width="3.625" style="56" customWidth="1"/>
    <col min="8463" max="8706" width="9" style="56"/>
    <col min="8707" max="8715" width="7.75" style="56" customWidth="1"/>
    <col min="8716" max="8716" width="7.75" style="56" bestFit="1" customWidth="1"/>
    <col min="8717" max="8717" width="31.25" style="56" bestFit="1" customWidth="1"/>
    <col min="8718" max="8718" width="3.625" style="56" customWidth="1"/>
    <col min="8719" max="8962" width="9" style="56"/>
    <col min="8963" max="8971" width="7.75" style="56" customWidth="1"/>
    <col min="8972" max="8972" width="7.75" style="56" bestFit="1" customWidth="1"/>
    <col min="8973" max="8973" width="31.25" style="56" bestFit="1" customWidth="1"/>
    <col min="8974" max="8974" width="3.625" style="56" customWidth="1"/>
    <col min="8975" max="9218" width="9" style="56"/>
    <col min="9219" max="9227" width="7.75" style="56" customWidth="1"/>
    <col min="9228" max="9228" width="7.75" style="56" bestFit="1" customWidth="1"/>
    <col min="9229" max="9229" width="31.25" style="56" bestFit="1" customWidth="1"/>
    <col min="9230" max="9230" width="3.625" style="56" customWidth="1"/>
    <col min="9231" max="9474" width="9" style="56"/>
    <col min="9475" max="9483" width="7.75" style="56" customWidth="1"/>
    <col min="9484" max="9484" width="7.75" style="56" bestFit="1" customWidth="1"/>
    <col min="9485" max="9485" width="31.25" style="56" bestFit="1" customWidth="1"/>
    <col min="9486" max="9486" width="3.625" style="56" customWidth="1"/>
    <col min="9487" max="9730" width="9" style="56"/>
    <col min="9731" max="9739" width="7.75" style="56" customWidth="1"/>
    <col min="9740" max="9740" width="7.75" style="56" bestFit="1" customWidth="1"/>
    <col min="9741" max="9741" width="31.25" style="56" bestFit="1" customWidth="1"/>
    <col min="9742" max="9742" width="3.625" style="56" customWidth="1"/>
    <col min="9743" max="9986" width="9" style="56"/>
    <col min="9987" max="9995" width="7.75" style="56" customWidth="1"/>
    <col min="9996" max="9996" width="7.75" style="56" bestFit="1" customWidth="1"/>
    <col min="9997" max="9997" width="31.25" style="56" bestFit="1" customWidth="1"/>
    <col min="9998" max="9998" width="3.625" style="56" customWidth="1"/>
    <col min="9999" max="10242" width="9" style="56"/>
    <col min="10243" max="10251" width="7.75" style="56" customWidth="1"/>
    <col min="10252" max="10252" width="7.75" style="56" bestFit="1" customWidth="1"/>
    <col min="10253" max="10253" width="31.25" style="56" bestFit="1" customWidth="1"/>
    <col min="10254" max="10254" width="3.625" style="56" customWidth="1"/>
    <col min="10255" max="10498" width="9" style="56"/>
    <col min="10499" max="10507" width="7.75" style="56" customWidth="1"/>
    <col min="10508" max="10508" width="7.75" style="56" bestFit="1" customWidth="1"/>
    <col min="10509" max="10509" width="31.25" style="56" bestFit="1" customWidth="1"/>
    <col min="10510" max="10510" width="3.625" style="56" customWidth="1"/>
    <col min="10511" max="10754" width="9" style="56"/>
    <col min="10755" max="10763" width="7.75" style="56" customWidth="1"/>
    <col min="10764" max="10764" width="7.75" style="56" bestFit="1" customWidth="1"/>
    <col min="10765" max="10765" width="31.25" style="56" bestFit="1" customWidth="1"/>
    <col min="10766" max="10766" width="3.625" style="56" customWidth="1"/>
    <col min="10767" max="11010" width="9" style="56"/>
    <col min="11011" max="11019" width="7.75" style="56" customWidth="1"/>
    <col min="11020" max="11020" width="7.75" style="56" bestFit="1" customWidth="1"/>
    <col min="11021" max="11021" width="31.25" style="56" bestFit="1" customWidth="1"/>
    <col min="11022" max="11022" width="3.625" style="56" customWidth="1"/>
    <col min="11023" max="11266" width="9" style="56"/>
    <col min="11267" max="11275" width="7.75" style="56" customWidth="1"/>
    <col min="11276" max="11276" width="7.75" style="56" bestFit="1" customWidth="1"/>
    <col min="11277" max="11277" width="31.25" style="56" bestFit="1" customWidth="1"/>
    <col min="11278" max="11278" width="3.625" style="56" customWidth="1"/>
    <col min="11279" max="11522" width="9" style="56"/>
    <col min="11523" max="11531" width="7.75" style="56" customWidth="1"/>
    <col min="11532" max="11532" width="7.75" style="56" bestFit="1" customWidth="1"/>
    <col min="11533" max="11533" width="31.25" style="56" bestFit="1" customWidth="1"/>
    <col min="11534" max="11534" width="3.625" style="56" customWidth="1"/>
    <col min="11535" max="11778" width="9" style="56"/>
    <col min="11779" max="11787" width="7.75" style="56" customWidth="1"/>
    <col min="11788" max="11788" width="7.75" style="56" bestFit="1" customWidth="1"/>
    <col min="11789" max="11789" width="31.25" style="56" bestFit="1" customWidth="1"/>
    <col min="11790" max="11790" width="3.625" style="56" customWidth="1"/>
    <col min="11791" max="12034" width="9" style="56"/>
    <col min="12035" max="12043" width="7.75" style="56" customWidth="1"/>
    <col min="12044" max="12044" width="7.75" style="56" bestFit="1" customWidth="1"/>
    <col min="12045" max="12045" width="31.25" style="56" bestFit="1" customWidth="1"/>
    <col min="12046" max="12046" width="3.625" style="56" customWidth="1"/>
    <col min="12047" max="12290" width="9" style="56"/>
    <col min="12291" max="12299" width="7.75" style="56" customWidth="1"/>
    <col min="12300" max="12300" width="7.75" style="56" bestFit="1" customWidth="1"/>
    <col min="12301" max="12301" width="31.25" style="56" bestFit="1" customWidth="1"/>
    <col min="12302" max="12302" width="3.625" style="56" customWidth="1"/>
    <col min="12303" max="12546" width="9" style="56"/>
    <col min="12547" max="12555" width="7.75" style="56" customWidth="1"/>
    <col min="12556" max="12556" width="7.75" style="56" bestFit="1" customWidth="1"/>
    <col min="12557" max="12557" width="31.25" style="56" bestFit="1" customWidth="1"/>
    <col min="12558" max="12558" width="3.625" style="56" customWidth="1"/>
    <col min="12559" max="12802" width="9" style="56"/>
    <col min="12803" max="12811" width="7.75" style="56" customWidth="1"/>
    <col min="12812" max="12812" width="7.75" style="56" bestFit="1" customWidth="1"/>
    <col min="12813" max="12813" width="31.25" style="56" bestFit="1" customWidth="1"/>
    <col min="12814" max="12814" width="3.625" style="56" customWidth="1"/>
    <col min="12815" max="13058" width="9" style="56"/>
    <col min="13059" max="13067" width="7.75" style="56" customWidth="1"/>
    <col min="13068" max="13068" width="7.75" style="56" bestFit="1" customWidth="1"/>
    <col min="13069" max="13069" width="31.25" style="56" bestFit="1" customWidth="1"/>
    <col min="13070" max="13070" width="3.625" style="56" customWidth="1"/>
    <col min="13071" max="13314" width="9" style="56"/>
    <col min="13315" max="13323" width="7.75" style="56" customWidth="1"/>
    <col min="13324" max="13324" width="7.75" style="56" bestFit="1" customWidth="1"/>
    <col min="13325" max="13325" width="31.25" style="56" bestFit="1" customWidth="1"/>
    <col min="13326" max="13326" width="3.625" style="56" customWidth="1"/>
    <col min="13327" max="13570" width="9" style="56"/>
    <col min="13571" max="13579" width="7.75" style="56" customWidth="1"/>
    <col min="13580" max="13580" width="7.75" style="56" bestFit="1" customWidth="1"/>
    <col min="13581" max="13581" width="31.25" style="56" bestFit="1" customWidth="1"/>
    <col min="13582" max="13582" width="3.625" style="56" customWidth="1"/>
    <col min="13583" max="13826" width="9" style="56"/>
    <col min="13827" max="13835" width="7.75" style="56" customWidth="1"/>
    <col min="13836" max="13836" width="7.75" style="56" bestFit="1" customWidth="1"/>
    <col min="13837" max="13837" width="31.25" style="56" bestFit="1" customWidth="1"/>
    <col min="13838" max="13838" width="3.625" style="56" customWidth="1"/>
    <col min="13839" max="14082" width="9" style="56"/>
    <col min="14083" max="14091" width="7.75" style="56" customWidth="1"/>
    <col min="14092" max="14092" width="7.75" style="56" bestFit="1" customWidth="1"/>
    <col min="14093" max="14093" width="31.25" style="56" bestFit="1" customWidth="1"/>
    <col min="14094" max="14094" width="3.625" style="56" customWidth="1"/>
    <col min="14095" max="14338" width="9" style="56"/>
    <col min="14339" max="14347" width="7.75" style="56" customWidth="1"/>
    <col min="14348" max="14348" width="7.75" style="56" bestFit="1" customWidth="1"/>
    <col min="14349" max="14349" width="31.25" style="56" bestFit="1" customWidth="1"/>
    <col min="14350" max="14350" width="3.625" style="56" customWidth="1"/>
    <col min="14351" max="14594" width="9" style="56"/>
    <col min="14595" max="14603" width="7.75" style="56" customWidth="1"/>
    <col min="14604" max="14604" width="7.75" style="56" bestFit="1" customWidth="1"/>
    <col min="14605" max="14605" width="31.25" style="56" bestFit="1" customWidth="1"/>
    <col min="14606" max="14606" width="3.625" style="56" customWidth="1"/>
    <col min="14607" max="14850" width="9" style="56"/>
    <col min="14851" max="14859" width="7.75" style="56" customWidth="1"/>
    <col min="14860" max="14860" width="7.75" style="56" bestFit="1" customWidth="1"/>
    <col min="14861" max="14861" width="31.25" style="56" bestFit="1" customWidth="1"/>
    <col min="14862" max="14862" width="3.625" style="56" customWidth="1"/>
    <col min="14863" max="15106" width="9" style="56"/>
    <col min="15107" max="15115" width="7.75" style="56" customWidth="1"/>
    <col min="15116" max="15116" width="7.75" style="56" bestFit="1" customWidth="1"/>
    <col min="15117" max="15117" width="31.25" style="56" bestFit="1" customWidth="1"/>
    <col min="15118" max="15118" width="3.625" style="56" customWidth="1"/>
    <col min="15119" max="15362" width="9" style="56"/>
    <col min="15363" max="15371" width="7.75" style="56" customWidth="1"/>
    <col min="15372" max="15372" width="7.75" style="56" bestFit="1" customWidth="1"/>
    <col min="15373" max="15373" width="31.25" style="56" bestFit="1" customWidth="1"/>
    <col min="15374" max="15374" width="3.625" style="56" customWidth="1"/>
    <col min="15375" max="15618" width="9" style="56"/>
    <col min="15619" max="15627" width="7.75" style="56" customWidth="1"/>
    <col min="15628" max="15628" width="7.75" style="56" bestFit="1" customWidth="1"/>
    <col min="15629" max="15629" width="31.25" style="56" bestFit="1" customWidth="1"/>
    <col min="15630" max="15630" width="3.625" style="56" customWidth="1"/>
    <col min="15631" max="15874" width="9" style="56"/>
    <col min="15875" max="15883" width="7.75" style="56" customWidth="1"/>
    <col min="15884" max="15884" width="7.75" style="56" bestFit="1" customWidth="1"/>
    <col min="15885" max="15885" width="31.25" style="56" bestFit="1" customWidth="1"/>
    <col min="15886" max="15886" width="3.625" style="56" customWidth="1"/>
    <col min="15887" max="16130" width="9" style="56"/>
    <col min="16131" max="16139" width="7.75" style="56" customWidth="1"/>
    <col min="16140" max="16140" width="7.75" style="56" bestFit="1" customWidth="1"/>
    <col min="16141" max="16141" width="31.25" style="56" bestFit="1" customWidth="1"/>
    <col min="16142" max="16142" width="3.625" style="56" customWidth="1"/>
    <col min="16143" max="16384" width="9" style="56"/>
  </cols>
  <sheetData>
    <row r="1" spans="3:19" ht="20.100000000000001" customHeight="1" x14ac:dyDescent="0.2">
      <c r="C1" s="459" t="s">
        <v>241</v>
      </c>
      <c r="D1" s="459"/>
      <c r="E1" s="459"/>
      <c r="F1" s="459"/>
      <c r="G1" s="459"/>
      <c r="H1" s="459"/>
      <c r="I1" s="459"/>
      <c r="J1" s="459"/>
      <c r="K1" s="459"/>
      <c r="L1" s="459"/>
      <c r="M1" s="459"/>
      <c r="N1" s="55"/>
    </row>
    <row r="2" spans="3:19" ht="20.100000000000001" customHeight="1" thickBot="1" x14ac:dyDescent="0.25">
      <c r="C2" s="460" t="s">
        <v>242</v>
      </c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55"/>
    </row>
    <row r="3" spans="3:19" ht="18" customHeight="1" thickBot="1" x14ac:dyDescent="0.25">
      <c r="C3" s="456" t="s">
        <v>4</v>
      </c>
      <c r="D3" s="456"/>
      <c r="E3" s="456"/>
      <c r="F3" s="456" t="s">
        <v>145</v>
      </c>
      <c r="G3" s="456"/>
      <c r="H3" s="456"/>
      <c r="I3" s="456" t="s">
        <v>146</v>
      </c>
      <c r="J3" s="456"/>
      <c r="K3" s="456"/>
      <c r="L3" s="457"/>
      <c r="M3" s="457"/>
      <c r="N3" s="55"/>
    </row>
    <row r="4" spans="3:19" ht="13.5" thickBot="1" x14ac:dyDescent="0.25">
      <c r="C4" s="50" t="s">
        <v>227</v>
      </c>
      <c r="D4" s="50" t="s">
        <v>10</v>
      </c>
      <c r="E4" s="50" t="s">
        <v>9</v>
      </c>
      <c r="F4" s="50" t="s">
        <v>227</v>
      </c>
      <c r="G4" s="50" t="s">
        <v>10</v>
      </c>
      <c r="H4" s="50" t="s">
        <v>9</v>
      </c>
      <c r="I4" s="50" t="s">
        <v>227</v>
      </c>
      <c r="J4" s="50" t="s">
        <v>10</v>
      </c>
      <c r="K4" s="50" t="s">
        <v>9</v>
      </c>
      <c r="L4" s="458" t="s">
        <v>66</v>
      </c>
      <c r="M4" s="458"/>
      <c r="N4" s="55"/>
    </row>
    <row r="5" spans="3:19" ht="13.5" thickBot="1" x14ac:dyDescent="0.25">
      <c r="C5" s="57">
        <f>SUM(D5:E5)</f>
        <v>146</v>
      </c>
      <c r="D5" s="57">
        <f>J5+G5</f>
        <v>85</v>
      </c>
      <c r="E5" s="57">
        <f>K5+H5</f>
        <v>61</v>
      </c>
      <c r="F5" s="57">
        <f>SUM(G5:H5)</f>
        <v>11</v>
      </c>
      <c r="G5" s="57">
        <v>3</v>
      </c>
      <c r="H5" s="57">
        <v>8</v>
      </c>
      <c r="I5" s="57">
        <f>SUM(J5:K5)</f>
        <v>135</v>
      </c>
      <c r="J5" s="57">
        <v>82</v>
      </c>
      <c r="K5" s="57">
        <v>53</v>
      </c>
      <c r="L5" s="58" t="s">
        <v>56</v>
      </c>
      <c r="M5" s="59"/>
      <c r="N5" s="55"/>
      <c r="O5" s="63"/>
    </row>
    <row r="6" spans="3:19" ht="13.5" thickBot="1" x14ac:dyDescent="0.25">
      <c r="C6" s="57">
        <f t="shared" ref="C6:C49" si="0">SUM(D6:E6)</f>
        <v>507</v>
      </c>
      <c r="D6" s="57">
        <f t="shared" ref="D6:E49" si="1">J6+G6</f>
        <v>241</v>
      </c>
      <c r="E6" s="57">
        <f t="shared" si="1"/>
        <v>266</v>
      </c>
      <c r="F6" s="57">
        <f t="shared" ref="F6:F49" si="2">SUM(G6:H6)</f>
        <v>39</v>
      </c>
      <c r="G6" s="57">
        <v>12</v>
      </c>
      <c r="H6" s="57">
        <v>27</v>
      </c>
      <c r="I6" s="57">
        <f t="shared" ref="I6:I49" si="3">SUM(J6:K6)</f>
        <v>468</v>
      </c>
      <c r="J6" s="57">
        <v>229</v>
      </c>
      <c r="K6" s="57">
        <v>239</v>
      </c>
      <c r="L6" s="58" t="s">
        <v>57</v>
      </c>
      <c r="M6" s="59" t="s">
        <v>68</v>
      </c>
      <c r="N6" s="55"/>
      <c r="O6" s="63"/>
      <c r="R6" s="63"/>
      <c r="S6" s="63"/>
    </row>
    <row r="7" spans="3:19" ht="13.5" thickBot="1" x14ac:dyDescent="0.25">
      <c r="C7" s="57">
        <f t="shared" si="0"/>
        <v>470</v>
      </c>
      <c r="D7" s="57">
        <f t="shared" si="1"/>
        <v>116</v>
      </c>
      <c r="E7" s="57">
        <f t="shared" si="1"/>
        <v>354</v>
      </c>
      <c r="F7" s="57">
        <f t="shared" si="2"/>
        <v>6</v>
      </c>
      <c r="G7" s="57">
        <v>0</v>
      </c>
      <c r="H7" s="57">
        <v>6</v>
      </c>
      <c r="I7" s="57">
        <f t="shared" si="3"/>
        <v>464</v>
      </c>
      <c r="J7" s="57">
        <v>116</v>
      </c>
      <c r="K7" s="57">
        <v>348</v>
      </c>
      <c r="L7" s="58" t="s">
        <v>59</v>
      </c>
      <c r="M7" s="71"/>
      <c r="N7" s="55"/>
      <c r="R7" s="63"/>
      <c r="S7" s="63"/>
    </row>
    <row r="8" spans="3:19" ht="13.5" thickBot="1" x14ac:dyDescent="0.25">
      <c r="C8" s="57">
        <f t="shared" si="0"/>
        <v>160</v>
      </c>
      <c r="D8" s="57">
        <f t="shared" si="1"/>
        <v>0</v>
      </c>
      <c r="E8" s="57">
        <f t="shared" si="1"/>
        <v>160</v>
      </c>
      <c r="F8" s="57">
        <f t="shared" si="2"/>
        <v>46</v>
      </c>
      <c r="G8" s="57">
        <v>0</v>
      </c>
      <c r="H8" s="57">
        <v>46</v>
      </c>
      <c r="I8" s="57">
        <f t="shared" si="3"/>
        <v>114</v>
      </c>
      <c r="J8" s="57">
        <v>0</v>
      </c>
      <c r="K8" s="57">
        <v>114</v>
      </c>
      <c r="L8" s="58" t="s">
        <v>56</v>
      </c>
      <c r="M8" s="59"/>
      <c r="N8" s="55"/>
      <c r="O8" s="63"/>
      <c r="R8" s="63"/>
      <c r="S8" s="63"/>
    </row>
    <row r="9" spans="3:19" ht="13.5" thickBot="1" x14ac:dyDescent="0.25">
      <c r="C9" s="57">
        <f t="shared" si="0"/>
        <v>214</v>
      </c>
      <c r="D9" s="57">
        <f t="shared" si="1"/>
        <v>0</v>
      </c>
      <c r="E9" s="57">
        <f t="shared" si="1"/>
        <v>214</v>
      </c>
      <c r="F9" s="57">
        <f t="shared" si="2"/>
        <v>78</v>
      </c>
      <c r="G9" s="57">
        <v>0</v>
      </c>
      <c r="H9" s="57">
        <v>78</v>
      </c>
      <c r="I9" s="57">
        <f t="shared" si="3"/>
        <v>136</v>
      </c>
      <c r="J9" s="57">
        <v>0</v>
      </c>
      <c r="K9" s="57">
        <v>136</v>
      </c>
      <c r="L9" s="58" t="s">
        <v>57</v>
      </c>
      <c r="M9" s="59" t="s">
        <v>147</v>
      </c>
      <c r="N9" s="55"/>
      <c r="O9" s="63"/>
      <c r="R9" s="63"/>
      <c r="S9" s="63"/>
    </row>
    <row r="10" spans="3:19" ht="13.5" thickBot="1" x14ac:dyDescent="0.25">
      <c r="C10" s="57">
        <f t="shared" si="0"/>
        <v>74</v>
      </c>
      <c r="D10" s="57">
        <f t="shared" si="1"/>
        <v>0</v>
      </c>
      <c r="E10" s="57">
        <f t="shared" si="1"/>
        <v>74</v>
      </c>
      <c r="F10" s="57">
        <f t="shared" si="2"/>
        <v>38</v>
      </c>
      <c r="G10" s="57">
        <v>0</v>
      </c>
      <c r="H10" s="57">
        <v>38</v>
      </c>
      <c r="I10" s="57">
        <f t="shared" si="3"/>
        <v>36</v>
      </c>
      <c r="J10" s="57">
        <v>0</v>
      </c>
      <c r="K10" s="57">
        <v>36</v>
      </c>
      <c r="L10" s="58" t="s">
        <v>59</v>
      </c>
      <c r="M10" s="71"/>
      <c r="N10" s="55"/>
      <c r="R10" s="63"/>
      <c r="S10" s="63"/>
    </row>
    <row r="11" spans="3:19" ht="13.5" thickBot="1" x14ac:dyDescent="0.25">
      <c r="C11" s="57">
        <f t="shared" si="0"/>
        <v>246</v>
      </c>
      <c r="D11" s="57">
        <f t="shared" si="1"/>
        <v>65</v>
      </c>
      <c r="E11" s="57">
        <f t="shared" si="1"/>
        <v>181</v>
      </c>
      <c r="F11" s="57">
        <f t="shared" si="2"/>
        <v>4</v>
      </c>
      <c r="G11" s="57">
        <v>1</v>
      </c>
      <c r="H11" s="57">
        <v>3</v>
      </c>
      <c r="I11" s="57">
        <f t="shared" si="3"/>
        <v>242</v>
      </c>
      <c r="J11" s="57">
        <v>64</v>
      </c>
      <c r="K11" s="57">
        <v>178</v>
      </c>
      <c r="L11" s="58" t="s">
        <v>56</v>
      </c>
      <c r="M11" s="59"/>
      <c r="N11" s="55"/>
      <c r="O11" s="63"/>
      <c r="R11" s="63"/>
      <c r="S11" s="63"/>
    </row>
    <row r="12" spans="3:19" ht="13.5" thickBot="1" x14ac:dyDescent="0.25">
      <c r="C12" s="57">
        <f t="shared" si="0"/>
        <v>2193</v>
      </c>
      <c r="D12" s="57">
        <f t="shared" si="1"/>
        <v>685</v>
      </c>
      <c r="E12" s="57">
        <f t="shared" si="1"/>
        <v>1508</v>
      </c>
      <c r="F12" s="57">
        <f t="shared" si="2"/>
        <v>21</v>
      </c>
      <c r="G12" s="57">
        <v>3</v>
      </c>
      <c r="H12" s="57">
        <v>18</v>
      </c>
      <c r="I12" s="57">
        <f t="shared" si="3"/>
        <v>2172</v>
      </c>
      <c r="J12" s="57">
        <v>682</v>
      </c>
      <c r="K12" s="57">
        <v>1490</v>
      </c>
      <c r="L12" s="58" t="s">
        <v>57</v>
      </c>
      <c r="M12" s="59" t="s">
        <v>70</v>
      </c>
      <c r="N12" s="55"/>
      <c r="O12" s="63"/>
      <c r="R12" s="63"/>
      <c r="S12" s="63"/>
    </row>
    <row r="13" spans="3:19" ht="13.5" thickBot="1" x14ac:dyDescent="0.25">
      <c r="C13" s="57">
        <f t="shared" si="0"/>
        <v>0</v>
      </c>
      <c r="D13" s="57">
        <f t="shared" si="1"/>
        <v>0</v>
      </c>
      <c r="E13" s="57">
        <f t="shared" si="1"/>
        <v>0</v>
      </c>
      <c r="F13" s="57">
        <f t="shared" si="2"/>
        <v>0</v>
      </c>
      <c r="G13" s="57">
        <v>0</v>
      </c>
      <c r="H13" s="57">
        <v>0</v>
      </c>
      <c r="I13" s="57">
        <f t="shared" si="3"/>
        <v>0</v>
      </c>
      <c r="J13" s="57">
        <v>0</v>
      </c>
      <c r="K13" s="57">
        <v>0</v>
      </c>
      <c r="L13" s="58" t="s">
        <v>59</v>
      </c>
      <c r="M13" s="71"/>
      <c r="N13" s="55"/>
      <c r="R13" s="63"/>
      <c r="S13" s="63"/>
    </row>
    <row r="14" spans="3:19" ht="13.5" thickBot="1" x14ac:dyDescent="0.25">
      <c r="C14" s="57">
        <f t="shared" si="0"/>
        <v>244</v>
      </c>
      <c r="D14" s="57">
        <f t="shared" si="1"/>
        <v>96</v>
      </c>
      <c r="E14" s="57">
        <f t="shared" si="1"/>
        <v>148</v>
      </c>
      <c r="F14" s="57">
        <f t="shared" si="2"/>
        <v>96</v>
      </c>
      <c r="G14" s="57">
        <v>12</v>
      </c>
      <c r="H14" s="57">
        <v>84</v>
      </c>
      <c r="I14" s="57">
        <f t="shared" si="3"/>
        <v>148</v>
      </c>
      <c r="J14" s="57">
        <v>84</v>
      </c>
      <c r="K14" s="57">
        <v>64</v>
      </c>
      <c r="L14" s="58" t="s">
        <v>56</v>
      </c>
      <c r="M14" s="59"/>
      <c r="N14" s="55"/>
      <c r="O14" s="63"/>
      <c r="R14" s="63"/>
      <c r="S14" s="63"/>
    </row>
    <row r="15" spans="3:19" ht="13.5" thickBot="1" x14ac:dyDescent="0.25">
      <c r="C15" s="57">
        <f t="shared" si="0"/>
        <v>1774</v>
      </c>
      <c r="D15" s="57">
        <f t="shared" si="1"/>
        <v>733</v>
      </c>
      <c r="E15" s="57">
        <f t="shared" si="1"/>
        <v>1041</v>
      </c>
      <c r="F15" s="57">
        <f t="shared" si="2"/>
        <v>296</v>
      </c>
      <c r="G15" s="57">
        <v>43</v>
      </c>
      <c r="H15" s="57">
        <v>253</v>
      </c>
      <c r="I15" s="57">
        <f t="shared" si="3"/>
        <v>1478</v>
      </c>
      <c r="J15" s="57">
        <v>690</v>
      </c>
      <c r="K15" s="57">
        <v>788</v>
      </c>
      <c r="L15" s="58" t="s">
        <v>57</v>
      </c>
      <c r="M15" s="59" t="s">
        <v>72</v>
      </c>
      <c r="N15" s="55"/>
      <c r="O15" s="63"/>
      <c r="R15" s="63"/>
      <c r="S15" s="63"/>
    </row>
    <row r="16" spans="3:19" ht="13.5" thickBot="1" x14ac:dyDescent="0.25">
      <c r="C16" s="57">
        <f t="shared" si="0"/>
        <v>12</v>
      </c>
      <c r="D16" s="57">
        <f t="shared" si="1"/>
        <v>6</v>
      </c>
      <c r="E16" s="57">
        <f t="shared" si="1"/>
        <v>6</v>
      </c>
      <c r="F16" s="57">
        <f t="shared" si="2"/>
        <v>1</v>
      </c>
      <c r="G16" s="57">
        <v>1</v>
      </c>
      <c r="H16" s="57">
        <v>0</v>
      </c>
      <c r="I16" s="57">
        <f t="shared" si="3"/>
        <v>11</v>
      </c>
      <c r="J16" s="57">
        <v>5</v>
      </c>
      <c r="K16" s="57">
        <v>6</v>
      </c>
      <c r="L16" s="58" t="s">
        <v>59</v>
      </c>
      <c r="M16" s="71"/>
      <c r="N16" s="55"/>
      <c r="R16" s="63"/>
      <c r="S16" s="63"/>
    </row>
    <row r="17" spans="3:19" ht="13.5" thickBot="1" x14ac:dyDescent="0.25">
      <c r="C17" s="57">
        <f t="shared" si="0"/>
        <v>14</v>
      </c>
      <c r="D17" s="57">
        <f t="shared" si="1"/>
        <v>4</v>
      </c>
      <c r="E17" s="57">
        <f t="shared" si="1"/>
        <v>10</v>
      </c>
      <c r="F17" s="57">
        <f t="shared" si="2"/>
        <v>1</v>
      </c>
      <c r="G17" s="57">
        <v>0</v>
      </c>
      <c r="H17" s="57">
        <v>1</v>
      </c>
      <c r="I17" s="57">
        <f t="shared" si="3"/>
        <v>13</v>
      </c>
      <c r="J17" s="57">
        <v>4</v>
      </c>
      <c r="K17" s="57">
        <v>9</v>
      </c>
      <c r="L17" s="58" t="s">
        <v>56</v>
      </c>
      <c r="M17" s="59"/>
      <c r="N17" s="55"/>
      <c r="O17" s="63"/>
      <c r="R17" s="63"/>
      <c r="S17" s="63"/>
    </row>
    <row r="18" spans="3:19" ht="13.5" thickBot="1" x14ac:dyDescent="0.25">
      <c r="C18" s="57">
        <f t="shared" si="0"/>
        <v>616</v>
      </c>
      <c r="D18" s="57">
        <f t="shared" si="1"/>
        <v>283</v>
      </c>
      <c r="E18" s="57">
        <f t="shared" si="1"/>
        <v>333</v>
      </c>
      <c r="F18" s="57">
        <f t="shared" si="2"/>
        <v>55</v>
      </c>
      <c r="G18" s="57">
        <v>32</v>
      </c>
      <c r="H18" s="57">
        <v>23</v>
      </c>
      <c r="I18" s="57">
        <f t="shared" si="3"/>
        <v>561</v>
      </c>
      <c r="J18" s="57">
        <v>251</v>
      </c>
      <c r="K18" s="57">
        <v>310</v>
      </c>
      <c r="L18" s="58" t="s">
        <v>57</v>
      </c>
      <c r="M18" s="59" t="s">
        <v>73</v>
      </c>
      <c r="N18" s="55"/>
      <c r="O18" s="63"/>
      <c r="R18" s="63"/>
      <c r="S18" s="63"/>
    </row>
    <row r="19" spans="3:19" ht="13.5" thickBot="1" x14ac:dyDescent="0.25">
      <c r="C19" s="57">
        <f t="shared" si="0"/>
        <v>401</v>
      </c>
      <c r="D19" s="57">
        <f t="shared" si="1"/>
        <v>195</v>
      </c>
      <c r="E19" s="57">
        <f t="shared" si="1"/>
        <v>206</v>
      </c>
      <c r="F19" s="57">
        <f t="shared" si="2"/>
        <v>3</v>
      </c>
      <c r="G19" s="57">
        <v>2</v>
      </c>
      <c r="H19" s="57">
        <v>1</v>
      </c>
      <c r="I19" s="57">
        <f t="shared" si="3"/>
        <v>398</v>
      </c>
      <c r="J19" s="57">
        <v>193</v>
      </c>
      <c r="K19" s="57">
        <v>205</v>
      </c>
      <c r="L19" s="58" t="s">
        <v>59</v>
      </c>
      <c r="M19" s="71"/>
      <c r="N19" s="55"/>
      <c r="R19" s="63"/>
      <c r="S19" s="63"/>
    </row>
    <row r="20" spans="3:19" ht="13.5" thickBot="1" x14ac:dyDescent="0.25">
      <c r="C20" s="57">
        <f t="shared" si="0"/>
        <v>9</v>
      </c>
      <c r="D20" s="57">
        <f t="shared" si="1"/>
        <v>0</v>
      </c>
      <c r="E20" s="57">
        <f t="shared" si="1"/>
        <v>9</v>
      </c>
      <c r="F20" s="57">
        <f t="shared" si="2"/>
        <v>9</v>
      </c>
      <c r="G20" s="57">
        <v>0</v>
      </c>
      <c r="H20" s="57">
        <v>9</v>
      </c>
      <c r="I20" s="57">
        <f t="shared" si="3"/>
        <v>0</v>
      </c>
      <c r="J20" s="57">
        <v>0</v>
      </c>
      <c r="K20" s="57">
        <v>0</v>
      </c>
      <c r="L20" s="58" t="s">
        <v>56</v>
      </c>
      <c r="M20" s="59"/>
      <c r="N20" s="55"/>
      <c r="O20" s="63"/>
      <c r="R20" s="63"/>
      <c r="S20" s="63"/>
    </row>
    <row r="21" spans="3:19" ht="13.5" thickBot="1" x14ac:dyDescent="0.25">
      <c r="C21" s="57">
        <f t="shared" si="0"/>
        <v>143</v>
      </c>
      <c r="D21" s="57">
        <f t="shared" si="1"/>
        <v>0</v>
      </c>
      <c r="E21" s="57">
        <f t="shared" si="1"/>
        <v>143</v>
      </c>
      <c r="F21" s="57">
        <f t="shared" si="2"/>
        <v>113</v>
      </c>
      <c r="G21" s="57">
        <v>0</v>
      </c>
      <c r="H21" s="57">
        <v>113</v>
      </c>
      <c r="I21" s="57">
        <f t="shared" si="3"/>
        <v>30</v>
      </c>
      <c r="J21" s="57">
        <v>0</v>
      </c>
      <c r="K21" s="57">
        <v>30</v>
      </c>
      <c r="L21" s="58" t="s">
        <v>57</v>
      </c>
      <c r="M21" s="59" t="s">
        <v>90</v>
      </c>
      <c r="N21" s="55"/>
      <c r="R21" s="63"/>
      <c r="S21" s="63"/>
    </row>
    <row r="22" spans="3:19" ht="13.5" thickBot="1" x14ac:dyDescent="0.25">
      <c r="C22" s="57">
        <f t="shared" si="0"/>
        <v>0</v>
      </c>
      <c r="D22" s="57">
        <f t="shared" si="1"/>
        <v>0</v>
      </c>
      <c r="E22" s="57">
        <f t="shared" si="1"/>
        <v>0</v>
      </c>
      <c r="F22" s="57">
        <f t="shared" si="2"/>
        <v>0</v>
      </c>
      <c r="G22" s="57">
        <v>0</v>
      </c>
      <c r="H22" s="57">
        <v>0</v>
      </c>
      <c r="I22" s="57">
        <f t="shared" si="3"/>
        <v>0</v>
      </c>
      <c r="J22" s="57">
        <v>0</v>
      </c>
      <c r="K22" s="57">
        <v>0</v>
      </c>
      <c r="L22" s="58" t="s">
        <v>59</v>
      </c>
      <c r="M22" s="71"/>
      <c r="N22" s="55"/>
      <c r="R22" s="63"/>
      <c r="S22" s="63"/>
    </row>
    <row r="23" spans="3:19" ht="13.5" thickBot="1" x14ac:dyDescent="0.25">
      <c r="C23" s="57">
        <f t="shared" si="0"/>
        <v>14</v>
      </c>
      <c r="D23" s="57">
        <f t="shared" si="1"/>
        <v>14</v>
      </c>
      <c r="E23" s="57">
        <f t="shared" si="1"/>
        <v>0</v>
      </c>
      <c r="F23" s="57">
        <f t="shared" si="2"/>
        <v>0</v>
      </c>
      <c r="G23" s="57">
        <v>0</v>
      </c>
      <c r="H23" s="57">
        <v>0</v>
      </c>
      <c r="I23" s="57">
        <f t="shared" si="3"/>
        <v>14</v>
      </c>
      <c r="J23" s="57">
        <v>14</v>
      </c>
      <c r="K23" s="57">
        <v>0</v>
      </c>
      <c r="L23" s="58" t="s">
        <v>56</v>
      </c>
      <c r="M23" s="59"/>
      <c r="N23" s="55"/>
      <c r="O23" s="63"/>
      <c r="R23" s="63"/>
      <c r="S23" s="63"/>
    </row>
    <row r="24" spans="3:19" ht="13.5" thickBot="1" x14ac:dyDescent="0.25">
      <c r="C24" s="57">
        <f t="shared" si="0"/>
        <v>196</v>
      </c>
      <c r="D24" s="57">
        <f t="shared" si="1"/>
        <v>103</v>
      </c>
      <c r="E24" s="57">
        <f t="shared" si="1"/>
        <v>93</v>
      </c>
      <c r="F24" s="57">
        <f t="shared" si="2"/>
        <v>0</v>
      </c>
      <c r="G24" s="57">
        <v>0</v>
      </c>
      <c r="H24" s="57">
        <v>0</v>
      </c>
      <c r="I24" s="57">
        <f t="shared" si="3"/>
        <v>196</v>
      </c>
      <c r="J24" s="57">
        <v>103</v>
      </c>
      <c r="K24" s="57">
        <v>93</v>
      </c>
      <c r="L24" s="58" t="s">
        <v>57</v>
      </c>
      <c r="M24" s="59" t="s">
        <v>74</v>
      </c>
      <c r="N24" s="55"/>
      <c r="O24" s="63"/>
      <c r="R24" s="63"/>
      <c r="S24" s="63"/>
    </row>
    <row r="25" spans="3:19" ht="13.5" thickBot="1" x14ac:dyDescent="0.25">
      <c r="C25" s="57">
        <f t="shared" si="0"/>
        <v>22</v>
      </c>
      <c r="D25" s="57">
        <f t="shared" si="1"/>
        <v>22</v>
      </c>
      <c r="E25" s="57">
        <f t="shared" si="1"/>
        <v>0</v>
      </c>
      <c r="F25" s="57">
        <f t="shared" si="2"/>
        <v>0</v>
      </c>
      <c r="G25" s="57">
        <v>0</v>
      </c>
      <c r="H25" s="57">
        <v>0</v>
      </c>
      <c r="I25" s="57">
        <f t="shared" si="3"/>
        <v>22</v>
      </c>
      <c r="J25" s="57">
        <v>22</v>
      </c>
      <c r="K25" s="57">
        <v>0</v>
      </c>
      <c r="L25" s="58" t="s">
        <v>59</v>
      </c>
      <c r="M25" s="71"/>
      <c r="N25" s="55"/>
      <c r="R25" s="63"/>
      <c r="S25" s="63"/>
    </row>
    <row r="26" spans="3:19" ht="13.5" thickBot="1" x14ac:dyDescent="0.25">
      <c r="C26" s="57">
        <f t="shared" si="0"/>
        <v>0</v>
      </c>
      <c r="D26" s="57">
        <f t="shared" si="1"/>
        <v>0</v>
      </c>
      <c r="E26" s="57">
        <f t="shared" si="1"/>
        <v>0</v>
      </c>
      <c r="F26" s="57">
        <f t="shared" si="2"/>
        <v>0</v>
      </c>
      <c r="G26" s="57">
        <v>0</v>
      </c>
      <c r="H26" s="57">
        <v>0</v>
      </c>
      <c r="I26" s="57">
        <f t="shared" si="3"/>
        <v>0</v>
      </c>
      <c r="J26" s="57">
        <v>0</v>
      </c>
      <c r="K26" s="57">
        <v>0</v>
      </c>
      <c r="L26" s="58" t="s">
        <v>56</v>
      </c>
      <c r="M26" s="59"/>
      <c r="N26" s="55"/>
      <c r="O26" s="63"/>
      <c r="R26" s="63"/>
      <c r="S26" s="63"/>
    </row>
    <row r="27" spans="3:19" ht="13.5" thickBot="1" x14ac:dyDescent="0.25">
      <c r="C27" s="57">
        <f t="shared" si="0"/>
        <v>97</v>
      </c>
      <c r="D27" s="57">
        <f t="shared" si="1"/>
        <v>61</v>
      </c>
      <c r="E27" s="57">
        <f t="shared" si="1"/>
        <v>36</v>
      </c>
      <c r="F27" s="57">
        <f t="shared" si="2"/>
        <v>0</v>
      </c>
      <c r="G27" s="57">
        <v>0</v>
      </c>
      <c r="H27" s="57">
        <v>0</v>
      </c>
      <c r="I27" s="57">
        <f t="shared" si="3"/>
        <v>97</v>
      </c>
      <c r="J27" s="57">
        <v>61</v>
      </c>
      <c r="K27" s="57">
        <v>36</v>
      </c>
      <c r="L27" s="58" t="s">
        <v>57</v>
      </c>
      <c r="M27" s="59" t="s">
        <v>75</v>
      </c>
      <c r="N27" s="55"/>
      <c r="O27" s="63"/>
      <c r="R27" s="63"/>
      <c r="S27" s="63"/>
    </row>
    <row r="28" spans="3:19" ht="13.5" thickBot="1" x14ac:dyDescent="0.25">
      <c r="C28" s="57">
        <f t="shared" si="0"/>
        <v>159</v>
      </c>
      <c r="D28" s="57">
        <f t="shared" si="1"/>
        <v>91</v>
      </c>
      <c r="E28" s="57">
        <f t="shared" si="1"/>
        <v>68</v>
      </c>
      <c r="F28" s="57">
        <f t="shared" si="2"/>
        <v>0</v>
      </c>
      <c r="G28" s="57">
        <v>0</v>
      </c>
      <c r="H28" s="57">
        <v>0</v>
      </c>
      <c r="I28" s="57">
        <f t="shared" si="3"/>
        <v>159</v>
      </c>
      <c r="J28" s="57">
        <v>91</v>
      </c>
      <c r="K28" s="57">
        <v>68</v>
      </c>
      <c r="L28" s="58" t="s">
        <v>59</v>
      </c>
      <c r="M28" s="71"/>
      <c r="N28" s="55"/>
      <c r="R28" s="63"/>
      <c r="S28" s="63"/>
    </row>
    <row r="29" spans="3:19" ht="13.5" thickBot="1" x14ac:dyDescent="0.25">
      <c r="C29" s="57">
        <f t="shared" si="0"/>
        <v>7</v>
      </c>
      <c r="D29" s="57">
        <f t="shared" si="1"/>
        <v>0</v>
      </c>
      <c r="E29" s="57">
        <f t="shared" si="1"/>
        <v>7</v>
      </c>
      <c r="F29" s="57">
        <f t="shared" si="2"/>
        <v>0</v>
      </c>
      <c r="G29" s="57">
        <v>0</v>
      </c>
      <c r="H29" s="57">
        <v>0</v>
      </c>
      <c r="I29" s="57">
        <f t="shared" si="3"/>
        <v>7</v>
      </c>
      <c r="J29" s="57">
        <v>0</v>
      </c>
      <c r="K29" s="57">
        <v>7</v>
      </c>
      <c r="L29" s="58" t="s">
        <v>56</v>
      </c>
      <c r="M29" s="59"/>
      <c r="N29" s="55"/>
      <c r="O29" s="63"/>
      <c r="R29" s="63"/>
      <c r="S29" s="63"/>
    </row>
    <row r="30" spans="3:19" ht="13.5" thickBot="1" x14ac:dyDescent="0.25">
      <c r="C30" s="57">
        <f t="shared" si="0"/>
        <v>210</v>
      </c>
      <c r="D30" s="57">
        <f t="shared" si="1"/>
        <v>72</v>
      </c>
      <c r="E30" s="57">
        <f t="shared" si="1"/>
        <v>138</v>
      </c>
      <c r="F30" s="57">
        <f t="shared" si="2"/>
        <v>0</v>
      </c>
      <c r="G30" s="57">
        <v>0</v>
      </c>
      <c r="H30" s="57">
        <v>0</v>
      </c>
      <c r="I30" s="57">
        <f t="shared" si="3"/>
        <v>210</v>
      </c>
      <c r="J30" s="57">
        <v>72</v>
      </c>
      <c r="K30" s="57">
        <v>138</v>
      </c>
      <c r="L30" s="58" t="s">
        <v>57</v>
      </c>
      <c r="M30" s="59" t="s">
        <v>100</v>
      </c>
      <c r="N30" s="55"/>
      <c r="O30" s="63"/>
      <c r="R30" s="63"/>
      <c r="S30" s="63"/>
    </row>
    <row r="31" spans="3:19" ht="13.5" thickBot="1" x14ac:dyDescent="0.25">
      <c r="C31" s="57">
        <f t="shared" si="0"/>
        <v>0</v>
      </c>
      <c r="D31" s="57">
        <f t="shared" si="1"/>
        <v>0</v>
      </c>
      <c r="E31" s="57">
        <f t="shared" si="1"/>
        <v>0</v>
      </c>
      <c r="F31" s="57">
        <f t="shared" si="2"/>
        <v>0</v>
      </c>
      <c r="G31" s="57">
        <v>0</v>
      </c>
      <c r="H31" s="57">
        <v>0</v>
      </c>
      <c r="I31" s="57">
        <f t="shared" si="3"/>
        <v>0</v>
      </c>
      <c r="J31" s="57">
        <v>0</v>
      </c>
      <c r="K31" s="57">
        <v>0</v>
      </c>
      <c r="L31" s="58" t="s">
        <v>59</v>
      </c>
      <c r="M31" s="71"/>
      <c r="N31" s="55"/>
      <c r="R31" s="63"/>
      <c r="S31" s="63"/>
    </row>
    <row r="32" spans="3:19" ht="13.5" thickBot="1" x14ac:dyDescent="0.25">
      <c r="C32" s="57">
        <f t="shared" si="0"/>
        <v>10</v>
      </c>
      <c r="D32" s="57">
        <f t="shared" si="1"/>
        <v>10</v>
      </c>
      <c r="E32" s="57">
        <f t="shared" si="1"/>
        <v>0</v>
      </c>
      <c r="F32" s="57">
        <f t="shared" si="2"/>
        <v>0</v>
      </c>
      <c r="G32" s="57">
        <v>0</v>
      </c>
      <c r="H32" s="57">
        <v>0</v>
      </c>
      <c r="I32" s="57">
        <f t="shared" si="3"/>
        <v>10</v>
      </c>
      <c r="J32" s="57">
        <v>10</v>
      </c>
      <c r="K32" s="57">
        <v>0</v>
      </c>
      <c r="L32" s="58" t="s">
        <v>56</v>
      </c>
      <c r="M32" s="59"/>
      <c r="N32" s="55"/>
      <c r="O32" s="63"/>
      <c r="R32" s="63"/>
      <c r="S32" s="63"/>
    </row>
    <row r="33" spans="3:19" ht="13.5" thickBot="1" x14ac:dyDescent="0.25">
      <c r="C33" s="57">
        <f t="shared" si="0"/>
        <v>290</v>
      </c>
      <c r="D33" s="57">
        <f t="shared" si="1"/>
        <v>247</v>
      </c>
      <c r="E33" s="57">
        <f t="shared" si="1"/>
        <v>43</v>
      </c>
      <c r="F33" s="57">
        <f t="shared" si="2"/>
        <v>4</v>
      </c>
      <c r="G33" s="57">
        <v>2</v>
      </c>
      <c r="H33" s="57">
        <v>2</v>
      </c>
      <c r="I33" s="57">
        <f t="shared" si="3"/>
        <v>286</v>
      </c>
      <c r="J33" s="57">
        <v>245</v>
      </c>
      <c r="K33" s="57">
        <v>41</v>
      </c>
      <c r="L33" s="58" t="s">
        <v>57</v>
      </c>
      <c r="M33" s="59" t="s">
        <v>76</v>
      </c>
      <c r="N33" s="55"/>
      <c r="O33" s="63"/>
      <c r="R33" s="63"/>
      <c r="S33" s="63"/>
    </row>
    <row r="34" spans="3:19" ht="13.5" thickBot="1" x14ac:dyDescent="0.25">
      <c r="C34" s="57">
        <f t="shared" si="0"/>
        <v>38</v>
      </c>
      <c r="D34" s="57">
        <f t="shared" si="1"/>
        <v>0</v>
      </c>
      <c r="E34" s="57">
        <f t="shared" si="1"/>
        <v>38</v>
      </c>
      <c r="F34" s="57">
        <f t="shared" si="2"/>
        <v>0</v>
      </c>
      <c r="G34" s="57">
        <v>0</v>
      </c>
      <c r="H34" s="57">
        <v>0</v>
      </c>
      <c r="I34" s="57">
        <f t="shared" si="3"/>
        <v>38</v>
      </c>
      <c r="J34" s="57">
        <v>0</v>
      </c>
      <c r="K34" s="57">
        <v>38</v>
      </c>
      <c r="L34" s="58" t="s">
        <v>59</v>
      </c>
      <c r="M34" s="71"/>
      <c r="N34" s="55"/>
      <c r="R34" s="63"/>
      <c r="S34" s="63"/>
    </row>
    <row r="35" spans="3:19" ht="13.5" thickBot="1" x14ac:dyDescent="0.25">
      <c r="C35" s="57">
        <f t="shared" si="0"/>
        <v>0</v>
      </c>
      <c r="D35" s="57">
        <f t="shared" si="1"/>
        <v>0</v>
      </c>
      <c r="E35" s="57">
        <f t="shared" si="1"/>
        <v>0</v>
      </c>
      <c r="F35" s="57">
        <f t="shared" si="2"/>
        <v>0</v>
      </c>
      <c r="G35" s="57">
        <v>0</v>
      </c>
      <c r="H35" s="57">
        <v>0</v>
      </c>
      <c r="I35" s="57">
        <f t="shared" si="3"/>
        <v>0</v>
      </c>
      <c r="J35" s="57">
        <v>0</v>
      </c>
      <c r="K35" s="57">
        <v>0</v>
      </c>
      <c r="L35" s="58" t="s">
        <v>56</v>
      </c>
      <c r="M35" s="59"/>
      <c r="N35" s="55"/>
      <c r="O35" s="63"/>
      <c r="R35" s="63"/>
      <c r="S35" s="63"/>
    </row>
    <row r="36" spans="3:19" ht="13.5" thickBot="1" x14ac:dyDescent="0.25">
      <c r="C36" s="57">
        <f t="shared" si="0"/>
        <v>121</v>
      </c>
      <c r="D36" s="57">
        <f t="shared" si="1"/>
        <v>28</v>
      </c>
      <c r="E36" s="57">
        <f t="shared" si="1"/>
        <v>93</v>
      </c>
      <c r="F36" s="57">
        <f t="shared" si="2"/>
        <v>2</v>
      </c>
      <c r="G36" s="57">
        <v>2</v>
      </c>
      <c r="H36" s="57">
        <v>0</v>
      </c>
      <c r="I36" s="57">
        <f t="shared" si="3"/>
        <v>119</v>
      </c>
      <c r="J36" s="57">
        <v>26</v>
      </c>
      <c r="K36" s="57">
        <v>93</v>
      </c>
      <c r="L36" s="58" t="s">
        <v>57</v>
      </c>
      <c r="M36" s="59" t="s">
        <v>77</v>
      </c>
      <c r="N36" s="55"/>
      <c r="O36" s="63"/>
      <c r="R36" s="63"/>
      <c r="S36" s="63"/>
    </row>
    <row r="37" spans="3:19" ht="13.5" thickBot="1" x14ac:dyDescent="0.25">
      <c r="C37" s="57">
        <f t="shared" si="0"/>
        <v>51</v>
      </c>
      <c r="D37" s="57">
        <f t="shared" si="1"/>
        <v>32</v>
      </c>
      <c r="E37" s="57">
        <f t="shared" si="1"/>
        <v>19</v>
      </c>
      <c r="F37" s="57">
        <f t="shared" si="2"/>
        <v>1</v>
      </c>
      <c r="G37" s="57">
        <v>1</v>
      </c>
      <c r="H37" s="57">
        <v>0</v>
      </c>
      <c r="I37" s="57">
        <f t="shared" si="3"/>
        <v>50</v>
      </c>
      <c r="J37" s="57">
        <v>31</v>
      </c>
      <c r="K37" s="57">
        <v>19</v>
      </c>
      <c r="L37" s="58" t="s">
        <v>59</v>
      </c>
      <c r="M37" s="71"/>
      <c r="N37" s="55"/>
      <c r="R37" s="63"/>
      <c r="S37" s="63"/>
    </row>
    <row r="38" spans="3:19" ht="13.5" thickBot="1" x14ac:dyDescent="0.25">
      <c r="C38" s="57">
        <f t="shared" si="0"/>
        <v>0</v>
      </c>
      <c r="D38" s="57">
        <f t="shared" si="1"/>
        <v>0</v>
      </c>
      <c r="E38" s="57">
        <f t="shared" si="1"/>
        <v>0</v>
      </c>
      <c r="F38" s="57">
        <f t="shared" si="2"/>
        <v>0</v>
      </c>
      <c r="G38" s="57">
        <v>0</v>
      </c>
      <c r="H38" s="57">
        <v>0</v>
      </c>
      <c r="I38" s="57">
        <f t="shared" si="3"/>
        <v>0</v>
      </c>
      <c r="J38" s="57">
        <v>0</v>
      </c>
      <c r="K38" s="57">
        <v>0</v>
      </c>
      <c r="L38" s="58" t="s">
        <v>56</v>
      </c>
      <c r="M38" s="59"/>
      <c r="N38" s="55"/>
      <c r="O38" s="63"/>
      <c r="R38" s="63"/>
      <c r="S38" s="63"/>
    </row>
    <row r="39" spans="3:19" ht="13.5" thickBot="1" x14ac:dyDescent="0.25">
      <c r="C39" s="57">
        <f t="shared" si="0"/>
        <v>70</v>
      </c>
      <c r="D39" s="57">
        <f t="shared" si="1"/>
        <v>30</v>
      </c>
      <c r="E39" s="57">
        <f t="shared" si="1"/>
        <v>40</v>
      </c>
      <c r="F39" s="57">
        <f t="shared" si="2"/>
        <v>0</v>
      </c>
      <c r="G39" s="57">
        <v>0</v>
      </c>
      <c r="H39" s="57">
        <v>0</v>
      </c>
      <c r="I39" s="57">
        <f t="shared" si="3"/>
        <v>70</v>
      </c>
      <c r="J39" s="57">
        <v>30</v>
      </c>
      <c r="K39" s="57">
        <v>40</v>
      </c>
      <c r="L39" s="58" t="s">
        <v>57</v>
      </c>
      <c r="M39" s="59" t="s">
        <v>117</v>
      </c>
      <c r="N39" s="55"/>
      <c r="O39" s="63"/>
      <c r="R39" s="63"/>
      <c r="S39" s="63"/>
    </row>
    <row r="40" spans="3:19" ht="13.5" thickBot="1" x14ac:dyDescent="0.25">
      <c r="C40" s="57">
        <f t="shared" si="0"/>
        <v>0</v>
      </c>
      <c r="D40" s="57">
        <f t="shared" si="1"/>
        <v>0</v>
      </c>
      <c r="E40" s="57">
        <f t="shared" si="1"/>
        <v>0</v>
      </c>
      <c r="F40" s="57">
        <f t="shared" si="2"/>
        <v>0</v>
      </c>
      <c r="G40" s="57">
        <v>0</v>
      </c>
      <c r="H40" s="57">
        <v>0</v>
      </c>
      <c r="I40" s="57">
        <f t="shared" si="3"/>
        <v>0</v>
      </c>
      <c r="J40" s="57">
        <v>0</v>
      </c>
      <c r="K40" s="57">
        <v>0</v>
      </c>
      <c r="L40" s="58" t="s">
        <v>59</v>
      </c>
      <c r="M40" s="71"/>
      <c r="N40" s="55"/>
      <c r="R40" s="63"/>
      <c r="S40" s="63"/>
    </row>
    <row r="41" spans="3:19" ht="13.5" thickBot="1" x14ac:dyDescent="0.25">
      <c r="C41" s="57">
        <f t="shared" si="0"/>
        <v>0</v>
      </c>
      <c r="D41" s="57">
        <f t="shared" si="1"/>
        <v>0</v>
      </c>
      <c r="E41" s="57">
        <f t="shared" si="1"/>
        <v>0</v>
      </c>
      <c r="F41" s="57">
        <f t="shared" si="2"/>
        <v>0</v>
      </c>
      <c r="G41" s="57">
        <v>0</v>
      </c>
      <c r="H41" s="57">
        <v>0</v>
      </c>
      <c r="I41" s="57">
        <f t="shared" si="3"/>
        <v>0</v>
      </c>
      <c r="J41" s="57">
        <v>0</v>
      </c>
      <c r="K41" s="57">
        <v>0</v>
      </c>
      <c r="L41" s="58" t="s">
        <v>56</v>
      </c>
      <c r="M41" s="59"/>
      <c r="N41" s="55"/>
      <c r="O41" s="63"/>
      <c r="R41" s="63"/>
      <c r="S41" s="63"/>
    </row>
    <row r="42" spans="3:19" ht="13.5" thickBot="1" x14ac:dyDescent="0.25">
      <c r="C42" s="57">
        <f t="shared" si="0"/>
        <v>56</v>
      </c>
      <c r="D42" s="57">
        <f t="shared" si="1"/>
        <v>26</v>
      </c>
      <c r="E42" s="57">
        <f t="shared" si="1"/>
        <v>30</v>
      </c>
      <c r="F42" s="57">
        <f t="shared" si="2"/>
        <v>0</v>
      </c>
      <c r="G42" s="57">
        <v>0</v>
      </c>
      <c r="H42" s="57">
        <v>0</v>
      </c>
      <c r="I42" s="57">
        <f t="shared" si="3"/>
        <v>56</v>
      </c>
      <c r="J42" s="57">
        <v>26</v>
      </c>
      <c r="K42" s="57">
        <v>30</v>
      </c>
      <c r="L42" s="58" t="s">
        <v>57</v>
      </c>
      <c r="M42" s="59" t="s">
        <v>148</v>
      </c>
      <c r="N42" s="55"/>
      <c r="O42" s="63"/>
      <c r="R42" s="63"/>
      <c r="S42" s="63"/>
    </row>
    <row r="43" spans="3:19" ht="13.5" thickBot="1" x14ac:dyDescent="0.25">
      <c r="C43" s="57">
        <f t="shared" si="0"/>
        <v>0</v>
      </c>
      <c r="D43" s="57">
        <f t="shared" si="1"/>
        <v>0</v>
      </c>
      <c r="E43" s="57">
        <f t="shared" si="1"/>
        <v>0</v>
      </c>
      <c r="F43" s="57">
        <f t="shared" si="2"/>
        <v>0</v>
      </c>
      <c r="G43" s="57">
        <v>0</v>
      </c>
      <c r="H43" s="57">
        <v>0</v>
      </c>
      <c r="I43" s="57">
        <f t="shared" si="3"/>
        <v>0</v>
      </c>
      <c r="J43" s="57">
        <v>0</v>
      </c>
      <c r="K43" s="57">
        <v>0</v>
      </c>
      <c r="L43" s="58" t="s">
        <v>59</v>
      </c>
      <c r="M43" s="71"/>
      <c r="N43" s="55"/>
      <c r="R43" s="63"/>
      <c r="S43" s="63"/>
    </row>
    <row r="44" spans="3:19" ht="13.5" thickBot="1" x14ac:dyDescent="0.25">
      <c r="C44" s="57">
        <f t="shared" si="0"/>
        <v>0</v>
      </c>
      <c r="D44" s="57">
        <f t="shared" si="1"/>
        <v>0</v>
      </c>
      <c r="E44" s="57">
        <f t="shared" si="1"/>
        <v>0</v>
      </c>
      <c r="F44" s="57">
        <f t="shared" si="2"/>
        <v>0</v>
      </c>
      <c r="G44" s="57">
        <v>0</v>
      </c>
      <c r="H44" s="57">
        <v>0</v>
      </c>
      <c r="I44" s="57">
        <f t="shared" si="3"/>
        <v>0</v>
      </c>
      <c r="J44" s="57">
        <v>0</v>
      </c>
      <c r="K44" s="57">
        <v>0</v>
      </c>
      <c r="L44" s="58" t="s">
        <v>56</v>
      </c>
      <c r="M44" s="59"/>
      <c r="N44" s="55"/>
      <c r="O44" s="63"/>
      <c r="R44" s="63"/>
      <c r="S44" s="63"/>
    </row>
    <row r="45" spans="3:19" ht="13.5" thickBot="1" x14ac:dyDescent="0.25">
      <c r="C45" s="57">
        <f t="shared" si="0"/>
        <v>0</v>
      </c>
      <c r="D45" s="57">
        <f t="shared" si="1"/>
        <v>0</v>
      </c>
      <c r="E45" s="57">
        <f t="shared" si="1"/>
        <v>0</v>
      </c>
      <c r="F45" s="57">
        <f t="shared" si="2"/>
        <v>0</v>
      </c>
      <c r="G45" s="57">
        <v>0</v>
      </c>
      <c r="H45" s="57">
        <v>0</v>
      </c>
      <c r="I45" s="57">
        <f t="shared" si="3"/>
        <v>0</v>
      </c>
      <c r="J45" s="57">
        <v>0</v>
      </c>
      <c r="K45" s="57">
        <v>0</v>
      </c>
      <c r="L45" s="58" t="s">
        <v>57</v>
      </c>
      <c r="M45" s="59" t="s">
        <v>153</v>
      </c>
      <c r="N45" s="55"/>
      <c r="R45" s="63"/>
      <c r="S45" s="63"/>
    </row>
    <row r="46" spans="3:19" ht="13.5" thickBot="1" x14ac:dyDescent="0.25">
      <c r="C46" s="57">
        <f t="shared" si="0"/>
        <v>270</v>
      </c>
      <c r="D46" s="57">
        <f t="shared" si="1"/>
        <v>0</v>
      </c>
      <c r="E46" s="57">
        <f t="shared" si="1"/>
        <v>270</v>
      </c>
      <c r="F46" s="57">
        <f t="shared" si="2"/>
        <v>0</v>
      </c>
      <c r="G46" s="57">
        <v>0</v>
      </c>
      <c r="H46" s="57">
        <v>0</v>
      </c>
      <c r="I46" s="57">
        <f t="shared" si="3"/>
        <v>270</v>
      </c>
      <c r="J46" s="57">
        <v>0</v>
      </c>
      <c r="K46" s="57">
        <v>270</v>
      </c>
      <c r="L46" s="58" t="s">
        <v>59</v>
      </c>
      <c r="M46" s="71"/>
      <c r="N46" s="55"/>
      <c r="R46" s="63"/>
      <c r="S46" s="63"/>
    </row>
    <row r="47" spans="3:19" ht="13.5" thickBot="1" x14ac:dyDescent="0.25">
      <c r="C47" s="57">
        <f t="shared" si="0"/>
        <v>0</v>
      </c>
      <c r="D47" s="57">
        <f t="shared" si="1"/>
        <v>0</v>
      </c>
      <c r="E47" s="57">
        <f t="shared" si="1"/>
        <v>0</v>
      </c>
      <c r="F47" s="57">
        <f t="shared" si="2"/>
        <v>0</v>
      </c>
      <c r="G47" s="57">
        <v>0</v>
      </c>
      <c r="H47" s="57">
        <v>0</v>
      </c>
      <c r="I47" s="57">
        <f t="shared" si="3"/>
        <v>0</v>
      </c>
      <c r="J47" s="57">
        <v>0</v>
      </c>
      <c r="K47" s="57">
        <v>0</v>
      </c>
      <c r="L47" s="58" t="s">
        <v>56</v>
      </c>
      <c r="M47" s="59"/>
      <c r="N47" s="55"/>
      <c r="O47" s="63"/>
      <c r="R47" s="63"/>
      <c r="S47" s="63"/>
    </row>
    <row r="48" spans="3:19" ht="13.5" thickBot="1" x14ac:dyDescent="0.25">
      <c r="C48" s="57">
        <f t="shared" si="0"/>
        <v>60</v>
      </c>
      <c r="D48" s="57">
        <f t="shared" si="1"/>
        <v>29</v>
      </c>
      <c r="E48" s="57">
        <f t="shared" si="1"/>
        <v>31</v>
      </c>
      <c r="F48" s="57">
        <f t="shared" si="2"/>
        <v>0</v>
      </c>
      <c r="G48" s="57">
        <v>0</v>
      </c>
      <c r="H48" s="57">
        <v>0</v>
      </c>
      <c r="I48" s="57">
        <f t="shared" si="3"/>
        <v>60</v>
      </c>
      <c r="J48" s="57">
        <v>29</v>
      </c>
      <c r="K48" s="57">
        <v>31</v>
      </c>
      <c r="L48" s="58" t="s">
        <v>57</v>
      </c>
      <c r="M48" s="59" t="s">
        <v>155</v>
      </c>
      <c r="N48" s="55"/>
      <c r="O48" s="63"/>
      <c r="R48" s="63"/>
      <c r="S48" s="63"/>
    </row>
    <row r="49" spans="3:19" ht="13.5" thickBot="1" x14ac:dyDescent="0.25">
      <c r="C49" s="57">
        <f t="shared" si="0"/>
        <v>224</v>
      </c>
      <c r="D49" s="57">
        <f t="shared" si="1"/>
        <v>113</v>
      </c>
      <c r="E49" s="57">
        <f t="shared" si="1"/>
        <v>111</v>
      </c>
      <c r="F49" s="57">
        <f t="shared" si="2"/>
        <v>11</v>
      </c>
      <c r="G49" s="57">
        <v>8</v>
      </c>
      <c r="H49" s="57">
        <v>3</v>
      </c>
      <c r="I49" s="57">
        <f t="shared" si="3"/>
        <v>213</v>
      </c>
      <c r="J49" s="57">
        <v>105</v>
      </c>
      <c r="K49" s="57">
        <v>108</v>
      </c>
      <c r="L49" s="58" t="s">
        <v>59</v>
      </c>
      <c r="M49" s="71"/>
      <c r="N49" s="55"/>
      <c r="R49" s="63"/>
      <c r="S49" s="63"/>
    </row>
    <row r="50" spans="3:19" ht="13.5" thickBot="1" x14ac:dyDescent="0.25">
      <c r="C50" s="57">
        <f t="shared" ref="C50:K52" si="4">C5+C8+C11+C14+C17+C20+C23+C26+C29+C32+C35+C38+C41+C44+C47</f>
        <v>850</v>
      </c>
      <c r="D50" s="57">
        <f t="shared" si="4"/>
        <v>274</v>
      </c>
      <c r="E50" s="57">
        <f t="shared" si="4"/>
        <v>576</v>
      </c>
      <c r="F50" s="57">
        <f t="shared" si="4"/>
        <v>167</v>
      </c>
      <c r="G50" s="57">
        <f t="shared" si="4"/>
        <v>16</v>
      </c>
      <c r="H50" s="57">
        <f t="shared" si="4"/>
        <v>151</v>
      </c>
      <c r="I50" s="57">
        <f t="shared" si="4"/>
        <v>683</v>
      </c>
      <c r="J50" s="57">
        <f t="shared" si="4"/>
        <v>258</v>
      </c>
      <c r="K50" s="57">
        <f>K5+K8+K11+K14+K17+K20+K23+K26+K29+K32+K35+K38+K41+K44+K47</f>
        <v>425</v>
      </c>
      <c r="L50" s="58" t="s">
        <v>243</v>
      </c>
      <c r="M50" s="61"/>
      <c r="N50" s="55"/>
    </row>
    <row r="51" spans="3:19" ht="13.5" thickBot="1" x14ac:dyDescent="0.25">
      <c r="C51" s="57">
        <f t="shared" si="4"/>
        <v>6547</v>
      </c>
      <c r="D51" s="57">
        <f t="shared" si="4"/>
        <v>2538</v>
      </c>
      <c r="E51" s="57">
        <f t="shared" si="4"/>
        <v>4009</v>
      </c>
      <c r="F51" s="57">
        <f t="shared" si="4"/>
        <v>608</v>
      </c>
      <c r="G51" s="57">
        <f t="shared" si="4"/>
        <v>94</v>
      </c>
      <c r="H51" s="57">
        <f t="shared" si="4"/>
        <v>514</v>
      </c>
      <c r="I51" s="57">
        <f t="shared" si="4"/>
        <v>5939</v>
      </c>
      <c r="J51" s="57">
        <f t="shared" si="4"/>
        <v>2444</v>
      </c>
      <c r="K51" s="57">
        <f t="shared" si="4"/>
        <v>3495</v>
      </c>
      <c r="L51" s="58" t="s">
        <v>57</v>
      </c>
      <c r="M51" s="62" t="s">
        <v>244</v>
      </c>
      <c r="N51" s="55"/>
    </row>
    <row r="52" spans="3:19" ht="13.5" thickBot="1" x14ac:dyDescent="0.25">
      <c r="C52" s="57">
        <f t="shared" si="4"/>
        <v>1721</v>
      </c>
      <c r="D52" s="57">
        <f t="shared" si="4"/>
        <v>575</v>
      </c>
      <c r="E52" s="57">
        <f t="shared" si="4"/>
        <v>1146</v>
      </c>
      <c r="F52" s="57">
        <f t="shared" si="4"/>
        <v>60</v>
      </c>
      <c r="G52" s="57">
        <f t="shared" si="4"/>
        <v>12</v>
      </c>
      <c r="H52" s="57">
        <f t="shared" si="4"/>
        <v>48</v>
      </c>
      <c r="I52" s="57">
        <f t="shared" si="4"/>
        <v>1661</v>
      </c>
      <c r="J52" s="57">
        <f t="shared" si="4"/>
        <v>563</v>
      </c>
      <c r="K52" s="57">
        <f t="shared" si="4"/>
        <v>1098</v>
      </c>
      <c r="L52" s="58" t="s">
        <v>59</v>
      </c>
      <c r="M52" s="53"/>
      <c r="N52" s="55"/>
    </row>
    <row r="53" spans="3:19" ht="13.5" thickBot="1" x14ac:dyDescent="0.25">
      <c r="C53" s="57">
        <f t="shared" ref="C53:J53" si="5">SUM(C50:C52)</f>
        <v>9118</v>
      </c>
      <c r="D53" s="57">
        <f t="shared" si="5"/>
        <v>3387</v>
      </c>
      <c r="E53" s="57">
        <f t="shared" si="5"/>
        <v>5731</v>
      </c>
      <c r="F53" s="57">
        <f t="shared" si="5"/>
        <v>835</v>
      </c>
      <c r="G53" s="57">
        <f t="shared" si="5"/>
        <v>122</v>
      </c>
      <c r="H53" s="57">
        <f t="shared" si="5"/>
        <v>713</v>
      </c>
      <c r="I53" s="57">
        <f t="shared" si="5"/>
        <v>8283</v>
      </c>
      <c r="J53" s="57">
        <f t="shared" si="5"/>
        <v>3265</v>
      </c>
      <c r="K53" s="57">
        <f>SUM(K50:K52)</f>
        <v>5018</v>
      </c>
      <c r="L53" s="471" t="s">
        <v>245</v>
      </c>
      <c r="M53" s="471"/>
      <c r="N53" s="55"/>
    </row>
    <row r="57" spans="3:19" x14ac:dyDescent="0.2">
      <c r="F57" s="63"/>
      <c r="J57" s="63"/>
    </row>
  </sheetData>
  <mergeCells count="8">
    <mergeCell ref="L4:M4"/>
    <mergeCell ref="L53:M53"/>
    <mergeCell ref="C1:M1"/>
    <mergeCell ref="C2:M2"/>
    <mergeCell ref="C3:E3"/>
    <mergeCell ref="F3:H3"/>
    <mergeCell ref="I3:K3"/>
    <mergeCell ref="L3:M3"/>
  </mergeCells>
  <pageMargins left="0.4" right="0.4" top="0.25" bottom="0.25" header="0.25" footer="0.25"/>
  <pageSetup paperSize="9" orientation="landscape" horizontalDpi="0" verticalDpi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N71"/>
  <sheetViews>
    <sheetView showGridLines="0" topLeftCell="A70" zoomScaleSheetLayoutView="100" workbookViewId="0">
      <selection activeCell="F83" sqref="F83"/>
    </sheetView>
  </sheetViews>
  <sheetFormatPr defaultRowHeight="15" customHeight="1" x14ac:dyDescent="0.2"/>
  <cols>
    <col min="1" max="2" width="9" style="56"/>
    <col min="3" max="11" width="7.75" style="76" customWidth="1"/>
    <col min="12" max="12" width="9.625" style="56" customWidth="1"/>
    <col min="13" max="13" width="34.25" style="56" customWidth="1"/>
    <col min="14" max="14" width="3.625" style="56" customWidth="1"/>
    <col min="15" max="257" width="9" style="56"/>
    <col min="258" max="266" width="7.75" style="56" customWidth="1"/>
    <col min="267" max="267" width="9.625" style="56" customWidth="1"/>
    <col min="268" max="268" width="34.25" style="56" customWidth="1"/>
    <col min="269" max="269" width="3.625" style="56" customWidth="1"/>
    <col min="270" max="513" width="9" style="56"/>
    <col min="514" max="522" width="7.75" style="56" customWidth="1"/>
    <col min="523" max="523" width="9.625" style="56" customWidth="1"/>
    <col min="524" max="524" width="34.25" style="56" customWidth="1"/>
    <col min="525" max="525" width="3.625" style="56" customWidth="1"/>
    <col min="526" max="769" width="9" style="56"/>
    <col min="770" max="778" width="7.75" style="56" customWidth="1"/>
    <col min="779" max="779" width="9.625" style="56" customWidth="1"/>
    <col min="780" max="780" width="34.25" style="56" customWidth="1"/>
    <col min="781" max="781" width="3.625" style="56" customWidth="1"/>
    <col min="782" max="1025" width="9" style="56"/>
    <col min="1026" max="1034" width="7.75" style="56" customWidth="1"/>
    <col min="1035" max="1035" width="9.625" style="56" customWidth="1"/>
    <col min="1036" max="1036" width="34.25" style="56" customWidth="1"/>
    <col min="1037" max="1037" width="3.625" style="56" customWidth="1"/>
    <col min="1038" max="1281" width="9" style="56"/>
    <col min="1282" max="1290" width="7.75" style="56" customWidth="1"/>
    <col min="1291" max="1291" width="9.625" style="56" customWidth="1"/>
    <col min="1292" max="1292" width="34.25" style="56" customWidth="1"/>
    <col min="1293" max="1293" width="3.625" style="56" customWidth="1"/>
    <col min="1294" max="1537" width="9" style="56"/>
    <col min="1538" max="1546" width="7.75" style="56" customWidth="1"/>
    <col min="1547" max="1547" width="9.625" style="56" customWidth="1"/>
    <col min="1548" max="1548" width="34.25" style="56" customWidth="1"/>
    <col min="1549" max="1549" width="3.625" style="56" customWidth="1"/>
    <col min="1550" max="1793" width="9" style="56"/>
    <col min="1794" max="1802" width="7.75" style="56" customWidth="1"/>
    <col min="1803" max="1803" width="9.625" style="56" customWidth="1"/>
    <col min="1804" max="1804" width="34.25" style="56" customWidth="1"/>
    <col min="1805" max="1805" width="3.625" style="56" customWidth="1"/>
    <col min="1806" max="2049" width="9" style="56"/>
    <col min="2050" max="2058" width="7.75" style="56" customWidth="1"/>
    <col min="2059" max="2059" width="9.625" style="56" customWidth="1"/>
    <col min="2060" max="2060" width="34.25" style="56" customWidth="1"/>
    <col min="2061" max="2061" width="3.625" style="56" customWidth="1"/>
    <col min="2062" max="2305" width="9" style="56"/>
    <col min="2306" max="2314" width="7.75" style="56" customWidth="1"/>
    <col min="2315" max="2315" width="9.625" style="56" customWidth="1"/>
    <col min="2316" max="2316" width="34.25" style="56" customWidth="1"/>
    <col min="2317" max="2317" width="3.625" style="56" customWidth="1"/>
    <col min="2318" max="2561" width="9" style="56"/>
    <col min="2562" max="2570" width="7.75" style="56" customWidth="1"/>
    <col min="2571" max="2571" width="9.625" style="56" customWidth="1"/>
    <col min="2572" max="2572" width="34.25" style="56" customWidth="1"/>
    <col min="2573" max="2573" width="3.625" style="56" customWidth="1"/>
    <col min="2574" max="2817" width="9" style="56"/>
    <col min="2818" max="2826" width="7.75" style="56" customWidth="1"/>
    <col min="2827" max="2827" width="9.625" style="56" customWidth="1"/>
    <col min="2828" max="2828" width="34.25" style="56" customWidth="1"/>
    <col min="2829" max="2829" width="3.625" style="56" customWidth="1"/>
    <col min="2830" max="3073" width="9" style="56"/>
    <col min="3074" max="3082" width="7.75" style="56" customWidth="1"/>
    <col min="3083" max="3083" width="9.625" style="56" customWidth="1"/>
    <col min="3084" max="3084" width="34.25" style="56" customWidth="1"/>
    <col min="3085" max="3085" width="3.625" style="56" customWidth="1"/>
    <col min="3086" max="3329" width="9" style="56"/>
    <col min="3330" max="3338" width="7.75" style="56" customWidth="1"/>
    <col min="3339" max="3339" width="9.625" style="56" customWidth="1"/>
    <col min="3340" max="3340" width="34.25" style="56" customWidth="1"/>
    <col min="3341" max="3341" width="3.625" style="56" customWidth="1"/>
    <col min="3342" max="3585" width="9" style="56"/>
    <col min="3586" max="3594" width="7.75" style="56" customWidth="1"/>
    <col min="3595" max="3595" width="9.625" style="56" customWidth="1"/>
    <col min="3596" max="3596" width="34.25" style="56" customWidth="1"/>
    <col min="3597" max="3597" width="3.625" style="56" customWidth="1"/>
    <col min="3598" max="3841" width="9" style="56"/>
    <col min="3842" max="3850" width="7.75" style="56" customWidth="1"/>
    <col min="3851" max="3851" width="9.625" style="56" customWidth="1"/>
    <col min="3852" max="3852" width="34.25" style="56" customWidth="1"/>
    <col min="3853" max="3853" width="3.625" style="56" customWidth="1"/>
    <col min="3854" max="4097" width="9" style="56"/>
    <col min="4098" max="4106" width="7.75" style="56" customWidth="1"/>
    <col min="4107" max="4107" width="9.625" style="56" customWidth="1"/>
    <col min="4108" max="4108" width="34.25" style="56" customWidth="1"/>
    <col min="4109" max="4109" width="3.625" style="56" customWidth="1"/>
    <col min="4110" max="4353" width="9" style="56"/>
    <col min="4354" max="4362" width="7.75" style="56" customWidth="1"/>
    <col min="4363" max="4363" width="9.625" style="56" customWidth="1"/>
    <col min="4364" max="4364" width="34.25" style="56" customWidth="1"/>
    <col min="4365" max="4365" width="3.625" style="56" customWidth="1"/>
    <col min="4366" max="4609" width="9" style="56"/>
    <col min="4610" max="4618" width="7.75" style="56" customWidth="1"/>
    <col min="4619" max="4619" width="9.625" style="56" customWidth="1"/>
    <col min="4620" max="4620" width="34.25" style="56" customWidth="1"/>
    <col min="4621" max="4621" width="3.625" style="56" customWidth="1"/>
    <col min="4622" max="4865" width="9" style="56"/>
    <col min="4866" max="4874" width="7.75" style="56" customWidth="1"/>
    <col min="4875" max="4875" width="9.625" style="56" customWidth="1"/>
    <col min="4876" max="4876" width="34.25" style="56" customWidth="1"/>
    <col min="4877" max="4877" width="3.625" style="56" customWidth="1"/>
    <col min="4878" max="5121" width="9" style="56"/>
    <col min="5122" max="5130" width="7.75" style="56" customWidth="1"/>
    <col min="5131" max="5131" width="9.625" style="56" customWidth="1"/>
    <col min="5132" max="5132" width="34.25" style="56" customWidth="1"/>
    <col min="5133" max="5133" width="3.625" style="56" customWidth="1"/>
    <col min="5134" max="5377" width="9" style="56"/>
    <col min="5378" max="5386" width="7.75" style="56" customWidth="1"/>
    <col min="5387" max="5387" width="9.625" style="56" customWidth="1"/>
    <col min="5388" max="5388" width="34.25" style="56" customWidth="1"/>
    <col min="5389" max="5389" width="3.625" style="56" customWidth="1"/>
    <col min="5390" max="5633" width="9" style="56"/>
    <col min="5634" max="5642" width="7.75" style="56" customWidth="1"/>
    <col min="5643" max="5643" width="9.625" style="56" customWidth="1"/>
    <col min="5644" max="5644" width="34.25" style="56" customWidth="1"/>
    <col min="5645" max="5645" width="3.625" style="56" customWidth="1"/>
    <col min="5646" max="5889" width="9" style="56"/>
    <col min="5890" max="5898" width="7.75" style="56" customWidth="1"/>
    <col min="5899" max="5899" width="9.625" style="56" customWidth="1"/>
    <col min="5900" max="5900" width="34.25" style="56" customWidth="1"/>
    <col min="5901" max="5901" width="3.625" style="56" customWidth="1"/>
    <col min="5902" max="6145" width="9" style="56"/>
    <col min="6146" max="6154" width="7.75" style="56" customWidth="1"/>
    <col min="6155" max="6155" width="9.625" style="56" customWidth="1"/>
    <col min="6156" max="6156" width="34.25" style="56" customWidth="1"/>
    <col min="6157" max="6157" width="3.625" style="56" customWidth="1"/>
    <col min="6158" max="6401" width="9" style="56"/>
    <col min="6402" max="6410" width="7.75" style="56" customWidth="1"/>
    <col min="6411" max="6411" width="9.625" style="56" customWidth="1"/>
    <col min="6412" max="6412" width="34.25" style="56" customWidth="1"/>
    <col min="6413" max="6413" width="3.625" style="56" customWidth="1"/>
    <col min="6414" max="6657" width="9" style="56"/>
    <col min="6658" max="6666" width="7.75" style="56" customWidth="1"/>
    <col min="6667" max="6667" width="9.625" style="56" customWidth="1"/>
    <col min="6668" max="6668" width="34.25" style="56" customWidth="1"/>
    <col min="6669" max="6669" width="3.625" style="56" customWidth="1"/>
    <col min="6670" max="6913" width="9" style="56"/>
    <col min="6914" max="6922" width="7.75" style="56" customWidth="1"/>
    <col min="6923" max="6923" width="9.625" style="56" customWidth="1"/>
    <col min="6924" max="6924" width="34.25" style="56" customWidth="1"/>
    <col min="6925" max="6925" width="3.625" style="56" customWidth="1"/>
    <col min="6926" max="7169" width="9" style="56"/>
    <col min="7170" max="7178" width="7.75" style="56" customWidth="1"/>
    <col min="7179" max="7179" width="9.625" style="56" customWidth="1"/>
    <col min="7180" max="7180" width="34.25" style="56" customWidth="1"/>
    <col min="7181" max="7181" width="3.625" style="56" customWidth="1"/>
    <col min="7182" max="7425" width="9" style="56"/>
    <col min="7426" max="7434" width="7.75" style="56" customWidth="1"/>
    <col min="7435" max="7435" width="9.625" style="56" customWidth="1"/>
    <col min="7436" max="7436" width="34.25" style="56" customWidth="1"/>
    <col min="7437" max="7437" width="3.625" style="56" customWidth="1"/>
    <col min="7438" max="7681" width="9" style="56"/>
    <col min="7682" max="7690" width="7.75" style="56" customWidth="1"/>
    <col min="7691" max="7691" width="9.625" style="56" customWidth="1"/>
    <col min="7692" max="7692" width="34.25" style="56" customWidth="1"/>
    <col min="7693" max="7693" width="3.625" style="56" customWidth="1"/>
    <col min="7694" max="7937" width="9" style="56"/>
    <col min="7938" max="7946" width="7.75" style="56" customWidth="1"/>
    <col min="7947" max="7947" width="9.625" style="56" customWidth="1"/>
    <col min="7948" max="7948" width="34.25" style="56" customWidth="1"/>
    <col min="7949" max="7949" width="3.625" style="56" customWidth="1"/>
    <col min="7950" max="8193" width="9" style="56"/>
    <col min="8194" max="8202" width="7.75" style="56" customWidth="1"/>
    <col min="8203" max="8203" width="9.625" style="56" customWidth="1"/>
    <col min="8204" max="8204" width="34.25" style="56" customWidth="1"/>
    <col min="8205" max="8205" width="3.625" style="56" customWidth="1"/>
    <col min="8206" max="8449" width="9" style="56"/>
    <col min="8450" max="8458" width="7.75" style="56" customWidth="1"/>
    <col min="8459" max="8459" width="9.625" style="56" customWidth="1"/>
    <col min="8460" max="8460" width="34.25" style="56" customWidth="1"/>
    <col min="8461" max="8461" width="3.625" style="56" customWidth="1"/>
    <col min="8462" max="8705" width="9" style="56"/>
    <col min="8706" max="8714" width="7.75" style="56" customWidth="1"/>
    <col min="8715" max="8715" width="9.625" style="56" customWidth="1"/>
    <col min="8716" max="8716" width="34.25" style="56" customWidth="1"/>
    <col min="8717" max="8717" width="3.625" style="56" customWidth="1"/>
    <col min="8718" max="8961" width="9" style="56"/>
    <col min="8962" max="8970" width="7.75" style="56" customWidth="1"/>
    <col min="8971" max="8971" width="9.625" style="56" customWidth="1"/>
    <col min="8972" max="8972" width="34.25" style="56" customWidth="1"/>
    <col min="8973" max="8973" width="3.625" style="56" customWidth="1"/>
    <col min="8974" max="9217" width="9" style="56"/>
    <col min="9218" max="9226" width="7.75" style="56" customWidth="1"/>
    <col min="9227" max="9227" width="9.625" style="56" customWidth="1"/>
    <col min="9228" max="9228" width="34.25" style="56" customWidth="1"/>
    <col min="9229" max="9229" width="3.625" style="56" customWidth="1"/>
    <col min="9230" max="9473" width="9" style="56"/>
    <col min="9474" max="9482" width="7.75" style="56" customWidth="1"/>
    <col min="9483" max="9483" width="9.625" style="56" customWidth="1"/>
    <col min="9484" max="9484" width="34.25" style="56" customWidth="1"/>
    <col min="9485" max="9485" width="3.625" style="56" customWidth="1"/>
    <col min="9486" max="9729" width="9" style="56"/>
    <col min="9730" max="9738" width="7.75" style="56" customWidth="1"/>
    <col min="9739" max="9739" width="9.625" style="56" customWidth="1"/>
    <col min="9740" max="9740" width="34.25" style="56" customWidth="1"/>
    <col min="9741" max="9741" width="3.625" style="56" customWidth="1"/>
    <col min="9742" max="9985" width="9" style="56"/>
    <col min="9986" max="9994" width="7.75" style="56" customWidth="1"/>
    <col min="9995" max="9995" width="9.625" style="56" customWidth="1"/>
    <col min="9996" max="9996" width="34.25" style="56" customWidth="1"/>
    <col min="9997" max="9997" width="3.625" style="56" customWidth="1"/>
    <col min="9998" max="10241" width="9" style="56"/>
    <col min="10242" max="10250" width="7.75" style="56" customWidth="1"/>
    <col min="10251" max="10251" width="9.625" style="56" customWidth="1"/>
    <col min="10252" max="10252" width="34.25" style="56" customWidth="1"/>
    <col min="10253" max="10253" width="3.625" style="56" customWidth="1"/>
    <col min="10254" max="10497" width="9" style="56"/>
    <col min="10498" max="10506" width="7.75" style="56" customWidth="1"/>
    <col min="10507" max="10507" width="9.625" style="56" customWidth="1"/>
    <col min="10508" max="10508" width="34.25" style="56" customWidth="1"/>
    <col min="10509" max="10509" width="3.625" style="56" customWidth="1"/>
    <col min="10510" max="10753" width="9" style="56"/>
    <col min="10754" max="10762" width="7.75" style="56" customWidth="1"/>
    <col min="10763" max="10763" width="9.625" style="56" customWidth="1"/>
    <col min="10764" max="10764" width="34.25" style="56" customWidth="1"/>
    <col min="10765" max="10765" width="3.625" style="56" customWidth="1"/>
    <col min="10766" max="11009" width="9" style="56"/>
    <col min="11010" max="11018" width="7.75" style="56" customWidth="1"/>
    <col min="11019" max="11019" width="9.625" style="56" customWidth="1"/>
    <col min="11020" max="11020" width="34.25" style="56" customWidth="1"/>
    <col min="11021" max="11021" width="3.625" style="56" customWidth="1"/>
    <col min="11022" max="11265" width="9" style="56"/>
    <col min="11266" max="11274" width="7.75" style="56" customWidth="1"/>
    <col min="11275" max="11275" width="9.625" style="56" customWidth="1"/>
    <col min="11276" max="11276" width="34.25" style="56" customWidth="1"/>
    <col min="11277" max="11277" width="3.625" style="56" customWidth="1"/>
    <col min="11278" max="11521" width="9" style="56"/>
    <col min="11522" max="11530" width="7.75" style="56" customWidth="1"/>
    <col min="11531" max="11531" width="9.625" style="56" customWidth="1"/>
    <col min="11532" max="11532" width="34.25" style="56" customWidth="1"/>
    <col min="11533" max="11533" width="3.625" style="56" customWidth="1"/>
    <col min="11534" max="11777" width="9" style="56"/>
    <col min="11778" max="11786" width="7.75" style="56" customWidth="1"/>
    <col min="11787" max="11787" width="9.625" style="56" customWidth="1"/>
    <col min="11788" max="11788" width="34.25" style="56" customWidth="1"/>
    <col min="11789" max="11789" width="3.625" style="56" customWidth="1"/>
    <col min="11790" max="12033" width="9" style="56"/>
    <col min="12034" max="12042" width="7.75" style="56" customWidth="1"/>
    <col min="12043" max="12043" width="9.625" style="56" customWidth="1"/>
    <col min="12044" max="12044" width="34.25" style="56" customWidth="1"/>
    <col min="12045" max="12045" width="3.625" style="56" customWidth="1"/>
    <col min="12046" max="12289" width="9" style="56"/>
    <col min="12290" max="12298" width="7.75" style="56" customWidth="1"/>
    <col min="12299" max="12299" width="9.625" style="56" customWidth="1"/>
    <col min="12300" max="12300" width="34.25" style="56" customWidth="1"/>
    <col min="12301" max="12301" width="3.625" style="56" customWidth="1"/>
    <col min="12302" max="12545" width="9" style="56"/>
    <col min="12546" max="12554" width="7.75" style="56" customWidth="1"/>
    <col min="12555" max="12555" width="9.625" style="56" customWidth="1"/>
    <col min="12556" max="12556" width="34.25" style="56" customWidth="1"/>
    <col min="12557" max="12557" width="3.625" style="56" customWidth="1"/>
    <col min="12558" max="12801" width="9" style="56"/>
    <col min="12802" max="12810" width="7.75" style="56" customWidth="1"/>
    <col min="12811" max="12811" width="9.625" style="56" customWidth="1"/>
    <col min="12812" max="12812" width="34.25" style="56" customWidth="1"/>
    <col min="12813" max="12813" width="3.625" style="56" customWidth="1"/>
    <col min="12814" max="13057" width="9" style="56"/>
    <col min="13058" max="13066" width="7.75" style="56" customWidth="1"/>
    <col min="13067" max="13067" width="9.625" style="56" customWidth="1"/>
    <col min="13068" max="13068" width="34.25" style="56" customWidth="1"/>
    <col min="13069" max="13069" width="3.625" style="56" customWidth="1"/>
    <col min="13070" max="13313" width="9" style="56"/>
    <col min="13314" max="13322" width="7.75" style="56" customWidth="1"/>
    <col min="13323" max="13323" width="9.625" style="56" customWidth="1"/>
    <col min="13324" max="13324" width="34.25" style="56" customWidth="1"/>
    <col min="13325" max="13325" width="3.625" style="56" customWidth="1"/>
    <col min="13326" max="13569" width="9" style="56"/>
    <col min="13570" max="13578" width="7.75" style="56" customWidth="1"/>
    <col min="13579" max="13579" width="9.625" style="56" customWidth="1"/>
    <col min="13580" max="13580" width="34.25" style="56" customWidth="1"/>
    <col min="13581" max="13581" width="3.625" style="56" customWidth="1"/>
    <col min="13582" max="13825" width="9" style="56"/>
    <col min="13826" max="13834" width="7.75" style="56" customWidth="1"/>
    <col min="13835" max="13835" width="9.625" style="56" customWidth="1"/>
    <col min="13836" max="13836" width="34.25" style="56" customWidth="1"/>
    <col min="13837" max="13837" width="3.625" style="56" customWidth="1"/>
    <col min="13838" max="14081" width="9" style="56"/>
    <col min="14082" max="14090" width="7.75" style="56" customWidth="1"/>
    <col min="14091" max="14091" width="9.625" style="56" customWidth="1"/>
    <col min="14092" max="14092" width="34.25" style="56" customWidth="1"/>
    <col min="14093" max="14093" width="3.625" style="56" customWidth="1"/>
    <col min="14094" max="14337" width="9" style="56"/>
    <col min="14338" max="14346" width="7.75" style="56" customWidth="1"/>
    <col min="14347" max="14347" width="9.625" style="56" customWidth="1"/>
    <col min="14348" max="14348" width="34.25" style="56" customWidth="1"/>
    <col min="14349" max="14349" width="3.625" style="56" customWidth="1"/>
    <col min="14350" max="14593" width="9" style="56"/>
    <col min="14594" max="14602" width="7.75" style="56" customWidth="1"/>
    <col min="14603" max="14603" width="9.625" style="56" customWidth="1"/>
    <col min="14604" max="14604" width="34.25" style="56" customWidth="1"/>
    <col min="14605" max="14605" width="3.625" style="56" customWidth="1"/>
    <col min="14606" max="14849" width="9" style="56"/>
    <col min="14850" max="14858" width="7.75" style="56" customWidth="1"/>
    <col min="14859" max="14859" width="9.625" style="56" customWidth="1"/>
    <col min="14860" max="14860" width="34.25" style="56" customWidth="1"/>
    <col min="14861" max="14861" width="3.625" style="56" customWidth="1"/>
    <col min="14862" max="15105" width="9" style="56"/>
    <col min="15106" max="15114" width="7.75" style="56" customWidth="1"/>
    <col min="15115" max="15115" width="9.625" style="56" customWidth="1"/>
    <col min="15116" max="15116" width="34.25" style="56" customWidth="1"/>
    <col min="15117" max="15117" width="3.625" style="56" customWidth="1"/>
    <col min="15118" max="15361" width="9" style="56"/>
    <col min="15362" max="15370" width="7.75" style="56" customWidth="1"/>
    <col min="15371" max="15371" width="9.625" style="56" customWidth="1"/>
    <col min="15372" max="15372" width="34.25" style="56" customWidth="1"/>
    <col min="15373" max="15373" width="3.625" style="56" customWidth="1"/>
    <col min="15374" max="15617" width="9" style="56"/>
    <col min="15618" max="15626" width="7.75" style="56" customWidth="1"/>
    <col min="15627" max="15627" width="9.625" style="56" customWidth="1"/>
    <col min="15628" max="15628" width="34.25" style="56" customWidth="1"/>
    <col min="15629" max="15629" width="3.625" style="56" customWidth="1"/>
    <col min="15630" max="15873" width="9" style="56"/>
    <col min="15874" max="15882" width="7.75" style="56" customWidth="1"/>
    <col min="15883" max="15883" width="9.625" style="56" customWidth="1"/>
    <col min="15884" max="15884" width="34.25" style="56" customWidth="1"/>
    <col min="15885" max="15885" width="3.625" style="56" customWidth="1"/>
    <col min="15886" max="16129" width="9" style="56"/>
    <col min="16130" max="16138" width="7.75" style="56" customWidth="1"/>
    <col min="16139" max="16139" width="9.625" style="56" customWidth="1"/>
    <col min="16140" max="16140" width="34.25" style="56" customWidth="1"/>
    <col min="16141" max="16141" width="3.625" style="56" customWidth="1"/>
    <col min="16142" max="16384" width="9" style="56"/>
  </cols>
  <sheetData>
    <row r="1" spans="3:14" ht="15" customHeight="1" x14ac:dyDescent="0.2">
      <c r="C1" s="451" t="s">
        <v>246</v>
      </c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55"/>
    </row>
    <row r="2" spans="3:14" ht="15" customHeight="1" thickBot="1" x14ac:dyDescent="0.25">
      <c r="C2" s="452" t="s">
        <v>247</v>
      </c>
      <c r="D2" s="452"/>
      <c r="E2" s="452"/>
      <c r="F2" s="452"/>
      <c r="G2" s="452"/>
      <c r="H2" s="452"/>
      <c r="I2" s="452"/>
      <c r="J2" s="452"/>
      <c r="K2" s="452"/>
      <c r="L2" s="452"/>
      <c r="M2" s="452"/>
      <c r="N2" s="55"/>
    </row>
    <row r="3" spans="3:14" ht="15" customHeight="1" thickBot="1" x14ac:dyDescent="0.25">
      <c r="C3" s="453" t="s">
        <v>4</v>
      </c>
      <c r="D3" s="453"/>
      <c r="E3" s="453"/>
      <c r="F3" s="453" t="s">
        <v>145</v>
      </c>
      <c r="G3" s="453"/>
      <c r="H3" s="453"/>
      <c r="I3" s="453" t="s">
        <v>146</v>
      </c>
      <c r="J3" s="453"/>
      <c r="K3" s="453"/>
      <c r="L3" s="474"/>
      <c r="M3" s="474"/>
      <c r="N3" s="55"/>
    </row>
    <row r="4" spans="3:14" ht="15" customHeight="1" thickBot="1" x14ac:dyDescent="0.25">
      <c r="C4" s="43" t="s">
        <v>227</v>
      </c>
      <c r="D4" s="43" t="s">
        <v>10</v>
      </c>
      <c r="E4" s="43" t="s">
        <v>9</v>
      </c>
      <c r="F4" s="43" t="s">
        <v>227</v>
      </c>
      <c r="G4" s="43" t="s">
        <v>10</v>
      </c>
      <c r="H4" s="43" t="s">
        <v>9</v>
      </c>
      <c r="I4" s="43" t="s">
        <v>227</v>
      </c>
      <c r="J4" s="43" t="s">
        <v>10</v>
      </c>
      <c r="K4" s="43" t="s">
        <v>9</v>
      </c>
      <c r="L4" s="472" t="s">
        <v>240</v>
      </c>
      <c r="M4" s="472"/>
      <c r="N4" s="55"/>
    </row>
    <row r="5" spans="3:14" ht="15" customHeight="1" thickBot="1" x14ac:dyDescent="0.25">
      <c r="C5" s="72">
        <f>SUM(D5:E5)</f>
        <v>0</v>
      </c>
      <c r="D5" s="72">
        <f>J5+G5</f>
        <v>0</v>
      </c>
      <c r="E5" s="72">
        <f>K5+H5</f>
        <v>0</v>
      </c>
      <c r="F5" s="72">
        <f>SUM(G5:H5)</f>
        <v>0</v>
      </c>
      <c r="G5" s="72">
        <v>0</v>
      </c>
      <c r="H5" s="72">
        <v>0</v>
      </c>
      <c r="I5" s="72">
        <f>SUM(J5:K5)</f>
        <v>0</v>
      </c>
      <c r="J5" s="72">
        <v>0</v>
      </c>
      <c r="K5" s="72">
        <v>0</v>
      </c>
      <c r="L5" s="64" t="s">
        <v>56</v>
      </c>
      <c r="M5" s="73"/>
      <c r="N5" s="55"/>
    </row>
    <row r="6" spans="3:14" ht="15" customHeight="1" thickBot="1" x14ac:dyDescent="0.25">
      <c r="C6" s="72">
        <f t="shared" ref="C6:C67" si="0">SUM(D6:E6)</f>
        <v>172</v>
      </c>
      <c r="D6" s="72">
        <f t="shared" ref="D6:E67" si="1">J6+G6</f>
        <v>4</v>
      </c>
      <c r="E6" s="72">
        <f t="shared" si="1"/>
        <v>168</v>
      </c>
      <c r="F6" s="72">
        <f t="shared" ref="F6:F67" si="2">SUM(G6:H6)</f>
        <v>120</v>
      </c>
      <c r="G6" s="72">
        <v>0</v>
      </c>
      <c r="H6" s="72">
        <v>120</v>
      </c>
      <c r="I6" s="72">
        <f t="shared" ref="I6:I67" si="3">SUM(J6:K6)</f>
        <v>52</v>
      </c>
      <c r="J6" s="72">
        <v>4</v>
      </c>
      <c r="K6" s="72">
        <v>48</v>
      </c>
      <c r="L6" s="64" t="s">
        <v>57</v>
      </c>
      <c r="M6" s="73" t="s">
        <v>161</v>
      </c>
      <c r="N6" s="55"/>
    </row>
    <row r="7" spans="3:14" ht="15" customHeight="1" thickBot="1" x14ac:dyDescent="0.25">
      <c r="C7" s="72">
        <f t="shared" si="0"/>
        <v>0</v>
      </c>
      <c r="D7" s="72">
        <f t="shared" si="1"/>
        <v>0</v>
      </c>
      <c r="E7" s="72">
        <f t="shared" si="1"/>
        <v>0</v>
      </c>
      <c r="F7" s="72">
        <f t="shared" si="2"/>
        <v>0</v>
      </c>
      <c r="G7" s="72">
        <v>0</v>
      </c>
      <c r="H7" s="72">
        <v>0</v>
      </c>
      <c r="I7" s="72">
        <f t="shared" si="3"/>
        <v>0</v>
      </c>
      <c r="J7" s="72">
        <v>0</v>
      </c>
      <c r="K7" s="72">
        <v>0</v>
      </c>
      <c r="L7" s="64" t="s">
        <v>59</v>
      </c>
      <c r="M7" s="74"/>
      <c r="N7" s="55"/>
    </row>
    <row r="8" spans="3:14" ht="15" customHeight="1" thickBot="1" x14ac:dyDescent="0.25">
      <c r="C8" s="72">
        <f t="shared" si="0"/>
        <v>254</v>
      </c>
      <c r="D8" s="72">
        <f t="shared" si="1"/>
        <v>11</v>
      </c>
      <c r="E8" s="72">
        <f t="shared" si="1"/>
        <v>243</v>
      </c>
      <c r="F8" s="72">
        <f t="shared" si="2"/>
        <v>44</v>
      </c>
      <c r="G8" s="72">
        <v>0</v>
      </c>
      <c r="H8" s="72">
        <v>44</v>
      </c>
      <c r="I8" s="72">
        <f t="shared" si="3"/>
        <v>210</v>
      </c>
      <c r="J8" s="72">
        <v>11</v>
      </c>
      <c r="K8" s="72">
        <v>199</v>
      </c>
      <c r="L8" s="64" t="s">
        <v>56</v>
      </c>
      <c r="M8" s="73"/>
      <c r="N8" s="55"/>
    </row>
    <row r="9" spans="3:14" ht="15" customHeight="1" thickBot="1" x14ac:dyDescent="0.25">
      <c r="C9" s="72">
        <f t="shared" si="0"/>
        <v>796</v>
      </c>
      <c r="D9" s="72">
        <f t="shared" si="1"/>
        <v>252</v>
      </c>
      <c r="E9" s="72">
        <f t="shared" si="1"/>
        <v>544</v>
      </c>
      <c r="F9" s="72">
        <f t="shared" si="2"/>
        <v>42</v>
      </c>
      <c r="G9" s="72">
        <v>5</v>
      </c>
      <c r="H9" s="72">
        <v>37</v>
      </c>
      <c r="I9" s="72">
        <f t="shared" si="3"/>
        <v>754</v>
      </c>
      <c r="J9" s="72">
        <v>247</v>
      </c>
      <c r="K9" s="72">
        <v>507</v>
      </c>
      <c r="L9" s="64" t="s">
        <v>57</v>
      </c>
      <c r="M9" s="73" t="s">
        <v>162</v>
      </c>
      <c r="N9" s="55"/>
    </row>
    <row r="10" spans="3:14" ht="15" customHeight="1" thickBot="1" x14ac:dyDescent="0.25">
      <c r="C10" s="72">
        <f t="shared" si="0"/>
        <v>52</v>
      </c>
      <c r="D10" s="72">
        <f t="shared" si="1"/>
        <v>12</v>
      </c>
      <c r="E10" s="72">
        <f t="shared" si="1"/>
        <v>40</v>
      </c>
      <c r="F10" s="72">
        <f t="shared" si="2"/>
        <v>40</v>
      </c>
      <c r="G10" s="72">
        <v>12</v>
      </c>
      <c r="H10" s="72">
        <v>28</v>
      </c>
      <c r="I10" s="72">
        <f t="shared" si="3"/>
        <v>12</v>
      </c>
      <c r="J10" s="72">
        <v>0</v>
      </c>
      <c r="K10" s="72">
        <v>12</v>
      </c>
      <c r="L10" s="64" t="s">
        <v>59</v>
      </c>
      <c r="M10" s="74"/>
      <c r="N10" s="55"/>
    </row>
    <row r="11" spans="3:14" ht="15" customHeight="1" thickBot="1" x14ac:dyDescent="0.25">
      <c r="C11" s="72">
        <f t="shared" si="0"/>
        <v>0</v>
      </c>
      <c r="D11" s="72">
        <f t="shared" si="1"/>
        <v>0</v>
      </c>
      <c r="E11" s="72">
        <f t="shared" si="1"/>
        <v>0</v>
      </c>
      <c r="F11" s="72">
        <f t="shared" si="2"/>
        <v>0</v>
      </c>
      <c r="G11" s="72">
        <v>0</v>
      </c>
      <c r="H11" s="72">
        <v>0</v>
      </c>
      <c r="I11" s="72">
        <f t="shared" si="3"/>
        <v>0</v>
      </c>
      <c r="J11" s="72">
        <v>0</v>
      </c>
      <c r="K11" s="72">
        <v>0</v>
      </c>
      <c r="L11" s="64" t="s">
        <v>56</v>
      </c>
      <c r="M11" s="73"/>
      <c r="N11" s="55"/>
    </row>
    <row r="12" spans="3:14" ht="15" customHeight="1" thickBot="1" x14ac:dyDescent="0.25">
      <c r="C12" s="72">
        <f t="shared" si="0"/>
        <v>0</v>
      </c>
      <c r="D12" s="72">
        <f t="shared" si="1"/>
        <v>0</v>
      </c>
      <c r="E12" s="72">
        <f t="shared" si="1"/>
        <v>0</v>
      </c>
      <c r="F12" s="72">
        <f t="shared" si="2"/>
        <v>0</v>
      </c>
      <c r="G12" s="72">
        <v>0</v>
      </c>
      <c r="H12" s="72">
        <v>0</v>
      </c>
      <c r="I12" s="72">
        <f t="shared" si="3"/>
        <v>0</v>
      </c>
      <c r="J12" s="72">
        <v>0</v>
      </c>
      <c r="K12" s="72">
        <v>0</v>
      </c>
      <c r="L12" s="64" t="s">
        <v>57</v>
      </c>
      <c r="M12" s="73" t="s">
        <v>163</v>
      </c>
      <c r="N12" s="55"/>
    </row>
    <row r="13" spans="3:14" ht="15" customHeight="1" thickBot="1" x14ac:dyDescent="0.25">
      <c r="C13" s="72">
        <f t="shared" si="0"/>
        <v>3</v>
      </c>
      <c r="D13" s="72">
        <f t="shared" si="1"/>
        <v>2</v>
      </c>
      <c r="E13" s="72">
        <f t="shared" si="1"/>
        <v>1</v>
      </c>
      <c r="F13" s="72">
        <f t="shared" si="2"/>
        <v>0</v>
      </c>
      <c r="G13" s="72">
        <v>0</v>
      </c>
      <c r="H13" s="72">
        <v>0</v>
      </c>
      <c r="I13" s="72">
        <f t="shared" si="3"/>
        <v>3</v>
      </c>
      <c r="J13" s="72">
        <v>2</v>
      </c>
      <c r="K13" s="72">
        <v>1</v>
      </c>
      <c r="L13" s="64" t="s">
        <v>59</v>
      </c>
      <c r="M13" s="74"/>
      <c r="N13" s="55"/>
    </row>
    <row r="14" spans="3:14" ht="15" customHeight="1" thickBot="1" x14ac:dyDescent="0.25">
      <c r="C14" s="72">
        <f t="shared" si="0"/>
        <v>206</v>
      </c>
      <c r="D14" s="72">
        <f t="shared" si="1"/>
        <v>114</v>
      </c>
      <c r="E14" s="72">
        <f t="shared" si="1"/>
        <v>92</v>
      </c>
      <c r="F14" s="72">
        <f t="shared" si="2"/>
        <v>18</v>
      </c>
      <c r="G14" s="72">
        <v>5</v>
      </c>
      <c r="H14" s="72">
        <v>13</v>
      </c>
      <c r="I14" s="72">
        <f t="shared" si="3"/>
        <v>188</v>
      </c>
      <c r="J14" s="72">
        <v>109</v>
      </c>
      <c r="K14" s="72">
        <v>79</v>
      </c>
      <c r="L14" s="64" t="s">
        <v>56</v>
      </c>
      <c r="M14" s="73"/>
      <c r="N14" s="55"/>
    </row>
    <row r="15" spans="3:14" ht="15" customHeight="1" thickBot="1" x14ac:dyDescent="0.25">
      <c r="C15" s="72">
        <f t="shared" si="0"/>
        <v>1184</v>
      </c>
      <c r="D15" s="72">
        <f t="shared" si="1"/>
        <v>563</v>
      </c>
      <c r="E15" s="72">
        <f t="shared" si="1"/>
        <v>621</v>
      </c>
      <c r="F15" s="72">
        <f t="shared" si="2"/>
        <v>36</v>
      </c>
      <c r="G15" s="72">
        <v>7</v>
      </c>
      <c r="H15" s="72">
        <v>29</v>
      </c>
      <c r="I15" s="72">
        <f t="shared" si="3"/>
        <v>1148</v>
      </c>
      <c r="J15" s="72">
        <v>556</v>
      </c>
      <c r="K15" s="72">
        <v>592</v>
      </c>
      <c r="L15" s="64" t="s">
        <v>57</v>
      </c>
      <c r="M15" s="73" t="s">
        <v>164</v>
      </c>
      <c r="N15" s="55"/>
    </row>
    <row r="16" spans="3:14" ht="15" customHeight="1" thickBot="1" x14ac:dyDescent="0.25">
      <c r="C16" s="72">
        <f t="shared" si="0"/>
        <v>920</v>
      </c>
      <c r="D16" s="72">
        <f t="shared" si="1"/>
        <v>366</v>
      </c>
      <c r="E16" s="72">
        <f t="shared" si="1"/>
        <v>554</v>
      </c>
      <c r="F16" s="72">
        <f t="shared" si="2"/>
        <v>10</v>
      </c>
      <c r="G16" s="72">
        <v>0</v>
      </c>
      <c r="H16" s="72">
        <v>10</v>
      </c>
      <c r="I16" s="72">
        <f t="shared" si="3"/>
        <v>910</v>
      </c>
      <c r="J16" s="72">
        <v>366</v>
      </c>
      <c r="K16" s="72">
        <v>544</v>
      </c>
      <c r="L16" s="64" t="s">
        <v>59</v>
      </c>
      <c r="M16" s="74"/>
      <c r="N16" s="55"/>
    </row>
    <row r="17" spans="3:14" ht="15" customHeight="1" thickBot="1" x14ac:dyDescent="0.25">
      <c r="C17" s="72">
        <f t="shared" si="0"/>
        <v>0</v>
      </c>
      <c r="D17" s="72">
        <f t="shared" si="1"/>
        <v>0</v>
      </c>
      <c r="E17" s="72">
        <f t="shared" si="1"/>
        <v>0</v>
      </c>
      <c r="F17" s="72">
        <f t="shared" si="2"/>
        <v>0</v>
      </c>
      <c r="G17" s="72">
        <v>0</v>
      </c>
      <c r="H17" s="72">
        <v>0</v>
      </c>
      <c r="I17" s="72">
        <f t="shared" si="3"/>
        <v>0</v>
      </c>
      <c r="J17" s="72">
        <v>0</v>
      </c>
      <c r="K17" s="72">
        <v>0</v>
      </c>
      <c r="L17" s="64" t="s">
        <v>56</v>
      </c>
      <c r="M17" s="73"/>
      <c r="N17" s="55"/>
    </row>
    <row r="18" spans="3:14" ht="15" customHeight="1" thickBot="1" x14ac:dyDescent="0.25">
      <c r="C18" s="72">
        <f t="shared" si="0"/>
        <v>21</v>
      </c>
      <c r="D18" s="72">
        <f t="shared" si="1"/>
        <v>0</v>
      </c>
      <c r="E18" s="72">
        <f t="shared" si="1"/>
        <v>21</v>
      </c>
      <c r="F18" s="72">
        <f t="shared" si="2"/>
        <v>3</v>
      </c>
      <c r="G18" s="72">
        <v>0</v>
      </c>
      <c r="H18" s="72">
        <v>3</v>
      </c>
      <c r="I18" s="72">
        <f t="shared" si="3"/>
        <v>18</v>
      </c>
      <c r="J18" s="72">
        <v>0</v>
      </c>
      <c r="K18" s="72">
        <v>18</v>
      </c>
      <c r="L18" s="64" t="s">
        <v>57</v>
      </c>
      <c r="M18" s="73" t="s">
        <v>165</v>
      </c>
      <c r="N18" s="55"/>
    </row>
    <row r="19" spans="3:14" ht="15" customHeight="1" thickBot="1" x14ac:dyDescent="0.25">
      <c r="C19" s="72">
        <f t="shared" si="0"/>
        <v>0</v>
      </c>
      <c r="D19" s="72">
        <f t="shared" si="1"/>
        <v>0</v>
      </c>
      <c r="E19" s="72">
        <f t="shared" si="1"/>
        <v>0</v>
      </c>
      <c r="F19" s="72">
        <f t="shared" si="2"/>
        <v>0</v>
      </c>
      <c r="G19" s="72">
        <v>0</v>
      </c>
      <c r="H19" s="72">
        <v>0</v>
      </c>
      <c r="I19" s="72">
        <f t="shared" si="3"/>
        <v>0</v>
      </c>
      <c r="J19" s="72">
        <v>0</v>
      </c>
      <c r="K19" s="72">
        <v>0</v>
      </c>
      <c r="L19" s="64" t="s">
        <v>59</v>
      </c>
      <c r="M19" s="74"/>
      <c r="N19" s="55"/>
    </row>
    <row r="20" spans="3:14" ht="15" customHeight="1" thickBot="1" x14ac:dyDescent="0.25">
      <c r="C20" s="72">
        <f t="shared" si="0"/>
        <v>58</v>
      </c>
      <c r="D20" s="72">
        <f t="shared" si="1"/>
        <v>33</v>
      </c>
      <c r="E20" s="72">
        <f t="shared" si="1"/>
        <v>25</v>
      </c>
      <c r="F20" s="72">
        <f t="shared" si="2"/>
        <v>6</v>
      </c>
      <c r="G20" s="72">
        <v>0</v>
      </c>
      <c r="H20" s="72">
        <v>6</v>
      </c>
      <c r="I20" s="72">
        <f t="shared" si="3"/>
        <v>52</v>
      </c>
      <c r="J20" s="72">
        <v>33</v>
      </c>
      <c r="K20" s="72">
        <v>19</v>
      </c>
      <c r="L20" s="64" t="s">
        <v>56</v>
      </c>
      <c r="M20" s="73"/>
      <c r="N20" s="55"/>
    </row>
    <row r="21" spans="3:14" ht="15" customHeight="1" thickBot="1" x14ac:dyDescent="0.25">
      <c r="C21" s="72">
        <f t="shared" si="0"/>
        <v>535</v>
      </c>
      <c r="D21" s="72">
        <f t="shared" si="1"/>
        <v>256</v>
      </c>
      <c r="E21" s="72">
        <f t="shared" si="1"/>
        <v>279</v>
      </c>
      <c r="F21" s="72">
        <f t="shared" si="2"/>
        <v>18</v>
      </c>
      <c r="G21" s="72">
        <v>5</v>
      </c>
      <c r="H21" s="72">
        <v>13</v>
      </c>
      <c r="I21" s="72">
        <f t="shared" si="3"/>
        <v>517</v>
      </c>
      <c r="J21" s="72">
        <v>251</v>
      </c>
      <c r="K21" s="72">
        <v>266</v>
      </c>
      <c r="L21" s="64" t="s">
        <v>57</v>
      </c>
      <c r="M21" s="73" t="s">
        <v>166</v>
      </c>
      <c r="N21" s="55"/>
    </row>
    <row r="22" spans="3:14" ht="15" customHeight="1" thickBot="1" x14ac:dyDescent="0.25">
      <c r="C22" s="72">
        <f t="shared" si="0"/>
        <v>59</v>
      </c>
      <c r="D22" s="72">
        <f t="shared" si="1"/>
        <v>0</v>
      </c>
      <c r="E22" s="72">
        <f t="shared" si="1"/>
        <v>59</v>
      </c>
      <c r="F22" s="72">
        <f t="shared" si="2"/>
        <v>0</v>
      </c>
      <c r="G22" s="72">
        <v>0</v>
      </c>
      <c r="H22" s="72">
        <v>0</v>
      </c>
      <c r="I22" s="72">
        <f t="shared" si="3"/>
        <v>59</v>
      </c>
      <c r="J22" s="72">
        <v>0</v>
      </c>
      <c r="K22" s="72">
        <v>59</v>
      </c>
      <c r="L22" s="64" t="s">
        <v>59</v>
      </c>
      <c r="M22" s="74"/>
      <c r="N22" s="55"/>
    </row>
    <row r="23" spans="3:14" ht="15" customHeight="1" thickBot="1" x14ac:dyDescent="0.25">
      <c r="C23" s="72">
        <f t="shared" si="0"/>
        <v>109</v>
      </c>
      <c r="D23" s="72">
        <f t="shared" si="1"/>
        <v>47</v>
      </c>
      <c r="E23" s="72">
        <f t="shared" si="1"/>
        <v>62</v>
      </c>
      <c r="F23" s="72">
        <f t="shared" si="2"/>
        <v>0</v>
      </c>
      <c r="G23" s="72">
        <v>0</v>
      </c>
      <c r="H23" s="72">
        <v>0</v>
      </c>
      <c r="I23" s="72">
        <f t="shared" si="3"/>
        <v>109</v>
      </c>
      <c r="J23" s="72">
        <v>47</v>
      </c>
      <c r="K23" s="72">
        <v>62</v>
      </c>
      <c r="L23" s="64" t="s">
        <v>56</v>
      </c>
      <c r="M23" s="73"/>
      <c r="N23" s="55"/>
    </row>
    <row r="24" spans="3:14" ht="15" customHeight="1" thickBot="1" x14ac:dyDescent="0.25">
      <c r="C24" s="72">
        <f t="shared" si="0"/>
        <v>1133</v>
      </c>
      <c r="D24" s="72">
        <f t="shared" si="1"/>
        <v>535</v>
      </c>
      <c r="E24" s="72">
        <f t="shared" si="1"/>
        <v>598</v>
      </c>
      <c r="F24" s="72">
        <f t="shared" si="2"/>
        <v>5</v>
      </c>
      <c r="G24" s="72">
        <v>0</v>
      </c>
      <c r="H24" s="72">
        <v>5</v>
      </c>
      <c r="I24" s="72">
        <f t="shared" si="3"/>
        <v>1128</v>
      </c>
      <c r="J24" s="72">
        <v>535</v>
      </c>
      <c r="K24" s="72">
        <v>593</v>
      </c>
      <c r="L24" s="64" t="s">
        <v>57</v>
      </c>
      <c r="M24" s="73" t="s">
        <v>167</v>
      </c>
      <c r="N24" s="55"/>
    </row>
    <row r="25" spans="3:14" ht="15" customHeight="1" thickBot="1" x14ac:dyDescent="0.25">
      <c r="C25" s="72">
        <f t="shared" si="0"/>
        <v>518</v>
      </c>
      <c r="D25" s="72">
        <f t="shared" si="1"/>
        <v>102</v>
      </c>
      <c r="E25" s="72">
        <f t="shared" si="1"/>
        <v>416</v>
      </c>
      <c r="F25" s="72">
        <f t="shared" si="2"/>
        <v>0</v>
      </c>
      <c r="G25" s="72">
        <v>0</v>
      </c>
      <c r="H25" s="72">
        <v>0</v>
      </c>
      <c r="I25" s="72">
        <f t="shared" si="3"/>
        <v>518</v>
      </c>
      <c r="J25" s="72">
        <v>102</v>
      </c>
      <c r="K25" s="72">
        <v>416</v>
      </c>
      <c r="L25" s="64" t="s">
        <v>59</v>
      </c>
      <c r="M25" s="74"/>
      <c r="N25" s="55"/>
    </row>
    <row r="26" spans="3:14" ht="15" customHeight="1" thickBot="1" x14ac:dyDescent="0.25">
      <c r="C26" s="72">
        <f t="shared" si="0"/>
        <v>15</v>
      </c>
      <c r="D26" s="72">
        <f t="shared" si="1"/>
        <v>0</v>
      </c>
      <c r="E26" s="72">
        <f t="shared" si="1"/>
        <v>15</v>
      </c>
      <c r="F26" s="72">
        <f t="shared" si="2"/>
        <v>0</v>
      </c>
      <c r="G26" s="72">
        <v>0</v>
      </c>
      <c r="H26" s="72">
        <v>0</v>
      </c>
      <c r="I26" s="72">
        <f t="shared" si="3"/>
        <v>15</v>
      </c>
      <c r="J26" s="72">
        <v>0</v>
      </c>
      <c r="K26" s="72">
        <v>15</v>
      </c>
      <c r="L26" s="64" t="s">
        <v>56</v>
      </c>
      <c r="M26" s="73"/>
      <c r="N26" s="55"/>
    </row>
    <row r="27" spans="3:14" ht="15" customHeight="1" thickBot="1" x14ac:dyDescent="0.25">
      <c r="C27" s="72">
        <f t="shared" si="0"/>
        <v>305</v>
      </c>
      <c r="D27" s="72">
        <f t="shared" si="1"/>
        <v>45</v>
      </c>
      <c r="E27" s="72">
        <f t="shared" si="1"/>
        <v>260</v>
      </c>
      <c r="F27" s="72">
        <f t="shared" si="2"/>
        <v>26</v>
      </c>
      <c r="G27" s="72">
        <v>0</v>
      </c>
      <c r="H27" s="72">
        <v>26</v>
      </c>
      <c r="I27" s="72">
        <f t="shared" si="3"/>
        <v>279</v>
      </c>
      <c r="J27" s="72">
        <v>45</v>
      </c>
      <c r="K27" s="72">
        <v>234</v>
      </c>
      <c r="L27" s="64" t="s">
        <v>57</v>
      </c>
      <c r="M27" s="73" t="s">
        <v>168</v>
      </c>
      <c r="N27" s="55"/>
    </row>
    <row r="28" spans="3:14" ht="15" customHeight="1" thickBot="1" x14ac:dyDescent="0.25">
      <c r="C28" s="72">
        <f t="shared" si="0"/>
        <v>0</v>
      </c>
      <c r="D28" s="72">
        <f t="shared" si="1"/>
        <v>0</v>
      </c>
      <c r="E28" s="72">
        <f t="shared" si="1"/>
        <v>0</v>
      </c>
      <c r="F28" s="72">
        <f t="shared" si="2"/>
        <v>0</v>
      </c>
      <c r="G28" s="72">
        <v>0</v>
      </c>
      <c r="H28" s="72">
        <v>0</v>
      </c>
      <c r="I28" s="72">
        <f t="shared" si="3"/>
        <v>0</v>
      </c>
      <c r="J28" s="72">
        <v>0</v>
      </c>
      <c r="K28" s="72">
        <v>0</v>
      </c>
      <c r="L28" s="64" t="s">
        <v>59</v>
      </c>
      <c r="M28" s="74"/>
      <c r="N28" s="55"/>
    </row>
    <row r="29" spans="3:14" ht="15" customHeight="1" thickBot="1" x14ac:dyDescent="0.25">
      <c r="C29" s="72">
        <f t="shared" si="0"/>
        <v>0</v>
      </c>
      <c r="D29" s="72">
        <f t="shared" si="1"/>
        <v>0</v>
      </c>
      <c r="E29" s="72">
        <f t="shared" si="1"/>
        <v>0</v>
      </c>
      <c r="F29" s="72">
        <f t="shared" si="2"/>
        <v>0</v>
      </c>
      <c r="G29" s="72">
        <v>0</v>
      </c>
      <c r="H29" s="72">
        <v>0</v>
      </c>
      <c r="I29" s="72">
        <f t="shared" si="3"/>
        <v>0</v>
      </c>
      <c r="J29" s="72">
        <v>0</v>
      </c>
      <c r="K29" s="72">
        <v>0</v>
      </c>
      <c r="L29" s="64" t="s">
        <v>56</v>
      </c>
      <c r="M29" s="73"/>
      <c r="N29" s="55"/>
    </row>
    <row r="30" spans="3:14" ht="15" customHeight="1" thickBot="1" x14ac:dyDescent="0.25">
      <c r="C30" s="72">
        <f t="shared" si="0"/>
        <v>470</v>
      </c>
      <c r="D30" s="72">
        <f t="shared" si="1"/>
        <v>180</v>
      </c>
      <c r="E30" s="72">
        <f t="shared" si="1"/>
        <v>290</v>
      </c>
      <c r="F30" s="72">
        <f t="shared" si="2"/>
        <v>31</v>
      </c>
      <c r="G30" s="72">
        <v>10</v>
      </c>
      <c r="H30" s="72">
        <v>21</v>
      </c>
      <c r="I30" s="72">
        <f t="shared" si="3"/>
        <v>439</v>
      </c>
      <c r="J30" s="72">
        <v>170</v>
      </c>
      <c r="K30" s="72">
        <v>269</v>
      </c>
      <c r="L30" s="64" t="s">
        <v>57</v>
      </c>
      <c r="M30" s="73" t="s">
        <v>169</v>
      </c>
      <c r="N30" s="55"/>
    </row>
    <row r="31" spans="3:14" ht="15" customHeight="1" thickBot="1" x14ac:dyDescent="0.25">
      <c r="C31" s="72">
        <f t="shared" si="0"/>
        <v>43</v>
      </c>
      <c r="D31" s="72">
        <f t="shared" si="1"/>
        <v>0</v>
      </c>
      <c r="E31" s="72">
        <f t="shared" si="1"/>
        <v>43</v>
      </c>
      <c r="F31" s="72">
        <f t="shared" si="2"/>
        <v>10</v>
      </c>
      <c r="G31" s="72">
        <v>0</v>
      </c>
      <c r="H31" s="72">
        <v>10</v>
      </c>
      <c r="I31" s="72">
        <f t="shared" si="3"/>
        <v>33</v>
      </c>
      <c r="J31" s="72">
        <v>0</v>
      </c>
      <c r="K31" s="72">
        <v>33</v>
      </c>
      <c r="L31" s="64" t="s">
        <v>59</v>
      </c>
      <c r="M31" s="74"/>
      <c r="N31" s="55"/>
    </row>
    <row r="32" spans="3:14" ht="15" customHeight="1" thickBot="1" x14ac:dyDescent="0.25">
      <c r="C32" s="72">
        <f t="shared" si="0"/>
        <v>0</v>
      </c>
      <c r="D32" s="72">
        <f t="shared" si="1"/>
        <v>0</v>
      </c>
      <c r="E32" s="72">
        <f t="shared" si="1"/>
        <v>0</v>
      </c>
      <c r="F32" s="72">
        <f t="shared" si="2"/>
        <v>0</v>
      </c>
      <c r="G32" s="72">
        <v>0</v>
      </c>
      <c r="H32" s="72">
        <v>0</v>
      </c>
      <c r="I32" s="72">
        <f t="shared" si="3"/>
        <v>0</v>
      </c>
      <c r="J32" s="72">
        <v>0</v>
      </c>
      <c r="K32" s="72">
        <v>0</v>
      </c>
      <c r="L32" s="64" t="s">
        <v>56</v>
      </c>
      <c r="M32" s="73"/>
      <c r="N32" s="55"/>
    </row>
    <row r="33" spans="3:14" ht="15" customHeight="1" thickBot="1" x14ac:dyDescent="0.25">
      <c r="C33" s="72">
        <f t="shared" si="0"/>
        <v>0</v>
      </c>
      <c r="D33" s="72">
        <f t="shared" si="1"/>
        <v>0</v>
      </c>
      <c r="E33" s="72">
        <f t="shared" si="1"/>
        <v>0</v>
      </c>
      <c r="F33" s="72">
        <f t="shared" si="2"/>
        <v>0</v>
      </c>
      <c r="G33" s="72">
        <v>0</v>
      </c>
      <c r="H33" s="72">
        <v>0</v>
      </c>
      <c r="I33" s="72">
        <f t="shared" si="3"/>
        <v>0</v>
      </c>
      <c r="J33" s="72">
        <v>0</v>
      </c>
      <c r="K33" s="72">
        <v>0</v>
      </c>
      <c r="L33" s="64" t="s">
        <v>57</v>
      </c>
      <c r="M33" s="73" t="s">
        <v>170</v>
      </c>
      <c r="N33" s="55"/>
    </row>
    <row r="34" spans="3:14" ht="15" customHeight="1" thickBot="1" x14ac:dyDescent="0.25">
      <c r="C34" s="72">
        <f t="shared" si="0"/>
        <v>33</v>
      </c>
      <c r="D34" s="72">
        <f t="shared" si="1"/>
        <v>0</v>
      </c>
      <c r="E34" s="72">
        <f t="shared" si="1"/>
        <v>33</v>
      </c>
      <c r="F34" s="72">
        <f t="shared" si="2"/>
        <v>0</v>
      </c>
      <c r="G34" s="72">
        <v>0</v>
      </c>
      <c r="H34" s="72">
        <v>0</v>
      </c>
      <c r="I34" s="72">
        <f t="shared" si="3"/>
        <v>33</v>
      </c>
      <c r="J34" s="72">
        <v>0</v>
      </c>
      <c r="K34" s="72">
        <v>33</v>
      </c>
      <c r="L34" s="64" t="s">
        <v>59</v>
      </c>
      <c r="M34" s="74"/>
      <c r="N34" s="55"/>
    </row>
    <row r="35" spans="3:14" ht="15" customHeight="1" thickBot="1" x14ac:dyDescent="0.25">
      <c r="C35" s="72">
        <f t="shared" si="0"/>
        <v>21</v>
      </c>
      <c r="D35" s="72">
        <f t="shared" si="1"/>
        <v>7</v>
      </c>
      <c r="E35" s="72">
        <f t="shared" si="1"/>
        <v>14</v>
      </c>
      <c r="F35" s="72">
        <f t="shared" si="2"/>
        <v>19</v>
      </c>
      <c r="G35" s="72">
        <v>6</v>
      </c>
      <c r="H35" s="72">
        <v>13</v>
      </c>
      <c r="I35" s="72">
        <f t="shared" si="3"/>
        <v>2</v>
      </c>
      <c r="J35" s="72">
        <v>1</v>
      </c>
      <c r="K35" s="72">
        <v>1</v>
      </c>
      <c r="L35" s="64" t="s">
        <v>56</v>
      </c>
      <c r="M35" s="73"/>
      <c r="N35" s="55"/>
    </row>
    <row r="36" spans="3:14" ht="15" customHeight="1" thickBot="1" x14ac:dyDescent="0.25">
      <c r="C36" s="72">
        <f t="shared" si="0"/>
        <v>150</v>
      </c>
      <c r="D36" s="72">
        <f t="shared" si="1"/>
        <v>64</v>
      </c>
      <c r="E36" s="72">
        <f t="shared" si="1"/>
        <v>86</v>
      </c>
      <c r="F36" s="72">
        <f t="shared" si="2"/>
        <v>24</v>
      </c>
      <c r="G36" s="72">
        <v>11</v>
      </c>
      <c r="H36" s="72">
        <v>13</v>
      </c>
      <c r="I36" s="72">
        <f t="shared" si="3"/>
        <v>126</v>
      </c>
      <c r="J36" s="72">
        <v>53</v>
      </c>
      <c r="K36" s="72">
        <v>73</v>
      </c>
      <c r="L36" s="64" t="s">
        <v>57</v>
      </c>
      <c r="M36" s="73" t="s">
        <v>171</v>
      </c>
      <c r="N36" s="55"/>
    </row>
    <row r="37" spans="3:14" ht="15" customHeight="1" thickBot="1" x14ac:dyDescent="0.25">
      <c r="C37" s="72">
        <f t="shared" si="0"/>
        <v>0</v>
      </c>
      <c r="D37" s="72">
        <f t="shared" si="1"/>
        <v>0</v>
      </c>
      <c r="E37" s="72">
        <f t="shared" si="1"/>
        <v>0</v>
      </c>
      <c r="F37" s="72">
        <f t="shared" si="2"/>
        <v>0</v>
      </c>
      <c r="G37" s="72">
        <v>0</v>
      </c>
      <c r="H37" s="72">
        <v>0</v>
      </c>
      <c r="I37" s="72">
        <f t="shared" si="3"/>
        <v>0</v>
      </c>
      <c r="J37" s="72">
        <v>0</v>
      </c>
      <c r="K37" s="72">
        <v>0</v>
      </c>
      <c r="L37" s="64" t="s">
        <v>59</v>
      </c>
      <c r="M37" s="74"/>
      <c r="N37" s="55"/>
    </row>
    <row r="38" spans="3:14" ht="15" customHeight="1" thickBot="1" x14ac:dyDescent="0.25">
      <c r="C38" s="72">
        <f t="shared" si="0"/>
        <v>23</v>
      </c>
      <c r="D38" s="72">
        <f t="shared" si="1"/>
        <v>9</v>
      </c>
      <c r="E38" s="72">
        <f t="shared" si="1"/>
        <v>14</v>
      </c>
      <c r="F38" s="72">
        <f t="shared" si="2"/>
        <v>13</v>
      </c>
      <c r="G38" s="72">
        <v>0</v>
      </c>
      <c r="H38" s="72">
        <v>13</v>
      </c>
      <c r="I38" s="72">
        <f t="shared" si="3"/>
        <v>10</v>
      </c>
      <c r="J38" s="72">
        <v>9</v>
      </c>
      <c r="K38" s="72">
        <v>1</v>
      </c>
      <c r="L38" s="64" t="s">
        <v>56</v>
      </c>
      <c r="M38" s="73"/>
      <c r="N38" s="55"/>
    </row>
    <row r="39" spans="3:14" ht="15" customHeight="1" thickBot="1" x14ac:dyDescent="0.25">
      <c r="C39" s="72">
        <f t="shared" si="0"/>
        <v>279</v>
      </c>
      <c r="D39" s="72">
        <f t="shared" si="1"/>
        <v>94</v>
      </c>
      <c r="E39" s="72">
        <f t="shared" si="1"/>
        <v>185</v>
      </c>
      <c r="F39" s="72">
        <f t="shared" si="2"/>
        <v>33</v>
      </c>
      <c r="G39" s="72">
        <v>4</v>
      </c>
      <c r="H39" s="72">
        <v>29</v>
      </c>
      <c r="I39" s="72">
        <f t="shared" si="3"/>
        <v>246</v>
      </c>
      <c r="J39" s="72">
        <v>90</v>
      </c>
      <c r="K39" s="72">
        <v>156</v>
      </c>
      <c r="L39" s="64" t="s">
        <v>57</v>
      </c>
      <c r="M39" s="73" t="s">
        <v>172</v>
      </c>
      <c r="N39" s="55"/>
    </row>
    <row r="40" spans="3:14" ht="15" customHeight="1" thickBot="1" x14ac:dyDescent="0.25">
      <c r="C40" s="72">
        <f t="shared" si="0"/>
        <v>0</v>
      </c>
      <c r="D40" s="72">
        <f t="shared" si="1"/>
        <v>0</v>
      </c>
      <c r="E40" s="72">
        <f t="shared" si="1"/>
        <v>0</v>
      </c>
      <c r="F40" s="72">
        <f t="shared" si="2"/>
        <v>0</v>
      </c>
      <c r="G40" s="72">
        <v>0</v>
      </c>
      <c r="H40" s="72">
        <v>0</v>
      </c>
      <c r="I40" s="72">
        <f t="shared" si="3"/>
        <v>0</v>
      </c>
      <c r="J40" s="72">
        <v>0</v>
      </c>
      <c r="K40" s="72">
        <v>0</v>
      </c>
      <c r="L40" s="64" t="s">
        <v>59</v>
      </c>
      <c r="M40" s="74"/>
      <c r="N40" s="55"/>
    </row>
    <row r="41" spans="3:14" ht="15" customHeight="1" thickBot="1" x14ac:dyDescent="0.25">
      <c r="C41" s="72">
        <f t="shared" si="0"/>
        <v>11</v>
      </c>
      <c r="D41" s="72">
        <f t="shared" si="1"/>
        <v>5</v>
      </c>
      <c r="E41" s="72">
        <f t="shared" si="1"/>
        <v>6</v>
      </c>
      <c r="F41" s="72">
        <f t="shared" si="2"/>
        <v>5</v>
      </c>
      <c r="G41" s="72">
        <v>0</v>
      </c>
      <c r="H41" s="72">
        <v>5</v>
      </c>
      <c r="I41" s="72">
        <f t="shared" si="3"/>
        <v>6</v>
      </c>
      <c r="J41" s="72">
        <v>5</v>
      </c>
      <c r="K41" s="72">
        <v>1</v>
      </c>
      <c r="L41" s="64" t="s">
        <v>56</v>
      </c>
      <c r="M41" s="73"/>
      <c r="N41" s="55"/>
    </row>
    <row r="42" spans="3:14" ht="15" customHeight="1" thickBot="1" x14ac:dyDescent="0.25">
      <c r="C42" s="72">
        <f t="shared" si="0"/>
        <v>122</v>
      </c>
      <c r="D42" s="72">
        <f t="shared" si="1"/>
        <v>80</v>
      </c>
      <c r="E42" s="72">
        <f t="shared" si="1"/>
        <v>42</v>
      </c>
      <c r="F42" s="72">
        <f t="shared" si="2"/>
        <v>20</v>
      </c>
      <c r="G42" s="72">
        <v>2</v>
      </c>
      <c r="H42" s="72">
        <v>18</v>
      </c>
      <c r="I42" s="72">
        <f t="shared" si="3"/>
        <v>102</v>
      </c>
      <c r="J42" s="72">
        <v>78</v>
      </c>
      <c r="K42" s="72">
        <v>24</v>
      </c>
      <c r="L42" s="64" t="s">
        <v>57</v>
      </c>
      <c r="M42" s="73" t="s">
        <v>173</v>
      </c>
      <c r="N42" s="55"/>
    </row>
    <row r="43" spans="3:14" ht="15" customHeight="1" thickBot="1" x14ac:dyDescent="0.25">
      <c r="C43" s="72">
        <f t="shared" si="0"/>
        <v>0</v>
      </c>
      <c r="D43" s="72">
        <f t="shared" si="1"/>
        <v>0</v>
      </c>
      <c r="E43" s="72">
        <f t="shared" si="1"/>
        <v>0</v>
      </c>
      <c r="F43" s="72">
        <f t="shared" si="2"/>
        <v>0</v>
      </c>
      <c r="G43" s="72">
        <v>0</v>
      </c>
      <c r="H43" s="72">
        <v>0</v>
      </c>
      <c r="I43" s="72">
        <f t="shared" si="3"/>
        <v>0</v>
      </c>
      <c r="J43" s="72">
        <v>0</v>
      </c>
      <c r="K43" s="72">
        <v>0</v>
      </c>
      <c r="L43" s="64" t="s">
        <v>59</v>
      </c>
      <c r="M43" s="74"/>
      <c r="N43" s="55"/>
    </row>
    <row r="44" spans="3:14" ht="15" customHeight="1" thickBot="1" x14ac:dyDescent="0.25">
      <c r="C44" s="72">
        <f t="shared" si="0"/>
        <v>0</v>
      </c>
      <c r="D44" s="72">
        <f t="shared" si="1"/>
        <v>0</v>
      </c>
      <c r="E44" s="72">
        <f t="shared" si="1"/>
        <v>0</v>
      </c>
      <c r="F44" s="72">
        <f t="shared" si="2"/>
        <v>0</v>
      </c>
      <c r="G44" s="72">
        <v>0</v>
      </c>
      <c r="H44" s="72">
        <v>0</v>
      </c>
      <c r="I44" s="72">
        <f t="shared" si="3"/>
        <v>0</v>
      </c>
      <c r="J44" s="72">
        <v>0</v>
      </c>
      <c r="K44" s="72">
        <v>0</v>
      </c>
      <c r="L44" s="64" t="s">
        <v>56</v>
      </c>
      <c r="M44" s="73"/>
      <c r="N44" s="55"/>
    </row>
    <row r="45" spans="3:14" ht="15" customHeight="1" thickBot="1" x14ac:dyDescent="0.25">
      <c r="C45" s="72">
        <f t="shared" si="0"/>
        <v>152</v>
      </c>
      <c r="D45" s="72">
        <f t="shared" si="1"/>
        <v>56</v>
      </c>
      <c r="E45" s="72">
        <f t="shared" si="1"/>
        <v>96</v>
      </c>
      <c r="F45" s="72">
        <f t="shared" si="2"/>
        <v>63</v>
      </c>
      <c r="G45" s="72">
        <v>6</v>
      </c>
      <c r="H45" s="72">
        <v>57</v>
      </c>
      <c r="I45" s="72">
        <f t="shared" si="3"/>
        <v>89</v>
      </c>
      <c r="J45" s="72">
        <v>50</v>
      </c>
      <c r="K45" s="72">
        <v>39</v>
      </c>
      <c r="L45" s="64" t="s">
        <v>57</v>
      </c>
      <c r="M45" s="73" t="s">
        <v>174</v>
      </c>
      <c r="N45" s="55"/>
    </row>
    <row r="46" spans="3:14" ht="15" customHeight="1" thickBot="1" x14ac:dyDescent="0.25">
      <c r="C46" s="72">
        <f t="shared" si="0"/>
        <v>0</v>
      </c>
      <c r="D46" s="72">
        <f t="shared" si="1"/>
        <v>0</v>
      </c>
      <c r="E46" s="72">
        <f t="shared" si="1"/>
        <v>0</v>
      </c>
      <c r="F46" s="72">
        <f t="shared" si="2"/>
        <v>0</v>
      </c>
      <c r="G46" s="72">
        <v>0</v>
      </c>
      <c r="H46" s="72">
        <v>0</v>
      </c>
      <c r="I46" s="72">
        <f t="shared" si="3"/>
        <v>0</v>
      </c>
      <c r="J46" s="72">
        <v>0</v>
      </c>
      <c r="K46" s="72">
        <v>0</v>
      </c>
      <c r="L46" s="64" t="s">
        <v>59</v>
      </c>
      <c r="M46" s="74"/>
      <c r="N46" s="55"/>
    </row>
    <row r="47" spans="3:14" ht="15" customHeight="1" thickBot="1" x14ac:dyDescent="0.25">
      <c r="C47" s="72">
        <f t="shared" si="0"/>
        <v>30</v>
      </c>
      <c r="D47" s="72">
        <f t="shared" si="1"/>
        <v>0</v>
      </c>
      <c r="E47" s="72">
        <f t="shared" si="1"/>
        <v>30</v>
      </c>
      <c r="F47" s="72">
        <f t="shared" si="2"/>
        <v>19</v>
      </c>
      <c r="G47" s="72">
        <v>0</v>
      </c>
      <c r="H47" s="72">
        <v>19</v>
      </c>
      <c r="I47" s="72">
        <f t="shared" si="3"/>
        <v>11</v>
      </c>
      <c r="J47" s="72">
        <v>0</v>
      </c>
      <c r="K47" s="72">
        <v>11</v>
      </c>
      <c r="L47" s="64" t="s">
        <v>56</v>
      </c>
      <c r="M47" s="73"/>
      <c r="N47" s="55"/>
    </row>
    <row r="48" spans="3:14" ht="15" customHeight="1" thickBot="1" x14ac:dyDescent="0.25">
      <c r="C48" s="72">
        <f t="shared" si="0"/>
        <v>400</v>
      </c>
      <c r="D48" s="72">
        <f t="shared" si="1"/>
        <v>0</v>
      </c>
      <c r="E48" s="72">
        <f t="shared" si="1"/>
        <v>400</v>
      </c>
      <c r="F48" s="72">
        <f t="shared" si="2"/>
        <v>76</v>
      </c>
      <c r="G48" s="72">
        <v>0</v>
      </c>
      <c r="H48" s="72">
        <v>76</v>
      </c>
      <c r="I48" s="72">
        <f t="shared" si="3"/>
        <v>324</v>
      </c>
      <c r="J48" s="72">
        <v>0</v>
      </c>
      <c r="K48" s="72">
        <v>324</v>
      </c>
      <c r="L48" s="64" t="s">
        <v>57</v>
      </c>
      <c r="M48" s="73" t="s">
        <v>175</v>
      </c>
      <c r="N48" s="55"/>
    </row>
    <row r="49" spans="3:14" ht="15" customHeight="1" thickBot="1" x14ac:dyDescent="0.25">
      <c r="C49" s="72">
        <f t="shared" si="0"/>
        <v>0</v>
      </c>
      <c r="D49" s="72">
        <f t="shared" si="1"/>
        <v>0</v>
      </c>
      <c r="E49" s="72">
        <f t="shared" si="1"/>
        <v>0</v>
      </c>
      <c r="F49" s="72">
        <f t="shared" si="2"/>
        <v>0</v>
      </c>
      <c r="G49" s="72">
        <v>0</v>
      </c>
      <c r="H49" s="72">
        <v>0</v>
      </c>
      <c r="I49" s="72">
        <f t="shared" si="3"/>
        <v>0</v>
      </c>
      <c r="J49" s="72">
        <v>0</v>
      </c>
      <c r="K49" s="72">
        <v>0</v>
      </c>
      <c r="L49" s="64" t="s">
        <v>59</v>
      </c>
      <c r="M49" s="74"/>
      <c r="N49" s="55"/>
    </row>
    <row r="50" spans="3:14" ht="15" customHeight="1" thickBot="1" x14ac:dyDescent="0.25">
      <c r="C50" s="72">
        <f t="shared" si="0"/>
        <v>13</v>
      </c>
      <c r="D50" s="72">
        <f t="shared" si="1"/>
        <v>0</v>
      </c>
      <c r="E50" s="72">
        <f t="shared" si="1"/>
        <v>13</v>
      </c>
      <c r="F50" s="72">
        <f t="shared" si="2"/>
        <v>13</v>
      </c>
      <c r="G50" s="72">
        <v>0</v>
      </c>
      <c r="H50" s="72">
        <v>13</v>
      </c>
      <c r="I50" s="72">
        <f t="shared" si="3"/>
        <v>0</v>
      </c>
      <c r="J50" s="72">
        <v>0</v>
      </c>
      <c r="K50" s="72">
        <v>0</v>
      </c>
      <c r="L50" s="64" t="s">
        <v>56</v>
      </c>
      <c r="M50" s="73"/>
      <c r="N50" s="55"/>
    </row>
    <row r="51" spans="3:14" ht="15" customHeight="1" thickBot="1" x14ac:dyDescent="0.25">
      <c r="C51" s="72">
        <f t="shared" si="0"/>
        <v>50</v>
      </c>
      <c r="D51" s="72">
        <f t="shared" si="1"/>
        <v>0</v>
      </c>
      <c r="E51" s="72">
        <f t="shared" si="1"/>
        <v>50</v>
      </c>
      <c r="F51" s="72">
        <f t="shared" si="2"/>
        <v>13</v>
      </c>
      <c r="G51" s="72">
        <v>0</v>
      </c>
      <c r="H51" s="72">
        <v>13</v>
      </c>
      <c r="I51" s="72">
        <f t="shared" si="3"/>
        <v>37</v>
      </c>
      <c r="J51" s="72">
        <v>0</v>
      </c>
      <c r="K51" s="72">
        <v>37</v>
      </c>
      <c r="L51" s="64" t="s">
        <v>57</v>
      </c>
      <c r="M51" s="73" t="s">
        <v>177</v>
      </c>
      <c r="N51" s="55"/>
    </row>
    <row r="52" spans="3:14" ht="15" customHeight="1" thickBot="1" x14ac:dyDescent="0.25">
      <c r="C52" s="72">
        <f t="shared" si="0"/>
        <v>0</v>
      </c>
      <c r="D52" s="72">
        <f t="shared" si="1"/>
        <v>0</v>
      </c>
      <c r="E52" s="72">
        <f t="shared" si="1"/>
        <v>0</v>
      </c>
      <c r="F52" s="72">
        <f t="shared" si="2"/>
        <v>0</v>
      </c>
      <c r="G52" s="72">
        <v>0</v>
      </c>
      <c r="H52" s="72">
        <v>0</v>
      </c>
      <c r="I52" s="72">
        <f t="shared" si="3"/>
        <v>0</v>
      </c>
      <c r="J52" s="72">
        <v>0</v>
      </c>
      <c r="K52" s="72">
        <v>0</v>
      </c>
      <c r="L52" s="64" t="s">
        <v>59</v>
      </c>
      <c r="M52" s="74"/>
      <c r="N52" s="55"/>
    </row>
    <row r="53" spans="3:14" ht="15" customHeight="1" thickBot="1" x14ac:dyDescent="0.25">
      <c r="C53" s="72">
        <f t="shared" si="0"/>
        <v>1</v>
      </c>
      <c r="D53" s="72">
        <f t="shared" si="1"/>
        <v>0</v>
      </c>
      <c r="E53" s="72">
        <f t="shared" si="1"/>
        <v>1</v>
      </c>
      <c r="F53" s="72">
        <f t="shared" si="2"/>
        <v>0</v>
      </c>
      <c r="G53" s="72">
        <v>0</v>
      </c>
      <c r="H53" s="72">
        <v>0</v>
      </c>
      <c r="I53" s="72">
        <f t="shared" si="3"/>
        <v>1</v>
      </c>
      <c r="J53" s="72">
        <v>0</v>
      </c>
      <c r="K53" s="72">
        <v>1</v>
      </c>
      <c r="L53" s="64" t="s">
        <v>56</v>
      </c>
      <c r="M53" s="73"/>
      <c r="N53" s="55"/>
    </row>
    <row r="54" spans="3:14" ht="15" customHeight="1" thickBot="1" x14ac:dyDescent="0.25">
      <c r="C54" s="72">
        <f t="shared" si="0"/>
        <v>63</v>
      </c>
      <c r="D54" s="72">
        <f t="shared" si="1"/>
        <v>0</v>
      </c>
      <c r="E54" s="72">
        <f t="shared" si="1"/>
        <v>63</v>
      </c>
      <c r="F54" s="72">
        <f t="shared" si="2"/>
        <v>7</v>
      </c>
      <c r="G54" s="72">
        <v>0</v>
      </c>
      <c r="H54" s="72">
        <v>7</v>
      </c>
      <c r="I54" s="72">
        <f t="shared" si="3"/>
        <v>56</v>
      </c>
      <c r="J54" s="72">
        <v>0</v>
      </c>
      <c r="K54" s="72">
        <v>56</v>
      </c>
      <c r="L54" s="64" t="s">
        <v>57</v>
      </c>
      <c r="M54" s="73" t="s">
        <v>178</v>
      </c>
      <c r="N54" s="55"/>
    </row>
    <row r="55" spans="3:14" ht="15" customHeight="1" thickBot="1" x14ac:dyDescent="0.25">
      <c r="C55" s="72">
        <f t="shared" si="0"/>
        <v>0</v>
      </c>
      <c r="D55" s="72">
        <f t="shared" si="1"/>
        <v>0</v>
      </c>
      <c r="E55" s="72">
        <f t="shared" si="1"/>
        <v>0</v>
      </c>
      <c r="F55" s="72">
        <f t="shared" si="2"/>
        <v>0</v>
      </c>
      <c r="G55" s="72">
        <v>0</v>
      </c>
      <c r="H55" s="72">
        <v>0</v>
      </c>
      <c r="I55" s="72">
        <f t="shared" si="3"/>
        <v>0</v>
      </c>
      <c r="J55" s="72">
        <v>0</v>
      </c>
      <c r="K55" s="72">
        <v>0</v>
      </c>
      <c r="L55" s="64" t="s">
        <v>59</v>
      </c>
      <c r="M55" s="74"/>
      <c r="N55" s="55"/>
    </row>
    <row r="56" spans="3:14" ht="15" customHeight="1" thickBot="1" x14ac:dyDescent="0.25">
      <c r="C56" s="72">
        <f t="shared" si="0"/>
        <v>0</v>
      </c>
      <c r="D56" s="72">
        <f t="shared" si="1"/>
        <v>0</v>
      </c>
      <c r="E56" s="72">
        <f t="shared" si="1"/>
        <v>0</v>
      </c>
      <c r="F56" s="72">
        <f t="shared" si="2"/>
        <v>0</v>
      </c>
      <c r="G56" s="72">
        <v>0</v>
      </c>
      <c r="H56" s="72">
        <v>0</v>
      </c>
      <c r="I56" s="72">
        <f t="shared" si="3"/>
        <v>0</v>
      </c>
      <c r="J56" s="72">
        <v>0</v>
      </c>
      <c r="K56" s="72">
        <v>0</v>
      </c>
      <c r="L56" s="64" t="s">
        <v>56</v>
      </c>
      <c r="M56" s="73"/>
      <c r="N56" s="55"/>
    </row>
    <row r="57" spans="3:14" ht="15" customHeight="1" thickBot="1" x14ac:dyDescent="0.25">
      <c r="C57" s="72">
        <f t="shared" si="0"/>
        <v>10</v>
      </c>
      <c r="D57" s="72">
        <f t="shared" si="1"/>
        <v>0</v>
      </c>
      <c r="E57" s="72">
        <f t="shared" si="1"/>
        <v>10</v>
      </c>
      <c r="F57" s="72">
        <f t="shared" si="2"/>
        <v>0</v>
      </c>
      <c r="G57" s="72">
        <v>0</v>
      </c>
      <c r="H57" s="72">
        <v>0</v>
      </c>
      <c r="I57" s="72">
        <f t="shared" si="3"/>
        <v>10</v>
      </c>
      <c r="J57" s="72">
        <v>0</v>
      </c>
      <c r="K57" s="72">
        <v>10</v>
      </c>
      <c r="L57" s="64" t="s">
        <v>57</v>
      </c>
      <c r="M57" s="73" t="s">
        <v>179</v>
      </c>
      <c r="N57" s="55"/>
    </row>
    <row r="58" spans="3:14" ht="15" customHeight="1" thickBot="1" x14ac:dyDescent="0.25">
      <c r="C58" s="72">
        <f t="shared" si="0"/>
        <v>0</v>
      </c>
      <c r="D58" s="72">
        <f t="shared" si="1"/>
        <v>0</v>
      </c>
      <c r="E58" s="72">
        <f t="shared" si="1"/>
        <v>0</v>
      </c>
      <c r="F58" s="72">
        <f t="shared" si="2"/>
        <v>0</v>
      </c>
      <c r="G58" s="72">
        <v>0</v>
      </c>
      <c r="H58" s="72">
        <v>0</v>
      </c>
      <c r="I58" s="72">
        <f t="shared" si="3"/>
        <v>0</v>
      </c>
      <c r="J58" s="72">
        <v>0</v>
      </c>
      <c r="K58" s="72">
        <v>0</v>
      </c>
      <c r="L58" s="64" t="s">
        <v>59</v>
      </c>
      <c r="M58" s="74"/>
      <c r="N58" s="55"/>
    </row>
    <row r="59" spans="3:14" ht="15" customHeight="1" thickBot="1" x14ac:dyDescent="0.25">
      <c r="C59" s="72">
        <f t="shared" si="0"/>
        <v>7</v>
      </c>
      <c r="D59" s="72">
        <f t="shared" si="1"/>
        <v>6</v>
      </c>
      <c r="E59" s="72">
        <f t="shared" si="1"/>
        <v>1</v>
      </c>
      <c r="F59" s="72">
        <f t="shared" si="2"/>
        <v>5</v>
      </c>
      <c r="G59" s="72">
        <v>5</v>
      </c>
      <c r="H59" s="72">
        <v>0</v>
      </c>
      <c r="I59" s="72">
        <f t="shared" si="3"/>
        <v>2</v>
      </c>
      <c r="J59" s="72">
        <v>1</v>
      </c>
      <c r="K59" s="72">
        <v>1</v>
      </c>
      <c r="L59" s="64" t="s">
        <v>56</v>
      </c>
      <c r="M59" s="73"/>
      <c r="N59" s="55"/>
    </row>
    <row r="60" spans="3:14" ht="15" customHeight="1" thickBot="1" x14ac:dyDescent="0.25">
      <c r="C60" s="72">
        <f t="shared" si="0"/>
        <v>185</v>
      </c>
      <c r="D60" s="72">
        <f t="shared" si="1"/>
        <v>104</v>
      </c>
      <c r="E60" s="72">
        <f t="shared" si="1"/>
        <v>81</v>
      </c>
      <c r="F60" s="72">
        <f t="shared" si="2"/>
        <v>6</v>
      </c>
      <c r="G60" s="72">
        <v>1</v>
      </c>
      <c r="H60" s="72">
        <v>5</v>
      </c>
      <c r="I60" s="72">
        <f t="shared" si="3"/>
        <v>179</v>
      </c>
      <c r="J60" s="72">
        <v>103</v>
      </c>
      <c r="K60" s="72">
        <v>76</v>
      </c>
      <c r="L60" s="64" t="s">
        <v>57</v>
      </c>
      <c r="M60" s="73" t="s">
        <v>180</v>
      </c>
      <c r="N60" s="55"/>
    </row>
    <row r="61" spans="3:14" ht="15" customHeight="1" thickBot="1" x14ac:dyDescent="0.25">
      <c r="C61" s="72">
        <f t="shared" si="0"/>
        <v>5</v>
      </c>
      <c r="D61" s="72">
        <f t="shared" si="1"/>
        <v>5</v>
      </c>
      <c r="E61" s="72">
        <f t="shared" si="1"/>
        <v>0</v>
      </c>
      <c r="F61" s="72">
        <f t="shared" si="2"/>
        <v>0</v>
      </c>
      <c r="G61" s="72">
        <v>0</v>
      </c>
      <c r="H61" s="72">
        <v>0</v>
      </c>
      <c r="I61" s="72">
        <f t="shared" si="3"/>
        <v>5</v>
      </c>
      <c r="J61" s="72">
        <v>5</v>
      </c>
      <c r="K61" s="72">
        <v>0</v>
      </c>
      <c r="L61" s="64" t="s">
        <v>59</v>
      </c>
      <c r="M61" s="74"/>
      <c r="N61" s="55"/>
    </row>
    <row r="62" spans="3:14" ht="15" customHeight="1" thickBot="1" x14ac:dyDescent="0.25">
      <c r="C62" s="72">
        <f t="shared" si="0"/>
        <v>9</v>
      </c>
      <c r="D62" s="72">
        <f t="shared" si="1"/>
        <v>6</v>
      </c>
      <c r="E62" s="72">
        <f t="shared" si="1"/>
        <v>3</v>
      </c>
      <c r="F62" s="72">
        <f t="shared" si="2"/>
        <v>0</v>
      </c>
      <c r="G62" s="72">
        <v>0</v>
      </c>
      <c r="H62" s="72">
        <v>0</v>
      </c>
      <c r="I62" s="72">
        <f t="shared" si="3"/>
        <v>9</v>
      </c>
      <c r="J62" s="72">
        <v>6</v>
      </c>
      <c r="K62" s="72">
        <v>3</v>
      </c>
      <c r="L62" s="64" t="s">
        <v>56</v>
      </c>
      <c r="M62" s="73"/>
      <c r="N62" s="55"/>
    </row>
    <row r="63" spans="3:14" ht="15" customHeight="1" thickBot="1" x14ac:dyDescent="0.25">
      <c r="C63" s="72">
        <f t="shared" si="0"/>
        <v>132</v>
      </c>
      <c r="D63" s="72">
        <f t="shared" si="1"/>
        <v>86</v>
      </c>
      <c r="E63" s="72">
        <f t="shared" si="1"/>
        <v>46</v>
      </c>
      <c r="F63" s="72">
        <f t="shared" si="2"/>
        <v>1</v>
      </c>
      <c r="G63" s="72">
        <v>1</v>
      </c>
      <c r="H63" s="72">
        <v>0</v>
      </c>
      <c r="I63" s="72">
        <f t="shared" si="3"/>
        <v>131</v>
      </c>
      <c r="J63" s="72">
        <v>85</v>
      </c>
      <c r="K63" s="72">
        <v>46</v>
      </c>
      <c r="L63" s="64" t="s">
        <v>57</v>
      </c>
      <c r="M63" s="73" t="s">
        <v>181</v>
      </c>
      <c r="N63" s="55"/>
    </row>
    <row r="64" spans="3:14" ht="15" customHeight="1" thickBot="1" x14ac:dyDescent="0.25">
      <c r="C64" s="72">
        <f t="shared" si="0"/>
        <v>88</v>
      </c>
      <c r="D64" s="72">
        <f t="shared" si="1"/>
        <v>88</v>
      </c>
      <c r="E64" s="72">
        <f t="shared" si="1"/>
        <v>0</v>
      </c>
      <c r="F64" s="72">
        <f t="shared" si="2"/>
        <v>0</v>
      </c>
      <c r="G64" s="72">
        <v>0</v>
      </c>
      <c r="H64" s="72">
        <v>0</v>
      </c>
      <c r="I64" s="72">
        <f t="shared" si="3"/>
        <v>88</v>
      </c>
      <c r="J64" s="72">
        <v>88</v>
      </c>
      <c r="K64" s="72">
        <v>0</v>
      </c>
      <c r="L64" s="64" t="s">
        <v>59</v>
      </c>
      <c r="M64" s="74"/>
      <c r="N64" s="55"/>
    </row>
    <row r="65" spans="3:14" ht="15" customHeight="1" thickBot="1" x14ac:dyDescent="0.25">
      <c r="C65" s="72">
        <f t="shared" si="0"/>
        <v>93</v>
      </c>
      <c r="D65" s="72">
        <f t="shared" si="1"/>
        <v>36</v>
      </c>
      <c r="E65" s="72">
        <f t="shared" si="1"/>
        <v>57</v>
      </c>
      <c r="F65" s="72">
        <f t="shared" si="2"/>
        <v>25</v>
      </c>
      <c r="G65" s="72">
        <v>0</v>
      </c>
      <c r="H65" s="72">
        <v>25</v>
      </c>
      <c r="I65" s="72">
        <f t="shared" si="3"/>
        <v>68</v>
      </c>
      <c r="J65" s="72">
        <v>36</v>
      </c>
      <c r="K65" s="72">
        <v>32</v>
      </c>
      <c r="L65" s="64" t="s">
        <v>56</v>
      </c>
      <c r="M65" s="73"/>
      <c r="N65" s="55"/>
    </row>
    <row r="66" spans="3:14" ht="15" customHeight="1" thickBot="1" x14ac:dyDescent="0.25">
      <c r="C66" s="72">
        <f t="shared" si="0"/>
        <v>388</v>
      </c>
      <c r="D66" s="72">
        <f t="shared" si="1"/>
        <v>219</v>
      </c>
      <c r="E66" s="72">
        <f t="shared" si="1"/>
        <v>169</v>
      </c>
      <c r="F66" s="72">
        <f t="shared" si="2"/>
        <v>84</v>
      </c>
      <c r="G66" s="72">
        <v>42</v>
      </c>
      <c r="H66" s="72">
        <v>42</v>
      </c>
      <c r="I66" s="72">
        <f t="shared" si="3"/>
        <v>304</v>
      </c>
      <c r="J66" s="72">
        <v>177</v>
      </c>
      <c r="K66" s="72">
        <v>127</v>
      </c>
      <c r="L66" s="64" t="s">
        <v>57</v>
      </c>
      <c r="M66" s="73" t="s">
        <v>53</v>
      </c>
      <c r="N66" s="55"/>
    </row>
    <row r="67" spans="3:14" ht="15" customHeight="1" thickBot="1" x14ac:dyDescent="0.25">
      <c r="C67" s="72">
        <f t="shared" si="0"/>
        <v>0</v>
      </c>
      <c r="D67" s="72">
        <f t="shared" si="1"/>
        <v>0</v>
      </c>
      <c r="E67" s="72">
        <f t="shared" si="1"/>
        <v>0</v>
      </c>
      <c r="F67" s="72">
        <f t="shared" si="2"/>
        <v>0</v>
      </c>
      <c r="G67" s="72">
        <v>0</v>
      </c>
      <c r="H67" s="72">
        <v>0</v>
      </c>
      <c r="I67" s="72">
        <f t="shared" si="3"/>
        <v>0</v>
      </c>
      <c r="J67" s="72">
        <v>0</v>
      </c>
      <c r="K67" s="72">
        <v>0</v>
      </c>
      <c r="L67" s="64" t="s">
        <v>59</v>
      </c>
      <c r="M67" s="74"/>
      <c r="N67" s="55"/>
    </row>
    <row r="68" spans="3:14" ht="15" customHeight="1" thickBot="1" x14ac:dyDescent="0.25">
      <c r="C68" s="72">
        <f t="shared" ref="C68:K70" si="4">C5+C8+C11+C14+C17+C20+C23+C26+C29+C32+C35+C38+C41+C44+C47+C50+C53+C56+C59+C62+C65</f>
        <v>850</v>
      </c>
      <c r="D68" s="72">
        <f t="shared" si="4"/>
        <v>274</v>
      </c>
      <c r="E68" s="72">
        <f t="shared" si="4"/>
        <v>576</v>
      </c>
      <c r="F68" s="72">
        <f t="shared" si="4"/>
        <v>167</v>
      </c>
      <c r="G68" s="72">
        <f t="shared" si="4"/>
        <v>16</v>
      </c>
      <c r="H68" s="72">
        <f t="shared" si="4"/>
        <v>151</v>
      </c>
      <c r="I68" s="72">
        <f t="shared" si="4"/>
        <v>683</v>
      </c>
      <c r="J68" s="72">
        <f t="shared" si="4"/>
        <v>258</v>
      </c>
      <c r="K68" s="72">
        <f>K5+K8+K11+K14+K17+K20+K23+K26+K29+K32+K35+K38+K41+K44+K47+K50+K53+K56+K59+K62+K65</f>
        <v>425</v>
      </c>
      <c r="L68" s="64" t="s">
        <v>243</v>
      </c>
      <c r="M68" s="42"/>
      <c r="N68" s="55"/>
    </row>
    <row r="69" spans="3:14" ht="15" customHeight="1" thickBot="1" x14ac:dyDescent="0.25">
      <c r="C69" s="72">
        <f t="shared" si="4"/>
        <v>6547</v>
      </c>
      <c r="D69" s="72">
        <f t="shared" si="4"/>
        <v>2538</v>
      </c>
      <c r="E69" s="72">
        <f t="shared" si="4"/>
        <v>4009</v>
      </c>
      <c r="F69" s="72">
        <f t="shared" si="4"/>
        <v>608</v>
      </c>
      <c r="G69" s="72">
        <f t="shared" si="4"/>
        <v>94</v>
      </c>
      <c r="H69" s="72">
        <f t="shared" si="4"/>
        <v>514</v>
      </c>
      <c r="I69" s="72">
        <f t="shared" si="4"/>
        <v>5939</v>
      </c>
      <c r="J69" s="72">
        <f t="shared" si="4"/>
        <v>2444</v>
      </c>
      <c r="K69" s="72">
        <f t="shared" si="4"/>
        <v>3495</v>
      </c>
      <c r="L69" s="64" t="s">
        <v>57</v>
      </c>
      <c r="M69" s="75" t="s">
        <v>244</v>
      </c>
      <c r="N69" s="55"/>
    </row>
    <row r="70" spans="3:14" ht="15" customHeight="1" thickBot="1" x14ac:dyDescent="0.25">
      <c r="C70" s="72">
        <f t="shared" si="4"/>
        <v>1721</v>
      </c>
      <c r="D70" s="72">
        <f t="shared" si="4"/>
        <v>575</v>
      </c>
      <c r="E70" s="72">
        <f t="shared" si="4"/>
        <v>1146</v>
      </c>
      <c r="F70" s="72">
        <f t="shared" si="4"/>
        <v>60</v>
      </c>
      <c r="G70" s="72">
        <f t="shared" si="4"/>
        <v>12</v>
      </c>
      <c r="H70" s="72">
        <f t="shared" si="4"/>
        <v>48</v>
      </c>
      <c r="I70" s="72">
        <f t="shared" si="4"/>
        <v>1661</v>
      </c>
      <c r="J70" s="72">
        <f t="shared" si="4"/>
        <v>563</v>
      </c>
      <c r="K70" s="72">
        <f t="shared" si="4"/>
        <v>1098</v>
      </c>
      <c r="L70" s="64" t="s">
        <v>59</v>
      </c>
      <c r="M70" s="44"/>
      <c r="N70" s="55"/>
    </row>
    <row r="71" spans="3:14" ht="15" customHeight="1" thickBot="1" x14ac:dyDescent="0.25">
      <c r="C71" s="45">
        <f t="shared" ref="C71:J71" si="5">SUM(C68:C70)</f>
        <v>9118</v>
      </c>
      <c r="D71" s="45">
        <f t="shared" si="5"/>
        <v>3387</v>
      </c>
      <c r="E71" s="45">
        <f t="shared" si="5"/>
        <v>5731</v>
      </c>
      <c r="F71" s="45">
        <f t="shared" si="5"/>
        <v>835</v>
      </c>
      <c r="G71" s="45">
        <f t="shared" si="5"/>
        <v>122</v>
      </c>
      <c r="H71" s="45">
        <f t="shared" si="5"/>
        <v>713</v>
      </c>
      <c r="I71" s="45">
        <f t="shared" si="5"/>
        <v>8283</v>
      </c>
      <c r="J71" s="45">
        <f t="shared" si="5"/>
        <v>3265</v>
      </c>
      <c r="K71" s="45">
        <f>SUM(K68:K70)</f>
        <v>5018</v>
      </c>
      <c r="L71" s="473" t="s">
        <v>245</v>
      </c>
      <c r="M71" s="473"/>
      <c r="N71" s="55"/>
    </row>
  </sheetData>
  <mergeCells count="8">
    <mergeCell ref="L4:M4"/>
    <mergeCell ref="L71:M71"/>
    <mergeCell ref="C1:M1"/>
    <mergeCell ref="C2:M2"/>
    <mergeCell ref="C3:E3"/>
    <mergeCell ref="F3:H3"/>
    <mergeCell ref="I3:K3"/>
    <mergeCell ref="L3:M3"/>
  </mergeCells>
  <printOptions horizontalCentered="1" verticalCentered="1"/>
  <pageMargins left="0.39370078740157499" right="0.39370078740157499" top="0.23622047244094499" bottom="0.23622047244094499" header="0.23622047244094499" footer="0.23622047244094499"/>
  <pageSetup paperSize="9" scale="95" orientation="landscape" horizontalDpi="300" verticalDpi="300" r:id="rId1"/>
  <headerFooter alignWithMargins="0"/>
  <rowBreaks count="1" manualBreakCount="1">
    <brk id="43" min="2" max="12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2:K208"/>
  <sheetViews>
    <sheetView showGridLines="0" topLeftCell="A199" zoomScaleSheetLayoutView="154" workbookViewId="0">
      <selection activeCell="L8" sqref="L8"/>
    </sheetView>
  </sheetViews>
  <sheetFormatPr defaultColWidth="8.375" defaultRowHeight="15.75" customHeight="1" x14ac:dyDescent="0.2"/>
  <cols>
    <col min="1" max="1" width="7.25" style="2" customWidth="1"/>
    <col min="2" max="10" width="7" style="211" customWidth="1"/>
    <col min="11" max="11" width="35.125" style="212" bestFit="1" customWidth="1"/>
    <col min="12" max="16384" width="8.375" style="2"/>
  </cols>
  <sheetData>
    <row r="2" spans="2:11" ht="15.75" customHeight="1" x14ac:dyDescent="0.2">
      <c r="B2" s="475" t="s">
        <v>248</v>
      </c>
      <c r="C2" s="475"/>
      <c r="D2" s="475"/>
      <c r="E2" s="475"/>
      <c r="F2" s="475"/>
      <c r="G2" s="475"/>
      <c r="H2" s="475"/>
      <c r="I2" s="475"/>
      <c r="J2" s="475"/>
      <c r="K2" s="475"/>
    </row>
    <row r="3" spans="2:11" ht="15.75" customHeight="1" thickBot="1" x14ac:dyDescent="0.25">
      <c r="B3" s="200"/>
      <c r="C3" s="200"/>
      <c r="D3" s="200"/>
      <c r="E3" s="200"/>
      <c r="F3" s="200"/>
      <c r="G3" s="200"/>
      <c r="H3" s="200"/>
      <c r="I3" s="200"/>
      <c r="J3" s="200"/>
      <c r="K3" s="201"/>
    </row>
    <row r="4" spans="2:11" ht="15.75" customHeight="1" thickBot="1" x14ac:dyDescent="0.25">
      <c r="B4" s="476" t="s">
        <v>4</v>
      </c>
      <c r="C4" s="476"/>
      <c r="D4" s="476"/>
      <c r="E4" s="476" t="s">
        <v>145</v>
      </c>
      <c r="F4" s="476"/>
      <c r="G4" s="476"/>
      <c r="H4" s="476" t="s">
        <v>146</v>
      </c>
      <c r="I4" s="476"/>
      <c r="J4" s="476"/>
      <c r="K4" s="202" t="s">
        <v>66</v>
      </c>
    </row>
    <row r="5" spans="2:11" ht="15.75" customHeight="1" thickBot="1" x14ac:dyDescent="0.25">
      <c r="B5" s="185" t="s">
        <v>227</v>
      </c>
      <c r="C5" s="185" t="s">
        <v>10</v>
      </c>
      <c r="D5" s="185" t="s">
        <v>9</v>
      </c>
      <c r="E5" s="185" t="s">
        <v>227</v>
      </c>
      <c r="F5" s="185" t="s">
        <v>10</v>
      </c>
      <c r="G5" s="185" t="s">
        <v>9</v>
      </c>
      <c r="H5" s="185" t="s">
        <v>227</v>
      </c>
      <c r="I5" s="185" t="s">
        <v>10</v>
      </c>
      <c r="J5" s="185" t="s">
        <v>9</v>
      </c>
      <c r="K5" s="187" t="s">
        <v>68</v>
      </c>
    </row>
    <row r="6" spans="2:11" ht="15.75" customHeight="1" thickBot="1" x14ac:dyDescent="0.25">
      <c r="B6" s="47">
        <f>SUM(C6:D6)</f>
        <v>885</v>
      </c>
      <c r="C6" s="47">
        <f>I6+F6</f>
        <v>530</v>
      </c>
      <c r="D6" s="47">
        <f>J6+G6</f>
        <v>355</v>
      </c>
      <c r="E6" s="47">
        <f>SUM(F6:G6)</f>
        <v>0</v>
      </c>
      <c r="F6" s="47">
        <v>0</v>
      </c>
      <c r="G6" s="47">
        <v>0</v>
      </c>
      <c r="H6" s="47">
        <f>SUM(I6:J6)</f>
        <v>885</v>
      </c>
      <c r="I6" s="47">
        <v>530</v>
      </c>
      <c r="J6" s="47">
        <v>355</v>
      </c>
      <c r="K6" s="78" t="s">
        <v>67</v>
      </c>
    </row>
    <row r="7" spans="2:11" ht="15.75" customHeight="1" thickBot="1" x14ac:dyDescent="0.25">
      <c r="B7" s="47">
        <f t="shared" ref="B7:B9" si="0">SUM(C7:D7)</f>
        <v>933</v>
      </c>
      <c r="C7" s="47">
        <f t="shared" ref="C7:D9" si="1">I7+F7</f>
        <v>0</v>
      </c>
      <c r="D7" s="47">
        <f t="shared" si="1"/>
        <v>933</v>
      </c>
      <c r="E7" s="47">
        <f t="shared" ref="E7:E9" si="2">SUM(F7:G7)</f>
        <v>16</v>
      </c>
      <c r="F7" s="47">
        <v>0</v>
      </c>
      <c r="G7" s="47">
        <v>16</v>
      </c>
      <c r="H7" s="47">
        <f t="shared" ref="H7:H9" si="3">SUM(I7:J7)</f>
        <v>917</v>
      </c>
      <c r="I7" s="47">
        <v>0</v>
      </c>
      <c r="J7" s="47">
        <v>917</v>
      </c>
      <c r="K7" s="78" t="s">
        <v>80</v>
      </c>
    </row>
    <row r="8" spans="2:11" ht="15.75" customHeight="1" thickBot="1" x14ac:dyDescent="0.25">
      <c r="B8" s="47">
        <f t="shared" si="0"/>
        <v>22</v>
      </c>
      <c r="C8" s="47">
        <f t="shared" si="1"/>
        <v>0</v>
      </c>
      <c r="D8" s="47">
        <f t="shared" si="1"/>
        <v>22</v>
      </c>
      <c r="E8" s="47">
        <f t="shared" si="2"/>
        <v>22</v>
      </c>
      <c r="F8" s="47">
        <v>0</v>
      </c>
      <c r="G8" s="47">
        <v>22</v>
      </c>
      <c r="H8" s="47">
        <f t="shared" si="3"/>
        <v>0</v>
      </c>
      <c r="I8" s="47">
        <v>0</v>
      </c>
      <c r="J8" s="47">
        <v>0</v>
      </c>
      <c r="K8" s="78" t="s">
        <v>249</v>
      </c>
    </row>
    <row r="9" spans="2:11" ht="15.75" customHeight="1" thickBot="1" x14ac:dyDescent="0.25">
      <c r="B9" s="47">
        <f t="shared" si="0"/>
        <v>41</v>
      </c>
      <c r="C9" s="47">
        <f t="shared" si="1"/>
        <v>0</v>
      </c>
      <c r="D9" s="47">
        <f t="shared" si="1"/>
        <v>41</v>
      </c>
      <c r="E9" s="47">
        <f t="shared" si="2"/>
        <v>0</v>
      </c>
      <c r="F9" s="47">
        <v>0</v>
      </c>
      <c r="G9" s="47">
        <v>0</v>
      </c>
      <c r="H9" s="47">
        <f t="shared" si="3"/>
        <v>41</v>
      </c>
      <c r="I9" s="47">
        <v>0</v>
      </c>
      <c r="J9" s="47">
        <v>41</v>
      </c>
      <c r="K9" s="78" t="s">
        <v>250</v>
      </c>
    </row>
    <row r="10" spans="2:11" ht="15.75" customHeight="1" thickBot="1" x14ac:dyDescent="0.25">
      <c r="B10" s="47">
        <f t="shared" ref="B10:I10" si="4">SUM(B6:B9)</f>
        <v>1881</v>
      </c>
      <c r="C10" s="47">
        <f t="shared" si="4"/>
        <v>530</v>
      </c>
      <c r="D10" s="47">
        <f t="shared" si="4"/>
        <v>1351</v>
      </c>
      <c r="E10" s="47">
        <f t="shared" si="4"/>
        <v>38</v>
      </c>
      <c r="F10" s="47">
        <f t="shared" si="4"/>
        <v>0</v>
      </c>
      <c r="G10" s="47">
        <f t="shared" si="4"/>
        <v>38</v>
      </c>
      <c r="H10" s="47">
        <f t="shared" si="4"/>
        <v>1843</v>
      </c>
      <c r="I10" s="47">
        <f t="shared" si="4"/>
        <v>530</v>
      </c>
      <c r="J10" s="47">
        <f>SUM(J6:J9)</f>
        <v>1313</v>
      </c>
      <c r="K10" s="187" t="s">
        <v>188</v>
      </c>
    </row>
    <row r="11" spans="2:11" ht="15.75" customHeight="1" thickBot="1" x14ac:dyDescent="0.25">
      <c r="B11" s="476" t="s">
        <v>4</v>
      </c>
      <c r="C11" s="476"/>
      <c r="D11" s="476"/>
      <c r="E11" s="476" t="s">
        <v>145</v>
      </c>
      <c r="F11" s="476"/>
      <c r="G11" s="476"/>
      <c r="H11" s="476" t="s">
        <v>146</v>
      </c>
      <c r="I11" s="476"/>
      <c r="J11" s="476"/>
      <c r="K11" s="202" t="s">
        <v>66</v>
      </c>
    </row>
    <row r="12" spans="2:11" ht="15.75" customHeight="1" thickBot="1" x14ac:dyDescent="0.25">
      <c r="B12" s="185" t="s">
        <v>227</v>
      </c>
      <c r="C12" s="185" t="s">
        <v>10</v>
      </c>
      <c r="D12" s="185" t="s">
        <v>9</v>
      </c>
      <c r="E12" s="185" t="s">
        <v>227</v>
      </c>
      <c r="F12" s="185" t="s">
        <v>10</v>
      </c>
      <c r="G12" s="185" t="s">
        <v>9</v>
      </c>
      <c r="H12" s="185" t="s">
        <v>227</v>
      </c>
      <c r="I12" s="185" t="s">
        <v>10</v>
      </c>
      <c r="J12" s="185" t="s">
        <v>9</v>
      </c>
      <c r="K12" s="187" t="s">
        <v>147</v>
      </c>
    </row>
    <row r="13" spans="2:11" ht="15.75" customHeight="1" thickBot="1" x14ac:dyDescent="0.25">
      <c r="B13" s="47">
        <f>SUM(C13:D13)</f>
        <v>470</v>
      </c>
      <c r="C13" s="47">
        <f>I13+F13</f>
        <v>0</v>
      </c>
      <c r="D13" s="47">
        <f>J13+G13</f>
        <v>470</v>
      </c>
      <c r="E13" s="47">
        <f>SUM(F13:G13)</f>
        <v>470</v>
      </c>
      <c r="F13" s="47">
        <v>0</v>
      </c>
      <c r="G13" s="47">
        <v>470</v>
      </c>
      <c r="H13" s="47">
        <f>SUM(I13:J13)</f>
        <v>0</v>
      </c>
      <c r="I13" s="47">
        <v>0</v>
      </c>
      <c r="J13" s="47">
        <v>0</v>
      </c>
      <c r="K13" s="78" t="s">
        <v>249</v>
      </c>
    </row>
    <row r="14" spans="2:11" ht="15.75" customHeight="1" thickBot="1" x14ac:dyDescent="0.25">
      <c r="B14" s="47">
        <f t="shared" ref="B14:I14" si="5">SUM(B13)</f>
        <v>470</v>
      </c>
      <c r="C14" s="47">
        <f t="shared" si="5"/>
        <v>0</v>
      </c>
      <c r="D14" s="47">
        <f t="shared" si="5"/>
        <v>470</v>
      </c>
      <c r="E14" s="47">
        <f t="shared" si="5"/>
        <v>470</v>
      </c>
      <c r="F14" s="47">
        <f t="shared" si="5"/>
        <v>0</v>
      </c>
      <c r="G14" s="47">
        <f t="shared" si="5"/>
        <v>470</v>
      </c>
      <c r="H14" s="47">
        <f t="shared" si="5"/>
        <v>0</v>
      </c>
      <c r="I14" s="47">
        <f t="shared" si="5"/>
        <v>0</v>
      </c>
      <c r="J14" s="47">
        <f>SUM(J13)</f>
        <v>0</v>
      </c>
      <c r="K14" s="187" t="s">
        <v>188</v>
      </c>
    </row>
    <row r="15" spans="2:11" ht="15.75" customHeight="1" thickBot="1" x14ac:dyDescent="0.25">
      <c r="B15" s="477" t="s">
        <v>4</v>
      </c>
      <c r="C15" s="477"/>
      <c r="D15" s="477"/>
      <c r="E15" s="477" t="s">
        <v>145</v>
      </c>
      <c r="F15" s="477"/>
      <c r="G15" s="477"/>
      <c r="H15" s="477" t="s">
        <v>146</v>
      </c>
      <c r="I15" s="477"/>
      <c r="J15" s="477"/>
      <c r="K15" s="203" t="s">
        <v>66</v>
      </c>
    </row>
    <row r="16" spans="2:11" ht="15.75" customHeight="1" thickBot="1" x14ac:dyDescent="0.25">
      <c r="B16" s="204" t="s">
        <v>227</v>
      </c>
      <c r="C16" s="204" t="s">
        <v>10</v>
      </c>
      <c r="D16" s="204" t="s">
        <v>9</v>
      </c>
      <c r="E16" s="204" t="s">
        <v>227</v>
      </c>
      <c r="F16" s="204" t="s">
        <v>10</v>
      </c>
      <c r="G16" s="204" t="s">
        <v>9</v>
      </c>
      <c r="H16" s="204" t="s">
        <v>227</v>
      </c>
      <c r="I16" s="204" t="s">
        <v>10</v>
      </c>
      <c r="J16" s="204" t="s">
        <v>9</v>
      </c>
      <c r="K16" s="205" t="s">
        <v>70</v>
      </c>
    </row>
    <row r="17" spans="2:11" ht="15.75" customHeight="1" thickBot="1" x14ac:dyDescent="0.25">
      <c r="B17" s="206">
        <f t="shared" ref="B17:D20" si="6">H17+E17</f>
        <v>125</v>
      </c>
      <c r="C17" s="206">
        <f t="shared" si="6"/>
        <v>0</v>
      </c>
      <c r="D17" s="206">
        <f t="shared" si="6"/>
        <v>125</v>
      </c>
      <c r="E17" s="206">
        <f>G17+F17</f>
        <v>0</v>
      </c>
      <c r="F17" s="206">
        <v>0</v>
      </c>
      <c r="G17" s="206">
        <v>0</v>
      </c>
      <c r="H17" s="206">
        <f>J17+I17</f>
        <v>125</v>
      </c>
      <c r="I17" s="206">
        <v>0</v>
      </c>
      <c r="J17" s="206">
        <v>125</v>
      </c>
      <c r="K17" s="207" t="s">
        <v>251</v>
      </c>
    </row>
    <row r="18" spans="2:11" ht="15.75" customHeight="1" thickBot="1" x14ac:dyDescent="0.25">
      <c r="B18" s="206">
        <f t="shared" si="6"/>
        <v>520</v>
      </c>
      <c r="C18" s="206">
        <f t="shared" si="6"/>
        <v>0</v>
      </c>
      <c r="D18" s="206">
        <f t="shared" si="6"/>
        <v>520</v>
      </c>
      <c r="E18" s="206">
        <f>G18+F18</f>
        <v>520</v>
      </c>
      <c r="F18" s="206">
        <v>0</v>
      </c>
      <c r="G18" s="206">
        <v>520</v>
      </c>
      <c r="H18" s="206">
        <f>J18+I18</f>
        <v>0</v>
      </c>
      <c r="I18" s="206">
        <v>0</v>
      </c>
      <c r="J18" s="206">
        <v>0</v>
      </c>
      <c r="K18" s="207" t="s">
        <v>252</v>
      </c>
    </row>
    <row r="19" spans="2:11" ht="15.75" customHeight="1" thickBot="1" x14ac:dyDescent="0.25">
      <c r="B19" s="206">
        <f t="shared" si="6"/>
        <v>240</v>
      </c>
      <c r="C19" s="206">
        <f t="shared" si="6"/>
        <v>56</v>
      </c>
      <c r="D19" s="206">
        <f t="shared" si="6"/>
        <v>184</v>
      </c>
      <c r="E19" s="206">
        <f>G19+F19</f>
        <v>2</v>
      </c>
      <c r="F19" s="206">
        <v>1</v>
      </c>
      <c r="G19" s="206">
        <v>1</v>
      </c>
      <c r="H19" s="206">
        <f>J19+I19</f>
        <v>238</v>
      </c>
      <c r="I19" s="206">
        <v>55</v>
      </c>
      <c r="J19" s="206">
        <v>183</v>
      </c>
      <c r="K19" s="207" t="s">
        <v>69</v>
      </c>
    </row>
    <row r="20" spans="2:11" ht="15.75" customHeight="1" thickBot="1" x14ac:dyDescent="0.25">
      <c r="B20" s="206">
        <f t="shared" si="6"/>
        <v>187</v>
      </c>
      <c r="C20" s="206">
        <f t="shared" si="6"/>
        <v>0</v>
      </c>
      <c r="D20" s="206">
        <f t="shared" si="6"/>
        <v>187</v>
      </c>
      <c r="E20" s="206">
        <f>G20+F20</f>
        <v>0</v>
      </c>
      <c r="F20" s="206">
        <v>0</v>
      </c>
      <c r="G20" s="206">
        <v>0</v>
      </c>
      <c r="H20" s="206">
        <f>J20+I20</f>
        <v>187</v>
      </c>
      <c r="I20" s="206">
        <v>0</v>
      </c>
      <c r="J20" s="206">
        <v>187</v>
      </c>
      <c r="K20" s="207" t="s">
        <v>253</v>
      </c>
    </row>
    <row r="21" spans="2:11" ht="15.75" customHeight="1" thickBot="1" x14ac:dyDescent="0.25">
      <c r="B21" s="206">
        <f t="shared" ref="B21:J21" si="7">SUM(B17:B20)</f>
        <v>1072</v>
      </c>
      <c r="C21" s="206">
        <f t="shared" si="7"/>
        <v>56</v>
      </c>
      <c r="D21" s="206">
        <f t="shared" si="7"/>
        <v>1016</v>
      </c>
      <c r="E21" s="206">
        <f t="shared" si="7"/>
        <v>522</v>
      </c>
      <c r="F21" s="206">
        <f t="shared" si="7"/>
        <v>1</v>
      </c>
      <c r="G21" s="206">
        <f t="shared" si="7"/>
        <v>521</v>
      </c>
      <c r="H21" s="206">
        <f t="shared" si="7"/>
        <v>550</v>
      </c>
      <c r="I21" s="206">
        <f t="shared" si="7"/>
        <v>55</v>
      </c>
      <c r="J21" s="206">
        <f t="shared" si="7"/>
        <v>495</v>
      </c>
      <c r="K21" s="205" t="s">
        <v>188</v>
      </c>
    </row>
    <row r="22" spans="2:11" ht="15.75" customHeight="1" thickBot="1" x14ac:dyDescent="0.25">
      <c r="B22" s="477" t="s">
        <v>4</v>
      </c>
      <c r="C22" s="477"/>
      <c r="D22" s="477"/>
      <c r="E22" s="477" t="s">
        <v>145</v>
      </c>
      <c r="F22" s="477"/>
      <c r="G22" s="477"/>
      <c r="H22" s="477" t="s">
        <v>146</v>
      </c>
      <c r="I22" s="477"/>
      <c r="J22" s="477"/>
      <c r="K22" s="203" t="s">
        <v>66</v>
      </c>
    </row>
    <row r="23" spans="2:11" ht="15.75" customHeight="1" thickBot="1" x14ac:dyDescent="0.25">
      <c r="B23" s="204" t="s">
        <v>227</v>
      </c>
      <c r="C23" s="204" t="s">
        <v>10</v>
      </c>
      <c r="D23" s="204" t="s">
        <v>9</v>
      </c>
      <c r="E23" s="204" t="s">
        <v>227</v>
      </c>
      <c r="F23" s="204" t="s">
        <v>10</v>
      </c>
      <c r="G23" s="204" t="s">
        <v>9</v>
      </c>
      <c r="H23" s="204" t="s">
        <v>227</v>
      </c>
      <c r="I23" s="204" t="s">
        <v>10</v>
      </c>
      <c r="J23" s="204" t="s">
        <v>9</v>
      </c>
      <c r="K23" s="205" t="s">
        <v>72</v>
      </c>
    </row>
    <row r="24" spans="2:11" ht="15.75" customHeight="1" thickBot="1" x14ac:dyDescent="0.25">
      <c r="B24" s="206">
        <f t="shared" ref="B24:D34" si="8">H24+E24</f>
        <v>46</v>
      </c>
      <c r="C24" s="206">
        <f t="shared" si="8"/>
        <v>0</v>
      </c>
      <c r="D24" s="206">
        <f t="shared" si="8"/>
        <v>46</v>
      </c>
      <c r="E24" s="206">
        <f t="shared" ref="E24:E34" si="9">G24+F24</f>
        <v>46</v>
      </c>
      <c r="F24" s="206">
        <v>0</v>
      </c>
      <c r="G24" s="206">
        <v>46</v>
      </c>
      <c r="H24" s="206">
        <f t="shared" ref="H24:H34" si="10">J24+I24</f>
        <v>0</v>
      </c>
      <c r="I24" s="206">
        <v>0</v>
      </c>
      <c r="J24" s="206">
        <v>0</v>
      </c>
      <c r="K24" s="207" t="s">
        <v>254</v>
      </c>
    </row>
    <row r="25" spans="2:11" ht="15.75" customHeight="1" thickBot="1" x14ac:dyDescent="0.25">
      <c r="B25" s="206">
        <f t="shared" si="8"/>
        <v>11</v>
      </c>
      <c r="C25" s="206">
        <f t="shared" si="8"/>
        <v>11</v>
      </c>
      <c r="D25" s="206">
        <f t="shared" si="8"/>
        <v>0</v>
      </c>
      <c r="E25" s="206">
        <f t="shared" si="9"/>
        <v>0</v>
      </c>
      <c r="F25" s="206">
        <v>0</v>
      </c>
      <c r="G25" s="206">
        <v>0</v>
      </c>
      <c r="H25" s="206">
        <f t="shared" si="10"/>
        <v>11</v>
      </c>
      <c r="I25" s="206">
        <v>11</v>
      </c>
      <c r="J25" s="206">
        <v>0</v>
      </c>
      <c r="K25" s="207" t="s">
        <v>255</v>
      </c>
    </row>
    <row r="26" spans="2:11" ht="15.75" customHeight="1" thickBot="1" x14ac:dyDescent="0.25">
      <c r="B26" s="206">
        <f t="shared" si="8"/>
        <v>84</v>
      </c>
      <c r="C26" s="206">
        <f t="shared" si="8"/>
        <v>0</v>
      </c>
      <c r="D26" s="206">
        <f t="shared" si="8"/>
        <v>84</v>
      </c>
      <c r="E26" s="206">
        <f t="shared" si="9"/>
        <v>0</v>
      </c>
      <c r="F26" s="206">
        <v>0</v>
      </c>
      <c r="G26" s="206">
        <v>0</v>
      </c>
      <c r="H26" s="206">
        <f t="shared" si="10"/>
        <v>84</v>
      </c>
      <c r="I26" s="206">
        <v>0</v>
      </c>
      <c r="J26" s="206">
        <v>84</v>
      </c>
      <c r="K26" s="207" t="s">
        <v>256</v>
      </c>
    </row>
    <row r="27" spans="2:11" ht="15.75" customHeight="1" thickBot="1" x14ac:dyDescent="0.25">
      <c r="B27" s="206">
        <f t="shared" si="8"/>
        <v>1522</v>
      </c>
      <c r="C27" s="206">
        <f t="shared" si="8"/>
        <v>1239</v>
      </c>
      <c r="D27" s="206">
        <f t="shared" si="8"/>
        <v>283</v>
      </c>
      <c r="E27" s="206">
        <f t="shared" si="9"/>
        <v>115</v>
      </c>
      <c r="F27" s="206">
        <v>65</v>
      </c>
      <c r="G27" s="206">
        <v>50</v>
      </c>
      <c r="H27" s="206">
        <f t="shared" si="10"/>
        <v>1407</v>
      </c>
      <c r="I27" s="206">
        <v>1174</v>
      </c>
      <c r="J27" s="206">
        <v>233</v>
      </c>
      <c r="K27" s="208" t="s">
        <v>257</v>
      </c>
    </row>
    <row r="28" spans="2:11" ht="15.75" customHeight="1" thickBot="1" x14ac:dyDescent="0.25">
      <c r="B28" s="206">
        <f t="shared" si="8"/>
        <v>1537</v>
      </c>
      <c r="C28" s="206">
        <f t="shared" si="8"/>
        <v>0</v>
      </c>
      <c r="D28" s="206">
        <f t="shared" si="8"/>
        <v>1537</v>
      </c>
      <c r="E28" s="206">
        <f t="shared" si="9"/>
        <v>19</v>
      </c>
      <c r="F28" s="206">
        <v>0</v>
      </c>
      <c r="G28" s="206">
        <v>19</v>
      </c>
      <c r="H28" s="206">
        <f t="shared" si="10"/>
        <v>1518</v>
      </c>
      <c r="I28" s="206">
        <v>0</v>
      </c>
      <c r="J28" s="206">
        <v>1518</v>
      </c>
      <c r="K28" s="208" t="s">
        <v>83</v>
      </c>
    </row>
    <row r="29" spans="2:11" ht="15.75" customHeight="1" thickBot="1" x14ac:dyDescent="0.25">
      <c r="B29" s="206">
        <f t="shared" si="8"/>
        <v>208</v>
      </c>
      <c r="C29" s="206">
        <f t="shared" si="8"/>
        <v>0</v>
      </c>
      <c r="D29" s="206">
        <f t="shared" si="8"/>
        <v>208</v>
      </c>
      <c r="E29" s="206">
        <f t="shared" si="9"/>
        <v>2</v>
      </c>
      <c r="F29" s="206">
        <v>0</v>
      </c>
      <c r="G29" s="206">
        <v>2</v>
      </c>
      <c r="H29" s="206">
        <f t="shared" si="10"/>
        <v>206</v>
      </c>
      <c r="I29" s="206">
        <v>0</v>
      </c>
      <c r="J29" s="206">
        <v>206</v>
      </c>
      <c r="K29" s="208" t="s">
        <v>85</v>
      </c>
    </row>
    <row r="30" spans="2:11" ht="15.75" customHeight="1" thickBot="1" x14ac:dyDescent="0.25">
      <c r="B30" s="206">
        <f t="shared" si="8"/>
        <v>216</v>
      </c>
      <c r="C30" s="206">
        <f t="shared" si="8"/>
        <v>0</v>
      </c>
      <c r="D30" s="206">
        <f t="shared" si="8"/>
        <v>216</v>
      </c>
      <c r="E30" s="206">
        <f t="shared" si="9"/>
        <v>1</v>
      </c>
      <c r="F30" s="206">
        <v>0</v>
      </c>
      <c r="G30" s="206">
        <v>1</v>
      </c>
      <c r="H30" s="206">
        <f t="shared" si="10"/>
        <v>215</v>
      </c>
      <c r="I30" s="206">
        <v>0</v>
      </c>
      <c r="J30" s="206">
        <v>215</v>
      </c>
      <c r="K30" s="208" t="s">
        <v>258</v>
      </c>
    </row>
    <row r="31" spans="2:11" ht="15.75" customHeight="1" thickBot="1" x14ac:dyDescent="0.25">
      <c r="B31" s="206">
        <f t="shared" si="8"/>
        <v>507</v>
      </c>
      <c r="C31" s="206">
        <f t="shared" si="8"/>
        <v>342</v>
      </c>
      <c r="D31" s="206">
        <f t="shared" si="8"/>
        <v>165</v>
      </c>
      <c r="E31" s="206">
        <f t="shared" si="9"/>
        <v>2</v>
      </c>
      <c r="F31" s="206">
        <v>1</v>
      </c>
      <c r="G31" s="206">
        <v>1</v>
      </c>
      <c r="H31" s="206">
        <f t="shared" si="10"/>
        <v>505</v>
      </c>
      <c r="I31" s="206">
        <v>341</v>
      </c>
      <c r="J31" s="206">
        <v>164</v>
      </c>
      <c r="K31" s="208" t="s">
        <v>86</v>
      </c>
    </row>
    <row r="32" spans="2:11" ht="15.75" customHeight="1" thickBot="1" x14ac:dyDescent="0.25">
      <c r="B32" s="206">
        <f t="shared" si="8"/>
        <v>210</v>
      </c>
      <c r="C32" s="206">
        <f t="shared" si="8"/>
        <v>0</v>
      </c>
      <c r="D32" s="206">
        <f t="shared" si="8"/>
        <v>210</v>
      </c>
      <c r="E32" s="206">
        <f t="shared" si="9"/>
        <v>0</v>
      </c>
      <c r="F32" s="206">
        <v>0</v>
      </c>
      <c r="G32" s="206">
        <v>0</v>
      </c>
      <c r="H32" s="206">
        <f t="shared" si="10"/>
        <v>210</v>
      </c>
      <c r="I32" s="206">
        <v>0</v>
      </c>
      <c r="J32" s="206">
        <v>210</v>
      </c>
      <c r="K32" s="208" t="s">
        <v>259</v>
      </c>
    </row>
    <row r="33" spans="2:11" ht="15.75" customHeight="1" thickBot="1" x14ac:dyDescent="0.25">
      <c r="B33" s="206">
        <f t="shared" si="8"/>
        <v>164</v>
      </c>
      <c r="C33" s="206">
        <f t="shared" si="8"/>
        <v>0</v>
      </c>
      <c r="D33" s="206">
        <f t="shared" si="8"/>
        <v>164</v>
      </c>
      <c r="E33" s="206">
        <f t="shared" si="9"/>
        <v>0</v>
      </c>
      <c r="F33" s="206">
        <v>0</v>
      </c>
      <c r="G33" s="206">
        <v>0</v>
      </c>
      <c r="H33" s="206">
        <f t="shared" si="10"/>
        <v>164</v>
      </c>
      <c r="I33" s="206">
        <v>0</v>
      </c>
      <c r="J33" s="206">
        <v>164</v>
      </c>
      <c r="K33" s="208" t="s">
        <v>197</v>
      </c>
    </row>
    <row r="34" spans="2:11" ht="15.75" customHeight="1" thickBot="1" x14ac:dyDescent="0.25">
      <c r="B34" s="206">
        <f t="shared" si="8"/>
        <v>109</v>
      </c>
      <c r="C34" s="206">
        <f t="shared" si="8"/>
        <v>0</v>
      </c>
      <c r="D34" s="206">
        <f t="shared" si="8"/>
        <v>109</v>
      </c>
      <c r="E34" s="206">
        <f t="shared" si="9"/>
        <v>0</v>
      </c>
      <c r="F34" s="206">
        <v>0</v>
      </c>
      <c r="G34" s="206">
        <v>0</v>
      </c>
      <c r="H34" s="206">
        <f t="shared" si="10"/>
        <v>109</v>
      </c>
      <c r="I34" s="206">
        <v>0</v>
      </c>
      <c r="J34" s="206">
        <v>109</v>
      </c>
      <c r="K34" s="208" t="s">
        <v>196</v>
      </c>
    </row>
    <row r="35" spans="2:11" ht="15.75" customHeight="1" thickBot="1" x14ac:dyDescent="0.25">
      <c r="B35" s="206">
        <f t="shared" ref="B35:I35" si="11">SUM(B24:B34)</f>
        <v>4614</v>
      </c>
      <c r="C35" s="206">
        <f t="shared" si="11"/>
        <v>1592</v>
      </c>
      <c r="D35" s="206">
        <f t="shared" si="11"/>
        <v>3022</v>
      </c>
      <c r="E35" s="206">
        <f t="shared" si="11"/>
        <v>185</v>
      </c>
      <c r="F35" s="206">
        <f t="shared" si="11"/>
        <v>66</v>
      </c>
      <c r="G35" s="206">
        <f t="shared" si="11"/>
        <v>119</v>
      </c>
      <c r="H35" s="206">
        <f t="shared" si="11"/>
        <v>4429</v>
      </c>
      <c r="I35" s="206">
        <f t="shared" si="11"/>
        <v>1526</v>
      </c>
      <c r="J35" s="206">
        <f>SUM(J24:J34)</f>
        <v>2903</v>
      </c>
      <c r="K35" s="205" t="s">
        <v>188</v>
      </c>
    </row>
    <row r="36" spans="2:11" ht="15.75" customHeight="1" thickBot="1" x14ac:dyDescent="0.25">
      <c r="B36" s="477" t="s">
        <v>4</v>
      </c>
      <c r="C36" s="477"/>
      <c r="D36" s="477"/>
      <c r="E36" s="477" t="s">
        <v>145</v>
      </c>
      <c r="F36" s="477"/>
      <c r="G36" s="477"/>
      <c r="H36" s="477" t="s">
        <v>146</v>
      </c>
      <c r="I36" s="477"/>
      <c r="J36" s="477"/>
      <c r="K36" s="203" t="s">
        <v>66</v>
      </c>
    </row>
    <row r="37" spans="2:11" ht="15.75" customHeight="1" thickBot="1" x14ac:dyDescent="0.25">
      <c r="B37" s="204" t="s">
        <v>227</v>
      </c>
      <c r="C37" s="204" t="s">
        <v>10</v>
      </c>
      <c r="D37" s="204" t="s">
        <v>9</v>
      </c>
      <c r="E37" s="204" t="s">
        <v>227</v>
      </c>
      <c r="F37" s="204" t="s">
        <v>10</v>
      </c>
      <c r="G37" s="204" t="s">
        <v>9</v>
      </c>
      <c r="H37" s="204" t="s">
        <v>227</v>
      </c>
      <c r="I37" s="204" t="s">
        <v>10</v>
      </c>
      <c r="J37" s="204" t="s">
        <v>9</v>
      </c>
      <c r="K37" s="205" t="s">
        <v>73</v>
      </c>
    </row>
    <row r="38" spans="2:11" ht="15.75" customHeight="1" thickBot="1" x14ac:dyDescent="0.25">
      <c r="B38" s="206">
        <f t="shared" ref="B38:D41" si="12">H38+E38</f>
        <v>64</v>
      </c>
      <c r="C38" s="206">
        <f t="shared" si="12"/>
        <v>49</v>
      </c>
      <c r="D38" s="206">
        <f t="shared" si="12"/>
        <v>15</v>
      </c>
      <c r="E38" s="206">
        <f>G38+F38</f>
        <v>2</v>
      </c>
      <c r="F38" s="206">
        <v>2</v>
      </c>
      <c r="G38" s="206">
        <v>0</v>
      </c>
      <c r="H38" s="206">
        <f>J38+I38</f>
        <v>62</v>
      </c>
      <c r="I38" s="206">
        <v>47</v>
      </c>
      <c r="J38" s="206">
        <v>15</v>
      </c>
      <c r="K38" s="209" t="s">
        <v>260</v>
      </c>
    </row>
    <row r="39" spans="2:11" ht="15.75" customHeight="1" thickBot="1" x14ac:dyDescent="0.25">
      <c r="B39" s="206">
        <f t="shared" si="12"/>
        <v>249</v>
      </c>
      <c r="C39" s="206">
        <f t="shared" si="12"/>
        <v>0</v>
      </c>
      <c r="D39" s="206">
        <f t="shared" si="12"/>
        <v>249</v>
      </c>
      <c r="E39" s="206">
        <f>G39+F39</f>
        <v>3</v>
      </c>
      <c r="F39" s="206">
        <v>0</v>
      </c>
      <c r="G39" s="206">
        <v>3</v>
      </c>
      <c r="H39" s="206">
        <f>J39+I39</f>
        <v>246</v>
      </c>
      <c r="I39" s="206">
        <v>0</v>
      </c>
      <c r="J39" s="206">
        <v>246</v>
      </c>
      <c r="K39" s="209" t="s">
        <v>88</v>
      </c>
    </row>
    <row r="40" spans="2:11" ht="15.75" customHeight="1" thickBot="1" x14ac:dyDescent="0.25">
      <c r="B40" s="206">
        <f t="shared" si="12"/>
        <v>35</v>
      </c>
      <c r="C40" s="206">
        <f t="shared" si="12"/>
        <v>35</v>
      </c>
      <c r="D40" s="206">
        <f t="shared" si="12"/>
        <v>0</v>
      </c>
      <c r="E40" s="206">
        <f>G40+F40</f>
        <v>0</v>
      </c>
      <c r="F40" s="206">
        <v>0</v>
      </c>
      <c r="G40" s="206">
        <v>0</v>
      </c>
      <c r="H40" s="206">
        <f>J40+I40</f>
        <v>35</v>
      </c>
      <c r="I40" s="206">
        <v>35</v>
      </c>
      <c r="J40" s="206">
        <v>0</v>
      </c>
      <c r="K40" s="209" t="s">
        <v>198</v>
      </c>
    </row>
    <row r="41" spans="2:11" ht="15.75" customHeight="1" thickBot="1" x14ac:dyDescent="0.25">
      <c r="B41" s="206">
        <f t="shared" si="12"/>
        <v>352</v>
      </c>
      <c r="C41" s="206">
        <f t="shared" si="12"/>
        <v>204</v>
      </c>
      <c r="D41" s="206">
        <f t="shared" si="12"/>
        <v>148</v>
      </c>
      <c r="E41" s="206">
        <f>G41+F41</f>
        <v>4</v>
      </c>
      <c r="F41" s="206">
        <v>4</v>
      </c>
      <c r="G41" s="206">
        <v>0</v>
      </c>
      <c r="H41" s="206">
        <f>J41+I41</f>
        <v>348</v>
      </c>
      <c r="I41" s="206">
        <v>200</v>
      </c>
      <c r="J41" s="206">
        <v>148</v>
      </c>
      <c r="K41" s="209" t="s">
        <v>261</v>
      </c>
    </row>
    <row r="42" spans="2:11" ht="15.75" customHeight="1" thickBot="1" x14ac:dyDescent="0.25">
      <c r="B42" s="206">
        <f>H42+E42</f>
        <v>202</v>
      </c>
      <c r="C42" s="206">
        <f>I42+F42</f>
        <v>86</v>
      </c>
      <c r="D42" s="206">
        <f>J42+G42</f>
        <v>116</v>
      </c>
      <c r="E42" s="206">
        <f>G42+F42</f>
        <v>5</v>
      </c>
      <c r="F42" s="206">
        <v>4</v>
      </c>
      <c r="G42" s="206">
        <v>1</v>
      </c>
      <c r="H42" s="206">
        <f>J42+I42</f>
        <v>197</v>
      </c>
      <c r="I42" s="206">
        <v>82</v>
      </c>
      <c r="J42" s="206">
        <v>115</v>
      </c>
      <c r="K42" s="209" t="s">
        <v>262</v>
      </c>
    </row>
    <row r="43" spans="2:11" ht="15.75" customHeight="1" thickBot="1" x14ac:dyDescent="0.25">
      <c r="B43" s="206">
        <f t="shared" ref="B43:I43" si="13">SUM(B38:B42)</f>
        <v>902</v>
      </c>
      <c r="C43" s="206">
        <f t="shared" si="13"/>
        <v>374</v>
      </c>
      <c r="D43" s="206">
        <f t="shared" si="13"/>
        <v>528</v>
      </c>
      <c r="E43" s="206">
        <f t="shared" si="13"/>
        <v>14</v>
      </c>
      <c r="F43" s="206">
        <f t="shared" si="13"/>
        <v>10</v>
      </c>
      <c r="G43" s="206">
        <f t="shared" si="13"/>
        <v>4</v>
      </c>
      <c r="H43" s="206">
        <f t="shared" si="13"/>
        <v>888</v>
      </c>
      <c r="I43" s="206">
        <f t="shared" si="13"/>
        <v>364</v>
      </c>
      <c r="J43" s="206">
        <f>SUM(J38:J42)</f>
        <v>524</v>
      </c>
      <c r="K43" s="205" t="s">
        <v>188</v>
      </c>
    </row>
    <row r="44" spans="2:11" ht="15.75" customHeight="1" thickBot="1" x14ac:dyDescent="0.25">
      <c r="B44" s="476" t="s">
        <v>4</v>
      </c>
      <c r="C44" s="476"/>
      <c r="D44" s="476"/>
      <c r="E44" s="476" t="s">
        <v>145</v>
      </c>
      <c r="F44" s="476"/>
      <c r="G44" s="476"/>
      <c r="H44" s="476" t="s">
        <v>146</v>
      </c>
      <c r="I44" s="476"/>
      <c r="J44" s="476"/>
      <c r="K44" s="202" t="s">
        <v>66</v>
      </c>
    </row>
    <row r="45" spans="2:11" ht="15.75" customHeight="1" thickBot="1" x14ac:dyDescent="0.25">
      <c r="B45" s="185" t="s">
        <v>227</v>
      </c>
      <c r="C45" s="185" t="s">
        <v>10</v>
      </c>
      <c r="D45" s="185" t="s">
        <v>9</v>
      </c>
      <c r="E45" s="185" t="s">
        <v>227</v>
      </c>
      <c r="F45" s="185" t="s">
        <v>10</v>
      </c>
      <c r="G45" s="185" t="s">
        <v>9</v>
      </c>
      <c r="H45" s="185" t="s">
        <v>227</v>
      </c>
      <c r="I45" s="185" t="s">
        <v>10</v>
      </c>
      <c r="J45" s="185" t="s">
        <v>9</v>
      </c>
      <c r="K45" s="187" t="s">
        <v>90</v>
      </c>
    </row>
    <row r="46" spans="2:11" ht="15.75" customHeight="1" thickBot="1" x14ac:dyDescent="0.25">
      <c r="B46" s="47">
        <f>SUM(C46:D46)</f>
        <v>341</v>
      </c>
      <c r="C46" s="47">
        <f>I46+F46</f>
        <v>0</v>
      </c>
      <c r="D46" s="47">
        <f>J46+G46</f>
        <v>341</v>
      </c>
      <c r="E46" s="47">
        <f>SUM(F46:G46)</f>
        <v>17</v>
      </c>
      <c r="F46" s="47">
        <v>0</v>
      </c>
      <c r="G46" s="47">
        <v>17</v>
      </c>
      <c r="H46" s="47">
        <f>SUM(I46:J46)</f>
        <v>324</v>
      </c>
      <c r="I46" s="47">
        <v>0</v>
      </c>
      <c r="J46" s="47">
        <v>324</v>
      </c>
      <c r="K46" s="78" t="s">
        <v>89</v>
      </c>
    </row>
    <row r="47" spans="2:11" ht="15.75" customHeight="1" thickBot="1" x14ac:dyDescent="0.25">
      <c r="B47" s="47">
        <f>SUM(C47:D47)</f>
        <v>730</v>
      </c>
      <c r="C47" s="47">
        <f>I47+F47</f>
        <v>0</v>
      </c>
      <c r="D47" s="47">
        <f>J47+G47</f>
        <v>730</v>
      </c>
      <c r="E47" s="47">
        <f>SUM(F47:G47)</f>
        <v>33</v>
      </c>
      <c r="F47" s="47">
        <v>0</v>
      </c>
      <c r="G47" s="47">
        <v>33</v>
      </c>
      <c r="H47" s="47">
        <f>SUM(I47:J47)</f>
        <v>697</v>
      </c>
      <c r="I47" s="47">
        <v>0</v>
      </c>
      <c r="J47" s="47">
        <v>697</v>
      </c>
      <c r="K47" s="78" t="s">
        <v>91</v>
      </c>
    </row>
    <row r="48" spans="2:11" ht="15.75" customHeight="1" thickBot="1" x14ac:dyDescent="0.25">
      <c r="B48" s="47">
        <f t="shared" ref="B48:I48" si="14">SUM(B46:B47)</f>
        <v>1071</v>
      </c>
      <c r="C48" s="47">
        <f t="shared" si="14"/>
        <v>0</v>
      </c>
      <c r="D48" s="47">
        <f t="shared" si="14"/>
        <v>1071</v>
      </c>
      <c r="E48" s="47">
        <f t="shared" si="14"/>
        <v>50</v>
      </c>
      <c r="F48" s="47">
        <f t="shared" si="14"/>
        <v>0</v>
      </c>
      <c r="G48" s="47">
        <f t="shared" si="14"/>
        <v>50</v>
      </c>
      <c r="H48" s="47">
        <f t="shared" si="14"/>
        <v>1021</v>
      </c>
      <c r="I48" s="47">
        <f t="shared" si="14"/>
        <v>0</v>
      </c>
      <c r="J48" s="47">
        <f>SUM(J46:J47)</f>
        <v>1021</v>
      </c>
      <c r="K48" s="187" t="s">
        <v>188</v>
      </c>
    </row>
    <row r="49" spans="2:11" ht="15.75" customHeight="1" thickBot="1" x14ac:dyDescent="0.25">
      <c r="B49" s="476" t="s">
        <v>4</v>
      </c>
      <c r="C49" s="476"/>
      <c r="D49" s="476"/>
      <c r="E49" s="476" t="s">
        <v>145</v>
      </c>
      <c r="F49" s="476"/>
      <c r="G49" s="476"/>
      <c r="H49" s="476" t="s">
        <v>146</v>
      </c>
      <c r="I49" s="476"/>
      <c r="J49" s="476"/>
      <c r="K49" s="202" t="s">
        <v>66</v>
      </c>
    </row>
    <row r="50" spans="2:11" ht="15.75" customHeight="1" thickBot="1" x14ac:dyDescent="0.25">
      <c r="B50" s="185" t="s">
        <v>227</v>
      </c>
      <c r="C50" s="185" t="s">
        <v>10</v>
      </c>
      <c r="D50" s="185" t="s">
        <v>9</v>
      </c>
      <c r="E50" s="185" t="s">
        <v>227</v>
      </c>
      <c r="F50" s="185" t="s">
        <v>10</v>
      </c>
      <c r="G50" s="185" t="s">
        <v>9</v>
      </c>
      <c r="H50" s="185" t="s">
        <v>227</v>
      </c>
      <c r="I50" s="185" t="s">
        <v>10</v>
      </c>
      <c r="J50" s="185" t="s">
        <v>9</v>
      </c>
      <c r="K50" s="187" t="s">
        <v>74</v>
      </c>
    </row>
    <row r="51" spans="2:11" ht="15.75" customHeight="1" thickBot="1" x14ac:dyDescent="0.25">
      <c r="B51" s="47">
        <f>SUM(C51:D51)</f>
        <v>512</v>
      </c>
      <c r="C51" s="47">
        <f>I51+F51</f>
        <v>443</v>
      </c>
      <c r="D51" s="47">
        <f>J51+G51</f>
        <v>69</v>
      </c>
      <c r="E51" s="47">
        <f>SUM(F51:G51)</f>
        <v>0</v>
      </c>
      <c r="F51" s="47">
        <v>0</v>
      </c>
      <c r="G51" s="47">
        <v>0</v>
      </c>
      <c r="H51" s="47">
        <f>SUM(I51:J51)</f>
        <v>512</v>
      </c>
      <c r="I51" s="47">
        <v>443</v>
      </c>
      <c r="J51" s="47">
        <v>69</v>
      </c>
      <c r="K51" s="78" t="s">
        <v>71</v>
      </c>
    </row>
    <row r="52" spans="2:11" ht="15.75" customHeight="1" thickBot="1" x14ac:dyDescent="0.25">
      <c r="B52" s="47">
        <f t="shared" ref="B52:B57" si="15">SUM(C52:D52)</f>
        <v>231</v>
      </c>
      <c r="C52" s="47">
        <f t="shared" ref="C52:D57" si="16">I52+F52</f>
        <v>231</v>
      </c>
      <c r="D52" s="47">
        <f t="shared" si="16"/>
        <v>0</v>
      </c>
      <c r="E52" s="47">
        <f t="shared" ref="E52:E57" si="17">SUM(F52:G52)</f>
        <v>0</v>
      </c>
      <c r="F52" s="47">
        <v>0</v>
      </c>
      <c r="G52" s="47">
        <v>0</v>
      </c>
      <c r="H52" s="47">
        <f t="shared" ref="H52:H57" si="18">SUM(I52:J52)</f>
        <v>231</v>
      </c>
      <c r="I52" s="47">
        <v>231</v>
      </c>
      <c r="J52" s="47">
        <v>0</v>
      </c>
      <c r="K52" s="78" t="s">
        <v>92</v>
      </c>
    </row>
    <row r="53" spans="2:11" ht="15.75" customHeight="1" thickBot="1" x14ac:dyDescent="0.25">
      <c r="B53" s="47">
        <f t="shared" si="15"/>
        <v>383</v>
      </c>
      <c r="C53" s="47">
        <f t="shared" si="16"/>
        <v>383</v>
      </c>
      <c r="D53" s="47">
        <f t="shared" si="16"/>
        <v>0</v>
      </c>
      <c r="E53" s="47">
        <f t="shared" si="17"/>
        <v>0</v>
      </c>
      <c r="F53" s="47">
        <v>0</v>
      </c>
      <c r="G53" s="47">
        <v>0</v>
      </c>
      <c r="H53" s="47">
        <f t="shared" si="18"/>
        <v>383</v>
      </c>
      <c r="I53" s="47">
        <v>383</v>
      </c>
      <c r="J53" s="47">
        <v>0</v>
      </c>
      <c r="K53" s="78" t="s">
        <v>263</v>
      </c>
    </row>
    <row r="54" spans="2:11" ht="15.75" customHeight="1" thickBot="1" x14ac:dyDescent="0.25">
      <c r="B54" s="47">
        <f t="shared" si="15"/>
        <v>262</v>
      </c>
      <c r="C54" s="47">
        <f t="shared" si="16"/>
        <v>174</v>
      </c>
      <c r="D54" s="47">
        <f t="shared" si="16"/>
        <v>88</v>
      </c>
      <c r="E54" s="47">
        <f t="shared" si="17"/>
        <v>1</v>
      </c>
      <c r="F54" s="47">
        <v>1</v>
      </c>
      <c r="G54" s="47">
        <v>0</v>
      </c>
      <c r="H54" s="47">
        <f t="shared" si="18"/>
        <v>261</v>
      </c>
      <c r="I54" s="47">
        <v>173</v>
      </c>
      <c r="J54" s="47">
        <v>88</v>
      </c>
      <c r="K54" s="78" t="s">
        <v>264</v>
      </c>
    </row>
    <row r="55" spans="2:11" ht="15.75" customHeight="1" thickBot="1" x14ac:dyDescent="0.25">
      <c r="B55" s="47">
        <f t="shared" si="15"/>
        <v>48</v>
      </c>
      <c r="C55" s="47">
        <f t="shared" si="16"/>
        <v>48</v>
      </c>
      <c r="D55" s="47">
        <f t="shared" si="16"/>
        <v>0</v>
      </c>
      <c r="E55" s="47">
        <f t="shared" si="17"/>
        <v>3</v>
      </c>
      <c r="F55" s="47">
        <v>3</v>
      </c>
      <c r="G55" s="47">
        <v>0</v>
      </c>
      <c r="H55" s="47">
        <f t="shared" si="18"/>
        <v>45</v>
      </c>
      <c r="I55" s="47">
        <v>45</v>
      </c>
      <c r="J55" s="47">
        <v>0</v>
      </c>
      <c r="K55" s="78" t="s">
        <v>265</v>
      </c>
    </row>
    <row r="56" spans="2:11" ht="15.75" customHeight="1" thickBot="1" x14ac:dyDescent="0.25">
      <c r="B56" s="47">
        <f t="shared" si="15"/>
        <v>144</v>
      </c>
      <c r="C56" s="47">
        <f t="shared" si="16"/>
        <v>127</v>
      </c>
      <c r="D56" s="47">
        <f t="shared" si="16"/>
        <v>17</v>
      </c>
      <c r="E56" s="47">
        <f t="shared" si="17"/>
        <v>0</v>
      </c>
      <c r="F56" s="47">
        <v>0</v>
      </c>
      <c r="G56" s="47">
        <v>0</v>
      </c>
      <c r="H56" s="47">
        <f t="shared" si="18"/>
        <v>144</v>
      </c>
      <c r="I56" s="47">
        <v>127</v>
      </c>
      <c r="J56" s="47">
        <v>17</v>
      </c>
      <c r="K56" s="78" t="s">
        <v>266</v>
      </c>
    </row>
    <row r="57" spans="2:11" ht="15.75" customHeight="1" thickBot="1" x14ac:dyDescent="0.25">
      <c r="B57" s="47">
        <f t="shared" si="15"/>
        <v>91</v>
      </c>
      <c r="C57" s="47">
        <f t="shared" si="16"/>
        <v>91</v>
      </c>
      <c r="D57" s="47">
        <f t="shared" si="16"/>
        <v>0</v>
      </c>
      <c r="E57" s="47">
        <f t="shared" si="17"/>
        <v>1</v>
      </c>
      <c r="F57" s="47">
        <v>1</v>
      </c>
      <c r="G57" s="47">
        <v>0</v>
      </c>
      <c r="H57" s="47">
        <f t="shared" si="18"/>
        <v>90</v>
      </c>
      <c r="I57" s="47">
        <v>90</v>
      </c>
      <c r="J57" s="47">
        <v>0</v>
      </c>
      <c r="K57" s="78" t="s">
        <v>267</v>
      </c>
    </row>
    <row r="58" spans="2:11" ht="15.75" customHeight="1" thickBot="1" x14ac:dyDescent="0.25">
      <c r="B58" s="47">
        <f t="shared" ref="B58:J58" si="19">SUM(B51:B57)</f>
        <v>1671</v>
      </c>
      <c r="C58" s="47">
        <f t="shared" si="19"/>
        <v>1497</v>
      </c>
      <c r="D58" s="47">
        <f t="shared" si="19"/>
        <v>174</v>
      </c>
      <c r="E58" s="47">
        <f t="shared" si="19"/>
        <v>5</v>
      </c>
      <c r="F58" s="47">
        <f t="shared" si="19"/>
        <v>5</v>
      </c>
      <c r="G58" s="47">
        <f t="shared" si="19"/>
        <v>0</v>
      </c>
      <c r="H58" s="47">
        <f t="shared" si="19"/>
        <v>1666</v>
      </c>
      <c r="I58" s="47">
        <f t="shared" si="19"/>
        <v>1492</v>
      </c>
      <c r="J58" s="47">
        <f t="shared" si="19"/>
        <v>174</v>
      </c>
      <c r="K58" s="187" t="s">
        <v>188</v>
      </c>
    </row>
    <row r="59" spans="2:11" ht="15.75" customHeight="1" thickBot="1" x14ac:dyDescent="0.25">
      <c r="B59" s="476" t="s">
        <v>4</v>
      </c>
      <c r="C59" s="476"/>
      <c r="D59" s="476"/>
      <c r="E59" s="476" t="s">
        <v>145</v>
      </c>
      <c r="F59" s="476"/>
      <c r="G59" s="476"/>
      <c r="H59" s="476" t="s">
        <v>146</v>
      </c>
      <c r="I59" s="476"/>
      <c r="J59" s="476"/>
      <c r="K59" s="202" t="s">
        <v>66</v>
      </c>
    </row>
    <row r="60" spans="2:11" ht="15.75" customHeight="1" thickBot="1" x14ac:dyDescent="0.25">
      <c r="B60" s="185" t="s">
        <v>227</v>
      </c>
      <c r="C60" s="185" t="s">
        <v>10</v>
      </c>
      <c r="D60" s="185" t="s">
        <v>9</v>
      </c>
      <c r="E60" s="185" t="s">
        <v>227</v>
      </c>
      <c r="F60" s="185" t="s">
        <v>10</v>
      </c>
      <c r="G60" s="185" t="s">
        <v>9</v>
      </c>
      <c r="H60" s="185" t="s">
        <v>227</v>
      </c>
      <c r="I60" s="185" t="s">
        <v>10</v>
      </c>
      <c r="J60" s="185" t="s">
        <v>9</v>
      </c>
      <c r="K60" s="187" t="s">
        <v>75</v>
      </c>
    </row>
    <row r="61" spans="2:11" ht="15.75" customHeight="1" thickBot="1" x14ac:dyDescent="0.25">
      <c r="B61" s="47">
        <f>SUM(C61:D61)</f>
        <v>450</v>
      </c>
      <c r="C61" s="47">
        <f>I61+F61</f>
        <v>0</v>
      </c>
      <c r="D61" s="47">
        <f>J61+G61</f>
        <v>450</v>
      </c>
      <c r="E61" s="47">
        <f>SUM(F61:G61)</f>
        <v>0</v>
      </c>
      <c r="F61" s="47">
        <v>0</v>
      </c>
      <c r="G61" s="47">
        <v>0</v>
      </c>
      <c r="H61" s="47">
        <f>SUM(I61:J61)</f>
        <v>450</v>
      </c>
      <c r="I61" s="47">
        <v>0</v>
      </c>
      <c r="J61" s="47">
        <v>450</v>
      </c>
      <c r="K61" s="78" t="s">
        <v>94</v>
      </c>
    </row>
    <row r="62" spans="2:11" ht="15.75" customHeight="1" thickBot="1" x14ac:dyDescent="0.25">
      <c r="B62" s="47">
        <f t="shared" ref="B62:B71" si="20">SUM(C62:D62)</f>
        <v>888</v>
      </c>
      <c r="C62" s="47">
        <f t="shared" ref="C62:D71" si="21">I62+F62</f>
        <v>0</v>
      </c>
      <c r="D62" s="47">
        <f t="shared" si="21"/>
        <v>888</v>
      </c>
      <c r="E62" s="47">
        <f t="shared" ref="E62:E71" si="22">SUM(F62:G62)</f>
        <v>1</v>
      </c>
      <c r="F62" s="47">
        <v>0</v>
      </c>
      <c r="G62" s="47">
        <v>1</v>
      </c>
      <c r="H62" s="47">
        <f t="shared" ref="H62:H71" si="23">SUM(I62:J62)</f>
        <v>887</v>
      </c>
      <c r="I62" s="47">
        <v>0</v>
      </c>
      <c r="J62" s="47">
        <v>887</v>
      </c>
      <c r="K62" s="78" t="s">
        <v>95</v>
      </c>
    </row>
    <row r="63" spans="2:11" ht="15.75" customHeight="1" thickBot="1" x14ac:dyDescent="0.25">
      <c r="B63" s="47">
        <f t="shared" si="20"/>
        <v>369</v>
      </c>
      <c r="C63" s="47">
        <f t="shared" si="21"/>
        <v>369</v>
      </c>
      <c r="D63" s="47">
        <f t="shared" si="21"/>
        <v>0</v>
      </c>
      <c r="E63" s="47">
        <f t="shared" si="22"/>
        <v>0</v>
      </c>
      <c r="F63" s="47">
        <v>0</v>
      </c>
      <c r="G63" s="47">
        <v>0</v>
      </c>
      <c r="H63" s="47">
        <f t="shared" si="23"/>
        <v>369</v>
      </c>
      <c r="I63" s="47">
        <v>369</v>
      </c>
      <c r="J63" s="47">
        <v>0</v>
      </c>
      <c r="K63" s="78" t="s">
        <v>96</v>
      </c>
    </row>
    <row r="64" spans="2:11" ht="15.75" customHeight="1" thickBot="1" x14ac:dyDescent="0.25">
      <c r="B64" s="47">
        <f t="shared" si="20"/>
        <v>517</v>
      </c>
      <c r="C64" s="47">
        <f t="shared" si="21"/>
        <v>517</v>
      </c>
      <c r="D64" s="47">
        <f t="shared" si="21"/>
        <v>0</v>
      </c>
      <c r="E64" s="47">
        <f t="shared" si="22"/>
        <v>1</v>
      </c>
      <c r="F64" s="47">
        <v>1</v>
      </c>
      <c r="G64" s="47">
        <v>0</v>
      </c>
      <c r="H64" s="47">
        <f t="shared" si="23"/>
        <v>516</v>
      </c>
      <c r="I64" s="47">
        <v>516</v>
      </c>
      <c r="J64" s="47">
        <v>0</v>
      </c>
      <c r="K64" s="78" t="s">
        <v>268</v>
      </c>
    </row>
    <row r="65" spans="2:11" ht="15.75" customHeight="1" thickBot="1" x14ac:dyDescent="0.25">
      <c r="B65" s="47">
        <f t="shared" si="20"/>
        <v>250</v>
      </c>
      <c r="C65" s="47">
        <f t="shared" si="21"/>
        <v>0</v>
      </c>
      <c r="D65" s="47">
        <f t="shared" si="21"/>
        <v>250</v>
      </c>
      <c r="E65" s="47">
        <f t="shared" si="22"/>
        <v>0</v>
      </c>
      <c r="F65" s="47">
        <v>0</v>
      </c>
      <c r="G65" s="47">
        <v>0</v>
      </c>
      <c r="H65" s="47">
        <f t="shared" si="23"/>
        <v>250</v>
      </c>
      <c r="I65" s="47">
        <v>0</v>
      </c>
      <c r="J65" s="47">
        <v>250</v>
      </c>
      <c r="K65" s="78" t="s">
        <v>97</v>
      </c>
    </row>
    <row r="66" spans="2:11" ht="15.75" customHeight="1" thickBot="1" x14ac:dyDescent="0.25">
      <c r="B66" s="47">
        <f t="shared" si="20"/>
        <v>175</v>
      </c>
      <c r="C66" s="47">
        <f t="shared" si="21"/>
        <v>0</v>
      </c>
      <c r="D66" s="47">
        <f t="shared" si="21"/>
        <v>175</v>
      </c>
      <c r="E66" s="47">
        <f t="shared" si="22"/>
        <v>0</v>
      </c>
      <c r="F66" s="47">
        <v>0</v>
      </c>
      <c r="G66" s="47">
        <v>0</v>
      </c>
      <c r="H66" s="47">
        <f t="shared" si="23"/>
        <v>175</v>
      </c>
      <c r="I66" s="47">
        <v>0</v>
      </c>
      <c r="J66" s="47">
        <v>175</v>
      </c>
      <c r="K66" s="78" t="s">
        <v>98</v>
      </c>
    </row>
    <row r="67" spans="2:11" ht="15.75" customHeight="1" thickBot="1" x14ac:dyDescent="0.25">
      <c r="B67" s="47">
        <f t="shared" si="20"/>
        <v>77</v>
      </c>
      <c r="C67" s="47">
        <f t="shared" si="21"/>
        <v>77</v>
      </c>
      <c r="D67" s="47">
        <f t="shared" si="21"/>
        <v>0</v>
      </c>
      <c r="E67" s="47">
        <f t="shared" si="22"/>
        <v>0</v>
      </c>
      <c r="F67" s="47">
        <v>0</v>
      </c>
      <c r="G67" s="47">
        <v>0</v>
      </c>
      <c r="H67" s="47">
        <f t="shared" si="23"/>
        <v>77</v>
      </c>
      <c r="I67" s="47">
        <v>77</v>
      </c>
      <c r="J67" s="47">
        <v>0</v>
      </c>
      <c r="K67" s="79" t="s">
        <v>199</v>
      </c>
    </row>
    <row r="68" spans="2:11" ht="15.75" customHeight="1" thickBot="1" x14ac:dyDescent="0.25">
      <c r="B68" s="47">
        <f t="shared" si="20"/>
        <v>60</v>
      </c>
      <c r="C68" s="47">
        <f t="shared" si="21"/>
        <v>60</v>
      </c>
      <c r="D68" s="47">
        <f t="shared" si="21"/>
        <v>0</v>
      </c>
      <c r="E68" s="47">
        <f t="shared" si="22"/>
        <v>0</v>
      </c>
      <c r="F68" s="47">
        <v>0</v>
      </c>
      <c r="G68" s="47">
        <v>0</v>
      </c>
      <c r="H68" s="47">
        <f t="shared" si="23"/>
        <v>60</v>
      </c>
      <c r="I68" s="47">
        <v>60</v>
      </c>
      <c r="J68" s="47">
        <v>0</v>
      </c>
      <c r="K68" s="79" t="s">
        <v>269</v>
      </c>
    </row>
    <row r="69" spans="2:11" ht="15.75" customHeight="1" thickBot="1" x14ac:dyDescent="0.25">
      <c r="B69" s="47">
        <f t="shared" si="20"/>
        <v>291</v>
      </c>
      <c r="C69" s="47">
        <f t="shared" si="21"/>
        <v>145</v>
      </c>
      <c r="D69" s="47">
        <f t="shared" si="21"/>
        <v>146</v>
      </c>
      <c r="E69" s="47">
        <f t="shared" si="22"/>
        <v>0</v>
      </c>
      <c r="F69" s="47">
        <v>0</v>
      </c>
      <c r="G69" s="47">
        <v>0</v>
      </c>
      <c r="H69" s="47">
        <f t="shared" si="23"/>
        <v>291</v>
      </c>
      <c r="I69" s="47">
        <v>145</v>
      </c>
      <c r="J69" s="47">
        <v>146</v>
      </c>
      <c r="K69" s="79" t="s">
        <v>270</v>
      </c>
    </row>
    <row r="70" spans="2:11" ht="15.75" customHeight="1" thickBot="1" x14ac:dyDescent="0.25">
      <c r="B70" s="47">
        <f t="shared" si="20"/>
        <v>59</v>
      </c>
      <c r="C70" s="47">
        <f t="shared" si="21"/>
        <v>59</v>
      </c>
      <c r="D70" s="47">
        <f t="shared" si="21"/>
        <v>0</v>
      </c>
      <c r="E70" s="47">
        <f t="shared" si="22"/>
        <v>0</v>
      </c>
      <c r="F70" s="47">
        <v>0</v>
      </c>
      <c r="G70" s="47">
        <v>0</v>
      </c>
      <c r="H70" s="47">
        <f t="shared" si="23"/>
        <v>59</v>
      </c>
      <c r="I70" s="47">
        <v>59</v>
      </c>
      <c r="J70" s="47">
        <v>0</v>
      </c>
      <c r="K70" s="79" t="s">
        <v>271</v>
      </c>
    </row>
    <row r="71" spans="2:11" ht="15.75" customHeight="1" thickBot="1" x14ac:dyDescent="0.25">
      <c r="B71" s="47">
        <f t="shared" si="20"/>
        <v>87</v>
      </c>
      <c r="C71" s="47">
        <f t="shared" si="21"/>
        <v>87</v>
      </c>
      <c r="D71" s="47">
        <f t="shared" si="21"/>
        <v>0</v>
      </c>
      <c r="E71" s="47">
        <f t="shared" si="22"/>
        <v>0</v>
      </c>
      <c r="F71" s="47">
        <v>0</v>
      </c>
      <c r="G71" s="47">
        <v>0</v>
      </c>
      <c r="H71" s="47">
        <f t="shared" si="23"/>
        <v>87</v>
      </c>
      <c r="I71" s="47">
        <v>87</v>
      </c>
      <c r="J71" s="47">
        <v>0</v>
      </c>
      <c r="K71" s="79" t="s">
        <v>272</v>
      </c>
    </row>
    <row r="72" spans="2:11" ht="15.75" customHeight="1" thickBot="1" x14ac:dyDescent="0.25">
      <c r="B72" s="47">
        <f t="shared" ref="B72:I72" si="24">SUM(B61:B71)</f>
        <v>3223</v>
      </c>
      <c r="C72" s="47">
        <f t="shared" si="24"/>
        <v>1314</v>
      </c>
      <c r="D72" s="47">
        <f t="shared" si="24"/>
        <v>1909</v>
      </c>
      <c r="E72" s="47">
        <f t="shared" si="24"/>
        <v>2</v>
      </c>
      <c r="F72" s="47">
        <f t="shared" si="24"/>
        <v>1</v>
      </c>
      <c r="G72" s="47">
        <f t="shared" si="24"/>
        <v>1</v>
      </c>
      <c r="H72" s="47">
        <f t="shared" si="24"/>
        <v>3221</v>
      </c>
      <c r="I72" s="47">
        <f t="shared" si="24"/>
        <v>1313</v>
      </c>
      <c r="J72" s="47">
        <f>SUM(J61:J71)</f>
        <v>1908</v>
      </c>
      <c r="K72" s="187" t="s">
        <v>188</v>
      </c>
    </row>
    <row r="73" spans="2:11" ht="15.75" customHeight="1" thickBot="1" x14ac:dyDescent="0.25">
      <c r="B73" s="476" t="s">
        <v>4</v>
      </c>
      <c r="C73" s="476"/>
      <c r="D73" s="476"/>
      <c r="E73" s="476" t="s">
        <v>145</v>
      </c>
      <c r="F73" s="476"/>
      <c r="G73" s="476"/>
      <c r="H73" s="476" t="s">
        <v>146</v>
      </c>
      <c r="I73" s="476"/>
      <c r="J73" s="476"/>
      <c r="K73" s="210" t="s">
        <v>66</v>
      </c>
    </row>
    <row r="74" spans="2:11" ht="15.75" customHeight="1" thickBot="1" x14ac:dyDescent="0.25">
      <c r="B74" s="185" t="s">
        <v>227</v>
      </c>
      <c r="C74" s="185" t="s">
        <v>10</v>
      </c>
      <c r="D74" s="185" t="s">
        <v>9</v>
      </c>
      <c r="E74" s="185" t="s">
        <v>227</v>
      </c>
      <c r="F74" s="185" t="s">
        <v>10</v>
      </c>
      <c r="G74" s="185" t="s">
        <v>9</v>
      </c>
      <c r="H74" s="185" t="s">
        <v>227</v>
      </c>
      <c r="I74" s="185" t="s">
        <v>10</v>
      </c>
      <c r="J74" s="185" t="s">
        <v>9</v>
      </c>
      <c r="K74" s="187" t="s">
        <v>100</v>
      </c>
    </row>
    <row r="75" spans="2:11" ht="15.75" customHeight="1" thickBot="1" x14ac:dyDescent="0.25">
      <c r="B75" s="185">
        <f>SUM(C75:D75)</f>
        <v>209</v>
      </c>
      <c r="C75" s="185">
        <f>I75+F75</f>
        <v>0</v>
      </c>
      <c r="D75" s="185">
        <f>J75+G75</f>
        <v>209</v>
      </c>
      <c r="E75" s="185">
        <f>SUM(F75:G75)</f>
        <v>0</v>
      </c>
      <c r="F75" s="185">
        <v>0</v>
      </c>
      <c r="G75" s="185">
        <v>0</v>
      </c>
      <c r="H75" s="185">
        <f>SUM(I75:J75)</f>
        <v>209</v>
      </c>
      <c r="I75" s="185">
        <v>0</v>
      </c>
      <c r="J75" s="185">
        <v>209</v>
      </c>
      <c r="K75" s="78" t="s">
        <v>99</v>
      </c>
    </row>
    <row r="76" spans="2:11" ht="15.75" customHeight="1" thickBot="1" x14ac:dyDescent="0.25">
      <c r="B76" s="185">
        <f t="shared" ref="B76:B77" si="25">SUM(C76:D76)</f>
        <v>190</v>
      </c>
      <c r="C76" s="185">
        <f t="shared" ref="C76:D77" si="26">I76+F76</f>
        <v>0</v>
      </c>
      <c r="D76" s="185">
        <f t="shared" si="26"/>
        <v>190</v>
      </c>
      <c r="E76" s="185">
        <f t="shared" ref="E76:E77" si="27">SUM(F76:G76)</f>
        <v>0</v>
      </c>
      <c r="F76" s="185">
        <v>0</v>
      </c>
      <c r="G76" s="185">
        <v>0</v>
      </c>
      <c r="H76" s="185">
        <f t="shared" ref="H76:H77" si="28">SUM(I76:J76)</f>
        <v>190</v>
      </c>
      <c r="I76" s="185">
        <v>0</v>
      </c>
      <c r="J76" s="185">
        <v>190</v>
      </c>
      <c r="K76" s="78" t="s">
        <v>101</v>
      </c>
    </row>
    <row r="77" spans="2:11" ht="15.75" customHeight="1" thickBot="1" x14ac:dyDescent="0.25">
      <c r="B77" s="185">
        <f t="shared" si="25"/>
        <v>173</v>
      </c>
      <c r="C77" s="185">
        <f t="shared" si="26"/>
        <v>164</v>
      </c>
      <c r="D77" s="185">
        <f t="shared" si="26"/>
        <v>9</v>
      </c>
      <c r="E77" s="185">
        <f t="shared" si="27"/>
        <v>0</v>
      </c>
      <c r="F77" s="185">
        <v>0</v>
      </c>
      <c r="G77" s="185">
        <v>0</v>
      </c>
      <c r="H77" s="185">
        <f t="shared" si="28"/>
        <v>173</v>
      </c>
      <c r="I77" s="185">
        <v>164</v>
      </c>
      <c r="J77" s="185">
        <v>9</v>
      </c>
      <c r="K77" s="79" t="s">
        <v>273</v>
      </c>
    </row>
    <row r="78" spans="2:11" ht="15.75" customHeight="1" thickBot="1" x14ac:dyDescent="0.25">
      <c r="B78" s="185">
        <f t="shared" ref="B78:J78" si="29">SUM(B75:B77)</f>
        <v>572</v>
      </c>
      <c r="C78" s="185">
        <f t="shared" si="29"/>
        <v>164</v>
      </c>
      <c r="D78" s="185">
        <f t="shared" si="29"/>
        <v>408</v>
      </c>
      <c r="E78" s="185">
        <f t="shared" si="29"/>
        <v>0</v>
      </c>
      <c r="F78" s="185">
        <f t="shared" si="29"/>
        <v>0</v>
      </c>
      <c r="G78" s="185">
        <f t="shared" si="29"/>
        <v>0</v>
      </c>
      <c r="H78" s="185">
        <f t="shared" si="29"/>
        <v>572</v>
      </c>
      <c r="I78" s="185">
        <f t="shared" si="29"/>
        <v>164</v>
      </c>
      <c r="J78" s="185">
        <f t="shared" si="29"/>
        <v>408</v>
      </c>
      <c r="K78" s="187" t="s">
        <v>188</v>
      </c>
    </row>
    <row r="79" spans="2:11" ht="15.75" customHeight="1" thickBot="1" x14ac:dyDescent="0.25">
      <c r="B79" s="476" t="s">
        <v>4</v>
      </c>
      <c r="C79" s="476"/>
      <c r="D79" s="476"/>
      <c r="E79" s="476" t="s">
        <v>145</v>
      </c>
      <c r="F79" s="476"/>
      <c r="G79" s="476"/>
      <c r="H79" s="476" t="s">
        <v>146</v>
      </c>
      <c r="I79" s="476"/>
      <c r="J79" s="476"/>
      <c r="K79" s="202" t="s">
        <v>66</v>
      </c>
    </row>
    <row r="80" spans="2:11" ht="15.75" customHeight="1" thickBot="1" x14ac:dyDescent="0.25">
      <c r="B80" s="185" t="s">
        <v>227</v>
      </c>
      <c r="C80" s="185" t="s">
        <v>10</v>
      </c>
      <c r="D80" s="185" t="s">
        <v>9</v>
      </c>
      <c r="E80" s="185" t="s">
        <v>227</v>
      </c>
      <c r="F80" s="185" t="s">
        <v>10</v>
      </c>
      <c r="G80" s="185" t="s">
        <v>9</v>
      </c>
      <c r="H80" s="185" t="s">
        <v>227</v>
      </c>
      <c r="I80" s="185" t="s">
        <v>10</v>
      </c>
      <c r="J80" s="185" t="s">
        <v>9</v>
      </c>
      <c r="K80" s="187" t="s">
        <v>76</v>
      </c>
    </row>
    <row r="81" spans="2:11" ht="15.75" customHeight="1" thickBot="1" x14ac:dyDescent="0.25">
      <c r="B81" s="47">
        <f>SUM(C81:D81)</f>
        <v>497</v>
      </c>
      <c r="C81" s="47">
        <f>I81+F81</f>
        <v>497</v>
      </c>
      <c r="D81" s="47">
        <f>J81+G81</f>
        <v>0</v>
      </c>
      <c r="E81" s="47">
        <f>SUM(F81:G81)</f>
        <v>0</v>
      </c>
      <c r="F81" s="47">
        <v>0</v>
      </c>
      <c r="G81" s="47">
        <v>0</v>
      </c>
      <c r="H81" s="47">
        <f>SUM(I81:J81)</f>
        <v>497</v>
      </c>
      <c r="I81" s="47">
        <v>497</v>
      </c>
      <c r="J81" s="47">
        <v>0</v>
      </c>
      <c r="K81" s="78" t="s">
        <v>102</v>
      </c>
    </row>
    <row r="82" spans="2:11" ht="15.75" customHeight="1" thickBot="1" x14ac:dyDescent="0.25">
      <c r="B82" s="47">
        <f t="shared" ref="B82:B83" si="30">SUM(C82:D82)</f>
        <v>861</v>
      </c>
      <c r="C82" s="47">
        <f t="shared" ref="C82:D83" si="31">I82+F82</f>
        <v>407</v>
      </c>
      <c r="D82" s="47">
        <f t="shared" si="31"/>
        <v>454</v>
      </c>
      <c r="E82" s="47">
        <f t="shared" ref="E82:E83" si="32">SUM(F82:G82)</f>
        <v>6</v>
      </c>
      <c r="F82" s="47">
        <v>5</v>
      </c>
      <c r="G82" s="47">
        <v>1</v>
      </c>
      <c r="H82" s="47">
        <f t="shared" ref="H82:H83" si="33">SUM(I82:J82)</f>
        <v>855</v>
      </c>
      <c r="I82" s="47">
        <v>402</v>
      </c>
      <c r="J82" s="47">
        <v>453</v>
      </c>
      <c r="K82" s="78" t="s">
        <v>103</v>
      </c>
    </row>
    <row r="83" spans="2:11" ht="15.75" customHeight="1" thickBot="1" x14ac:dyDescent="0.25">
      <c r="B83" s="47">
        <f t="shared" si="30"/>
        <v>571</v>
      </c>
      <c r="C83" s="47">
        <f t="shared" si="31"/>
        <v>305</v>
      </c>
      <c r="D83" s="47">
        <f t="shared" si="31"/>
        <v>266</v>
      </c>
      <c r="E83" s="47">
        <f t="shared" si="32"/>
        <v>4</v>
      </c>
      <c r="F83" s="47">
        <v>1</v>
      </c>
      <c r="G83" s="47">
        <v>3</v>
      </c>
      <c r="H83" s="47">
        <f t="shared" si="33"/>
        <v>567</v>
      </c>
      <c r="I83" s="47">
        <v>304</v>
      </c>
      <c r="J83" s="47">
        <v>263</v>
      </c>
      <c r="K83" s="78" t="s">
        <v>189</v>
      </c>
    </row>
    <row r="84" spans="2:11" ht="15.75" customHeight="1" thickBot="1" x14ac:dyDescent="0.25">
      <c r="B84" s="47">
        <f t="shared" ref="B84:I84" si="34">SUM(B81:B83)</f>
        <v>1929</v>
      </c>
      <c r="C84" s="47">
        <f t="shared" si="34"/>
        <v>1209</v>
      </c>
      <c r="D84" s="47">
        <f t="shared" si="34"/>
        <v>720</v>
      </c>
      <c r="E84" s="47">
        <f t="shared" si="34"/>
        <v>10</v>
      </c>
      <c r="F84" s="47">
        <f t="shared" si="34"/>
        <v>6</v>
      </c>
      <c r="G84" s="47">
        <f t="shared" si="34"/>
        <v>4</v>
      </c>
      <c r="H84" s="47">
        <f t="shared" si="34"/>
        <v>1919</v>
      </c>
      <c r="I84" s="47">
        <f t="shared" si="34"/>
        <v>1203</v>
      </c>
      <c r="J84" s="47">
        <f>SUM(J81:J83)</f>
        <v>716</v>
      </c>
      <c r="K84" s="187" t="s">
        <v>188</v>
      </c>
    </row>
    <row r="85" spans="2:11" ht="15.75" customHeight="1" thickBot="1" x14ac:dyDescent="0.25">
      <c r="B85" s="476" t="s">
        <v>4</v>
      </c>
      <c r="C85" s="476"/>
      <c r="D85" s="476"/>
      <c r="E85" s="476" t="s">
        <v>145</v>
      </c>
      <c r="F85" s="476"/>
      <c r="G85" s="476"/>
      <c r="H85" s="476" t="s">
        <v>146</v>
      </c>
      <c r="I85" s="476"/>
      <c r="J85" s="476"/>
      <c r="K85" s="202" t="s">
        <v>66</v>
      </c>
    </row>
    <row r="86" spans="2:11" ht="15.75" customHeight="1" thickBot="1" x14ac:dyDescent="0.25">
      <c r="B86" s="185" t="s">
        <v>227</v>
      </c>
      <c r="C86" s="185" t="s">
        <v>10</v>
      </c>
      <c r="D86" s="185" t="s">
        <v>9</v>
      </c>
      <c r="E86" s="185" t="s">
        <v>227</v>
      </c>
      <c r="F86" s="185" t="s">
        <v>10</v>
      </c>
      <c r="G86" s="185" t="s">
        <v>9</v>
      </c>
      <c r="H86" s="185" t="s">
        <v>227</v>
      </c>
      <c r="I86" s="185" t="s">
        <v>10</v>
      </c>
      <c r="J86" s="185" t="s">
        <v>9</v>
      </c>
      <c r="K86" s="187" t="s">
        <v>77</v>
      </c>
    </row>
    <row r="87" spans="2:11" ht="15.75" customHeight="1" thickBot="1" x14ac:dyDescent="0.25">
      <c r="B87" s="47">
        <f>SUM(C87:D87)</f>
        <v>99</v>
      </c>
      <c r="C87" s="47">
        <f>I87+F87</f>
        <v>0</v>
      </c>
      <c r="D87" s="47">
        <f>J87+G87</f>
        <v>99</v>
      </c>
      <c r="E87" s="47">
        <f>SUM(F87:G87)</f>
        <v>0</v>
      </c>
      <c r="F87" s="47">
        <v>0</v>
      </c>
      <c r="G87" s="47">
        <v>0</v>
      </c>
      <c r="H87" s="47">
        <f>SUM(I87:J87)</f>
        <v>99</v>
      </c>
      <c r="I87" s="47">
        <v>0</v>
      </c>
      <c r="J87" s="47">
        <v>99</v>
      </c>
      <c r="K87" s="78" t="s">
        <v>274</v>
      </c>
    </row>
    <row r="88" spans="2:11" ht="15.75" customHeight="1" thickBot="1" x14ac:dyDescent="0.25">
      <c r="B88" s="47">
        <f t="shared" ref="B88:B90" si="35">SUM(C88:D88)</f>
        <v>419</v>
      </c>
      <c r="C88" s="47">
        <f t="shared" ref="C88:D90" si="36">I88+F88</f>
        <v>204</v>
      </c>
      <c r="D88" s="47">
        <f t="shared" si="36"/>
        <v>215</v>
      </c>
      <c r="E88" s="47">
        <f t="shared" ref="E88:E90" si="37">SUM(F88:G88)</f>
        <v>4</v>
      </c>
      <c r="F88" s="47">
        <v>1</v>
      </c>
      <c r="G88" s="47">
        <v>3</v>
      </c>
      <c r="H88" s="47">
        <f t="shared" ref="H88:H90" si="38">SUM(I88:J88)</f>
        <v>415</v>
      </c>
      <c r="I88" s="47">
        <v>203</v>
      </c>
      <c r="J88" s="47">
        <v>212</v>
      </c>
      <c r="K88" s="78" t="s">
        <v>67</v>
      </c>
    </row>
    <row r="89" spans="2:11" ht="15.75" customHeight="1" thickBot="1" x14ac:dyDescent="0.25">
      <c r="B89" s="47">
        <f t="shared" si="35"/>
        <v>209</v>
      </c>
      <c r="C89" s="47">
        <f t="shared" si="36"/>
        <v>209</v>
      </c>
      <c r="D89" s="47">
        <f t="shared" si="36"/>
        <v>0</v>
      </c>
      <c r="E89" s="47">
        <f t="shared" si="37"/>
        <v>0</v>
      </c>
      <c r="F89" s="47">
        <v>0</v>
      </c>
      <c r="G89" s="47">
        <v>0</v>
      </c>
      <c r="H89" s="47">
        <f t="shared" si="38"/>
        <v>209</v>
      </c>
      <c r="I89" s="47">
        <v>209</v>
      </c>
      <c r="J89" s="47">
        <v>0</v>
      </c>
      <c r="K89" s="78" t="s">
        <v>104</v>
      </c>
    </row>
    <row r="90" spans="2:11" ht="15.75" customHeight="1" thickBot="1" x14ac:dyDescent="0.25">
      <c r="B90" s="47">
        <f t="shared" si="35"/>
        <v>577</v>
      </c>
      <c r="C90" s="47">
        <f t="shared" si="36"/>
        <v>268</v>
      </c>
      <c r="D90" s="47">
        <f t="shared" si="36"/>
        <v>309</v>
      </c>
      <c r="E90" s="47">
        <f t="shared" si="37"/>
        <v>0</v>
      </c>
      <c r="F90" s="47">
        <v>0</v>
      </c>
      <c r="G90" s="47">
        <v>0</v>
      </c>
      <c r="H90" s="47">
        <f t="shared" si="38"/>
        <v>577</v>
      </c>
      <c r="I90" s="47">
        <v>268</v>
      </c>
      <c r="J90" s="47">
        <v>309</v>
      </c>
      <c r="K90" s="78" t="s">
        <v>275</v>
      </c>
    </row>
    <row r="91" spans="2:11" ht="15.75" customHeight="1" thickBot="1" x14ac:dyDescent="0.25">
      <c r="B91" s="47">
        <f t="shared" ref="B91:I91" si="39">SUM(B87:B90)</f>
        <v>1304</v>
      </c>
      <c r="C91" s="47">
        <f t="shared" si="39"/>
        <v>681</v>
      </c>
      <c r="D91" s="47">
        <f t="shared" si="39"/>
        <v>623</v>
      </c>
      <c r="E91" s="47">
        <f t="shared" si="39"/>
        <v>4</v>
      </c>
      <c r="F91" s="47">
        <f t="shared" si="39"/>
        <v>1</v>
      </c>
      <c r="G91" s="47">
        <f t="shared" si="39"/>
        <v>3</v>
      </c>
      <c r="H91" s="47">
        <f t="shared" si="39"/>
        <v>1300</v>
      </c>
      <c r="I91" s="47">
        <f t="shared" si="39"/>
        <v>680</v>
      </c>
      <c r="J91" s="47">
        <f>SUM(J87:J90)</f>
        <v>620</v>
      </c>
      <c r="K91" s="187" t="s">
        <v>188</v>
      </c>
    </row>
    <row r="92" spans="2:11" ht="15.75" customHeight="1" thickBot="1" x14ac:dyDescent="0.25">
      <c r="B92" s="476" t="s">
        <v>4</v>
      </c>
      <c r="C92" s="476"/>
      <c r="D92" s="476"/>
      <c r="E92" s="476" t="s">
        <v>145</v>
      </c>
      <c r="F92" s="476"/>
      <c r="G92" s="476"/>
      <c r="H92" s="476" t="s">
        <v>146</v>
      </c>
      <c r="I92" s="476"/>
      <c r="J92" s="476"/>
      <c r="K92" s="202" t="s">
        <v>66</v>
      </c>
    </row>
    <row r="93" spans="2:11" ht="15.75" customHeight="1" thickBot="1" x14ac:dyDescent="0.25">
      <c r="B93" s="185" t="s">
        <v>227</v>
      </c>
      <c r="C93" s="185" t="s">
        <v>10</v>
      </c>
      <c r="D93" s="185" t="s">
        <v>9</v>
      </c>
      <c r="E93" s="185" t="s">
        <v>227</v>
      </c>
      <c r="F93" s="185" t="s">
        <v>10</v>
      </c>
      <c r="G93" s="185" t="s">
        <v>9</v>
      </c>
      <c r="H93" s="185" t="s">
        <v>227</v>
      </c>
      <c r="I93" s="185" t="s">
        <v>10</v>
      </c>
      <c r="J93" s="185" t="s">
        <v>9</v>
      </c>
      <c r="K93" s="187" t="s">
        <v>111</v>
      </c>
    </row>
    <row r="94" spans="2:11" ht="15.75" customHeight="1" thickBot="1" x14ac:dyDescent="0.25">
      <c r="B94" s="47">
        <f>SUM(C94:D94)</f>
        <v>58</v>
      </c>
      <c r="C94" s="47">
        <f>I94+F94</f>
        <v>0</v>
      </c>
      <c r="D94" s="47">
        <f>J94+G94</f>
        <v>58</v>
      </c>
      <c r="E94" s="47">
        <f>SUM(F94:G94)</f>
        <v>0</v>
      </c>
      <c r="F94" s="47">
        <v>0</v>
      </c>
      <c r="G94" s="47">
        <v>0</v>
      </c>
      <c r="H94" s="47">
        <f>SUM(I94:J94)</f>
        <v>58</v>
      </c>
      <c r="I94" s="47">
        <v>0</v>
      </c>
      <c r="J94" s="47">
        <v>58</v>
      </c>
      <c r="K94" s="78" t="s">
        <v>110</v>
      </c>
    </row>
    <row r="95" spans="2:11" ht="15.75" customHeight="1" thickBot="1" x14ac:dyDescent="0.25">
      <c r="B95" s="47">
        <f t="shared" ref="B95:B99" si="40">SUM(C95:D95)</f>
        <v>58</v>
      </c>
      <c r="C95" s="47">
        <f t="shared" ref="C95:D99" si="41">I95+F95</f>
        <v>58</v>
      </c>
      <c r="D95" s="47">
        <f t="shared" si="41"/>
        <v>0</v>
      </c>
      <c r="E95" s="47">
        <f t="shared" ref="E95:E99" si="42">SUM(F95:G95)</f>
        <v>0</v>
      </c>
      <c r="F95" s="47">
        <v>0</v>
      </c>
      <c r="G95" s="47">
        <v>0</v>
      </c>
      <c r="H95" s="47">
        <f t="shared" ref="H95:H99" si="43">SUM(I95:J95)</f>
        <v>58</v>
      </c>
      <c r="I95" s="47">
        <v>58</v>
      </c>
      <c r="J95" s="47">
        <v>0</v>
      </c>
      <c r="K95" s="78" t="s">
        <v>112</v>
      </c>
    </row>
    <row r="96" spans="2:11" ht="15.75" customHeight="1" thickBot="1" x14ac:dyDescent="0.25">
      <c r="B96" s="47">
        <f t="shared" si="40"/>
        <v>65</v>
      </c>
      <c r="C96" s="47">
        <f t="shared" si="41"/>
        <v>65</v>
      </c>
      <c r="D96" s="47">
        <f t="shared" si="41"/>
        <v>0</v>
      </c>
      <c r="E96" s="47">
        <f t="shared" si="42"/>
        <v>0</v>
      </c>
      <c r="F96" s="47">
        <v>0</v>
      </c>
      <c r="G96" s="47">
        <v>0</v>
      </c>
      <c r="H96" s="47">
        <f t="shared" si="43"/>
        <v>65</v>
      </c>
      <c r="I96" s="47">
        <v>65</v>
      </c>
      <c r="J96" s="47">
        <v>0</v>
      </c>
      <c r="K96" s="78" t="s">
        <v>113</v>
      </c>
    </row>
    <row r="97" spans="2:11" ht="15.75" customHeight="1" thickBot="1" x14ac:dyDescent="0.25">
      <c r="B97" s="47">
        <f t="shared" si="40"/>
        <v>121</v>
      </c>
      <c r="C97" s="47">
        <f t="shared" si="41"/>
        <v>121</v>
      </c>
      <c r="D97" s="47">
        <f t="shared" si="41"/>
        <v>0</v>
      </c>
      <c r="E97" s="47">
        <f t="shared" si="42"/>
        <v>0</v>
      </c>
      <c r="F97" s="47">
        <v>0</v>
      </c>
      <c r="G97" s="47">
        <v>0</v>
      </c>
      <c r="H97" s="47">
        <f t="shared" si="43"/>
        <v>121</v>
      </c>
      <c r="I97" s="47">
        <v>121</v>
      </c>
      <c r="J97" s="47">
        <v>0</v>
      </c>
      <c r="K97" s="78" t="s">
        <v>276</v>
      </c>
    </row>
    <row r="98" spans="2:11" ht="15.75" customHeight="1" thickBot="1" x14ac:dyDescent="0.25">
      <c r="B98" s="47">
        <f t="shared" si="40"/>
        <v>61</v>
      </c>
      <c r="C98" s="47">
        <f t="shared" si="41"/>
        <v>0</v>
      </c>
      <c r="D98" s="47">
        <f t="shared" si="41"/>
        <v>61</v>
      </c>
      <c r="E98" s="47">
        <f t="shared" si="42"/>
        <v>0</v>
      </c>
      <c r="F98" s="47">
        <v>0</v>
      </c>
      <c r="G98" s="47">
        <v>0</v>
      </c>
      <c r="H98" s="47">
        <f t="shared" si="43"/>
        <v>61</v>
      </c>
      <c r="I98" s="47">
        <v>0</v>
      </c>
      <c r="J98" s="47">
        <v>61</v>
      </c>
      <c r="K98" s="78" t="s">
        <v>277</v>
      </c>
    </row>
    <row r="99" spans="2:11" ht="15.75" customHeight="1" thickBot="1" x14ac:dyDescent="0.25">
      <c r="B99" s="47">
        <f t="shared" si="40"/>
        <v>78</v>
      </c>
      <c r="C99" s="47">
        <f t="shared" si="41"/>
        <v>78</v>
      </c>
      <c r="D99" s="47">
        <f t="shared" si="41"/>
        <v>0</v>
      </c>
      <c r="E99" s="47">
        <f t="shared" si="42"/>
        <v>0</v>
      </c>
      <c r="F99" s="47">
        <v>0</v>
      </c>
      <c r="G99" s="47">
        <v>0</v>
      </c>
      <c r="H99" s="47">
        <f t="shared" si="43"/>
        <v>78</v>
      </c>
      <c r="I99" s="47">
        <v>78</v>
      </c>
      <c r="J99" s="47">
        <v>0</v>
      </c>
      <c r="K99" s="79" t="s">
        <v>278</v>
      </c>
    </row>
    <row r="100" spans="2:11" ht="15.75" customHeight="1" thickBot="1" x14ac:dyDescent="0.25">
      <c r="B100" s="47">
        <f t="shared" ref="B100:J100" si="44">SUM(B94:B99)</f>
        <v>441</v>
      </c>
      <c r="C100" s="47">
        <f t="shared" si="44"/>
        <v>322</v>
      </c>
      <c r="D100" s="47">
        <f t="shared" si="44"/>
        <v>119</v>
      </c>
      <c r="E100" s="47">
        <f t="shared" si="44"/>
        <v>0</v>
      </c>
      <c r="F100" s="47">
        <f t="shared" si="44"/>
        <v>0</v>
      </c>
      <c r="G100" s="47">
        <f t="shared" si="44"/>
        <v>0</v>
      </c>
      <c r="H100" s="47">
        <f t="shared" si="44"/>
        <v>441</v>
      </c>
      <c r="I100" s="47">
        <f t="shared" si="44"/>
        <v>322</v>
      </c>
      <c r="J100" s="47">
        <f t="shared" si="44"/>
        <v>119</v>
      </c>
      <c r="K100" s="187" t="s">
        <v>188</v>
      </c>
    </row>
    <row r="101" spans="2:11" ht="15.75" customHeight="1" thickBot="1" x14ac:dyDescent="0.25">
      <c r="B101" s="476" t="s">
        <v>4</v>
      </c>
      <c r="C101" s="476"/>
      <c r="D101" s="476"/>
      <c r="E101" s="476" t="s">
        <v>145</v>
      </c>
      <c r="F101" s="476"/>
      <c r="G101" s="476"/>
      <c r="H101" s="476" t="s">
        <v>146</v>
      </c>
      <c r="I101" s="476"/>
      <c r="J101" s="476"/>
      <c r="K101" s="202" t="s">
        <v>66</v>
      </c>
    </row>
    <row r="102" spans="2:11" ht="15.75" customHeight="1" thickBot="1" x14ac:dyDescent="0.25">
      <c r="B102" s="185" t="s">
        <v>227</v>
      </c>
      <c r="C102" s="185" t="s">
        <v>10</v>
      </c>
      <c r="D102" s="185" t="s">
        <v>9</v>
      </c>
      <c r="E102" s="185" t="s">
        <v>227</v>
      </c>
      <c r="F102" s="185" t="s">
        <v>10</v>
      </c>
      <c r="G102" s="185" t="s">
        <v>9</v>
      </c>
      <c r="H102" s="185" t="s">
        <v>227</v>
      </c>
      <c r="I102" s="185" t="s">
        <v>10</v>
      </c>
      <c r="J102" s="185" t="s">
        <v>9</v>
      </c>
      <c r="K102" s="187" t="s">
        <v>106</v>
      </c>
    </row>
    <row r="103" spans="2:11" ht="15.75" customHeight="1" thickBot="1" x14ac:dyDescent="0.25">
      <c r="B103" s="47">
        <f>SUM(C103:D103)</f>
        <v>186</v>
      </c>
      <c r="C103" s="47">
        <f>I103+F103</f>
        <v>0</v>
      </c>
      <c r="D103" s="47">
        <f>J103+G103</f>
        <v>186</v>
      </c>
      <c r="E103" s="47">
        <f>SUM(F103:G103)</f>
        <v>0</v>
      </c>
      <c r="F103" s="47">
        <v>0</v>
      </c>
      <c r="G103" s="47">
        <v>0</v>
      </c>
      <c r="H103" s="47">
        <f>SUM(I103:J103)</f>
        <v>186</v>
      </c>
      <c r="I103" s="47">
        <v>0</v>
      </c>
      <c r="J103" s="47">
        <v>186</v>
      </c>
      <c r="K103" s="78" t="s">
        <v>279</v>
      </c>
    </row>
    <row r="104" spans="2:11" ht="15.75" customHeight="1" thickBot="1" x14ac:dyDescent="0.25">
      <c r="B104" s="47">
        <f t="shared" ref="B104:B106" si="45">SUM(C104:D104)</f>
        <v>635</v>
      </c>
      <c r="C104" s="47">
        <f t="shared" ref="C104:D106" si="46">I104+F104</f>
        <v>0</v>
      </c>
      <c r="D104" s="47">
        <f t="shared" si="46"/>
        <v>635</v>
      </c>
      <c r="E104" s="47">
        <f t="shared" ref="E104:E106" si="47">SUM(F104:G104)</f>
        <v>0</v>
      </c>
      <c r="F104" s="47">
        <v>0</v>
      </c>
      <c r="G104" s="47">
        <v>0</v>
      </c>
      <c r="H104" s="47">
        <f t="shared" ref="H104:H106" si="48">SUM(I104:J104)</f>
        <v>635</v>
      </c>
      <c r="I104" s="47">
        <v>0</v>
      </c>
      <c r="J104" s="47">
        <v>635</v>
      </c>
      <c r="K104" s="78" t="s">
        <v>105</v>
      </c>
    </row>
    <row r="105" spans="2:11" ht="15.75" customHeight="1" thickBot="1" x14ac:dyDescent="0.25">
      <c r="B105" s="47">
        <f t="shared" si="45"/>
        <v>469</v>
      </c>
      <c r="C105" s="47">
        <f t="shared" si="46"/>
        <v>151</v>
      </c>
      <c r="D105" s="47">
        <f t="shared" si="46"/>
        <v>318</v>
      </c>
      <c r="E105" s="47">
        <f t="shared" si="47"/>
        <v>0</v>
      </c>
      <c r="F105" s="47">
        <v>0</v>
      </c>
      <c r="G105" s="47">
        <v>0</v>
      </c>
      <c r="H105" s="47">
        <f t="shared" si="48"/>
        <v>469</v>
      </c>
      <c r="I105" s="47">
        <v>151</v>
      </c>
      <c r="J105" s="47">
        <v>318</v>
      </c>
      <c r="K105" s="78" t="s">
        <v>280</v>
      </c>
    </row>
    <row r="106" spans="2:11" ht="15.75" customHeight="1" thickBot="1" x14ac:dyDescent="0.25">
      <c r="B106" s="47">
        <f t="shared" si="45"/>
        <v>249</v>
      </c>
      <c r="C106" s="47">
        <f t="shared" si="46"/>
        <v>249</v>
      </c>
      <c r="D106" s="47">
        <f t="shared" si="46"/>
        <v>0</v>
      </c>
      <c r="E106" s="47">
        <f t="shared" si="47"/>
        <v>0</v>
      </c>
      <c r="F106" s="47">
        <v>0</v>
      </c>
      <c r="G106" s="47">
        <v>0</v>
      </c>
      <c r="H106" s="47">
        <f t="shared" si="48"/>
        <v>249</v>
      </c>
      <c r="I106" s="47">
        <v>249</v>
      </c>
      <c r="J106" s="47">
        <v>0</v>
      </c>
      <c r="K106" s="78" t="s">
        <v>107</v>
      </c>
    </row>
    <row r="107" spans="2:11" ht="15.75" customHeight="1" thickBot="1" x14ac:dyDescent="0.25">
      <c r="B107" s="47">
        <f t="shared" ref="B107:I107" si="49">SUM(B103:B106)</f>
        <v>1539</v>
      </c>
      <c r="C107" s="47">
        <f t="shared" si="49"/>
        <v>400</v>
      </c>
      <c r="D107" s="47">
        <f t="shared" si="49"/>
        <v>1139</v>
      </c>
      <c r="E107" s="47">
        <f t="shared" si="49"/>
        <v>0</v>
      </c>
      <c r="F107" s="47">
        <f t="shared" si="49"/>
        <v>0</v>
      </c>
      <c r="G107" s="47">
        <f t="shared" si="49"/>
        <v>0</v>
      </c>
      <c r="H107" s="47">
        <f t="shared" si="49"/>
        <v>1539</v>
      </c>
      <c r="I107" s="47">
        <f t="shared" si="49"/>
        <v>400</v>
      </c>
      <c r="J107" s="47">
        <f>SUM(J103:J106)</f>
        <v>1139</v>
      </c>
      <c r="K107" s="187" t="s">
        <v>188</v>
      </c>
    </row>
    <row r="108" spans="2:11" ht="15.75" customHeight="1" thickBot="1" x14ac:dyDescent="0.25">
      <c r="B108" s="476" t="s">
        <v>4</v>
      </c>
      <c r="C108" s="476"/>
      <c r="D108" s="476"/>
      <c r="E108" s="476" t="s">
        <v>145</v>
      </c>
      <c r="F108" s="476"/>
      <c r="G108" s="476"/>
      <c r="H108" s="476" t="s">
        <v>146</v>
      </c>
      <c r="I108" s="476"/>
      <c r="J108" s="476"/>
      <c r="K108" s="202" t="s">
        <v>66</v>
      </c>
    </row>
    <row r="109" spans="2:11" ht="15.75" customHeight="1" thickBot="1" x14ac:dyDescent="0.25">
      <c r="B109" s="185" t="s">
        <v>227</v>
      </c>
      <c r="C109" s="185" t="s">
        <v>10</v>
      </c>
      <c r="D109" s="185" t="s">
        <v>9</v>
      </c>
      <c r="E109" s="185" t="s">
        <v>227</v>
      </c>
      <c r="F109" s="185" t="s">
        <v>10</v>
      </c>
      <c r="G109" s="185" t="s">
        <v>9</v>
      </c>
      <c r="H109" s="185" t="s">
        <v>227</v>
      </c>
      <c r="I109" s="185" t="s">
        <v>10</v>
      </c>
      <c r="J109" s="185" t="s">
        <v>9</v>
      </c>
      <c r="K109" s="187" t="s">
        <v>109</v>
      </c>
    </row>
    <row r="110" spans="2:11" ht="15.75" customHeight="1" thickBot="1" x14ac:dyDescent="0.25">
      <c r="B110" s="47">
        <f t="shared" ref="B110:D112" si="50">H110+E110</f>
        <v>16</v>
      </c>
      <c r="C110" s="47">
        <f t="shared" si="50"/>
        <v>0</v>
      </c>
      <c r="D110" s="47">
        <f>J110+G110</f>
        <v>16</v>
      </c>
      <c r="E110" s="47">
        <f>SUM(F110:G110)</f>
        <v>0</v>
      </c>
      <c r="F110" s="47">
        <v>0</v>
      </c>
      <c r="G110" s="47">
        <v>0</v>
      </c>
      <c r="H110" s="47">
        <f>SUM(I110:J110)</f>
        <v>16</v>
      </c>
      <c r="I110" s="47">
        <v>0</v>
      </c>
      <c r="J110" s="47">
        <v>16</v>
      </c>
      <c r="K110" s="78" t="s">
        <v>281</v>
      </c>
    </row>
    <row r="111" spans="2:11" ht="15.75" customHeight="1" thickBot="1" x14ac:dyDescent="0.25">
      <c r="B111" s="47">
        <f t="shared" si="50"/>
        <v>270</v>
      </c>
      <c r="C111" s="47">
        <f t="shared" si="50"/>
        <v>249</v>
      </c>
      <c r="D111" s="47">
        <f t="shared" si="50"/>
        <v>21</v>
      </c>
      <c r="E111" s="47">
        <f t="shared" ref="E111:E112" si="51">SUM(F111:G111)</f>
        <v>0</v>
      </c>
      <c r="F111" s="47">
        <v>0</v>
      </c>
      <c r="G111" s="47">
        <v>0</v>
      </c>
      <c r="H111" s="47">
        <f t="shared" ref="H111:H112" si="52">SUM(I111:J111)</f>
        <v>270</v>
      </c>
      <c r="I111" s="47">
        <v>249</v>
      </c>
      <c r="J111" s="47">
        <v>21</v>
      </c>
      <c r="K111" s="78" t="s">
        <v>108</v>
      </c>
    </row>
    <row r="112" spans="2:11" ht="15.75" customHeight="1" thickBot="1" x14ac:dyDescent="0.25">
      <c r="B112" s="47">
        <f t="shared" si="50"/>
        <v>199</v>
      </c>
      <c r="C112" s="47">
        <f t="shared" si="50"/>
        <v>72</v>
      </c>
      <c r="D112" s="47">
        <f t="shared" si="50"/>
        <v>127</v>
      </c>
      <c r="E112" s="47">
        <f t="shared" si="51"/>
        <v>0</v>
      </c>
      <c r="F112" s="47">
        <v>0</v>
      </c>
      <c r="G112" s="47">
        <v>0</v>
      </c>
      <c r="H112" s="47">
        <f t="shared" si="52"/>
        <v>199</v>
      </c>
      <c r="I112" s="47">
        <v>72</v>
      </c>
      <c r="J112" s="47">
        <v>127</v>
      </c>
      <c r="K112" s="78" t="s">
        <v>280</v>
      </c>
    </row>
    <row r="113" spans="2:11" ht="15.75" customHeight="1" thickBot="1" x14ac:dyDescent="0.25">
      <c r="B113" s="47">
        <f t="shared" ref="B113:I113" si="53">SUM(B110:B112)</f>
        <v>485</v>
      </c>
      <c r="C113" s="47">
        <f t="shared" si="53"/>
        <v>321</v>
      </c>
      <c r="D113" s="47">
        <f t="shared" si="53"/>
        <v>164</v>
      </c>
      <c r="E113" s="47">
        <f t="shared" si="53"/>
        <v>0</v>
      </c>
      <c r="F113" s="47">
        <f t="shared" si="53"/>
        <v>0</v>
      </c>
      <c r="G113" s="47">
        <f t="shared" si="53"/>
        <v>0</v>
      </c>
      <c r="H113" s="47">
        <f t="shared" si="53"/>
        <v>485</v>
      </c>
      <c r="I113" s="47">
        <f t="shared" si="53"/>
        <v>321</v>
      </c>
      <c r="J113" s="47">
        <f>SUM(J110:J112)</f>
        <v>164</v>
      </c>
      <c r="K113" s="187" t="s">
        <v>188</v>
      </c>
    </row>
    <row r="114" spans="2:11" ht="15.75" customHeight="1" thickBot="1" x14ac:dyDescent="0.25">
      <c r="B114" s="476" t="s">
        <v>4</v>
      </c>
      <c r="C114" s="476"/>
      <c r="D114" s="476"/>
      <c r="E114" s="476" t="s">
        <v>145</v>
      </c>
      <c r="F114" s="476"/>
      <c r="G114" s="476"/>
      <c r="H114" s="476" t="s">
        <v>146</v>
      </c>
      <c r="I114" s="476"/>
      <c r="J114" s="476"/>
      <c r="K114" s="202" t="s">
        <v>66</v>
      </c>
    </row>
    <row r="115" spans="2:11" ht="15.75" customHeight="1" thickBot="1" x14ac:dyDescent="0.25">
      <c r="B115" s="185" t="s">
        <v>227</v>
      </c>
      <c r="C115" s="185" t="s">
        <v>10</v>
      </c>
      <c r="D115" s="185" t="s">
        <v>9</v>
      </c>
      <c r="E115" s="185" t="s">
        <v>227</v>
      </c>
      <c r="F115" s="185" t="s">
        <v>10</v>
      </c>
      <c r="G115" s="185" t="s">
        <v>9</v>
      </c>
      <c r="H115" s="185" t="s">
        <v>227</v>
      </c>
      <c r="I115" s="185" t="s">
        <v>10</v>
      </c>
      <c r="J115" s="185" t="s">
        <v>9</v>
      </c>
      <c r="K115" s="187" t="s">
        <v>115</v>
      </c>
    </row>
    <row r="116" spans="2:11" ht="15.75" customHeight="1" thickBot="1" x14ac:dyDescent="0.25">
      <c r="B116" s="47">
        <f>SUM(C116:D116)</f>
        <v>763</v>
      </c>
      <c r="C116" s="47">
        <f>I116+F116</f>
        <v>456</v>
      </c>
      <c r="D116" s="47">
        <f>J116+G116</f>
        <v>307</v>
      </c>
      <c r="E116" s="47">
        <f>SUM(F116:G116)</f>
        <v>0</v>
      </c>
      <c r="F116" s="47">
        <v>0</v>
      </c>
      <c r="G116" s="47">
        <v>0</v>
      </c>
      <c r="H116" s="47">
        <f>SUM(I116:J116)</f>
        <v>763</v>
      </c>
      <c r="I116" s="47">
        <v>456</v>
      </c>
      <c r="J116" s="47">
        <v>307</v>
      </c>
      <c r="K116" s="78" t="s">
        <v>114</v>
      </c>
    </row>
    <row r="117" spans="2:11" ht="15.75" customHeight="1" thickBot="1" x14ac:dyDescent="0.25">
      <c r="B117" s="47">
        <f t="shared" ref="B117:B118" si="54">SUM(C117:D117)</f>
        <v>299</v>
      </c>
      <c r="C117" s="47">
        <f t="shared" ref="C117:D118" si="55">I117+F117</f>
        <v>132</v>
      </c>
      <c r="D117" s="47">
        <f t="shared" si="55"/>
        <v>167</v>
      </c>
      <c r="E117" s="47">
        <f t="shared" ref="E117:E118" si="56">SUM(F117:G117)</f>
        <v>0</v>
      </c>
      <c r="F117" s="47">
        <v>0</v>
      </c>
      <c r="G117" s="47">
        <v>0</v>
      </c>
      <c r="H117" s="47">
        <f t="shared" ref="H117:H118" si="57">SUM(I117:J117)</f>
        <v>299</v>
      </c>
      <c r="I117" s="47">
        <v>132</v>
      </c>
      <c r="J117" s="47">
        <v>167</v>
      </c>
      <c r="K117" s="78" t="s">
        <v>280</v>
      </c>
    </row>
    <row r="118" spans="2:11" ht="15.75" customHeight="1" thickBot="1" x14ac:dyDescent="0.25">
      <c r="B118" s="47">
        <f t="shared" si="54"/>
        <v>50</v>
      </c>
      <c r="C118" s="47">
        <f t="shared" si="55"/>
        <v>50</v>
      </c>
      <c r="D118" s="47">
        <f t="shared" si="55"/>
        <v>0</v>
      </c>
      <c r="E118" s="47">
        <f t="shared" si="56"/>
        <v>0</v>
      </c>
      <c r="F118" s="47">
        <v>0</v>
      </c>
      <c r="G118" s="47">
        <v>0</v>
      </c>
      <c r="H118" s="47">
        <f t="shared" si="57"/>
        <v>50</v>
      </c>
      <c r="I118" s="47">
        <v>50</v>
      </c>
      <c r="J118" s="47">
        <v>0</v>
      </c>
      <c r="K118" s="78" t="s">
        <v>282</v>
      </c>
    </row>
    <row r="119" spans="2:11" ht="15.75" customHeight="1" thickBot="1" x14ac:dyDescent="0.25">
      <c r="B119" s="47">
        <f t="shared" ref="B119:I119" si="58">SUM(B116:B118)</f>
        <v>1112</v>
      </c>
      <c r="C119" s="47">
        <f t="shared" si="58"/>
        <v>638</v>
      </c>
      <c r="D119" s="47">
        <f t="shared" si="58"/>
        <v>474</v>
      </c>
      <c r="E119" s="47">
        <f t="shared" si="58"/>
        <v>0</v>
      </c>
      <c r="F119" s="47">
        <f t="shared" si="58"/>
        <v>0</v>
      </c>
      <c r="G119" s="47">
        <f t="shared" si="58"/>
        <v>0</v>
      </c>
      <c r="H119" s="47">
        <f t="shared" si="58"/>
        <v>1112</v>
      </c>
      <c r="I119" s="47">
        <f t="shared" si="58"/>
        <v>638</v>
      </c>
      <c r="J119" s="47">
        <f>SUM(J116:J118)</f>
        <v>474</v>
      </c>
      <c r="K119" s="187" t="s">
        <v>188</v>
      </c>
    </row>
    <row r="120" spans="2:11" ht="15.75" customHeight="1" thickBot="1" x14ac:dyDescent="0.25">
      <c r="B120" s="476" t="s">
        <v>4</v>
      </c>
      <c r="C120" s="476"/>
      <c r="D120" s="476"/>
      <c r="E120" s="476" t="s">
        <v>145</v>
      </c>
      <c r="F120" s="476"/>
      <c r="G120" s="476"/>
      <c r="H120" s="476" t="s">
        <v>146</v>
      </c>
      <c r="I120" s="476"/>
      <c r="J120" s="476"/>
      <c r="K120" s="202" t="s">
        <v>66</v>
      </c>
    </row>
    <row r="121" spans="2:11" ht="15.75" customHeight="1" thickBot="1" x14ac:dyDescent="0.25">
      <c r="B121" s="185" t="s">
        <v>227</v>
      </c>
      <c r="C121" s="185" t="s">
        <v>10</v>
      </c>
      <c r="D121" s="185" t="s">
        <v>9</v>
      </c>
      <c r="E121" s="185" t="s">
        <v>227</v>
      </c>
      <c r="F121" s="185" t="s">
        <v>10</v>
      </c>
      <c r="G121" s="185" t="s">
        <v>9</v>
      </c>
      <c r="H121" s="185" t="s">
        <v>227</v>
      </c>
      <c r="I121" s="185" t="s">
        <v>10</v>
      </c>
      <c r="J121" s="185" t="s">
        <v>9</v>
      </c>
      <c r="K121" s="187" t="s">
        <v>117</v>
      </c>
    </row>
    <row r="122" spans="2:11" ht="15.75" customHeight="1" thickBot="1" x14ac:dyDescent="0.25">
      <c r="B122" s="47">
        <f>SUM(C122:D122)</f>
        <v>160</v>
      </c>
      <c r="C122" s="47">
        <f>I122+F122</f>
        <v>70</v>
      </c>
      <c r="D122" s="47">
        <f>J122+G122</f>
        <v>90</v>
      </c>
      <c r="E122" s="47">
        <f>SUM(F122:G122)</f>
        <v>0</v>
      </c>
      <c r="F122" s="47">
        <v>0</v>
      </c>
      <c r="G122" s="47">
        <v>0</v>
      </c>
      <c r="H122" s="47">
        <f>SUM(I122:J122)</f>
        <v>160</v>
      </c>
      <c r="I122" s="47">
        <v>70</v>
      </c>
      <c r="J122" s="47">
        <v>90</v>
      </c>
      <c r="K122" s="78" t="s">
        <v>280</v>
      </c>
    </row>
    <row r="123" spans="2:11" ht="15.75" customHeight="1" thickBot="1" x14ac:dyDescent="0.25">
      <c r="B123" s="47">
        <f t="shared" ref="B123:B124" si="59">SUM(C123:D123)</f>
        <v>471</v>
      </c>
      <c r="C123" s="47">
        <f t="shared" ref="C123:D124" si="60">I123+F123</f>
        <v>0</v>
      </c>
      <c r="D123" s="47">
        <f t="shared" si="60"/>
        <v>471</v>
      </c>
      <c r="E123" s="47">
        <f t="shared" ref="E123:E124" si="61">SUM(F123:G123)</f>
        <v>0</v>
      </c>
      <c r="F123" s="47">
        <v>0</v>
      </c>
      <c r="G123" s="47">
        <v>0</v>
      </c>
      <c r="H123" s="47">
        <f t="shared" ref="H123:H124" si="62">SUM(I123:J123)</f>
        <v>471</v>
      </c>
      <c r="I123" s="47">
        <v>0</v>
      </c>
      <c r="J123" s="47">
        <v>471</v>
      </c>
      <c r="K123" s="78" t="s">
        <v>116</v>
      </c>
    </row>
    <row r="124" spans="2:11" ht="15.75" customHeight="1" thickBot="1" x14ac:dyDescent="0.25">
      <c r="B124" s="47">
        <f t="shared" si="59"/>
        <v>30</v>
      </c>
      <c r="C124" s="47">
        <f t="shared" si="60"/>
        <v>30</v>
      </c>
      <c r="D124" s="47">
        <f t="shared" si="60"/>
        <v>0</v>
      </c>
      <c r="E124" s="47">
        <f t="shared" si="61"/>
        <v>0</v>
      </c>
      <c r="F124" s="47">
        <v>0</v>
      </c>
      <c r="G124" s="47">
        <v>0</v>
      </c>
      <c r="H124" s="47">
        <f t="shared" si="62"/>
        <v>30</v>
      </c>
      <c r="I124" s="47">
        <v>30</v>
      </c>
      <c r="J124" s="47">
        <v>0</v>
      </c>
      <c r="K124" s="78" t="s">
        <v>118</v>
      </c>
    </row>
    <row r="125" spans="2:11" ht="15.75" customHeight="1" thickBot="1" x14ac:dyDescent="0.25">
      <c r="B125" s="47">
        <f t="shared" ref="B125:I125" si="63">SUM(B122:B124)</f>
        <v>661</v>
      </c>
      <c r="C125" s="47">
        <f t="shared" si="63"/>
        <v>100</v>
      </c>
      <c r="D125" s="47">
        <f t="shared" si="63"/>
        <v>561</v>
      </c>
      <c r="E125" s="47">
        <f t="shared" si="63"/>
        <v>0</v>
      </c>
      <c r="F125" s="47">
        <f t="shared" si="63"/>
        <v>0</v>
      </c>
      <c r="G125" s="47">
        <f t="shared" si="63"/>
        <v>0</v>
      </c>
      <c r="H125" s="47">
        <f t="shared" si="63"/>
        <v>661</v>
      </c>
      <c r="I125" s="47">
        <f t="shared" si="63"/>
        <v>100</v>
      </c>
      <c r="J125" s="47">
        <f>SUM(J122:J124)</f>
        <v>561</v>
      </c>
      <c r="K125" s="187" t="s">
        <v>188</v>
      </c>
    </row>
    <row r="126" spans="2:11" ht="15.75" customHeight="1" thickBot="1" x14ac:dyDescent="0.25">
      <c r="B126" s="476" t="s">
        <v>4</v>
      </c>
      <c r="C126" s="476"/>
      <c r="D126" s="476"/>
      <c r="E126" s="476" t="s">
        <v>145</v>
      </c>
      <c r="F126" s="476"/>
      <c r="G126" s="476"/>
      <c r="H126" s="476" t="s">
        <v>146</v>
      </c>
      <c r="I126" s="476"/>
      <c r="J126" s="476"/>
      <c r="K126" s="202" t="s">
        <v>66</v>
      </c>
    </row>
    <row r="127" spans="2:11" ht="15.75" customHeight="1" thickBot="1" x14ac:dyDescent="0.25">
      <c r="B127" s="185" t="s">
        <v>227</v>
      </c>
      <c r="C127" s="185" t="s">
        <v>10</v>
      </c>
      <c r="D127" s="185" t="s">
        <v>9</v>
      </c>
      <c r="E127" s="185" t="s">
        <v>227</v>
      </c>
      <c r="F127" s="185" t="s">
        <v>10</v>
      </c>
      <c r="G127" s="185" t="s">
        <v>9</v>
      </c>
      <c r="H127" s="185" t="s">
        <v>227</v>
      </c>
      <c r="I127" s="185" t="s">
        <v>10</v>
      </c>
      <c r="J127" s="185" t="s">
        <v>9</v>
      </c>
      <c r="K127" s="187" t="s">
        <v>119</v>
      </c>
    </row>
    <row r="128" spans="2:11" ht="15.75" customHeight="1" thickBot="1" x14ac:dyDescent="0.25">
      <c r="B128" s="47">
        <f>SUM(C128:D128)</f>
        <v>212</v>
      </c>
      <c r="C128" s="47">
        <f>I128+F128</f>
        <v>212</v>
      </c>
      <c r="D128" s="47">
        <f>J128+G128</f>
        <v>0</v>
      </c>
      <c r="E128" s="47">
        <f>SUM(F128:G128)</f>
        <v>1</v>
      </c>
      <c r="F128" s="47">
        <v>1</v>
      </c>
      <c r="G128" s="47">
        <v>0</v>
      </c>
      <c r="H128" s="47">
        <f>SUM(I128:J128)</f>
        <v>211</v>
      </c>
      <c r="I128" s="47">
        <v>211</v>
      </c>
      <c r="J128" s="47">
        <v>0</v>
      </c>
      <c r="K128" s="78" t="s">
        <v>283</v>
      </c>
    </row>
    <row r="129" spans="2:11" ht="15.75" customHeight="1" thickBot="1" x14ac:dyDescent="0.25">
      <c r="B129" s="47">
        <f t="shared" ref="B129:B130" si="64">SUM(C129:D129)</f>
        <v>119</v>
      </c>
      <c r="C129" s="47">
        <f t="shared" ref="C129:D130" si="65">I129+F129</f>
        <v>0</v>
      </c>
      <c r="D129" s="47">
        <f t="shared" si="65"/>
        <v>119</v>
      </c>
      <c r="E129" s="47">
        <f t="shared" ref="E129:E130" si="66">SUM(F129:G129)</f>
        <v>1</v>
      </c>
      <c r="F129" s="47">
        <v>0</v>
      </c>
      <c r="G129" s="47">
        <v>1</v>
      </c>
      <c r="H129" s="47">
        <f t="shared" ref="H129:H130" si="67">SUM(I129:J129)</f>
        <v>118</v>
      </c>
      <c r="I129" s="47">
        <v>0</v>
      </c>
      <c r="J129" s="47">
        <v>118</v>
      </c>
      <c r="K129" s="78" t="s">
        <v>284</v>
      </c>
    </row>
    <row r="130" spans="2:11" ht="15.75" customHeight="1" thickBot="1" x14ac:dyDescent="0.25">
      <c r="B130" s="47">
        <f t="shared" si="64"/>
        <v>60</v>
      </c>
      <c r="C130" s="47">
        <f t="shared" si="65"/>
        <v>60</v>
      </c>
      <c r="D130" s="47">
        <f t="shared" si="65"/>
        <v>0</v>
      </c>
      <c r="E130" s="47">
        <f t="shared" si="66"/>
        <v>0</v>
      </c>
      <c r="F130" s="47">
        <v>0</v>
      </c>
      <c r="G130" s="47">
        <v>0</v>
      </c>
      <c r="H130" s="47">
        <f t="shared" si="67"/>
        <v>60</v>
      </c>
      <c r="I130" s="47">
        <v>60</v>
      </c>
      <c r="J130" s="47">
        <v>0</v>
      </c>
      <c r="K130" s="79" t="s">
        <v>285</v>
      </c>
    </row>
    <row r="131" spans="2:11" ht="15.75" customHeight="1" thickBot="1" x14ac:dyDescent="0.25">
      <c r="B131" s="47">
        <f t="shared" ref="B131:I131" si="68">SUM(B128:B130)</f>
        <v>391</v>
      </c>
      <c r="C131" s="47">
        <f t="shared" si="68"/>
        <v>272</v>
      </c>
      <c r="D131" s="47">
        <f t="shared" si="68"/>
        <v>119</v>
      </c>
      <c r="E131" s="47">
        <f t="shared" si="68"/>
        <v>2</v>
      </c>
      <c r="F131" s="47">
        <f t="shared" si="68"/>
        <v>1</v>
      </c>
      <c r="G131" s="47">
        <f t="shared" si="68"/>
        <v>1</v>
      </c>
      <c r="H131" s="47">
        <f t="shared" si="68"/>
        <v>389</v>
      </c>
      <c r="I131" s="47">
        <f t="shared" si="68"/>
        <v>271</v>
      </c>
      <c r="J131" s="47">
        <f>SUM(J128:J130)</f>
        <v>118</v>
      </c>
      <c r="K131" s="187" t="s">
        <v>188</v>
      </c>
    </row>
    <row r="132" spans="2:11" ht="15.75" customHeight="1" thickBot="1" x14ac:dyDescent="0.25">
      <c r="B132" s="476" t="s">
        <v>4</v>
      </c>
      <c r="C132" s="476"/>
      <c r="D132" s="476"/>
      <c r="E132" s="476" t="s">
        <v>145</v>
      </c>
      <c r="F132" s="476"/>
      <c r="G132" s="476"/>
      <c r="H132" s="476" t="s">
        <v>146</v>
      </c>
      <c r="I132" s="476"/>
      <c r="J132" s="476"/>
      <c r="K132" s="202" t="s">
        <v>66</v>
      </c>
    </row>
    <row r="133" spans="2:11" ht="15.75" customHeight="1" thickBot="1" x14ac:dyDescent="0.25">
      <c r="B133" s="185" t="s">
        <v>227</v>
      </c>
      <c r="C133" s="185" t="s">
        <v>10</v>
      </c>
      <c r="D133" s="185" t="s">
        <v>9</v>
      </c>
      <c r="E133" s="185" t="s">
        <v>227</v>
      </c>
      <c r="F133" s="185" t="s">
        <v>10</v>
      </c>
      <c r="G133" s="185" t="s">
        <v>9</v>
      </c>
      <c r="H133" s="185" t="s">
        <v>227</v>
      </c>
      <c r="I133" s="185" t="s">
        <v>10</v>
      </c>
      <c r="J133" s="185" t="s">
        <v>9</v>
      </c>
      <c r="K133" s="187" t="s">
        <v>121</v>
      </c>
    </row>
    <row r="134" spans="2:11" ht="15.75" customHeight="1" thickBot="1" x14ac:dyDescent="0.25">
      <c r="B134" s="47">
        <f>SUM(C134:D134)</f>
        <v>1383</v>
      </c>
      <c r="C134" s="47">
        <f>I134+F134</f>
        <v>1383</v>
      </c>
      <c r="D134" s="47">
        <f>J134+G134</f>
        <v>0</v>
      </c>
      <c r="E134" s="47">
        <f>SUM(F134:G134)</f>
        <v>0</v>
      </c>
      <c r="F134" s="47">
        <v>0</v>
      </c>
      <c r="G134" s="47">
        <v>0</v>
      </c>
      <c r="H134" s="47">
        <f>SUM(I134:J134)</f>
        <v>1383</v>
      </c>
      <c r="I134" s="47">
        <v>1383</v>
      </c>
      <c r="J134" s="47">
        <v>0</v>
      </c>
      <c r="K134" s="78" t="s">
        <v>120</v>
      </c>
    </row>
    <row r="135" spans="2:11" ht="15.75" customHeight="1" thickBot="1" x14ac:dyDescent="0.25">
      <c r="B135" s="47">
        <f t="shared" ref="B135:I135" si="69">SUM(B134)</f>
        <v>1383</v>
      </c>
      <c r="C135" s="47">
        <f t="shared" si="69"/>
        <v>1383</v>
      </c>
      <c r="D135" s="47">
        <f t="shared" si="69"/>
        <v>0</v>
      </c>
      <c r="E135" s="47">
        <f t="shared" si="69"/>
        <v>0</v>
      </c>
      <c r="F135" s="47">
        <f t="shared" si="69"/>
        <v>0</v>
      </c>
      <c r="G135" s="47">
        <f t="shared" si="69"/>
        <v>0</v>
      </c>
      <c r="H135" s="47">
        <f t="shared" si="69"/>
        <v>1383</v>
      </c>
      <c r="I135" s="47">
        <f t="shared" si="69"/>
        <v>1383</v>
      </c>
      <c r="J135" s="47">
        <f>SUM(J134)</f>
        <v>0</v>
      </c>
      <c r="K135" s="187" t="s">
        <v>188</v>
      </c>
    </row>
    <row r="136" spans="2:11" ht="15.75" customHeight="1" thickBot="1" x14ac:dyDescent="0.25">
      <c r="B136" s="476" t="s">
        <v>4</v>
      </c>
      <c r="C136" s="476"/>
      <c r="D136" s="476"/>
      <c r="E136" s="476" t="s">
        <v>145</v>
      </c>
      <c r="F136" s="476"/>
      <c r="G136" s="476"/>
      <c r="H136" s="476" t="s">
        <v>146</v>
      </c>
      <c r="I136" s="476"/>
      <c r="J136" s="476"/>
      <c r="K136" s="202" t="s">
        <v>66</v>
      </c>
    </row>
    <row r="137" spans="2:11" ht="15.75" customHeight="1" thickBot="1" x14ac:dyDescent="0.25">
      <c r="B137" s="185" t="s">
        <v>227</v>
      </c>
      <c r="C137" s="185" t="s">
        <v>10</v>
      </c>
      <c r="D137" s="185" t="s">
        <v>9</v>
      </c>
      <c r="E137" s="185" t="s">
        <v>227</v>
      </c>
      <c r="F137" s="185" t="s">
        <v>10</v>
      </c>
      <c r="G137" s="185" t="s">
        <v>9</v>
      </c>
      <c r="H137" s="185" t="s">
        <v>227</v>
      </c>
      <c r="I137" s="185" t="s">
        <v>10</v>
      </c>
      <c r="J137" s="185" t="s">
        <v>9</v>
      </c>
      <c r="K137" s="187" t="s">
        <v>123</v>
      </c>
    </row>
    <row r="138" spans="2:11" ht="15.75" customHeight="1" thickBot="1" x14ac:dyDescent="0.25">
      <c r="B138" s="47">
        <f>SUM(C138:D138)</f>
        <v>79</v>
      </c>
      <c r="C138" s="47">
        <f>I138+F138</f>
        <v>79</v>
      </c>
      <c r="D138" s="47">
        <f>J138+G138</f>
        <v>0</v>
      </c>
      <c r="E138" s="47">
        <f>SUM(F138:G138)</f>
        <v>0</v>
      </c>
      <c r="F138" s="47">
        <v>0</v>
      </c>
      <c r="G138" s="47">
        <v>0</v>
      </c>
      <c r="H138" s="47">
        <f>SUM(I138:J138)</f>
        <v>79</v>
      </c>
      <c r="I138" s="47">
        <v>79</v>
      </c>
      <c r="J138" s="47">
        <v>0</v>
      </c>
      <c r="K138" s="78" t="s">
        <v>122</v>
      </c>
    </row>
    <row r="139" spans="2:11" ht="15.75" customHeight="1" thickBot="1" x14ac:dyDescent="0.25">
      <c r="B139" s="47">
        <f t="shared" ref="B139:B142" si="70">SUM(C139:D139)</f>
        <v>6</v>
      </c>
      <c r="C139" s="47">
        <f t="shared" ref="C139:D142" si="71">I139+F139</f>
        <v>0</v>
      </c>
      <c r="D139" s="47">
        <f t="shared" si="71"/>
        <v>6</v>
      </c>
      <c r="E139" s="47">
        <f t="shared" ref="E139:E142" si="72">SUM(F139:G139)</f>
        <v>0</v>
      </c>
      <c r="F139" s="47">
        <v>0</v>
      </c>
      <c r="G139" s="47">
        <v>0</v>
      </c>
      <c r="H139" s="47">
        <f t="shared" ref="H139:H142" si="73">SUM(I139:J139)</f>
        <v>6</v>
      </c>
      <c r="I139" s="47">
        <v>0</v>
      </c>
      <c r="J139" s="47">
        <v>6</v>
      </c>
      <c r="K139" s="78" t="s">
        <v>286</v>
      </c>
    </row>
    <row r="140" spans="2:11" ht="15.75" customHeight="1" thickBot="1" x14ac:dyDescent="0.25">
      <c r="B140" s="47">
        <f t="shared" si="70"/>
        <v>113</v>
      </c>
      <c r="C140" s="47">
        <f t="shared" si="71"/>
        <v>113</v>
      </c>
      <c r="D140" s="47">
        <f t="shared" si="71"/>
        <v>0</v>
      </c>
      <c r="E140" s="47">
        <f t="shared" si="72"/>
        <v>0</v>
      </c>
      <c r="F140" s="47">
        <v>0</v>
      </c>
      <c r="G140" s="47">
        <v>0</v>
      </c>
      <c r="H140" s="47">
        <f t="shared" si="73"/>
        <v>113</v>
      </c>
      <c r="I140" s="47">
        <v>113</v>
      </c>
      <c r="J140" s="47">
        <v>0</v>
      </c>
      <c r="K140" s="78" t="s">
        <v>287</v>
      </c>
    </row>
    <row r="141" spans="2:11" ht="15.75" customHeight="1" thickBot="1" x14ac:dyDescent="0.25">
      <c r="B141" s="47">
        <f t="shared" si="70"/>
        <v>50</v>
      </c>
      <c r="C141" s="47">
        <f t="shared" si="71"/>
        <v>0</v>
      </c>
      <c r="D141" s="47">
        <f t="shared" si="71"/>
        <v>50</v>
      </c>
      <c r="E141" s="47">
        <f t="shared" si="72"/>
        <v>0</v>
      </c>
      <c r="F141" s="47">
        <v>0</v>
      </c>
      <c r="G141" s="47">
        <v>0</v>
      </c>
      <c r="H141" s="47">
        <f t="shared" si="73"/>
        <v>50</v>
      </c>
      <c r="I141" s="47">
        <v>0</v>
      </c>
      <c r="J141" s="47">
        <v>50</v>
      </c>
      <c r="K141" s="78" t="s">
        <v>124</v>
      </c>
    </row>
    <row r="142" spans="2:11" ht="15.75" customHeight="1" thickBot="1" x14ac:dyDescent="0.25">
      <c r="B142" s="47">
        <f t="shared" si="70"/>
        <v>167</v>
      </c>
      <c r="C142" s="47">
        <f t="shared" si="71"/>
        <v>67</v>
      </c>
      <c r="D142" s="47">
        <f t="shared" si="71"/>
        <v>100</v>
      </c>
      <c r="E142" s="47">
        <f t="shared" si="72"/>
        <v>0</v>
      </c>
      <c r="F142" s="47">
        <v>0</v>
      </c>
      <c r="G142" s="47">
        <v>0</v>
      </c>
      <c r="H142" s="47">
        <f t="shared" si="73"/>
        <v>167</v>
      </c>
      <c r="I142" s="47">
        <v>67</v>
      </c>
      <c r="J142" s="47">
        <v>100</v>
      </c>
      <c r="K142" s="79" t="s">
        <v>288</v>
      </c>
    </row>
    <row r="143" spans="2:11" ht="15.75" customHeight="1" thickBot="1" x14ac:dyDescent="0.25">
      <c r="B143" s="47">
        <f t="shared" ref="B143:I143" si="74">SUM(B138:B142)</f>
        <v>415</v>
      </c>
      <c r="C143" s="47">
        <f t="shared" si="74"/>
        <v>259</v>
      </c>
      <c r="D143" s="47">
        <f t="shared" si="74"/>
        <v>156</v>
      </c>
      <c r="E143" s="47">
        <f t="shared" si="74"/>
        <v>0</v>
      </c>
      <c r="F143" s="47">
        <f t="shared" si="74"/>
        <v>0</v>
      </c>
      <c r="G143" s="47">
        <f t="shared" si="74"/>
        <v>0</v>
      </c>
      <c r="H143" s="47">
        <f t="shared" si="74"/>
        <v>415</v>
      </c>
      <c r="I143" s="47">
        <f t="shared" si="74"/>
        <v>259</v>
      </c>
      <c r="J143" s="47">
        <f>SUM(J138:J142)</f>
        <v>156</v>
      </c>
      <c r="K143" s="187" t="s">
        <v>188</v>
      </c>
    </row>
    <row r="144" spans="2:11" ht="15.75" customHeight="1" thickBot="1" x14ac:dyDescent="0.25">
      <c r="B144" s="476" t="s">
        <v>4</v>
      </c>
      <c r="C144" s="476"/>
      <c r="D144" s="476"/>
      <c r="E144" s="476" t="s">
        <v>145</v>
      </c>
      <c r="F144" s="476"/>
      <c r="G144" s="476"/>
      <c r="H144" s="476" t="s">
        <v>146</v>
      </c>
      <c r="I144" s="476"/>
      <c r="J144" s="476"/>
      <c r="K144" s="202" t="s">
        <v>66</v>
      </c>
    </row>
    <row r="145" spans="2:11" ht="15.75" customHeight="1" thickBot="1" x14ac:dyDescent="0.25">
      <c r="B145" s="185" t="s">
        <v>227</v>
      </c>
      <c r="C145" s="185" t="s">
        <v>10</v>
      </c>
      <c r="D145" s="185" t="s">
        <v>9</v>
      </c>
      <c r="E145" s="185" t="s">
        <v>227</v>
      </c>
      <c r="F145" s="185" t="s">
        <v>10</v>
      </c>
      <c r="G145" s="185" t="s">
        <v>9</v>
      </c>
      <c r="H145" s="185" t="s">
        <v>227</v>
      </c>
      <c r="I145" s="185" t="s">
        <v>10</v>
      </c>
      <c r="J145" s="185" t="s">
        <v>9</v>
      </c>
      <c r="K145" s="187" t="s">
        <v>155</v>
      </c>
    </row>
    <row r="146" spans="2:11" ht="15.75" customHeight="1" thickBot="1" x14ac:dyDescent="0.25">
      <c r="B146" s="47">
        <f>SUM(C146:D146)</f>
        <v>27</v>
      </c>
      <c r="C146" s="47">
        <f>I146+F146</f>
        <v>0</v>
      </c>
      <c r="D146" s="47">
        <f>J146+G146</f>
        <v>27</v>
      </c>
      <c r="E146" s="47">
        <f>SUM(F146:G146)</f>
        <v>0</v>
      </c>
      <c r="F146" s="47">
        <v>0</v>
      </c>
      <c r="G146" s="47">
        <v>0</v>
      </c>
      <c r="H146" s="47">
        <f>SUM(I146:J146)</f>
        <v>27</v>
      </c>
      <c r="I146" s="47">
        <v>0</v>
      </c>
      <c r="J146" s="47">
        <v>27</v>
      </c>
      <c r="K146" s="78" t="s">
        <v>289</v>
      </c>
    </row>
    <row r="147" spans="2:11" ht="15.75" customHeight="1" thickBot="1" x14ac:dyDescent="0.25">
      <c r="B147" s="47">
        <f t="shared" ref="B147" si="75">SUM(C147:D147)</f>
        <v>112</v>
      </c>
      <c r="C147" s="47">
        <f t="shared" ref="C147:D147" si="76">I147+F147</f>
        <v>89</v>
      </c>
      <c r="D147" s="47">
        <f t="shared" si="76"/>
        <v>23</v>
      </c>
      <c r="E147" s="47">
        <f t="shared" ref="E147" si="77">SUM(F147:G147)</f>
        <v>0</v>
      </c>
      <c r="F147" s="47">
        <v>0</v>
      </c>
      <c r="G147" s="47">
        <v>0</v>
      </c>
      <c r="H147" s="47">
        <f t="shared" ref="H147" si="78">SUM(I147:J147)</f>
        <v>112</v>
      </c>
      <c r="I147" s="47">
        <v>89</v>
      </c>
      <c r="J147" s="47">
        <v>23</v>
      </c>
      <c r="K147" s="78" t="s">
        <v>203</v>
      </c>
    </row>
    <row r="148" spans="2:11" ht="15.75" customHeight="1" thickBot="1" x14ac:dyDescent="0.25">
      <c r="B148" s="47">
        <f t="shared" ref="B148:I148" si="79">SUM(B146:B147)</f>
        <v>139</v>
      </c>
      <c r="C148" s="47">
        <f t="shared" si="79"/>
        <v>89</v>
      </c>
      <c r="D148" s="47">
        <f t="shared" si="79"/>
        <v>50</v>
      </c>
      <c r="E148" s="47">
        <f t="shared" si="79"/>
        <v>0</v>
      </c>
      <c r="F148" s="47">
        <f t="shared" si="79"/>
        <v>0</v>
      </c>
      <c r="G148" s="47">
        <f t="shared" si="79"/>
        <v>0</v>
      </c>
      <c r="H148" s="47">
        <f t="shared" si="79"/>
        <v>139</v>
      </c>
      <c r="I148" s="47">
        <f t="shared" si="79"/>
        <v>89</v>
      </c>
      <c r="J148" s="47">
        <f>SUM(J146:J147)</f>
        <v>50</v>
      </c>
      <c r="K148" s="187" t="s">
        <v>188</v>
      </c>
    </row>
    <row r="149" spans="2:11" ht="15.75" customHeight="1" thickBot="1" x14ac:dyDescent="0.25">
      <c r="B149" s="476" t="s">
        <v>4</v>
      </c>
      <c r="C149" s="476"/>
      <c r="D149" s="476"/>
      <c r="E149" s="476" t="s">
        <v>145</v>
      </c>
      <c r="F149" s="476"/>
      <c r="G149" s="476"/>
      <c r="H149" s="476" t="s">
        <v>146</v>
      </c>
      <c r="I149" s="476"/>
      <c r="J149" s="476"/>
      <c r="K149" s="202" t="s">
        <v>66</v>
      </c>
    </row>
    <row r="150" spans="2:11" ht="15.75" customHeight="1" thickBot="1" x14ac:dyDescent="0.25">
      <c r="B150" s="185" t="s">
        <v>227</v>
      </c>
      <c r="C150" s="185" t="s">
        <v>10</v>
      </c>
      <c r="D150" s="185" t="s">
        <v>9</v>
      </c>
      <c r="E150" s="185" t="s">
        <v>227</v>
      </c>
      <c r="F150" s="185" t="s">
        <v>10</v>
      </c>
      <c r="G150" s="185" t="s">
        <v>9</v>
      </c>
      <c r="H150" s="185" t="s">
        <v>227</v>
      </c>
      <c r="I150" s="185" t="s">
        <v>10</v>
      </c>
      <c r="J150" s="185" t="s">
        <v>9</v>
      </c>
      <c r="K150" s="187" t="s">
        <v>151</v>
      </c>
    </row>
    <row r="151" spans="2:11" ht="15.75" customHeight="1" thickBot="1" x14ac:dyDescent="0.25">
      <c r="B151" s="47">
        <f>SUM(C151:D151)</f>
        <v>4443</v>
      </c>
      <c r="C151" s="47">
        <f>I151+F151</f>
        <v>0</v>
      </c>
      <c r="D151" s="47">
        <f>J151+G151</f>
        <v>4443</v>
      </c>
      <c r="E151" s="47">
        <f>SUM(F151:G151)</f>
        <v>0</v>
      </c>
      <c r="F151" s="47">
        <v>0</v>
      </c>
      <c r="G151" s="47">
        <v>0</v>
      </c>
      <c r="H151" s="47">
        <f>SUM(I151:J151)</f>
        <v>4443</v>
      </c>
      <c r="I151" s="47">
        <v>0</v>
      </c>
      <c r="J151" s="47">
        <v>4443</v>
      </c>
      <c r="K151" s="78" t="s">
        <v>290</v>
      </c>
    </row>
    <row r="152" spans="2:11" ht="15.75" customHeight="1" thickBot="1" x14ac:dyDescent="0.25">
      <c r="B152" s="47">
        <f t="shared" ref="B152:B194" si="80">SUM(C152:D152)</f>
        <v>1514</v>
      </c>
      <c r="C152" s="47">
        <f t="shared" ref="C152:D194" si="81">I152+F152</f>
        <v>0</v>
      </c>
      <c r="D152" s="47">
        <f t="shared" si="81"/>
        <v>1514</v>
      </c>
      <c r="E152" s="47">
        <f t="shared" ref="E152:E194" si="82">SUM(F152:G152)</f>
        <v>0</v>
      </c>
      <c r="F152" s="47">
        <v>0</v>
      </c>
      <c r="G152" s="47">
        <v>0</v>
      </c>
      <c r="H152" s="47">
        <f t="shared" ref="H152:H194" si="83">SUM(I152:J152)</f>
        <v>1514</v>
      </c>
      <c r="I152" s="47">
        <v>0</v>
      </c>
      <c r="J152" s="47">
        <v>1514</v>
      </c>
      <c r="K152" s="78" t="s">
        <v>291</v>
      </c>
    </row>
    <row r="153" spans="2:11" ht="15.75" customHeight="1" thickBot="1" x14ac:dyDescent="0.25">
      <c r="B153" s="47">
        <f t="shared" si="80"/>
        <v>1574</v>
      </c>
      <c r="C153" s="47">
        <f t="shared" si="81"/>
        <v>0</v>
      </c>
      <c r="D153" s="47">
        <f t="shared" si="81"/>
        <v>1574</v>
      </c>
      <c r="E153" s="47">
        <f t="shared" si="82"/>
        <v>0</v>
      </c>
      <c r="F153" s="47">
        <v>0</v>
      </c>
      <c r="G153" s="47">
        <v>0</v>
      </c>
      <c r="H153" s="47">
        <f t="shared" si="83"/>
        <v>1574</v>
      </c>
      <c r="I153" s="47">
        <v>0</v>
      </c>
      <c r="J153" s="47">
        <v>1574</v>
      </c>
      <c r="K153" s="78" t="s">
        <v>292</v>
      </c>
    </row>
    <row r="154" spans="2:11" ht="15.75" customHeight="1" thickBot="1" x14ac:dyDescent="0.25">
      <c r="B154" s="47">
        <f t="shared" si="80"/>
        <v>603</v>
      </c>
      <c r="C154" s="47">
        <f t="shared" si="81"/>
        <v>0</v>
      </c>
      <c r="D154" s="47">
        <f t="shared" si="81"/>
        <v>603</v>
      </c>
      <c r="E154" s="47">
        <f t="shared" si="82"/>
        <v>0</v>
      </c>
      <c r="F154" s="47">
        <v>0</v>
      </c>
      <c r="G154" s="47">
        <v>0</v>
      </c>
      <c r="H154" s="47">
        <f t="shared" si="83"/>
        <v>603</v>
      </c>
      <c r="I154" s="47">
        <v>0</v>
      </c>
      <c r="J154" s="47">
        <v>603</v>
      </c>
      <c r="K154" s="78" t="s">
        <v>293</v>
      </c>
    </row>
    <row r="155" spans="2:11" ht="15.75" customHeight="1" thickBot="1" x14ac:dyDescent="0.25">
      <c r="B155" s="47">
        <f t="shared" si="80"/>
        <v>3278</v>
      </c>
      <c r="C155" s="47">
        <f t="shared" si="81"/>
        <v>0</v>
      </c>
      <c r="D155" s="47">
        <f t="shared" si="81"/>
        <v>3278</v>
      </c>
      <c r="E155" s="47">
        <f t="shared" si="82"/>
        <v>0</v>
      </c>
      <c r="F155" s="47">
        <v>0</v>
      </c>
      <c r="G155" s="47">
        <v>0</v>
      </c>
      <c r="H155" s="47">
        <f t="shared" si="83"/>
        <v>3278</v>
      </c>
      <c r="I155" s="47">
        <v>0</v>
      </c>
      <c r="J155" s="47">
        <v>3278</v>
      </c>
      <c r="K155" s="78" t="s">
        <v>294</v>
      </c>
    </row>
    <row r="156" spans="2:11" ht="15.75" customHeight="1" thickBot="1" x14ac:dyDescent="0.25">
      <c r="B156" s="47">
        <f t="shared" si="80"/>
        <v>2548</v>
      </c>
      <c r="C156" s="47">
        <f t="shared" si="81"/>
        <v>0</v>
      </c>
      <c r="D156" s="47">
        <f t="shared" si="81"/>
        <v>2548</v>
      </c>
      <c r="E156" s="47">
        <f t="shared" si="82"/>
        <v>0</v>
      </c>
      <c r="F156" s="47">
        <v>0</v>
      </c>
      <c r="G156" s="47">
        <v>0</v>
      </c>
      <c r="H156" s="47">
        <f t="shared" si="83"/>
        <v>2548</v>
      </c>
      <c r="I156" s="47">
        <v>0</v>
      </c>
      <c r="J156" s="47">
        <v>2548</v>
      </c>
      <c r="K156" s="78" t="s">
        <v>295</v>
      </c>
    </row>
    <row r="157" spans="2:11" ht="15.75" customHeight="1" thickBot="1" x14ac:dyDescent="0.25">
      <c r="B157" s="47">
        <f t="shared" si="80"/>
        <v>1102</v>
      </c>
      <c r="C157" s="47">
        <f t="shared" si="81"/>
        <v>0</v>
      </c>
      <c r="D157" s="47">
        <f t="shared" si="81"/>
        <v>1102</v>
      </c>
      <c r="E157" s="47">
        <f t="shared" si="82"/>
        <v>0</v>
      </c>
      <c r="F157" s="47">
        <v>0</v>
      </c>
      <c r="G157" s="47">
        <v>0</v>
      </c>
      <c r="H157" s="47">
        <f t="shared" si="83"/>
        <v>1102</v>
      </c>
      <c r="I157" s="47">
        <v>0</v>
      </c>
      <c r="J157" s="47">
        <v>1102</v>
      </c>
      <c r="K157" s="78" t="s">
        <v>296</v>
      </c>
    </row>
    <row r="158" spans="2:11" ht="15.75" customHeight="1" thickBot="1" x14ac:dyDescent="0.25">
      <c r="B158" s="47">
        <f t="shared" si="80"/>
        <v>2547</v>
      </c>
      <c r="C158" s="47">
        <f t="shared" si="81"/>
        <v>0</v>
      </c>
      <c r="D158" s="47">
        <f t="shared" si="81"/>
        <v>2547</v>
      </c>
      <c r="E158" s="47">
        <f t="shared" si="82"/>
        <v>0</v>
      </c>
      <c r="F158" s="47">
        <v>0</v>
      </c>
      <c r="G158" s="47">
        <v>0</v>
      </c>
      <c r="H158" s="47">
        <f t="shared" si="83"/>
        <v>2547</v>
      </c>
      <c r="I158" s="47">
        <v>0</v>
      </c>
      <c r="J158" s="47">
        <v>2547</v>
      </c>
      <c r="K158" s="78" t="s">
        <v>297</v>
      </c>
    </row>
    <row r="159" spans="2:11" ht="15.75" customHeight="1" thickBot="1" x14ac:dyDescent="0.25">
      <c r="B159" s="47">
        <f t="shared" si="80"/>
        <v>2454</v>
      </c>
      <c r="C159" s="47">
        <f t="shared" si="81"/>
        <v>0</v>
      </c>
      <c r="D159" s="47">
        <f t="shared" si="81"/>
        <v>2454</v>
      </c>
      <c r="E159" s="47">
        <f t="shared" si="82"/>
        <v>0</v>
      </c>
      <c r="F159" s="47">
        <v>0</v>
      </c>
      <c r="G159" s="47">
        <v>0</v>
      </c>
      <c r="H159" s="47">
        <f t="shared" si="83"/>
        <v>2454</v>
      </c>
      <c r="I159" s="47">
        <v>0</v>
      </c>
      <c r="J159" s="47">
        <v>2454</v>
      </c>
      <c r="K159" s="78" t="s">
        <v>298</v>
      </c>
    </row>
    <row r="160" spans="2:11" ht="15.75" customHeight="1" thickBot="1" x14ac:dyDescent="0.25">
      <c r="B160" s="47">
        <f t="shared" si="80"/>
        <v>1233</v>
      </c>
      <c r="C160" s="47">
        <f t="shared" si="81"/>
        <v>0</v>
      </c>
      <c r="D160" s="47">
        <f t="shared" si="81"/>
        <v>1233</v>
      </c>
      <c r="E160" s="47">
        <f t="shared" si="82"/>
        <v>0</v>
      </c>
      <c r="F160" s="47">
        <v>0</v>
      </c>
      <c r="G160" s="47">
        <v>0</v>
      </c>
      <c r="H160" s="47">
        <f t="shared" si="83"/>
        <v>1233</v>
      </c>
      <c r="I160" s="47">
        <v>0</v>
      </c>
      <c r="J160" s="47">
        <v>1233</v>
      </c>
      <c r="K160" s="78" t="s">
        <v>299</v>
      </c>
    </row>
    <row r="161" spans="2:11" ht="15.75" customHeight="1" thickBot="1" x14ac:dyDescent="0.25">
      <c r="B161" s="47">
        <f t="shared" si="80"/>
        <v>1133</v>
      </c>
      <c r="C161" s="47">
        <f t="shared" si="81"/>
        <v>0</v>
      </c>
      <c r="D161" s="47">
        <f t="shared" si="81"/>
        <v>1133</v>
      </c>
      <c r="E161" s="47">
        <f t="shared" si="82"/>
        <v>0</v>
      </c>
      <c r="F161" s="47">
        <v>0</v>
      </c>
      <c r="G161" s="47">
        <v>0</v>
      </c>
      <c r="H161" s="47">
        <f t="shared" si="83"/>
        <v>1133</v>
      </c>
      <c r="I161" s="47">
        <v>0</v>
      </c>
      <c r="J161" s="47">
        <v>1133</v>
      </c>
      <c r="K161" s="78" t="s">
        <v>300</v>
      </c>
    </row>
    <row r="162" spans="2:11" ht="15.75" customHeight="1" thickBot="1" x14ac:dyDescent="0.25">
      <c r="B162" s="47">
        <f t="shared" si="80"/>
        <v>585</v>
      </c>
      <c r="C162" s="47">
        <f t="shared" si="81"/>
        <v>0</v>
      </c>
      <c r="D162" s="47">
        <f t="shared" si="81"/>
        <v>585</v>
      </c>
      <c r="E162" s="47">
        <f t="shared" si="82"/>
        <v>0</v>
      </c>
      <c r="F162" s="47">
        <v>0</v>
      </c>
      <c r="G162" s="47">
        <v>0</v>
      </c>
      <c r="H162" s="47">
        <f t="shared" si="83"/>
        <v>585</v>
      </c>
      <c r="I162" s="47">
        <v>0</v>
      </c>
      <c r="J162" s="47">
        <v>585</v>
      </c>
      <c r="K162" s="78" t="s">
        <v>301</v>
      </c>
    </row>
    <row r="163" spans="2:11" ht="15.75" customHeight="1" thickBot="1" x14ac:dyDescent="0.25">
      <c r="B163" s="47">
        <f t="shared" si="80"/>
        <v>478</v>
      </c>
      <c r="C163" s="47">
        <f t="shared" si="81"/>
        <v>0</v>
      </c>
      <c r="D163" s="47">
        <f t="shared" si="81"/>
        <v>478</v>
      </c>
      <c r="E163" s="47">
        <f t="shared" si="82"/>
        <v>0</v>
      </c>
      <c r="F163" s="47">
        <v>0</v>
      </c>
      <c r="G163" s="47">
        <v>0</v>
      </c>
      <c r="H163" s="47">
        <f t="shared" si="83"/>
        <v>478</v>
      </c>
      <c r="I163" s="47">
        <v>0</v>
      </c>
      <c r="J163" s="47">
        <v>478</v>
      </c>
      <c r="K163" s="78" t="s">
        <v>302</v>
      </c>
    </row>
    <row r="164" spans="2:11" ht="15.75" customHeight="1" thickBot="1" x14ac:dyDescent="0.25">
      <c r="B164" s="47">
        <f t="shared" si="80"/>
        <v>1098</v>
      </c>
      <c r="C164" s="47">
        <f t="shared" si="81"/>
        <v>0</v>
      </c>
      <c r="D164" s="47">
        <f t="shared" si="81"/>
        <v>1098</v>
      </c>
      <c r="E164" s="47">
        <f t="shared" si="82"/>
        <v>0</v>
      </c>
      <c r="F164" s="47">
        <v>0</v>
      </c>
      <c r="G164" s="47">
        <v>0</v>
      </c>
      <c r="H164" s="47">
        <f t="shared" si="83"/>
        <v>1098</v>
      </c>
      <c r="I164" s="47">
        <v>0</v>
      </c>
      <c r="J164" s="47">
        <v>1098</v>
      </c>
      <c r="K164" s="78" t="s">
        <v>303</v>
      </c>
    </row>
    <row r="165" spans="2:11" ht="15.75" customHeight="1" thickBot="1" x14ac:dyDescent="0.25">
      <c r="B165" s="47">
        <f t="shared" si="80"/>
        <v>1319</v>
      </c>
      <c r="C165" s="47">
        <f t="shared" si="81"/>
        <v>0</v>
      </c>
      <c r="D165" s="47">
        <f t="shared" si="81"/>
        <v>1319</v>
      </c>
      <c r="E165" s="47">
        <f t="shared" si="82"/>
        <v>0</v>
      </c>
      <c r="F165" s="47">
        <v>0</v>
      </c>
      <c r="G165" s="47">
        <v>0</v>
      </c>
      <c r="H165" s="47">
        <f t="shared" si="83"/>
        <v>1319</v>
      </c>
      <c r="I165" s="47">
        <v>0</v>
      </c>
      <c r="J165" s="47">
        <v>1319</v>
      </c>
      <c r="K165" s="78" t="s">
        <v>304</v>
      </c>
    </row>
    <row r="166" spans="2:11" ht="15.75" customHeight="1" thickBot="1" x14ac:dyDescent="0.25">
      <c r="B166" s="47">
        <f t="shared" si="80"/>
        <v>1060</v>
      </c>
      <c r="C166" s="47">
        <f t="shared" si="81"/>
        <v>0</v>
      </c>
      <c r="D166" s="47">
        <f t="shared" si="81"/>
        <v>1060</v>
      </c>
      <c r="E166" s="47">
        <f t="shared" si="82"/>
        <v>0</v>
      </c>
      <c r="F166" s="47">
        <v>0</v>
      </c>
      <c r="G166" s="47">
        <v>0</v>
      </c>
      <c r="H166" s="47">
        <f t="shared" si="83"/>
        <v>1060</v>
      </c>
      <c r="I166" s="47">
        <v>0</v>
      </c>
      <c r="J166" s="47">
        <v>1060</v>
      </c>
      <c r="K166" s="78" t="s">
        <v>305</v>
      </c>
    </row>
    <row r="167" spans="2:11" ht="15.75" customHeight="1" thickBot="1" x14ac:dyDescent="0.25">
      <c r="B167" s="47">
        <f t="shared" si="80"/>
        <v>307</v>
      </c>
      <c r="C167" s="47">
        <f t="shared" si="81"/>
        <v>0</v>
      </c>
      <c r="D167" s="47">
        <f t="shared" si="81"/>
        <v>307</v>
      </c>
      <c r="E167" s="47">
        <f t="shared" si="82"/>
        <v>0</v>
      </c>
      <c r="F167" s="47">
        <v>0</v>
      </c>
      <c r="G167" s="47">
        <v>0</v>
      </c>
      <c r="H167" s="47">
        <f t="shared" si="83"/>
        <v>307</v>
      </c>
      <c r="I167" s="47">
        <v>0</v>
      </c>
      <c r="J167" s="47">
        <v>307</v>
      </c>
      <c r="K167" s="78" t="s">
        <v>306</v>
      </c>
    </row>
    <row r="168" spans="2:11" ht="15.75" customHeight="1" thickBot="1" x14ac:dyDescent="0.25">
      <c r="B168" s="47">
        <f t="shared" si="80"/>
        <v>613</v>
      </c>
      <c r="C168" s="47">
        <f t="shared" si="81"/>
        <v>0</v>
      </c>
      <c r="D168" s="47">
        <f t="shared" si="81"/>
        <v>613</v>
      </c>
      <c r="E168" s="47">
        <f t="shared" si="82"/>
        <v>0</v>
      </c>
      <c r="F168" s="47">
        <v>0</v>
      </c>
      <c r="G168" s="47">
        <v>0</v>
      </c>
      <c r="H168" s="47">
        <f t="shared" si="83"/>
        <v>613</v>
      </c>
      <c r="I168" s="47">
        <v>0</v>
      </c>
      <c r="J168" s="47">
        <v>613</v>
      </c>
      <c r="K168" s="78" t="s">
        <v>307</v>
      </c>
    </row>
    <row r="169" spans="2:11" ht="15.75" customHeight="1" thickBot="1" x14ac:dyDescent="0.25">
      <c r="B169" s="47">
        <f t="shared" si="80"/>
        <v>1044</v>
      </c>
      <c r="C169" s="47">
        <f t="shared" si="81"/>
        <v>0</v>
      </c>
      <c r="D169" s="47">
        <f t="shared" si="81"/>
        <v>1044</v>
      </c>
      <c r="E169" s="47">
        <f t="shared" si="82"/>
        <v>0</v>
      </c>
      <c r="F169" s="47">
        <v>0</v>
      </c>
      <c r="G169" s="47">
        <v>0</v>
      </c>
      <c r="H169" s="47">
        <f t="shared" si="83"/>
        <v>1044</v>
      </c>
      <c r="I169" s="47">
        <v>0</v>
      </c>
      <c r="J169" s="47">
        <v>1044</v>
      </c>
      <c r="K169" s="78" t="s">
        <v>308</v>
      </c>
    </row>
    <row r="170" spans="2:11" ht="15.75" customHeight="1" thickBot="1" x14ac:dyDescent="0.25">
      <c r="B170" s="47">
        <f t="shared" si="80"/>
        <v>1038</v>
      </c>
      <c r="C170" s="47">
        <f t="shared" si="81"/>
        <v>0</v>
      </c>
      <c r="D170" s="47">
        <f t="shared" si="81"/>
        <v>1038</v>
      </c>
      <c r="E170" s="47">
        <f t="shared" si="82"/>
        <v>0</v>
      </c>
      <c r="F170" s="47">
        <v>0</v>
      </c>
      <c r="G170" s="47">
        <v>0</v>
      </c>
      <c r="H170" s="47">
        <f t="shared" si="83"/>
        <v>1038</v>
      </c>
      <c r="I170" s="47">
        <v>0</v>
      </c>
      <c r="J170" s="47">
        <v>1038</v>
      </c>
      <c r="K170" s="78" t="s">
        <v>309</v>
      </c>
    </row>
    <row r="171" spans="2:11" ht="15.75" customHeight="1" thickBot="1" x14ac:dyDescent="0.25">
      <c r="B171" s="47">
        <f t="shared" si="80"/>
        <v>161</v>
      </c>
      <c r="C171" s="47">
        <f t="shared" si="81"/>
        <v>0</v>
      </c>
      <c r="D171" s="47">
        <f t="shared" si="81"/>
        <v>161</v>
      </c>
      <c r="E171" s="47">
        <f t="shared" si="82"/>
        <v>0</v>
      </c>
      <c r="F171" s="47">
        <v>0</v>
      </c>
      <c r="G171" s="47">
        <v>0</v>
      </c>
      <c r="H171" s="47">
        <f t="shared" si="83"/>
        <v>161</v>
      </c>
      <c r="I171" s="47">
        <v>0</v>
      </c>
      <c r="J171" s="47">
        <v>161</v>
      </c>
      <c r="K171" s="78" t="s">
        <v>310</v>
      </c>
    </row>
    <row r="172" spans="2:11" ht="15.75" customHeight="1" thickBot="1" x14ac:dyDescent="0.25">
      <c r="B172" s="47">
        <f t="shared" si="80"/>
        <v>1654</v>
      </c>
      <c r="C172" s="47">
        <f t="shared" si="81"/>
        <v>0</v>
      </c>
      <c r="D172" s="47">
        <f t="shared" si="81"/>
        <v>1654</v>
      </c>
      <c r="E172" s="47">
        <f t="shared" si="82"/>
        <v>0</v>
      </c>
      <c r="F172" s="47">
        <v>0</v>
      </c>
      <c r="G172" s="47">
        <v>0</v>
      </c>
      <c r="H172" s="47">
        <f t="shared" si="83"/>
        <v>1654</v>
      </c>
      <c r="I172" s="47">
        <v>0</v>
      </c>
      <c r="J172" s="47">
        <v>1654</v>
      </c>
      <c r="K172" s="78" t="s">
        <v>311</v>
      </c>
    </row>
    <row r="173" spans="2:11" ht="15.75" customHeight="1" thickBot="1" x14ac:dyDescent="0.25">
      <c r="B173" s="47">
        <f t="shared" si="80"/>
        <v>374</v>
      </c>
      <c r="C173" s="47">
        <f t="shared" si="81"/>
        <v>0</v>
      </c>
      <c r="D173" s="47">
        <f t="shared" si="81"/>
        <v>374</v>
      </c>
      <c r="E173" s="47">
        <f t="shared" si="82"/>
        <v>0</v>
      </c>
      <c r="F173" s="47">
        <v>0</v>
      </c>
      <c r="G173" s="47">
        <v>0</v>
      </c>
      <c r="H173" s="47">
        <f t="shared" si="83"/>
        <v>374</v>
      </c>
      <c r="I173" s="47">
        <v>0</v>
      </c>
      <c r="J173" s="47">
        <v>374</v>
      </c>
      <c r="K173" s="78" t="s">
        <v>312</v>
      </c>
    </row>
    <row r="174" spans="2:11" ht="15.75" customHeight="1" thickBot="1" x14ac:dyDescent="0.25">
      <c r="B174" s="47">
        <f t="shared" si="80"/>
        <v>841</v>
      </c>
      <c r="C174" s="47">
        <f t="shared" si="81"/>
        <v>0</v>
      </c>
      <c r="D174" s="47">
        <f t="shared" si="81"/>
        <v>841</v>
      </c>
      <c r="E174" s="47">
        <f t="shared" si="82"/>
        <v>0</v>
      </c>
      <c r="F174" s="47">
        <v>0</v>
      </c>
      <c r="G174" s="47">
        <v>0</v>
      </c>
      <c r="H174" s="47">
        <f t="shared" si="83"/>
        <v>841</v>
      </c>
      <c r="I174" s="47">
        <v>0</v>
      </c>
      <c r="J174" s="47">
        <v>841</v>
      </c>
      <c r="K174" s="78" t="s">
        <v>313</v>
      </c>
    </row>
    <row r="175" spans="2:11" ht="15.75" customHeight="1" thickBot="1" x14ac:dyDescent="0.25">
      <c r="B175" s="47">
        <f t="shared" si="80"/>
        <v>361</v>
      </c>
      <c r="C175" s="47">
        <f t="shared" si="81"/>
        <v>0</v>
      </c>
      <c r="D175" s="47">
        <f t="shared" si="81"/>
        <v>361</v>
      </c>
      <c r="E175" s="47">
        <f t="shared" si="82"/>
        <v>0</v>
      </c>
      <c r="F175" s="47">
        <v>0</v>
      </c>
      <c r="G175" s="47">
        <v>0</v>
      </c>
      <c r="H175" s="47">
        <f t="shared" si="83"/>
        <v>361</v>
      </c>
      <c r="I175" s="47">
        <v>0</v>
      </c>
      <c r="J175" s="47">
        <v>361</v>
      </c>
      <c r="K175" s="78" t="s">
        <v>314</v>
      </c>
    </row>
    <row r="176" spans="2:11" ht="15.75" customHeight="1" thickBot="1" x14ac:dyDescent="0.25">
      <c r="B176" s="47">
        <f t="shared" si="80"/>
        <v>475</v>
      </c>
      <c r="C176" s="47">
        <f t="shared" si="81"/>
        <v>0</v>
      </c>
      <c r="D176" s="47">
        <f t="shared" si="81"/>
        <v>475</v>
      </c>
      <c r="E176" s="47">
        <f t="shared" si="82"/>
        <v>0</v>
      </c>
      <c r="F176" s="47">
        <v>0</v>
      </c>
      <c r="G176" s="47">
        <v>0</v>
      </c>
      <c r="H176" s="47">
        <f t="shared" si="83"/>
        <v>475</v>
      </c>
      <c r="I176" s="47">
        <v>0</v>
      </c>
      <c r="J176" s="47">
        <v>475</v>
      </c>
      <c r="K176" s="78" t="s">
        <v>315</v>
      </c>
    </row>
    <row r="177" spans="2:11" ht="15.75" customHeight="1" thickBot="1" x14ac:dyDescent="0.25">
      <c r="B177" s="47">
        <f t="shared" si="80"/>
        <v>306</v>
      </c>
      <c r="C177" s="47">
        <f t="shared" si="81"/>
        <v>0</v>
      </c>
      <c r="D177" s="47">
        <f t="shared" si="81"/>
        <v>306</v>
      </c>
      <c r="E177" s="47">
        <f t="shared" si="82"/>
        <v>0</v>
      </c>
      <c r="F177" s="47">
        <v>0</v>
      </c>
      <c r="G177" s="47">
        <v>0</v>
      </c>
      <c r="H177" s="47">
        <f t="shared" si="83"/>
        <v>306</v>
      </c>
      <c r="I177" s="47">
        <v>0</v>
      </c>
      <c r="J177" s="47">
        <v>306</v>
      </c>
      <c r="K177" s="78" t="s">
        <v>316</v>
      </c>
    </row>
    <row r="178" spans="2:11" ht="15.75" customHeight="1" thickBot="1" x14ac:dyDescent="0.25">
      <c r="B178" s="47">
        <f t="shared" si="80"/>
        <v>838</v>
      </c>
      <c r="C178" s="47">
        <f t="shared" si="81"/>
        <v>0</v>
      </c>
      <c r="D178" s="47">
        <f t="shared" si="81"/>
        <v>838</v>
      </c>
      <c r="E178" s="47">
        <f t="shared" si="82"/>
        <v>0</v>
      </c>
      <c r="F178" s="47">
        <v>0</v>
      </c>
      <c r="G178" s="47">
        <v>0</v>
      </c>
      <c r="H178" s="47">
        <f t="shared" si="83"/>
        <v>838</v>
      </c>
      <c r="I178" s="47">
        <v>0</v>
      </c>
      <c r="J178" s="47">
        <v>838</v>
      </c>
      <c r="K178" s="78" t="s">
        <v>317</v>
      </c>
    </row>
    <row r="179" spans="2:11" ht="15.75" customHeight="1" thickBot="1" x14ac:dyDescent="0.25">
      <c r="B179" s="47">
        <f t="shared" si="80"/>
        <v>588</v>
      </c>
      <c r="C179" s="47">
        <f t="shared" si="81"/>
        <v>0</v>
      </c>
      <c r="D179" s="47">
        <f t="shared" si="81"/>
        <v>588</v>
      </c>
      <c r="E179" s="47">
        <f t="shared" si="82"/>
        <v>0</v>
      </c>
      <c r="F179" s="47">
        <v>0</v>
      </c>
      <c r="G179" s="47">
        <v>0</v>
      </c>
      <c r="H179" s="47">
        <f t="shared" si="83"/>
        <v>588</v>
      </c>
      <c r="I179" s="47">
        <v>0</v>
      </c>
      <c r="J179" s="47">
        <v>588</v>
      </c>
      <c r="K179" s="78" t="s">
        <v>318</v>
      </c>
    </row>
    <row r="180" spans="2:11" ht="15.75" customHeight="1" thickBot="1" x14ac:dyDescent="0.25">
      <c r="B180" s="47">
        <f t="shared" si="80"/>
        <v>449</v>
      </c>
      <c r="C180" s="47">
        <f t="shared" si="81"/>
        <v>0</v>
      </c>
      <c r="D180" s="47">
        <f t="shared" si="81"/>
        <v>449</v>
      </c>
      <c r="E180" s="47">
        <f t="shared" si="82"/>
        <v>0</v>
      </c>
      <c r="F180" s="47">
        <v>0</v>
      </c>
      <c r="G180" s="47">
        <v>0</v>
      </c>
      <c r="H180" s="47">
        <f t="shared" si="83"/>
        <v>449</v>
      </c>
      <c r="I180" s="47">
        <v>0</v>
      </c>
      <c r="J180" s="47">
        <v>449</v>
      </c>
      <c r="K180" s="78" t="s">
        <v>319</v>
      </c>
    </row>
    <row r="181" spans="2:11" ht="15.75" customHeight="1" thickBot="1" x14ac:dyDescent="0.25">
      <c r="B181" s="47">
        <f t="shared" si="80"/>
        <v>245</v>
      </c>
      <c r="C181" s="47">
        <f t="shared" si="81"/>
        <v>0</v>
      </c>
      <c r="D181" s="47">
        <f t="shared" si="81"/>
        <v>245</v>
      </c>
      <c r="E181" s="47">
        <f t="shared" si="82"/>
        <v>0</v>
      </c>
      <c r="F181" s="47">
        <v>0</v>
      </c>
      <c r="G181" s="47">
        <v>0</v>
      </c>
      <c r="H181" s="47">
        <f t="shared" si="83"/>
        <v>245</v>
      </c>
      <c r="I181" s="47">
        <v>0</v>
      </c>
      <c r="J181" s="47">
        <v>245</v>
      </c>
      <c r="K181" s="78" t="s">
        <v>320</v>
      </c>
    </row>
    <row r="182" spans="2:11" ht="15.75" customHeight="1" thickBot="1" x14ac:dyDescent="0.25">
      <c r="B182" s="47">
        <f t="shared" si="80"/>
        <v>327</v>
      </c>
      <c r="C182" s="47">
        <f t="shared" si="81"/>
        <v>0</v>
      </c>
      <c r="D182" s="47">
        <f t="shared" si="81"/>
        <v>327</v>
      </c>
      <c r="E182" s="47">
        <f t="shared" si="82"/>
        <v>0</v>
      </c>
      <c r="F182" s="47">
        <v>0</v>
      </c>
      <c r="G182" s="47">
        <v>0</v>
      </c>
      <c r="H182" s="47">
        <f t="shared" si="83"/>
        <v>327</v>
      </c>
      <c r="I182" s="47">
        <v>0</v>
      </c>
      <c r="J182" s="47">
        <v>327</v>
      </c>
      <c r="K182" s="78" t="s">
        <v>321</v>
      </c>
    </row>
    <row r="183" spans="2:11" ht="15.75" customHeight="1" thickBot="1" x14ac:dyDescent="0.25">
      <c r="B183" s="47">
        <f t="shared" si="80"/>
        <v>329</v>
      </c>
      <c r="C183" s="47">
        <f t="shared" si="81"/>
        <v>0</v>
      </c>
      <c r="D183" s="47">
        <f t="shared" si="81"/>
        <v>329</v>
      </c>
      <c r="E183" s="47">
        <f t="shared" si="82"/>
        <v>0</v>
      </c>
      <c r="F183" s="47">
        <v>0</v>
      </c>
      <c r="G183" s="47">
        <v>0</v>
      </c>
      <c r="H183" s="47">
        <f t="shared" si="83"/>
        <v>329</v>
      </c>
      <c r="I183" s="47">
        <v>0</v>
      </c>
      <c r="J183" s="47">
        <v>329</v>
      </c>
      <c r="K183" s="78" t="s">
        <v>322</v>
      </c>
    </row>
    <row r="184" spans="2:11" ht="15.75" customHeight="1" thickBot="1" x14ac:dyDescent="0.25">
      <c r="B184" s="47">
        <f t="shared" si="80"/>
        <v>540</v>
      </c>
      <c r="C184" s="47">
        <f t="shared" si="81"/>
        <v>0</v>
      </c>
      <c r="D184" s="47">
        <f t="shared" si="81"/>
        <v>540</v>
      </c>
      <c r="E184" s="47">
        <f t="shared" si="82"/>
        <v>0</v>
      </c>
      <c r="F184" s="47">
        <v>0</v>
      </c>
      <c r="G184" s="47">
        <v>0</v>
      </c>
      <c r="H184" s="47">
        <f t="shared" si="83"/>
        <v>540</v>
      </c>
      <c r="I184" s="47">
        <v>0</v>
      </c>
      <c r="J184" s="47">
        <v>540</v>
      </c>
      <c r="K184" s="78" t="s">
        <v>323</v>
      </c>
    </row>
    <row r="185" spans="2:11" ht="15.75" customHeight="1" thickBot="1" x14ac:dyDescent="0.25">
      <c r="B185" s="47">
        <f t="shared" si="80"/>
        <v>147</v>
      </c>
      <c r="C185" s="47">
        <f t="shared" si="81"/>
        <v>0</v>
      </c>
      <c r="D185" s="47">
        <f t="shared" si="81"/>
        <v>147</v>
      </c>
      <c r="E185" s="47">
        <f t="shared" si="82"/>
        <v>0</v>
      </c>
      <c r="F185" s="47">
        <v>0</v>
      </c>
      <c r="G185" s="47">
        <v>0</v>
      </c>
      <c r="H185" s="47">
        <f t="shared" si="83"/>
        <v>147</v>
      </c>
      <c r="I185" s="47">
        <v>0</v>
      </c>
      <c r="J185" s="47">
        <v>147</v>
      </c>
      <c r="K185" s="78" t="s">
        <v>324</v>
      </c>
    </row>
    <row r="186" spans="2:11" ht="15.75" customHeight="1" thickBot="1" x14ac:dyDescent="0.25">
      <c r="B186" s="47">
        <f t="shared" si="80"/>
        <v>362</v>
      </c>
      <c r="C186" s="47">
        <f t="shared" si="81"/>
        <v>362</v>
      </c>
      <c r="D186" s="47">
        <f t="shared" si="81"/>
        <v>0</v>
      </c>
      <c r="E186" s="47">
        <f t="shared" si="82"/>
        <v>0</v>
      </c>
      <c r="F186" s="47">
        <v>0</v>
      </c>
      <c r="G186" s="47">
        <v>0</v>
      </c>
      <c r="H186" s="47">
        <f t="shared" si="83"/>
        <v>362</v>
      </c>
      <c r="I186" s="47">
        <v>362</v>
      </c>
      <c r="J186" s="47">
        <v>0</v>
      </c>
      <c r="K186" s="78" t="s">
        <v>325</v>
      </c>
    </row>
    <row r="187" spans="2:11" ht="15.75" customHeight="1" thickBot="1" x14ac:dyDescent="0.25">
      <c r="B187" s="47">
        <f t="shared" si="80"/>
        <v>256</v>
      </c>
      <c r="C187" s="47">
        <f t="shared" si="81"/>
        <v>256</v>
      </c>
      <c r="D187" s="47">
        <f t="shared" si="81"/>
        <v>0</v>
      </c>
      <c r="E187" s="47">
        <f t="shared" si="82"/>
        <v>0</v>
      </c>
      <c r="F187" s="47">
        <v>0</v>
      </c>
      <c r="G187" s="47">
        <v>0</v>
      </c>
      <c r="H187" s="47">
        <f t="shared" si="83"/>
        <v>256</v>
      </c>
      <c r="I187" s="47">
        <v>256</v>
      </c>
      <c r="J187" s="47">
        <v>0</v>
      </c>
      <c r="K187" s="78" t="s">
        <v>326</v>
      </c>
    </row>
    <row r="188" spans="2:11" ht="15.75" customHeight="1" thickBot="1" x14ac:dyDescent="0.25">
      <c r="B188" s="47">
        <f t="shared" si="80"/>
        <v>170</v>
      </c>
      <c r="C188" s="47">
        <f t="shared" si="81"/>
        <v>170</v>
      </c>
      <c r="D188" s="47">
        <f t="shared" si="81"/>
        <v>0</v>
      </c>
      <c r="E188" s="47">
        <f t="shared" si="82"/>
        <v>0</v>
      </c>
      <c r="F188" s="47">
        <v>0</v>
      </c>
      <c r="G188" s="47">
        <v>0</v>
      </c>
      <c r="H188" s="47">
        <f t="shared" si="83"/>
        <v>170</v>
      </c>
      <c r="I188" s="47">
        <v>170</v>
      </c>
      <c r="J188" s="47">
        <v>0</v>
      </c>
      <c r="K188" s="78" t="s">
        <v>327</v>
      </c>
    </row>
    <row r="189" spans="2:11" ht="15.75" customHeight="1" thickBot="1" x14ac:dyDescent="0.25">
      <c r="B189" s="47">
        <f t="shared" si="80"/>
        <v>761</v>
      </c>
      <c r="C189" s="47">
        <f t="shared" si="81"/>
        <v>761</v>
      </c>
      <c r="D189" s="47">
        <f t="shared" si="81"/>
        <v>0</v>
      </c>
      <c r="E189" s="47">
        <f t="shared" si="82"/>
        <v>0</v>
      </c>
      <c r="F189" s="47">
        <v>0</v>
      </c>
      <c r="G189" s="47">
        <v>0</v>
      </c>
      <c r="H189" s="47">
        <f t="shared" si="83"/>
        <v>761</v>
      </c>
      <c r="I189" s="47">
        <v>761</v>
      </c>
      <c r="J189" s="47">
        <v>0</v>
      </c>
      <c r="K189" s="78" t="s">
        <v>328</v>
      </c>
    </row>
    <row r="190" spans="2:11" ht="15.75" customHeight="1" thickBot="1" x14ac:dyDescent="0.25">
      <c r="B190" s="47">
        <f t="shared" si="80"/>
        <v>292</v>
      </c>
      <c r="C190" s="47">
        <f t="shared" si="81"/>
        <v>292</v>
      </c>
      <c r="D190" s="47">
        <f t="shared" si="81"/>
        <v>0</v>
      </c>
      <c r="E190" s="47">
        <f t="shared" si="82"/>
        <v>0</v>
      </c>
      <c r="F190" s="47">
        <v>0</v>
      </c>
      <c r="G190" s="47">
        <v>0</v>
      </c>
      <c r="H190" s="47">
        <f t="shared" si="83"/>
        <v>292</v>
      </c>
      <c r="I190" s="47">
        <v>292</v>
      </c>
      <c r="J190" s="47">
        <v>0</v>
      </c>
      <c r="K190" s="78" t="s">
        <v>329</v>
      </c>
    </row>
    <row r="191" spans="2:11" ht="15.75" customHeight="1" thickBot="1" x14ac:dyDescent="0.25">
      <c r="B191" s="47">
        <f t="shared" si="80"/>
        <v>359</v>
      </c>
      <c r="C191" s="47">
        <f t="shared" si="81"/>
        <v>359</v>
      </c>
      <c r="D191" s="47">
        <f t="shared" si="81"/>
        <v>0</v>
      </c>
      <c r="E191" s="47">
        <f t="shared" si="82"/>
        <v>0</v>
      </c>
      <c r="F191" s="47">
        <v>0</v>
      </c>
      <c r="G191" s="47">
        <v>0</v>
      </c>
      <c r="H191" s="47">
        <f t="shared" si="83"/>
        <v>359</v>
      </c>
      <c r="I191" s="47">
        <v>359</v>
      </c>
      <c r="J191" s="47">
        <v>0</v>
      </c>
      <c r="K191" s="78" t="s">
        <v>330</v>
      </c>
    </row>
    <row r="192" spans="2:11" ht="15.75" customHeight="1" thickBot="1" x14ac:dyDescent="0.25">
      <c r="B192" s="47">
        <f t="shared" si="80"/>
        <v>282</v>
      </c>
      <c r="C192" s="47">
        <f t="shared" si="81"/>
        <v>282</v>
      </c>
      <c r="D192" s="47">
        <f t="shared" si="81"/>
        <v>0</v>
      </c>
      <c r="E192" s="47">
        <f t="shared" si="82"/>
        <v>0</v>
      </c>
      <c r="F192" s="47">
        <v>0</v>
      </c>
      <c r="G192" s="47">
        <v>0</v>
      </c>
      <c r="H192" s="47">
        <f t="shared" si="83"/>
        <v>282</v>
      </c>
      <c r="I192" s="47">
        <v>282</v>
      </c>
      <c r="J192" s="47">
        <v>0</v>
      </c>
      <c r="K192" s="78" t="s">
        <v>331</v>
      </c>
    </row>
    <row r="193" spans="2:11" ht="15.75" customHeight="1" thickBot="1" x14ac:dyDescent="0.25">
      <c r="B193" s="47">
        <f t="shared" si="80"/>
        <v>254</v>
      </c>
      <c r="C193" s="47">
        <f t="shared" si="81"/>
        <v>254</v>
      </c>
      <c r="D193" s="47">
        <f t="shared" si="81"/>
        <v>0</v>
      </c>
      <c r="E193" s="47">
        <f t="shared" si="82"/>
        <v>0</v>
      </c>
      <c r="F193" s="47">
        <v>0</v>
      </c>
      <c r="G193" s="47">
        <v>0</v>
      </c>
      <c r="H193" s="47">
        <f t="shared" si="83"/>
        <v>254</v>
      </c>
      <c r="I193" s="47">
        <v>254</v>
      </c>
      <c r="J193" s="47">
        <v>0</v>
      </c>
      <c r="K193" s="78" t="s">
        <v>332</v>
      </c>
    </row>
    <row r="194" spans="2:11" ht="15.75" customHeight="1" thickBot="1" x14ac:dyDescent="0.25">
      <c r="B194" s="47">
        <f t="shared" si="80"/>
        <v>191</v>
      </c>
      <c r="C194" s="47">
        <f t="shared" si="81"/>
        <v>191</v>
      </c>
      <c r="D194" s="47">
        <f t="shared" si="81"/>
        <v>0</v>
      </c>
      <c r="E194" s="47">
        <f t="shared" si="82"/>
        <v>0</v>
      </c>
      <c r="F194" s="47">
        <v>0</v>
      </c>
      <c r="G194" s="47">
        <v>0</v>
      </c>
      <c r="H194" s="47">
        <f t="shared" si="83"/>
        <v>191</v>
      </c>
      <c r="I194" s="47">
        <v>191</v>
      </c>
      <c r="J194" s="47">
        <v>0</v>
      </c>
      <c r="K194" s="78" t="s">
        <v>333</v>
      </c>
    </row>
    <row r="195" spans="2:11" ht="15.75" customHeight="1" thickBot="1" x14ac:dyDescent="0.25">
      <c r="B195" s="47">
        <f t="shared" ref="B195:I195" si="84">SUM(B151:B194)</f>
        <v>40533</v>
      </c>
      <c r="C195" s="47">
        <f t="shared" si="84"/>
        <v>2927</v>
      </c>
      <c r="D195" s="47">
        <f t="shared" si="84"/>
        <v>37606</v>
      </c>
      <c r="E195" s="47">
        <f t="shared" si="84"/>
        <v>0</v>
      </c>
      <c r="F195" s="47">
        <f t="shared" si="84"/>
        <v>0</v>
      </c>
      <c r="G195" s="47">
        <f t="shared" si="84"/>
        <v>0</v>
      </c>
      <c r="H195" s="47">
        <f t="shared" si="84"/>
        <v>40533</v>
      </c>
      <c r="I195" s="47">
        <f t="shared" si="84"/>
        <v>2927</v>
      </c>
      <c r="J195" s="47">
        <f>SUM(J151:J194)</f>
        <v>37606</v>
      </c>
      <c r="K195" s="187" t="s">
        <v>188</v>
      </c>
    </row>
    <row r="196" spans="2:11" ht="15.75" customHeight="1" thickBot="1" x14ac:dyDescent="0.25">
      <c r="B196" s="476" t="s">
        <v>4</v>
      </c>
      <c r="C196" s="476"/>
      <c r="D196" s="476"/>
      <c r="E196" s="476" t="s">
        <v>145</v>
      </c>
      <c r="F196" s="476"/>
      <c r="G196" s="476"/>
      <c r="H196" s="476" t="s">
        <v>146</v>
      </c>
      <c r="I196" s="476"/>
      <c r="J196" s="476"/>
      <c r="K196" s="202" t="s">
        <v>66</v>
      </c>
    </row>
    <row r="197" spans="2:11" ht="15.75" customHeight="1" thickBot="1" x14ac:dyDescent="0.25">
      <c r="B197" s="185" t="s">
        <v>227</v>
      </c>
      <c r="C197" s="185" t="s">
        <v>10</v>
      </c>
      <c r="D197" s="185" t="s">
        <v>9</v>
      </c>
      <c r="E197" s="185" t="s">
        <v>227</v>
      </c>
      <c r="F197" s="185" t="s">
        <v>10</v>
      </c>
      <c r="G197" s="185" t="s">
        <v>9</v>
      </c>
      <c r="H197" s="185" t="s">
        <v>227</v>
      </c>
      <c r="I197" s="185" t="s">
        <v>10</v>
      </c>
      <c r="J197" s="185" t="s">
        <v>9</v>
      </c>
      <c r="K197" s="187" t="s">
        <v>228</v>
      </c>
    </row>
    <row r="198" spans="2:11" ht="15.75" customHeight="1" thickBot="1" x14ac:dyDescent="0.25">
      <c r="B198" s="47">
        <f>SUM(C198:D198)</f>
        <v>1605</v>
      </c>
      <c r="C198" s="47">
        <f t="shared" ref="C198:C199" si="85">I198+F198</f>
        <v>0</v>
      </c>
      <c r="D198" s="47">
        <f>J198+G198</f>
        <v>1605</v>
      </c>
      <c r="E198" s="47">
        <f>SUM(F198:G198)</f>
        <v>0</v>
      </c>
      <c r="F198" s="47">
        <v>0</v>
      </c>
      <c r="G198" s="47">
        <v>0</v>
      </c>
      <c r="H198" s="47">
        <f>SUM(I198:J198)</f>
        <v>1605</v>
      </c>
      <c r="I198" s="47">
        <v>0</v>
      </c>
      <c r="J198" s="47">
        <v>1605</v>
      </c>
      <c r="K198" s="78" t="s">
        <v>334</v>
      </c>
    </row>
    <row r="199" spans="2:11" ht="15.75" customHeight="1" thickBot="1" x14ac:dyDescent="0.25">
      <c r="B199" s="47">
        <f>SUM(C199:D199)</f>
        <v>935</v>
      </c>
      <c r="C199" s="47">
        <f t="shared" si="85"/>
        <v>0</v>
      </c>
      <c r="D199" s="47">
        <f>J199+G199</f>
        <v>935</v>
      </c>
      <c r="E199" s="47">
        <f>SUM(F199:G199)</f>
        <v>0</v>
      </c>
      <c r="F199" s="47">
        <v>0</v>
      </c>
      <c r="G199" s="47">
        <v>0</v>
      </c>
      <c r="H199" s="47">
        <f>SUM(I199:J199)</f>
        <v>935</v>
      </c>
      <c r="I199" s="47">
        <v>0</v>
      </c>
      <c r="J199" s="47">
        <v>935</v>
      </c>
      <c r="K199" s="78" t="s">
        <v>335</v>
      </c>
    </row>
    <row r="200" spans="2:11" ht="15.75" customHeight="1" thickBot="1" x14ac:dyDescent="0.25">
      <c r="B200" s="47">
        <f t="shared" ref="B200:I200" si="86">SUM(B198:B199)</f>
        <v>2540</v>
      </c>
      <c r="C200" s="47">
        <f t="shared" si="86"/>
        <v>0</v>
      </c>
      <c r="D200" s="47">
        <f t="shared" si="86"/>
        <v>2540</v>
      </c>
      <c r="E200" s="47">
        <f t="shared" si="86"/>
        <v>0</v>
      </c>
      <c r="F200" s="47">
        <f t="shared" si="86"/>
        <v>0</v>
      </c>
      <c r="G200" s="47">
        <f t="shared" si="86"/>
        <v>0</v>
      </c>
      <c r="H200" s="47">
        <f t="shared" si="86"/>
        <v>2540</v>
      </c>
      <c r="I200" s="47">
        <f t="shared" si="86"/>
        <v>0</v>
      </c>
      <c r="J200" s="47">
        <f>SUM(J198:J199)</f>
        <v>2540</v>
      </c>
      <c r="K200" s="187" t="s">
        <v>188</v>
      </c>
    </row>
    <row r="201" spans="2:11" ht="15.75" customHeight="1" thickBot="1" x14ac:dyDescent="0.25">
      <c r="B201" s="476" t="s">
        <v>4</v>
      </c>
      <c r="C201" s="476"/>
      <c r="D201" s="476"/>
      <c r="E201" s="476" t="s">
        <v>145</v>
      </c>
      <c r="F201" s="476"/>
      <c r="G201" s="476"/>
      <c r="H201" s="476" t="s">
        <v>146</v>
      </c>
      <c r="I201" s="476"/>
      <c r="J201" s="476"/>
      <c r="K201" s="202" t="s">
        <v>66</v>
      </c>
    </row>
    <row r="202" spans="2:11" ht="15.75" customHeight="1" thickBot="1" x14ac:dyDescent="0.25">
      <c r="B202" s="185" t="s">
        <v>227</v>
      </c>
      <c r="C202" s="185" t="s">
        <v>10</v>
      </c>
      <c r="D202" s="185" t="s">
        <v>9</v>
      </c>
      <c r="E202" s="185" t="s">
        <v>227</v>
      </c>
      <c r="F202" s="185" t="s">
        <v>10</v>
      </c>
      <c r="G202" s="185" t="s">
        <v>9</v>
      </c>
      <c r="H202" s="185" t="s">
        <v>227</v>
      </c>
      <c r="I202" s="185" t="s">
        <v>10</v>
      </c>
      <c r="J202" s="185" t="s">
        <v>9</v>
      </c>
      <c r="K202" s="187" t="s">
        <v>153</v>
      </c>
    </row>
    <row r="203" spans="2:11" ht="15.75" customHeight="1" thickBot="1" x14ac:dyDescent="0.25">
      <c r="B203" s="47">
        <f>SUM(C203:D203)</f>
        <v>1063</v>
      </c>
      <c r="C203" s="47">
        <f>I203+F203</f>
        <v>66</v>
      </c>
      <c r="D203" s="47">
        <f>J203+G203</f>
        <v>997</v>
      </c>
      <c r="E203" s="47">
        <f>SUM(F203:G203)</f>
        <v>0</v>
      </c>
      <c r="F203" s="47">
        <v>0</v>
      </c>
      <c r="G203" s="47">
        <v>0</v>
      </c>
      <c r="H203" s="47">
        <f>SUM(I203:J203)</f>
        <v>1063</v>
      </c>
      <c r="I203" s="47">
        <v>66</v>
      </c>
      <c r="J203" s="47">
        <v>997</v>
      </c>
      <c r="K203" s="78" t="s">
        <v>153</v>
      </c>
    </row>
    <row r="204" spans="2:11" ht="15.75" customHeight="1" thickBot="1" x14ac:dyDescent="0.25">
      <c r="B204" s="47">
        <f t="shared" ref="B204:I204" si="87">SUM(B203)</f>
        <v>1063</v>
      </c>
      <c r="C204" s="47">
        <f t="shared" si="87"/>
        <v>66</v>
      </c>
      <c r="D204" s="47">
        <f t="shared" si="87"/>
        <v>997</v>
      </c>
      <c r="E204" s="47">
        <f t="shared" si="87"/>
        <v>0</v>
      </c>
      <c r="F204" s="47">
        <f t="shared" si="87"/>
        <v>0</v>
      </c>
      <c r="G204" s="47">
        <f t="shared" si="87"/>
        <v>0</v>
      </c>
      <c r="H204" s="47">
        <f t="shared" si="87"/>
        <v>1063</v>
      </c>
      <c r="I204" s="47">
        <f t="shared" si="87"/>
        <v>66</v>
      </c>
      <c r="J204" s="47">
        <f>SUM(J203)</f>
        <v>997</v>
      </c>
      <c r="K204" s="187" t="s">
        <v>188</v>
      </c>
    </row>
    <row r="205" spans="2:11" ht="15.75" customHeight="1" thickBot="1" x14ac:dyDescent="0.25">
      <c r="B205" s="476" t="s">
        <v>4</v>
      </c>
      <c r="C205" s="476"/>
      <c r="D205" s="476"/>
      <c r="E205" s="476" t="s">
        <v>145</v>
      </c>
      <c r="F205" s="476"/>
      <c r="G205" s="476"/>
      <c r="H205" s="476" t="s">
        <v>146</v>
      </c>
      <c r="I205" s="476"/>
      <c r="J205" s="476"/>
      <c r="K205" s="202" t="s">
        <v>66</v>
      </c>
    </row>
    <row r="206" spans="2:11" ht="15.75" customHeight="1" thickBot="1" x14ac:dyDescent="0.25">
      <c r="B206" s="185" t="s">
        <v>227</v>
      </c>
      <c r="C206" s="185" t="s">
        <v>10</v>
      </c>
      <c r="D206" s="185" t="s">
        <v>9</v>
      </c>
      <c r="E206" s="185" t="s">
        <v>227</v>
      </c>
      <c r="F206" s="185" t="s">
        <v>10</v>
      </c>
      <c r="G206" s="185" t="s">
        <v>9</v>
      </c>
      <c r="H206" s="185" t="s">
        <v>227</v>
      </c>
      <c r="I206" s="185" t="s">
        <v>10</v>
      </c>
      <c r="J206" s="185" t="s">
        <v>9</v>
      </c>
      <c r="K206" s="187" t="s">
        <v>152</v>
      </c>
    </row>
    <row r="207" spans="2:11" ht="15.75" customHeight="1" thickBot="1" x14ac:dyDescent="0.25">
      <c r="B207" s="47">
        <f>SUM(C207:D207)</f>
        <v>174</v>
      </c>
      <c r="C207" s="47">
        <f>I207+F207</f>
        <v>75</v>
      </c>
      <c r="D207" s="47">
        <f>J207+G207</f>
        <v>99</v>
      </c>
      <c r="E207" s="47">
        <f>SUM(F207:G207)</f>
        <v>0</v>
      </c>
      <c r="F207" s="47">
        <v>0</v>
      </c>
      <c r="G207" s="47">
        <v>0</v>
      </c>
      <c r="H207" s="47">
        <f>SUM(I207:J207)</f>
        <v>174</v>
      </c>
      <c r="I207" s="47">
        <v>75</v>
      </c>
      <c r="J207" s="47">
        <v>99</v>
      </c>
      <c r="K207" s="78" t="s">
        <v>336</v>
      </c>
    </row>
    <row r="208" spans="2:11" ht="15.75" customHeight="1" thickBot="1" x14ac:dyDescent="0.25">
      <c r="B208" s="47">
        <f t="shared" ref="B208:I208" si="88">SUM(B207)</f>
        <v>174</v>
      </c>
      <c r="C208" s="47">
        <f t="shared" si="88"/>
        <v>75</v>
      </c>
      <c r="D208" s="47">
        <f t="shared" si="88"/>
        <v>99</v>
      </c>
      <c r="E208" s="47">
        <f t="shared" si="88"/>
        <v>0</v>
      </c>
      <c r="F208" s="47">
        <f t="shared" si="88"/>
        <v>0</v>
      </c>
      <c r="G208" s="47">
        <f t="shared" si="88"/>
        <v>0</v>
      </c>
      <c r="H208" s="47">
        <f t="shared" si="88"/>
        <v>174</v>
      </c>
      <c r="I208" s="47">
        <f t="shared" si="88"/>
        <v>75</v>
      </c>
      <c r="J208" s="47">
        <f>SUM(J207)</f>
        <v>99</v>
      </c>
      <c r="K208" s="187" t="s">
        <v>188</v>
      </c>
    </row>
  </sheetData>
  <mergeCells count="73">
    <mergeCell ref="B201:D201"/>
    <mergeCell ref="E201:G201"/>
    <mergeCell ref="H201:J201"/>
    <mergeCell ref="B205:D205"/>
    <mergeCell ref="E205:G205"/>
    <mergeCell ref="H205:J205"/>
    <mergeCell ref="B149:D149"/>
    <mergeCell ref="E149:G149"/>
    <mergeCell ref="H149:J149"/>
    <mergeCell ref="B196:D196"/>
    <mergeCell ref="E196:G196"/>
    <mergeCell ref="H196:J196"/>
    <mergeCell ref="B136:D136"/>
    <mergeCell ref="E136:G136"/>
    <mergeCell ref="H136:J136"/>
    <mergeCell ref="B144:D144"/>
    <mergeCell ref="E144:G144"/>
    <mergeCell ref="H144:J144"/>
    <mergeCell ref="B126:D126"/>
    <mergeCell ref="E126:G126"/>
    <mergeCell ref="H126:J126"/>
    <mergeCell ref="B132:D132"/>
    <mergeCell ref="E132:G132"/>
    <mergeCell ref="H132:J132"/>
    <mergeCell ref="B114:D114"/>
    <mergeCell ref="E114:G114"/>
    <mergeCell ref="H114:J114"/>
    <mergeCell ref="B120:D120"/>
    <mergeCell ref="E120:G120"/>
    <mergeCell ref="H120:J120"/>
    <mergeCell ref="B101:D101"/>
    <mergeCell ref="E101:G101"/>
    <mergeCell ref="H101:J101"/>
    <mergeCell ref="B108:D108"/>
    <mergeCell ref="E108:G108"/>
    <mergeCell ref="H108:J108"/>
    <mergeCell ref="B85:D85"/>
    <mergeCell ref="E85:G85"/>
    <mergeCell ref="H85:J85"/>
    <mergeCell ref="B92:D92"/>
    <mergeCell ref="E92:G92"/>
    <mergeCell ref="H92:J92"/>
    <mergeCell ref="B73:D73"/>
    <mergeCell ref="E73:G73"/>
    <mergeCell ref="H73:J73"/>
    <mergeCell ref="B79:D79"/>
    <mergeCell ref="E79:G79"/>
    <mergeCell ref="H79:J79"/>
    <mergeCell ref="B49:D49"/>
    <mergeCell ref="E49:G49"/>
    <mergeCell ref="H49:J49"/>
    <mergeCell ref="B59:D59"/>
    <mergeCell ref="E59:G59"/>
    <mergeCell ref="H59:J59"/>
    <mergeCell ref="B36:D36"/>
    <mergeCell ref="E36:G36"/>
    <mergeCell ref="H36:J36"/>
    <mergeCell ref="B44:D44"/>
    <mergeCell ref="E44:G44"/>
    <mergeCell ref="H44:J44"/>
    <mergeCell ref="B15:D15"/>
    <mergeCell ref="E15:G15"/>
    <mergeCell ref="H15:J15"/>
    <mergeCell ref="B22:D22"/>
    <mergeCell ref="E22:G22"/>
    <mergeCell ref="H22:J22"/>
    <mergeCell ref="B2:K2"/>
    <mergeCell ref="B4:D4"/>
    <mergeCell ref="E4:G4"/>
    <mergeCell ref="H4:J4"/>
    <mergeCell ref="B11:D11"/>
    <mergeCell ref="E11:G11"/>
    <mergeCell ref="H11:J11"/>
  </mergeCells>
  <pageMargins left="1.63" right="0.4" top="0.99" bottom="0.32" header="1.1299999999999999" footer="0.16"/>
  <pageSetup paperSize="9" orientation="landscape" r:id="rId1"/>
  <headerFooter alignWithMargins="0"/>
  <rowBreaks count="5" manualBreakCount="5">
    <brk id="43" min="1" max="10" man="1"/>
    <brk id="84" min="1" max="10" man="1"/>
    <brk id="126" min="1" max="10" man="1"/>
    <brk id="148" min="1" max="10" man="1"/>
    <brk id="170" min="1" max="10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L1083"/>
  <sheetViews>
    <sheetView showGridLines="0" zoomScaleSheetLayoutView="130" workbookViewId="0">
      <selection activeCell="L1" sqref="A1:L1048576"/>
    </sheetView>
  </sheetViews>
  <sheetFormatPr defaultColWidth="9.125" defaultRowHeight="15" customHeight="1" x14ac:dyDescent="0.2"/>
  <cols>
    <col min="1" max="1" width="5.375" style="98" customWidth="1"/>
    <col min="2" max="10" width="8.875" style="213" customWidth="1"/>
    <col min="11" max="11" width="7.875" style="98" customWidth="1"/>
    <col min="12" max="12" width="37.125" style="214" bestFit="1" customWidth="1"/>
    <col min="13" max="16384" width="9.125" style="2"/>
  </cols>
  <sheetData>
    <row r="2" spans="2:12" ht="15" customHeight="1" x14ac:dyDescent="0.2">
      <c r="B2" s="478" t="s">
        <v>337</v>
      </c>
      <c r="C2" s="478"/>
      <c r="D2" s="478"/>
      <c r="E2" s="478"/>
      <c r="F2" s="478"/>
      <c r="G2" s="478"/>
      <c r="H2" s="478"/>
      <c r="I2" s="478"/>
      <c r="J2" s="478"/>
      <c r="K2" s="478"/>
      <c r="L2" s="478"/>
    </row>
    <row r="3" spans="2:12" ht="15" customHeight="1" thickBot="1" x14ac:dyDescent="0.25"/>
    <row r="4" spans="2:12" ht="15" customHeight="1" thickBot="1" x14ac:dyDescent="0.25">
      <c r="B4" s="476" t="s">
        <v>4</v>
      </c>
      <c r="C4" s="476"/>
      <c r="D4" s="476"/>
      <c r="E4" s="476" t="s">
        <v>145</v>
      </c>
      <c r="F4" s="476"/>
      <c r="G4" s="476"/>
      <c r="H4" s="476" t="s">
        <v>146</v>
      </c>
      <c r="I4" s="476"/>
      <c r="J4" s="476"/>
      <c r="K4" s="479" t="s">
        <v>66</v>
      </c>
      <c r="L4" s="479"/>
    </row>
    <row r="5" spans="2:12" ht="15" customHeight="1" thickBot="1" x14ac:dyDescent="0.25">
      <c r="B5" s="185" t="s">
        <v>227</v>
      </c>
      <c r="C5" s="185" t="s">
        <v>10</v>
      </c>
      <c r="D5" s="185" t="s">
        <v>9</v>
      </c>
      <c r="E5" s="185" t="s">
        <v>227</v>
      </c>
      <c r="F5" s="185" t="s">
        <v>10</v>
      </c>
      <c r="G5" s="185" t="s">
        <v>9</v>
      </c>
      <c r="H5" s="185" t="s">
        <v>227</v>
      </c>
      <c r="I5" s="185" t="s">
        <v>10</v>
      </c>
      <c r="J5" s="185" t="s">
        <v>9</v>
      </c>
      <c r="K5" s="480" t="s">
        <v>68</v>
      </c>
      <c r="L5" s="480"/>
    </row>
    <row r="6" spans="2:12" ht="15" customHeight="1" thickBot="1" x14ac:dyDescent="0.25">
      <c r="B6" s="47">
        <f>SUM(C6:D6)</f>
        <v>433</v>
      </c>
      <c r="C6" s="47">
        <f>I6+F6</f>
        <v>0</v>
      </c>
      <c r="D6" s="47">
        <f>J6+G6</f>
        <v>433</v>
      </c>
      <c r="E6" s="47">
        <f>SUM(F6:G6)</f>
        <v>0</v>
      </c>
      <c r="F6" s="47">
        <v>0</v>
      </c>
      <c r="G6" s="47">
        <v>0</v>
      </c>
      <c r="H6" s="47">
        <f>SUM(I6:J6)</f>
        <v>433</v>
      </c>
      <c r="I6" s="47">
        <v>0</v>
      </c>
      <c r="J6" s="47">
        <v>433</v>
      </c>
      <c r="K6" s="188" t="s">
        <v>233</v>
      </c>
      <c r="L6" s="215"/>
    </row>
    <row r="7" spans="2:12" ht="15" customHeight="1" thickBot="1" x14ac:dyDescent="0.25">
      <c r="B7" s="47">
        <f t="shared" ref="B7:B61" si="0">SUM(C7:D7)</f>
        <v>0</v>
      </c>
      <c r="C7" s="47">
        <f t="shared" ref="C7:D61" si="1">I7+F7</f>
        <v>0</v>
      </c>
      <c r="D7" s="47">
        <f t="shared" si="1"/>
        <v>0</v>
      </c>
      <c r="E7" s="47">
        <f t="shared" ref="E7:E61" si="2">SUM(F7:G7)</f>
        <v>0</v>
      </c>
      <c r="F7" s="47">
        <v>0</v>
      </c>
      <c r="G7" s="47">
        <v>0</v>
      </c>
      <c r="H7" s="47">
        <f t="shared" ref="H7:H61" si="3">SUM(I7:J7)</f>
        <v>0</v>
      </c>
      <c r="I7" s="47">
        <v>0</v>
      </c>
      <c r="J7" s="47">
        <v>0</v>
      </c>
      <c r="K7" s="188" t="s">
        <v>234</v>
      </c>
      <c r="L7" s="215" t="s">
        <v>338</v>
      </c>
    </row>
    <row r="8" spans="2:12" ht="15" customHeight="1" thickBot="1" x14ac:dyDescent="0.25">
      <c r="B8" s="47">
        <f t="shared" ref="B8:I8" si="4">SUM(B6:B7)</f>
        <v>433</v>
      </c>
      <c r="C8" s="47">
        <f t="shared" si="4"/>
        <v>0</v>
      </c>
      <c r="D8" s="47">
        <f t="shared" si="4"/>
        <v>433</v>
      </c>
      <c r="E8" s="47">
        <f t="shared" si="4"/>
        <v>0</v>
      </c>
      <c r="F8" s="47">
        <f t="shared" si="4"/>
        <v>0</v>
      </c>
      <c r="G8" s="47">
        <f t="shared" si="4"/>
        <v>0</v>
      </c>
      <c r="H8" s="47">
        <f t="shared" si="4"/>
        <v>433</v>
      </c>
      <c r="I8" s="47">
        <f t="shared" si="4"/>
        <v>0</v>
      </c>
      <c r="J8" s="47">
        <f>SUM(J6:J7)</f>
        <v>433</v>
      </c>
      <c r="K8" s="188" t="s">
        <v>12</v>
      </c>
      <c r="L8" s="216"/>
    </row>
    <row r="9" spans="2:12" ht="15" customHeight="1" thickBot="1" x14ac:dyDescent="0.25">
      <c r="B9" s="47">
        <f t="shared" si="0"/>
        <v>1237</v>
      </c>
      <c r="C9" s="47">
        <f t="shared" si="1"/>
        <v>473</v>
      </c>
      <c r="D9" s="47">
        <f t="shared" si="1"/>
        <v>764</v>
      </c>
      <c r="E9" s="47">
        <f t="shared" si="2"/>
        <v>41</v>
      </c>
      <c r="F9" s="47">
        <v>7</v>
      </c>
      <c r="G9" s="47">
        <v>34</v>
      </c>
      <c r="H9" s="47">
        <f t="shared" si="3"/>
        <v>1196</v>
      </c>
      <c r="I9" s="47">
        <v>466</v>
      </c>
      <c r="J9" s="47">
        <v>730</v>
      </c>
      <c r="K9" s="188" t="s">
        <v>233</v>
      </c>
      <c r="L9" s="215"/>
    </row>
    <row r="10" spans="2:12" ht="15" customHeight="1" thickBot="1" x14ac:dyDescent="0.25">
      <c r="B10" s="47">
        <f t="shared" si="0"/>
        <v>0</v>
      </c>
      <c r="C10" s="47">
        <f t="shared" si="1"/>
        <v>0</v>
      </c>
      <c r="D10" s="47">
        <f t="shared" si="1"/>
        <v>0</v>
      </c>
      <c r="E10" s="47">
        <f t="shared" si="2"/>
        <v>0</v>
      </c>
      <c r="F10" s="47">
        <v>0</v>
      </c>
      <c r="G10" s="47">
        <v>0</v>
      </c>
      <c r="H10" s="47">
        <f t="shared" si="3"/>
        <v>0</v>
      </c>
      <c r="I10" s="47">
        <v>0</v>
      </c>
      <c r="J10" s="47">
        <v>0</v>
      </c>
      <c r="K10" s="188" t="s">
        <v>234</v>
      </c>
      <c r="L10" s="215" t="s">
        <v>339</v>
      </c>
    </row>
    <row r="11" spans="2:12" ht="15" customHeight="1" thickBot="1" x14ac:dyDescent="0.25">
      <c r="B11" s="47">
        <f t="shared" ref="B11:I11" si="5">SUM(B9:B10)</f>
        <v>1237</v>
      </c>
      <c r="C11" s="47">
        <f t="shared" si="5"/>
        <v>473</v>
      </c>
      <c r="D11" s="47">
        <f t="shared" si="5"/>
        <v>764</v>
      </c>
      <c r="E11" s="47">
        <f t="shared" si="5"/>
        <v>41</v>
      </c>
      <c r="F11" s="47">
        <f t="shared" si="5"/>
        <v>7</v>
      </c>
      <c r="G11" s="47">
        <f t="shared" si="5"/>
        <v>34</v>
      </c>
      <c r="H11" s="47">
        <f t="shared" si="5"/>
        <v>1196</v>
      </c>
      <c r="I11" s="47">
        <f t="shared" si="5"/>
        <v>466</v>
      </c>
      <c r="J11" s="47">
        <f>SUM(J9:J10)</f>
        <v>730</v>
      </c>
      <c r="K11" s="188" t="s">
        <v>12</v>
      </c>
      <c r="L11" s="216"/>
    </row>
    <row r="12" spans="2:12" ht="15" customHeight="1" thickBot="1" x14ac:dyDescent="0.25">
      <c r="B12" s="47">
        <f t="shared" si="0"/>
        <v>418</v>
      </c>
      <c r="C12" s="47">
        <f t="shared" si="1"/>
        <v>208</v>
      </c>
      <c r="D12" s="47">
        <f t="shared" si="1"/>
        <v>210</v>
      </c>
      <c r="E12" s="47">
        <f t="shared" si="2"/>
        <v>1</v>
      </c>
      <c r="F12" s="47">
        <v>0</v>
      </c>
      <c r="G12" s="47">
        <v>1</v>
      </c>
      <c r="H12" s="47">
        <f t="shared" si="3"/>
        <v>417</v>
      </c>
      <c r="I12" s="47">
        <v>208</v>
      </c>
      <c r="J12" s="47">
        <v>209</v>
      </c>
      <c r="K12" s="188" t="s">
        <v>233</v>
      </c>
      <c r="L12" s="215"/>
    </row>
    <row r="13" spans="2:12" ht="15" customHeight="1" thickBot="1" x14ac:dyDescent="0.25">
      <c r="B13" s="47">
        <f t="shared" si="0"/>
        <v>0</v>
      </c>
      <c r="C13" s="47">
        <f t="shared" si="1"/>
        <v>0</v>
      </c>
      <c r="D13" s="47">
        <f t="shared" si="1"/>
        <v>0</v>
      </c>
      <c r="E13" s="47">
        <f t="shared" si="2"/>
        <v>0</v>
      </c>
      <c r="F13" s="47">
        <v>0</v>
      </c>
      <c r="G13" s="47">
        <v>0</v>
      </c>
      <c r="H13" s="47">
        <f t="shared" si="3"/>
        <v>0</v>
      </c>
      <c r="I13" s="47">
        <v>0</v>
      </c>
      <c r="J13" s="47">
        <v>0</v>
      </c>
      <c r="K13" s="188" t="s">
        <v>234</v>
      </c>
      <c r="L13" s="215" t="s">
        <v>340</v>
      </c>
    </row>
    <row r="14" spans="2:12" ht="15" customHeight="1" thickBot="1" x14ac:dyDescent="0.25">
      <c r="B14" s="47">
        <f t="shared" ref="B14:I14" si="6">SUM(B12:B13)</f>
        <v>418</v>
      </c>
      <c r="C14" s="47">
        <f t="shared" si="6"/>
        <v>208</v>
      </c>
      <c r="D14" s="47">
        <f t="shared" si="6"/>
        <v>210</v>
      </c>
      <c r="E14" s="47">
        <f t="shared" si="6"/>
        <v>1</v>
      </c>
      <c r="F14" s="47">
        <f t="shared" si="6"/>
        <v>0</v>
      </c>
      <c r="G14" s="47">
        <f t="shared" si="6"/>
        <v>1</v>
      </c>
      <c r="H14" s="47">
        <f t="shared" si="6"/>
        <v>417</v>
      </c>
      <c r="I14" s="47">
        <f t="shared" si="6"/>
        <v>208</v>
      </c>
      <c r="J14" s="47">
        <f>SUM(J12:J13)</f>
        <v>209</v>
      </c>
      <c r="K14" s="188" t="s">
        <v>12</v>
      </c>
      <c r="L14" s="216"/>
    </row>
    <row r="15" spans="2:12" ht="15" customHeight="1" thickBot="1" x14ac:dyDescent="0.25">
      <c r="B15" s="47">
        <f t="shared" si="0"/>
        <v>1022</v>
      </c>
      <c r="C15" s="47">
        <f t="shared" si="1"/>
        <v>555</v>
      </c>
      <c r="D15" s="47">
        <f t="shared" si="1"/>
        <v>467</v>
      </c>
      <c r="E15" s="47">
        <f t="shared" si="2"/>
        <v>9</v>
      </c>
      <c r="F15" s="47">
        <v>7</v>
      </c>
      <c r="G15" s="47">
        <v>2</v>
      </c>
      <c r="H15" s="47">
        <f t="shared" si="3"/>
        <v>1013</v>
      </c>
      <c r="I15" s="47">
        <v>548</v>
      </c>
      <c r="J15" s="47">
        <v>465</v>
      </c>
      <c r="K15" s="188" t="s">
        <v>233</v>
      </c>
      <c r="L15" s="215"/>
    </row>
    <row r="16" spans="2:12" ht="15" customHeight="1" thickBot="1" x14ac:dyDescent="0.25">
      <c r="B16" s="47">
        <f t="shared" si="0"/>
        <v>0</v>
      </c>
      <c r="C16" s="47">
        <f t="shared" si="1"/>
        <v>0</v>
      </c>
      <c r="D16" s="47">
        <f t="shared" si="1"/>
        <v>0</v>
      </c>
      <c r="E16" s="47">
        <f t="shared" si="2"/>
        <v>0</v>
      </c>
      <c r="F16" s="47">
        <v>0</v>
      </c>
      <c r="G16" s="47">
        <v>0</v>
      </c>
      <c r="H16" s="47">
        <f t="shared" si="3"/>
        <v>0</v>
      </c>
      <c r="I16" s="47">
        <v>0</v>
      </c>
      <c r="J16" s="47">
        <v>0</v>
      </c>
      <c r="K16" s="188" t="s">
        <v>234</v>
      </c>
      <c r="L16" s="215" t="s">
        <v>341</v>
      </c>
    </row>
    <row r="17" spans="2:12" ht="15" customHeight="1" thickBot="1" x14ac:dyDescent="0.25">
      <c r="B17" s="47">
        <f t="shared" ref="B17:I17" si="7">SUM(B15:B16)</f>
        <v>1022</v>
      </c>
      <c r="C17" s="47">
        <f t="shared" si="7"/>
        <v>555</v>
      </c>
      <c r="D17" s="47">
        <f t="shared" si="7"/>
        <v>467</v>
      </c>
      <c r="E17" s="47">
        <f t="shared" si="7"/>
        <v>9</v>
      </c>
      <c r="F17" s="47">
        <f t="shared" si="7"/>
        <v>7</v>
      </c>
      <c r="G17" s="47">
        <f t="shared" si="7"/>
        <v>2</v>
      </c>
      <c r="H17" s="47">
        <f t="shared" si="7"/>
        <v>1013</v>
      </c>
      <c r="I17" s="47">
        <f t="shared" si="7"/>
        <v>548</v>
      </c>
      <c r="J17" s="47">
        <f>SUM(J15:J16)</f>
        <v>465</v>
      </c>
      <c r="K17" s="188" t="s">
        <v>12</v>
      </c>
      <c r="L17" s="216"/>
    </row>
    <row r="18" spans="2:12" ht="15" customHeight="1" thickBot="1" x14ac:dyDescent="0.25">
      <c r="B18" s="47">
        <f t="shared" si="0"/>
        <v>1055</v>
      </c>
      <c r="C18" s="47">
        <f t="shared" si="1"/>
        <v>615</v>
      </c>
      <c r="D18" s="47">
        <f t="shared" si="1"/>
        <v>440</v>
      </c>
      <c r="E18" s="47">
        <f t="shared" si="2"/>
        <v>11</v>
      </c>
      <c r="F18" s="47">
        <v>9</v>
      </c>
      <c r="G18" s="47">
        <v>2</v>
      </c>
      <c r="H18" s="47">
        <f t="shared" si="3"/>
        <v>1044</v>
      </c>
      <c r="I18" s="47">
        <v>606</v>
      </c>
      <c r="J18" s="47">
        <v>438</v>
      </c>
      <c r="K18" s="188" t="s">
        <v>233</v>
      </c>
      <c r="L18" s="215"/>
    </row>
    <row r="19" spans="2:12" ht="15" customHeight="1" thickBot="1" x14ac:dyDescent="0.25">
      <c r="B19" s="47">
        <f t="shared" si="0"/>
        <v>0</v>
      </c>
      <c r="C19" s="47">
        <f t="shared" si="1"/>
        <v>0</v>
      </c>
      <c r="D19" s="47">
        <f t="shared" si="1"/>
        <v>0</v>
      </c>
      <c r="E19" s="47">
        <f t="shared" si="2"/>
        <v>0</v>
      </c>
      <c r="F19" s="47">
        <v>0</v>
      </c>
      <c r="G19" s="47">
        <v>0</v>
      </c>
      <c r="H19" s="47">
        <f t="shared" si="3"/>
        <v>0</v>
      </c>
      <c r="I19" s="47">
        <v>0</v>
      </c>
      <c r="J19" s="47">
        <v>0</v>
      </c>
      <c r="K19" s="188" t="s">
        <v>234</v>
      </c>
      <c r="L19" s="215" t="s">
        <v>342</v>
      </c>
    </row>
    <row r="20" spans="2:12" ht="15" customHeight="1" thickBot="1" x14ac:dyDescent="0.25">
      <c r="B20" s="47">
        <f t="shared" ref="B20:I20" si="8">SUM(B18:B19)</f>
        <v>1055</v>
      </c>
      <c r="C20" s="47">
        <f t="shared" si="8"/>
        <v>615</v>
      </c>
      <c r="D20" s="47">
        <f t="shared" si="8"/>
        <v>440</v>
      </c>
      <c r="E20" s="47">
        <f t="shared" si="8"/>
        <v>11</v>
      </c>
      <c r="F20" s="47">
        <f t="shared" si="8"/>
        <v>9</v>
      </c>
      <c r="G20" s="47">
        <f t="shared" si="8"/>
        <v>2</v>
      </c>
      <c r="H20" s="47">
        <f t="shared" si="8"/>
        <v>1044</v>
      </c>
      <c r="I20" s="47">
        <f t="shared" si="8"/>
        <v>606</v>
      </c>
      <c r="J20" s="47">
        <f>SUM(J18:J19)</f>
        <v>438</v>
      </c>
      <c r="K20" s="188" t="s">
        <v>12</v>
      </c>
      <c r="L20" s="216"/>
    </row>
    <row r="21" spans="2:12" ht="15" customHeight="1" thickBot="1" x14ac:dyDescent="0.25">
      <c r="B21" s="47">
        <f t="shared" si="0"/>
        <v>522</v>
      </c>
      <c r="C21" s="47">
        <f t="shared" si="1"/>
        <v>0</v>
      </c>
      <c r="D21" s="47">
        <f t="shared" si="1"/>
        <v>522</v>
      </c>
      <c r="E21" s="47">
        <f t="shared" si="2"/>
        <v>8</v>
      </c>
      <c r="F21" s="47">
        <v>0</v>
      </c>
      <c r="G21" s="47">
        <v>8</v>
      </c>
      <c r="H21" s="47">
        <f t="shared" si="3"/>
        <v>514</v>
      </c>
      <c r="I21" s="47">
        <v>0</v>
      </c>
      <c r="J21" s="47">
        <v>514</v>
      </c>
      <c r="K21" s="188" t="s">
        <v>233</v>
      </c>
      <c r="L21" s="215"/>
    </row>
    <row r="22" spans="2:12" ht="15" customHeight="1" thickBot="1" x14ac:dyDescent="0.25">
      <c r="B22" s="47">
        <f t="shared" si="0"/>
        <v>0</v>
      </c>
      <c r="C22" s="47">
        <f t="shared" si="1"/>
        <v>0</v>
      </c>
      <c r="D22" s="47">
        <f t="shared" si="1"/>
        <v>0</v>
      </c>
      <c r="E22" s="47">
        <f t="shared" si="2"/>
        <v>0</v>
      </c>
      <c r="F22" s="47">
        <v>0</v>
      </c>
      <c r="G22" s="47">
        <v>0</v>
      </c>
      <c r="H22" s="47">
        <f t="shared" si="3"/>
        <v>0</v>
      </c>
      <c r="I22" s="47">
        <v>0</v>
      </c>
      <c r="J22" s="47">
        <v>0</v>
      </c>
      <c r="K22" s="188" t="s">
        <v>234</v>
      </c>
      <c r="L22" s="215" t="s">
        <v>343</v>
      </c>
    </row>
    <row r="23" spans="2:12" ht="15" customHeight="1" thickBot="1" x14ac:dyDescent="0.25">
      <c r="B23" s="47">
        <f t="shared" ref="B23:I23" si="9">SUM(B21:B22)</f>
        <v>522</v>
      </c>
      <c r="C23" s="47">
        <f t="shared" si="9"/>
        <v>0</v>
      </c>
      <c r="D23" s="47">
        <f t="shared" si="9"/>
        <v>522</v>
      </c>
      <c r="E23" s="47">
        <f t="shared" si="9"/>
        <v>8</v>
      </c>
      <c r="F23" s="47">
        <f t="shared" si="9"/>
        <v>0</v>
      </c>
      <c r="G23" s="47">
        <f t="shared" si="9"/>
        <v>8</v>
      </c>
      <c r="H23" s="47">
        <f t="shared" si="9"/>
        <v>514</v>
      </c>
      <c r="I23" s="47">
        <f t="shared" si="9"/>
        <v>0</v>
      </c>
      <c r="J23" s="47">
        <f>SUM(J21:J22)</f>
        <v>514</v>
      </c>
      <c r="K23" s="188" t="s">
        <v>12</v>
      </c>
      <c r="L23" s="216"/>
    </row>
    <row r="24" spans="2:12" ht="15" customHeight="1" thickBot="1" x14ac:dyDescent="0.25">
      <c r="B24" s="47">
        <f t="shared" si="0"/>
        <v>269</v>
      </c>
      <c r="C24" s="47">
        <f t="shared" si="1"/>
        <v>141</v>
      </c>
      <c r="D24" s="47">
        <f t="shared" si="1"/>
        <v>128</v>
      </c>
      <c r="E24" s="47">
        <f t="shared" si="2"/>
        <v>9</v>
      </c>
      <c r="F24" s="47">
        <v>4</v>
      </c>
      <c r="G24" s="47">
        <v>5</v>
      </c>
      <c r="H24" s="47">
        <f t="shared" si="3"/>
        <v>260</v>
      </c>
      <c r="I24" s="47">
        <v>137</v>
      </c>
      <c r="J24" s="47">
        <v>123</v>
      </c>
      <c r="K24" s="188" t="s">
        <v>233</v>
      </c>
      <c r="L24" s="215"/>
    </row>
    <row r="25" spans="2:12" ht="15" customHeight="1" thickBot="1" x14ac:dyDescent="0.25">
      <c r="B25" s="47">
        <f t="shared" si="0"/>
        <v>0</v>
      </c>
      <c r="C25" s="47">
        <f t="shared" si="1"/>
        <v>0</v>
      </c>
      <c r="D25" s="47">
        <f t="shared" si="1"/>
        <v>0</v>
      </c>
      <c r="E25" s="47">
        <f t="shared" si="2"/>
        <v>0</v>
      </c>
      <c r="F25" s="47">
        <v>0</v>
      </c>
      <c r="G25" s="47">
        <v>0</v>
      </c>
      <c r="H25" s="47">
        <f t="shared" si="3"/>
        <v>0</v>
      </c>
      <c r="I25" s="47">
        <v>0</v>
      </c>
      <c r="J25" s="47">
        <v>0</v>
      </c>
      <c r="K25" s="188" t="s">
        <v>234</v>
      </c>
      <c r="L25" s="215" t="s">
        <v>344</v>
      </c>
    </row>
    <row r="26" spans="2:12" ht="15" customHeight="1" thickBot="1" x14ac:dyDescent="0.25">
      <c r="B26" s="47">
        <f t="shared" ref="B26:I26" si="10">SUM(B24:B25)</f>
        <v>269</v>
      </c>
      <c r="C26" s="47">
        <f t="shared" si="10"/>
        <v>141</v>
      </c>
      <c r="D26" s="47">
        <f t="shared" si="10"/>
        <v>128</v>
      </c>
      <c r="E26" s="47">
        <f t="shared" si="10"/>
        <v>9</v>
      </c>
      <c r="F26" s="47">
        <f t="shared" si="10"/>
        <v>4</v>
      </c>
      <c r="G26" s="47">
        <f t="shared" si="10"/>
        <v>5</v>
      </c>
      <c r="H26" s="47">
        <f t="shared" si="10"/>
        <v>260</v>
      </c>
      <c r="I26" s="47">
        <f t="shared" si="10"/>
        <v>137</v>
      </c>
      <c r="J26" s="47">
        <f>SUM(J24:J25)</f>
        <v>123</v>
      </c>
      <c r="K26" s="188" t="s">
        <v>12</v>
      </c>
      <c r="L26" s="216"/>
    </row>
    <row r="27" spans="2:12" ht="15" customHeight="1" thickBot="1" x14ac:dyDescent="0.25">
      <c r="B27" s="47">
        <f t="shared" si="0"/>
        <v>1070</v>
      </c>
      <c r="C27" s="47">
        <f t="shared" si="1"/>
        <v>510</v>
      </c>
      <c r="D27" s="47">
        <f t="shared" si="1"/>
        <v>560</v>
      </c>
      <c r="E27" s="47">
        <f t="shared" si="2"/>
        <v>16</v>
      </c>
      <c r="F27" s="47">
        <v>10</v>
      </c>
      <c r="G27" s="47">
        <v>6</v>
      </c>
      <c r="H27" s="47">
        <f t="shared" si="3"/>
        <v>1054</v>
      </c>
      <c r="I27" s="47">
        <v>500</v>
      </c>
      <c r="J27" s="47">
        <v>554</v>
      </c>
      <c r="K27" s="188" t="s">
        <v>233</v>
      </c>
      <c r="L27" s="215"/>
    </row>
    <row r="28" spans="2:12" ht="15" customHeight="1" thickBot="1" x14ac:dyDescent="0.25">
      <c r="B28" s="47">
        <f t="shared" si="0"/>
        <v>0</v>
      </c>
      <c r="C28" s="47">
        <f t="shared" si="1"/>
        <v>0</v>
      </c>
      <c r="D28" s="47">
        <f t="shared" si="1"/>
        <v>0</v>
      </c>
      <c r="E28" s="47">
        <f t="shared" si="2"/>
        <v>0</v>
      </c>
      <c r="F28" s="47">
        <v>0</v>
      </c>
      <c r="G28" s="47">
        <v>0</v>
      </c>
      <c r="H28" s="47">
        <f t="shared" si="3"/>
        <v>0</v>
      </c>
      <c r="I28" s="47">
        <v>0</v>
      </c>
      <c r="J28" s="47">
        <v>0</v>
      </c>
      <c r="K28" s="188" t="s">
        <v>234</v>
      </c>
      <c r="L28" s="215" t="s">
        <v>345</v>
      </c>
    </row>
    <row r="29" spans="2:12" ht="15" customHeight="1" thickBot="1" x14ac:dyDescent="0.25">
      <c r="B29" s="47">
        <f t="shared" ref="B29:I29" si="11">SUM(B27:B28)</f>
        <v>1070</v>
      </c>
      <c r="C29" s="47">
        <f t="shared" si="11"/>
        <v>510</v>
      </c>
      <c r="D29" s="47">
        <f t="shared" si="11"/>
        <v>560</v>
      </c>
      <c r="E29" s="47">
        <f t="shared" si="11"/>
        <v>16</v>
      </c>
      <c r="F29" s="47">
        <f t="shared" si="11"/>
        <v>10</v>
      </c>
      <c r="G29" s="47">
        <f t="shared" si="11"/>
        <v>6</v>
      </c>
      <c r="H29" s="47">
        <f t="shared" si="11"/>
        <v>1054</v>
      </c>
      <c r="I29" s="47">
        <f t="shared" si="11"/>
        <v>500</v>
      </c>
      <c r="J29" s="47">
        <f>SUM(J27:J28)</f>
        <v>554</v>
      </c>
      <c r="K29" s="188" t="s">
        <v>12</v>
      </c>
      <c r="L29" s="216"/>
    </row>
    <row r="30" spans="2:12" ht="15" customHeight="1" thickBot="1" x14ac:dyDescent="0.25">
      <c r="B30" s="47">
        <f t="shared" si="0"/>
        <v>923</v>
      </c>
      <c r="C30" s="47">
        <f t="shared" si="1"/>
        <v>508</v>
      </c>
      <c r="D30" s="47">
        <f t="shared" si="1"/>
        <v>415</v>
      </c>
      <c r="E30" s="47">
        <f t="shared" si="2"/>
        <v>22</v>
      </c>
      <c r="F30" s="47">
        <v>10</v>
      </c>
      <c r="G30" s="47">
        <v>12</v>
      </c>
      <c r="H30" s="47">
        <f t="shared" si="3"/>
        <v>901</v>
      </c>
      <c r="I30" s="47">
        <v>498</v>
      </c>
      <c r="J30" s="47">
        <v>403</v>
      </c>
      <c r="K30" s="188" t="s">
        <v>233</v>
      </c>
      <c r="L30" s="215"/>
    </row>
    <row r="31" spans="2:12" ht="15" customHeight="1" thickBot="1" x14ac:dyDescent="0.25">
      <c r="B31" s="47">
        <f t="shared" si="0"/>
        <v>0</v>
      </c>
      <c r="C31" s="47">
        <f t="shared" si="1"/>
        <v>0</v>
      </c>
      <c r="D31" s="47">
        <f t="shared" si="1"/>
        <v>0</v>
      </c>
      <c r="E31" s="47">
        <f t="shared" si="2"/>
        <v>0</v>
      </c>
      <c r="F31" s="47">
        <v>0</v>
      </c>
      <c r="G31" s="47">
        <v>0</v>
      </c>
      <c r="H31" s="47">
        <f t="shared" si="3"/>
        <v>0</v>
      </c>
      <c r="I31" s="47">
        <v>0</v>
      </c>
      <c r="J31" s="47">
        <v>0</v>
      </c>
      <c r="K31" s="188" t="s">
        <v>234</v>
      </c>
      <c r="L31" s="215" t="s">
        <v>346</v>
      </c>
    </row>
    <row r="32" spans="2:12" ht="15" customHeight="1" thickBot="1" x14ac:dyDescent="0.25">
      <c r="B32" s="47">
        <f t="shared" ref="B32:I32" si="12">SUM(B30:B31)</f>
        <v>923</v>
      </c>
      <c r="C32" s="47">
        <f t="shared" si="12"/>
        <v>508</v>
      </c>
      <c r="D32" s="47">
        <f t="shared" si="12"/>
        <v>415</v>
      </c>
      <c r="E32" s="47">
        <f t="shared" si="12"/>
        <v>22</v>
      </c>
      <c r="F32" s="47">
        <f t="shared" si="12"/>
        <v>10</v>
      </c>
      <c r="G32" s="47">
        <f t="shared" si="12"/>
        <v>12</v>
      </c>
      <c r="H32" s="47">
        <f t="shared" si="12"/>
        <v>901</v>
      </c>
      <c r="I32" s="47">
        <f t="shared" si="12"/>
        <v>498</v>
      </c>
      <c r="J32" s="47">
        <f>SUM(J30:J31)</f>
        <v>403</v>
      </c>
      <c r="K32" s="188" t="s">
        <v>12</v>
      </c>
      <c r="L32" s="216"/>
    </row>
    <row r="33" spans="2:12" ht="15" customHeight="1" thickBot="1" x14ac:dyDescent="0.25">
      <c r="B33" s="47">
        <f t="shared" si="0"/>
        <v>801</v>
      </c>
      <c r="C33" s="47">
        <f t="shared" si="1"/>
        <v>488</v>
      </c>
      <c r="D33" s="47">
        <f t="shared" si="1"/>
        <v>313</v>
      </c>
      <c r="E33" s="47">
        <f t="shared" si="2"/>
        <v>9</v>
      </c>
      <c r="F33" s="47">
        <v>7</v>
      </c>
      <c r="G33" s="47">
        <v>2</v>
      </c>
      <c r="H33" s="47">
        <f t="shared" si="3"/>
        <v>792</v>
      </c>
      <c r="I33" s="47">
        <v>481</v>
      </c>
      <c r="J33" s="47">
        <v>311</v>
      </c>
      <c r="K33" s="188" t="s">
        <v>233</v>
      </c>
      <c r="L33" s="215"/>
    </row>
    <row r="34" spans="2:12" ht="15" customHeight="1" thickBot="1" x14ac:dyDescent="0.25">
      <c r="B34" s="47">
        <f t="shared" si="0"/>
        <v>0</v>
      </c>
      <c r="C34" s="47">
        <f t="shared" si="1"/>
        <v>0</v>
      </c>
      <c r="D34" s="47">
        <f t="shared" si="1"/>
        <v>0</v>
      </c>
      <c r="E34" s="47">
        <f t="shared" si="2"/>
        <v>0</v>
      </c>
      <c r="F34" s="47">
        <v>0</v>
      </c>
      <c r="G34" s="47">
        <v>0</v>
      </c>
      <c r="H34" s="47">
        <f t="shared" si="3"/>
        <v>0</v>
      </c>
      <c r="I34" s="47">
        <v>0</v>
      </c>
      <c r="J34" s="47">
        <v>0</v>
      </c>
      <c r="K34" s="188" t="s">
        <v>234</v>
      </c>
      <c r="L34" s="215" t="s">
        <v>347</v>
      </c>
    </row>
    <row r="35" spans="2:12" ht="15" customHeight="1" thickBot="1" x14ac:dyDescent="0.25">
      <c r="B35" s="47">
        <f t="shared" ref="B35:I35" si="13">SUM(B33:B34)</f>
        <v>801</v>
      </c>
      <c r="C35" s="47">
        <f t="shared" si="13"/>
        <v>488</v>
      </c>
      <c r="D35" s="47">
        <f t="shared" si="13"/>
        <v>313</v>
      </c>
      <c r="E35" s="47">
        <f t="shared" si="13"/>
        <v>9</v>
      </c>
      <c r="F35" s="47">
        <f t="shared" si="13"/>
        <v>7</v>
      </c>
      <c r="G35" s="47">
        <f t="shared" si="13"/>
        <v>2</v>
      </c>
      <c r="H35" s="47">
        <f t="shared" si="13"/>
        <v>792</v>
      </c>
      <c r="I35" s="47">
        <f t="shared" si="13"/>
        <v>481</v>
      </c>
      <c r="J35" s="47">
        <f>SUM(J33:J34)</f>
        <v>311</v>
      </c>
      <c r="K35" s="188" t="s">
        <v>12</v>
      </c>
      <c r="L35" s="216"/>
    </row>
    <row r="36" spans="2:12" ht="15" customHeight="1" thickBot="1" x14ac:dyDescent="0.25">
      <c r="B36" s="47">
        <f t="shared" si="0"/>
        <v>204</v>
      </c>
      <c r="C36" s="47">
        <f t="shared" si="1"/>
        <v>120</v>
      </c>
      <c r="D36" s="47">
        <f t="shared" si="1"/>
        <v>84</v>
      </c>
      <c r="E36" s="47">
        <f t="shared" si="2"/>
        <v>4</v>
      </c>
      <c r="F36" s="47">
        <v>3</v>
      </c>
      <c r="G36" s="47">
        <v>1</v>
      </c>
      <c r="H36" s="47">
        <f t="shared" si="3"/>
        <v>200</v>
      </c>
      <c r="I36" s="47">
        <v>117</v>
      </c>
      <c r="J36" s="47">
        <v>83</v>
      </c>
      <c r="K36" s="188" t="s">
        <v>233</v>
      </c>
      <c r="L36" s="215"/>
    </row>
    <row r="37" spans="2:12" ht="15" customHeight="1" thickBot="1" x14ac:dyDescent="0.25">
      <c r="B37" s="47">
        <f t="shared" si="0"/>
        <v>0</v>
      </c>
      <c r="C37" s="47">
        <f t="shared" si="1"/>
        <v>0</v>
      </c>
      <c r="D37" s="47">
        <f t="shared" si="1"/>
        <v>0</v>
      </c>
      <c r="E37" s="47">
        <f t="shared" si="2"/>
        <v>0</v>
      </c>
      <c r="F37" s="47">
        <v>0</v>
      </c>
      <c r="G37" s="47">
        <v>0</v>
      </c>
      <c r="H37" s="47">
        <f t="shared" si="3"/>
        <v>0</v>
      </c>
      <c r="I37" s="47">
        <v>0</v>
      </c>
      <c r="J37" s="47">
        <v>0</v>
      </c>
      <c r="K37" s="188" t="s">
        <v>234</v>
      </c>
      <c r="L37" s="215" t="s">
        <v>348</v>
      </c>
    </row>
    <row r="38" spans="2:12" ht="15" customHeight="1" thickBot="1" x14ac:dyDescent="0.25">
      <c r="B38" s="47">
        <f t="shared" ref="B38:I38" si="14">SUM(B36:B37)</f>
        <v>204</v>
      </c>
      <c r="C38" s="47">
        <f t="shared" si="14"/>
        <v>120</v>
      </c>
      <c r="D38" s="47">
        <f t="shared" si="14"/>
        <v>84</v>
      </c>
      <c r="E38" s="47">
        <f t="shared" si="14"/>
        <v>4</v>
      </c>
      <c r="F38" s="47">
        <f t="shared" si="14"/>
        <v>3</v>
      </c>
      <c r="G38" s="47">
        <f t="shared" si="14"/>
        <v>1</v>
      </c>
      <c r="H38" s="47">
        <f t="shared" si="14"/>
        <v>200</v>
      </c>
      <c r="I38" s="47">
        <f t="shared" si="14"/>
        <v>117</v>
      </c>
      <c r="J38" s="47">
        <f>SUM(J36:J37)</f>
        <v>83</v>
      </c>
      <c r="K38" s="188" t="s">
        <v>12</v>
      </c>
      <c r="L38" s="216"/>
    </row>
    <row r="39" spans="2:12" ht="15" customHeight="1" thickBot="1" x14ac:dyDescent="0.25">
      <c r="B39" s="47">
        <f t="shared" si="0"/>
        <v>288</v>
      </c>
      <c r="C39" s="47">
        <f t="shared" si="1"/>
        <v>124</v>
      </c>
      <c r="D39" s="47">
        <f t="shared" si="1"/>
        <v>164</v>
      </c>
      <c r="E39" s="47">
        <f t="shared" si="2"/>
        <v>4</v>
      </c>
      <c r="F39" s="47">
        <v>2</v>
      </c>
      <c r="G39" s="47">
        <v>2</v>
      </c>
      <c r="H39" s="47">
        <f t="shared" si="3"/>
        <v>284</v>
      </c>
      <c r="I39" s="47">
        <v>122</v>
      </c>
      <c r="J39" s="47">
        <v>162</v>
      </c>
      <c r="K39" s="188" t="s">
        <v>233</v>
      </c>
      <c r="L39" s="215"/>
    </row>
    <row r="40" spans="2:12" ht="15" customHeight="1" thickBot="1" x14ac:dyDescent="0.25">
      <c r="B40" s="47">
        <f t="shared" si="0"/>
        <v>0</v>
      </c>
      <c r="C40" s="47">
        <f t="shared" si="1"/>
        <v>0</v>
      </c>
      <c r="D40" s="47">
        <f t="shared" si="1"/>
        <v>0</v>
      </c>
      <c r="E40" s="47">
        <f t="shared" si="2"/>
        <v>0</v>
      </c>
      <c r="F40" s="47">
        <v>0</v>
      </c>
      <c r="G40" s="47">
        <v>0</v>
      </c>
      <c r="H40" s="47">
        <f t="shared" si="3"/>
        <v>0</v>
      </c>
      <c r="I40" s="47">
        <v>0</v>
      </c>
      <c r="J40" s="47">
        <v>0</v>
      </c>
      <c r="K40" s="188" t="s">
        <v>234</v>
      </c>
      <c r="L40" s="215" t="s">
        <v>349</v>
      </c>
    </row>
    <row r="41" spans="2:12" ht="15" customHeight="1" thickBot="1" x14ac:dyDescent="0.25">
      <c r="B41" s="47">
        <f t="shared" ref="B41:I41" si="15">SUM(B39:B40)</f>
        <v>288</v>
      </c>
      <c r="C41" s="47">
        <f t="shared" si="15"/>
        <v>124</v>
      </c>
      <c r="D41" s="47">
        <f t="shared" si="15"/>
        <v>164</v>
      </c>
      <c r="E41" s="47">
        <f t="shared" si="15"/>
        <v>4</v>
      </c>
      <c r="F41" s="47">
        <f t="shared" si="15"/>
        <v>2</v>
      </c>
      <c r="G41" s="47">
        <f t="shared" si="15"/>
        <v>2</v>
      </c>
      <c r="H41" s="47">
        <f t="shared" si="15"/>
        <v>284</v>
      </c>
      <c r="I41" s="47">
        <f t="shared" si="15"/>
        <v>122</v>
      </c>
      <c r="J41" s="47">
        <f>SUM(J39:J40)</f>
        <v>162</v>
      </c>
      <c r="K41" s="188" t="s">
        <v>12</v>
      </c>
      <c r="L41" s="216"/>
    </row>
    <row r="42" spans="2:12" ht="15" customHeight="1" thickBot="1" x14ac:dyDescent="0.25">
      <c r="B42" s="47">
        <f t="shared" si="0"/>
        <v>234</v>
      </c>
      <c r="C42" s="47">
        <f t="shared" si="1"/>
        <v>234</v>
      </c>
      <c r="D42" s="47">
        <f t="shared" si="1"/>
        <v>0</v>
      </c>
      <c r="E42" s="47">
        <f t="shared" si="2"/>
        <v>6</v>
      </c>
      <c r="F42" s="47">
        <v>6</v>
      </c>
      <c r="G42" s="47">
        <v>0</v>
      </c>
      <c r="H42" s="47">
        <f t="shared" si="3"/>
        <v>228</v>
      </c>
      <c r="I42" s="47">
        <v>228</v>
      </c>
      <c r="J42" s="47">
        <v>0</v>
      </c>
      <c r="K42" s="188" t="s">
        <v>233</v>
      </c>
      <c r="L42" s="215"/>
    </row>
    <row r="43" spans="2:12" ht="15" customHeight="1" thickBot="1" x14ac:dyDescent="0.25">
      <c r="B43" s="47">
        <f t="shared" si="0"/>
        <v>0</v>
      </c>
      <c r="C43" s="47">
        <f t="shared" si="1"/>
        <v>0</v>
      </c>
      <c r="D43" s="47">
        <f t="shared" si="1"/>
        <v>0</v>
      </c>
      <c r="E43" s="47">
        <f t="shared" si="2"/>
        <v>0</v>
      </c>
      <c r="F43" s="47">
        <v>0</v>
      </c>
      <c r="G43" s="47">
        <v>0</v>
      </c>
      <c r="H43" s="47">
        <f t="shared" si="3"/>
        <v>0</v>
      </c>
      <c r="I43" s="47">
        <v>0</v>
      </c>
      <c r="J43" s="47">
        <v>0</v>
      </c>
      <c r="K43" s="188" t="s">
        <v>234</v>
      </c>
      <c r="L43" s="215" t="s">
        <v>350</v>
      </c>
    </row>
    <row r="44" spans="2:12" ht="15" customHeight="1" thickBot="1" x14ac:dyDescent="0.25">
      <c r="B44" s="47">
        <f t="shared" ref="B44:I44" si="16">SUM(B42:B43)</f>
        <v>234</v>
      </c>
      <c r="C44" s="47">
        <f t="shared" si="16"/>
        <v>234</v>
      </c>
      <c r="D44" s="47">
        <f t="shared" si="16"/>
        <v>0</v>
      </c>
      <c r="E44" s="47">
        <f t="shared" si="16"/>
        <v>6</v>
      </c>
      <c r="F44" s="47">
        <f t="shared" si="16"/>
        <v>6</v>
      </c>
      <c r="G44" s="47">
        <f t="shared" si="16"/>
        <v>0</v>
      </c>
      <c r="H44" s="47">
        <f t="shared" si="16"/>
        <v>228</v>
      </c>
      <c r="I44" s="47">
        <f t="shared" si="16"/>
        <v>228</v>
      </c>
      <c r="J44" s="47">
        <f>SUM(J42:J43)</f>
        <v>0</v>
      </c>
      <c r="K44" s="188" t="s">
        <v>12</v>
      </c>
      <c r="L44" s="216"/>
    </row>
    <row r="45" spans="2:12" ht="15" customHeight="1" thickBot="1" x14ac:dyDescent="0.25">
      <c r="B45" s="47">
        <f t="shared" si="0"/>
        <v>409</v>
      </c>
      <c r="C45" s="47">
        <f t="shared" si="1"/>
        <v>409</v>
      </c>
      <c r="D45" s="47">
        <f t="shared" si="1"/>
        <v>0</v>
      </c>
      <c r="E45" s="47">
        <f t="shared" si="2"/>
        <v>2</v>
      </c>
      <c r="F45" s="47">
        <v>2</v>
      </c>
      <c r="G45" s="47">
        <v>0</v>
      </c>
      <c r="H45" s="47">
        <f t="shared" si="3"/>
        <v>407</v>
      </c>
      <c r="I45" s="47">
        <v>407</v>
      </c>
      <c r="J45" s="47">
        <v>0</v>
      </c>
      <c r="K45" s="188" t="s">
        <v>233</v>
      </c>
      <c r="L45" s="215"/>
    </row>
    <row r="46" spans="2:12" ht="15" customHeight="1" thickBot="1" x14ac:dyDescent="0.25">
      <c r="B46" s="47">
        <f t="shared" si="0"/>
        <v>0</v>
      </c>
      <c r="C46" s="47">
        <f t="shared" si="1"/>
        <v>0</v>
      </c>
      <c r="D46" s="47">
        <f t="shared" si="1"/>
        <v>0</v>
      </c>
      <c r="E46" s="47">
        <f t="shared" si="2"/>
        <v>0</v>
      </c>
      <c r="F46" s="47">
        <v>0</v>
      </c>
      <c r="G46" s="47">
        <v>0</v>
      </c>
      <c r="H46" s="47">
        <f t="shared" si="3"/>
        <v>0</v>
      </c>
      <c r="I46" s="47">
        <v>0</v>
      </c>
      <c r="J46" s="47">
        <v>0</v>
      </c>
      <c r="K46" s="188" t="s">
        <v>234</v>
      </c>
      <c r="L46" s="215" t="s">
        <v>351</v>
      </c>
    </row>
    <row r="47" spans="2:12" ht="15" customHeight="1" thickBot="1" x14ac:dyDescent="0.25">
      <c r="B47" s="47">
        <f t="shared" ref="B47:I47" si="17">SUM(B45:B46)</f>
        <v>409</v>
      </c>
      <c r="C47" s="47">
        <f t="shared" si="17"/>
        <v>409</v>
      </c>
      <c r="D47" s="47">
        <f t="shared" si="17"/>
        <v>0</v>
      </c>
      <c r="E47" s="47">
        <f t="shared" si="17"/>
        <v>2</v>
      </c>
      <c r="F47" s="47">
        <f t="shared" si="17"/>
        <v>2</v>
      </c>
      <c r="G47" s="47">
        <f t="shared" si="17"/>
        <v>0</v>
      </c>
      <c r="H47" s="47">
        <f t="shared" si="17"/>
        <v>407</v>
      </c>
      <c r="I47" s="47">
        <f t="shared" si="17"/>
        <v>407</v>
      </c>
      <c r="J47" s="47">
        <f>SUM(J45:J46)</f>
        <v>0</v>
      </c>
      <c r="K47" s="188" t="s">
        <v>12</v>
      </c>
      <c r="L47" s="216"/>
    </row>
    <row r="48" spans="2:12" ht="15" customHeight="1" thickBot="1" x14ac:dyDescent="0.25">
      <c r="B48" s="47">
        <f t="shared" si="0"/>
        <v>730</v>
      </c>
      <c r="C48" s="47">
        <f t="shared" si="1"/>
        <v>730</v>
      </c>
      <c r="D48" s="47">
        <f t="shared" si="1"/>
        <v>0</v>
      </c>
      <c r="E48" s="47">
        <f t="shared" si="2"/>
        <v>2</v>
      </c>
      <c r="F48" s="47">
        <v>2</v>
      </c>
      <c r="G48" s="47">
        <v>0</v>
      </c>
      <c r="H48" s="47">
        <f t="shared" si="3"/>
        <v>728</v>
      </c>
      <c r="I48" s="47">
        <v>728</v>
      </c>
      <c r="J48" s="47">
        <v>0</v>
      </c>
      <c r="K48" s="188" t="s">
        <v>233</v>
      </c>
      <c r="L48" s="215"/>
    </row>
    <row r="49" spans="2:12" ht="15" customHeight="1" thickBot="1" x14ac:dyDescent="0.25">
      <c r="B49" s="47">
        <f t="shared" si="0"/>
        <v>210</v>
      </c>
      <c r="C49" s="47">
        <f t="shared" si="1"/>
        <v>210</v>
      </c>
      <c r="D49" s="47">
        <f t="shared" si="1"/>
        <v>0</v>
      </c>
      <c r="E49" s="47">
        <f t="shared" si="2"/>
        <v>0</v>
      </c>
      <c r="F49" s="47">
        <v>0</v>
      </c>
      <c r="G49" s="47">
        <v>0</v>
      </c>
      <c r="H49" s="47">
        <f t="shared" si="3"/>
        <v>210</v>
      </c>
      <c r="I49" s="47">
        <v>210</v>
      </c>
      <c r="J49" s="47">
        <v>0</v>
      </c>
      <c r="K49" s="188" t="s">
        <v>234</v>
      </c>
      <c r="L49" s="215" t="s">
        <v>352</v>
      </c>
    </row>
    <row r="50" spans="2:12" ht="15" customHeight="1" thickBot="1" x14ac:dyDescent="0.25">
      <c r="B50" s="47">
        <f t="shared" ref="B50:I50" si="18">SUM(B48:B49)</f>
        <v>940</v>
      </c>
      <c r="C50" s="47">
        <f t="shared" si="18"/>
        <v>940</v>
      </c>
      <c r="D50" s="47">
        <f t="shared" si="18"/>
        <v>0</v>
      </c>
      <c r="E50" s="47">
        <f t="shared" si="18"/>
        <v>2</v>
      </c>
      <c r="F50" s="47">
        <f t="shared" si="18"/>
        <v>2</v>
      </c>
      <c r="G50" s="47">
        <f t="shared" si="18"/>
        <v>0</v>
      </c>
      <c r="H50" s="47">
        <f t="shared" si="18"/>
        <v>938</v>
      </c>
      <c r="I50" s="47">
        <f t="shared" si="18"/>
        <v>938</v>
      </c>
      <c r="J50" s="47">
        <f>SUM(J48:J49)</f>
        <v>0</v>
      </c>
      <c r="K50" s="188" t="s">
        <v>12</v>
      </c>
      <c r="L50" s="216"/>
    </row>
    <row r="51" spans="2:12" ht="15" customHeight="1" thickBot="1" x14ac:dyDescent="0.25">
      <c r="B51" s="47">
        <f t="shared" si="0"/>
        <v>747</v>
      </c>
      <c r="C51" s="47">
        <f t="shared" si="1"/>
        <v>747</v>
      </c>
      <c r="D51" s="47">
        <f t="shared" si="1"/>
        <v>0</v>
      </c>
      <c r="E51" s="47">
        <f t="shared" si="2"/>
        <v>1</v>
      </c>
      <c r="F51" s="47">
        <v>1</v>
      </c>
      <c r="G51" s="47">
        <v>0</v>
      </c>
      <c r="H51" s="47">
        <f t="shared" si="3"/>
        <v>746</v>
      </c>
      <c r="I51" s="47">
        <v>746</v>
      </c>
      <c r="J51" s="47">
        <v>0</v>
      </c>
      <c r="K51" s="188" t="s">
        <v>233</v>
      </c>
      <c r="L51" s="215"/>
    </row>
    <row r="52" spans="2:12" ht="15" customHeight="1" thickBot="1" x14ac:dyDescent="0.25">
      <c r="B52" s="47">
        <f t="shared" si="0"/>
        <v>0</v>
      </c>
      <c r="C52" s="47">
        <f t="shared" si="1"/>
        <v>0</v>
      </c>
      <c r="D52" s="47">
        <f t="shared" si="1"/>
        <v>0</v>
      </c>
      <c r="E52" s="47">
        <f t="shared" si="2"/>
        <v>0</v>
      </c>
      <c r="F52" s="47">
        <v>0</v>
      </c>
      <c r="G52" s="47">
        <v>0</v>
      </c>
      <c r="H52" s="47">
        <f t="shared" si="3"/>
        <v>0</v>
      </c>
      <c r="I52" s="47">
        <v>0</v>
      </c>
      <c r="J52" s="47">
        <v>0</v>
      </c>
      <c r="K52" s="188" t="s">
        <v>234</v>
      </c>
      <c r="L52" s="215" t="s">
        <v>353</v>
      </c>
    </row>
    <row r="53" spans="2:12" ht="15" customHeight="1" thickBot="1" x14ac:dyDescent="0.25">
      <c r="B53" s="47">
        <f t="shared" ref="B53:I53" si="19">SUM(B51:B52)</f>
        <v>747</v>
      </c>
      <c r="C53" s="47">
        <f t="shared" si="19"/>
        <v>747</v>
      </c>
      <c r="D53" s="47">
        <f t="shared" si="19"/>
        <v>0</v>
      </c>
      <c r="E53" s="47">
        <f t="shared" si="19"/>
        <v>1</v>
      </c>
      <c r="F53" s="47">
        <f t="shared" si="19"/>
        <v>1</v>
      </c>
      <c r="G53" s="47">
        <f t="shared" si="19"/>
        <v>0</v>
      </c>
      <c r="H53" s="47">
        <f t="shared" si="19"/>
        <v>746</v>
      </c>
      <c r="I53" s="47">
        <f t="shared" si="19"/>
        <v>746</v>
      </c>
      <c r="J53" s="47">
        <f>SUM(J51:J52)</f>
        <v>0</v>
      </c>
      <c r="K53" s="188" t="s">
        <v>12</v>
      </c>
      <c r="L53" s="216"/>
    </row>
    <row r="54" spans="2:12" ht="15" customHeight="1" thickBot="1" x14ac:dyDescent="0.25">
      <c r="B54" s="47">
        <f t="shared" si="0"/>
        <v>518</v>
      </c>
      <c r="C54" s="47">
        <f t="shared" si="1"/>
        <v>0</v>
      </c>
      <c r="D54" s="47">
        <f t="shared" si="1"/>
        <v>518</v>
      </c>
      <c r="E54" s="47">
        <f t="shared" si="2"/>
        <v>3</v>
      </c>
      <c r="F54" s="47">
        <v>0</v>
      </c>
      <c r="G54" s="47">
        <v>3</v>
      </c>
      <c r="H54" s="47">
        <f t="shared" si="3"/>
        <v>515</v>
      </c>
      <c r="I54" s="47">
        <v>0</v>
      </c>
      <c r="J54" s="47">
        <v>515</v>
      </c>
      <c r="K54" s="188" t="s">
        <v>233</v>
      </c>
      <c r="L54" s="215"/>
    </row>
    <row r="55" spans="2:12" ht="15" customHeight="1" thickBot="1" x14ac:dyDescent="0.25">
      <c r="B55" s="47">
        <f t="shared" si="0"/>
        <v>0</v>
      </c>
      <c r="C55" s="47">
        <f t="shared" si="1"/>
        <v>0</v>
      </c>
      <c r="D55" s="47">
        <f t="shared" si="1"/>
        <v>0</v>
      </c>
      <c r="E55" s="47">
        <f t="shared" si="2"/>
        <v>0</v>
      </c>
      <c r="F55" s="47">
        <v>0</v>
      </c>
      <c r="G55" s="47">
        <v>0</v>
      </c>
      <c r="H55" s="47">
        <f t="shared" si="3"/>
        <v>0</v>
      </c>
      <c r="I55" s="47">
        <v>0</v>
      </c>
      <c r="J55" s="47">
        <v>0</v>
      </c>
      <c r="K55" s="188" t="s">
        <v>234</v>
      </c>
      <c r="L55" s="215" t="s">
        <v>250</v>
      </c>
    </row>
    <row r="56" spans="2:12" ht="15" customHeight="1" thickBot="1" x14ac:dyDescent="0.25">
      <c r="B56" s="47">
        <f t="shared" ref="B56:I56" si="20">SUM(B54:B55)</f>
        <v>518</v>
      </c>
      <c r="C56" s="47">
        <f t="shared" si="20"/>
        <v>0</v>
      </c>
      <c r="D56" s="47">
        <f t="shared" si="20"/>
        <v>518</v>
      </c>
      <c r="E56" s="47">
        <f t="shared" si="20"/>
        <v>3</v>
      </c>
      <c r="F56" s="47">
        <f t="shared" si="20"/>
        <v>0</v>
      </c>
      <c r="G56" s="47">
        <f t="shared" si="20"/>
        <v>3</v>
      </c>
      <c r="H56" s="47">
        <f t="shared" si="20"/>
        <v>515</v>
      </c>
      <c r="I56" s="47">
        <f t="shared" si="20"/>
        <v>0</v>
      </c>
      <c r="J56" s="47">
        <f>SUM(J54:J55)</f>
        <v>515</v>
      </c>
      <c r="K56" s="188" t="s">
        <v>12</v>
      </c>
      <c r="L56" s="216"/>
    </row>
    <row r="57" spans="2:12" ht="15" customHeight="1" thickBot="1" x14ac:dyDescent="0.25">
      <c r="B57" s="47">
        <f t="shared" si="0"/>
        <v>498</v>
      </c>
      <c r="C57" s="47">
        <f t="shared" si="1"/>
        <v>498</v>
      </c>
      <c r="D57" s="47">
        <f t="shared" si="1"/>
        <v>0</v>
      </c>
      <c r="E57" s="47">
        <f t="shared" si="2"/>
        <v>7</v>
      </c>
      <c r="F57" s="47">
        <v>7</v>
      </c>
      <c r="G57" s="47">
        <v>0</v>
      </c>
      <c r="H57" s="47">
        <f t="shared" si="3"/>
        <v>491</v>
      </c>
      <c r="I57" s="47">
        <v>491</v>
      </c>
      <c r="J57" s="47">
        <v>0</v>
      </c>
      <c r="K57" s="188" t="s">
        <v>233</v>
      </c>
      <c r="L57" s="215"/>
    </row>
    <row r="58" spans="2:12" ht="15" customHeight="1" thickBot="1" x14ac:dyDescent="0.25">
      <c r="B58" s="47">
        <f t="shared" si="0"/>
        <v>157</v>
      </c>
      <c r="C58" s="47">
        <f t="shared" si="1"/>
        <v>157</v>
      </c>
      <c r="D58" s="47">
        <f t="shared" si="1"/>
        <v>0</v>
      </c>
      <c r="E58" s="47">
        <f t="shared" si="2"/>
        <v>0</v>
      </c>
      <c r="F58" s="47">
        <v>0</v>
      </c>
      <c r="G58" s="47">
        <v>0</v>
      </c>
      <c r="H58" s="47">
        <f t="shared" si="3"/>
        <v>157</v>
      </c>
      <c r="I58" s="47">
        <v>157</v>
      </c>
      <c r="J58" s="47">
        <v>0</v>
      </c>
      <c r="K58" s="188" t="s">
        <v>234</v>
      </c>
      <c r="L58" s="215" t="s">
        <v>354</v>
      </c>
    </row>
    <row r="59" spans="2:12" ht="15" customHeight="1" thickBot="1" x14ac:dyDescent="0.25">
      <c r="B59" s="47">
        <f t="shared" ref="B59:I59" si="21">SUM(B57:B58)</f>
        <v>655</v>
      </c>
      <c r="C59" s="47">
        <f t="shared" si="21"/>
        <v>655</v>
      </c>
      <c r="D59" s="47">
        <f t="shared" si="21"/>
        <v>0</v>
      </c>
      <c r="E59" s="47">
        <f t="shared" si="21"/>
        <v>7</v>
      </c>
      <c r="F59" s="47">
        <f t="shared" si="21"/>
        <v>7</v>
      </c>
      <c r="G59" s="47">
        <f t="shared" si="21"/>
        <v>0</v>
      </c>
      <c r="H59" s="47">
        <f t="shared" si="21"/>
        <v>648</v>
      </c>
      <c r="I59" s="47">
        <f t="shared" si="21"/>
        <v>648</v>
      </c>
      <c r="J59" s="47">
        <f>SUM(J57:J58)</f>
        <v>0</v>
      </c>
      <c r="K59" s="188" t="s">
        <v>12</v>
      </c>
      <c r="L59" s="216"/>
    </row>
    <row r="60" spans="2:12" ht="15" customHeight="1" thickBot="1" x14ac:dyDescent="0.25">
      <c r="B60" s="47">
        <f t="shared" si="0"/>
        <v>872</v>
      </c>
      <c r="C60" s="47">
        <f t="shared" si="1"/>
        <v>872</v>
      </c>
      <c r="D60" s="47">
        <f t="shared" si="1"/>
        <v>0</v>
      </c>
      <c r="E60" s="47">
        <f t="shared" si="2"/>
        <v>5</v>
      </c>
      <c r="F60" s="47">
        <v>5</v>
      </c>
      <c r="G60" s="47">
        <v>0</v>
      </c>
      <c r="H60" s="47">
        <f t="shared" si="3"/>
        <v>867</v>
      </c>
      <c r="I60" s="47">
        <v>867</v>
      </c>
      <c r="J60" s="47">
        <v>0</v>
      </c>
      <c r="K60" s="188" t="s">
        <v>233</v>
      </c>
      <c r="L60" s="215"/>
    </row>
    <row r="61" spans="2:12" ht="15" customHeight="1" thickBot="1" x14ac:dyDescent="0.25">
      <c r="B61" s="47">
        <f t="shared" si="0"/>
        <v>320</v>
      </c>
      <c r="C61" s="47">
        <f t="shared" si="1"/>
        <v>320</v>
      </c>
      <c r="D61" s="47">
        <f t="shared" si="1"/>
        <v>0</v>
      </c>
      <c r="E61" s="47">
        <f t="shared" si="2"/>
        <v>0</v>
      </c>
      <c r="F61" s="47">
        <v>0</v>
      </c>
      <c r="G61" s="47">
        <v>0</v>
      </c>
      <c r="H61" s="47">
        <f t="shared" si="3"/>
        <v>320</v>
      </c>
      <c r="I61" s="47">
        <v>320</v>
      </c>
      <c r="J61" s="47">
        <v>0</v>
      </c>
      <c r="K61" s="188" t="s">
        <v>234</v>
      </c>
      <c r="L61" s="215" t="s">
        <v>355</v>
      </c>
    </row>
    <row r="62" spans="2:12" ht="15" customHeight="1" thickBot="1" x14ac:dyDescent="0.25">
      <c r="B62" s="47">
        <f t="shared" ref="B62:I62" si="22">SUM(B60:B61)</f>
        <v>1192</v>
      </c>
      <c r="C62" s="47">
        <f t="shared" si="22"/>
        <v>1192</v>
      </c>
      <c r="D62" s="47">
        <f t="shared" si="22"/>
        <v>0</v>
      </c>
      <c r="E62" s="47">
        <f t="shared" si="22"/>
        <v>5</v>
      </c>
      <c r="F62" s="47">
        <f t="shared" si="22"/>
        <v>5</v>
      </c>
      <c r="G62" s="47">
        <f t="shared" si="22"/>
        <v>0</v>
      </c>
      <c r="H62" s="47">
        <f t="shared" si="22"/>
        <v>1187</v>
      </c>
      <c r="I62" s="47">
        <f t="shared" si="22"/>
        <v>1187</v>
      </c>
      <c r="J62" s="47">
        <f>SUM(J60:J61)</f>
        <v>0</v>
      </c>
      <c r="K62" s="188" t="s">
        <v>12</v>
      </c>
      <c r="L62" s="216"/>
    </row>
    <row r="63" spans="2:12" ht="15" customHeight="1" thickBot="1" x14ac:dyDescent="0.25">
      <c r="B63" s="47">
        <f t="shared" ref="B63:J65" si="23">B6+B9+B12+B15+B18+B21+B24+B27+B30+B33+B36+B39+B42+B45+B48+B51+B54+B57+B60</f>
        <v>12250</v>
      </c>
      <c r="C63" s="47">
        <f t="shared" si="23"/>
        <v>7232</v>
      </c>
      <c r="D63" s="47">
        <f t="shared" si="23"/>
        <v>5018</v>
      </c>
      <c r="E63" s="47">
        <f t="shared" si="23"/>
        <v>160</v>
      </c>
      <c r="F63" s="47">
        <f t="shared" si="23"/>
        <v>82</v>
      </c>
      <c r="G63" s="47">
        <f t="shared" si="23"/>
        <v>78</v>
      </c>
      <c r="H63" s="47">
        <f t="shared" si="23"/>
        <v>12090</v>
      </c>
      <c r="I63" s="47">
        <f t="shared" si="23"/>
        <v>7150</v>
      </c>
      <c r="J63" s="47">
        <f>J6+J9+J12+J15+J18+J21+J24+J27+J30+J33+J36+J39+J42+J45+J48+J51+J54+J57+J60</f>
        <v>4940</v>
      </c>
      <c r="K63" s="188" t="s">
        <v>236</v>
      </c>
      <c r="L63" s="217"/>
    </row>
    <row r="64" spans="2:12" ht="15" customHeight="1" thickBot="1" x14ac:dyDescent="0.25">
      <c r="B64" s="47">
        <f t="shared" si="23"/>
        <v>687</v>
      </c>
      <c r="C64" s="47">
        <f t="shared" si="23"/>
        <v>687</v>
      </c>
      <c r="D64" s="47">
        <f t="shared" si="23"/>
        <v>0</v>
      </c>
      <c r="E64" s="47">
        <f t="shared" si="23"/>
        <v>0</v>
      </c>
      <c r="F64" s="47">
        <f t="shared" si="23"/>
        <v>0</v>
      </c>
      <c r="G64" s="47">
        <f t="shared" si="23"/>
        <v>0</v>
      </c>
      <c r="H64" s="47">
        <f t="shared" si="23"/>
        <v>687</v>
      </c>
      <c r="I64" s="47">
        <f t="shared" si="23"/>
        <v>687</v>
      </c>
      <c r="J64" s="47">
        <f t="shared" si="23"/>
        <v>0</v>
      </c>
      <c r="K64" s="188" t="s">
        <v>237</v>
      </c>
      <c r="L64" s="218" t="s">
        <v>188</v>
      </c>
    </row>
    <row r="65" spans="2:12" ht="15" customHeight="1" thickBot="1" x14ac:dyDescent="0.25">
      <c r="B65" s="47">
        <f t="shared" si="23"/>
        <v>12937</v>
      </c>
      <c r="C65" s="47">
        <f t="shared" si="23"/>
        <v>7919</v>
      </c>
      <c r="D65" s="47">
        <f t="shared" si="23"/>
        <v>5018</v>
      </c>
      <c r="E65" s="47">
        <f t="shared" si="23"/>
        <v>160</v>
      </c>
      <c r="F65" s="47">
        <f t="shared" si="23"/>
        <v>82</v>
      </c>
      <c r="G65" s="47">
        <f t="shared" si="23"/>
        <v>78</v>
      </c>
      <c r="H65" s="47">
        <f t="shared" si="23"/>
        <v>12777</v>
      </c>
      <c r="I65" s="47">
        <f t="shared" si="23"/>
        <v>7837</v>
      </c>
      <c r="J65" s="47">
        <f t="shared" si="23"/>
        <v>4940</v>
      </c>
      <c r="K65" s="188" t="s">
        <v>12</v>
      </c>
      <c r="L65" s="219"/>
    </row>
    <row r="66" spans="2:12" ht="15" customHeight="1" thickBot="1" x14ac:dyDescent="0.25">
      <c r="B66" s="476" t="s">
        <v>4</v>
      </c>
      <c r="C66" s="476"/>
      <c r="D66" s="476"/>
      <c r="E66" s="476" t="s">
        <v>145</v>
      </c>
      <c r="F66" s="476"/>
      <c r="G66" s="476"/>
      <c r="H66" s="476" t="s">
        <v>146</v>
      </c>
      <c r="I66" s="476"/>
      <c r="J66" s="476"/>
      <c r="K66" s="479" t="s">
        <v>66</v>
      </c>
      <c r="L66" s="479"/>
    </row>
    <row r="67" spans="2:12" ht="15" customHeight="1" thickBot="1" x14ac:dyDescent="0.25">
      <c r="B67" s="185" t="s">
        <v>227</v>
      </c>
      <c r="C67" s="185" t="s">
        <v>10</v>
      </c>
      <c r="D67" s="185" t="s">
        <v>9</v>
      </c>
      <c r="E67" s="185" t="s">
        <v>227</v>
      </c>
      <c r="F67" s="185" t="s">
        <v>10</v>
      </c>
      <c r="G67" s="185" t="s">
        <v>9</v>
      </c>
      <c r="H67" s="185" t="s">
        <v>227</v>
      </c>
      <c r="I67" s="185" t="s">
        <v>10</v>
      </c>
      <c r="J67" s="185" t="s">
        <v>9</v>
      </c>
      <c r="K67" s="480" t="s">
        <v>147</v>
      </c>
      <c r="L67" s="480"/>
    </row>
    <row r="68" spans="2:12" ht="15" customHeight="1" thickBot="1" x14ac:dyDescent="0.25">
      <c r="B68" s="47">
        <f>SUM(C68:D68)</f>
        <v>56</v>
      </c>
      <c r="C68" s="47">
        <f>I68+F68</f>
        <v>0</v>
      </c>
      <c r="D68" s="47">
        <f>J68+G68</f>
        <v>56</v>
      </c>
      <c r="E68" s="47">
        <f>SUM(F68:G68)</f>
        <v>33</v>
      </c>
      <c r="F68" s="47">
        <v>0</v>
      </c>
      <c r="G68" s="47">
        <v>33</v>
      </c>
      <c r="H68" s="47">
        <f>SUM(I68:J68)</f>
        <v>23</v>
      </c>
      <c r="I68" s="47">
        <v>0</v>
      </c>
      <c r="J68" s="47">
        <v>23</v>
      </c>
      <c r="K68" s="188" t="s">
        <v>233</v>
      </c>
      <c r="L68" s="215"/>
    </row>
    <row r="69" spans="2:12" ht="15" customHeight="1" thickBot="1" x14ac:dyDescent="0.25">
      <c r="B69" s="47">
        <f t="shared" ref="B69:B81" si="24">SUM(C69:D69)</f>
        <v>0</v>
      </c>
      <c r="C69" s="47">
        <f t="shared" ref="C69:D81" si="25">I69+F69</f>
        <v>0</v>
      </c>
      <c r="D69" s="47">
        <f t="shared" si="25"/>
        <v>0</v>
      </c>
      <c r="E69" s="47">
        <f t="shared" ref="E69:E81" si="26">SUM(F69:G69)</f>
        <v>0</v>
      </c>
      <c r="F69" s="47">
        <v>0</v>
      </c>
      <c r="G69" s="47">
        <v>0</v>
      </c>
      <c r="H69" s="47">
        <f t="shared" ref="H69:H81" si="27">SUM(I69:J69)</f>
        <v>0</v>
      </c>
      <c r="I69" s="47">
        <v>0</v>
      </c>
      <c r="J69" s="47">
        <v>0</v>
      </c>
      <c r="K69" s="188" t="s">
        <v>234</v>
      </c>
      <c r="L69" s="215" t="s">
        <v>356</v>
      </c>
    </row>
    <row r="70" spans="2:12" ht="15" customHeight="1" thickBot="1" x14ac:dyDescent="0.25">
      <c r="B70" s="47">
        <f t="shared" ref="B70:I70" si="28">SUM(B68:B69)</f>
        <v>56</v>
      </c>
      <c r="C70" s="47">
        <f t="shared" si="28"/>
        <v>0</v>
      </c>
      <c r="D70" s="47">
        <f t="shared" si="28"/>
        <v>56</v>
      </c>
      <c r="E70" s="47">
        <f t="shared" si="28"/>
        <v>33</v>
      </c>
      <c r="F70" s="47">
        <f t="shared" si="28"/>
        <v>0</v>
      </c>
      <c r="G70" s="47">
        <f t="shared" si="28"/>
        <v>33</v>
      </c>
      <c r="H70" s="47">
        <f t="shared" si="28"/>
        <v>23</v>
      </c>
      <c r="I70" s="47">
        <f t="shared" si="28"/>
        <v>0</v>
      </c>
      <c r="J70" s="47">
        <f>SUM(J68:J69)</f>
        <v>23</v>
      </c>
      <c r="K70" s="188" t="s">
        <v>12</v>
      </c>
      <c r="L70" s="216"/>
    </row>
    <row r="71" spans="2:12" ht="15" customHeight="1" thickBot="1" x14ac:dyDescent="0.25">
      <c r="B71" s="47">
        <f t="shared" si="24"/>
        <v>122</v>
      </c>
      <c r="C71" s="47">
        <f t="shared" si="25"/>
        <v>0</v>
      </c>
      <c r="D71" s="47">
        <f t="shared" si="25"/>
        <v>122</v>
      </c>
      <c r="E71" s="47">
        <f t="shared" si="26"/>
        <v>110</v>
      </c>
      <c r="F71" s="47">
        <v>0</v>
      </c>
      <c r="G71" s="47">
        <v>110</v>
      </c>
      <c r="H71" s="47">
        <f t="shared" si="27"/>
        <v>12</v>
      </c>
      <c r="I71" s="47">
        <v>0</v>
      </c>
      <c r="J71" s="47">
        <v>12</v>
      </c>
      <c r="K71" s="188" t="s">
        <v>233</v>
      </c>
      <c r="L71" s="215"/>
    </row>
    <row r="72" spans="2:12" ht="15" customHeight="1" thickBot="1" x14ac:dyDescent="0.25">
      <c r="B72" s="47">
        <f t="shared" si="24"/>
        <v>0</v>
      </c>
      <c r="C72" s="47">
        <f t="shared" si="25"/>
        <v>0</v>
      </c>
      <c r="D72" s="47">
        <f t="shared" si="25"/>
        <v>0</v>
      </c>
      <c r="E72" s="47">
        <f t="shared" si="26"/>
        <v>0</v>
      </c>
      <c r="F72" s="47">
        <v>0</v>
      </c>
      <c r="G72" s="47">
        <v>0</v>
      </c>
      <c r="H72" s="47">
        <f t="shared" si="27"/>
        <v>0</v>
      </c>
      <c r="I72" s="47">
        <v>0</v>
      </c>
      <c r="J72" s="47">
        <v>0</v>
      </c>
      <c r="K72" s="188" t="s">
        <v>234</v>
      </c>
      <c r="L72" s="215" t="s">
        <v>357</v>
      </c>
    </row>
    <row r="73" spans="2:12" ht="15" customHeight="1" thickBot="1" x14ac:dyDescent="0.25">
      <c r="B73" s="47">
        <f t="shared" ref="B73:I73" si="29">SUM(B71:B72)</f>
        <v>122</v>
      </c>
      <c r="C73" s="47">
        <f t="shared" si="29"/>
        <v>0</v>
      </c>
      <c r="D73" s="47">
        <f t="shared" si="29"/>
        <v>122</v>
      </c>
      <c r="E73" s="47">
        <f t="shared" si="29"/>
        <v>110</v>
      </c>
      <c r="F73" s="47">
        <f t="shared" si="29"/>
        <v>0</v>
      </c>
      <c r="G73" s="47">
        <f t="shared" si="29"/>
        <v>110</v>
      </c>
      <c r="H73" s="47">
        <f t="shared" si="29"/>
        <v>12</v>
      </c>
      <c r="I73" s="47">
        <f t="shared" si="29"/>
        <v>0</v>
      </c>
      <c r="J73" s="47">
        <f>SUM(J71:J72)</f>
        <v>12</v>
      </c>
      <c r="K73" s="188" t="s">
        <v>12</v>
      </c>
      <c r="L73" s="216"/>
    </row>
    <row r="74" spans="2:12" ht="15" customHeight="1" thickBot="1" x14ac:dyDescent="0.25">
      <c r="B74" s="47">
        <f t="shared" si="24"/>
        <v>1613</v>
      </c>
      <c r="C74" s="47">
        <f t="shared" si="25"/>
        <v>0</v>
      </c>
      <c r="D74" s="47">
        <f t="shared" si="25"/>
        <v>1613</v>
      </c>
      <c r="E74" s="47">
        <f t="shared" si="26"/>
        <v>455</v>
      </c>
      <c r="F74" s="47">
        <v>0</v>
      </c>
      <c r="G74" s="47">
        <v>455</v>
      </c>
      <c r="H74" s="47">
        <f t="shared" si="27"/>
        <v>1158</v>
      </c>
      <c r="I74" s="47">
        <v>0</v>
      </c>
      <c r="J74" s="47">
        <v>1158</v>
      </c>
      <c r="K74" s="188" t="s">
        <v>233</v>
      </c>
      <c r="L74" s="215"/>
    </row>
    <row r="75" spans="2:12" ht="15" customHeight="1" thickBot="1" x14ac:dyDescent="0.25">
      <c r="B75" s="47">
        <f t="shared" si="24"/>
        <v>620</v>
      </c>
      <c r="C75" s="47">
        <f t="shared" si="25"/>
        <v>0</v>
      </c>
      <c r="D75" s="47">
        <f t="shared" si="25"/>
        <v>620</v>
      </c>
      <c r="E75" s="47">
        <f t="shared" si="26"/>
        <v>77</v>
      </c>
      <c r="F75" s="47">
        <v>0</v>
      </c>
      <c r="G75" s="47">
        <v>77</v>
      </c>
      <c r="H75" s="47">
        <f t="shared" si="27"/>
        <v>543</v>
      </c>
      <c r="I75" s="47">
        <v>0</v>
      </c>
      <c r="J75" s="47">
        <v>543</v>
      </c>
      <c r="K75" s="188" t="s">
        <v>234</v>
      </c>
      <c r="L75" s="215" t="s">
        <v>358</v>
      </c>
    </row>
    <row r="76" spans="2:12" ht="15" customHeight="1" thickBot="1" x14ac:dyDescent="0.25">
      <c r="B76" s="47">
        <f t="shared" ref="B76:I76" si="30">SUM(B74:B75)</f>
        <v>2233</v>
      </c>
      <c r="C76" s="47">
        <f t="shared" si="30"/>
        <v>0</v>
      </c>
      <c r="D76" s="47">
        <f t="shared" si="30"/>
        <v>2233</v>
      </c>
      <c r="E76" s="47">
        <f t="shared" si="30"/>
        <v>532</v>
      </c>
      <c r="F76" s="47">
        <f t="shared" si="30"/>
        <v>0</v>
      </c>
      <c r="G76" s="47">
        <f t="shared" si="30"/>
        <v>532</v>
      </c>
      <c r="H76" s="47">
        <f t="shared" si="30"/>
        <v>1701</v>
      </c>
      <c r="I76" s="47">
        <f t="shared" si="30"/>
        <v>0</v>
      </c>
      <c r="J76" s="47">
        <f>SUM(J74:J75)</f>
        <v>1701</v>
      </c>
      <c r="K76" s="188" t="s">
        <v>12</v>
      </c>
      <c r="L76" s="216"/>
    </row>
    <row r="77" spans="2:12" ht="15" customHeight="1" thickBot="1" x14ac:dyDescent="0.25">
      <c r="B77" s="47">
        <f t="shared" si="24"/>
        <v>233</v>
      </c>
      <c r="C77" s="47">
        <f t="shared" si="25"/>
        <v>0</v>
      </c>
      <c r="D77" s="47">
        <f t="shared" si="25"/>
        <v>233</v>
      </c>
      <c r="E77" s="47">
        <f t="shared" si="26"/>
        <v>178</v>
      </c>
      <c r="F77" s="47">
        <v>0</v>
      </c>
      <c r="G77" s="47">
        <v>178</v>
      </c>
      <c r="H77" s="47">
        <f t="shared" si="27"/>
        <v>55</v>
      </c>
      <c r="I77" s="47">
        <v>0</v>
      </c>
      <c r="J77" s="47">
        <v>55</v>
      </c>
      <c r="K77" s="188" t="s">
        <v>233</v>
      </c>
      <c r="L77" s="215"/>
    </row>
    <row r="78" spans="2:12" ht="15" customHeight="1" thickBot="1" x14ac:dyDescent="0.25">
      <c r="B78" s="47">
        <f t="shared" si="24"/>
        <v>0</v>
      </c>
      <c r="C78" s="47">
        <f t="shared" si="25"/>
        <v>0</v>
      </c>
      <c r="D78" s="47">
        <f t="shared" si="25"/>
        <v>0</v>
      </c>
      <c r="E78" s="47">
        <f t="shared" si="26"/>
        <v>0</v>
      </c>
      <c r="F78" s="47">
        <v>0</v>
      </c>
      <c r="G78" s="47">
        <v>0</v>
      </c>
      <c r="H78" s="47">
        <f t="shared" si="27"/>
        <v>0</v>
      </c>
      <c r="I78" s="47">
        <v>0</v>
      </c>
      <c r="J78" s="47">
        <v>0</v>
      </c>
      <c r="K78" s="188" t="s">
        <v>234</v>
      </c>
      <c r="L78" s="215" t="s">
        <v>359</v>
      </c>
    </row>
    <row r="79" spans="2:12" ht="15" customHeight="1" thickBot="1" x14ac:dyDescent="0.25">
      <c r="B79" s="47">
        <f t="shared" ref="B79:I79" si="31">SUM(B77:B78)</f>
        <v>233</v>
      </c>
      <c r="C79" s="47">
        <f t="shared" si="31"/>
        <v>0</v>
      </c>
      <c r="D79" s="47">
        <f t="shared" si="31"/>
        <v>233</v>
      </c>
      <c r="E79" s="47">
        <f t="shared" si="31"/>
        <v>178</v>
      </c>
      <c r="F79" s="47">
        <f t="shared" si="31"/>
        <v>0</v>
      </c>
      <c r="G79" s="47">
        <f t="shared" si="31"/>
        <v>178</v>
      </c>
      <c r="H79" s="47">
        <f t="shared" si="31"/>
        <v>55</v>
      </c>
      <c r="I79" s="47">
        <f t="shared" si="31"/>
        <v>0</v>
      </c>
      <c r="J79" s="47">
        <f>SUM(J77:J78)</f>
        <v>55</v>
      </c>
      <c r="K79" s="188" t="s">
        <v>12</v>
      </c>
      <c r="L79" s="216"/>
    </row>
    <row r="80" spans="2:12" ht="15" customHeight="1" thickBot="1" x14ac:dyDescent="0.25">
      <c r="B80" s="47">
        <f t="shared" si="24"/>
        <v>196</v>
      </c>
      <c r="C80" s="47">
        <f t="shared" si="25"/>
        <v>0</v>
      </c>
      <c r="D80" s="47">
        <f t="shared" si="25"/>
        <v>196</v>
      </c>
      <c r="E80" s="47">
        <f t="shared" si="26"/>
        <v>68</v>
      </c>
      <c r="F80" s="47">
        <v>0</v>
      </c>
      <c r="G80" s="47">
        <v>68</v>
      </c>
      <c r="H80" s="47">
        <f t="shared" si="27"/>
        <v>128</v>
      </c>
      <c r="I80" s="47">
        <v>0</v>
      </c>
      <c r="J80" s="47">
        <v>128</v>
      </c>
      <c r="K80" s="188" t="s">
        <v>233</v>
      </c>
      <c r="L80" s="215"/>
    </row>
    <row r="81" spans="2:12" ht="15" customHeight="1" thickBot="1" x14ac:dyDescent="0.25">
      <c r="B81" s="47">
        <f t="shared" si="24"/>
        <v>0</v>
      </c>
      <c r="C81" s="47">
        <f t="shared" si="25"/>
        <v>0</v>
      </c>
      <c r="D81" s="47">
        <f t="shared" si="25"/>
        <v>0</v>
      </c>
      <c r="E81" s="47">
        <f t="shared" si="26"/>
        <v>0</v>
      </c>
      <c r="F81" s="47">
        <v>0</v>
      </c>
      <c r="G81" s="47">
        <v>0</v>
      </c>
      <c r="H81" s="47">
        <f t="shared" si="27"/>
        <v>0</v>
      </c>
      <c r="I81" s="47">
        <v>0</v>
      </c>
      <c r="J81" s="47">
        <v>0</v>
      </c>
      <c r="K81" s="188" t="s">
        <v>234</v>
      </c>
      <c r="L81" s="215" t="s">
        <v>360</v>
      </c>
    </row>
    <row r="82" spans="2:12" ht="15" customHeight="1" thickBot="1" x14ac:dyDescent="0.25">
      <c r="B82" s="47">
        <f t="shared" ref="B82:I82" si="32">SUM(B80:B81)</f>
        <v>196</v>
      </c>
      <c r="C82" s="47">
        <f t="shared" si="32"/>
        <v>0</v>
      </c>
      <c r="D82" s="47">
        <f t="shared" si="32"/>
        <v>196</v>
      </c>
      <c r="E82" s="47">
        <f t="shared" si="32"/>
        <v>68</v>
      </c>
      <c r="F82" s="47">
        <f t="shared" si="32"/>
        <v>0</v>
      </c>
      <c r="G82" s="47">
        <f t="shared" si="32"/>
        <v>68</v>
      </c>
      <c r="H82" s="47">
        <f t="shared" si="32"/>
        <v>128</v>
      </c>
      <c r="I82" s="47">
        <f t="shared" si="32"/>
        <v>0</v>
      </c>
      <c r="J82" s="47">
        <f>SUM(J80:J81)</f>
        <v>128</v>
      </c>
      <c r="K82" s="188" t="s">
        <v>12</v>
      </c>
      <c r="L82" s="216"/>
    </row>
    <row r="83" spans="2:12" ht="15" customHeight="1" thickBot="1" x14ac:dyDescent="0.25">
      <c r="B83" s="47">
        <f t="shared" ref="B83:J85" si="33">B68+B71+B74+B77+B80</f>
        <v>2220</v>
      </c>
      <c r="C83" s="47">
        <f t="shared" si="33"/>
        <v>0</v>
      </c>
      <c r="D83" s="47">
        <f t="shared" si="33"/>
        <v>2220</v>
      </c>
      <c r="E83" s="47">
        <f t="shared" si="33"/>
        <v>844</v>
      </c>
      <c r="F83" s="47">
        <f t="shared" si="33"/>
        <v>0</v>
      </c>
      <c r="G83" s="47">
        <f t="shared" si="33"/>
        <v>844</v>
      </c>
      <c r="H83" s="47">
        <f t="shared" si="33"/>
        <v>1376</v>
      </c>
      <c r="I83" s="47">
        <f t="shared" si="33"/>
        <v>0</v>
      </c>
      <c r="J83" s="47">
        <f>J68+J71+J74+J77+J80</f>
        <v>1376</v>
      </c>
      <c r="K83" s="188" t="s">
        <v>236</v>
      </c>
      <c r="L83" s="217"/>
    </row>
    <row r="84" spans="2:12" ht="15" customHeight="1" thickBot="1" x14ac:dyDescent="0.25">
      <c r="B84" s="47">
        <f t="shared" si="33"/>
        <v>620</v>
      </c>
      <c r="C84" s="47">
        <f t="shared" si="33"/>
        <v>0</v>
      </c>
      <c r="D84" s="47">
        <f t="shared" si="33"/>
        <v>620</v>
      </c>
      <c r="E84" s="47">
        <f t="shared" si="33"/>
        <v>77</v>
      </c>
      <c r="F84" s="47">
        <f t="shared" si="33"/>
        <v>0</v>
      </c>
      <c r="G84" s="47">
        <f t="shared" si="33"/>
        <v>77</v>
      </c>
      <c r="H84" s="47">
        <f t="shared" si="33"/>
        <v>543</v>
      </c>
      <c r="I84" s="47">
        <f t="shared" si="33"/>
        <v>0</v>
      </c>
      <c r="J84" s="47">
        <f t="shared" si="33"/>
        <v>543</v>
      </c>
      <c r="K84" s="188" t="s">
        <v>237</v>
      </c>
      <c r="L84" s="218" t="s">
        <v>188</v>
      </c>
    </row>
    <row r="85" spans="2:12" ht="15" customHeight="1" thickBot="1" x14ac:dyDescent="0.25">
      <c r="B85" s="47">
        <f t="shared" si="33"/>
        <v>2840</v>
      </c>
      <c r="C85" s="47">
        <f t="shared" si="33"/>
        <v>0</v>
      </c>
      <c r="D85" s="47">
        <f t="shared" si="33"/>
        <v>2840</v>
      </c>
      <c r="E85" s="47">
        <f t="shared" si="33"/>
        <v>921</v>
      </c>
      <c r="F85" s="47">
        <f t="shared" si="33"/>
        <v>0</v>
      </c>
      <c r="G85" s="47">
        <f t="shared" si="33"/>
        <v>921</v>
      </c>
      <c r="H85" s="47">
        <f t="shared" si="33"/>
        <v>1919</v>
      </c>
      <c r="I85" s="47">
        <f t="shared" si="33"/>
        <v>0</v>
      </c>
      <c r="J85" s="47">
        <f t="shared" si="33"/>
        <v>1919</v>
      </c>
      <c r="K85" s="188" t="s">
        <v>12</v>
      </c>
      <c r="L85" s="219"/>
    </row>
    <row r="86" spans="2:12" ht="15" customHeight="1" thickBot="1" x14ac:dyDescent="0.25">
      <c r="B86" s="477" t="s">
        <v>4</v>
      </c>
      <c r="C86" s="477"/>
      <c r="D86" s="477"/>
      <c r="E86" s="477" t="s">
        <v>145</v>
      </c>
      <c r="F86" s="477"/>
      <c r="G86" s="477"/>
      <c r="H86" s="477" t="s">
        <v>146</v>
      </c>
      <c r="I86" s="477"/>
      <c r="J86" s="477"/>
      <c r="K86" s="482" t="s">
        <v>66</v>
      </c>
      <c r="L86" s="482"/>
    </row>
    <row r="87" spans="2:12" ht="15" customHeight="1" thickBot="1" x14ac:dyDescent="0.25">
      <c r="B87" s="204" t="s">
        <v>227</v>
      </c>
      <c r="C87" s="204" t="s">
        <v>10</v>
      </c>
      <c r="D87" s="204" t="s">
        <v>9</v>
      </c>
      <c r="E87" s="204" t="s">
        <v>227</v>
      </c>
      <c r="F87" s="204" t="s">
        <v>10</v>
      </c>
      <c r="G87" s="204" t="s">
        <v>9</v>
      </c>
      <c r="H87" s="204" t="s">
        <v>227</v>
      </c>
      <c r="I87" s="204" t="s">
        <v>10</v>
      </c>
      <c r="J87" s="204" t="s">
        <v>9</v>
      </c>
      <c r="K87" s="481" t="s">
        <v>70</v>
      </c>
      <c r="L87" s="481"/>
    </row>
    <row r="88" spans="2:12" ht="15" customHeight="1" thickBot="1" x14ac:dyDescent="0.25">
      <c r="B88" s="206">
        <f>SUM(C88:D88)</f>
        <v>1826</v>
      </c>
      <c r="C88" s="206">
        <f>I88+F88</f>
        <v>705</v>
      </c>
      <c r="D88" s="206">
        <f>J88+G88</f>
        <v>1121</v>
      </c>
      <c r="E88" s="206">
        <f>SUM(F88:G88)</f>
        <v>98</v>
      </c>
      <c r="F88" s="206">
        <v>28</v>
      </c>
      <c r="G88" s="206">
        <v>70</v>
      </c>
      <c r="H88" s="206">
        <f>SUM(I88:J88)</f>
        <v>1728</v>
      </c>
      <c r="I88" s="206">
        <v>677</v>
      </c>
      <c r="J88" s="206">
        <v>1051</v>
      </c>
      <c r="K88" s="220" t="s">
        <v>233</v>
      </c>
      <c r="L88" s="221"/>
    </row>
    <row r="89" spans="2:12" ht="15" customHeight="1" thickBot="1" x14ac:dyDescent="0.25">
      <c r="B89" s="206">
        <f t="shared" ref="B89:B122" si="34">SUM(C89:D89)</f>
        <v>3</v>
      </c>
      <c r="C89" s="206">
        <f t="shared" ref="C89:D122" si="35">I89+F89</f>
        <v>0</v>
      </c>
      <c r="D89" s="206">
        <f t="shared" si="35"/>
        <v>3</v>
      </c>
      <c r="E89" s="206">
        <f t="shared" ref="E89:E122" si="36">SUM(F89:G89)</f>
        <v>1</v>
      </c>
      <c r="F89" s="206">
        <v>0</v>
      </c>
      <c r="G89" s="206">
        <v>1</v>
      </c>
      <c r="H89" s="206">
        <f t="shared" ref="H89:H122" si="37">SUM(I89:J89)</f>
        <v>2</v>
      </c>
      <c r="I89" s="206">
        <v>0</v>
      </c>
      <c r="J89" s="206">
        <v>2</v>
      </c>
      <c r="K89" s="220" t="s">
        <v>234</v>
      </c>
      <c r="L89" s="221" t="s">
        <v>358</v>
      </c>
    </row>
    <row r="90" spans="2:12" ht="15" customHeight="1" thickBot="1" x14ac:dyDescent="0.25">
      <c r="B90" s="206">
        <f t="shared" ref="B90:I90" si="38">SUM(B88:B89)</f>
        <v>1829</v>
      </c>
      <c r="C90" s="206">
        <f t="shared" si="38"/>
        <v>705</v>
      </c>
      <c r="D90" s="206">
        <f t="shared" si="38"/>
        <v>1124</v>
      </c>
      <c r="E90" s="206">
        <f t="shared" si="38"/>
        <v>99</v>
      </c>
      <c r="F90" s="206">
        <f t="shared" si="38"/>
        <v>28</v>
      </c>
      <c r="G90" s="206">
        <f t="shared" si="38"/>
        <v>71</v>
      </c>
      <c r="H90" s="206">
        <f t="shared" si="38"/>
        <v>1730</v>
      </c>
      <c r="I90" s="206">
        <f t="shared" si="38"/>
        <v>677</v>
      </c>
      <c r="J90" s="206">
        <f>SUM(J88:J89)</f>
        <v>1053</v>
      </c>
      <c r="K90" s="220" t="s">
        <v>12</v>
      </c>
      <c r="L90" s="222"/>
    </row>
    <row r="91" spans="2:12" ht="15" customHeight="1" thickBot="1" x14ac:dyDescent="0.25">
      <c r="B91" s="206">
        <f t="shared" si="34"/>
        <v>983</v>
      </c>
      <c r="C91" s="206">
        <f t="shared" si="35"/>
        <v>714</v>
      </c>
      <c r="D91" s="206">
        <f t="shared" si="35"/>
        <v>269</v>
      </c>
      <c r="E91" s="206">
        <f t="shared" si="36"/>
        <v>29</v>
      </c>
      <c r="F91" s="206">
        <v>16</v>
      </c>
      <c r="G91" s="206">
        <v>13</v>
      </c>
      <c r="H91" s="206">
        <f t="shared" si="37"/>
        <v>954</v>
      </c>
      <c r="I91" s="206">
        <v>698</v>
      </c>
      <c r="J91" s="206">
        <v>256</v>
      </c>
      <c r="K91" s="220" t="s">
        <v>233</v>
      </c>
      <c r="L91" s="221"/>
    </row>
    <row r="92" spans="2:12" ht="15" customHeight="1" thickBot="1" x14ac:dyDescent="0.25">
      <c r="B92" s="206">
        <f t="shared" si="34"/>
        <v>79</v>
      </c>
      <c r="C92" s="206">
        <f t="shared" si="35"/>
        <v>38</v>
      </c>
      <c r="D92" s="206">
        <f t="shared" si="35"/>
        <v>41</v>
      </c>
      <c r="E92" s="206">
        <f t="shared" si="36"/>
        <v>0</v>
      </c>
      <c r="F92" s="206">
        <v>0</v>
      </c>
      <c r="G92" s="206">
        <v>0</v>
      </c>
      <c r="H92" s="206">
        <f t="shared" si="37"/>
        <v>79</v>
      </c>
      <c r="I92" s="206">
        <v>38</v>
      </c>
      <c r="J92" s="206">
        <v>41</v>
      </c>
      <c r="K92" s="220" t="s">
        <v>234</v>
      </c>
      <c r="L92" s="221" t="s">
        <v>360</v>
      </c>
    </row>
    <row r="93" spans="2:12" ht="15" customHeight="1" thickBot="1" x14ac:dyDescent="0.25">
      <c r="B93" s="206">
        <f t="shared" ref="B93:I93" si="39">SUM(B91:B92)</f>
        <v>1062</v>
      </c>
      <c r="C93" s="206">
        <f t="shared" si="39"/>
        <v>752</v>
      </c>
      <c r="D93" s="206">
        <f t="shared" si="39"/>
        <v>310</v>
      </c>
      <c r="E93" s="206">
        <f t="shared" si="39"/>
        <v>29</v>
      </c>
      <c r="F93" s="206">
        <f t="shared" si="39"/>
        <v>16</v>
      </c>
      <c r="G93" s="206">
        <f t="shared" si="39"/>
        <v>13</v>
      </c>
      <c r="H93" s="206">
        <f t="shared" si="39"/>
        <v>1033</v>
      </c>
      <c r="I93" s="206">
        <f t="shared" si="39"/>
        <v>736</v>
      </c>
      <c r="J93" s="206">
        <f>SUM(J91:J92)</f>
        <v>297</v>
      </c>
      <c r="K93" s="220" t="s">
        <v>12</v>
      </c>
      <c r="L93" s="222"/>
    </row>
    <row r="94" spans="2:12" ht="15" customHeight="1" thickBot="1" x14ac:dyDescent="0.25">
      <c r="B94" s="206">
        <f t="shared" si="34"/>
        <v>1552</v>
      </c>
      <c r="C94" s="206">
        <f t="shared" si="35"/>
        <v>836</v>
      </c>
      <c r="D94" s="206">
        <f t="shared" si="35"/>
        <v>716</v>
      </c>
      <c r="E94" s="206">
        <f t="shared" si="36"/>
        <v>35</v>
      </c>
      <c r="F94" s="206">
        <v>6</v>
      </c>
      <c r="G94" s="206">
        <v>29</v>
      </c>
      <c r="H94" s="206">
        <f t="shared" si="37"/>
        <v>1517</v>
      </c>
      <c r="I94" s="206">
        <v>830</v>
      </c>
      <c r="J94" s="206">
        <v>687</v>
      </c>
      <c r="K94" s="220" t="s">
        <v>233</v>
      </c>
      <c r="L94" s="221"/>
    </row>
    <row r="95" spans="2:12" ht="15" customHeight="1" thickBot="1" x14ac:dyDescent="0.25">
      <c r="B95" s="206">
        <f t="shared" si="34"/>
        <v>917</v>
      </c>
      <c r="C95" s="206">
        <f t="shared" si="35"/>
        <v>417</v>
      </c>
      <c r="D95" s="206">
        <f t="shared" si="35"/>
        <v>500</v>
      </c>
      <c r="E95" s="206">
        <f t="shared" si="36"/>
        <v>4</v>
      </c>
      <c r="F95" s="206">
        <v>4</v>
      </c>
      <c r="G95" s="206">
        <v>0</v>
      </c>
      <c r="H95" s="206">
        <f t="shared" si="37"/>
        <v>913</v>
      </c>
      <c r="I95" s="206">
        <v>413</v>
      </c>
      <c r="J95" s="206">
        <v>500</v>
      </c>
      <c r="K95" s="220" t="s">
        <v>234</v>
      </c>
      <c r="L95" s="221" t="s">
        <v>361</v>
      </c>
    </row>
    <row r="96" spans="2:12" ht="15" customHeight="1" thickBot="1" x14ac:dyDescent="0.25">
      <c r="B96" s="206">
        <f t="shared" ref="B96:I96" si="40">SUM(B94:B95)</f>
        <v>2469</v>
      </c>
      <c r="C96" s="206">
        <f t="shared" si="40"/>
        <v>1253</v>
      </c>
      <c r="D96" s="206">
        <f t="shared" si="40"/>
        <v>1216</v>
      </c>
      <c r="E96" s="206">
        <f t="shared" si="40"/>
        <v>39</v>
      </c>
      <c r="F96" s="206">
        <f t="shared" si="40"/>
        <v>10</v>
      </c>
      <c r="G96" s="206">
        <f t="shared" si="40"/>
        <v>29</v>
      </c>
      <c r="H96" s="206">
        <f t="shared" si="40"/>
        <v>2430</v>
      </c>
      <c r="I96" s="206">
        <f t="shared" si="40"/>
        <v>1243</v>
      </c>
      <c r="J96" s="206">
        <f>SUM(J94:J95)</f>
        <v>1187</v>
      </c>
      <c r="K96" s="220" t="s">
        <v>12</v>
      </c>
      <c r="L96" s="222"/>
    </row>
    <row r="97" spans="2:12" ht="15" customHeight="1" thickBot="1" x14ac:dyDescent="0.25">
      <c r="B97" s="206">
        <f t="shared" si="34"/>
        <v>1675</v>
      </c>
      <c r="C97" s="206">
        <f t="shared" si="35"/>
        <v>985</v>
      </c>
      <c r="D97" s="206">
        <f t="shared" si="35"/>
        <v>690</v>
      </c>
      <c r="E97" s="206">
        <f t="shared" si="36"/>
        <v>19</v>
      </c>
      <c r="F97" s="206">
        <v>8</v>
      </c>
      <c r="G97" s="206">
        <v>11</v>
      </c>
      <c r="H97" s="206">
        <f t="shared" si="37"/>
        <v>1656</v>
      </c>
      <c r="I97" s="206">
        <v>977</v>
      </c>
      <c r="J97" s="206">
        <v>679</v>
      </c>
      <c r="K97" s="220" t="s">
        <v>233</v>
      </c>
      <c r="L97" s="221"/>
    </row>
    <row r="98" spans="2:12" ht="15" customHeight="1" thickBot="1" x14ac:dyDescent="0.25">
      <c r="B98" s="206">
        <f t="shared" si="34"/>
        <v>0</v>
      </c>
      <c r="C98" s="206">
        <f t="shared" si="35"/>
        <v>0</v>
      </c>
      <c r="D98" s="206">
        <f t="shared" si="35"/>
        <v>0</v>
      </c>
      <c r="E98" s="206">
        <f t="shared" si="36"/>
        <v>0</v>
      </c>
      <c r="F98" s="206">
        <v>0</v>
      </c>
      <c r="G98" s="206">
        <v>0</v>
      </c>
      <c r="H98" s="206">
        <f t="shared" si="37"/>
        <v>0</v>
      </c>
      <c r="I98" s="206">
        <v>0</v>
      </c>
      <c r="J98" s="206">
        <v>0</v>
      </c>
      <c r="K98" s="220" t="s">
        <v>234</v>
      </c>
      <c r="L98" s="221" t="s">
        <v>362</v>
      </c>
    </row>
    <row r="99" spans="2:12" ht="15" customHeight="1" thickBot="1" x14ac:dyDescent="0.25">
      <c r="B99" s="206">
        <f t="shared" ref="B99:I99" si="41">SUM(B97:B98)</f>
        <v>1675</v>
      </c>
      <c r="C99" s="206">
        <f t="shared" si="41"/>
        <v>985</v>
      </c>
      <c r="D99" s="206">
        <f t="shared" si="41"/>
        <v>690</v>
      </c>
      <c r="E99" s="206">
        <f t="shared" si="41"/>
        <v>19</v>
      </c>
      <c r="F99" s="206">
        <f t="shared" si="41"/>
        <v>8</v>
      </c>
      <c r="G99" s="206">
        <f t="shared" si="41"/>
        <v>11</v>
      </c>
      <c r="H99" s="206">
        <f t="shared" si="41"/>
        <v>1656</v>
      </c>
      <c r="I99" s="206">
        <f t="shared" si="41"/>
        <v>977</v>
      </c>
      <c r="J99" s="206">
        <f>SUM(J97:J98)</f>
        <v>679</v>
      </c>
      <c r="K99" s="220" t="s">
        <v>12</v>
      </c>
      <c r="L99" s="222"/>
    </row>
    <row r="100" spans="2:12" ht="15" customHeight="1" thickBot="1" x14ac:dyDescent="0.25">
      <c r="B100" s="206">
        <f t="shared" si="34"/>
        <v>922</v>
      </c>
      <c r="C100" s="206">
        <f t="shared" si="35"/>
        <v>288</v>
      </c>
      <c r="D100" s="206">
        <f t="shared" si="35"/>
        <v>634</v>
      </c>
      <c r="E100" s="206">
        <f t="shared" si="36"/>
        <v>10</v>
      </c>
      <c r="F100" s="206">
        <v>2</v>
      </c>
      <c r="G100" s="206">
        <v>8</v>
      </c>
      <c r="H100" s="206">
        <f t="shared" si="37"/>
        <v>912</v>
      </c>
      <c r="I100" s="206">
        <v>286</v>
      </c>
      <c r="J100" s="206">
        <v>626</v>
      </c>
      <c r="K100" s="220" t="s">
        <v>233</v>
      </c>
      <c r="L100" s="221"/>
    </row>
    <row r="101" spans="2:12" ht="15" customHeight="1" thickBot="1" x14ac:dyDescent="0.25">
      <c r="B101" s="206">
        <f t="shared" si="34"/>
        <v>0</v>
      </c>
      <c r="C101" s="206">
        <f t="shared" si="35"/>
        <v>0</v>
      </c>
      <c r="D101" s="206">
        <f t="shared" si="35"/>
        <v>0</v>
      </c>
      <c r="E101" s="206">
        <f t="shared" si="36"/>
        <v>0</v>
      </c>
      <c r="F101" s="206">
        <v>0</v>
      </c>
      <c r="G101" s="206">
        <v>0</v>
      </c>
      <c r="H101" s="206">
        <f t="shared" si="37"/>
        <v>0</v>
      </c>
      <c r="I101" s="206">
        <v>0</v>
      </c>
      <c r="J101" s="206">
        <v>0</v>
      </c>
      <c r="K101" s="220" t="s">
        <v>234</v>
      </c>
      <c r="L101" s="221" t="s">
        <v>363</v>
      </c>
    </row>
    <row r="102" spans="2:12" ht="15" customHeight="1" thickBot="1" x14ac:dyDescent="0.25">
      <c r="B102" s="206">
        <f t="shared" ref="B102:I102" si="42">SUM(B100:B101)</f>
        <v>922</v>
      </c>
      <c r="C102" s="206">
        <f t="shared" si="42"/>
        <v>288</v>
      </c>
      <c r="D102" s="206">
        <f t="shared" si="42"/>
        <v>634</v>
      </c>
      <c r="E102" s="206">
        <f t="shared" si="42"/>
        <v>10</v>
      </c>
      <c r="F102" s="206">
        <f t="shared" si="42"/>
        <v>2</v>
      </c>
      <c r="G102" s="206">
        <f t="shared" si="42"/>
        <v>8</v>
      </c>
      <c r="H102" s="206">
        <f t="shared" si="42"/>
        <v>912</v>
      </c>
      <c r="I102" s="206">
        <f t="shared" si="42"/>
        <v>286</v>
      </c>
      <c r="J102" s="206">
        <f>SUM(J100:J101)</f>
        <v>626</v>
      </c>
      <c r="K102" s="220" t="s">
        <v>12</v>
      </c>
      <c r="L102" s="222"/>
    </row>
    <row r="103" spans="2:12" ht="15" customHeight="1" thickBot="1" x14ac:dyDescent="0.25">
      <c r="B103" s="206">
        <f t="shared" si="34"/>
        <v>633</v>
      </c>
      <c r="C103" s="206">
        <f t="shared" si="35"/>
        <v>391</v>
      </c>
      <c r="D103" s="206">
        <f t="shared" si="35"/>
        <v>242</v>
      </c>
      <c r="E103" s="206">
        <f t="shared" si="36"/>
        <v>4</v>
      </c>
      <c r="F103" s="206">
        <v>4</v>
      </c>
      <c r="G103" s="206">
        <v>0</v>
      </c>
      <c r="H103" s="206">
        <f t="shared" si="37"/>
        <v>629</v>
      </c>
      <c r="I103" s="206">
        <v>387</v>
      </c>
      <c r="J103" s="206">
        <v>242</v>
      </c>
      <c r="K103" s="220" t="s">
        <v>233</v>
      </c>
      <c r="L103" s="221"/>
    </row>
    <row r="104" spans="2:12" ht="15" customHeight="1" thickBot="1" x14ac:dyDescent="0.25">
      <c r="B104" s="206">
        <f t="shared" si="34"/>
        <v>0</v>
      </c>
      <c r="C104" s="206">
        <f t="shared" si="35"/>
        <v>0</v>
      </c>
      <c r="D104" s="206">
        <f t="shared" si="35"/>
        <v>0</v>
      </c>
      <c r="E104" s="206">
        <f t="shared" si="36"/>
        <v>0</v>
      </c>
      <c r="F104" s="206">
        <v>0</v>
      </c>
      <c r="G104" s="206">
        <v>0</v>
      </c>
      <c r="H104" s="206">
        <f t="shared" si="37"/>
        <v>0</v>
      </c>
      <c r="I104" s="206">
        <v>0</v>
      </c>
      <c r="J104" s="206">
        <v>0</v>
      </c>
      <c r="K104" s="220" t="s">
        <v>234</v>
      </c>
      <c r="L104" s="221" t="s">
        <v>364</v>
      </c>
    </row>
    <row r="105" spans="2:12" ht="15" customHeight="1" thickBot="1" x14ac:dyDescent="0.25">
      <c r="B105" s="206">
        <f t="shared" ref="B105:I105" si="43">SUM(B103:B104)</f>
        <v>633</v>
      </c>
      <c r="C105" s="206">
        <f t="shared" si="43"/>
        <v>391</v>
      </c>
      <c r="D105" s="206">
        <f t="shared" si="43"/>
        <v>242</v>
      </c>
      <c r="E105" s="206">
        <f t="shared" si="43"/>
        <v>4</v>
      </c>
      <c r="F105" s="206">
        <f t="shared" si="43"/>
        <v>4</v>
      </c>
      <c r="G105" s="206">
        <f t="shared" si="43"/>
        <v>0</v>
      </c>
      <c r="H105" s="206">
        <f t="shared" si="43"/>
        <v>629</v>
      </c>
      <c r="I105" s="206">
        <f t="shared" si="43"/>
        <v>387</v>
      </c>
      <c r="J105" s="206">
        <f>SUM(J103:J104)</f>
        <v>242</v>
      </c>
      <c r="K105" s="220" t="s">
        <v>12</v>
      </c>
      <c r="L105" s="222"/>
    </row>
    <row r="106" spans="2:12" ht="15" customHeight="1" thickBot="1" x14ac:dyDescent="0.25">
      <c r="B106" s="206">
        <f t="shared" si="34"/>
        <v>554</v>
      </c>
      <c r="C106" s="206">
        <f t="shared" si="35"/>
        <v>285</v>
      </c>
      <c r="D106" s="206">
        <f t="shared" si="35"/>
        <v>269</v>
      </c>
      <c r="E106" s="206">
        <f t="shared" si="36"/>
        <v>2</v>
      </c>
      <c r="F106" s="206">
        <v>1</v>
      </c>
      <c r="G106" s="206">
        <v>1</v>
      </c>
      <c r="H106" s="206">
        <f t="shared" si="37"/>
        <v>552</v>
      </c>
      <c r="I106" s="206">
        <v>284</v>
      </c>
      <c r="J106" s="206">
        <v>268</v>
      </c>
      <c r="K106" s="220" t="s">
        <v>233</v>
      </c>
      <c r="L106" s="221"/>
    </row>
    <row r="107" spans="2:12" ht="15" customHeight="1" thickBot="1" x14ac:dyDescent="0.25">
      <c r="B107" s="206">
        <f t="shared" si="34"/>
        <v>0</v>
      </c>
      <c r="C107" s="206">
        <f t="shared" si="35"/>
        <v>0</v>
      </c>
      <c r="D107" s="206">
        <f t="shared" si="35"/>
        <v>0</v>
      </c>
      <c r="E107" s="206">
        <f t="shared" si="36"/>
        <v>0</v>
      </c>
      <c r="F107" s="206">
        <v>0</v>
      </c>
      <c r="G107" s="206">
        <v>0</v>
      </c>
      <c r="H107" s="206">
        <f t="shared" si="37"/>
        <v>0</v>
      </c>
      <c r="I107" s="206">
        <v>0</v>
      </c>
      <c r="J107" s="206">
        <v>0</v>
      </c>
      <c r="K107" s="220" t="s">
        <v>234</v>
      </c>
      <c r="L107" s="221" t="s">
        <v>365</v>
      </c>
    </row>
    <row r="108" spans="2:12" ht="15" customHeight="1" thickBot="1" x14ac:dyDescent="0.25">
      <c r="B108" s="206">
        <f t="shared" ref="B108:I108" si="44">SUM(B106:B107)</f>
        <v>554</v>
      </c>
      <c r="C108" s="206">
        <f t="shared" si="44"/>
        <v>285</v>
      </c>
      <c r="D108" s="206">
        <f t="shared" si="44"/>
        <v>269</v>
      </c>
      <c r="E108" s="206">
        <f t="shared" si="44"/>
        <v>2</v>
      </c>
      <c r="F108" s="206">
        <f t="shared" si="44"/>
        <v>1</v>
      </c>
      <c r="G108" s="206">
        <f t="shared" si="44"/>
        <v>1</v>
      </c>
      <c r="H108" s="206">
        <f t="shared" si="44"/>
        <v>552</v>
      </c>
      <c r="I108" s="206">
        <f t="shared" si="44"/>
        <v>284</v>
      </c>
      <c r="J108" s="206">
        <f>SUM(J106:J107)</f>
        <v>268</v>
      </c>
      <c r="K108" s="220" t="s">
        <v>12</v>
      </c>
      <c r="L108" s="222"/>
    </row>
    <row r="109" spans="2:12" ht="15" customHeight="1" thickBot="1" x14ac:dyDescent="0.25">
      <c r="B109" s="206">
        <f t="shared" si="34"/>
        <v>687</v>
      </c>
      <c r="C109" s="206">
        <f t="shared" si="35"/>
        <v>0</v>
      </c>
      <c r="D109" s="206">
        <f t="shared" si="35"/>
        <v>687</v>
      </c>
      <c r="E109" s="206">
        <f t="shared" si="36"/>
        <v>1</v>
      </c>
      <c r="F109" s="206">
        <v>0</v>
      </c>
      <c r="G109" s="206">
        <v>1</v>
      </c>
      <c r="H109" s="206">
        <f t="shared" si="37"/>
        <v>686</v>
      </c>
      <c r="I109" s="206">
        <v>0</v>
      </c>
      <c r="J109" s="206">
        <v>686</v>
      </c>
      <c r="K109" s="220" t="s">
        <v>233</v>
      </c>
      <c r="L109" s="221"/>
    </row>
    <row r="110" spans="2:12" ht="15" customHeight="1" thickBot="1" x14ac:dyDescent="0.25">
      <c r="B110" s="206">
        <f t="shared" si="34"/>
        <v>124</v>
      </c>
      <c r="C110" s="206">
        <f t="shared" si="35"/>
        <v>15</v>
      </c>
      <c r="D110" s="206">
        <f t="shared" si="35"/>
        <v>109</v>
      </c>
      <c r="E110" s="206">
        <f t="shared" si="36"/>
        <v>0</v>
      </c>
      <c r="F110" s="206">
        <v>0</v>
      </c>
      <c r="G110" s="206">
        <v>0</v>
      </c>
      <c r="H110" s="206">
        <f t="shared" si="37"/>
        <v>124</v>
      </c>
      <c r="I110" s="206">
        <v>15</v>
      </c>
      <c r="J110" s="206">
        <v>109</v>
      </c>
      <c r="K110" s="220" t="s">
        <v>234</v>
      </c>
      <c r="L110" s="221" t="s">
        <v>366</v>
      </c>
    </row>
    <row r="111" spans="2:12" ht="15" customHeight="1" thickBot="1" x14ac:dyDescent="0.25">
      <c r="B111" s="206">
        <f t="shared" ref="B111:I111" si="45">SUM(B109:B110)</f>
        <v>811</v>
      </c>
      <c r="C111" s="206">
        <f t="shared" si="45"/>
        <v>15</v>
      </c>
      <c r="D111" s="206">
        <f t="shared" si="45"/>
        <v>796</v>
      </c>
      <c r="E111" s="206">
        <f t="shared" si="45"/>
        <v>1</v>
      </c>
      <c r="F111" s="206">
        <f t="shared" si="45"/>
        <v>0</v>
      </c>
      <c r="G111" s="206">
        <f t="shared" si="45"/>
        <v>1</v>
      </c>
      <c r="H111" s="206">
        <f t="shared" si="45"/>
        <v>810</v>
      </c>
      <c r="I111" s="206">
        <f t="shared" si="45"/>
        <v>15</v>
      </c>
      <c r="J111" s="206">
        <f>SUM(J109:J110)</f>
        <v>795</v>
      </c>
      <c r="K111" s="220" t="s">
        <v>12</v>
      </c>
      <c r="L111" s="222"/>
    </row>
    <row r="112" spans="2:12" ht="15" customHeight="1" thickBot="1" x14ac:dyDescent="0.25">
      <c r="B112" s="206">
        <f t="shared" si="34"/>
        <v>213</v>
      </c>
      <c r="C112" s="206">
        <f t="shared" si="35"/>
        <v>60</v>
      </c>
      <c r="D112" s="206">
        <f t="shared" si="35"/>
        <v>153</v>
      </c>
      <c r="E112" s="206">
        <f t="shared" si="36"/>
        <v>0</v>
      </c>
      <c r="F112" s="206">
        <v>0</v>
      </c>
      <c r="G112" s="206">
        <v>0</v>
      </c>
      <c r="H112" s="206">
        <f t="shared" si="37"/>
        <v>213</v>
      </c>
      <c r="I112" s="206">
        <v>60</v>
      </c>
      <c r="J112" s="206">
        <v>153</v>
      </c>
      <c r="K112" s="220" t="s">
        <v>233</v>
      </c>
      <c r="L112" s="221"/>
    </row>
    <row r="113" spans="2:12" ht="15" customHeight="1" thickBot="1" x14ac:dyDescent="0.25">
      <c r="B113" s="206">
        <f t="shared" si="34"/>
        <v>0</v>
      </c>
      <c r="C113" s="206">
        <f t="shared" si="35"/>
        <v>0</v>
      </c>
      <c r="D113" s="206">
        <f t="shared" si="35"/>
        <v>0</v>
      </c>
      <c r="E113" s="206">
        <f t="shared" si="36"/>
        <v>0</v>
      </c>
      <c r="F113" s="206">
        <v>0</v>
      </c>
      <c r="G113" s="206">
        <v>0</v>
      </c>
      <c r="H113" s="206">
        <f t="shared" si="37"/>
        <v>0</v>
      </c>
      <c r="I113" s="206">
        <v>0</v>
      </c>
      <c r="J113" s="206">
        <v>0</v>
      </c>
      <c r="K113" s="220" t="s">
        <v>234</v>
      </c>
      <c r="L113" s="221" t="s">
        <v>367</v>
      </c>
    </row>
    <row r="114" spans="2:12" ht="15" customHeight="1" thickBot="1" x14ac:dyDescent="0.25">
      <c r="B114" s="206">
        <f t="shared" ref="B114:I114" si="46">SUM(B112:B113)</f>
        <v>213</v>
      </c>
      <c r="C114" s="206">
        <f t="shared" si="46"/>
        <v>60</v>
      </c>
      <c r="D114" s="206">
        <f t="shared" si="46"/>
        <v>153</v>
      </c>
      <c r="E114" s="206">
        <f t="shared" si="46"/>
        <v>0</v>
      </c>
      <c r="F114" s="206">
        <f t="shared" si="46"/>
        <v>0</v>
      </c>
      <c r="G114" s="206">
        <f t="shared" si="46"/>
        <v>0</v>
      </c>
      <c r="H114" s="206">
        <f t="shared" si="46"/>
        <v>213</v>
      </c>
      <c r="I114" s="206">
        <f t="shared" si="46"/>
        <v>60</v>
      </c>
      <c r="J114" s="206">
        <f>SUM(J112:J113)</f>
        <v>153</v>
      </c>
      <c r="K114" s="220" t="s">
        <v>12</v>
      </c>
      <c r="L114" s="222"/>
    </row>
    <row r="115" spans="2:12" ht="15" customHeight="1" thickBot="1" x14ac:dyDescent="0.25">
      <c r="B115" s="206">
        <f t="shared" si="34"/>
        <v>1213</v>
      </c>
      <c r="C115" s="206">
        <f t="shared" si="35"/>
        <v>411</v>
      </c>
      <c r="D115" s="206">
        <f t="shared" si="35"/>
        <v>802</v>
      </c>
      <c r="E115" s="206">
        <f t="shared" si="36"/>
        <v>1</v>
      </c>
      <c r="F115" s="206">
        <v>0</v>
      </c>
      <c r="G115" s="206">
        <v>1</v>
      </c>
      <c r="H115" s="206">
        <f t="shared" si="37"/>
        <v>1212</v>
      </c>
      <c r="I115" s="206">
        <v>411</v>
      </c>
      <c r="J115" s="206">
        <v>801</v>
      </c>
      <c r="K115" s="220" t="s">
        <v>233</v>
      </c>
      <c r="L115" s="223"/>
    </row>
    <row r="116" spans="2:12" ht="15" customHeight="1" thickBot="1" x14ac:dyDescent="0.25">
      <c r="B116" s="206">
        <f t="shared" si="34"/>
        <v>0</v>
      </c>
      <c r="C116" s="206">
        <f t="shared" si="35"/>
        <v>0</v>
      </c>
      <c r="D116" s="206">
        <f t="shared" si="35"/>
        <v>0</v>
      </c>
      <c r="E116" s="206">
        <f t="shared" si="36"/>
        <v>0</v>
      </c>
      <c r="F116" s="206">
        <v>0</v>
      </c>
      <c r="G116" s="206">
        <v>0</v>
      </c>
      <c r="H116" s="206">
        <f t="shared" si="37"/>
        <v>0</v>
      </c>
      <c r="I116" s="206">
        <v>0</v>
      </c>
      <c r="J116" s="206">
        <v>0</v>
      </c>
      <c r="K116" s="220" t="s">
        <v>234</v>
      </c>
      <c r="L116" s="221" t="s">
        <v>368</v>
      </c>
    </row>
    <row r="117" spans="2:12" ht="15" customHeight="1" thickBot="1" x14ac:dyDescent="0.25">
      <c r="B117" s="206">
        <f t="shared" ref="B117:I117" si="47">SUM(B115:B116)</f>
        <v>1213</v>
      </c>
      <c r="C117" s="206">
        <f t="shared" si="47"/>
        <v>411</v>
      </c>
      <c r="D117" s="206">
        <f t="shared" si="47"/>
        <v>802</v>
      </c>
      <c r="E117" s="206">
        <f t="shared" si="47"/>
        <v>1</v>
      </c>
      <c r="F117" s="206">
        <f t="shared" si="47"/>
        <v>0</v>
      </c>
      <c r="G117" s="206">
        <f t="shared" si="47"/>
        <v>1</v>
      </c>
      <c r="H117" s="206">
        <f t="shared" si="47"/>
        <v>1212</v>
      </c>
      <c r="I117" s="206">
        <f t="shared" si="47"/>
        <v>411</v>
      </c>
      <c r="J117" s="206">
        <f>SUM(J115:J116)</f>
        <v>801</v>
      </c>
      <c r="K117" s="220" t="s">
        <v>12</v>
      </c>
      <c r="L117" s="223"/>
    </row>
    <row r="118" spans="2:12" ht="15" customHeight="1" thickBot="1" x14ac:dyDescent="0.25">
      <c r="B118" s="206">
        <f t="shared" si="34"/>
        <v>73</v>
      </c>
      <c r="C118" s="206">
        <f t="shared" si="35"/>
        <v>0</v>
      </c>
      <c r="D118" s="206">
        <f t="shared" si="35"/>
        <v>73</v>
      </c>
      <c r="E118" s="206">
        <f t="shared" si="36"/>
        <v>0</v>
      </c>
      <c r="F118" s="206">
        <v>0</v>
      </c>
      <c r="G118" s="206">
        <v>0</v>
      </c>
      <c r="H118" s="206">
        <f t="shared" si="37"/>
        <v>73</v>
      </c>
      <c r="I118" s="206">
        <v>0</v>
      </c>
      <c r="J118" s="206">
        <v>73</v>
      </c>
      <c r="K118" s="220" t="s">
        <v>233</v>
      </c>
      <c r="L118" s="224"/>
    </row>
    <row r="119" spans="2:12" ht="15" customHeight="1" thickBot="1" x14ac:dyDescent="0.25">
      <c r="B119" s="206">
        <f t="shared" si="34"/>
        <v>0</v>
      </c>
      <c r="C119" s="206">
        <f t="shared" si="35"/>
        <v>0</v>
      </c>
      <c r="D119" s="206">
        <f t="shared" si="35"/>
        <v>0</v>
      </c>
      <c r="E119" s="206">
        <f t="shared" si="36"/>
        <v>0</v>
      </c>
      <c r="F119" s="206">
        <v>0</v>
      </c>
      <c r="G119" s="206">
        <v>0</v>
      </c>
      <c r="H119" s="206">
        <f t="shared" si="37"/>
        <v>0</v>
      </c>
      <c r="I119" s="206">
        <v>0</v>
      </c>
      <c r="J119" s="206">
        <v>0</v>
      </c>
      <c r="K119" s="220" t="s">
        <v>234</v>
      </c>
      <c r="L119" s="221" t="s">
        <v>344</v>
      </c>
    </row>
    <row r="120" spans="2:12" ht="15" customHeight="1" thickBot="1" x14ac:dyDescent="0.25">
      <c r="B120" s="206">
        <f t="shared" ref="B120:I120" si="48">SUM(B118:B119)</f>
        <v>73</v>
      </c>
      <c r="C120" s="206">
        <f t="shared" si="48"/>
        <v>0</v>
      </c>
      <c r="D120" s="206">
        <f t="shared" si="48"/>
        <v>73</v>
      </c>
      <c r="E120" s="206">
        <f t="shared" si="48"/>
        <v>0</v>
      </c>
      <c r="F120" s="206">
        <f t="shared" si="48"/>
        <v>0</v>
      </c>
      <c r="G120" s="206">
        <f t="shared" si="48"/>
        <v>0</v>
      </c>
      <c r="H120" s="206">
        <f t="shared" si="48"/>
        <v>73</v>
      </c>
      <c r="I120" s="206">
        <f t="shared" si="48"/>
        <v>0</v>
      </c>
      <c r="J120" s="206">
        <f>SUM(J118:J119)</f>
        <v>73</v>
      </c>
      <c r="K120" s="220" t="s">
        <v>12</v>
      </c>
      <c r="L120" s="222"/>
    </row>
    <row r="121" spans="2:12" ht="15" customHeight="1" thickBot="1" x14ac:dyDescent="0.25">
      <c r="B121" s="206">
        <f t="shared" si="34"/>
        <v>261</v>
      </c>
      <c r="C121" s="206">
        <f t="shared" si="35"/>
        <v>66</v>
      </c>
      <c r="D121" s="206">
        <f t="shared" si="35"/>
        <v>195</v>
      </c>
      <c r="E121" s="206">
        <f t="shared" si="36"/>
        <v>0</v>
      </c>
      <c r="F121" s="206">
        <v>0</v>
      </c>
      <c r="G121" s="206">
        <v>0</v>
      </c>
      <c r="H121" s="206">
        <f t="shared" si="37"/>
        <v>261</v>
      </c>
      <c r="I121" s="206">
        <v>66</v>
      </c>
      <c r="J121" s="206">
        <v>195</v>
      </c>
      <c r="K121" s="220" t="s">
        <v>233</v>
      </c>
      <c r="L121" s="223"/>
    </row>
    <row r="122" spans="2:12" ht="15" customHeight="1" thickBot="1" x14ac:dyDescent="0.25">
      <c r="B122" s="206">
        <f t="shared" si="34"/>
        <v>0</v>
      </c>
      <c r="C122" s="206">
        <f t="shared" si="35"/>
        <v>0</v>
      </c>
      <c r="D122" s="206">
        <f t="shared" si="35"/>
        <v>0</v>
      </c>
      <c r="E122" s="206">
        <f t="shared" si="36"/>
        <v>0</v>
      </c>
      <c r="F122" s="206">
        <v>0</v>
      </c>
      <c r="G122" s="206">
        <v>0</v>
      </c>
      <c r="H122" s="206">
        <f t="shared" si="37"/>
        <v>0</v>
      </c>
      <c r="I122" s="206">
        <v>0</v>
      </c>
      <c r="J122" s="206">
        <v>0</v>
      </c>
      <c r="K122" s="220" t="s">
        <v>234</v>
      </c>
      <c r="L122" s="223" t="s">
        <v>369</v>
      </c>
    </row>
    <row r="123" spans="2:12" ht="15" customHeight="1" thickBot="1" x14ac:dyDescent="0.25">
      <c r="B123" s="206">
        <f t="shared" ref="B123:I123" si="49">SUM(B121:B122)</f>
        <v>261</v>
      </c>
      <c r="C123" s="206">
        <f t="shared" si="49"/>
        <v>66</v>
      </c>
      <c r="D123" s="206">
        <f t="shared" si="49"/>
        <v>195</v>
      </c>
      <c r="E123" s="206">
        <f t="shared" si="49"/>
        <v>0</v>
      </c>
      <c r="F123" s="206">
        <f t="shared" si="49"/>
        <v>0</v>
      </c>
      <c r="G123" s="206">
        <f t="shared" si="49"/>
        <v>0</v>
      </c>
      <c r="H123" s="206">
        <f t="shared" si="49"/>
        <v>261</v>
      </c>
      <c r="I123" s="206">
        <f t="shared" si="49"/>
        <v>66</v>
      </c>
      <c r="J123" s="206">
        <f>SUM(J121:J122)</f>
        <v>195</v>
      </c>
      <c r="K123" s="220" t="s">
        <v>12</v>
      </c>
      <c r="L123" s="223"/>
    </row>
    <row r="124" spans="2:12" ht="15" customHeight="1" thickBot="1" x14ac:dyDescent="0.25">
      <c r="B124" s="206">
        <f t="shared" ref="B124:J126" si="50">B88+B91+B94+B97+B100+B103+B106+B109+B112+B115+B118+B121</f>
        <v>10592</v>
      </c>
      <c r="C124" s="206">
        <f t="shared" si="50"/>
        <v>4741</v>
      </c>
      <c r="D124" s="206">
        <f t="shared" si="50"/>
        <v>5851</v>
      </c>
      <c r="E124" s="206">
        <f t="shared" si="50"/>
        <v>199</v>
      </c>
      <c r="F124" s="206">
        <f t="shared" si="50"/>
        <v>65</v>
      </c>
      <c r="G124" s="206">
        <f t="shared" si="50"/>
        <v>134</v>
      </c>
      <c r="H124" s="206">
        <f t="shared" si="50"/>
        <v>10393</v>
      </c>
      <c r="I124" s="206">
        <f t="shared" si="50"/>
        <v>4676</v>
      </c>
      <c r="J124" s="206">
        <f>J88+J91+J94+J97+J100+J103+J106+J109+J112+J115+J118+J121</f>
        <v>5717</v>
      </c>
      <c r="K124" s="220" t="s">
        <v>236</v>
      </c>
      <c r="L124" s="225"/>
    </row>
    <row r="125" spans="2:12" ht="15" customHeight="1" thickBot="1" x14ac:dyDescent="0.25">
      <c r="B125" s="206">
        <f t="shared" si="50"/>
        <v>1123</v>
      </c>
      <c r="C125" s="206">
        <f t="shared" si="50"/>
        <v>470</v>
      </c>
      <c r="D125" s="206">
        <f t="shared" si="50"/>
        <v>653</v>
      </c>
      <c r="E125" s="206">
        <f t="shared" si="50"/>
        <v>5</v>
      </c>
      <c r="F125" s="206">
        <f t="shared" si="50"/>
        <v>4</v>
      </c>
      <c r="G125" s="206">
        <f t="shared" si="50"/>
        <v>1</v>
      </c>
      <c r="H125" s="206">
        <f t="shared" si="50"/>
        <v>1118</v>
      </c>
      <c r="I125" s="206">
        <f t="shared" si="50"/>
        <v>466</v>
      </c>
      <c r="J125" s="206">
        <f t="shared" si="50"/>
        <v>652</v>
      </c>
      <c r="K125" s="220" t="s">
        <v>237</v>
      </c>
      <c r="L125" s="226" t="s">
        <v>188</v>
      </c>
    </row>
    <row r="126" spans="2:12" ht="15" customHeight="1" thickBot="1" x14ac:dyDescent="0.25">
      <c r="B126" s="206">
        <f t="shared" si="50"/>
        <v>11715</v>
      </c>
      <c r="C126" s="206">
        <f t="shared" si="50"/>
        <v>5211</v>
      </c>
      <c r="D126" s="206">
        <f t="shared" si="50"/>
        <v>6504</v>
      </c>
      <c r="E126" s="206">
        <f t="shared" si="50"/>
        <v>204</v>
      </c>
      <c r="F126" s="206">
        <f t="shared" si="50"/>
        <v>69</v>
      </c>
      <c r="G126" s="206">
        <f t="shared" si="50"/>
        <v>135</v>
      </c>
      <c r="H126" s="206">
        <f t="shared" si="50"/>
        <v>11511</v>
      </c>
      <c r="I126" s="206">
        <f t="shared" si="50"/>
        <v>5142</v>
      </c>
      <c r="J126" s="206">
        <f t="shared" si="50"/>
        <v>6369</v>
      </c>
      <c r="K126" s="220" t="s">
        <v>12</v>
      </c>
      <c r="L126" s="227"/>
    </row>
    <row r="127" spans="2:12" ht="15" customHeight="1" thickBot="1" x14ac:dyDescent="0.25">
      <c r="B127" s="477" t="s">
        <v>4</v>
      </c>
      <c r="C127" s="477"/>
      <c r="D127" s="477"/>
      <c r="E127" s="477" t="s">
        <v>145</v>
      </c>
      <c r="F127" s="477"/>
      <c r="G127" s="477"/>
      <c r="H127" s="477" t="s">
        <v>146</v>
      </c>
      <c r="I127" s="477"/>
      <c r="J127" s="477"/>
      <c r="K127" s="482" t="s">
        <v>66</v>
      </c>
      <c r="L127" s="482"/>
    </row>
    <row r="128" spans="2:12" ht="15" customHeight="1" thickBot="1" x14ac:dyDescent="0.25">
      <c r="B128" s="204" t="s">
        <v>227</v>
      </c>
      <c r="C128" s="204" t="s">
        <v>10</v>
      </c>
      <c r="D128" s="204" t="s">
        <v>9</v>
      </c>
      <c r="E128" s="204" t="s">
        <v>227</v>
      </c>
      <c r="F128" s="204" t="s">
        <v>10</v>
      </c>
      <c r="G128" s="204" t="s">
        <v>9</v>
      </c>
      <c r="H128" s="204" t="s">
        <v>227</v>
      </c>
      <c r="I128" s="204" t="s">
        <v>10</v>
      </c>
      <c r="J128" s="204" t="s">
        <v>9</v>
      </c>
      <c r="K128" s="481" t="s">
        <v>72</v>
      </c>
      <c r="L128" s="481"/>
    </row>
    <row r="129" spans="2:12" ht="15" customHeight="1" thickBot="1" x14ac:dyDescent="0.25">
      <c r="B129" s="206">
        <f>SUM(C129:D129)</f>
        <v>2092</v>
      </c>
      <c r="C129" s="206">
        <f>I129+F129</f>
        <v>849</v>
      </c>
      <c r="D129" s="206">
        <f>J129+G129</f>
        <v>1243</v>
      </c>
      <c r="E129" s="206">
        <f>SUM(F129:G129)</f>
        <v>114</v>
      </c>
      <c r="F129" s="206">
        <v>45</v>
      </c>
      <c r="G129" s="206">
        <v>69</v>
      </c>
      <c r="H129" s="206">
        <f>SUM(I129:J129)</f>
        <v>1978</v>
      </c>
      <c r="I129" s="206">
        <v>804</v>
      </c>
      <c r="J129" s="206">
        <v>1174</v>
      </c>
      <c r="K129" s="220" t="s">
        <v>233</v>
      </c>
      <c r="L129" s="221"/>
    </row>
    <row r="130" spans="2:12" ht="15" customHeight="1" thickBot="1" x14ac:dyDescent="0.25">
      <c r="B130" s="206">
        <f t="shared" ref="B130:B193" si="51">SUM(C130:D130)</f>
        <v>0</v>
      </c>
      <c r="C130" s="206">
        <f t="shared" ref="C130:D193" si="52">I130+F130</f>
        <v>0</v>
      </c>
      <c r="D130" s="206">
        <f t="shared" si="52"/>
        <v>0</v>
      </c>
      <c r="E130" s="206">
        <f t="shared" ref="E130:E193" si="53">SUM(F130:G130)</f>
        <v>0</v>
      </c>
      <c r="F130" s="206">
        <v>0</v>
      </c>
      <c r="G130" s="206">
        <v>0</v>
      </c>
      <c r="H130" s="206">
        <f t="shared" ref="H130:H193" si="54">SUM(I130:J130)</f>
        <v>0</v>
      </c>
      <c r="I130" s="206">
        <v>0</v>
      </c>
      <c r="J130" s="206">
        <v>0</v>
      </c>
      <c r="K130" s="220" t="s">
        <v>234</v>
      </c>
      <c r="L130" s="223" t="s">
        <v>370</v>
      </c>
    </row>
    <row r="131" spans="2:12" ht="15" customHeight="1" thickBot="1" x14ac:dyDescent="0.25">
      <c r="B131" s="206">
        <f t="shared" ref="B131:I131" si="55">SUM(B129:B130)</f>
        <v>2092</v>
      </c>
      <c r="C131" s="206">
        <f t="shared" si="55"/>
        <v>849</v>
      </c>
      <c r="D131" s="206">
        <f t="shared" si="55"/>
        <v>1243</v>
      </c>
      <c r="E131" s="206">
        <f t="shared" si="55"/>
        <v>114</v>
      </c>
      <c r="F131" s="206">
        <f t="shared" si="55"/>
        <v>45</v>
      </c>
      <c r="G131" s="206">
        <f t="shared" si="55"/>
        <v>69</v>
      </c>
      <c r="H131" s="206">
        <f t="shared" si="55"/>
        <v>1978</v>
      </c>
      <c r="I131" s="206">
        <f t="shared" si="55"/>
        <v>804</v>
      </c>
      <c r="J131" s="206">
        <f>SUM(J129:J130)</f>
        <v>1174</v>
      </c>
      <c r="K131" s="220" t="s">
        <v>12</v>
      </c>
      <c r="L131" s="222"/>
    </row>
    <row r="132" spans="2:12" ht="15" customHeight="1" thickBot="1" x14ac:dyDescent="0.25">
      <c r="B132" s="206">
        <f t="shared" si="51"/>
        <v>1725</v>
      </c>
      <c r="C132" s="206">
        <f t="shared" si="52"/>
        <v>798</v>
      </c>
      <c r="D132" s="206">
        <f t="shared" si="52"/>
        <v>927</v>
      </c>
      <c r="E132" s="206">
        <f t="shared" si="53"/>
        <v>42</v>
      </c>
      <c r="F132" s="206">
        <v>22</v>
      </c>
      <c r="G132" s="206">
        <v>20</v>
      </c>
      <c r="H132" s="206">
        <f t="shared" si="54"/>
        <v>1683</v>
      </c>
      <c r="I132" s="206">
        <v>776</v>
      </c>
      <c r="J132" s="206">
        <v>907</v>
      </c>
      <c r="K132" s="220" t="s">
        <v>233</v>
      </c>
      <c r="L132" s="221"/>
    </row>
    <row r="133" spans="2:12" ht="15" customHeight="1" thickBot="1" x14ac:dyDescent="0.25">
      <c r="B133" s="206">
        <f t="shared" si="51"/>
        <v>0</v>
      </c>
      <c r="C133" s="206">
        <f t="shared" si="52"/>
        <v>0</v>
      </c>
      <c r="D133" s="206">
        <f t="shared" si="52"/>
        <v>0</v>
      </c>
      <c r="E133" s="206">
        <f t="shared" si="53"/>
        <v>0</v>
      </c>
      <c r="F133" s="206">
        <v>0</v>
      </c>
      <c r="G133" s="206">
        <v>0</v>
      </c>
      <c r="H133" s="206">
        <f t="shared" si="54"/>
        <v>0</v>
      </c>
      <c r="I133" s="206">
        <v>0</v>
      </c>
      <c r="J133" s="206">
        <v>0</v>
      </c>
      <c r="K133" s="220" t="s">
        <v>234</v>
      </c>
      <c r="L133" s="223" t="s">
        <v>371</v>
      </c>
    </row>
    <row r="134" spans="2:12" ht="15" customHeight="1" thickBot="1" x14ac:dyDescent="0.25">
      <c r="B134" s="206">
        <f t="shared" ref="B134:I134" si="56">SUM(B132:B133)</f>
        <v>1725</v>
      </c>
      <c r="C134" s="206">
        <f t="shared" si="56"/>
        <v>798</v>
      </c>
      <c r="D134" s="206">
        <f t="shared" si="56"/>
        <v>927</v>
      </c>
      <c r="E134" s="206">
        <f t="shared" si="56"/>
        <v>42</v>
      </c>
      <c r="F134" s="206">
        <f t="shared" si="56"/>
        <v>22</v>
      </c>
      <c r="G134" s="206">
        <f t="shared" si="56"/>
        <v>20</v>
      </c>
      <c r="H134" s="206">
        <f t="shared" si="56"/>
        <v>1683</v>
      </c>
      <c r="I134" s="206">
        <f t="shared" si="56"/>
        <v>776</v>
      </c>
      <c r="J134" s="206">
        <f>SUM(J132:J133)</f>
        <v>907</v>
      </c>
      <c r="K134" s="220" t="s">
        <v>12</v>
      </c>
      <c r="L134" s="222"/>
    </row>
    <row r="135" spans="2:12" ht="15" customHeight="1" thickBot="1" x14ac:dyDescent="0.25">
      <c r="B135" s="206">
        <f t="shared" si="51"/>
        <v>346</v>
      </c>
      <c r="C135" s="206">
        <f t="shared" si="52"/>
        <v>226</v>
      </c>
      <c r="D135" s="206">
        <f t="shared" si="52"/>
        <v>120</v>
      </c>
      <c r="E135" s="206">
        <f t="shared" si="53"/>
        <v>19</v>
      </c>
      <c r="F135" s="206">
        <v>12</v>
      </c>
      <c r="G135" s="206">
        <v>7</v>
      </c>
      <c r="H135" s="206">
        <f t="shared" si="54"/>
        <v>327</v>
      </c>
      <c r="I135" s="206">
        <v>214</v>
      </c>
      <c r="J135" s="206">
        <v>113</v>
      </c>
      <c r="K135" s="220" t="s">
        <v>233</v>
      </c>
      <c r="L135" s="221"/>
    </row>
    <row r="136" spans="2:12" ht="15" customHeight="1" thickBot="1" x14ac:dyDescent="0.25">
      <c r="B136" s="206">
        <f t="shared" si="51"/>
        <v>0</v>
      </c>
      <c r="C136" s="206">
        <f t="shared" si="52"/>
        <v>0</v>
      </c>
      <c r="D136" s="206">
        <f t="shared" si="52"/>
        <v>0</v>
      </c>
      <c r="E136" s="206">
        <f t="shared" si="53"/>
        <v>0</v>
      </c>
      <c r="F136" s="206">
        <v>0</v>
      </c>
      <c r="G136" s="206">
        <v>0</v>
      </c>
      <c r="H136" s="206">
        <f t="shared" si="54"/>
        <v>0</v>
      </c>
      <c r="I136" s="206">
        <v>0</v>
      </c>
      <c r="J136" s="206">
        <v>0</v>
      </c>
      <c r="K136" s="220" t="s">
        <v>234</v>
      </c>
      <c r="L136" s="223" t="s">
        <v>367</v>
      </c>
    </row>
    <row r="137" spans="2:12" ht="15" customHeight="1" thickBot="1" x14ac:dyDescent="0.25">
      <c r="B137" s="206">
        <f t="shared" ref="B137:I137" si="57">SUM(B135:B136)</f>
        <v>346</v>
      </c>
      <c r="C137" s="206">
        <f t="shared" si="57"/>
        <v>226</v>
      </c>
      <c r="D137" s="206">
        <f t="shared" si="57"/>
        <v>120</v>
      </c>
      <c r="E137" s="206">
        <f t="shared" si="57"/>
        <v>19</v>
      </c>
      <c r="F137" s="206">
        <f t="shared" si="57"/>
        <v>12</v>
      </c>
      <c r="G137" s="206">
        <f t="shared" si="57"/>
        <v>7</v>
      </c>
      <c r="H137" s="206">
        <f t="shared" si="57"/>
        <v>327</v>
      </c>
      <c r="I137" s="206">
        <f t="shared" si="57"/>
        <v>214</v>
      </c>
      <c r="J137" s="206">
        <f>SUM(J135:J136)</f>
        <v>113</v>
      </c>
      <c r="K137" s="220" t="s">
        <v>12</v>
      </c>
      <c r="L137" s="222"/>
    </row>
    <row r="138" spans="2:12" ht="15" customHeight="1" thickBot="1" x14ac:dyDescent="0.25">
      <c r="B138" s="206">
        <f t="shared" si="51"/>
        <v>338</v>
      </c>
      <c r="C138" s="206">
        <f t="shared" si="52"/>
        <v>0</v>
      </c>
      <c r="D138" s="206">
        <f t="shared" si="52"/>
        <v>338</v>
      </c>
      <c r="E138" s="206">
        <f t="shared" si="53"/>
        <v>7</v>
      </c>
      <c r="F138" s="206">
        <v>0</v>
      </c>
      <c r="G138" s="206">
        <v>7</v>
      </c>
      <c r="H138" s="206">
        <f t="shared" si="54"/>
        <v>331</v>
      </c>
      <c r="I138" s="206">
        <v>0</v>
      </c>
      <c r="J138" s="206">
        <v>331</v>
      </c>
      <c r="K138" s="220" t="s">
        <v>233</v>
      </c>
      <c r="L138" s="221"/>
    </row>
    <row r="139" spans="2:12" ht="15" customHeight="1" thickBot="1" x14ac:dyDescent="0.25">
      <c r="B139" s="206">
        <f t="shared" si="51"/>
        <v>0</v>
      </c>
      <c r="C139" s="206">
        <f t="shared" si="52"/>
        <v>0</v>
      </c>
      <c r="D139" s="206">
        <f t="shared" si="52"/>
        <v>0</v>
      </c>
      <c r="E139" s="206">
        <f t="shared" si="53"/>
        <v>0</v>
      </c>
      <c r="F139" s="206">
        <v>0</v>
      </c>
      <c r="G139" s="206">
        <v>0</v>
      </c>
      <c r="H139" s="206">
        <f t="shared" si="54"/>
        <v>0</v>
      </c>
      <c r="I139" s="206">
        <v>0</v>
      </c>
      <c r="J139" s="206">
        <v>0</v>
      </c>
      <c r="K139" s="220" t="s">
        <v>234</v>
      </c>
      <c r="L139" s="223" t="s">
        <v>372</v>
      </c>
    </row>
    <row r="140" spans="2:12" ht="15" customHeight="1" thickBot="1" x14ac:dyDescent="0.25">
      <c r="B140" s="206">
        <f t="shared" ref="B140:I140" si="58">SUM(B138:B139)</f>
        <v>338</v>
      </c>
      <c r="C140" s="206">
        <f t="shared" si="58"/>
        <v>0</v>
      </c>
      <c r="D140" s="206">
        <f t="shared" si="58"/>
        <v>338</v>
      </c>
      <c r="E140" s="206">
        <f t="shared" si="58"/>
        <v>7</v>
      </c>
      <c r="F140" s="206">
        <f t="shared" si="58"/>
        <v>0</v>
      </c>
      <c r="G140" s="206">
        <f t="shared" si="58"/>
        <v>7</v>
      </c>
      <c r="H140" s="206">
        <f t="shared" si="58"/>
        <v>331</v>
      </c>
      <c r="I140" s="206">
        <f t="shared" si="58"/>
        <v>0</v>
      </c>
      <c r="J140" s="206">
        <f>SUM(J138:J139)</f>
        <v>331</v>
      </c>
      <c r="K140" s="220" t="s">
        <v>12</v>
      </c>
      <c r="L140" s="222"/>
    </row>
    <row r="141" spans="2:12" ht="15" customHeight="1" thickBot="1" x14ac:dyDescent="0.25">
      <c r="B141" s="206">
        <f t="shared" si="51"/>
        <v>727</v>
      </c>
      <c r="C141" s="206">
        <f t="shared" si="52"/>
        <v>404</v>
      </c>
      <c r="D141" s="206">
        <f t="shared" si="52"/>
        <v>323</v>
      </c>
      <c r="E141" s="206">
        <f t="shared" si="53"/>
        <v>8</v>
      </c>
      <c r="F141" s="206">
        <v>6</v>
      </c>
      <c r="G141" s="206">
        <v>2</v>
      </c>
      <c r="H141" s="206">
        <f t="shared" si="54"/>
        <v>719</v>
      </c>
      <c r="I141" s="206">
        <v>398</v>
      </c>
      <c r="J141" s="206">
        <v>321</v>
      </c>
      <c r="K141" s="220" t="s">
        <v>233</v>
      </c>
      <c r="L141" s="221"/>
    </row>
    <row r="142" spans="2:12" ht="15" customHeight="1" thickBot="1" x14ac:dyDescent="0.25">
      <c r="B142" s="206">
        <f t="shared" si="51"/>
        <v>0</v>
      </c>
      <c r="C142" s="206">
        <f t="shared" si="52"/>
        <v>0</v>
      </c>
      <c r="D142" s="206">
        <f t="shared" si="52"/>
        <v>0</v>
      </c>
      <c r="E142" s="206">
        <f t="shared" si="53"/>
        <v>0</v>
      </c>
      <c r="F142" s="206">
        <v>0</v>
      </c>
      <c r="G142" s="206">
        <v>0</v>
      </c>
      <c r="H142" s="206">
        <f t="shared" si="54"/>
        <v>0</v>
      </c>
      <c r="I142" s="206">
        <v>0</v>
      </c>
      <c r="J142" s="206">
        <v>0</v>
      </c>
      <c r="K142" s="220" t="s">
        <v>234</v>
      </c>
      <c r="L142" s="223" t="s">
        <v>373</v>
      </c>
    </row>
    <row r="143" spans="2:12" ht="15" customHeight="1" thickBot="1" x14ac:dyDescent="0.25">
      <c r="B143" s="206">
        <f t="shared" ref="B143:I143" si="59">SUM(B141:B142)</f>
        <v>727</v>
      </c>
      <c r="C143" s="206">
        <f t="shared" si="59"/>
        <v>404</v>
      </c>
      <c r="D143" s="206">
        <f t="shared" si="59"/>
        <v>323</v>
      </c>
      <c r="E143" s="206">
        <f t="shared" si="59"/>
        <v>8</v>
      </c>
      <c r="F143" s="206">
        <f t="shared" si="59"/>
        <v>6</v>
      </c>
      <c r="G143" s="206">
        <f t="shared" si="59"/>
        <v>2</v>
      </c>
      <c r="H143" s="206">
        <f t="shared" si="59"/>
        <v>719</v>
      </c>
      <c r="I143" s="206">
        <f t="shared" si="59"/>
        <v>398</v>
      </c>
      <c r="J143" s="206">
        <f>SUM(J141:J142)</f>
        <v>321</v>
      </c>
      <c r="K143" s="220" t="s">
        <v>12</v>
      </c>
      <c r="L143" s="222"/>
    </row>
    <row r="144" spans="2:12" ht="15" customHeight="1" thickBot="1" x14ac:dyDescent="0.25">
      <c r="B144" s="206">
        <f t="shared" si="51"/>
        <v>876</v>
      </c>
      <c r="C144" s="206">
        <f t="shared" si="52"/>
        <v>299</v>
      </c>
      <c r="D144" s="206">
        <f t="shared" si="52"/>
        <v>577</v>
      </c>
      <c r="E144" s="206">
        <f t="shared" si="53"/>
        <v>16</v>
      </c>
      <c r="F144" s="206">
        <v>4</v>
      </c>
      <c r="G144" s="206">
        <v>12</v>
      </c>
      <c r="H144" s="206">
        <f t="shared" si="54"/>
        <v>860</v>
      </c>
      <c r="I144" s="206">
        <v>295</v>
      </c>
      <c r="J144" s="206">
        <v>565</v>
      </c>
      <c r="K144" s="220" t="s">
        <v>233</v>
      </c>
      <c r="L144" s="221"/>
    </row>
    <row r="145" spans="2:12" ht="15" customHeight="1" thickBot="1" x14ac:dyDescent="0.25">
      <c r="B145" s="206">
        <f t="shared" si="51"/>
        <v>0</v>
      </c>
      <c r="C145" s="206">
        <f t="shared" si="52"/>
        <v>0</v>
      </c>
      <c r="D145" s="206">
        <f t="shared" si="52"/>
        <v>0</v>
      </c>
      <c r="E145" s="206">
        <f t="shared" si="53"/>
        <v>0</v>
      </c>
      <c r="F145" s="206">
        <v>0</v>
      </c>
      <c r="G145" s="206">
        <v>0</v>
      </c>
      <c r="H145" s="206">
        <f t="shared" si="54"/>
        <v>0</v>
      </c>
      <c r="I145" s="206">
        <v>0</v>
      </c>
      <c r="J145" s="206">
        <v>0</v>
      </c>
      <c r="K145" s="220" t="s">
        <v>234</v>
      </c>
      <c r="L145" s="223" t="s">
        <v>374</v>
      </c>
    </row>
    <row r="146" spans="2:12" ht="15" customHeight="1" thickBot="1" x14ac:dyDescent="0.25">
      <c r="B146" s="206">
        <f t="shared" ref="B146:I146" si="60">SUM(B144:B145)</f>
        <v>876</v>
      </c>
      <c r="C146" s="206">
        <f t="shared" si="60"/>
        <v>299</v>
      </c>
      <c r="D146" s="206">
        <f t="shared" si="60"/>
        <v>577</v>
      </c>
      <c r="E146" s="206">
        <f t="shared" si="60"/>
        <v>16</v>
      </c>
      <c r="F146" s="206">
        <f t="shared" si="60"/>
        <v>4</v>
      </c>
      <c r="G146" s="206">
        <f t="shared" si="60"/>
        <v>12</v>
      </c>
      <c r="H146" s="206">
        <f t="shared" si="60"/>
        <v>860</v>
      </c>
      <c r="I146" s="206">
        <f t="shared" si="60"/>
        <v>295</v>
      </c>
      <c r="J146" s="206">
        <f>SUM(J144:J145)</f>
        <v>565</v>
      </c>
      <c r="K146" s="220" t="s">
        <v>12</v>
      </c>
      <c r="L146" s="222"/>
    </row>
    <row r="147" spans="2:12" ht="15" customHeight="1" thickBot="1" x14ac:dyDescent="0.25">
      <c r="B147" s="206">
        <f t="shared" si="51"/>
        <v>37</v>
      </c>
      <c r="C147" s="206">
        <f t="shared" si="52"/>
        <v>3</v>
      </c>
      <c r="D147" s="206">
        <f t="shared" si="52"/>
        <v>34</v>
      </c>
      <c r="E147" s="206">
        <f t="shared" si="53"/>
        <v>0</v>
      </c>
      <c r="F147" s="206">
        <v>0</v>
      </c>
      <c r="G147" s="206">
        <v>0</v>
      </c>
      <c r="H147" s="206">
        <f t="shared" si="54"/>
        <v>37</v>
      </c>
      <c r="I147" s="206">
        <v>3</v>
      </c>
      <c r="J147" s="206">
        <v>34</v>
      </c>
      <c r="K147" s="220" t="s">
        <v>233</v>
      </c>
      <c r="L147" s="221"/>
    </row>
    <row r="148" spans="2:12" ht="15" customHeight="1" thickBot="1" x14ac:dyDescent="0.25">
      <c r="B148" s="206">
        <f t="shared" si="51"/>
        <v>0</v>
      </c>
      <c r="C148" s="206">
        <f t="shared" si="52"/>
        <v>0</v>
      </c>
      <c r="D148" s="206">
        <f t="shared" si="52"/>
        <v>0</v>
      </c>
      <c r="E148" s="206">
        <f t="shared" si="53"/>
        <v>0</v>
      </c>
      <c r="F148" s="206">
        <v>0</v>
      </c>
      <c r="G148" s="206">
        <v>0</v>
      </c>
      <c r="H148" s="206">
        <f t="shared" si="54"/>
        <v>0</v>
      </c>
      <c r="I148" s="206">
        <v>0</v>
      </c>
      <c r="J148" s="206">
        <v>0</v>
      </c>
      <c r="K148" s="220" t="s">
        <v>234</v>
      </c>
      <c r="L148" s="223" t="s">
        <v>375</v>
      </c>
    </row>
    <row r="149" spans="2:12" ht="15" customHeight="1" thickBot="1" x14ac:dyDescent="0.25">
      <c r="B149" s="206">
        <f t="shared" ref="B149:I149" si="61">SUM(B147:B148)</f>
        <v>37</v>
      </c>
      <c r="C149" s="206">
        <f t="shared" si="61"/>
        <v>3</v>
      </c>
      <c r="D149" s="206">
        <f t="shared" si="61"/>
        <v>34</v>
      </c>
      <c r="E149" s="206">
        <f t="shared" si="61"/>
        <v>0</v>
      </c>
      <c r="F149" s="206">
        <f t="shared" si="61"/>
        <v>0</v>
      </c>
      <c r="G149" s="206">
        <f t="shared" si="61"/>
        <v>0</v>
      </c>
      <c r="H149" s="206">
        <f t="shared" si="61"/>
        <v>37</v>
      </c>
      <c r="I149" s="206">
        <f t="shared" si="61"/>
        <v>3</v>
      </c>
      <c r="J149" s="206">
        <f>SUM(J147:J148)</f>
        <v>34</v>
      </c>
      <c r="K149" s="220" t="s">
        <v>12</v>
      </c>
      <c r="L149" s="222"/>
    </row>
    <row r="150" spans="2:12" ht="15" customHeight="1" thickBot="1" x14ac:dyDescent="0.25">
      <c r="B150" s="206">
        <f t="shared" si="51"/>
        <v>1700</v>
      </c>
      <c r="C150" s="206">
        <f t="shared" si="52"/>
        <v>926</v>
      </c>
      <c r="D150" s="206">
        <f t="shared" si="52"/>
        <v>774</v>
      </c>
      <c r="E150" s="206">
        <f t="shared" si="53"/>
        <v>67</v>
      </c>
      <c r="F150" s="206">
        <v>23</v>
      </c>
      <c r="G150" s="206">
        <v>44</v>
      </c>
      <c r="H150" s="206">
        <f t="shared" si="54"/>
        <v>1633</v>
      </c>
      <c r="I150" s="206">
        <v>903</v>
      </c>
      <c r="J150" s="206">
        <v>730</v>
      </c>
      <c r="K150" s="220" t="s">
        <v>233</v>
      </c>
      <c r="L150" s="221"/>
    </row>
    <row r="151" spans="2:12" ht="15" customHeight="1" thickBot="1" x14ac:dyDescent="0.25">
      <c r="B151" s="206">
        <f t="shared" si="51"/>
        <v>0</v>
      </c>
      <c r="C151" s="206">
        <f t="shared" si="52"/>
        <v>0</v>
      </c>
      <c r="D151" s="206">
        <f t="shared" si="52"/>
        <v>0</v>
      </c>
      <c r="E151" s="206">
        <f t="shared" si="53"/>
        <v>0</v>
      </c>
      <c r="F151" s="206">
        <v>0</v>
      </c>
      <c r="G151" s="206">
        <v>0</v>
      </c>
      <c r="H151" s="206">
        <f t="shared" si="54"/>
        <v>0</v>
      </c>
      <c r="I151" s="206">
        <v>0</v>
      </c>
      <c r="J151" s="206">
        <v>0</v>
      </c>
      <c r="K151" s="220" t="s">
        <v>234</v>
      </c>
      <c r="L151" s="223" t="s">
        <v>376</v>
      </c>
    </row>
    <row r="152" spans="2:12" ht="15" customHeight="1" thickBot="1" x14ac:dyDescent="0.25">
      <c r="B152" s="206">
        <f t="shared" ref="B152:I152" si="62">SUM(B150:B151)</f>
        <v>1700</v>
      </c>
      <c r="C152" s="206">
        <f t="shared" si="62"/>
        <v>926</v>
      </c>
      <c r="D152" s="206">
        <f t="shared" si="62"/>
        <v>774</v>
      </c>
      <c r="E152" s="206">
        <f t="shared" si="62"/>
        <v>67</v>
      </c>
      <c r="F152" s="206">
        <f t="shared" si="62"/>
        <v>23</v>
      </c>
      <c r="G152" s="206">
        <f t="shared" si="62"/>
        <v>44</v>
      </c>
      <c r="H152" s="206">
        <f t="shared" si="62"/>
        <v>1633</v>
      </c>
      <c r="I152" s="206">
        <f t="shared" si="62"/>
        <v>903</v>
      </c>
      <c r="J152" s="206">
        <f>SUM(J150:J151)</f>
        <v>730</v>
      </c>
      <c r="K152" s="220" t="s">
        <v>12</v>
      </c>
      <c r="L152" s="222"/>
    </row>
    <row r="153" spans="2:12" ht="15" customHeight="1" thickBot="1" x14ac:dyDescent="0.25">
      <c r="B153" s="206">
        <f t="shared" si="51"/>
        <v>450</v>
      </c>
      <c r="C153" s="206">
        <f t="shared" si="52"/>
        <v>228</v>
      </c>
      <c r="D153" s="206">
        <f t="shared" si="52"/>
        <v>222</v>
      </c>
      <c r="E153" s="206">
        <f t="shared" si="53"/>
        <v>18</v>
      </c>
      <c r="F153" s="206">
        <v>12</v>
      </c>
      <c r="G153" s="206">
        <v>6</v>
      </c>
      <c r="H153" s="206">
        <f t="shared" si="54"/>
        <v>432</v>
      </c>
      <c r="I153" s="206">
        <v>216</v>
      </c>
      <c r="J153" s="206">
        <v>216</v>
      </c>
      <c r="K153" s="220" t="s">
        <v>233</v>
      </c>
      <c r="L153" s="221"/>
    </row>
    <row r="154" spans="2:12" ht="15" customHeight="1" thickBot="1" x14ac:dyDescent="0.25">
      <c r="B154" s="206">
        <f t="shared" si="51"/>
        <v>0</v>
      </c>
      <c r="C154" s="206">
        <f t="shared" si="52"/>
        <v>0</v>
      </c>
      <c r="D154" s="206">
        <f t="shared" si="52"/>
        <v>0</v>
      </c>
      <c r="E154" s="206">
        <f t="shared" si="53"/>
        <v>0</v>
      </c>
      <c r="F154" s="206">
        <v>0</v>
      </c>
      <c r="G154" s="206">
        <v>0</v>
      </c>
      <c r="H154" s="206">
        <f t="shared" si="54"/>
        <v>0</v>
      </c>
      <c r="I154" s="206">
        <v>0</v>
      </c>
      <c r="J154" s="206">
        <v>0</v>
      </c>
      <c r="K154" s="220" t="s">
        <v>234</v>
      </c>
      <c r="L154" s="223" t="s">
        <v>365</v>
      </c>
    </row>
    <row r="155" spans="2:12" ht="15" customHeight="1" thickBot="1" x14ac:dyDescent="0.25">
      <c r="B155" s="206">
        <f t="shared" ref="B155:I155" si="63">SUM(B153:B154)</f>
        <v>450</v>
      </c>
      <c r="C155" s="206">
        <f t="shared" si="63"/>
        <v>228</v>
      </c>
      <c r="D155" s="206">
        <f t="shared" si="63"/>
        <v>222</v>
      </c>
      <c r="E155" s="206">
        <f t="shared" si="63"/>
        <v>18</v>
      </c>
      <c r="F155" s="206">
        <f t="shared" si="63"/>
        <v>12</v>
      </c>
      <c r="G155" s="206">
        <f t="shared" si="63"/>
        <v>6</v>
      </c>
      <c r="H155" s="206">
        <f t="shared" si="63"/>
        <v>432</v>
      </c>
      <c r="I155" s="206">
        <f t="shared" si="63"/>
        <v>216</v>
      </c>
      <c r="J155" s="206">
        <f>SUM(J153:J154)</f>
        <v>216</v>
      </c>
      <c r="K155" s="220" t="s">
        <v>12</v>
      </c>
      <c r="L155" s="222"/>
    </row>
    <row r="156" spans="2:12" ht="15" customHeight="1" thickBot="1" x14ac:dyDescent="0.25">
      <c r="B156" s="206">
        <f t="shared" si="51"/>
        <v>642</v>
      </c>
      <c r="C156" s="206">
        <f t="shared" si="52"/>
        <v>365</v>
      </c>
      <c r="D156" s="206">
        <f t="shared" si="52"/>
        <v>277</v>
      </c>
      <c r="E156" s="206">
        <f t="shared" si="53"/>
        <v>18</v>
      </c>
      <c r="F156" s="206">
        <v>13</v>
      </c>
      <c r="G156" s="206">
        <v>5</v>
      </c>
      <c r="H156" s="206">
        <f t="shared" si="54"/>
        <v>624</v>
      </c>
      <c r="I156" s="206">
        <v>352</v>
      </c>
      <c r="J156" s="206">
        <v>272</v>
      </c>
      <c r="K156" s="220" t="s">
        <v>233</v>
      </c>
      <c r="L156" s="221"/>
    </row>
    <row r="157" spans="2:12" ht="15" customHeight="1" thickBot="1" x14ac:dyDescent="0.25">
      <c r="B157" s="206">
        <f t="shared" si="51"/>
        <v>0</v>
      </c>
      <c r="C157" s="206">
        <f t="shared" si="52"/>
        <v>0</v>
      </c>
      <c r="D157" s="206">
        <f t="shared" si="52"/>
        <v>0</v>
      </c>
      <c r="E157" s="206">
        <f t="shared" si="53"/>
        <v>0</v>
      </c>
      <c r="F157" s="206">
        <v>0</v>
      </c>
      <c r="G157" s="206">
        <v>0</v>
      </c>
      <c r="H157" s="206">
        <f t="shared" si="54"/>
        <v>0</v>
      </c>
      <c r="I157" s="206">
        <v>0</v>
      </c>
      <c r="J157" s="206">
        <v>0</v>
      </c>
      <c r="K157" s="220" t="s">
        <v>234</v>
      </c>
      <c r="L157" s="223" t="s">
        <v>364</v>
      </c>
    </row>
    <row r="158" spans="2:12" ht="15" customHeight="1" thickBot="1" x14ac:dyDescent="0.25">
      <c r="B158" s="206">
        <f t="shared" ref="B158:I158" si="64">SUM(B156:B157)</f>
        <v>642</v>
      </c>
      <c r="C158" s="206">
        <f t="shared" si="64"/>
        <v>365</v>
      </c>
      <c r="D158" s="206">
        <f t="shared" si="64"/>
        <v>277</v>
      </c>
      <c r="E158" s="206">
        <f t="shared" si="64"/>
        <v>18</v>
      </c>
      <c r="F158" s="206">
        <f t="shared" si="64"/>
        <v>13</v>
      </c>
      <c r="G158" s="206">
        <f t="shared" si="64"/>
        <v>5</v>
      </c>
      <c r="H158" s="206">
        <f t="shared" si="64"/>
        <v>624</v>
      </c>
      <c r="I158" s="206">
        <f t="shared" si="64"/>
        <v>352</v>
      </c>
      <c r="J158" s="206">
        <f>SUM(J156:J157)</f>
        <v>272</v>
      </c>
      <c r="K158" s="220" t="s">
        <v>12</v>
      </c>
      <c r="L158" s="222"/>
    </row>
    <row r="159" spans="2:12" ht="15" customHeight="1" thickBot="1" x14ac:dyDescent="0.25">
      <c r="B159" s="206">
        <f t="shared" si="51"/>
        <v>230</v>
      </c>
      <c r="C159" s="206">
        <f t="shared" si="52"/>
        <v>96</v>
      </c>
      <c r="D159" s="206">
        <f t="shared" si="52"/>
        <v>134</v>
      </c>
      <c r="E159" s="206">
        <f t="shared" si="53"/>
        <v>12</v>
      </c>
      <c r="F159" s="206">
        <v>12</v>
      </c>
      <c r="G159" s="206">
        <v>0</v>
      </c>
      <c r="H159" s="206">
        <f t="shared" si="54"/>
        <v>218</v>
      </c>
      <c r="I159" s="206">
        <v>84</v>
      </c>
      <c r="J159" s="206">
        <v>134</v>
      </c>
      <c r="K159" s="220" t="s">
        <v>233</v>
      </c>
      <c r="L159" s="221"/>
    </row>
    <row r="160" spans="2:12" ht="15" customHeight="1" thickBot="1" x14ac:dyDescent="0.25">
      <c r="B160" s="206">
        <f t="shared" si="51"/>
        <v>0</v>
      </c>
      <c r="C160" s="206">
        <f t="shared" si="52"/>
        <v>0</v>
      </c>
      <c r="D160" s="206">
        <f t="shared" si="52"/>
        <v>0</v>
      </c>
      <c r="E160" s="206">
        <f t="shared" si="53"/>
        <v>0</v>
      </c>
      <c r="F160" s="206">
        <v>0</v>
      </c>
      <c r="G160" s="206">
        <v>0</v>
      </c>
      <c r="H160" s="206">
        <f t="shared" si="54"/>
        <v>0</v>
      </c>
      <c r="I160" s="206">
        <v>0</v>
      </c>
      <c r="J160" s="206">
        <v>0</v>
      </c>
      <c r="K160" s="220" t="s">
        <v>234</v>
      </c>
      <c r="L160" s="221" t="s">
        <v>348</v>
      </c>
    </row>
    <row r="161" spans="2:12" ht="15" customHeight="1" thickBot="1" x14ac:dyDescent="0.25">
      <c r="B161" s="206">
        <f t="shared" ref="B161:I161" si="65">SUM(B159:B160)</f>
        <v>230</v>
      </c>
      <c r="C161" s="206">
        <f t="shared" si="65"/>
        <v>96</v>
      </c>
      <c r="D161" s="206">
        <f t="shared" si="65"/>
        <v>134</v>
      </c>
      <c r="E161" s="206">
        <f t="shared" si="65"/>
        <v>12</v>
      </c>
      <c r="F161" s="206">
        <f t="shared" si="65"/>
        <v>12</v>
      </c>
      <c r="G161" s="206">
        <f t="shared" si="65"/>
        <v>0</v>
      </c>
      <c r="H161" s="206">
        <f t="shared" si="65"/>
        <v>218</v>
      </c>
      <c r="I161" s="206">
        <f t="shared" si="65"/>
        <v>84</v>
      </c>
      <c r="J161" s="206">
        <f>SUM(J159:J160)</f>
        <v>134</v>
      </c>
      <c r="K161" s="220" t="s">
        <v>12</v>
      </c>
      <c r="L161" s="222"/>
    </row>
    <row r="162" spans="2:12" ht="15" customHeight="1" thickBot="1" x14ac:dyDescent="0.25">
      <c r="B162" s="206">
        <f t="shared" si="51"/>
        <v>225</v>
      </c>
      <c r="C162" s="206">
        <f t="shared" si="52"/>
        <v>90</v>
      </c>
      <c r="D162" s="206">
        <f t="shared" si="52"/>
        <v>135</v>
      </c>
      <c r="E162" s="206">
        <f t="shared" si="53"/>
        <v>2</v>
      </c>
      <c r="F162" s="206">
        <v>2</v>
      </c>
      <c r="G162" s="206">
        <v>0</v>
      </c>
      <c r="H162" s="206">
        <f t="shared" si="54"/>
        <v>223</v>
      </c>
      <c r="I162" s="206">
        <v>88</v>
      </c>
      <c r="J162" s="206">
        <v>135</v>
      </c>
      <c r="K162" s="220" t="s">
        <v>233</v>
      </c>
      <c r="L162" s="221"/>
    </row>
    <row r="163" spans="2:12" ht="15" customHeight="1" thickBot="1" x14ac:dyDescent="0.25">
      <c r="B163" s="206">
        <f t="shared" si="51"/>
        <v>0</v>
      </c>
      <c r="C163" s="206">
        <f t="shared" si="52"/>
        <v>0</v>
      </c>
      <c r="D163" s="206">
        <f t="shared" si="52"/>
        <v>0</v>
      </c>
      <c r="E163" s="206">
        <f t="shared" si="53"/>
        <v>0</v>
      </c>
      <c r="F163" s="206">
        <v>0</v>
      </c>
      <c r="G163" s="206">
        <v>0</v>
      </c>
      <c r="H163" s="206">
        <f t="shared" si="54"/>
        <v>0</v>
      </c>
      <c r="I163" s="206">
        <v>0</v>
      </c>
      <c r="J163" s="206">
        <v>0</v>
      </c>
      <c r="K163" s="220" t="s">
        <v>234</v>
      </c>
      <c r="L163" s="221" t="s">
        <v>344</v>
      </c>
    </row>
    <row r="164" spans="2:12" ht="15" customHeight="1" thickBot="1" x14ac:dyDescent="0.25">
      <c r="B164" s="206">
        <f t="shared" ref="B164:I164" si="66">SUM(B162:B163)</f>
        <v>225</v>
      </c>
      <c r="C164" s="206">
        <f t="shared" si="66"/>
        <v>90</v>
      </c>
      <c r="D164" s="206">
        <f t="shared" si="66"/>
        <v>135</v>
      </c>
      <c r="E164" s="206">
        <f t="shared" si="66"/>
        <v>2</v>
      </c>
      <c r="F164" s="206">
        <f t="shared" si="66"/>
        <v>2</v>
      </c>
      <c r="G164" s="206">
        <f t="shared" si="66"/>
        <v>0</v>
      </c>
      <c r="H164" s="206">
        <f t="shared" si="66"/>
        <v>223</v>
      </c>
      <c r="I164" s="206">
        <f t="shared" si="66"/>
        <v>88</v>
      </c>
      <c r="J164" s="206">
        <f>SUM(J162:J163)</f>
        <v>135</v>
      </c>
      <c r="K164" s="220" t="s">
        <v>12</v>
      </c>
      <c r="L164" s="222"/>
    </row>
    <row r="165" spans="2:12" ht="15" customHeight="1" thickBot="1" x14ac:dyDescent="0.25">
      <c r="B165" s="206">
        <f t="shared" si="51"/>
        <v>111</v>
      </c>
      <c r="C165" s="206">
        <f t="shared" si="52"/>
        <v>38</v>
      </c>
      <c r="D165" s="206">
        <f t="shared" si="52"/>
        <v>73</v>
      </c>
      <c r="E165" s="206">
        <f t="shared" si="53"/>
        <v>0</v>
      </c>
      <c r="F165" s="206">
        <v>0</v>
      </c>
      <c r="G165" s="206">
        <v>0</v>
      </c>
      <c r="H165" s="206">
        <f t="shared" si="54"/>
        <v>111</v>
      </c>
      <c r="I165" s="206">
        <v>38</v>
      </c>
      <c r="J165" s="206">
        <v>73</v>
      </c>
      <c r="K165" s="220" t="s">
        <v>233</v>
      </c>
      <c r="L165" s="221"/>
    </row>
    <row r="166" spans="2:12" ht="15" customHeight="1" thickBot="1" x14ac:dyDescent="0.25">
      <c r="B166" s="206">
        <f t="shared" si="51"/>
        <v>0</v>
      </c>
      <c r="C166" s="206">
        <f t="shared" si="52"/>
        <v>0</v>
      </c>
      <c r="D166" s="206">
        <f t="shared" si="52"/>
        <v>0</v>
      </c>
      <c r="E166" s="206">
        <f t="shared" si="53"/>
        <v>0</v>
      </c>
      <c r="F166" s="206">
        <v>0</v>
      </c>
      <c r="G166" s="206">
        <v>0</v>
      </c>
      <c r="H166" s="206">
        <f t="shared" si="54"/>
        <v>0</v>
      </c>
      <c r="I166" s="206">
        <v>0</v>
      </c>
      <c r="J166" s="206">
        <v>0</v>
      </c>
      <c r="K166" s="220" t="s">
        <v>234</v>
      </c>
      <c r="L166" s="221" t="s">
        <v>255</v>
      </c>
    </row>
    <row r="167" spans="2:12" ht="15" customHeight="1" thickBot="1" x14ac:dyDescent="0.25">
      <c r="B167" s="206">
        <f t="shared" ref="B167:I167" si="67">SUM(B165:B166)</f>
        <v>111</v>
      </c>
      <c r="C167" s="206">
        <f t="shared" si="67"/>
        <v>38</v>
      </c>
      <c r="D167" s="206">
        <f t="shared" si="67"/>
        <v>73</v>
      </c>
      <c r="E167" s="206">
        <f t="shared" si="67"/>
        <v>0</v>
      </c>
      <c r="F167" s="206">
        <f t="shared" si="67"/>
        <v>0</v>
      </c>
      <c r="G167" s="206">
        <f t="shared" si="67"/>
        <v>0</v>
      </c>
      <c r="H167" s="206">
        <f t="shared" si="67"/>
        <v>111</v>
      </c>
      <c r="I167" s="206">
        <f t="shared" si="67"/>
        <v>38</v>
      </c>
      <c r="J167" s="206">
        <f>SUM(J165:J166)</f>
        <v>73</v>
      </c>
      <c r="K167" s="220" t="s">
        <v>12</v>
      </c>
      <c r="L167" s="222"/>
    </row>
    <row r="168" spans="2:12" ht="15" customHeight="1" thickBot="1" x14ac:dyDescent="0.25">
      <c r="B168" s="206">
        <f t="shared" si="51"/>
        <v>188</v>
      </c>
      <c r="C168" s="206">
        <f t="shared" si="52"/>
        <v>117</v>
      </c>
      <c r="D168" s="206">
        <f t="shared" si="52"/>
        <v>71</v>
      </c>
      <c r="E168" s="206">
        <f t="shared" si="53"/>
        <v>4</v>
      </c>
      <c r="F168" s="206">
        <v>4</v>
      </c>
      <c r="G168" s="206">
        <v>0</v>
      </c>
      <c r="H168" s="206">
        <f t="shared" si="54"/>
        <v>184</v>
      </c>
      <c r="I168" s="206">
        <v>113</v>
      </c>
      <c r="J168" s="206">
        <v>71</v>
      </c>
      <c r="K168" s="220" t="s">
        <v>233</v>
      </c>
      <c r="L168" s="221"/>
    </row>
    <row r="169" spans="2:12" ht="15" customHeight="1" thickBot="1" x14ac:dyDescent="0.25">
      <c r="B169" s="206">
        <f t="shared" si="51"/>
        <v>0</v>
      </c>
      <c r="C169" s="206">
        <f t="shared" si="52"/>
        <v>0</v>
      </c>
      <c r="D169" s="206">
        <f t="shared" si="52"/>
        <v>0</v>
      </c>
      <c r="E169" s="206">
        <f t="shared" si="53"/>
        <v>0</v>
      </c>
      <c r="F169" s="206">
        <v>0</v>
      </c>
      <c r="G169" s="206">
        <v>0</v>
      </c>
      <c r="H169" s="206">
        <f t="shared" si="54"/>
        <v>0</v>
      </c>
      <c r="I169" s="206">
        <v>0</v>
      </c>
      <c r="J169" s="206">
        <v>0</v>
      </c>
      <c r="K169" s="220" t="s">
        <v>234</v>
      </c>
      <c r="L169" s="221" t="s">
        <v>377</v>
      </c>
    </row>
    <row r="170" spans="2:12" ht="15" customHeight="1" thickBot="1" x14ac:dyDescent="0.25">
      <c r="B170" s="206">
        <f t="shared" ref="B170:I170" si="68">SUM(B168:B169)</f>
        <v>188</v>
      </c>
      <c r="C170" s="206">
        <f t="shared" si="68"/>
        <v>117</v>
      </c>
      <c r="D170" s="206">
        <f t="shared" si="68"/>
        <v>71</v>
      </c>
      <c r="E170" s="206">
        <f t="shared" si="68"/>
        <v>4</v>
      </c>
      <c r="F170" s="206">
        <f t="shared" si="68"/>
        <v>4</v>
      </c>
      <c r="G170" s="206">
        <f t="shared" si="68"/>
        <v>0</v>
      </c>
      <c r="H170" s="206">
        <f t="shared" si="68"/>
        <v>184</v>
      </c>
      <c r="I170" s="206">
        <f t="shared" si="68"/>
        <v>113</v>
      </c>
      <c r="J170" s="206">
        <f>SUM(J168:J169)</f>
        <v>71</v>
      </c>
      <c r="K170" s="220" t="s">
        <v>12</v>
      </c>
      <c r="L170" s="222"/>
    </row>
    <row r="171" spans="2:12" ht="15" customHeight="1" thickBot="1" x14ac:dyDescent="0.25">
      <c r="B171" s="206">
        <f t="shared" si="51"/>
        <v>500</v>
      </c>
      <c r="C171" s="206">
        <f t="shared" si="52"/>
        <v>296</v>
      </c>
      <c r="D171" s="206">
        <f t="shared" si="52"/>
        <v>204</v>
      </c>
      <c r="E171" s="206">
        <f t="shared" si="53"/>
        <v>7</v>
      </c>
      <c r="F171" s="206">
        <v>4</v>
      </c>
      <c r="G171" s="206">
        <v>3</v>
      </c>
      <c r="H171" s="206">
        <f t="shared" si="54"/>
        <v>493</v>
      </c>
      <c r="I171" s="206">
        <v>292</v>
      </c>
      <c r="J171" s="206">
        <v>201</v>
      </c>
      <c r="K171" s="220" t="s">
        <v>233</v>
      </c>
      <c r="L171" s="224"/>
    </row>
    <row r="172" spans="2:12" ht="15" customHeight="1" thickBot="1" x14ac:dyDescent="0.25">
      <c r="B172" s="206">
        <f t="shared" si="51"/>
        <v>0</v>
      </c>
      <c r="C172" s="206">
        <f t="shared" si="52"/>
        <v>0</v>
      </c>
      <c r="D172" s="206">
        <f t="shared" si="52"/>
        <v>0</v>
      </c>
      <c r="E172" s="206">
        <f t="shared" si="53"/>
        <v>0</v>
      </c>
      <c r="F172" s="206">
        <v>0</v>
      </c>
      <c r="G172" s="206">
        <v>0</v>
      </c>
      <c r="H172" s="206">
        <f t="shared" si="54"/>
        <v>0</v>
      </c>
      <c r="I172" s="206">
        <v>0</v>
      </c>
      <c r="J172" s="206">
        <v>0</v>
      </c>
      <c r="K172" s="220" t="s">
        <v>234</v>
      </c>
      <c r="L172" s="221" t="s">
        <v>378</v>
      </c>
    </row>
    <row r="173" spans="2:12" ht="15" customHeight="1" thickBot="1" x14ac:dyDescent="0.25">
      <c r="B173" s="206">
        <f t="shared" ref="B173:I173" si="69">SUM(B171:B172)</f>
        <v>500</v>
      </c>
      <c r="C173" s="206">
        <f t="shared" si="69"/>
        <v>296</v>
      </c>
      <c r="D173" s="206">
        <f t="shared" si="69"/>
        <v>204</v>
      </c>
      <c r="E173" s="206">
        <f t="shared" si="69"/>
        <v>7</v>
      </c>
      <c r="F173" s="206">
        <f t="shared" si="69"/>
        <v>4</v>
      </c>
      <c r="G173" s="206">
        <f t="shared" si="69"/>
        <v>3</v>
      </c>
      <c r="H173" s="206">
        <f t="shared" si="69"/>
        <v>493</v>
      </c>
      <c r="I173" s="206">
        <f t="shared" si="69"/>
        <v>292</v>
      </c>
      <c r="J173" s="206">
        <f>SUM(J171:J172)</f>
        <v>201</v>
      </c>
      <c r="K173" s="220" t="s">
        <v>12</v>
      </c>
      <c r="L173" s="222"/>
    </row>
    <row r="174" spans="2:12" ht="15" customHeight="1" thickBot="1" x14ac:dyDescent="0.25">
      <c r="B174" s="206">
        <f t="shared" si="51"/>
        <v>174</v>
      </c>
      <c r="C174" s="206">
        <f t="shared" si="52"/>
        <v>0</v>
      </c>
      <c r="D174" s="206">
        <f t="shared" si="52"/>
        <v>174</v>
      </c>
      <c r="E174" s="206">
        <f t="shared" si="53"/>
        <v>4</v>
      </c>
      <c r="F174" s="206">
        <v>0</v>
      </c>
      <c r="G174" s="206">
        <v>4</v>
      </c>
      <c r="H174" s="206">
        <f t="shared" si="54"/>
        <v>170</v>
      </c>
      <c r="I174" s="206">
        <v>0</v>
      </c>
      <c r="J174" s="206">
        <v>170</v>
      </c>
      <c r="K174" s="220" t="s">
        <v>233</v>
      </c>
      <c r="L174" s="221"/>
    </row>
    <row r="175" spans="2:12" ht="15" customHeight="1" thickBot="1" x14ac:dyDescent="0.25">
      <c r="B175" s="206">
        <f t="shared" si="51"/>
        <v>0</v>
      </c>
      <c r="C175" s="206">
        <f t="shared" si="52"/>
        <v>0</v>
      </c>
      <c r="D175" s="206">
        <f t="shared" si="52"/>
        <v>0</v>
      </c>
      <c r="E175" s="206">
        <f t="shared" si="53"/>
        <v>0</v>
      </c>
      <c r="F175" s="206">
        <v>0</v>
      </c>
      <c r="G175" s="206">
        <v>0</v>
      </c>
      <c r="H175" s="206">
        <f t="shared" si="54"/>
        <v>0</v>
      </c>
      <c r="I175" s="206">
        <v>0</v>
      </c>
      <c r="J175" s="206">
        <v>0</v>
      </c>
      <c r="K175" s="220" t="s">
        <v>234</v>
      </c>
      <c r="L175" s="221" t="s">
        <v>379</v>
      </c>
    </row>
    <row r="176" spans="2:12" ht="15" customHeight="1" thickBot="1" x14ac:dyDescent="0.25">
      <c r="B176" s="206">
        <f t="shared" ref="B176:I176" si="70">SUM(B174:B175)</f>
        <v>174</v>
      </c>
      <c r="C176" s="206">
        <f t="shared" si="70"/>
        <v>0</v>
      </c>
      <c r="D176" s="206">
        <f t="shared" si="70"/>
        <v>174</v>
      </c>
      <c r="E176" s="206">
        <f t="shared" si="70"/>
        <v>4</v>
      </c>
      <c r="F176" s="206">
        <f t="shared" si="70"/>
        <v>0</v>
      </c>
      <c r="G176" s="206">
        <f t="shared" si="70"/>
        <v>4</v>
      </c>
      <c r="H176" s="206">
        <f t="shared" si="70"/>
        <v>170</v>
      </c>
      <c r="I176" s="206">
        <f t="shared" si="70"/>
        <v>0</v>
      </c>
      <c r="J176" s="206">
        <f>SUM(J174:J175)</f>
        <v>170</v>
      </c>
      <c r="K176" s="220" t="s">
        <v>12</v>
      </c>
      <c r="L176" s="222"/>
    </row>
    <row r="177" spans="2:12" ht="15" customHeight="1" thickBot="1" x14ac:dyDescent="0.25">
      <c r="B177" s="206">
        <f t="shared" si="51"/>
        <v>69</v>
      </c>
      <c r="C177" s="206">
        <f t="shared" si="52"/>
        <v>0</v>
      </c>
      <c r="D177" s="206">
        <f t="shared" si="52"/>
        <v>69</v>
      </c>
      <c r="E177" s="206">
        <f t="shared" si="53"/>
        <v>4</v>
      </c>
      <c r="F177" s="206">
        <v>0</v>
      </c>
      <c r="G177" s="206">
        <v>4</v>
      </c>
      <c r="H177" s="206">
        <f t="shared" si="54"/>
        <v>65</v>
      </c>
      <c r="I177" s="206">
        <v>0</v>
      </c>
      <c r="J177" s="206">
        <v>65</v>
      </c>
      <c r="K177" s="220" t="s">
        <v>233</v>
      </c>
      <c r="L177" s="221"/>
    </row>
    <row r="178" spans="2:12" ht="15" customHeight="1" thickBot="1" x14ac:dyDescent="0.25">
      <c r="B178" s="206">
        <f t="shared" si="51"/>
        <v>0</v>
      </c>
      <c r="C178" s="206">
        <f t="shared" si="52"/>
        <v>0</v>
      </c>
      <c r="D178" s="206">
        <f t="shared" si="52"/>
        <v>0</v>
      </c>
      <c r="E178" s="206">
        <f t="shared" si="53"/>
        <v>0</v>
      </c>
      <c r="F178" s="206">
        <v>0</v>
      </c>
      <c r="G178" s="206">
        <v>0</v>
      </c>
      <c r="H178" s="206">
        <f t="shared" si="54"/>
        <v>0</v>
      </c>
      <c r="I178" s="206">
        <v>0</v>
      </c>
      <c r="J178" s="206">
        <v>0</v>
      </c>
      <c r="K178" s="220" t="s">
        <v>234</v>
      </c>
      <c r="L178" s="221" t="s">
        <v>380</v>
      </c>
    </row>
    <row r="179" spans="2:12" ht="15" customHeight="1" thickBot="1" x14ac:dyDescent="0.25">
      <c r="B179" s="206">
        <f t="shared" ref="B179:I179" si="71">SUM(B177:B178)</f>
        <v>69</v>
      </c>
      <c r="C179" s="206">
        <f t="shared" si="71"/>
        <v>0</v>
      </c>
      <c r="D179" s="206">
        <f t="shared" si="71"/>
        <v>69</v>
      </c>
      <c r="E179" s="206">
        <f t="shared" si="71"/>
        <v>4</v>
      </c>
      <c r="F179" s="206">
        <f t="shared" si="71"/>
        <v>0</v>
      </c>
      <c r="G179" s="206">
        <f t="shared" si="71"/>
        <v>4</v>
      </c>
      <c r="H179" s="206">
        <f t="shared" si="71"/>
        <v>65</v>
      </c>
      <c r="I179" s="206">
        <f t="shared" si="71"/>
        <v>0</v>
      </c>
      <c r="J179" s="206">
        <f>SUM(J177:J178)</f>
        <v>65</v>
      </c>
      <c r="K179" s="220" t="s">
        <v>12</v>
      </c>
      <c r="L179" s="222"/>
    </row>
    <row r="180" spans="2:12" ht="15" customHeight="1" thickBot="1" x14ac:dyDescent="0.25">
      <c r="B180" s="206">
        <f t="shared" si="51"/>
        <v>505</v>
      </c>
      <c r="C180" s="206">
        <f t="shared" si="52"/>
        <v>0</v>
      </c>
      <c r="D180" s="206">
        <f t="shared" si="52"/>
        <v>505</v>
      </c>
      <c r="E180" s="206">
        <f t="shared" si="53"/>
        <v>9</v>
      </c>
      <c r="F180" s="206">
        <v>0</v>
      </c>
      <c r="G180" s="206">
        <v>9</v>
      </c>
      <c r="H180" s="206">
        <f t="shared" si="54"/>
        <v>496</v>
      </c>
      <c r="I180" s="206">
        <v>0</v>
      </c>
      <c r="J180" s="206">
        <v>496</v>
      </c>
      <c r="K180" s="220" t="s">
        <v>233</v>
      </c>
      <c r="L180" s="221"/>
    </row>
    <row r="181" spans="2:12" ht="15" customHeight="1" thickBot="1" x14ac:dyDescent="0.25">
      <c r="B181" s="206">
        <f t="shared" si="51"/>
        <v>0</v>
      </c>
      <c r="C181" s="206">
        <f t="shared" si="52"/>
        <v>0</v>
      </c>
      <c r="D181" s="206">
        <f t="shared" si="52"/>
        <v>0</v>
      </c>
      <c r="E181" s="206">
        <f t="shared" si="53"/>
        <v>0</v>
      </c>
      <c r="F181" s="206">
        <v>0</v>
      </c>
      <c r="G181" s="206">
        <v>0</v>
      </c>
      <c r="H181" s="206">
        <f t="shared" si="54"/>
        <v>0</v>
      </c>
      <c r="I181" s="206">
        <v>0</v>
      </c>
      <c r="J181" s="206">
        <v>0</v>
      </c>
      <c r="K181" s="220" t="s">
        <v>234</v>
      </c>
      <c r="L181" s="221" t="s">
        <v>256</v>
      </c>
    </row>
    <row r="182" spans="2:12" ht="15" customHeight="1" thickBot="1" x14ac:dyDescent="0.25">
      <c r="B182" s="206">
        <f t="shared" ref="B182:I182" si="72">SUM(B180:B181)</f>
        <v>505</v>
      </c>
      <c r="C182" s="206">
        <f t="shared" si="72"/>
        <v>0</v>
      </c>
      <c r="D182" s="206">
        <f t="shared" si="72"/>
        <v>505</v>
      </c>
      <c r="E182" s="206">
        <f t="shared" si="72"/>
        <v>9</v>
      </c>
      <c r="F182" s="206">
        <f t="shared" si="72"/>
        <v>0</v>
      </c>
      <c r="G182" s="206">
        <f t="shared" si="72"/>
        <v>9</v>
      </c>
      <c r="H182" s="206">
        <f t="shared" si="72"/>
        <v>496</v>
      </c>
      <c r="I182" s="206">
        <f t="shared" si="72"/>
        <v>0</v>
      </c>
      <c r="J182" s="206">
        <f>SUM(J180:J181)</f>
        <v>496</v>
      </c>
      <c r="K182" s="220" t="s">
        <v>12</v>
      </c>
      <c r="L182" s="222"/>
    </row>
    <row r="183" spans="2:12" ht="15" customHeight="1" thickBot="1" x14ac:dyDescent="0.25">
      <c r="B183" s="206">
        <f t="shared" si="51"/>
        <v>135</v>
      </c>
      <c r="C183" s="206">
        <f t="shared" si="52"/>
        <v>0</v>
      </c>
      <c r="D183" s="206">
        <f t="shared" si="52"/>
        <v>135</v>
      </c>
      <c r="E183" s="206">
        <f t="shared" si="53"/>
        <v>1</v>
      </c>
      <c r="F183" s="206">
        <v>0</v>
      </c>
      <c r="G183" s="206">
        <v>1</v>
      </c>
      <c r="H183" s="206">
        <f t="shared" si="54"/>
        <v>134</v>
      </c>
      <c r="I183" s="206">
        <v>0</v>
      </c>
      <c r="J183" s="206">
        <v>134</v>
      </c>
      <c r="K183" s="220" t="s">
        <v>233</v>
      </c>
      <c r="L183" s="221"/>
    </row>
    <row r="184" spans="2:12" ht="15" customHeight="1" thickBot="1" x14ac:dyDescent="0.25">
      <c r="B184" s="206">
        <f t="shared" si="51"/>
        <v>0</v>
      </c>
      <c r="C184" s="206">
        <f t="shared" si="52"/>
        <v>0</v>
      </c>
      <c r="D184" s="206">
        <f t="shared" si="52"/>
        <v>0</v>
      </c>
      <c r="E184" s="206">
        <f t="shared" si="53"/>
        <v>0</v>
      </c>
      <c r="F184" s="206">
        <v>0</v>
      </c>
      <c r="G184" s="206">
        <v>0</v>
      </c>
      <c r="H184" s="206">
        <f t="shared" si="54"/>
        <v>0</v>
      </c>
      <c r="I184" s="206">
        <v>0</v>
      </c>
      <c r="J184" s="206">
        <v>0</v>
      </c>
      <c r="K184" s="220" t="s">
        <v>234</v>
      </c>
      <c r="L184" s="221" t="s">
        <v>381</v>
      </c>
    </row>
    <row r="185" spans="2:12" ht="15" customHeight="1" thickBot="1" x14ac:dyDescent="0.25">
      <c r="B185" s="206">
        <f t="shared" ref="B185:I185" si="73">SUM(B183:B184)</f>
        <v>135</v>
      </c>
      <c r="C185" s="206">
        <f t="shared" si="73"/>
        <v>0</v>
      </c>
      <c r="D185" s="206">
        <f t="shared" si="73"/>
        <v>135</v>
      </c>
      <c r="E185" s="206">
        <f t="shared" si="73"/>
        <v>1</v>
      </c>
      <c r="F185" s="206">
        <f t="shared" si="73"/>
        <v>0</v>
      </c>
      <c r="G185" s="206">
        <f t="shared" si="73"/>
        <v>1</v>
      </c>
      <c r="H185" s="206">
        <f t="shared" si="73"/>
        <v>134</v>
      </c>
      <c r="I185" s="206">
        <f t="shared" si="73"/>
        <v>0</v>
      </c>
      <c r="J185" s="206">
        <f>SUM(J183:J184)</f>
        <v>134</v>
      </c>
      <c r="K185" s="220" t="s">
        <v>12</v>
      </c>
      <c r="L185" s="222"/>
    </row>
    <row r="186" spans="2:12" ht="15" customHeight="1" thickBot="1" x14ac:dyDescent="0.25">
      <c r="B186" s="206">
        <f t="shared" si="51"/>
        <v>31</v>
      </c>
      <c r="C186" s="206">
        <f t="shared" si="52"/>
        <v>19</v>
      </c>
      <c r="D186" s="206">
        <f t="shared" si="52"/>
        <v>12</v>
      </c>
      <c r="E186" s="206">
        <f t="shared" si="53"/>
        <v>0</v>
      </c>
      <c r="F186" s="206">
        <v>0</v>
      </c>
      <c r="G186" s="206">
        <v>0</v>
      </c>
      <c r="H186" s="206">
        <f t="shared" si="54"/>
        <v>31</v>
      </c>
      <c r="I186" s="206">
        <v>19</v>
      </c>
      <c r="J186" s="206">
        <v>12</v>
      </c>
      <c r="K186" s="220" t="s">
        <v>233</v>
      </c>
      <c r="L186" s="221"/>
    </row>
    <row r="187" spans="2:12" ht="15" customHeight="1" thickBot="1" x14ac:dyDescent="0.25">
      <c r="B187" s="206">
        <f t="shared" si="51"/>
        <v>0</v>
      </c>
      <c r="C187" s="206">
        <f t="shared" si="52"/>
        <v>0</v>
      </c>
      <c r="D187" s="206">
        <f t="shared" si="52"/>
        <v>0</v>
      </c>
      <c r="E187" s="206">
        <f t="shared" si="53"/>
        <v>0</v>
      </c>
      <c r="F187" s="206">
        <v>0</v>
      </c>
      <c r="G187" s="206">
        <v>0</v>
      </c>
      <c r="H187" s="206">
        <f t="shared" si="54"/>
        <v>0</v>
      </c>
      <c r="I187" s="206">
        <v>0</v>
      </c>
      <c r="J187" s="206">
        <v>0</v>
      </c>
      <c r="K187" s="220" t="s">
        <v>234</v>
      </c>
      <c r="L187" s="221" t="s">
        <v>382</v>
      </c>
    </row>
    <row r="188" spans="2:12" ht="15" customHeight="1" thickBot="1" x14ac:dyDescent="0.25">
      <c r="B188" s="206">
        <f t="shared" ref="B188:I188" si="74">SUM(B186:B187)</f>
        <v>31</v>
      </c>
      <c r="C188" s="206">
        <f t="shared" si="74"/>
        <v>19</v>
      </c>
      <c r="D188" s="206">
        <f t="shared" si="74"/>
        <v>12</v>
      </c>
      <c r="E188" s="206">
        <f t="shared" si="74"/>
        <v>0</v>
      </c>
      <c r="F188" s="206">
        <f t="shared" si="74"/>
        <v>0</v>
      </c>
      <c r="G188" s="206">
        <f t="shared" si="74"/>
        <v>0</v>
      </c>
      <c r="H188" s="206">
        <f t="shared" si="74"/>
        <v>31</v>
      </c>
      <c r="I188" s="206">
        <f t="shared" si="74"/>
        <v>19</v>
      </c>
      <c r="J188" s="206">
        <f>SUM(J186:J187)</f>
        <v>12</v>
      </c>
      <c r="K188" s="220" t="s">
        <v>12</v>
      </c>
      <c r="L188" s="222"/>
    </row>
    <row r="189" spans="2:12" ht="15" customHeight="1" thickBot="1" x14ac:dyDescent="0.25">
      <c r="B189" s="206">
        <f t="shared" si="51"/>
        <v>41</v>
      </c>
      <c r="C189" s="206">
        <f t="shared" si="52"/>
        <v>1</v>
      </c>
      <c r="D189" s="206">
        <f t="shared" si="52"/>
        <v>40</v>
      </c>
      <c r="E189" s="206">
        <f t="shared" si="53"/>
        <v>7</v>
      </c>
      <c r="F189" s="206">
        <v>0</v>
      </c>
      <c r="G189" s="206">
        <v>7</v>
      </c>
      <c r="H189" s="206">
        <f t="shared" si="54"/>
        <v>34</v>
      </c>
      <c r="I189" s="206">
        <v>1</v>
      </c>
      <c r="J189" s="206">
        <v>33</v>
      </c>
      <c r="K189" s="220" t="s">
        <v>233</v>
      </c>
      <c r="L189" s="221"/>
    </row>
    <row r="190" spans="2:12" ht="15" customHeight="1" thickBot="1" x14ac:dyDescent="0.25">
      <c r="B190" s="206">
        <f t="shared" si="51"/>
        <v>0</v>
      </c>
      <c r="C190" s="206">
        <f t="shared" si="52"/>
        <v>0</v>
      </c>
      <c r="D190" s="206">
        <f t="shared" si="52"/>
        <v>0</v>
      </c>
      <c r="E190" s="206">
        <f t="shared" si="53"/>
        <v>0</v>
      </c>
      <c r="F190" s="206">
        <v>0</v>
      </c>
      <c r="G190" s="206">
        <v>0</v>
      </c>
      <c r="H190" s="206">
        <f t="shared" si="54"/>
        <v>0</v>
      </c>
      <c r="I190" s="206">
        <v>0</v>
      </c>
      <c r="J190" s="206">
        <v>0</v>
      </c>
      <c r="K190" s="220" t="s">
        <v>234</v>
      </c>
      <c r="L190" s="221" t="s">
        <v>383</v>
      </c>
    </row>
    <row r="191" spans="2:12" ht="15" customHeight="1" thickBot="1" x14ac:dyDescent="0.25">
      <c r="B191" s="206">
        <f t="shared" ref="B191:I191" si="75">SUM(B189:B190)</f>
        <v>41</v>
      </c>
      <c r="C191" s="206">
        <f t="shared" si="75"/>
        <v>1</v>
      </c>
      <c r="D191" s="206">
        <f t="shared" si="75"/>
        <v>40</v>
      </c>
      <c r="E191" s="206">
        <f t="shared" si="75"/>
        <v>7</v>
      </c>
      <c r="F191" s="206">
        <f t="shared" si="75"/>
        <v>0</v>
      </c>
      <c r="G191" s="206">
        <f t="shared" si="75"/>
        <v>7</v>
      </c>
      <c r="H191" s="206">
        <f t="shared" si="75"/>
        <v>34</v>
      </c>
      <c r="I191" s="206">
        <f t="shared" si="75"/>
        <v>1</v>
      </c>
      <c r="J191" s="206">
        <f>SUM(J189:J190)</f>
        <v>33</v>
      </c>
      <c r="K191" s="220" t="s">
        <v>12</v>
      </c>
      <c r="L191" s="223"/>
    </row>
    <row r="192" spans="2:12" ht="15" customHeight="1" thickBot="1" x14ac:dyDescent="0.25">
      <c r="B192" s="206">
        <f t="shared" si="51"/>
        <v>121</v>
      </c>
      <c r="C192" s="206">
        <f t="shared" si="52"/>
        <v>0</v>
      </c>
      <c r="D192" s="206">
        <f t="shared" si="52"/>
        <v>121</v>
      </c>
      <c r="E192" s="206">
        <f t="shared" si="53"/>
        <v>1</v>
      </c>
      <c r="F192" s="206">
        <v>0</v>
      </c>
      <c r="G192" s="206">
        <v>1</v>
      </c>
      <c r="H192" s="206">
        <f t="shared" si="54"/>
        <v>120</v>
      </c>
      <c r="I192" s="206">
        <v>0</v>
      </c>
      <c r="J192" s="206">
        <v>120</v>
      </c>
      <c r="K192" s="220" t="s">
        <v>233</v>
      </c>
      <c r="L192" s="228"/>
    </row>
    <row r="193" spans="2:12" ht="15" customHeight="1" thickBot="1" x14ac:dyDescent="0.25">
      <c r="B193" s="206">
        <f t="shared" si="51"/>
        <v>0</v>
      </c>
      <c r="C193" s="206">
        <f t="shared" si="52"/>
        <v>0</v>
      </c>
      <c r="D193" s="206">
        <f t="shared" si="52"/>
        <v>0</v>
      </c>
      <c r="E193" s="206">
        <f t="shared" si="53"/>
        <v>0</v>
      </c>
      <c r="F193" s="206">
        <v>0</v>
      </c>
      <c r="G193" s="206">
        <v>0</v>
      </c>
      <c r="H193" s="206">
        <f t="shared" si="54"/>
        <v>0</v>
      </c>
      <c r="I193" s="206">
        <v>0</v>
      </c>
      <c r="J193" s="206">
        <v>0</v>
      </c>
      <c r="K193" s="220" t="s">
        <v>234</v>
      </c>
      <c r="L193" s="221" t="s">
        <v>384</v>
      </c>
    </row>
    <row r="194" spans="2:12" ht="15" customHeight="1" thickBot="1" x14ac:dyDescent="0.25">
      <c r="B194" s="206">
        <f t="shared" ref="B194:I194" si="76">SUM(B192:B193)</f>
        <v>121</v>
      </c>
      <c r="C194" s="206">
        <f t="shared" si="76"/>
        <v>0</v>
      </c>
      <c r="D194" s="206">
        <f t="shared" si="76"/>
        <v>121</v>
      </c>
      <c r="E194" s="206">
        <f t="shared" si="76"/>
        <v>1</v>
      </c>
      <c r="F194" s="206">
        <f t="shared" si="76"/>
        <v>0</v>
      </c>
      <c r="G194" s="206">
        <f t="shared" si="76"/>
        <v>1</v>
      </c>
      <c r="H194" s="206">
        <f t="shared" si="76"/>
        <v>120</v>
      </c>
      <c r="I194" s="206">
        <f t="shared" si="76"/>
        <v>0</v>
      </c>
      <c r="J194" s="206">
        <f>SUM(J192:J193)</f>
        <v>120</v>
      </c>
      <c r="K194" s="220" t="s">
        <v>12</v>
      </c>
      <c r="L194" s="222"/>
    </row>
    <row r="195" spans="2:12" ht="15" customHeight="1" thickBot="1" x14ac:dyDescent="0.25">
      <c r="B195" s="206">
        <f t="shared" ref="B195:B244" si="77">SUM(C195:D195)</f>
        <v>28</v>
      </c>
      <c r="C195" s="206">
        <f t="shared" ref="C195:D244" si="78">I195+F195</f>
        <v>0</v>
      </c>
      <c r="D195" s="206">
        <f t="shared" si="78"/>
        <v>28</v>
      </c>
      <c r="E195" s="206">
        <f t="shared" ref="E195:E244" si="79">SUM(F195:G195)</f>
        <v>0</v>
      </c>
      <c r="F195" s="206">
        <v>0</v>
      </c>
      <c r="G195" s="206">
        <v>0</v>
      </c>
      <c r="H195" s="206">
        <f t="shared" ref="H195:H244" si="80">SUM(I195:J195)</f>
        <v>28</v>
      </c>
      <c r="I195" s="206">
        <v>0</v>
      </c>
      <c r="J195" s="206">
        <v>28</v>
      </c>
      <c r="K195" s="220" t="s">
        <v>233</v>
      </c>
      <c r="L195" s="228"/>
    </row>
    <row r="196" spans="2:12" ht="15" customHeight="1" thickBot="1" x14ac:dyDescent="0.25">
      <c r="B196" s="206">
        <f t="shared" si="77"/>
        <v>0</v>
      </c>
      <c r="C196" s="206">
        <f t="shared" si="78"/>
        <v>0</v>
      </c>
      <c r="D196" s="206">
        <f t="shared" si="78"/>
        <v>0</v>
      </c>
      <c r="E196" s="206">
        <f t="shared" si="79"/>
        <v>0</v>
      </c>
      <c r="F196" s="206">
        <v>0</v>
      </c>
      <c r="G196" s="206">
        <v>0</v>
      </c>
      <c r="H196" s="206">
        <f t="shared" si="80"/>
        <v>0</v>
      </c>
      <c r="I196" s="206">
        <v>0</v>
      </c>
      <c r="J196" s="206">
        <v>0</v>
      </c>
      <c r="K196" s="220" t="s">
        <v>234</v>
      </c>
      <c r="L196" s="221" t="s">
        <v>385</v>
      </c>
    </row>
    <row r="197" spans="2:12" ht="15" customHeight="1" thickBot="1" x14ac:dyDescent="0.25">
      <c r="B197" s="206">
        <f t="shared" ref="B197:I197" si="81">SUM(B195:B196)</f>
        <v>28</v>
      </c>
      <c r="C197" s="206">
        <f t="shared" si="81"/>
        <v>0</v>
      </c>
      <c r="D197" s="206">
        <f t="shared" si="81"/>
        <v>28</v>
      </c>
      <c r="E197" s="206">
        <f t="shared" si="81"/>
        <v>0</v>
      </c>
      <c r="F197" s="206">
        <f t="shared" si="81"/>
        <v>0</v>
      </c>
      <c r="G197" s="206">
        <f t="shared" si="81"/>
        <v>0</v>
      </c>
      <c r="H197" s="206">
        <f t="shared" si="81"/>
        <v>28</v>
      </c>
      <c r="I197" s="206">
        <f t="shared" si="81"/>
        <v>0</v>
      </c>
      <c r="J197" s="206">
        <f>SUM(J195:J196)</f>
        <v>28</v>
      </c>
      <c r="K197" s="220" t="s">
        <v>12</v>
      </c>
      <c r="L197" s="222"/>
    </row>
    <row r="198" spans="2:12" ht="15" customHeight="1" thickBot="1" x14ac:dyDescent="0.25">
      <c r="B198" s="206">
        <f t="shared" si="77"/>
        <v>101</v>
      </c>
      <c r="C198" s="206">
        <f t="shared" si="78"/>
        <v>0</v>
      </c>
      <c r="D198" s="206">
        <f t="shared" si="78"/>
        <v>101</v>
      </c>
      <c r="E198" s="206">
        <f t="shared" si="79"/>
        <v>6</v>
      </c>
      <c r="F198" s="206">
        <v>0</v>
      </c>
      <c r="G198" s="206">
        <v>6</v>
      </c>
      <c r="H198" s="206">
        <f t="shared" si="80"/>
        <v>95</v>
      </c>
      <c r="I198" s="206">
        <v>0</v>
      </c>
      <c r="J198" s="206">
        <v>95</v>
      </c>
      <c r="K198" s="220" t="s">
        <v>233</v>
      </c>
      <c r="L198" s="228"/>
    </row>
    <row r="199" spans="2:12" ht="15" customHeight="1" thickBot="1" x14ac:dyDescent="0.25">
      <c r="B199" s="206">
        <f t="shared" si="77"/>
        <v>0</v>
      </c>
      <c r="C199" s="206">
        <f t="shared" si="78"/>
        <v>0</v>
      </c>
      <c r="D199" s="206">
        <f t="shared" si="78"/>
        <v>0</v>
      </c>
      <c r="E199" s="206">
        <f t="shared" si="79"/>
        <v>0</v>
      </c>
      <c r="F199" s="206">
        <v>0</v>
      </c>
      <c r="G199" s="206">
        <v>0</v>
      </c>
      <c r="H199" s="206">
        <f t="shared" si="80"/>
        <v>0</v>
      </c>
      <c r="I199" s="206">
        <v>0</v>
      </c>
      <c r="J199" s="206">
        <v>0</v>
      </c>
      <c r="K199" s="220" t="s">
        <v>234</v>
      </c>
      <c r="L199" s="221" t="s">
        <v>386</v>
      </c>
    </row>
    <row r="200" spans="2:12" ht="15" customHeight="1" thickBot="1" x14ac:dyDescent="0.25">
      <c r="B200" s="206">
        <f t="shared" ref="B200:I200" si="82">SUM(B198:B199)</f>
        <v>101</v>
      </c>
      <c r="C200" s="206">
        <f t="shared" si="82"/>
        <v>0</v>
      </c>
      <c r="D200" s="206">
        <f t="shared" si="82"/>
        <v>101</v>
      </c>
      <c r="E200" s="206">
        <f t="shared" si="82"/>
        <v>6</v>
      </c>
      <c r="F200" s="206">
        <f t="shared" si="82"/>
        <v>0</v>
      </c>
      <c r="G200" s="206">
        <f t="shared" si="82"/>
        <v>6</v>
      </c>
      <c r="H200" s="206">
        <f t="shared" si="82"/>
        <v>95</v>
      </c>
      <c r="I200" s="206">
        <f t="shared" si="82"/>
        <v>0</v>
      </c>
      <c r="J200" s="206">
        <f>SUM(J198:J199)</f>
        <v>95</v>
      </c>
      <c r="K200" s="220" t="s">
        <v>12</v>
      </c>
      <c r="L200" s="222"/>
    </row>
    <row r="201" spans="2:12" ht="15" customHeight="1" thickBot="1" x14ac:dyDescent="0.25">
      <c r="B201" s="206">
        <f t="shared" si="77"/>
        <v>15</v>
      </c>
      <c r="C201" s="206">
        <f t="shared" si="78"/>
        <v>0</v>
      </c>
      <c r="D201" s="206">
        <f t="shared" si="78"/>
        <v>15</v>
      </c>
      <c r="E201" s="206">
        <f t="shared" si="79"/>
        <v>0</v>
      </c>
      <c r="F201" s="206">
        <v>0</v>
      </c>
      <c r="G201" s="206">
        <v>0</v>
      </c>
      <c r="H201" s="206">
        <f t="shared" si="80"/>
        <v>15</v>
      </c>
      <c r="I201" s="206">
        <v>0</v>
      </c>
      <c r="J201" s="206">
        <v>15</v>
      </c>
      <c r="K201" s="220" t="s">
        <v>233</v>
      </c>
      <c r="L201" s="228"/>
    </row>
    <row r="202" spans="2:12" ht="15" customHeight="1" thickBot="1" x14ac:dyDescent="0.25">
      <c r="B202" s="206">
        <f t="shared" si="77"/>
        <v>0</v>
      </c>
      <c r="C202" s="206">
        <f t="shared" si="78"/>
        <v>0</v>
      </c>
      <c r="D202" s="206">
        <f t="shared" si="78"/>
        <v>0</v>
      </c>
      <c r="E202" s="206">
        <f t="shared" si="79"/>
        <v>0</v>
      </c>
      <c r="F202" s="206">
        <v>0</v>
      </c>
      <c r="G202" s="206">
        <v>0</v>
      </c>
      <c r="H202" s="206">
        <f t="shared" si="80"/>
        <v>0</v>
      </c>
      <c r="I202" s="206">
        <v>0</v>
      </c>
      <c r="J202" s="206">
        <v>0</v>
      </c>
      <c r="K202" s="220" t="s">
        <v>234</v>
      </c>
      <c r="L202" s="221" t="s">
        <v>387</v>
      </c>
    </row>
    <row r="203" spans="2:12" ht="15" customHeight="1" thickBot="1" x14ac:dyDescent="0.25">
      <c r="B203" s="206">
        <f t="shared" ref="B203:I203" si="83">SUM(B201:B202)</f>
        <v>15</v>
      </c>
      <c r="C203" s="206">
        <f t="shared" si="83"/>
        <v>0</v>
      </c>
      <c r="D203" s="206">
        <f t="shared" si="83"/>
        <v>15</v>
      </c>
      <c r="E203" s="206">
        <f t="shared" si="83"/>
        <v>0</v>
      </c>
      <c r="F203" s="206">
        <f t="shared" si="83"/>
        <v>0</v>
      </c>
      <c r="G203" s="206">
        <f t="shared" si="83"/>
        <v>0</v>
      </c>
      <c r="H203" s="206">
        <f t="shared" si="83"/>
        <v>15</v>
      </c>
      <c r="I203" s="206">
        <f t="shared" si="83"/>
        <v>0</v>
      </c>
      <c r="J203" s="206">
        <f>SUM(J201:J202)</f>
        <v>15</v>
      </c>
      <c r="K203" s="220" t="s">
        <v>12</v>
      </c>
      <c r="L203" s="222"/>
    </row>
    <row r="204" spans="2:12" ht="15" customHeight="1" thickBot="1" x14ac:dyDescent="0.25">
      <c r="B204" s="206">
        <f t="shared" si="77"/>
        <v>72</v>
      </c>
      <c r="C204" s="206">
        <f t="shared" si="78"/>
        <v>0</v>
      </c>
      <c r="D204" s="206">
        <f t="shared" si="78"/>
        <v>72</v>
      </c>
      <c r="E204" s="206">
        <f t="shared" si="79"/>
        <v>0</v>
      </c>
      <c r="F204" s="206">
        <v>0</v>
      </c>
      <c r="G204" s="206">
        <v>0</v>
      </c>
      <c r="H204" s="206">
        <f t="shared" si="80"/>
        <v>72</v>
      </c>
      <c r="I204" s="206">
        <v>0</v>
      </c>
      <c r="J204" s="206">
        <v>72</v>
      </c>
      <c r="K204" s="220" t="s">
        <v>233</v>
      </c>
      <c r="L204" s="228"/>
    </row>
    <row r="205" spans="2:12" ht="15" customHeight="1" thickBot="1" x14ac:dyDescent="0.25">
      <c r="B205" s="206">
        <f t="shared" si="77"/>
        <v>0</v>
      </c>
      <c r="C205" s="206">
        <f t="shared" si="78"/>
        <v>0</v>
      </c>
      <c r="D205" s="206">
        <f t="shared" si="78"/>
        <v>0</v>
      </c>
      <c r="E205" s="206">
        <f t="shared" si="79"/>
        <v>0</v>
      </c>
      <c r="F205" s="206">
        <v>0</v>
      </c>
      <c r="G205" s="206">
        <v>0</v>
      </c>
      <c r="H205" s="206">
        <f t="shared" si="80"/>
        <v>0</v>
      </c>
      <c r="I205" s="206">
        <v>0</v>
      </c>
      <c r="J205" s="206">
        <v>0</v>
      </c>
      <c r="K205" s="220" t="s">
        <v>234</v>
      </c>
      <c r="L205" s="221" t="s">
        <v>388</v>
      </c>
    </row>
    <row r="206" spans="2:12" ht="15" customHeight="1" thickBot="1" x14ac:dyDescent="0.25">
      <c r="B206" s="206">
        <f t="shared" ref="B206:I206" si="84">SUM(B204:B205)</f>
        <v>72</v>
      </c>
      <c r="C206" s="206">
        <f t="shared" si="84"/>
        <v>0</v>
      </c>
      <c r="D206" s="206">
        <f t="shared" si="84"/>
        <v>72</v>
      </c>
      <c r="E206" s="206">
        <f t="shared" si="84"/>
        <v>0</v>
      </c>
      <c r="F206" s="206">
        <f t="shared" si="84"/>
        <v>0</v>
      </c>
      <c r="G206" s="206">
        <f t="shared" si="84"/>
        <v>0</v>
      </c>
      <c r="H206" s="206">
        <f t="shared" si="84"/>
        <v>72</v>
      </c>
      <c r="I206" s="206">
        <f t="shared" si="84"/>
        <v>0</v>
      </c>
      <c r="J206" s="206">
        <f>SUM(J204:J205)</f>
        <v>72</v>
      </c>
      <c r="K206" s="220" t="s">
        <v>12</v>
      </c>
      <c r="L206" s="222"/>
    </row>
    <row r="207" spans="2:12" ht="15" customHeight="1" thickBot="1" x14ac:dyDescent="0.25">
      <c r="B207" s="206">
        <f t="shared" si="77"/>
        <v>29</v>
      </c>
      <c r="C207" s="206">
        <f t="shared" si="78"/>
        <v>0</v>
      </c>
      <c r="D207" s="206">
        <f t="shared" si="78"/>
        <v>29</v>
      </c>
      <c r="E207" s="206">
        <f t="shared" si="79"/>
        <v>0</v>
      </c>
      <c r="F207" s="206">
        <v>0</v>
      </c>
      <c r="G207" s="206">
        <v>0</v>
      </c>
      <c r="H207" s="206">
        <f t="shared" si="80"/>
        <v>29</v>
      </c>
      <c r="I207" s="206">
        <v>0</v>
      </c>
      <c r="J207" s="206">
        <v>29</v>
      </c>
      <c r="K207" s="220" t="s">
        <v>233</v>
      </c>
      <c r="L207" s="223"/>
    </row>
    <row r="208" spans="2:12" ht="15" customHeight="1" thickBot="1" x14ac:dyDescent="0.25">
      <c r="B208" s="206">
        <f t="shared" si="77"/>
        <v>0</v>
      </c>
      <c r="C208" s="206">
        <f t="shared" si="78"/>
        <v>0</v>
      </c>
      <c r="D208" s="206">
        <f t="shared" si="78"/>
        <v>0</v>
      </c>
      <c r="E208" s="206">
        <f t="shared" si="79"/>
        <v>0</v>
      </c>
      <c r="F208" s="206">
        <v>0</v>
      </c>
      <c r="G208" s="206">
        <v>0</v>
      </c>
      <c r="H208" s="206">
        <f t="shared" si="80"/>
        <v>0</v>
      </c>
      <c r="I208" s="206">
        <v>0</v>
      </c>
      <c r="J208" s="206">
        <v>0</v>
      </c>
      <c r="K208" s="220" t="s">
        <v>234</v>
      </c>
      <c r="L208" s="221" t="s">
        <v>389</v>
      </c>
    </row>
    <row r="209" spans="2:12" ht="15" customHeight="1" thickBot="1" x14ac:dyDescent="0.25">
      <c r="B209" s="206">
        <f t="shared" ref="B209:I209" si="85">SUM(B207:B208)</f>
        <v>29</v>
      </c>
      <c r="C209" s="206">
        <f t="shared" si="85"/>
        <v>0</v>
      </c>
      <c r="D209" s="206">
        <f t="shared" si="85"/>
        <v>29</v>
      </c>
      <c r="E209" s="206">
        <f t="shared" si="85"/>
        <v>0</v>
      </c>
      <c r="F209" s="206">
        <f t="shared" si="85"/>
        <v>0</v>
      </c>
      <c r="G209" s="206">
        <f t="shared" si="85"/>
        <v>0</v>
      </c>
      <c r="H209" s="206">
        <f t="shared" si="85"/>
        <v>29</v>
      </c>
      <c r="I209" s="206">
        <f t="shared" si="85"/>
        <v>0</v>
      </c>
      <c r="J209" s="206">
        <f>SUM(J207:J208)</f>
        <v>29</v>
      </c>
      <c r="K209" s="220" t="s">
        <v>12</v>
      </c>
      <c r="L209" s="223"/>
    </row>
    <row r="210" spans="2:12" ht="15" customHeight="1" thickBot="1" x14ac:dyDescent="0.25">
      <c r="B210" s="206">
        <f t="shared" si="77"/>
        <v>259</v>
      </c>
      <c r="C210" s="206">
        <f t="shared" si="78"/>
        <v>0</v>
      </c>
      <c r="D210" s="206">
        <f t="shared" si="78"/>
        <v>259</v>
      </c>
      <c r="E210" s="206">
        <f t="shared" si="79"/>
        <v>0</v>
      </c>
      <c r="F210" s="206">
        <v>0</v>
      </c>
      <c r="G210" s="206">
        <v>0</v>
      </c>
      <c r="H210" s="206">
        <f t="shared" si="80"/>
        <v>259</v>
      </c>
      <c r="I210" s="206">
        <v>0</v>
      </c>
      <c r="J210" s="206">
        <v>259</v>
      </c>
      <c r="K210" s="220" t="s">
        <v>233</v>
      </c>
      <c r="L210" s="228"/>
    </row>
    <row r="211" spans="2:12" ht="15" customHeight="1" thickBot="1" x14ac:dyDescent="0.25">
      <c r="B211" s="206">
        <f t="shared" si="77"/>
        <v>0</v>
      </c>
      <c r="C211" s="206">
        <f t="shared" si="78"/>
        <v>0</v>
      </c>
      <c r="D211" s="206">
        <f t="shared" si="78"/>
        <v>0</v>
      </c>
      <c r="E211" s="206">
        <f t="shared" si="79"/>
        <v>0</v>
      </c>
      <c r="F211" s="206">
        <v>0</v>
      </c>
      <c r="G211" s="206">
        <v>0</v>
      </c>
      <c r="H211" s="206">
        <f t="shared" si="80"/>
        <v>0</v>
      </c>
      <c r="I211" s="206">
        <v>0</v>
      </c>
      <c r="J211" s="206">
        <v>0</v>
      </c>
      <c r="K211" s="220" t="s">
        <v>234</v>
      </c>
      <c r="L211" s="221" t="s">
        <v>390</v>
      </c>
    </row>
    <row r="212" spans="2:12" ht="15" customHeight="1" thickBot="1" x14ac:dyDescent="0.25">
      <c r="B212" s="206">
        <f t="shared" ref="B212:I212" si="86">SUM(B210:B211)</f>
        <v>259</v>
      </c>
      <c r="C212" s="206">
        <f t="shared" si="86"/>
        <v>0</v>
      </c>
      <c r="D212" s="206">
        <f t="shared" si="86"/>
        <v>259</v>
      </c>
      <c r="E212" s="206">
        <f t="shared" si="86"/>
        <v>0</v>
      </c>
      <c r="F212" s="206">
        <f t="shared" si="86"/>
        <v>0</v>
      </c>
      <c r="G212" s="206">
        <f t="shared" si="86"/>
        <v>0</v>
      </c>
      <c r="H212" s="206">
        <f t="shared" si="86"/>
        <v>259</v>
      </c>
      <c r="I212" s="206">
        <f t="shared" si="86"/>
        <v>0</v>
      </c>
      <c r="J212" s="206">
        <f>SUM(J210:J211)</f>
        <v>259</v>
      </c>
      <c r="K212" s="220" t="s">
        <v>12</v>
      </c>
      <c r="L212" s="222"/>
    </row>
    <row r="213" spans="2:12" ht="15" customHeight="1" thickBot="1" x14ac:dyDescent="0.25">
      <c r="B213" s="206">
        <f t="shared" si="77"/>
        <v>32</v>
      </c>
      <c r="C213" s="206">
        <f t="shared" si="78"/>
        <v>32</v>
      </c>
      <c r="D213" s="206">
        <f t="shared" si="78"/>
        <v>0</v>
      </c>
      <c r="E213" s="206">
        <f t="shared" si="79"/>
        <v>0</v>
      </c>
      <c r="F213" s="206">
        <v>0</v>
      </c>
      <c r="G213" s="206">
        <v>0</v>
      </c>
      <c r="H213" s="206">
        <f t="shared" si="80"/>
        <v>32</v>
      </c>
      <c r="I213" s="206">
        <v>32</v>
      </c>
      <c r="J213" s="206">
        <v>0</v>
      </c>
      <c r="K213" s="220" t="s">
        <v>233</v>
      </c>
      <c r="L213" s="228"/>
    </row>
    <row r="214" spans="2:12" ht="15" customHeight="1" thickBot="1" x14ac:dyDescent="0.25">
      <c r="B214" s="206">
        <f t="shared" si="77"/>
        <v>0</v>
      </c>
      <c r="C214" s="206">
        <f t="shared" si="78"/>
        <v>0</v>
      </c>
      <c r="D214" s="206">
        <f t="shared" si="78"/>
        <v>0</v>
      </c>
      <c r="E214" s="206">
        <f t="shared" si="79"/>
        <v>0</v>
      </c>
      <c r="F214" s="206">
        <v>0</v>
      </c>
      <c r="G214" s="206">
        <v>0</v>
      </c>
      <c r="H214" s="206">
        <f t="shared" si="80"/>
        <v>0</v>
      </c>
      <c r="I214" s="206">
        <v>0</v>
      </c>
      <c r="J214" s="206">
        <v>0</v>
      </c>
      <c r="K214" s="220" t="s">
        <v>234</v>
      </c>
      <c r="L214" s="221" t="s">
        <v>391</v>
      </c>
    </row>
    <row r="215" spans="2:12" ht="15" customHeight="1" thickBot="1" x14ac:dyDescent="0.25">
      <c r="B215" s="206">
        <f t="shared" ref="B215:I215" si="87">SUM(B213:B214)</f>
        <v>32</v>
      </c>
      <c r="C215" s="206">
        <f t="shared" si="87"/>
        <v>32</v>
      </c>
      <c r="D215" s="206">
        <f t="shared" si="87"/>
        <v>0</v>
      </c>
      <c r="E215" s="206">
        <f t="shared" si="87"/>
        <v>0</v>
      </c>
      <c r="F215" s="206">
        <f t="shared" si="87"/>
        <v>0</v>
      </c>
      <c r="G215" s="206">
        <f t="shared" si="87"/>
        <v>0</v>
      </c>
      <c r="H215" s="206">
        <f t="shared" si="87"/>
        <v>32</v>
      </c>
      <c r="I215" s="206">
        <f t="shared" si="87"/>
        <v>32</v>
      </c>
      <c r="J215" s="206">
        <f>SUM(J213:J214)</f>
        <v>0</v>
      </c>
      <c r="K215" s="220" t="s">
        <v>12</v>
      </c>
      <c r="L215" s="222"/>
    </row>
    <row r="216" spans="2:12" ht="15" customHeight="1" thickBot="1" x14ac:dyDescent="0.25">
      <c r="B216" s="206">
        <f t="shared" si="77"/>
        <v>207</v>
      </c>
      <c r="C216" s="206">
        <f t="shared" si="78"/>
        <v>0</v>
      </c>
      <c r="D216" s="206">
        <f t="shared" si="78"/>
        <v>207</v>
      </c>
      <c r="E216" s="206">
        <f t="shared" si="79"/>
        <v>0</v>
      </c>
      <c r="F216" s="206">
        <v>0</v>
      </c>
      <c r="G216" s="206">
        <v>0</v>
      </c>
      <c r="H216" s="206">
        <f t="shared" si="80"/>
        <v>207</v>
      </c>
      <c r="I216" s="206">
        <v>0</v>
      </c>
      <c r="J216" s="206">
        <v>207</v>
      </c>
      <c r="K216" s="220" t="s">
        <v>233</v>
      </c>
      <c r="L216" s="228"/>
    </row>
    <row r="217" spans="2:12" ht="15" customHeight="1" thickBot="1" x14ac:dyDescent="0.25">
      <c r="B217" s="206">
        <f t="shared" si="77"/>
        <v>0</v>
      </c>
      <c r="C217" s="206">
        <f t="shared" si="78"/>
        <v>0</v>
      </c>
      <c r="D217" s="206">
        <f t="shared" si="78"/>
        <v>0</v>
      </c>
      <c r="E217" s="206">
        <f t="shared" si="79"/>
        <v>0</v>
      </c>
      <c r="F217" s="206">
        <v>0</v>
      </c>
      <c r="G217" s="206">
        <v>0</v>
      </c>
      <c r="H217" s="206">
        <f t="shared" si="80"/>
        <v>0</v>
      </c>
      <c r="I217" s="206">
        <v>0</v>
      </c>
      <c r="J217" s="206">
        <v>0</v>
      </c>
      <c r="K217" s="220" t="s">
        <v>234</v>
      </c>
      <c r="L217" s="221" t="s">
        <v>392</v>
      </c>
    </row>
    <row r="218" spans="2:12" ht="15" customHeight="1" thickBot="1" x14ac:dyDescent="0.25">
      <c r="B218" s="206">
        <f t="shared" ref="B218:I218" si="88">SUM(B216:B217)</f>
        <v>207</v>
      </c>
      <c r="C218" s="206">
        <f t="shared" si="88"/>
        <v>0</v>
      </c>
      <c r="D218" s="206">
        <f t="shared" si="88"/>
        <v>207</v>
      </c>
      <c r="E218" s="206">
        <f t="shared" si="88"/>
        <v>0</v>
      </c>
      <c r="F218" s="206">
        <f t="shared" si="88"/>
        <v>0</v>
      </c>
      <c r="G218" s="206">
        <f t="shared" si="88"/>
        <v>0</v>
      </c>
      <c r="H218" s="206">
        <f t="shared" si="88"/>
        <v>207</v>
      </c>
      <c r="I218" s="206">
        <f t="shared" si="88"/>
        <v>0</v>
      </c>
      <c r="J218" s="206">
        <f>SUM(J216:J217)</f>
        <v>207</v>
      </c>
      <c r="K218" s="220" t="s">
        <v>12</v>
      </c>
      <c r="L218" s="222"/>
    </row>
    <row r="219" spans="2:12" ht="15" customHeight="1" thickBot="1" x14ac:dyDescent="0.25">
      <c r="B219" s="206">
        <f t="shared" si="77"/>
        <v>126</v>
      </c>
      <c r="C219" s="206">
        <f t="shared" si="78"/>
        <v>0</v>
      </c>
      <c r="D219" s="206">
        <f t="shared" si="78"/>
        <v>126</v>
      </c>
      <c r="E219" s="206">
        <f t="shared" si="79"/>
        <v>0</v>
      </c>
      <c r="F219" s="206">
        <v>0</v>
      </c>
      <c r="G219" s="206">
        <v>0</v>
      </c>
      <c r="H219" s="206">
        <f t="shared" si="80"/>
        <v>126</v>
      </c>
      <c r="I219" s="206">
        <v>0</v>
      </c>
      <c r="J219" s="206">
        <v>126</v>
      </c>
      <c r="K219" s="220" t="s">
        <v>233</v>
      </c>
      <c r="L219" s="228"/>
    </row>
    <row r="220" spans="2:12" ht="15" customHeight="1" thickBot="1" x14ac:dyDescent="0.25">
      <c r="B220" s="206">
        <f t="shared" si="77"/>
        <v>0</v>
      </c>
      <c r="C220" s="206">
        <f t="shared" si="78"/>
        <v>0</v>
      </c>
      <c r="D220" s="206">
        <f t="shared" si="78"/>
        <v>0</v>
      </c>
      <c r="E220" s="206">
        <f t="shared" si="79"/>
        <v>0</v>
      </c>
      <c r="F220" s="206">
        <v>0</v>
      </c>
      <c r="G220" s="206">
        <v>0</v>
      </c>
      <c r="H220" s="206">
        <f t="shared" si="80"/>
        <v>0</v>
      </c>
      <c r="I220" s="206">
        <v>0</v>
      </c>
      <c r="J220" s="206">
        <v>0</v>
      </c>
      <c r="K220" s="220" t="s">
        <v>234</v>
      </c>
      <c r="L220" s="221" t="s">
        <v>393</v>
      </c>
    </row>
    <row r="221" spans="2:12" ht="15" customHeight="1" thickBot="1" x14ac:dyDescent="0.25">
      <c r="B221" s="206">
        <f t="shared" ref="B221:I221" si="89">SUM(B219:B220)</f>
        <v>126</v>
      </c>
      <c r="C221" s="206">
        <f t="shared" si="89"/>
        <v>0</v>
      </c>
      <c r="D221" s="206">
        <f t="shared" si="89"/>
        <v>126</v>
      </c>
      <c r="E221" s="206">
        <f t="shared" si="89"/>
        <v>0</v>
      </c>
      <c r="F221" s="206">
        <f t="shared" si="89"/>
        <v>0</v>
      </c>
      <c r="G221" s="206">
        <f t="shared" si="89"/>
        <v>0</v>
      </c>
      <c r="H221" s="206">
        <f t="shared" si="89"/>
        <v>126</v>
      </c>
      <c r="I221" s="206">
        <f t="shared" si="89"/>
        <v>0</v>
      </c>
      <c r="J221" s="206">
        <f>SUM(J219:J220)</f>
        <v>126</v>
      </c>
      <c r="K221" s="220" t="s">
        <v>12</v>
      </c>
      <c r="L221" s="222"/>
    </row>
    <row r="222" spans="2:12" ht="15" customHeight="1" thickBot="1" x14ac:dyDescent="0.25">
      <c r="B222" s="206">
        <f t="shared" si="77"/>
        <v>71</v>
      </c>
      <c r="C222" s="206">
        <f t="shared" si="78"/>
        <v>29</v>
      </c>
      <c r="D222" s="206">
        <f t="shared" si="78"/>
        <v>42</v>
      </c>
      <c r="E222" s="206">
        <f t="shared" si="79"/>
        <v>0</v>
      </c>
      <c r="F222" s="206">
        <v>0</v>
      </c>
      <c r="G222" s="206">
        <v>0</v>
      </c>
      <c r="H222" s="206">
        <f t="shared" si="80"/>
        <v>71</v>
      </c>
      <c r="I222" s="206">
        <v>29</v>
      </c>
      <c r="J222" s="206">
        <v>42</v>
      </c>
      <c r="K222" s="220" t="s">
        <v>233</v>
      </c>
      <c r="L222" s="228"/>
    </row>
    <row r="223" spans="2:12" ht="15" customHeight="1" thickBot="1" x14ac:dyDescent="0.25">
      <c r="B223" s="206">
        <f t="shared" si="77"/>
        <v>0</v>
      </c>
      <c r="C223" s="206">
        <f t="shared" si="78"/>
        <v>0</v>
      </c>
      <c r="D223" s="206">
        <f t="shared" si="78"/>
        <v>0</v>
      </c>
      <c r="E223" s="206">
        <f t="shared" si="79"/>
        <v>0</v>
      </c>
      <c r="F223" s="206">
        <v>0</v>
      </c>
      <c r="G223" s="206">
        <v>0</v>
      </c>
      <c r="H223" s="206">
        <f t="shared" si="80"/>
        <v>0</v>
      </c>
      <c r="I223" s="206">
        <v>0</v>
      </c>
      <c r="J223" s="206">
        <v>0</v>
      </c>
      <c r="K223" s="220" t="s">
        <v>234</v>
      </c>
      <c r="L223" s="221" t="s">
        <v>394</v>
      </c>
    </row>
    <row r="224" spans="2:12" ht="15" customHeight="1" thickBot="1" x14ac:dyDescent="0.25">
      <c r="B224" s="206">
        <f t="shared" ref="B224:I224" si="90">SUM(B222:B223)</f>
        <v>71</v>
      </c>
      <c r="C224" s="206">
        <f t="shared" si="90"/>
        <v>29</v>
      </c>
      <c r="D224" s="206">
        <f t="shared" si="90"/>
        <v>42</v>
      </c>
      <c r="E224" s="206">
        <f t="shared" si="90"/>
        <v>0</v>
      </c>
      <c r="F224" s="206">
        <f t="shared" si="90"/>
        <v>0</v>
      </c>
      <c r="G224" s="206">
        <f t="shared" si="90"/>
        <v>0</v>
      </c>
      <c r="H224" s="206">
        <f t="shared" si="90"/>
        <v>71</v>
      </c>
      <c r="I224" s="206">
        <f t="shared" si="90"/>
        <v>29</v>
      </c>
      <c r="J224" s="206">
        <f>SUM(J222:J223)</f>
        <v>42</v>
      </c>
      <c r="K224" s="220" t="s">
        <v>12</v>
      </c>
      <c r="L224" s="222"/>
    </row>
    <row r="225" spans="2:12" ht="15" customHeight="1" thickBot="1" x14ac:dyDescent="0.25">
      <c r="B225" s="206">
        <f t="shared" si="77"/>
        <v>329</v>
      </c>
      <c r="C225" s="206">
        <f t="shared" si="78"/>
        <v>0</v>
      </c>
      <c r="D225" s="206">
        <f t="shared" si="78"/>
        <v>329</v>
      </c>
      <c r="E225" s="206">
        <f t="shared" si="79"/>
        <v>0</v>
      </c>
      <c r="F225" s="206">
        <v>0</v>
      </c>
      <c r="G225" s="206">
        <v>0</v>
      </c>
      <c r="H225" s="206">
        <f t="shared" si="80"/>
        <v>329</v>
      </c>
      <c r="I225" s="206">
        <v>0</v>
      </c>
      <c r="J225" s="206">
        <v>329</v>
      </c>
      <c r="K225" s="220" t="s">
        <v>233</v>
      </c>
      <c r="L225" s="228"/>
    </row>
    <row r="226" spans="2:12" ht="15" customHeight="1" thickBot="1" x14ac:dyDescent="0.25">
      <c r="B226" s="206">
        <f t="shared" si="77"/>
        <v>0</v>
      </c>
      <c r="C226" s="206">
        <f t="shared" si="78"/>
        <v>0</v>
      </c>
      <c r="D226" s="206">
        <f t="shared" si="78"/>
        <v>0</v>
      </c>
      <c r="E226" s="206">
        <f t="shared" si="79"/>
        <v>0</v>
      </c>
      <c r="F226" s="206">
        <v>0</v>
      </c>
      <c r="G226" s="206">
        <v>0</v>
      </c>
      <c r="H226" s="206">
        <f t="shared" si="80"/>
        <v>0</v>
      </c>
      <c r="I226" s="206">
        <v>0</v>
      </c>
      <c r="J226" s="206">
        <v>0</v>
      </c>
      <c r="K226" s="220" t="s">
        <v>234</v>
      </c>
      <c r="L226" s="221" t="s">
        <v>395</v>
      </c>
    </row>
    <row r="227" spans="2:12" ht="15" customHeight="1" thickBot="1" x14ac:dyDescent="0.25">
      <c r="B227" s="206">
        <f t="shared" ref="B227:I227" si="91">SUM(B225:B226)</f>
        <v>329</v>
      </c>
      <c r="C227" s="206">
        <f t="shared" si="91"/>
        <v>0</v>
      </c>
      <c r="D227" s="206">
        <f t="shared" si="91"/>
        <v>329</v>
      </c>
      <c r="E227" s="206">
        <f t="shared" si="91"/>
        <v>0</v>
      </c>
      <c r="F227" s="206">
        <f t="shared" si="91"/>
        <v>0</v>
      </c>
      <c r="G227" s="206">
        <f t="shared" si="91"/>
        <v>0</v>
      </c>
      <c r="H227" s="206">
        <f t="shared" si="91"/>
        <v>329</v>
      </c>
      <c r="I227" s="206">
        <f t="shared" si="91"/>
        <v>0</v>
      </c>
      <c r="J227" s="206">
        <f>SUM(J225:J226)</f>
        <v>329</v>
      </c>
      <c r="K227" s="220" t="s">
        <v>12</v>
      </c>
      <c r="L227" s="222"/>
    </row>
    <row r="228" spans="2:12" ht="15" customHeight="1" thickBot="1" x14ac:dyDescent="0.25">
      <c r="B228" s="206">
        <f t="shared" si="77"/>
        <v>85</v>
      </c>
      <c r="C228" s="206">
        <f t="shared" si="78"/>
        <v>0</v>
      </c>
      <c r="D228" s="206">
        <f t="shared" si="78"/>
        <v>85</v>
      </c>
      <c r="E228" s="206">
        <f t="shared" si="79"/>
        <v>1</v>
      </c>
      <c r="F228" s="206">
        <v>0</v>
      </c>
      <c r="G228" s="206">
        <v>1</v>
      </c>
      <c r="H228" s="206">
        <f t="shared" si="80"/>
        <v>84</v>
      </c>
      <c r="I228" s="206">
        <v>0</v>
      </c>
      <c r="J228" s="206">
        <v>84</v>
      </c>
      <c r="K228" s="220" t="s">
        <v>233</v>
      </c>
      <c r="L228" s="228"/>
    </row>
    <row r="229" spans="2:12" ht="15" customHeight="1" thickBot="1" x14ac:dyDescent="0.25">
      <c r="B229" s="206">
        <f t="shared" si="77"/>
        <v>0</v>
      </c>
      <c r="C229" s="206">
        <f t="shared" si="78"/>
        <v>0</v>
      </c>
      <c r="D229" s="206">
        <f t="shared" si="78"/>
        <v>0</v>
      </c>
      <c r="E229" s="206">
        <f t="shared" si="79"/>
        <v>0</v>
      </c>
      <c r="F229" s="206">
        <v>0</v>
      </c>
      <c r="G229" s="206">
        <v>0</v>
      </c>
      <c r="H229" s="206">
        <f t="shared" si="80"/>
        <v>0</v>
      </c>
      <c r="I229" s="206">
        <v>0</v>
      </c>
      <c r="J229" s="206">
        <v>0</v>
      </c>
      <c r="K229" s="220" t="s">
        <v>234</v>
      </c>
      <c r="L229" s="221" t="s">
        <v>396</v>
      </c>
    </row>
    <row r="230" spans="2:12" ht="15" customHeight="1" thickBot="1" x14ac:dyDescent="0.25">
      <c r="B230" s="206">
        <f t="shared" ref="B230:I230" si="92">SUM(B228:B229)</f>
        <v>85</v>
      </c>
      <c r="C230" s="206">
        <f t="shared" si="92"/>
        <v>0</v>
      </c>
      <c r="D230" s="206">
        <f t="shared" si="92"/>
        <v>85</v>
      </c>
      <c r="E230" s="206">
        <f t="shared" si="92"/>
        <v>1</v>
      </c>
      <c r="F230" s="206">
        <f t="shared" si="92"/>
        <v>0</v>
      </c>
      <c r="G230" s="206">
        <f t="shared" si="92"/>
        <v>1</v>
      </c>
      <c r="H230" s="206">
        <f t="shared" si="92"/>
        <v>84</v>
      </c>
      <c r="I230" s="206">
        <f t="shared" si="92"/>
        <v>0</v>
      </c>
      <c r="J230" s="206">
        <f>SUM(J228:J229)</f>
        <v>84</v>
      </c>
      <c r="K230" s="220" t="s">
        <v>12</v>
      </c>
      <c r="L230" s="222"/>
    </row>
    <row r="231" spans="2:12" ht="15" customHeight="1" thickBot="1" x14ac:dyDescent="0.25">
      <c r="B231" s="206">
        <f t="shared" si="77"/>
        <v>38</v>
      </c>
      <c r="C231" s="206">
        <f t="shared" si="78"/>
        <v>22</v>
      </c>
      <c r="D231" s="206">
        <f t="shared" si="78"/>
        <v>16</v>
      </c>
      <c r="E231" s="206">
        <f t="shared" si="79"/>
        <v>0</v>
      </c>
      <c r="F231" s="206">
        <v>0</v>
      </c>
      <c r="G231" s="206">
        <v>0</v>
      </c>
      <c r="H231" s="206">
        <f t="shared" si="80"/>
        <v>38</v>
      </c>
      <c r="I231" s="206">
        <v>22</v>
      </c>
      <c r="J231" s="206">
        <v>16</v>
      </c>
      <c r="K231" s="220" t="s">
        <v>233</v>
      </c>
      <c r="L231" s="228"/>
    </row>
    <row r="232" spans="2:12" ht="15" customHeight="1" thickBot="1" x14ac:dyDescent="0.25">
      <c r="B232" s="206">
        <f t="shared" si="77"/>
        <v>0</v>
      </c>
      <c r="C232" s="206">
        <f t="shared" si="78"/>
        <v>0</v>
      </c>
      <c r="D232" s="206">
        <f t="shared" si="78"/>
        <v>0</v>
      </c>
      <c r="E232" s="206">
        <f t="shared" si="79"/>
        <v>0</v>
      </c>
      <c r="F232" s="206">
        <v>0</v>
      </c>
      <c r="G232" s="206">
        <v>0</v>
      </c>
      <c r="H232" s="206">
        <f t="shared" si="80"/>
        <v>0</v>
      </c>
      <c r="I232" s="206">
        <v>0</v>
      </c>
      <c r="J232" s="206">
        <v>0</v>
      </c>
      <c r="K232" s="220" t="s">
        <v>234</v>
      </c>
      <c r="L232" s="221" t="s">
        <v>397</v>
      </c>
    </row>
    <row r="233" spans="2:12" ht="15" customHeight="1" thickBot="1" x14ac:dyDescent="0.25">
      <c r="B233" s="206">
        <f t="shared" ref="B233:I233" si="93">SUM(B231:B232)</f>
        <v>38</v>
      </c>
      <c r="C233" s="206">
        <f t="shared" si="93"/>
        <v>22</v>
      </c>
      <c r="D233" s="206">
        <f t="shared" si="93"/>
        <v>16</v>
      </c>
      <c r="E233" s="206">
        <f t="shared" si="93"/>
        <v>0</v>
      </c>
      <c r="F233" s="206">
        <f t="shared" si="93"/>
        <v>0</v>
      </c>
      <c r="G233" s="206">
        <f t="shared" si="93"/>
        <v>0</v>
      </c>
      <c r="H233" s="206">
        <f t="shared" si="93"/>
        <v>38</v>
      </c>
      <c r="I233" s="206">
        <f t="shared" si="93"/>
        <v>22</v>
      </c>
      <c r="J233" s="206">
        <f>SUM(J231:J232)</f>
        <v>16</v>
      </c>
      <c r="K233" s="220" t="s">
        <v>12</v>
      </c>
      <c r="L233" s="222"/>
    </row>
    <row r="234" spans="2:12" ht="15" customHeight="1" thickBot="1" x14ac:dyDescent="0.25">
      <c r="B234" s="206">
        <f t="shared" si="77"/>
        <v>41</v>
      </c>
      <c r="C234" s="206">
        <f t="shared" si="78"/>
        <v>0</v>
      </c>
      <c r="D234" s="206">
        <f t="shared" si="78"/>
        <v>41</v>
      </c>
      <c r="E234" s="206">
        <f t="shared" si="79"/>
        <v>0</v>
      </c>
      <c r="F234" s="206">
        <v>0</v>
      </c>
      <c r="G234" s="206">
        <v>0</v>
      </c>
      <c r="H234" s="206">
        <f t="shared" si="80"/>
        <v>41</v>
      </c>
      <c r="I234" s="206">
        <v>0</v>
      </c>
      <c r="J234" s="206">
        <v>41</v>
      </c>
      <c r="K234" s="220" t="s">
        <v>233</v>
      </c>
      <c r="L234" s="228"/>
    </row>
    <row r="235" spans="2:12" ht="15" customHeight="1" thickBot="1" x14ac:dyDescent="0.25">
      <c r="B235" s="206">
        <f t="shared" si="77"/>
        <v>0</v>
      </c>
      <c r="C235" s="206">
        <f t="shared" si="78"/>
        <v>0</v>
      </c>
      <c r="D235" s="206">
        <f t="shared" si="78"/>
        <v>0</v>
      </c>
      <c r="E235" s="206">
        <f t="shared" si="79"/>
        <v>0</v>
      </c>
      <c r="F235" s="206">
        <v>0</v>
      </c>
      <c r="G235" s="206">
        <v>0</v>
      </c>
      <c r="H235" s="206">
        <f t="shared" si="80"/>
        <v>0</v>
      </c>
      <c r="I235" s="206">
        <v>0</v>
      </c>
      <c r="J235" s="206">
        <v>0</v>
      </c>
      <c r="K235" s="220" t="s">
        <v>234</v>
      </c>
      <c r="L235" s="221" t="s">
        <v>398</v>
      </c>
    </row>
    <row r="236" spans="2:12" ht="15" customHeight="1" thickBot="1" x14ac:dyDescent="0.25">
      <c r="B236" s="206">
        <f t="shared" ref="B236:I236" si="94">SUM(B234:B235)</f>
        <v>41</v>
      </c>
      <c r="C236" s="206">
        <f t="shared" si="94"/>
        <v>0</v>
      </c>
      <c r="D236" s="206">
        <f t="shared" si="94"/>
        <v>41</v>
      </c>
      <c r="E236" s="206">
        <f t="shared" si="94"/>
        <v>0</v>
      </c>
      <c r="F236" s="206">
        <f t="shared" si="94"/>
        <v>0</v>
      </c>
      <c r="G236" s="206">
        <f t="shared" si="94"/>
        <v>0</v>
      </c>
      <c r="H236" s="206">
        <f t="shared" si="94"/>
        <v>41</v>
      </c>
      <c r="I236" s="206">
        <f t="shared" si="94"/>
        <v>0</v>
      </c>
      <c r="J236" s="206">
        <f>SUM(J234:J235)</f>
        <v>41</v>
      </c>
      <c r="K236" s="220" t="s">
        <v>12</v>
      </c>
      <c r="L236" s="222"/>
    </row>
    <row r="237" spans="2:12" ht="15" customHeight="1" thickBot="1" x14ac:dyDescent="0.25">
      <c r="B237" s="206">
        <f t="shared" si="77"/>
        <v>451</v>
      </c>
      <c r="C237" s="206">
        <f t="shared" si="78"/>
        <v>0</v>
      </c>
      <c r="D237" s="206">
        <f t="shared" si="78"/>
        <v>451</v>
      </c>
      <c r="E237" s="206">
        <f t="shared" si="79"/>
        <v>1</v>
      </c>
      <c r="F237" s="206">
        <v>0</v>
      </c>
      <c r="G237" s="206">
        <v>1</v>
      </c>
      <c r="H237" s="206">
        <f t="shared" si="80"/>
        <v>450</v>
      </c>
      <c r="I237" s="206">
        <v>0</v>
      </c>
      <c r="J237" s="206">
        <v>450</v>
      </c>
      <c r="K237" s="220" t="s">
        <v>233</v>
      </c>
      <c r="L237" s="228"/>
    </row>
    <row r="238" spans="2:12" ht="15" customHeight="1" thickBot="1" x14ac:dyDescent="0.25">
      <c r="B238" s="206">
        <f t="shared" si="77"/>
        <v>0</v>
      </c>
      <c r="C238" s="206">
        <f t="shared" si="78"/>
        <v>0</v>
      </c>
      <c r="D238" s="206">
        <f t="shared" si="78"/>
        <v>0</v>
      </c>
      <c r="E238" s="206">
        <f t="shared" si="79"/>
        <v>0</v>
      </c>
      <c r="F238" s="206">
        <v>0</v>
      </c>
      <c r="G238" s="206">
        <v>0</v>
      </c>
      <c r="H238" s="206">
        <f t="shared" si="80"/>
        <v>0</v>
      </c>
      <c r="I238" s="206">
        <v>0</v>
      </c>
      <c r="J238" s="206">
        <v>0</v>
      </c>
      <c r="K238" s="220" t="s">
        <v>234</v>
      </c>
      <c r="L238" s="221" t="s">
        <v>399</v>
      </c>
    </row>
    <row r="239" spans="2:12" ht="15" customHeight="1" thickBot="1" x14ac:dyDescent="0.25">
      <c r="B239" s="206">
        <f t="shared" ref="B239:I239" si="95">SUM(B237:B238)</f>
        <v>451</v>
      </c>
      <c r="C239" s="206">
        <f t="shared" si="95"/>
        <v>0</v>
      </c>
      <c r="D239" s="206">
        <f t="shared" si="95"/>
        <v>451</v>
      </c>
      <c r="E239" s="206">
        <f t="shared" si="95"/>
        <v>1</v>
      </c>
      <c r="F239" s="206">
        <f t="shared" si="95"/>
        <v>0</v>
      </c>
      <c r="G239" s="206">
        <f t="shared" si="95"/>
        <v>1</v>
      </c>
      <c r="H239" s="206">
        <f t="shared" si="95"/>
        <v>450</v>
      </c>
      <c r="I239" s="206">
        <f t="shared" si="95"/>
        <v>0</v>
      </c>
      <c r="J239" s="206">
        <f>SUM(J237:J238)</f>
        <v>450</v>
      </c>
      <c r="K239" s="220" t="s">
        <v>12</v>
      </c>
      <c r="L239" s="222"/>
    </row>
    <row r="240" spans="2:12" ht="15" customHeight="1" thickBot="1" x14ac:dyDescent="0.25">
      <c r="B240" s="206">
        <f t="shared" si="77"/>
        <v>14</v>
      </c>
      <c r="C240" s="206">
        <f t="shared" si="78"/>
        <v>14</v>
      </c>
      <c r="D240" s="206">
        <f t="shared" si="78"/>
        <v>0</v>
      </c>
      <c r="E240" s="206">
        <f t="shared" si="79"/>
        <v>0</v>
      </c>
      <c r="F240" s="206">
        <v>0</v>
      </c>
      <c r="G240" s="206">
        <v>0</v>
      </c>
      <c r="H240" s="206">
        <f t="shared" si="80"/>
        <v>14</v>
      </c>
      <c r="I240" s="206">
        <v>14</v>
      </c>
      <c r="J240" s="206">
        <v>0</v>
      </c>
      <c r="K240" s="220" t="s">
        <v>233</v>
      </c>
      <c r="L240" s="228"/>
    </row>
    <row r="241" spans="2:12" ht="15" customHeight="1" thickBot="1" x14ac:dyDescent="0.25">
      <c r="B241" s="206">
        <f t="shared" si="77"/>
        <v>0</v>
      </c>
      <c r="C241" s="206">
        <f t="shared" si="78"/>
        <v>0</v>
      </c>
      <c r="D241" s="206">
        <f t="shared" si="78"/>
        <v>0</v>
      </c>
      <c r="E241" s="206">
        <f t="shared" si="79"/>
        <v>0</v>
      </c>
      <c r="F241" s="206">
        <v>0</v>
      </c>
      <c r="G241" s="206">
        <v>0</v>
      </c>
      <c r="H241" s="206">
        <f t="shared" si="80"/>
        <v>0</v>
      </c>
      <c r="I241" s="206">
        <v>0</v>
      </c>
      <c r="J241" s="206">
        <v>0</v>
      </c>
      <c r="K241" s="220" t="s">
        <v>234</v>
      </c>
      <c r="L241" s="221" t="s">
        <v>400</v>
      </c>
    </row>
    <row r="242" spans="2:12" ht="15" customHeight="1" thickBot="1" x14ac:dyDescent="0.25">
      <c r="B242" s="206">
        <f t="shared" ref="B242:I242" si="96">SUM(B240:B241)</f>
        <v>14</v>
      </c>
      <c r="C242" s="206">
        <f t="shared" si="96"/>
        <v>14</v>
      </c>
      <c r="D242" s="206">
        <f t="shared" si="96"/>
        <v>0</v>
      </c>
      <c r="E242" s="206">
        <f t="shared" si="96"/>
        <v>0</v>
      </c>
      <c r="F242" s="206">
        <f t="shared" si="96"/>
        <v>0</v>
      </c>
      <c r="G242" s="206">
        <f t="shared" si="96"/>
        <v>0</v>
      </c>
      <c r="H242" s="206">
        <f t="shared" si="96"/>
        <v>14</v>
      </c>
      <c r="I242" s="206">
        <f t="shared" si="96"/>
        <v>14</v>
      </c>
      <c r="J242" s="206">
        <f>SUM(J240:J241)</f>
        <v>0</v>
      </c>
      <c r="K242" s="220" t="s">
        <v>12</v>
      </c>
      <c r="L242" s="222"/>
    </row>
    <row r="243" spans="2:12" ht="15" customHeight="1" thickBot="1" x14ac:dyDescent="0.25">
      <c r="B243" s="206">
        <f t="shared" si="77"/>
        <v>84</v>
      </c>
      <c r="C243" s="206">
        <f t="shared" si="78"/>
        <v>0</v>
      </c>
      <c r="D243" s="206">
        <f t="shared" si="78"/>
        <v>84</v>
      </c>
      <c r="E243" s="206">
        <f t="shared" si="79"/>
        <v>0</v>
      </c>
      <c r="F243" s="206">
        <v>0</v>
      </c>
      <c r="G243" s="206">
        <v>0</v>
      </c>
      <c r="H243" s="206">
        <f t="shared" si="80"/>
        <v>84</v>
      </c>
      <c r="I243" s="206">
        <v>0</v>
      </c>
      <c r="J243" s="206">
        <v>84</v>
      </c>
      <c r="K243" s="220" t="s">
        <v>233</v>
      </c>
      <c r="L243" s="228"/>
    </row>
    <row r="244" spans="2:12" ht="15" customHeight="1" thickBot="1" x14ac:dyDescent="0.25">
      <c r="B244" s="206">
        <f t="shared" si="77"/>
        <v>0</v>
      </c>
      <c r="C244" s="206">
        <f t="shared" si="78"/>
        <v>0</v>
      </c>
      <c r="D244" s="206">
        <f t="shared" si="78"/>
        <v>0</v>
      </c>
      <c r="E244" s="206">
        <f t="shared" si="79"/>
        <v>0</v>
      </c>
      <c r="F244" s="206">
        <v>0</v>
      </c>
      <c r="G244" s="206">
        <v>0</v>
      </c>
      <c r="H244" s="206">
        <f t="shared" si="80"/>
        <v>0</v>
      </c>
      <c r="I244" s="206">
        <v>0</v>
      </c>
      <c r="J244" s="206">
        <v>0</v>
      </c>
      <c r="K244" s="220" t="s">
        <v>234</v>
      </c>
      <c r="L244" s="221" t="s">
        <v>401</v>
      </c>
    </row>
    <row r="245" spans="2:12" ht="15" customHeight="1" thickBot="1" x14ac:dyDescent="0.25">
      <c r="B245" s="206">
        <f t="shared" ref="B245:I245" si="97">SUM(B243:B244)</f>
        <v>84</v>
      </c>
      <c r="C245" s="206">
        <f t="shared" si="97"/>
        <v>0</v>
      </c>
      <c r="D245" s="206">
        <f t="shared" si="97"/>
        <v>84</v>
      </c>
      <c r="E245" s="206">
        <f t="shared" si="97"/>
        <v>0</v>
      </c>
      <c r="F245" s="206">
        <f t="shared" si="97"/>
        <v>0</v>
      </c>
      <c r="G245" s="206">
        <f t="shared" si="97"/>
        <v>0</v>
      </c>
      <c r="H245" s="206">
        <f t="shared" si="97"/>
        <v>84</v>
      </c>
      <c r="I245" s="206">
        <f t="shared" si="97"/>
        <v>0</v>
      </c>
      <c r="J245" s="206">
        <f>SUM(J243:J244)</f>
        <v>84</v>
      </c>
      <c r="K245" s="220" t="s">
        <v>12</v>
      </c>
      <c r="L245" s="222"/>
    </row>
    <row r="246" spans="2:12" ht="15" customHeight="1" thickBot="1" x14ac:dyDescent="0.25">
      <c r="B246" s="206">
        <f t="shared" ref="B246:J248" si="98">B129+B132+B135+B138+B141+B144+B147+B150+B153+B156+B159+B162+B165+B168+B171+B174+B177+B180+B183+B186+B189+B192+B195+B198+B201+B204+B207+B210+B213+B216+B219+B222+B225+B228+B231+B234+B237+B240+B243</f>
        <v>13245</v>
      </c>
      <c r="C246" s="206">
        <f t="shared" si="98"/>
        <v>4852</v>
      </c>
      <c r="D246" s="206">
        <f t="shared" si="98"/>
        <v>8393</v>
      </c>
      <c r="E246" s="206">
        <f t="shared" si="98"/>
        <v>368</v>
      </c>
      <c r="F246" s="206">
        <f t="shared" si="98"/>
        <v>159</v>
      </c>
      <c r="G246" s="206">
        <f t="shared" si="98"/>
        <v>209</v>
      </c>
      <c r="H246" s="206">
        <f t="shared" si="98"/>
        <v>12877</v>
      </c>
      <c r="I246" s="206">
        <f t="shared" si="98"/>
        <v>4693</v>
      </c>
      <c r="J246" s="206">
        <f>J129+J132+J135+J138+J141+J144+J147+J150+J153+J156+J159+J162+J165+J168+J171+J174+J177+J180+J183+J186+J189+J192+J195+J198+J201+J204+J207+J210+J213+J216+J219+J222+J225+J228+J231+J234+J237+J240+J243</f>
        <v>8184</v>
      </c>
      <c r="K246" s="220" t="s">
        <v>236</v>
      </c>
      <c r="L246" s="225"/>
    </row>
    <row r="247" spans="2:12" ht="15" customHeight="1" thickBot="1" x14ac:dyDescent="0.25">
      <c r="B247" s="206">
        <f t="shared" si="98"/>
        <v>0</v>
      </c>
      <c r="C247" s="206">
        <f t="shared" si="98"/>
        <v>0</v>
      </c>
      <c r="D247" s="206">
        <f t="shared" si="98"/>
        <v>0</v>
      </c>
      <c r="E247" s="206">
        <f t="shared" si="98"/>
        <v>0</v>
      </c>
      <c r="F247" s="206">
        <f t="shared" si="98"/>
        <v>0</v>
      </c>
      <c r="G247" s="206">
        <f t="shared" si="98"/>
        <v>0</v>
      </c>
      <c r="H247" s="206">
        <f t="shared" si="98"/>
        <v>0</v>
      </c>
      <c r="I247" s="206">
        <f t="shared" si="98"/>
        <v>0</v>
      </c>
      <c r="J247" s="206">
        <f t="shared" si="98"/>
        <v>0</v>
      </c>
      <c r="K247" s="220" t="s">
        <v>237</v>
      </c>
      <c r="L247" s="226" t="s">
        <v>188</v>
      </c>
    </row>
    <row r="248" spans="2:12" ht="15" customHeight="1" thickBot="1" x14ac:dyDescent="0.25">
      <c r="B248" s="206">
        <f t="shared" si="98"/>
        <v>13245</v>
      </c>
      <c r="C248" s="206">
        <f t="shared" si="98"/>
        <v>4852</v>
      </c>
      <c r="D248" s="206">
        <f t="shared" si="98"/>
        <v>8393</v>
      </c>
      <c r="E248" s="206">
        <f t="shared" si="98"/>
        <v>368</v>
      </c>
      <c r="F248" s="206">
        <f t="shared" si="98"/>
        <v>159</v>
      </c>
      <c r="G248" s="206">
        <f t="shared" si="98"/>
        <v>209</v>
      </c>
      <c r="H248" s="206">
        <f t="shared" si="98"/>
        <v>12877</v>
      </c>
      <c r="I248" s="206">
        <f t="shared" si="98"/>
        <v>4693</v>
      </c>
      <c r="J248" s="206">
        <f t="shared" si="98"/>
        <v>8184</v>
      </c>
      <c r="K248" s="220" t="s">
        <v>12</v>
      </c>
      <c r="L248" s="227"/>
    </row>
    <row r="249" spans="2:12" ht="15" customHeight="1" thickBot="1" x14ac:dyDescent="0.25">
      <c r="B249" s="477" t="s">
        <v>4</v>
      </c>
      <c r="C249" s="477"/>
      <c r="D249" s="477"/>
      <c r="E249" s="477" t="s">
        <v>145</v>
      </c>
      <c r="F249" s="477"/>
      <c r="G249" s="477"/>
      <c r="H249" s="477" t="s">
        <v>146</v>
      </c>
      <c r="I249" s="477"/>
      <c r="J249" s="477"/>
      <c r="K249" s="482" t="s">
        <v>66</v>
      </c>
      <c r="L249" s="482"/>
    </row>
    <row r="250" spans="2:12" ht="15" customHeight="1" thickBot="1" x14ac:dyDescent="0.25">
      <c r="B250" s="204" t="s">
        <v>227</v>
      </c>
      <c r="C250" s="204" t="s">
        <v>10</v>
      </c>
      <c r="D250" s="204" t="s">
        <v>9</v>
      </c>
      <c r="E250" s="204" t="s">
        <v>227</v>
      </c>
      <c r="F250" s="204" t="s">
        <v>10</v>
      </c>
      <c r="G250" s="204" t="s">
        <v>9</v>
      </c>
      <c r="H250" s="204" t="s">
        <v>227</v>
      </c>
      <c r="I250" s="204" t="s">
        <v>10</v>
      </c>
      <c r="J250" s="204" t="s">
        <v>9</v>
      </c>
      <c r="K250" s="481" t="s">
        <v>73</v>
      </c>
      <c r="L250" s="481"/>
    </row>
    <row r="251" spans="2:12" ht="15" customHeight="1" thickBot="1" x14ac:dyDescent="0.25">
      <c r="B251" s="206">
        <f>SUM(C251:D251)</f>
        <v>21</v>
      </c>
      <c r="C251" s="206">
        <f>I251+F251</f>
        <v>8</v>
      </c>
      <c r="D251" s="206">
        <f>J251+G251</f>
        <v>13</v>
      </c>
      <c r="E251" s="206">
        <f>SUM(F251:G251)</f>
        <v>2</v>
      </c>
      <c r="F251" s="206">
        <v>2</v>
      </c>
      <c r="G251" s="206">
        <v>0</v>
      </c>
      <c r="H251" s="206">
        <f>SUM(I251:J251)</f>
        <v>19</v>
      </c>
      <c r="I251" s="206">
        <v>6</v>
      </c>
      <c r="J251" s="206">
        <v>13</v>
      </c>
      <c r="K251" s="220" t="s">
        <v>233</v>
      </c>
      <c r="L251" s="221"/>
    </row>
    <row r="252" spans="2:12" ht="15" customHeight="1" thickBot="1" x14ac:dyDescent="0.25">
      <c r="B252" s="206">
        <f t="shared" ref="B252:B306" si="99">SUM(C252:D252)</f>
        <v>5</v>
      </c>
      <c r="C252" s="206">
        <f t="shared" ref="C252:D306" si="100">I252+F252</f>
        <v>4</v>
      </c>
      <c r="D252" s="206">
        <f t="shared" si="100"/>
        <v>1</v>
      </c>
      <c r="E252" s="206">
        <f t="shared" ref="E252:E306" si="101">SUM(F252:G252)</f>
        <v>1</v>
      </c>
      <c r="F252" s="206">
        <v>1</v>
      </c>
      <c r="G252" s="206">
        <v>0</v>
      </c>
      <c r="H252" s="206">
        <f t="shared" ref="H252:H306" si="102">SUM(I252:J252)</f>
        <v>4</v>
      </c>
      <c r="I252" s="206">
        <v>3</v>
      </c>
      <c r="J252" s="206">
        <v>1</v>
      </c>
      <c r="K252" s="220" t="s">
        <v>234</v>
      </c>
      <c r="L252" s="221" t="s">
        <v>402</v>
      </c>
    </row>
    <row r="253" spans="2:12" ht="15" customHeight="1" thickBot="1" x14ac:dyDescent="0.25">
      <c r="B253" s="206">
        <f t="shared" ref="B253:I253" si="103">SUM(B251:B252)</f>
        <v>26</v>
      </c>
      <c r="C253" s="206">
        <f t="shared" si="103"/>
        <v>12</v>
      </c>
      <c r="D253" s="206">
        <f t="shared" si="103"/>
        <v>14</v>
      </c>
      <c r="E253" s="206">
        <f t="shared" si="103"/>
        <v>3</v>
      </c>
      <c r="F253" s="206">
        <f t="shared" si="103"/>
        <v>3</v>
      </c>
      <c r="G253" s="206">
        <f t="shared" si="103"/>
        <v>0</v>
      </c>
      <c r="H253" s="206">
        <f t="shared" si="103"/>
        <v>23</v>
      </c>
      <c r="I253" s="206">
        <f t="shared" si="103"/>
        <v>9</v>
      </c>
      <c r="J253" s="206">
        <f>SUM(J251:J252)</f>
        <v>14</v>
      </c>
      <c r="K253" s="220" t="s">
        <v>12</v>
      </c>
      <c r="L253" s="222"/>
    </row>
    <row r="254" spans="2:12" ht="15" customHeight="1" thickBot="1" x14ac:dyDescent="0.25">
      <c r="B254" s="206">
        <f t="shared" si="99"/>
        <v>53</v>
      </c>
      <c r="C254" s="206">
        <f t="shared" si="100"/>
        <v>27</v>
      </c>
      <c r="D254" s="206">
        <f t="shared" si="100"/>
        <v>26</v>
      </c>
      <c r="E254" s="206">
        <f t="shared" si="101"/>
        <v>0</v>
      </c>
      <c r="F254" s="206">
        <v>0</v>
      </c>
      <c r="G254" s="206">
        <v>0</v>
      </c>
      <c r="H254" s="206">
        <f t="shared" si="102"/>
        <v>53</v>
      </c>
      <c r="I254" s="206">
        <v>27</v>
      </c>
      <c r="J254" s="206">
        <v>26</v>
      </c>
      <c r="K254" s="220" t="s">
        <v>233</v>
      </c>
      <c r="L254" s="221"/>
    </row>
    <row r="255" spans="2:12" ht="15" customHeight="1" thickBot="1" x14ac:dyDescent="0.25">
      <c r="B255" s="206">
        <f t="shared" si="99"/>
        <v>3</v>
      </c>
      <c r="C255" s="206">
        <f t="shared" si="100"/>
        <v>2</v>
      </c>
      <c r="D255" s="206">
        <f t="shared" si="100"/>
        <v>1</v>
      </c>
      <c r="E255" s="206">
        <f t="shared" si="101"/>
        <v>0</v>
      </c>
      <c r="F255" s="206">
        <v>0</v>
      </c>
      <c r="G255" s="206">
        <v>0</v>
      </c>
      <c r="H255" s="206">
        <f t="shared" si="102"/>
        <v>3</v>
      </c>
      <c r="I255" s="206">
        <v>2</v>
      </c>
      <c r="J255" s="206">
        <v>1</v>
      </c>
      <c r="K255" s="220" t="s">
        <v>234</v>
      </c>
      <c r="L255" s="221" t="s">
        <v>403</v>
      </c>
    </row>
    <row r="256" spans="2:12" ht="15" customHeight="1" thickBot="1" x14ac:dyDescent="0.25">
      <c r="B256" s="206">
        <f t="shared" ref="B256:I256" si="104">SUM(B254:B255)</f>
        <v>56</v>
      </c>
      <c r="C256" s="206">
        <f t="shared" si="104"/>
        <v>29</v>
      </c>
      <c r="D256" s="206">
        <f t="shared" si="104"/>
        <v>27</v>
      </c>
      <c r="E256" s="206">
        <f t="shared" si="104"/>
        <v>0</v>
      </c>
      <c r="F256" s="206">
        <f t="shared" si="104"/>
        <v>0</v>
      </c>
      <c r="G256" s="206">
        <f t="shared" si="104"/>
        <v>0</v>
      </c>
      <c r="H256" s="206">
        <f t="shared" si="104"/>
        <v>56</v>
      </c>
      <c r="I256" s="206">
        <f t="shared" si="104"/>
        <v>29</v>
      </c>
      <c r="J256" s="206">
        <f>SUM(J254:J255)</f>
        <v>27</v>
      </c>
      <c r="K256" s="220" t="s">
        <v>12</v>
      </c>
      <c r="L256" s="222"/>
    </row>
    <row r="257" spans="2:12" ht="15" customHeight="1" thickBot="1" x14ac:dyDescent="0.25">
      <c r="B257" s="206">
        <f t="shared" si="99"/>
        <v>84</v>
      </c>
      <c r="C257" s="206">
        <f t="shared" si="100"/>
        <v>19</v>
      </c>
      <c r="D257" s="206">
        <f t="shared" si="100"/>
        <v>65</v>
      </c>
      <c r="E257" s="206">
        <f t="shared" si="101"/>
        <v>1</v>
      </c>
      <c r="F257" s="206">
        <v>1</v>
      </c>
      <c r="G257" s="206">
        <v>0</v>
      </c>
      <c r="H257" s="206">
        <f t="shared" si="102"/>
        <v>83</v>
      </c>
      <c r="I257" s="206">
        <v>18</v>
      </c>
      <c r="J257" s="206">
        <v>65</v>
      </c>
      <c r="K257" s="220" t="s">
        <v>233</v>
      </c>
      <c r="L257" s="221"/>
    </row>
    <row r="258" spans="2:12" ht="15" customHeight="1" thickBot="1" x14ac:dyDescent="0.25">
      <c r="B258" s="206">
        <f t="shared" si="99"/>
        <v>0</v>
      </c>
      <c r="C258" s="206">
        <f t="shared" si="100"/>
        <v>0</v>
      </c>
      <c r="D258" s="206">
        <f t="shared" si="100"/>
        <v>0</v>
      </c>
      <c r="E258" s="206">
        <f t="shared" si="101"/>
        <v>0</v>
      </c>
      <c r="F258" s="206">
        <v>0</v>
      </c>
      <c r="G258" s="206">
        <v>0</v>
      </c>
      <c r="H258" s="206">
        <f t="shared" si="102"/>
        <v>0</v>
      </c>
      <c r="I258" s="206">
        <v>0</v>
      </c>
      <c r="J258" s="206">
        <v>0</v>
      </c>
      <c r="K258" s="220" t="s">
        <v>234</v>
      </c>
      <c r="L258" s="221" t="s">
        <v>367</v>
      </c>
    </row>
    <row r="259" spans="2:12" ht="15" customHeight="1" thickBot="1" x14ac:dyDescent="0.25">
      <c r="B259" s="206">
        <f t="shared" ref="B259:I259" si="105">SUM(B257:B258)</f>
        <v>84</v>
      </c>
      <c r="C259" s="206">
        <f t="shared" si="105"/>
        <v>19</v>
      </c>
      <c r="D259" s="206">
        <f t="shared" si="105"/>
        <v>65</v>
      </c>
      <c r="E259" s="206">
        <f t="shared" si="105"/>
        <v>1</v>
      </c>
      <c r="F259" s="206">
        <f t="shared" si="105"/>
        <v>1</v>
      </c>
      <c r="G259" s="206">
        <f t="shared" si="105"/>
        <v>0</v>
      </c>
      <c r="H259" s="206">
        <f t="shared" si="105"/>
        <v>83</v>
      </c>
      <c r="I259" s="206">
        <f t="shared" si="105"/>
        <v>18</v>
      </c>
      <c r="J259" s="206">
        <f>SUM(J257:J258)</f>
        <v>65</v>
      </c>
      <c r="K259" s="220" t="s">
        <v>12</v>
      </c>
      <c r="L259" s="222"/>
    </row>
    <row r="260" spans="2:12" ht="15" customHeight="1" thickBot="1" x14ac:dyDescent="0.25">
      <c r="B260" s="206">
        <f t="shared" si="99"/>
        <v>2</v>
      </c>
      <c r="C260" s="206">
        <f t="shared" si="100"/>
        <v>0</v>
      </c>
      <c r="D260" s="206">
        <f t="shared" si="100"/>
        <v>2</v>
      </c>
      <c r="E260" s="206">
        <f t="shared" si="101"/>
        <v>1</v>
      </c>
      <c r="F260" s="206">
        <v>0</v>
      </c>
      <c r="G260" s="206">
        <v>1</v>
      </c>
      <c r="H260" s="206">
        <f t="shared" si="102"/>
        <v>1</v>
      </c>
      <c r="I260" s="206">
        <v>0</v>
      </c>
      <c r="J260" s="206">
        <v>1</v>
      </c>
      <c r="K260" s="220" t="s">
        <v>233</v>
      </c>
      <c r="L260" s="221"/>
    </row>
    <row r="261" spans="2:12" ht="15" customHeight="1" thickBot="1" x14ac:dyDescent="0.25">
      <c r="B261" s="206">
        <f t="shared" si="99"/>
        <v>0</v>
      </c>
      <c r="C261" s="206">
        <f t="shared" si="100"/>
        <v>0</v>
      </c>
      <c r="D261" s="206">
        <f t="shared" si="100"/>
        <v>0</v>
      </c>
      <c r="E261" s="206">
        <f t="shared" si="101"/>
        <v>0</v>
      </c>
      <c r="F261" s="206">
        <v>0</v>
      </c>
      <c r="G261" s="206">
        <v>0</v>
      </c>
      <c r="H261" s="206">
        <f t="shared" si="102"/>
        <v>0</v>
      </c>
      <c r="I261" s="206">
        <v>0</v>
      </c>
      <c r="J261" s="206">
        <v>0</v>
      </c>
      <c r="K261" s="220" t="s">
        <v>234</v>
      </c>
      <c r="L261" s="221" t="s">
        <v>404</v>
      </c>
    </row>
    <row r="262" spans="2:12" ht="15" customHeight="1" thickBot="1" x14ac:dyDescent="0.25">
      <c r="B262" s="206">
        <f t="shared" ref="B262:I262" si="106">SUM(B260:B261)</f>
        <v>2</v>
      </c>
      <c r="C262" s="206">
        <f t="shared" si="106"/>
        <v>0</v>
      </c>
      <c r="D262" s="206">
        <f t="shared" si="106"/>
        <v>2</v>
      </c>
      <c r="E262" s="206">
        <f t="shared" si="106"/>
        <v>1</v>
      </c>
      <c r="F262" s="206">
        <f t="shared" si="106"/>
        <v>0</v>
      </c>
      <c r="G262" s="206">
        <f t="shared" si="106"/>
        <v>1</v>
      </c>
      <c r="H262" s="206">
        <f t="shared" si="106"/>
        <v>1</v>
      </c>
      <c r="I262" s="206">
        <f t="shared" si="106"/>
        <v>0</v>
      </c>
      <c r="J262" s="206">
        <f>SUM(J260:J261)</f>
        <v>1</v>
      </c>
      <c r="K262" s="220" t="s">
        <v>12</v>
      </c>
      <c r="L262" s="222"/>
    </row>
    <row r="263" spans="2:12" ht="15" customHeight="1" thickBot="1" x14ac:dyDescent="0.25">
      <c r="B263" s="206">
        <f t="shared" si="99"/>
        <v>6</v>
      </c>
      <c r="C263" s="206">
        <f t="shared" si="100"/>
        <v>0</v>
      </c>
      <c r="D263" s="206">
        <f t="shared" si="100"/>
        <v>6</v>
      </c>
      <c r="E263" s="206">
        <f t="shared" si="101"/>
        <v>0</v>
      </c>
      <c r="F263" s="206">
        <v>0</v>
      </c>
      <c r="G263" s="206">
        <v>0</v>
      </c>
      <c r="H263" s="206">
        <f t="shared" si="102"/>
        <v>6</v>
      </c>
      <c r="I263" s="206">
        <v>0</v>
      </c>
      <c r="J263" s="206">
        <v>6</v>
      </c>
      <c r="K263" s="220" t="s">
        <v>233</v>
      </c>
      <c r="L263" s="221"/>
    </row>
    <row r="264" spans="2:12" ht="15" customHeight="1" thickBot="1" x14ac:dyDescent="0.25">
      <c r="B264" s="206">
        <f t="shared" si="99"/>
        <v>0</v>
      </c>
      <c r="C264" s="206">
        <f t="shared" si="100"/>
        <v>0</v>
      </c>
      <c r="D264" s="206">
        <f t="shared" si="100"/>
        <v>0</v>
      </c>
      <c r="E264" s="206">
        <f t="shared" si="101"/>
        <v>0</v>
      </c>
      <c r="F264" s="206">
        <v>0</v>
      </c>
      <c r="G264" s="206">
        <v>0</v>
      </c>
      <c r="H264" s="206">
        <f t="shared" si="102"/>
        <v>0</v>
      </c>
      <c r="I264" s="206">
        <v>0</v>
      </c>
      <c r="J264" s="206">
        <v>0</v>
      </c>
      <c r="K264" s="220" t="s">
        <v>234</v>
      </c>
      <c r="L264" s="221" t="s">
        <v>405</v>
      </c>
    </row>
    <row r="265" spans="2:12" ht="15" customHeight="1" thickBot="1" x14ac:dyDescent="0.25">
      <c r="B265" s="206">
        <f t="shared" ref="B265:I265" si="107">SUM(B263:B264)</f>
        <v>6</v>
      </c>
      <c r="C265" s="206">
        <f t="shared" si="107"/>
        <v>0</v>
      </c>
      <c r="D265" s="206">
        <f t="shared" si="107"/>
        <v>6</v>
      </c>
      <c r="E265" s="206">
        <f t="shared" si="107"/>
        <v>0</v>
      </c>
      <c r="F265" s="206">
        <f t="shared" si="107"/>
        <v>0</v>
      </c>
      <c r="G265" s="206">
        <f t="shared" si="107"/>
        <v>0</v>
      </c>
      <c r="H265" s="206">
        <f t="shared" si="107"/>
        <v>6</v>
      </c>
      <c r="I265" s="206">
        <f t="shared" si="107"/>
        <v>0</v>
      </c>
      <c r="J265" s="206">
        <f>SUM(J263:J264)</f>
        <v>6</v>
      </c>
      <c r="K265" s="220" t="s">
        <v>12</v>
      </c>
      <c r="L265" s="222"/>
    </row>
    <row r="266" spans="2:12" ht="15" customHeight="1" thickBot="1" x14ac:dyDescent="0.25">
      <c r="B266" s="206">
        <f t="shared" si="99"/>
        <v>45</v>
      </c>
      <c r="C266" s="206">
        <f t="shared" si="100"/>
        <v>21</v>
      </c>
      <c r="D266" s="206">
        <f t="shared" si="100"/>
        <v>24</v>
      </c>
      <c r="E266" s="206">
        <f t="shared" si="101"/>
        <v>1</v>
      </c>
      <c r="F266" s="206">
        <v>0</v>
      </c>
      <c r="G266" s="206">
        <v>1</v>
      </c>
      <c r="H266" s="206">
        <f t="shared" si="102"/>
        <v>44</v>
      </c>
      <c r="I266" s="206">
        <v>21</v>
      </c>
      <c r="J266" s="206">
        <v>23</v>
      </c>
      <c r="K266" s="220" t="s">
        <v>233</v>
      </c>
      <c r="L266" s="221"/>
    </row>
    <row r="267" spans="2:12" ht="15" customHeight="1" thickBot="1" x14ac:dyDescent="0.25">
      <c r="B267" s="206">
        <f t="shared" si="99"/>
        <v>0</v>
      </c>
      <c r="C267" s="206">
        <f t="shared" si="100"/>
        <v>0</v>
      </c>
      <c r="D267" s="206">
        <f t="shared" si="100"/>
        <v>0</v>
      </c>
      <c r="E267" s="206">
        <f t="shared" si="101"/>
        <v>0</v>
      </c>
      <c r="F267" s="206">
        <v>0</v>
      </c>
      <c r="G267" s="206">
        <v>0</v>
      </c>
      <c r="H267" s="206">
        <f t="shared" si="102"/>
        <v>0</v>
      </c>
      <c r="I267" s="206">
        <v>0</v>
      </c>
      <c r="J267" s="206">
        <v>0</v>
      </c>
      <c r="K267" s="220" t="s">
        <v>234</v>
      </c>
      <c r="L267" s="221" t="s">
        <v>406</v>
      </c>
    </row>
    <row r="268" spans="2:12" ht="15" customHeight="1" thickBot="1" x14ac:dyDescent="0.25">
      <c r="B268" s="206">
        <f t="shared" ref="B268:I268" si="108">SUM(B266:B267)</f>
        <v>45</v>
      </c>
      <c r="C268" s="206">
        <f t="shared" si="108"/>
        <v>21</v>
      </c>
      <c r="D268" s="206">
        <f t="shared" si="108"/>
        <v>24</v>
      </c>
      <c r="E268" s="206">
        <f t="shared" si="108"/>
        <v>1</v>
      </c>
      <c r="F268" s="206">
        <f t="shared" si="108"/>
        <v>0</v>
      </c>
      <c r="G268" s="206">
        <f t="shared" si="108"/>
        <v>1</v>
      </c>
      <c r="H268" s="206">
        <f t="shared" si="108"/>
        <v>44</v>
      </c>
      <c r="I268" s="206">
        <f t="shared" si="108"/>
        <v>21</v>
      </c>
      <c r="J268" s="206">
        <f>SUM(J266:J267)</f>
        <v>23</v>
      </c>
      <c r="K268" s="220" t="s">
        <v>12</v>
      </c>
      <c r="L268" s="222"/>
    </row>
    <row r="269" spans="2:12" ht="15" customHeight="1" thickBot="1" x14ac:dyDescent="0.25">
      <c r="B269" s="206">
        <f t="shared" si="99"/>
        <v>1</v>
      </c>
      <c r="C269" s="206">
        <f t="shared" si="100"/>
        <v>0</v>
      </c>
      <c r="D269" s="206">
        <f t="shared" si="100"/>
        <v>1</v>
      </c>
      <c r="E269" s="206">
        <f t="shared" si="101"/>
        <v>0</v>
      </c>
      <c r="F269" s="206">
        <v>0</v>
      </c>
      <c r="G269" s="206">
        <v>0</v>
      </c>
      <c r="H269" s="206">
        <f t="shared" si="102"/>
        <v>1</v>
      </c>
      <c r="I269" s="206">
        <v>0</v>
      </c>
      <c r="J269" s="206">
        <v>1</v>
      </c>
      <c r="K269" s="220" t="s">
        <v>233</v>
      </c>
      <c r="L269" s="221"/>
    </row>
    <row r="270" spans="2:12" ht="15" customHeight="1" thickBot="1" x14ac:dyDescent="0.25">
      <c r="B270" s="206">
        <f t="shared" si="99"/>
        <v>0</v>
      </c>
      <c r="C270" s="206">
        <f t="shared" si="100"/>
        <v>0</v>
      </c>
      <c r="D270" s="206">
        <f t="shared" si="100"/>
        <v>0</v>
      </c>
      <c r="E270" s="206">
        <f t="shared" si="101"/>
        <v>0</v>
      </c>
      <c r="F270" s="206">
        <v>0</v>
      </c>
      <c r="G270" s="206">
        <v>0</v>
      </c>
      <c r="H270" s="206">
        <f t="shared" si="102"/>
        <v>0</v>
      </c>
      <c r="I270" s="206">
        <v>0</v>
      </c>
      <c r="J270" s="206">
        <v>0</v>
      </c>
      <c r="K270" s="220" t="s">
        <v>234</v>
      </c>
      <c r="L270" s="221" t="s">
        <v>407</v>
      </c>
    </row>
    <row r="271" spans="2:12" ht="15" customHeight="1" thickBot="1" x14ac:dyDescent="0.25">
      <c r="B271" s="206">
        <f t="shared" ref="B271:I271" si="109">SUM(B269:B270)</f>
        <v>1</v>
      </c>
      <c r="C271" s="206">
        <f t="shared" si="109"/>
        <v>0</v>
      </c>
      <c r="D271" s="206">
        <f t="shared" si="109"/>
        <v>1</v>
      </c>
      <c r="E271" s="206">
        <f t="shared" si="109"/>
        <v>0</v>
      </c>
      <c r="F271" s="206">
        <f t="shared" si="109"/>
        <v>0</v>
      </c>
      <c r="G271" s="206">
        <f t="shared" si="109"/>
        <v>0</v>
      </c>
      <c r="H271" s="206">
        <f t="shared" si="109"/>
        <v>1</v>
      </c>
      <c r="I271" s="206">
        <f t="shared" si="109"/>
        <v>0</v>
      </c>
      <c r="J271" s="206">
        <f>SUM(J269:J270)</f>
        <v>1</v>
      </c>
      <c r="K271" s="220" t="s">
        <v>12</v>
      </c>
      <c r="L271" s="222"/>
    </row>
    <row r="272" spans="2:12" ht="15" customHeight="1" thickBot="1" x14ac:dyDescent="0.25">
      <c r="B272" s="206">
        <f t="shared" si="99"/>
        <v>11</v>
      </c>
      <c r="C272" s="206">
        <f t="shared" si="100"/>
        <v>11</v>
      </c>
      <c r="D272" s="206">
        <f t="shared" si="100"/>
        <v>0</v>
      </c>
      <c r="E272" s="206">
        <f t="shared" si="101"/>
        <v>0</v>
      </c>
      <c r="F272" s="206">
        <v>0</v>
      </c>
      <c r="G272" s="206">
        <v>0</v>
      </c>
      <c r="H272" s="206">
        <f t="shared" si="102"/>
        <v>11</v>
      </c>
      <c r="I272" s="206">
        <v>11</v>
      </c>
      <c r="J272" s="206">
        <v>0</v>
      </c>
      <c r="K272" s="220" t="s">
        <v>233</v>
      </c>
      <c r="L272" s="221"/>
    </row>
    <row r="273" spans="2:12" ht="15" customHeight="1" thickBot="1" x14ac:dyDescent="0.25">
      <c r="B273" s="206">
        <f t="shared" si="99"/>
        <v>0</v>
      </c>
      <c r="C273" s="206">
        <f t="shared" si="100"/>
        <v>0</v>
      </c>
      <c r="D273" s="206">
        <f t="shared" si="100"/>
        <v>0</v>
      </c>
      <c r="E273" s="206">
        <f t="shared" si="101"/>
        <v>0</v>
      </c>
      <c r="F273" s="206">
        <v>0</v>
      </c>
      <c r="G273" s="206">
        <v>0</v>
      </c>
      <c r="H273" s="206">
        <f t="shared" si="102"/>
        <v>0</v>
      </c>
      <c r="I273" s="206">
        <v>0</v>
      </c>
      <c r="J273" s="206">
        <v>0</v>
      </c>
      <c r="K273" s="220" t="s">
        <v>234</v>
      </c>
      <c r="L273" s="221" t="s">
        <v>408</v>
      </c>
    </row>
    <row r="274" spans="2:12" ht="15" customHeight="1" thickBot="1" x14ac:dyDescent="0.25">
      <c r="B274" s="206">
        <f t="shared" ref="B274:I274" si="110">SUM(B272:B273)</f>
        <v>11</v>
      </c>
      <c r="C274" s="206">
        <f t="shared" si="110"/>
        <v>11</v>
      </c>
      <c r="D274" s="206">
        <f t="shared" si="110"/>
        <v>0</v>
      </c>
      <c r="E274" s="206">
        <f t="shared" si="110"/>
        <v>0</v>
      </c>
      <c r="F274" s="206">
        <f t="shared" si="110"/>
        <v>0</v>
      </c>
      <c r="G274" s="206">
        <f t="shared" si="110"/>
        <v>0</v>
      </c>
      <c r="H274" s="206">
        <f t="shared" si="110"/>
        <v>11</v>
      </c>
      <c r="I274" s="206">
        <f t="shared" si="110"/>
        <v>11</v>
      </c>
      <c r="J274" s="206">
        <f>SUM(J272:J273)</f>
        <v>0</v>
      </c>
      <c r="K274" s="220" t="s">
        <v>12</v>
      </c>
      <c r="L274" s="222"/>
    </row>
    <row r="275" spans="2:12" ht="15" customHeight="1" thickBot="1" x14ac:dyDescent="0.25">
      <c r="B275" s="206">
        <f t="shared" si="99"/>
        <v>966</v>
      </c>
      <c r="C275" s="206">
        <f t="shared" si="100"/>
        <v>966</v>
      </c>
      <c r="D275" s="206">
        <f t="shared" si="100"/>
        <v>0</v>
      </c>
      <c r="E275" s="206">
        <f t="shared" si="101"/>
        <v>11</v>
      </c>
      <c r="F275" s="206">
        <v>11</v>
      </c>
      <c r="G275" s="206">
        <v>0</v>
      </c>
      <c r="H275" s="206">
        <f t="shared" si="102"/>
        <v>955</v>
      </c>
      <c r="I275" s="206">
        <v>955</v>
      </c>
      <c r="J275" s="206">
        <v>0</v>
      </c>
      <c r="K275" s="220" t="s">
        <v>233</v>
      </c>
      <c r="L275" s="221"/>
    </row>
    <row r="276" spans="2:12" ht="15" customHeight="1" thickBot="1" x14ac:dyDescent="0.25">
      <c r="B276" s="206">
        <f t="shared" si="99"/>
        <v>0</v>
      </c>
      <c r="C276" s="206">
        <f t="shared" si="100"/>
        <v>0</v>
      </c>
      <c r="D276" s="206">
        <f t="shared" si="100"/>
        <v>0</v>
      </c>
      <c r="E276" s="206">
        <f t="shared" si="101"/>
        <v>0</v>
      </c>
      <c r="F276" s="206">
        <v>0</v>
      </c>
      <c r="G276" s="206">
        <v>0</v>
      </c>
      <c r="H276" s="206">
        <f t="shared" si="102"/>
        <v>0</v>
      </c>
      <c r="I276" s="206">
        <v>0</v>
      </c>
      <c r="J276" s="206">
        <v>0</v>
      </c>
      <c r="K276" s="220" t="s">
        <v>234</v>
      </c>
      <c r="L276" s="221" t="s">
        <v>409</v>
      </c>
    </row>
    <row r="277" spans="2:12" ht="15" customHeight="1" thickBot="1" x14ac:dyDescent="0.25">
      <c r="B277" s="206">
        <f t="shared" ref="B277:I277" si="111">SUM(B275:B276)</f>
        <v>966</v>
      </c>
      <c r="C277" s="206">
        <f t="shared" si="111"/>
        <v>966</v>
      </c>
      <c r="D277" s="206">
        <f t="shared" si="111"/>
        <v>0</v>
      </c>
      <c r="E277" s="206">
        <f t="shared" si="111"/>
        <v>11</v>
      </c>
      <c r="F277" s="206">
        <f t="shared" si="111"/>
        <v>11</v>
      </c>
      <c r="G277" s="206">
        <f t="shared" si="111"/>
        <v>0</v>
      </c>
      <c r="H277" s="206">
        <f t="shared" si="111"/>
        <v>955</v>
      </c>
      <c r="I277" s="206">
        <f t="shared" si="111"/>
        <v>955</v>
      </c>
      <c r="J277" s="206">
        <f>SUM(J275:J276)</f>
        <v>0</v>
      </c>
      <c r="K277" s="220" t="s">
        <v>12</v>
      </c>
      <c r="L277" s="222"/>
    </row>
    <row r="278" spans="2:12" ht="15" customHeight="1" thickBot="1" x14ac:dyDescent="0.25">
      <c r="B278" s="206">
        <f t="shared" si="99"/>
        <v>1136</v>
      </c>
      <c r="C278" s="206">
        <f t="shared" si="100"/>
        <v>1136</v>
      </c>
      <c r="D278" s="206">
        <f t="shared" si="100"/>
        <v>0</v>
      </c>
      <c r="E278" s="206">
        <f t="shared" si="101"/>
        <v>10</v>
      </c>
      <c r="F278" s="206">
        <v>10</v>
      </c>
      <c r="G278" s="206">
        <v>0</v>
      </c>
      <c r="H278" s="206">
        <f t="shared" si="102"/>
        <v>1126</v>
      </c>
      <c r="I278" s="206">
        <v>1126</v>
      </c>
      <c r="J278" s="206">
        <v>0</v>
      </c>
      <c r="K278" s="220" t="s">
        <v>233</v>
      </c>
      <c r="L278" s="221"/>
    </row>
    <row r="279" spans="2:12" ht="15" customHeight="1" thickBot="1" x14ac:dyDescent="0.25">
      <c r="B279" s="206">
        <f t="shared" si="99"/>
        <v>896</v>
      </c>
      <c r="C279" s="206">
        <f t="shared" si="100"/>
        <v>896</v>
      </c>
      <c r="D279" s="206">
        <f t="shared" si="100"/>
        <v>0</v>
      </c>
      <c r="E279" s="206">
        <f t="shared" si="101"/>
        <v>9</v>
      </c>
      <c r="F279" s="206">
        <v>9</v>
      </c>
      <c r="G279" s="206">
        <v>0</v>
      </c>
      <c r="H279" s="206">
        <f t="shared" si="102"/>
        <v>887</v>
      </c>
      <c r="I279" s="206">
        <v>887</v>
      </c>
      <c r="J279" s="206">
        <v>0</v>
      </c>
      <c r="K279" s="220" t="s">
        <v>234</v>
      </c>
      <c r="L279" s="221" t="s">
        <v>410</v>
      </c>
    </row>
    <row r="280" spans="2:12" ht="15" customHeight="1" thickBot="1" x14ac:dyDescent="0.25">
      <c r="B280" s="206">
        <f t="shared" ref="B280:I280" si="112">SUM(B278:B279)</f>
        <v>2032</v>
      </c>
      <c r="C280" s="206">
        <f t="shared" si="112"/>
        <v>2032</v>
      </c>
      <c r="D280" s="206">
        <f t="shared" si="112"/>
        <v>0</v>
      </c>
      <c r="E280" s="206">
        <f t="shared" si="112"/>
        <v>19</v>
      </c>
      <c r="F280" s="206">
        <f t="shared" si="112"/>
        <v>19</v>
      </c>
      <c r="G280" s="206">
        <f t="shared" si="112"/>
        <v>0</v>
      </c>
      <c r="H280" s="206">
        <f t="shared" si="112"/>
        <v>2013</v>
      </c>
      <c r="I280" s="206">
        <f t="shared" si="112"/>
        <v>2013</v>
      </c>
      <c r="J280" s="206">
        <f>SUM(J278:J279)</f>
        <v>0</v>
      </c>
      <c r="K280" s="220" t="s">
        <v>12</v>
      </c>
      <c r="L280" s="222"/>
    </row>
    <row r="281" spans="2:12" ht="15" customHeight="1" thickBot="1" x14ac:dyDescent="0.25">
      <c r="B281" s="206">
        <f t="shared" si="99"/>
        <v>540</v>
      </c>
      <c r="C281" s="206">
        <f t="shared" si="100"/>
        <v>540</v>
      </c>
      <c r="D281" s="206">
        <f t="shared" si="100"/>
        <v>0</v>
      </c>
      <c r="E281" s="206">
        <f t="shared" si="101"/>
        <v>7</v>
      </c>
      <c r="F281" s="206">
        <v>7</v>
      </c>
      <c r="G281" s="206">
        <v>0</v>
      </c>
      <c r="H281" s="206">
        <f t="shared" si="102"/>
        <v>533</v>
      </c>
      <c r="I281" s="206">
        <v>533</v>
      </c>
      <c r="J281" s="206">
        <v>0</v>
      </c>
      <c r="K281" s="220" t="s">
        <v>233</v>
      </c>
      <c r="L281" s="221"/>
    </row>
    <row r="282" spans="2:12" ht="15" customHeight="1" thickBot="1" x14ac:dyDescent="0.25">
      <c r="B282" s="206">
        <f t="shared" si="99"/>
        <v>0</v>
      </c>
      <c r="C282" s="206">
        <f t="shared" si="100"/>
        <v>0</v>
      </c>
      <c r="D282" s="206">
        <f t="shared" si="100"/>
        <v>0</v>
      </c>
      <c r="E282" s="206">
        <f t="shared" si="101"/>
        <v>0</v>
      </c>
      <c r="F282" s="206">
        <v>0</v>
      </c>
      <c r="G282" s="206">
        <v>0</v>
      </c>
      <c r="H282" s="206">
        <f t="shared" si="102"/>
        <v>0</v>
      </c>
      <c r="I282" s="206">
        <v>0</v>
      </c>
      <c r="J282" s="206">
        <v>0</v>
      </c>
      <c r="K282" s="220" t="s">
        <v>234</v>
      </c>
      <c r="L282" s="221" t="s">
        <v>411</v>
      </c>
    </row>
    <row r="283" spans="2:12" ht="15" customHeight="1" thickBot="1" x14ac:dyDescent="0.25">
      <c r="B283" s="206">
        <f t="shared" ref="B283:I283" si="113">SUM(B281:B282)</f>
        <v>540</v>
      </c>
      <c r="C283" s="206">
        <f t="shared" si="113"/>
        <v>540</v>
      </c>
      <c r="D283" s="206">
        <f t="shared" si="113"/>
        <v>0</v>
      </c>
      <c r="E283" s="206">
        <f t="shared" si="113"/>
        <v>7</v>
      </c>
      <c r="F283" s="206">
        <f t="shared" si="113"/>
        <v>7</v>
      </c>
      <c r="G283" s="206">
        <f t="shared" si="113"/>
        <v>0</v>
      </c>
      <c r="H283" s="206">
        <f t="shared" si="113"/>
        <v>533</v>
      </c>
      <c r="I283" s="206">
        <f t="shared" si="113"/>
        <v>533</v>
      </c>
      <c r="J283" s="206">
        <f>SUM(J281:J282)</f>
        <v>0</v>
      </c>
      <c r="K283" s="220" t="s">
        <v>12</v>
      </c>
      <c r="L283" s="222"/>
    </row>
    <row r="284" spans="2:12" ht="15" customHeight="1" thickBot="1" x14ac:dyDescent="0.25">
      <c r="B284" s="206">
        <f t="shared" si="99"/>
        <v>340</v>
      </c>
      <c r="C284" s="206">
        <f t="shared" si="100"/>
        <v>340</v>
      </c>
      <c r="D284" s="206">
        <f t="shared" si="100"/>
        <v>0</v>
      </c>
      <c r="E284" s="206">
        <f t="shared" si="101"/>
        <v>14</v>
      </c>
      <c r="F284" s="206">
        <v>14</v>
      </c>
      <c r="G284" s="206">
        <v>0</v>
      </c>
      <c r="H284" s="206">
        <f t="shared" si="102"/>
        <v>326</v>
      </c>
      <c r="I284" s="206">
        <v>326</v>
      </c>
      <c r="J284" s="206">
        <v>0</v>
      </c>
      <c r="K284" s="220" t="s">
        <v>233</v>
      </c>
      <c r="L284" s="221"/>
    </row>
    <row r="285" spans="2:12" ht="15" customHeight="1" thickBot="1" x14ac:dyDescent="0.25">
      <c r="B285" s="206">
        <f t="shared" si="99"/>
        <v>0</v>
      </c>
      <c r="C285" s="206">
        <f t="shared" si="100"/>
        <v>0</v>
      </c>
      <c r="D285" s="206">
        <f t="shared" si="100"/>
        <v>0</v>
      </c>
      <c r="E285" s="206">
        <f t="shared" si="101"/>
        <v>0</v>
      </c>
      <c r="F285" s="206">
        <v>0</v>
      </c>
      <c r="G285" s="206">
        <v>0</v>
      </c>
      <c r="H285" s="206">
        <f t="shared" si="102"/>
        <v>0</v>
      </c>
      <c r="I285" s="206">
        <v>0</v>
      </c>
      <c r="J285" s="206">
        <v>0</v>
      </c>
      <c r="K285" s="220" t="s">
        <v>234</v>
      </c>
      <c r="L285" s="221" t="s">
        <v>412</v>
      </c>
    </row>
    <row r="286" spans="2:12" ht="15" customHeight="1" thickBot="1" x14ac:dyDescent="0.25">
      <c r="B286" s="206">
        <f t="shared" ref="B286:I286" si="114">SUM(B284:B285)</f>
        <v>340</v>
      </c>
      <c r="C286" s="206">
        <f t="shared" si="114"/>
        <v>340</v>
      </c>
      <c r="D286" s="206">
        <f t="shared" si="114"/>
        <v>0</v>
      </c>
      <c r="E286" s="206">
        <f t="shared" si="114"/>
        <v>14</v>
      </c>
      <c r="F286" s="206">
        <f t="shared" si="114"/>
        <v>14</v>
      </c>
      <c r="G286" s="206">
        <f t="shared" si="114"/>
        <v>0</v>
      </c>
      <c r="H286" s="206">
        <f t="shared" si="114"/>
        <v>326</v>
      </c>
      <c r="I286" s="206">
        <f t="shared" si="114"/>
        <v>326</v>
      </c>
      <c r="J286" s="206">
        <f>SUM(J284:J285)</f>
        <v>0</v>
      </c>
      <c r="K286" s="220" t="s">
        <v>12</v>
      </c>
      <c r="L286" s="222"/>
    </row>
    <row r="287" spans="2:12" ht="15" customHeight="1" thickBot="1" x14ac:dyDescent="0.25">
      <c r="B287" s="206">
        <f t="shared" si="99"/>
        <v>3758</v>
      </c>
      <c r="C287" s="206">
        <f t="shared" si="100"/>
        <v>1410</v>
      </c>
      <c r="D287" s="206">
        <f t="shared" si="100"/>
        <v>2348</v>
      </c>
      <c r="E287" s="206">
        <f t="shared" si="101"/>
        <v>138</v>
      </c>
      <c r="F287" s="206">
        <v>80</v>
      </c>
      <c r="G287" s="206">
        <v>58</v>
      </c>
      <c r="H287" s="206">
        <f t="shared" si="102"/>
        <v>3620</v>
      </c>
      <c r="I287" s="206">
        <v>1330</v>
      </c>
      <c r="J287" s="206">
        <v>2290</v>
      </c>
      <c r="K287" s="220" t="s">
        <v>233</v>
      </c>
      <c r="L287" s="221"/>
    </row>
    <row r="288" spans="2:12" ht="15" customHeight="1" thickBot="1" x14ac:dyDescent="0.25">
      <c r="B288" s="206">
        <f t="shared" si="99"/>
        <v>0</v>
      </c>
      <c r="C288" s="206">
        <f t="shared" si="100"/>
        <v>0</v>
      </c>
      <c r="D288" s="206">
        <f t="shared" si="100"/>
        <v>0</v>
      </c>
      <c r="E288" s="206">
        <f t="shared" si="101"/>
        <v>0</v>
      </c>
      <c r="F288" s="206">
        <v>0</v>
      </c>
      <c r="G288" s="206">
        <v>0</v>
      </c>
      <c r="H288" s="206">
        <f t="shared" si="102"/>
        <v>0</v>
      </c>
      <c r="I288" s="206">
        <v>0</v>
      </c>
      <c r="J288" s="206">
        <v>0</v>
      </c>
      <c r="K288" s="220" t="s">
        <v>234</v>
      </c>
      <c r="L288" s="221" t="s">
        <v>413</v>
      </c>
    </row>
    <row r="289" spans="2:12" ht="15" customHeight="1" thickBot="1" x14ac:dyDescent="0.25">
      <c r="B289" s="206">
        <f t="shared" ref="B289:I289" si="115">SUM(B287:B288)</f>
        <v>3758</v>
      </c>
      <c r="C289" s="206">
        <f t="shared" si="115"/>
        <v>1410</v>
      </c>
      <c r="D289" s="206">
        <f t="shared" si="115"/>
        <v>2348</v>
      </c>
      <c r="E289" s="206">
        <f t="shared" si="115"/>
        <v>138</v>
      </c>
      <c r="F289" s="206">
        <f t="shared" si="115"/>
        <v>80</v>
      </c>
      <c r="G289" s="206">
        <f t="shared" si="115"/>
        <v>58</v>
      </c>
      <c r="H289" s="206">
        <f t="shared" si="115"/>
        <v>3620</v>
      </c>
      <c r="I289" s="206">
        <f t="shared" si="115"/>
        <v>1330</v>
      </c>
      <c r="J289" s="206">
        <f>SUM(J287:J288)</f>
        <v>2290</v>
      </c>
      <c r="K289" s="220" t="s">
        <v>12</v>
      </c>
      <c r="L289" s="222"/>
    </row>
    <row r="290" spans="2:12" ht="15" customHeight="1" thickBot="1" x14ac:dyDescent="0.25">
      <c r="B290" s="206">
        <f t="shared" si="99"/>
        <v>2671</v>
      </c>
      <c r="C290" s="206">
        <f t="shared" si="100"/>
        <v>1153</v>
      </c>
      <c r="D290" s="206">
        <f t="shared" si="100"/>
        <v>1518</v>
      </c>
      <c r="E290" s="206">
        <f t="shared" si="101"/>
        <v>71</v>
      </c>
      <c r="F290" s="206">
        <v>33</v>
      </c>
      <c r="G290" s="206">
        <v>38</v>
      </c>
      <c r="H290" s="206">
        <f t="shared" si="102"/>
        <v>2600</v>
      </c>
      <c r="I290" s="206">
        <v>1120</v>
      </c>
      <c r="J290" s="206">
        <v>1480</v>
      </c>
      <c r="K290" s="220" t="s">
        <v>233</v>
      </c>
      <c r="L290" s="221"/>
    </row>
    <row r="291" spans="2:12" ht="15" customHeight="1" thickBot="1" x14ac:dyDescent="0.25">
      <c r="B291" s="206">
        <f t="shared" si="99"/>
        <v>17511</v>
      </c>
      <c r="C291" s="206">
        <f t="shared" si="100"/>
        <v>2478</v>
      </c>
      <c r="D291" s="206">
        <f t="shared" si="100"/>
        <v>15033</v>
      </c>
      <c r="E291" s="206">
        <f t="shared" si="101"/>
        <v>538</v>
      </c>
      <c r="F291" s="206">
        <v>378</v>
      </c>
      <c r="G291" s="206">
        <v>160</v>
      </c>
      <c r="H291" s="206">
        <f t="shared" si="102"/>
        <v>16973</v>
      </c>
      <c r="I291" s="206">
        <v>2100</v>
      </c>
      <c r="J291" s="206">
        <v>14873</v>
      </c>
      <c r="K291" s="220" t="s">
        <v>234</v>
      </c>
      <c r="L291" s="221" t="s">
        <v>414</v>
      </c>
    </row>
    <row r="292" spans="2:12" ht="15" customHeight="1" thickBot="1" x14ac:dyDescent="0.25">
      <c r="B292" s="206">
        <f t="shared" ref="B292:I292" si="116">SUM(B290:B291)</f>
        <v>20182</v>
      </c>
      <c r="C292" s="206">
        <f t="shared" si="116"/>
        <v>3631</v>
      </c>
      <c r="D292" s="206">
        <f t="shared" si="116"/>
        <v>16551</v>
      </c>
      <c r="E292" s="206">
        <f t="shared" si="116"/>
        <v>609</v>
      </c>
      <c r="F292" s="206">
        <f t="shared" si="116"/>
        <v>411</v>
      </c>
      <c r="G292" s="206">
        <f t="shared" si="116"/>
        <v>198</v>
      </c>
      <c r="H292" s="206">
        <f t="shared" si="116"/>
        <v>19573</v>
      </c>
      <c r="I292" s="206">
        <f t="shared" si="116"/>
        <v>3220</v>
      </c>
      <c r="J292" s="206">
        <f>SUM(J290:J291)</f>
        <v>16353</v>
      </c>
      <c r="K292" s="220" t="s">
        <v>12</v>
      </c>
      <c r="L292" s="222"/>
    </row>
    <row r="293" spans="2:12" ht="15" customHeight="1" thickBot="1" x14ac:dyDescent="0.25">
      <c r="B293" s="206">
        <f t="shared" si="99"/>
        <v>177</v>
      </c>
      <c r="C293" s="206">
        <f t="shared" si="100"/>
        <v>0</v>
      </c>
      <c r="D293" s="206">
        <f t="shared" si="100"/>
        <v>177</v>
      </c>
      <c r="E293" s="206">
        <f t="shared" si="101"/>
        <v>4</v>
      </c>
      <c r="F293" s="206">
        <v>0</v>
      </c>
      <c r="G293" s="206">
        <v>4</v>
      </c>
      <c r="H293" s="206">
        <f t="shared" si="102"/>
        <v>173</v>
      </c>
      <c r="I293" s="206">
        <v>0</v>
      </c>
      <c r="J293" s="206">
        <v>173</v>
      </c>
      <c r="K293" s="220" t="s">
        <v>233</v>
      </c>
      <c r="L293" s="221"/>
    </row>
    <row r="294" spans="2:12" ht="15" customHeight="1" thickBot="1" x14ac:dyDescent="0.25">
      <c r="B294" s="206">
        <f t="shared" si="99"/>
        <v>0</v>
      </c>
      <c r="C294" s="206">
        <f t="shared" si="100"/>
        <v>0</v>
      </c>
      <c r="D294" s="206">
        <f t="shared" si="100"/>
        <v>0</v>
      </c>
      <c r="E294" s="206">
        <f t="shared" si="101"/>
        <v>0</v>
      </c>
      <c r="F294" s="206">
        <v>0</v>
      </c>
      <c r="G294" s="206">
        <v>0</v>
      </c>
      <c r="H294" s="206">
        <f t="shared" si="102"/>
        <v>0</v>
      </c>
      <c r="I294" s="206">
        <v>0</v>
      </c>
      <c r="J294" s="206">
        <v>0</v>
      </c>
      <c r="K294" s="220" t="s">
        <v>234</v>
      </c>
      <c r="L294" s="221" t="s">
        <v>415</v>
      </c>
    </row>
    <row r="295" spans="2:12" ht="15" customHeight="1" thickBot="1" x14ac:dyDescent="0.25">
      <c r="B295" s="206">
        <f t="shared" ref="B295:I295" si="117">SUM(B293:B294)</f>
        <v>177</v>
      </c>
      <c r="C295" s="206">
        <f t="shared" si="117"/>
        <v>0</v>
      </c>
      <c r="D295" s="206">
        <f t="shared" si="117"/>
        <v>177</v>
      </c>
      <c r="E295" s="206">
        <f t="shared" si="117"/>
        <v>4</v>
      </c>
      <c r="F295" s="206">
        <f t="shared" si="117"/>
        <v>0</v>
      </c>
      <c r="G295" s="206">
        <f t="shared" si="117"/>
        <v>4</v>
      </c>
      <c r="H295" s="206">
        <f t="shared" si="117"/>
        <v>173</v>
      </c>
      <c r="I295" s="206">
        <f t="shared" si="117"/>
        <v>0</v>
      </c>
      <c r="J295" s="206">
        <f>SUM(J293:J294)</f>
        <v>173</v>
      </c>
      <c r="K295" s="220" t="s">
        <v>12</v>
      </c>
      <c r="L295" s="222"/>
    </row>
    <row r="296" spans="2:12" ht="15" customHeight="1" thickBot="1" x14ac:dyDescent="0.25">
      <c r="B296" s="206">
        <f t="shared" si="99"/>
        <v>266</v>
      </c>
      <c r="C296" s="206">
        <f t="shared" si="100"/>
        <v>0</v>
      </c>
      <c r="D296" s="206">
        <f t="shared" si="100"/>
        <v>266</v>
      </c>
      <c r="E296" s="206">
        <f t="shared" si="101"/>
        <v>1</v>
      </c>
      <c r="F296" s="206">
        <v>0</v>
      </c>
      <c r="G296" s="206">
        <v>1</v>
      </c>
      <c r="H296" s="206">
        <f t="shared" si="102"/>
        <v>265</v>
      </c>
      <c r="I296" s="206">
        <v>0</v>
      </c>
      <c r="J296" s="206">
        <v>265</v>
      </c>
      <c r="K296" s="220" t="s">
        <v>233</v>
      </c>
      <c r="L296" s="221"/>
    </row>
    <row r="297" spans="2:12" ht="15" customHeight="1" thickBot="1" x14ac:dyDescent="0.25">
      <c r="B297" s="206">
        <f t="shared" si="99"/>
        <v>0</v>
      </c>
      <c r="C297" s="206">
        <f t="shared" si="100"/>
        <v>0</v>
      </c>
      <c r="D297" s="206">
        <f t="shared" si="100"/>
        <v>0</v>
      </c>
      <c r="E297" s="206">
        <f t="shared" si="101"/>
        <v>0</v>
      </c>
      <c r="F297" s="206">
        <v>0</v>
      </c>
      <c r="G297" s="206">
        <v>0</v>
      </c>
      <c r="H297" s="206">
        <f t="shared" si="102"/>
        <v>0</v>
      </c>
      <c r="I297" s="206">
        <v>0</v>
      </c>
      <c r="J297" s="206">
        <v>0</v>
      </c>
      <c r="K297" s="220" t="s">
        <v>234</v>
      </c>
      <c r="L297" s="221" t="s">
        <v>416</v>
      </c>
    </row>
    <row r="298" spans="2:12" ht="15" customHeight="1" thickBot="1" x14ac:dyDescent="0.25">
      <c r="B298" s="206">
        <f t="shared" ref="B298:I298" si="118">SUM(B296:B297)</f>
        <v>266</v>
      </c>
      <c r="C298" s="206">
        <f t="shared" si="118"/>
        <v>0</v>
      </c>
      <c r="D298" s="206">
        <f t="shared" si="118"/>
        <v>266</v>
      </c>
      <c r="E298" s="206">
        <f t="shared" si="118"/>
        <v>1</v>
      </c>
      <c r="F298" s="206">
        <f t="shared" si="118"/>
        <v>0</v>
      </c>
      <c r="G298" s="206">
        <f t="shared" si="118"/>
        <v>1</v>
      </c>
      <c r="H298" s="206">
        <f t="shared" si="118"/>
        <v>265</v>
      </c>
      <c r="I298" s="206">
        <f t="shared" si="118"/>
        <v>0</v>
      </c>
      <c r="J298" s="206">
        <f>SUM(J296:J297)</f>
        <v>265</v>
      </c>
      <c r="K298" s="220" t="s">
        <v>12</v>
      </c>
      <c r="L298" s="222"/>
    </row>
    <row r="299" spans="2:12" ht="15" customHeight="1" thickBot="1" x14ac:dyDescent="0.25">
      <c r="B299" s="206">
        <f t="shared" si="99"/>
        <v>16</v>
      </c>
      <c r="C299" s="206">
        <f t="shared" si="100"/>
        <v>9</v>
      </c>
      <c r="D299" s="206">
        <f t="shared" si="100"/>
        <v>7</v>
      </c>
      <c r="E299" s="206">
        <f t="shared" si="101"/>
        <v>0</v>
      </c>
      <c r="F299" s="206">
        <v>0</v>
      </c>
      <c r="G299" s="206">
        <v>0</v>
      </c>
      <c r="H299" s="206">
        <f t="shared" si="102"/>
        <v>16</v>
      </c>
      <c r="I299" s="206">
        <v>9</v>
      </c>
      <c r="J299" s="206">
        <v>7</v>
      </c>
      <c r="K299" s="220" t="s">
        <v>233</v>
      </c>
      <c r="L299" s="221"/>
    </row>
    <row r="300" spans="2:12" ht="15" customHeight="1" thickBot="1" x14ac:dyDescent="0.25">
      <c r="B300" s="206">
        <f t="shared" si="99"/>
        <v>0</v>
      </c>
      <c r="C300" s="206">
        <f t="shared" si="100"/>
        <v>0</v>
      </c>
      <c r="D300" s="206">
        <f t="shared" si="100"/>
        <v>0</v>
      </c>
      <c r="E300" s="206">
        <f t="shared" si="101"/>
        <v>0</v>
      </c>
      <c r="F300" s="206">
        <v>0</v>
      </c>
      <c r="G300" s="206">
        <v>0</v>
      </c>
      <c r="H300" s="206">
        <f t="shared" si="102"/>
        <v>0</v>
      </c>
      <c r="I300" s="206">
        <v>0</v>
      </c>
      <c r="J300" s="206">
        <v>0</v>
      </c>
      <c r="K300" s="220" t="s">
        <v>234</v>
      </c>
      <c r="L300" s="221" t="s">
        <v>417</v>
      </c>
    </row>
    <row r="301" spans="2:12" ht="15" customHeight="1" thickBot="1" x14ac:dyDescent="0.25">
      <c r="B301" s="206">
        <f t="shared" ref="B301:I301" si="119">SUM(B299:B300)</f>
        <v>16</v>
      </c>
      <c r="C301" s="206">
        <f t="shared" si="119"/>
        <v>9</v>
      </c>
      <c r="D301" s="206">
        <f t="shared" si="119"/>
        <v>7</v>
      </c>
      <c r="E301" s="206">
        <f t="shared" si="119"/>
        <v>0</v>
      </c>
      <c r="F301" s="206">
        <f t="shared" si="119"/>
        <v>0</v>
      </c>
      <c r="G301" s="206">
        <f t="shared" si="119"/>
        <v>0</v>
      </c>
      <c r="H301" s="206">
        <f t="shared" si="119"/>
        <v>16</v>
      </c>
      <c r="I301" s="206">
        <f t="shared" si="119"/>
        <v>9</v>
      </c>
      <c r="J301" s="206">
        <f>SUM(J299:J300)</f>
        <v>7</v>
      </c>
      <c r="K301" s="220" t="s">
        <v>12</v>
      </c>
      <c r="L301" s="222"/>
    </row>
    <row r="302" spans="2:12" ht="15" customHeight="1" thickBot="1" x14ac:dyDescent="0.25">
      <c r="B302" s="206">
        <f t="shared" si="99"/>
        <v>20</v>
      </c>
      <c r="C302" s="206">
        <f t="shared" si="100"/>
        <v>0</v>
      </c>
      <c r="D302" s="206">
        <f t="shared" si="100"/>
        <v>20</v>
      </c>
      <c r="E302" s="206">
        <f t="shared" si="101"/>
        <v>0</v>
      </c>
      <c r="F302" s="206">
        <v>0</v>
      </c>
      <c r="G302" s="206">
        <v>0</v>
      </c>
      <c r="H302" s="206">
        <f t="shared" si="102"/>
        <v>20</v>
      </c>
      <c r="I302" s="206">
        <v>0</v>
      </c>
      <c r="J302" s="206">
        <v>20</v>
      </c>
      <c r="K302" s="220" t="s">
        <v>233</v>
      </c>
      <c r="L302" s="221"/>
    </row>
    <row r="303" spans="2:12" ht="15" customHeight="1" thickBot="1" x14ac:dyDescent="0.25">
      <c r="B303" s="206">
        <f t="shared" si="99"/>
        <v>0</v>
      </c>
      <c r="C303" s="206">
        <f t="shared" si="100"/>
        <v>0</v>
      </c>
      <c r="D303" s="206">
        <f t="shared" si="100"/>
        <v>0</v>
      </c>
      <c r="E303" s="206">
        <f t="shared" si="101"/>
        <v>0</v>
      </c>
      <c r="F303" s="206">
        <v>0</v>
      </c>
      <c r="G303" s="206">
        <v>0</v>
      </c>
      <c r="H303" s="206">
        <f t="shared" si="102"/>
        <v>0</v>
      </c>
      <c r="I303" s="206">
        <v>0</v>
      </c>
      <c r="J303" s="206">
        <v>0</v>
      </c>
      <c r="K303" s="220" t="s">
        <v>234</v>
      </c>
      <c r="L303" s="221" t="s">
        <v>418</v>
      </c>
    </row>
    <row r="304" spans="2:12" ht="15" customHeight="1" thickBot="1" x14ac:dyDescent="0.25">
      <c r="B304" s="206">
        <f t="shared" ref="B304:I304" si="120">SUM(B302:B303)</f>
        <v>20</v>
      </c>
      <c r="C304" s="206">
        <f t="shared" si="120"/>
        <v>0</v>
      </c>
      <c r="D304" s="206">
        <f t="shared" si="120"/>
        <v>20</v>
      </c>
      <c r="E304" s="206">
        <f t="shared" si="120"/>
        <v>0</v>
      </c>
      <c r="F304" s="206">
        <f t="shared" si="120"/>
        <v>0</v>
      </c>
      <c r="G304" s="206">
        <f t="shared" si="120"/>
        <v>0</v>
      </c>
      <c r="H304" s="206">
        <f t="shared" si="120"/>
        <v>20</v>
      </c>
      <c r="I304" s="206">
        <f t="shared" si="120"/>
        <v>0</v>
      </c>
      <c r="J304" s="206">
        <f>SUM(J302:J303)</f>
        <v>20</v>
      </c>
      <c r="K304" s="220" t="s">
        <v>12</v>
      </c>
      <c r="L304" s="222"/>
    </row>
    <row r="305" spans="2:12" ht="15" customHeight="1" thickBot="1" x14ac:dyDescent="0.25">
      <c r="B305" s="206">
        <f t="shared" si="99"/>
        <v>0</v>
      </c>
      <c r="C305" s="206">
        <f t="shared" si="100"/>
        <v>0</v>
      </c>
      <c r="D305" s="206">
        <f t="shared" si="100"/>
        <v>0</v>
      </c>
      <c r="E305" s="206">
        <f t="shared" si="101"/>
        <v>0</v>
      </c>
      <c r="F305" s="206">
        <v>0</v>
      </c>
      <c r="G305" s="206">
        <v>0</v>
      </c>
      <c r="H305" s="206">
        <f t="shared" si="102"/>
        <v>0</v>
      </c>
      <c r="I305" s="206">
        <v>0</v>
      </c>
      <c r="J305" s="206">
        <v>0</v>
      </c>
      <c r="K305" s="220" t="s">
        <v>233</v>
      </c>
      <c r="L305" s="223"/>
    </row>
    <row r="306" spans="2:12" ht="15" customHeight="1" thickBot="1" x14ac:dyDescent="0.25">
      <c r="B306" s="206">
        <f t="shared" si="99"/>
        <v>148</v>
      </c>
      <c r="C306" s="206">
        <f t="shared" si="100"/>
        <v>66</v>
      </c>
      <c r="D306" s="206">
        <f t="shared" si="100"/>
        <v>82</v>
      </c>
      <c r="E306" s="206">
        <f t="shared" si="101"/>
        <v>15</v>
      </c>
      <c r="F306" s="206">
        <v>9</v>
      </c>
      <c r="G306" s="206">
        <v>6</v>
      </c>
      <c r="H306" s="206">
        <f t="shared" si="102"/>
        <v>133</v>
      </c>
      <c r="I306" s="206">
        <v>57</v>
      </c>
      <c r="J306" s="206">
        <v>76</v>
      </c>
      <c r="K306" s="220" t="s">
        <v>234</v>
      </c>
      <c r="L306" s="221" t="s">
        <v>419</v>
      </c>
    </row>
    <row r="307" spans="2:12" ht="15" customHeight="1" thickBot="1" x14ac:dyDescent="0.25">
      <c r="B307" s="206">
        <f t="shared" ref="B307:I307" si="121">SUM(B305:B306)</f>
        <v>148</v>
      </c>
      <c r="C307" s="206">
        <f t="shared" si="121"/>
        <v>66</v>
      </c>
      <c r="D307" s="206">
        <f t="shared" si="121"/>
        <v>82</v>
      </c>
      <c r="E307" s="206">
        <f t="shared" si="121"/>
        <v>15</v>
      </c>
      <c r="F307" s="206">
        <f t="shared" si="121"/>
        <v>9</v>
      </c>
      <c r="G307" s="206">
        <f t="shared" si="121"/>
        <v>6</v>
      </c>
      <c r="H307" s="206">
        <f t="shared" si="121"/>
        <v>133</v>
      </c>
      <c r="I307" s="206">
        <f t="shared" si="121"/>
        <v>57</v>
      </c>
      <c r="J307" s="206">
        <f>SUM(J305:J306)</f>
        <v>76</v>
      </c>
      <c r="K307" s="220" t="s">
        <v>12</v>
      </c>
      <c r="L307" s="223"/>
    </row>
    <row r="308" spans="2:12" ht="15" customHeight="1" thickBot="1" x14ac:dyDescent="0.25">
      <c r="B308" s="206">
        <f t="shared" ref="B308:J310" si="122">B251+B254+B257+B260+B263+B266+B269+B272+B275+B278+B281+B284+B287+B290+B293+B296+B299+B302+B305</f>
        <v>10113</v>
      </c>
      <c r="C308" s="206">
        <f t="shared" si="122"/>
        <v>5640</v>
      </c>
      <c r="D308" s="206">
        <f t="shared" si="122"/>
        <v>4473</v>
      </c>
      <c r="E308" s="206">
        <f t="shared" si="122"/>
        <v>261</v>
      </c>
      <c r="F308" s="206">
        <f t="shared" si="122"/>
        <v>158</v>
      </c>
      <c r="G308" s="206">
        <f t="shared" si="122"/>
        <v>103</v>
      </c>
      <c r="H308" s="206">
        <f t="shared" si="122"/>
        <v>9852</v>
      </c>
      <c r="I308" s="206">
        <f t="shared" si="122"/>
        <v>5482</v>
      </c>
      <c r="J308" s="206">
        <f>J251+J254+J257+J260+J263+J266+J269+J272+J275+J278+J281+J284+J287+J290+J293+J296+J299+J302+J305</f>
        <v>4370</v>
      </c>
      <c r="K308" s="220" t="s">
        <v>236</v>
      </c>
      <c r="L308" s="225"/>
    </row>
    <row r="309" spans="2:12" ht="15" customHeight="1" thickBot="1" x14ac:dyDescent="0.25">
      <c r="B309" s="206">
        <f t="shared" si="122"/>
        <v>18563</v>
      </c>
      <c r="C309" s="206">
        <f t="shared" si="122"/>
        <v>3446</v>
      </c>
      <c r="D309" s="206">
        <f t="shared" si="122"/>
        <v>15117</v>
      </c>
      <c r="E309" s="206">
        <f t="shared" si="122"/>
        <v>563</v>
      </c>
      <c r="F309" s="206">
        <f t="shared" si="122"/>
        <v>397</v>
      </c>
      <c r="G309" s="206">
        <f t="shared" si="122"/>
        <v>166</v>
      </c>
      <c r="H309" s="206">
        <f t="shared" si="122"/>
        <v>18000</v>
      </c>
      <c r="I309" s="206">
        <f t="shared" si="122"/>
        <v>3049</v>
      </c>
      <c r="J309" s="206">
        <f t="shared" si="122"/>
        <v>14951</v>
      </c>
      <c r="K309" s="220" t="s">
        <v>237</v>
      </c>
      <c r="L309" s="226" t="s">
        <v>188</v>
      </c>
    </row>
    <row r="310" spans="2:12" ht="15" customHeight="1" thickBot="1" x14ac:dyDescent="0.25">
      <c r="B310" s="206">
        <f t="shared" si="122"/>
        <v>28676</v>
      </c>
      <c r="C310" s="206">
        <f t="shared" si="122"/>
        <v>9086</v>
      </c>
      <c r="D310" s="206">
        <f t="shared" si="122"/>
        <v>19590</v>
      </c>
      <c r="E310" s="206">
        <f t="shared" si="122"/>
        <v>824</v>
      </c>
      <c r="F310" s="206">
        <f t="shared" si="122"/>
        <v>555</v>
      </c>
      <c r="G310" s="206">
        <f t="shared" si="122"/>
        <v>269</v>
      </c>
      <c r="H310" s="206">
        <f t="shared" si="122"/>
        <v>27852</v>
      </c>
      <c r="I310" s="206">
        <f t="shared" si="122"/>
        <v>8531</v>
      </c>
      <c r="J310" s="206">
        <f t="shared" si="122"/>
        <v>19321</v>
      </c>
      <c r="K310" s="220" t="s">
        <v>12</v>
      </c>
      <c r="L310" s="227"/>
    </row>
    <row r="311" spans="2:12" ht="15" customHeight="1" thickBot="1" x14ac:dyDescent="0.25">
      <c r="B311" s="476" t="s">
        <v>4</v>
      </c>
      <c r="C311" s="476"/>
      <c r="D311" s="476"/>
      <c r="E311" s="476" t="s">
        <v>145</v>
      </c>
      <c r="F311" s="476"/>
      <c r="G311" s="476"/>
      <c r="H311" s="476" t="s">
        <v>146</v>
      </c>
      <c r="I311" s="476"/>
      <c r="J311" s="476"/>
      <c r="K311" s="479" t="s">
        <v>66</v>
      </c>
      <c r="L311" s="479"/>
    </row>
    <row r="312" spans="2:12" ht="15" customHeight="1" thickBot="1" x14ac:dyDescent="0.25">
      <c r="B312" s="185" t="s">
        <v>227</v>
      </c>
      <c r="C312" s="185" t="s">
        <v>10</v>
      </c>
      <c r="D312" s="185" t="s">
        <v>9</v>
      </c>
      <c r="E312" s="185" t="s">
        <v>227</v>
      </c>
      <c r="F312" s="185" t="s">
        <v>10</v>
      </c>
      <c r="G312" s="185" t="s">
        <v>9</v>
      </c>
      <c r="H312" s="185" t="s">
        <v>227</v>
      </c>
      <c r="I312" s="185" t="s">
        <v>10</v>
      </c>
      <c r="J312" s="185" t="s">
        <v>9</v>
      </c>
      <c r="K312" s="480" t="s">
        <v>90</v>
      </c>
      <c r="L312" s="480"/>
    </row>
    <row r="313" spans="2:12" ht="15" customHeight="1" thickBot="1" x14ac:dyDescent="0.25">
      <c r="B313" s="47">
        <f>D313+C313</f>
        <v>47</v>
      </c>
      <c r="C313" s="47">
        <f>I313+F313</f>
        <v>0</v>
      </c>
      <c r="D313" s="47">
        <f>J313+G313</f>
        <v>47</v>
      </c>
      <c r="E313" s="47">
        <f>G313+F313</f>
        <v>3</v>
      </c>
      <c r="F313" s="47">
        <v>0</v>
      </c>
      <c r="G313" s="47">
        <v>3</v>
      </c>
      <c r="H313" s="47">
        <f>J313+I313</f>
        <v>44</v>
      </c>
      <c r="I313" s="47">
        <v>0</v>
      </c>
      <c r="J313" s="47">
        <v>44</v>
      </c>
      <c r="K313" s="188" t="s">
        <v>233</v>
      </c>
      <c r="L313" s="215"/>
    </row>
    <row r="314" spans="2:12" ht="15" customHeight="1" thickBot="1" x14ac:dyDescent="0.25">
      <c r="B314" s="47">
        <f t="shared" ref="B314:B333" si="123">D314+C314</f>
        <v>0</v>
      </c>
      <c r="C314" s="47">
        <f t="shared" ref="C314:D330" si="124">I314+F314</f>
        <v>0</v>
      </c>
      <c r="D314" s="47">
        <f t="shared" si="124"/>
        <v>0</v>
      </c>
      <c r="E314" s="47">
        <f t="shared" ref="E314:E333" si="125">G314+F314</f>
        <v>0</v>
      </c>
      <c r="F314" s="47">
        <v>0</v>
      </c>
      <c r="G314" s="47">
        <v>0</v>
      </c>
      <c r="H314" s="47">
        <f t="shared" ref="H314:H333" si="126">J314+I314</f>
        <v>0</v>
      </c>
      <c r="I314" s="47">
        <v>0</v>
      </c>
      <c r="J314" s="47">
        <v>0</v>
      </c>
      <c r="K314" s="188" t="s">
        <v>234</v>
      </c>
      <c r="L314" s="215" t="s">
        <v>420</v>
      </c>
    </row>
    <row r="315" spans="2:12" ht="15" customHeight="1" thickBot="1" x14ac:dyDescent="0.25">
      <c r="B315" s="47">
        <f t="shared" si="123"/>
        <v>47</v>
      </c>
      <c r="C315" s="47">
        <f t="shared" si="124"/>
        <v>0</v>
      </c>
      <c r="D315" s="47">
        <f t="shared" si="124"/>
        <v>47</v>
      </c>
      <c r="E315" s="47">
        <f t="shared" si="125"/>
        <v>3</v>
      </c>
      <c r="F315" s="47">
        <v>0</v>
      </c>
      <c r="G315" s="47">
        <f>G313+G314</f>
        <v>3</v>
      </c>
      <c r="H315" s="47">
        <f t="shared" si="126"/>
        <v>44</v>
      </c>
      <c r="I315" s="47">
        <v>0</v>
      </c>
      <c r="J315" s="47">
        <f>J313+J314</f>
        <v>44</v>
      </c>
      <c r="K315" s="188" t="s">
        <v>12</v>
      </c>
      <c r="L315" s="216"/>
    </row>
    <row r="316" spans="2:12" ht="15" customHeight="1" thickBot="1" x14ac:dyDescent="0.25">
      <c r="B316" s="47">
        <f t="shared" si="123"/>
        <v>19</v>
      </c>
      <c r="C316" s="47">
        <f t="shared" si="124"/>
        <v>0</v>
      </c>
      <c r="D316" s="47">
        <f t="shared" si="124"/>
        <v>19</v>
      </c>
      <c r="E316" s="47">
        <f t="shared" si="125"/>
        <v>0</v>
      </c>
      <c r="F316" s="47">
        <v>0</v>
      </c>
      <c r="G316" s="47">
        <f>0*0</f>
        <v>0</v>
      </c>
      <c r="H316" s="47">
        <f t="shared" si="126"/>
        <v>19</v>
      </c>
      <c r="I316" s="47">
        <v>0</v>
      </c>
      <c r="J316" s="47">
        <v>19</v>
      </c>
      <c r="K316" s="188" t="s">
        <v>233</v>
      </c>
      <c r="L316" s="215"/>
    </row>
    <row r="317" spans="2:12" ht="15" customHeight="1" thickBot="1" x14ac:dyDescent="0.25">
      <c r="B317" s="47">
        <f t="shared" si="123"/>
        <v>0</v>
      </c>
      <c r="C317" s="47">
        <f t="shared" si="124"/>
        <v>0</v>
      </c>
      <c r="D317" s="47">
        <f t="shared" si="124"/>
        <v>0</v>
      </c>
      <c r="E317" s="47">
        <f t="shared" si="125"/>
        <v>0</v>
      </c>
      <c r="F317" s="47">
        <v>0</v>
      </c>
      <c r="G317" s="47">
        <v>0</v>
      </c>
      <c r="H317" s="47">
        <f t="shared" si="126"/>
        <v>0</v>
      </c>
      <c r="I317" s="47">
        <v>0</v>
      </c>
      <c r="J317" s="47">
        <v>0</v>
      </c>
      <c r="K317" s="188" t="s">
        <v>234</v>
      </c>
      <c r="L317" s="215" t="s">
        <v>421</v>
      </c>
    </row>
    <row r="318" spans="2:12" ht="15" customHeight="1" thickBot="1" x14ac:dyDescent="0.25">
      <c r="B318" s="47">
        <f t="shared" si="123"/>
        <v>19</v>
      </c>
      <c r="C318" s="47">
        <f t="shared" si="124"/>
        <v>0</v>
      </c>
      <c r="D318" s="47">
        <f t="shared" si="124"/>
        <v>19</v>
      </c>
      <c r="E318" s="47">
        <f t="shared" si="125"/>
        <v>0</v>
      </c>
      <c r="F318" s="47">
        <v>0</v>
      </c>
      <c r="G318" s="47">
        <f>G316+G317</f>
        <v>0</v>
      </c>
      <c r="H318" s="47">
        <f t="shared" si="126"/>
        <v>19</v>
      </c>
      <c r="I318" s="47">
        <v>0</v>
      </c>
      <c r="J318" s="47">
        <f>J316+J317</f>
        <v>19</v>
      </c>
      <c r="K318" s="188" t="s">
        <v>12</v>
      </c>
      <c r="L318" s="216"/>
    </row>
    <row r="319" spans="2:12" ht="15" customHeight="1" thickBot="1" x14ac:dyDescent="0.25">
      <c r="B319" s="47">
        <f t="shared" si="123"/>
        <v>70</v>
      </c>
      <c r="C319" s="47">
        <f t="shared" si="124"/>
        <v>0</v>
      </c>
      <c r="D319" s="47">
        <f t="shared" si="124"/>
        <v>70</v>
      </c>
      <c r="E319" s="47">
        <f t="shared" si="125"/>
        <v>15</v>
      </c>
      <c r="F319" s="47">
        <v>0</v>
      </c>
      <c r="G319" s="47">
        <v>15</v>
      </c>
      <c r="H319" s="47">
        <f t="shared" si="126"/>
        <v>55</v>
      </c>
      <c r="I319" s="47">
        <v>0</v>
      </c>
      <c r="J319" s="47">
        <v>55</v>
      </c>
      <c r="K319" s="188" t="s">
        <v>233</v>
      </c>
      <c r="L319" s="215"/>
    </row>
    <row r="320" spans="2:12" ht="15" customHeight="1" thickBot="1" x14ac:dyDescent="0.25">
      <c r="B320" s="47">
        <f t="shared" si="123"/>
        <v>0</v>
      </c>
      <c r="C320" s="47">
        <f t="shared" si="124"/>
        <v>0</v>
      </c>
      <c r="D320" s="47">
        <f t="shared" si="124"/>
        <v>0</v>
      </c>
      <c r="E320" s="47">
        <f t="shared" si="125"/>
        <v>0</v>
      </c>
      <c r="F320" s="47">
        <v>0</v>
      </c>
      <c r="G320" s="47">
        <v>0</v>
      </c>
      <c r="H320" s="47">
        <f t="shared" si="126"/>
        <v>0</v>
      </c>
      <c r="I320" s="47">
        <v>0</v>
      </c>
      <c r="J320" s="47">
        <v>0</v>
      </c>
      <c r="K320" s="188" t="s">
        <v>234</v>
      </c>
      <c r="L320" s="215" t="s">
        <v>422</v>
      </c>
    </row>
    <row r="321" spans="2:12" ht="15" customHeight="1" thickBot="1" x14ac:dyDescent="0.25">
      <c r="B321" s="47">
        <f t="shared" si="123"/>
        <v>70</v>
      </c>
      <c r="C321" s="47">
        <f t="shared" si="124"/>
        <v>0</v>
      </c>
      <c r="D321" s="47">
        <f t="shared" si="124"/>
        <v>70</v>
      </c>
      <c r="E321" s="47">
        <f t="shared" si="125"/>
        <v>15</v>
      </c>
      <c r="F321" s="47">
        <v>0</v>
      </c>
      <c r="G321" s="47">
        <f>G319+G320</f>
        <v>15</v>
      </c>
      <c r="H321" s="47">
        <f t="shared" si="126"/>
        <v>55</v>
      </c>
      <c r="I321" s="47">
        <v>0</v>
      </c>
      <c r="J321" s="47">
        <f>J319+J320</f>
        <v>55</v>
      </c>
      <c r="K321" s="188" t="s">
        <v>12</v>
      </c>
      <c r="L321" s="216"/>
    </row>
    <row r="322" spans="2:12" ht="15" customHeight="1" thickBot="1" x14ac:dyDescent="0.25">
      <c r="B322" s="47">
        <f t="shared" si="123"/>
        <v>67</v>
      </c>
      <c r="C322" s="47">
        <f t="shared" si="124"/>
        <v>0</v>
      </c>
      <c r="D322" s="47">
        <f t="shared" si="124"/>
        <v>67</v>
      </c>
      <c r="E322" s="47">
        <f t="shared" si="125"/>
        <v>20</v>
      </c>
      <c r="F322" s="47">
        <v>0</v>
      </c>
      <c r="G322" s="47">
        <v>20</v>
      </c>
      <c r="H322" s="47">
        <f t="shared" si="126"/>
        <v>47</v>
      </c>
      <c r="I322" s="47">
        <v>0</v>
      </c>
      <c r="J322" s="47">
        <v>47</v>
      </c>
      <c r="K322" s="188" t="s">
        <v>233</v>
      </c>
      <c r="L322" s="215"/>
    </row>
    <row r="323" spans="2:12" ht="15" customHeight="1" thickBot="1" x14ac:dyDescent="0.25">
      <c r="B323" s="47">
        <f t="shared" si="123"/>
        <v>0</v>
      </c>
      <c r="C323" s="47">
        <f t="shared" si="124"/>
        <v>0</v>
      </c>
      <c r="D323" s="47">
        <f t="shared" si="124"/>
        <v>0</v>
      </c>
      <c r="E323" s="47">
        <f t="shared" si="125"/>
        <v>0</v>
      </c>
      <c r="F323" s="47">
        <v>0</v>
      </c>
      <c r="G323" s="47">
        <v>0</v>
      </c>
      <c r="H323" s="47">
        <f t="shared" si="126"/>
        <v>0</v>
      </c>
      <c r="I323" s="47">
        <v>0</v>
      </c>
      <c r="J323" s="47">
        <v>0</v>
      </c>
      <c r="K323" s="188" t="s">
        <v>234</v>
      </c>
      <c r="L323" s="215" t="s">
        <v>423</v>
      </c>
    </row>
    <row r="324" spans="2:12" ht="15" customHeight="1" thickBot="1" x14ac:dyDescent="0.25">
      <c r="B324" s="47">
        <f t="shared" si="123"/>
        <v>67</v>
      </c>
      <c r="C324" s="47">
        <f t="shared" si="124"/>
        <v>0</v>
      </c>
      <c r="D324" s="47">
        <f t="shared" si="124"/>
        <v>67</v>
      </c>
      <c r="E324" s="47">
        <f t="shared" si="125"/>
        <v>20</v>
      </c>
      <c r="F324" s="47">
        <v>0</v>
      </c>
      <c r="G324" s="47">
        <f>G322+G323</f>
        <v>20</v>
      </c>
      <c r="H324" s="47">
        <f t="shared" si="126"/>
        <v>47</v>
      </c>
      <c r="I324" s="47">
        <v>0</v>
      </c>
      <c r="J324" s="47">
        <f>J322+J323</f>
        <v>47</v>
      </c>
      <c r="K324" s="188" t="s">
        <v>12</v>
      </c>
      <c r="L324" s="216"/>
    </row>
    <row r="325" spans="2:12" ht="15" customHeight="1" thickBot="1" x14ac:dyDescent="0.25">
      <c r="B325" s="47">
        <f t="shared" si="123"/>
        <v>33</v>
      </c>
      <c r="C325" s="47">
        <f t="shared" si="124"/>
        <v>0</v>
      </c>
      <c r="D325" s="47">
        <f t="shared" si="124"/>
        <v>33</v>
      </c>
      <c r="E325" s="47">
        <f t="shared" si="125"/>
        <v>0</v>
      </c>
      <c r="F325" s="47">
        <v>0</v>
      </c>
      <c r="G325" s="47">
        <f>0*0</f>
        <v>0</v>
      </c>
      <c r="H325" s="47">
        <f t="shared" si="126"/>
        <v>33</v>
      </c>
      <c r="I325" s="47">
        <v>0</v>
      </c>
      <c r="J325" s="47">
        <v>33</v>
      </c>
      <c r="K325" s="188" t="s">
        <v>233</v>
      </c>
      <c r="L325" s="215"/>
    </row>
    <row r="326" spans="2:12" ht="15" customHeight="1" thickBot="1" x14ac:dyDescent="0.25">
      <c r="B326" s="47">
        <f t="shared" si="123"/>
        <v>0</v>
      </c>
      <c r="C326" s="47">
        <f t="shared" si="124"/>
        <v>0</v>
      </c>
      <c r="D326" s="47">
        <f t="shared" si="124"/>
        <v>0</v>
      </c>
      <c r="E326" s="47">
        <f t="shared" si="125"/>
        <v>0</v>
      </c>
      <c r="F326" s="47">
        <v>0</v>
      </c>
      <c r="G326" s="47">
        <v>0</v>
      </c>
      <c r="H326" s="47">
        <f t="shared" si="126"/>
        <v>0</v>
      </c>
      <c r="I326" s="47">
        <v>0</v>
      </c>
      <c r="J326" s="47">
        <v>0</v>
      </c>
      <c r="K326" s="188" t="s">
        <v>234</v>
      </c>
      <c r="L326" s="215" t="s">
        <v>367</v>
      </c>
    </row>
    <row r="327" spans="2:12" ht="15" customHeight="1" thickBot="1" x14ac:dyDescent="0.25">
      <c r="B327" s="47">
        <f t="shared" si="123"/>
        <v>33</v>
      </c>
      <c r="C327" s="47">
        <f t="shared" si="124"/>
        <v>0</v>
      </c>
      <c r="D327" s="47">
        <f t="shared" si="124"/>
        <v>33</v>
      </c>
      <c r="E327" s="47">
        <f t="shared" si="125"/>
        <v>0</v>
      </c>
      <c r="F327" s="47">
        <v>0</v>
      </c>
      <c r="G327" s="47">
        <f>G325+G326</f>
        <v>0</v>
      </c>
      <c r="H327" s="47">
        <f t="shared" si="126"/>
        <v>33</v>
      </c>
      <c r="I327" s="47">
        <v>0</v>
      </c>
      <c r="J327" s="47">
        <f>J325+J326</f>
        <v>33</v>
      </c>
      <c r="K327" s="188" t="s">
        <v>12</v>
      </c>
      <c r="L327" s="216"/>
    </row>
    <row r="328" spans="2:12" ht="15" customHeight="1" thickBot="1" x14ac:dyDescent="0.25">
      <c r="B328" s="47">
        <f t="shared" si="123"/>
        <v>1868</v>
      </c>
      <c r="C328" s="47">
        <f t="shared" si="124"/>
        <v>0</v>
      </c>
      <c r="D328" s="47">
        <f t="shared" si="124"/>
        <v>1868</v>
      </c>
      <c r="E328" s="47">
        <f t="shared" si="125"/>
        <v>80</v>
      </c>
      <c r="F328" s="47">
        <v>0</v>
      </c>
      <c r="G328" s="47">
        <v>80</v>
      </c>
      <c r="H328" s="47">
        <f t="shared" si="126"/>
        <v>1788</v>
      </c>
      <c r="I328" s="47">
        <v>0</v>
      </c>
      <c r="J328" s="47">
        <v>1788</v>
      </c>
      <c r="K328" s="188" t="s">
        <v>233</v>
      </c>
      <c r="L328" s="215"/>
    </row>
    <row r="329" spans="2:12" ht="15" customHeight="1" thickBot="1" x14ac:dyDescent="0.25">
      <c r="B329" s="47">
        <f t="shared" si="123"/>
        <v>0</v>
      </c>
      <c r="C329" s="47">
        <f t="shared" si="124"/>
        <v>0</v>
      </c>
      <c r="D329" s="47">
        <f t="shared" si="124"/>
        <v>0</v>
      </c>
      <c r="E329" s="47">
        <f t="shared" si="125"/>
        <v>0</v>
      </c>
      <c r="F329" s="47">
        <v>0</v>
      </c>
      <c r="G329" s="47">
        <v>0</v>
      </c>
      <c r="H329" s="47">
        <f t="shared" si="126"/>
        <v>0</v>
      </c>
      <c r="I329" s="47">
        <v>0</v>
      </c>
      <c r="J329" s="47">
        <v>0</v>
      </c>
      <c r="K329" s="188" t="s">
        <v>234</v>
      </c>
      <c r="L329" s="215" t="s">
        <v>424</v>
      </c>
    </row>
    <row r="330" spans="2:12" ht="15" customHeight="1" thickBot="1" x14ac:dyDescent="0.25">
      <c r="B330" s="47">
        <f t="shared" si="123"/>
        <v>1868</v>
      </c>
      <c r="C330" s="47">
        <f t="shared" si="124"/>
        <v>0</v>
      </c>
      <c r="D330" s="47">
        <f t="shared" si="124"/>
        <v>1868</v>
      </c>
      <c r="E330" s="47">
        <f t="shared" si="125"/>
        <v>80</v>
      </c>
      <c r="F330" s="47">
        <v>0</v>
      </c>
      <c r="G330" s="47">
        <f>G328+G329</f>
        <v>80</v>
      </c>
      <c r="H330" s="47">
        <f t="shared" si="126"/>
        <v>1788</v>
      </c>
      <c r="I330" s="47">
        <v>0</v>
      </c>
      <c r="J330" s="47">
        <f>J328+J329</f>
        <v>1788</v>
      </c>
      <c r="K330" s="188" t="s">
        <v>12</v>
      </c>
      <c r="L330" s="216"/>
    </row>
    <row r="331" spans="2:12" ht="15" customHeight="1" thickBot="1" x14ac:dyDescent="0.25">
      <c r="B331" s="47">
        <f t="shared" si="123"/>
        <v>6</v>
      </c>
      <c r="C331" s="47">
        <f t="shared" ref="C331:D333" si="127">I331+F331</f>
        <v>0</v>
      </c>
      <c r="D331" s="47">
        <f t="shared" si="127"/>
        <v>6</v>
      </c>
      <c r="E331" s="47">
        <f t="shared" si="125"/>
        <v>5</v>
      </c>
      <c r="F331" s="47">
        <v>0</v>
      </c>
      <c r="G331" s="47">
        <v>5</v>
      </c>
      <c r="H331" s="47">
        <f t="shared" si="126"/>
        <v>1</v>
      </c>
      <c r="I331" s="47">
        <v>0</v>
      </c>
      <c r="J331" s="47">
        <v>1</v>
      </c>
      <c r="K331" s="188" t="s">
        <v>233</v>
      </c>
      <c r="L331" s="215"/>
    </row>
    <row r="332" spans="2:12" ht="15" customHeight="1" thickBot="1" x14ac:dyDescent="0.25">
      <c r="B332" s="47">
        <f t="shared" si="123"/>
        <v>0</v>
      </c>
      <c r="C332" s="47">
        <f t="shared" si="127"/>
        <v>0</v>
      </c>
      <c r="D332" s="47">
        <f t="shared" si="127"/>
        <v>0</v>
      </c>
      <c r="E332" s="47">
        <f t="shared" si="125"/>
        <v>0</v>
      </c>
      <c r="F332" s="47">
        <v>0</v>
      </c>
      <c r="G332" s="47">
        <v>0</v>
      </c>
      <c r="H332" s="47">
        <f t="shared" si="126"/>
        <v>0</v>
      </c>
      <c r="I332" s="47">
        <v>0</v>
      </c>
      <c r="J332" s="47">
        <v>0</v>
      </c>
      <c r="K332" s="188" t="s">
        <v>234</v>
      </c>
      <c r="L332" s="215" t="s">
        <v>425</v>
      </c>
    </row>
    <row r="333" spans="2:12" ht="15" customHeight="1" thickBot="1" x14ac:dyDescent="0.25">
      <c r="B333" s="47">
        <f t="shared" si="123"/>
        <v>6</v>
      </c>
      <c r="C333" s="47">
        <f t="shared" si="127"/>
        <v>0</v>
      </c>
      <c r="D333" s="47">
        <f t="shared" si="127"/>
        <v>6</v>
      </c>
      <c r="E333" s="47">
        <f t="shared" si="125"/>
        <v>5</v>
      </c>
      <c r="F333" s="47">
        <v>0</v>
      </c>
      <c r="G333" s="47">
        <f>G331+G332</f>
        <v>5</v>
      </c>
      <c r="H333" s="47">
        <f t="shared" si="126"/>
        <v>1</v>
      </c>
      <c r="I333" s="47">
        <v>0</v>
      </c>
      <c r="J333" s="47">
        <f>J331+J332</f>
        <v>1</v>
      </c>
      <c r="K333" s="188" t="s">
        <v>12</v>
      </c>
      <c r="L333" s="216"/>
    </row>
    <row r="334" spans="2:12" ht="15" customHeight="1" thickBot="1" x14ac:dyDescent="0.25">
      <c r="B334" s="47">
        <f t="shared" ref="B334:J336" si="128">B313+B316+B319+B322+B325+B328+B331</f>
        <v>2110</v>
      </c>
      <c r="C334" s="47">
        <f t="shared" si="128"/>
        <v>0</v>
      </c>
      <c r="D334" s="47">
        <f t="shared" si="128"/>
        <v>2110</v>
      </c>
      <c r="E334" s="47">
        <f t="shared" si="128"/>
        <v>123</v>
      </c>
      <c r="F334" s="47">
        <f t="shared" si="128"/>
        <v>0</v>
      </c>
      <c r="G334" s="47">
        <f t="shared" si="128"/>
        <v>123</v>
      </c>
      <c r="H334" s="47">
        <f t="shared" si="128"/>
        <v>1987</v>
      </c>
      <c r="I334" s="47">
        <f t="shared" si="128"/>
        <v>0</v>
      </c>
      <c r="J334" s="47">
        <f>J313+J316+J319+J322+J325+J328+J331</f>
        <v>1987</v>
      </c>
      <c r="K334" s="188" t="s">
        <v>236</v>
      </c>
      <c r="L334" s="217"/>
    </row>
    <row r="335" spans="2:12" ht="15" customHeight="1" thickBot="1" x14ac:dyDescent="0.25">
      <c r="B335" s="47">
        <f t="shared" si="128"/>
        <v>0</v>
      </c>
      <c r="C335" s="47">
        <f t="shared" si="128"/>
        <v>0</v>
      </c>
      <c r="D335" s="47">
        <f t="shared" si="128"/>
        <v>0</v>
      </c>
      <c r="E335" s="47">
        <f t="shared" si="128"/>
        <v>0</v>
      </c>
      <c r="F335" s="47">
        <f t="shared" si="128"/>
        <v>0</v>
      </c>
      <c r="G335" s="47">
        <f t="shared" si="128"/>
        <v>0</v>
      </c>
      <c r="H335" s="47">
        <f t="shared" si="128"/>
        <v>0</v>
      </c>
      <c r="I335" s="47">
        <f t="shared" si="128"/>
        <v>0</v>
      </c>
      <c r="J335" s="47">
        <f t="shared" si="128"/>
        <v>0</v>
      </c>
      <c r="K335" s="188" t="s">
        <v>237</v>
      </c>
      <c r="L335" s="218" t="s">
        <v>188</v>
      </c>
    </row>
    <row r="336" spans="2:12" ht="15" customHeight="1" thickBot="1" x14ac:dyDescent="0.25">
      <c r="B336" s="47">
        <f t="shared" si="128"/>
        <v>2110</v>
      </c>
      <c r="C336" s="47">
        <f t="shared" si="128"/>
        <v>0</v>
      </c>
      <c r="D336" s="47">
        <f t="shared" si="128"/>
        <v>2110</v>
      </c>
      <c r="E336" s="47">
        <f t="shared" si="128"/>
        <v>123</v>
      </c>
      <c r="F336" s="47">
        <f t="shared" si="128"/>
        <v>0</v>
      </c>
      <c r="G336" s="47">
        <f t="shared" si="128"/>
        <v>123</v>
      </c>
      <c r="H336" s="47">
        <f t="shared" si="128"/>
        <v>1987</v>
      </c>
      <c r="I336" s="47">
        <f t="shared" si="128"/>
        <v>0</v>
      </c>
      <c r="J336" s="47">
        <f t="shared" si="128"/>
        <v>1987</v>
      </c>
      <c r="K336" s="188" t="s">
        <v>12</v>
      </c>
      <c r="L336" s="219"/>
    </row>
    <row r="337" spans="2:12" ht="15" customHeight="1" thickBot="1" x14ac:dyDescent="0.25">
      <c r="B337" s="476" t="s">
        <v>4</v>
      </c>
      <c r="C337" s="476"/>
      <c r="D337" s="476"/>
      <c r="E337" s="476" t="s">
        <v>145</v>
      </c>
      <c r="F337" s="476"/>
      <c r="G337" s="476"/>
      <c r="H337" s="476" t="s">
        <v>146</v>
      </c>
      <c r="I337" s="476"/>
      <c r="J337" s="476"/>
      <c r="K337" s="479" t="s">
        <v>66</v>
      </c>
      <c r="L337" s="479"/>
    </row>
    <row r="338" spans="2:12" ht="15" customHeight="1" thickBot="1" x14ac:dyDescent="0.25">
      <c r="B338" s="185" t="s">
        <v>227</v>
      </c>
      <c r="C338" s="185" t="s">
        <v>10</v>
      </c>
      <c r="D338" s="185" t="s">
        <v>9</v>
      </c>
      <c r="E338" s="185" t="s">
        <v>227</v>
      </c>
      <c r="F338" s="185" t="s">
        <v>10</v>
      </c>
      <c r="G338" s="185" t="s">
        <v>9</v>
      </c>
      <c r="H338" s="185" t="s">
        <v>227</v>
      </c>
      <c r="I338" s="185" t="s">
        <v>10</v>
      </c>
      <c r="J338" s="185" t="s">
        <v>9</v>
      </c>
      <c r="K338" s="480" t="s">
        <v>74</v>
      </c>
      <c r="L338" s="480"/>
    </row>
    <row r="339" spans="2:12" ht="15" customHeight="1" thickBot="1" x14ac:dyDescent="0.25">
      <c r="B339" s="47">
        <f>SUM(C339:D339)</f>
        <v>263</v>
      </c>
      <c r="C339" s="47">
        <f>I339+F339</f>
        <v>0</v>
      </c>
      <c r="D339" s="47">
        <f>J339+G339</f>
        <v>263</v>
      </c>
      <c r="E339" s="47">
        <f>SUM(F339:G339)</f>
        <v>1</v>
      </c>
      <c r="F339" s="47">
        <v>0</v>
      </c>
      <c r="G339" s="47">
        <v>1</v>
      </c>
      <c r="H339" s="47">
        <f>SUM(I339:J339)</f>
        <v>262</v>
      </c>
      <c r="I339" s="47">
        <v>0</v>
      </c>
      <c r="J339" s="47">
        <v>262</v>
      </c>
      <c r="K339" s="188" t="s">
        <v>233</v>
      </c>
      <c r="L339" s="215"/>
    </row>
    <row r="340" spans="2:12" ht="15" customHeight="1" thickBot="1" x14ac:dyDescent="0.25">
      <c r="B340" s="47">
        <f t="shared" ref="B340:B403" si="129">SUM(C340:D340)</f>
        <v>0</v>
      </c>
      <c r="C340" s="47">
        <f t="shared" ref="C340:D403" si="130">I340+F340</f>
        <v>0</v>
      </c>
      <c r="D340" s="47">
        <f t="shared" si="130"/>
        <v>0</v>
      </c>
      <c r="E340" s="47">
        <f t="shared" ref="E340:E403" si="131">SUM(F340:G340)</f>
        <v>0</v>
      </c>
      <c r="F340" s="47">
        <v>0</v>
      </c>
      <c r="G340" s="47">
        <v>0</v>
      </c>
      <c r="H340" s="47">
        <f t="shared" ref="H340:H403" si="132">SUM(I340:J340)</f>
        <v>0</v>
      </c>
      <c r="I340" s="47">
        <v>0</v>
      </c>
      <c r="J340" s="47">
        <v>0</v>
      </c>
      <c r="K340" s="188" t="s">
        <v>234</v>
      </c>
      <c r="L340" s="215" t="s">
        <v>426</v>
      </c>
    </row>
    <row r="341" spans="2:12" ht="15" customHeight="1" thickBot="1" x14ac:dyDescent="0.25">
      <c r="B341" s="47">
        <f t="shared" ref="B341:I341" si="133">SUM(B339:B340)</f>
        <v>263</v>
      </c>
      <c r="C341" s="47">
        <f t="shared" si="133"/>
        <v>0</v>
      </c>
      <c r="D341" s="47">
        <f t="shared" si="133"/>
        <v>263</v>
      </c>
      <c r="E341" s="47">
        <f t="shared" si="133"/>
        <v>1</v>
      </c>
      <c r="F341" s="47">
        <f t="shared" si="133"/>
        <v>0</v>
      </c>
      <c r="G341" s="47">
        <f t="shared" si="133"/>
        <v>1</v>
      </c>
      <c r="H341" s="47">
        <f t="shared" si="133"/>
        <v>262</v>
      </c>
      <c r="I341" s="47">
        <f t="shared" si="133"/>
        <v>0</v>
      </c>
      <c r="J341" s="47">
        <f>SUM(J339:J340)</f>
        <v>262</v>
      </c>
      <c r="K341" s="188" t="s">
        <v>12</v>
      </c>
      <c r="L341" s="216"/>
    </row>
    <row r="342" spans="2:12" ht="15" customHeight="1" thickBot="1" x14ac:dyDescent="0.25">
      <c r="B342" s="47">
        <f t="shared" si="129"/>
        <v>929</v>
      </c>
      <c r="C342" s="47">
        <f t="shared" si="130"/>
        <v>417</v>
      </c>
      <c r="D342" s="47">
        <f t="shared" si="130"/>
        <v>512</v>
      </c>
      <c r="E342" s="47">
        <f t="shared" si="131"/>
        <v>6</v>
      </c>
      <c r="F342" s="47">
        <v>4</v>
      </c>
      <c r="G342" s="47">
        <v>2</v>
      </c>
      <c r="H342" s="47">
        <f t="shared" si="132"/>
        <v>923</v>
      </c>
      <c r="I342" s="47">
        <v>413</v>
      </c>
      <c r="J342" s="47">
        <v>510</v>
      </c>
      <c r="K342" s="188" t="s">
        <v>233</v>
      </c>
      <c r="L342" s="215"/>
    </row>
    <row r="343" spans="2:12" ht="15" customHeight="1" thickBot="1" x14ac:dyDescent="0.25">
      <c r="B343" s="47">
        <f t="shared" si="129"/>
        <v>0</v>
      </c>
      <c r="C343" s="47">
        <f t="shared" si="130"/>
        <v>0</v>
      </c>
      <c r="D343" s="47">
        <f t="shared" si="130"/>
        <v>0</v>
      </c>
      <c r="E343" s="47">
        <f t="shared" si="131"/>
        <v>0</v>
      </c>
      <c r="F343" s="47">
        <v>0</v>
      </c>
      <c r="G343" s="47">
        <v>0</v>
      </c>
      <c r="H343" s="47">
        <f t="shared" si="132"/>
        <v>0</v>
      </c>
      <c r="I343" s="47">
        <v>0</v>
      </c>
      <c r="J343" s="47">
        <v>0</v>
      </c>
      <c r="K343" s="188" t="s">
        <v>234</v>
      </c>
      <c r="L343" s="215" t="s">
        <v>427</v>
      </c>
    </row>
    <row r="344" spans="2:12" ht="15" customHeight="1" thickBot="1" x14ac:dyDescent="0.25">
      <c r="B344" s="47">
        <f t="shared" ref="B344:I344" si="134">SUM(B342:B343)</f>
        <v>929</v>
      </c>
      <c r="C344" s="47">
        <f t="shared" si="134"/>
        <v>417</v>
      </c>
      <c r="D344" s="47">
        <f t="shared" si="134"/>
        <v>512</v>
      </c>
      <c r="E344" s="47">
        <f t="shared" si="134"/>
        <v>6</v>
      </c>
      <c r="F344" s="47">
        <f t="shared" si="134"/>
        <v>4</v>
      </c>
      <c r="G344" s="47">
        <f t="shared" si="134"/>
        <v>2</v>
      </c>
      <c r="H344" s="47">
        <f t="shared" si="134"/>
        <v>923</v>
      </c>
      <c r="I344" s="47">
        <f t="shared" si="134"/>
        <v>413</v>
      </c>
      <c r="J344" s="47">
        <f>SUM(J342:J343)</f>
        <v>510</v>
      </c>
      <c r="K344" s="188" t="s">
        <v>12</v>
      </c>
      <c r="L344" s="216"/>
    </row>
    <row r="345" spans="2:12" ht="15" customHeight="1" thickBot="1" x14ac:dyDescent="0.25">
      <c r="B345" s="47">
        <f t="shared" si="129"/>
        <v>224</v>
      </c>
      <c r="C345" s="47">
        <f t="shared" si="130"/>
        <v>0</v>
      </c>
      <c r="D345" s="47">
        <f t="shared" si="130"/>
        <v>224</v>
      </c>
      <c r="E345" s="47">
        <f t="shared" si="131"/>
        <v>0</v>
      </c>
      <c r="F345" s="47">
        <v>0</v>
      </c>
      <c r="G345" s="47">
        <v>0</v>
      </c>
      <c r="H345" s="47">
        <f t="shared" si="132"/>
        <v>224</v>
      </c>
      <c r="I345" s="47">
        <v>0</v>
      </c>
      <c r="J345" s="47">
        <v>224</v>
      </c>
      <c r="K345" s="188" t="s">
        <v>233</v>
      </c>
      <c r="L345" s="215"/>
    </row>
    <row r="346" spans="2:12" ht="15" customHeight="1" thickBot="1" x14ac:dyDescent="0.25">
      <c r="B346" s="47">
        <f t="shared" si="129"/>
        <v>0</v>
      </c>
      <c r="C346" s="47">
        <f t="shared" si="130"/>
        <v>0</v>
      </c>
      <c r="D346" s="47">
        <f t="shared" si="130"/>
        <v>0</v>
      </c>
      <c r="E346" s="47">
        <f t="shared" si="131"/>
        <v>0</v>
      </c>
      <c r="F346" s="47">
        <v>0</v>
      </c>
      <c r="G346" s="47">
        <v>0</v>
      </c>
      <c r="H346" s="47">
        <f t="shared" si="132"/>
        <v>0</v>
      </c>
      <c r="I346" s="47">
        <v>0</v>
      </c>
      <c r="J346" s="47">
        <v>0</v>
      </c>
      <c r="K346" s="188" t="s">
        <v>234</v>
      </c>
      <c r="L346" s="215" t="s">
        <v>428</v>
      </c>
    </row>
    <row r="347" spans="2:12" ht="15" customHeight="1" thickBot="1" x14ac:dyDescent="0.25">
      <c r="B347" s="47">
        <f t="shared" ref="B347:I347" si="135">SUM(B345:B346)</f>
        <v>224</v>
      </c>
      <c r="C347" s="47">
        <f t="shared" si="135"/>
        <v>0</v>
      </c>
      <c r="D347" s="47">
        <f t="shared" si="135"/>
        <v>224</v>
      </c>
      <c r="E347" s="47">
        <f t="shared" si="135"/>
        <v>0</v>
      </c>
      <c r="F347" s="47">
        <f t="shared" si="135"/>
        <v>0</v>
      </c>
      <c r="G347" s="47">
        <f t="shared" si="135"/>
        <v>0</v>
      </c>
      <c r="H347" s="47">
        <f t="shared" si="135"/>
        <v>224</v>
      </c>
      <c r="I347" s="47">
        <f t="shared" si="135"/>
        <v>0</v>
      </c>
      <c r="J347" s="47">
        <f>SUM(J345:J346)</f>
        <v>224</v>
      </c>
      <c r="K347" s="188" t="s">
        <v>12</v>
      </c>
      <c r="L347" s="216"/>
    </row>
    <row r="348" spans="2:12" ht="15" customHeight="1" thickBot="1" x14ac:dyDescent="0.25">
      <c r="B348" s="47">
        <f t="shared" si="129"/>
        <v>1044</v>
      </c>
      <c r="C348" s="47">
        <f t="shared" si="130"/>
        <v>578</v>
      </c>
      <c r="D348" s="47">
        <f t="shared" si="130"/>
        <v>466</v>
      </c>
      <c r="E348" s="47">
        <f t="shared" si="131"/>
        <v>4</v>
      </c>
      <c r="F348" s="47">
        <v>3</v>
      </c>
      <c r="G348" s="47">
        <v>1</v>
      </c>
      <c r="H348" s="47">
        <f t="shared" si="132"/>
        <v>1040</v>
      </c>
      <c r="I348" s="47">
        <v>575</v>
      </c>
      <c r="J348" s="47">
        <v>465</v>
      </c>
      <c r="K348" s="188" t="s">
        <v>233</v>
      </c>
      <c r="L348" s="215"/>
    </row>
    <row r="349" spans="2:12" ht="15" customHeight="1" thickBot="1" x14ac:dyDescent="0.25">
      <c r="B349" s="47">
        <f t="shared" si="129"/>
        <v>0</v>
      </c>
      <c r="C349" s="47">
        <f t="shared" si="130"/>
        <v>0</v>
      </c>
      <c r="D349" s="47">
        <f t="shared" si="130"/>
        <v>0</v>
      </c>
      <c r="E349" s="47">
        <f t="shared" si="131"/>
        <v>0</v>
      </c>
      <c r="F349" s="47">
        <v>0</v>
      </c>
      <c r="G349" s="47">
        <v>0</v>
      </c>
      <c r="H349" s="47">
        <f t="shared" si="132"/>
        <v>0</v>
      </c>
      <c r="I349" s="47">
        <v>0</v>
      </c>
      <c r="J349" s="47">
        <v>0</v>
      </c>
      <c r="K349" s="188" t="s">
        <v>234</v>
      </c>
      <c r="L349" s="215" t="s">
        <v>429</v>
      </c>
    </row>
    <row r="350" spans="2:12" ht="15" customHeight="1" thickBot="1" x14ac:dyDescent="0.25">
      <c r="B350" s="47">
        <f t="shared" ref="B350:I350" si="136">SUM(B348:B349)</f>
        <v>1044</v>
      </c>
      <c r="C350" s="47">
        <f t="shared" si="136"/>
        <v>578</v>
      </c>
      <c r="D350" s="47">
        <f t="shared" si="136"/>
        <v>466</v>
      </c>
      <c r="E350" s="47">
        <f t="shared" si="136"/>
        <v>4</v>
      </c>
      <c r="F350" s="47">
        <f t="shared" si="136"/>
        <v>3</v>
      </c>
      <c r="G350" s="47">
        <f t="shared" si="136"/>
        <v>1</v>
      </c>
      <c r="H350" s="47">
        <f t="shared" si="136"/>
        <v>1040</v>
      </c>
      <c r="I350" s="47">
        <f t="shared" si="136"/>
        <v>575</v>
      </c>
      <c r="J350" s="47">
        <f>SUM(J348:J349)</f>
        <v>465</v>
      </c>
      <c r="K350" s="188" t="s">
        <v>12</v>
      </c>
      <c r="L350" s="216"/>
    </row>
    <row r="351" spans="2:12" ht="15" customHeight="1" thickBot="1" x14ac:dyDescent="0.25">
      <c r="B351" s="47">
        <f t="shared" si="129"/>
        <v>468</v>
      </c>
      <c r="C351" s="47">
        <f t="shared" si="130"/>
        <v>0</v>
      </c>
      <c r="D351" s="47">
        <f t="shared" si="130"/>
        <v>468</v>
      </c>
      <c r="E351" s="47">
        <f t="shared" si="131"/>
        <v>1</v>
      </c>
      <c r="F351" s="47">
        <v>0</v>
      </c>
      <c r="G351" s="47">
        <v>1</v>
      </c>
      <c r="H351" s="47">
        <f t="shared" si="132"/>
        <v>467</v>
      </c>
      <c r="I351" s="47">
        <v>0</v>
      </c>
      <c r="J351" s="47">
        <v>467</v>
      </c>
      <c r="K351" s="188" t="s">
        <v>233</v>
      </c>
      <c r="L351" s="215"/>
    </row>
    <row r="352" spans="2:12" ht="15" customHeight="1" thickBot="1" x14ac:dyDescent="0.25">
      <c r="B352" s="47">
        <f t="shared" si="129"/>
        <v>0</v>
      </c>
      <c r="C352" s="47">
        <f t="shared" si="130"/>
        <v>0</v>
      </c>
      <c r="D352" s="47">
        <f t="shared" si="130"/>
        <v>0</v>
      </c>
      <c r="E352" s="47">
        <f t="shared" si="131"/>
        <v>0</v>
      </c>
      <c r="F352" s="47">
        <v>0</v>
      </c>
      <c r="G352" s="47">
        <v>0</v>
      </c>
      <c r="H352" s="47">
        <f t="shared" si="132"/>
        <v>0</v>
      </c>
      <c r="I352" s="47">
        <v>0</v>
      </c>
      <c r="J352" s="47">
        <v>0</v>
      </c>
      <c r="K352" s="188" t="s">
        <v>234</v>
      </c>
      <c r="L352" s="215" t="s">
        <v>430</v>
      </c>
    </row>
    <row r="353" spans="2:12" ht="15" customHeight="1" thickBot="1" x14ac:dyDescent="0.25">
      <c r="B353" s="47">
        <f t="shared" ref="B353:I353" si="137">SUM(B351:B352)</f>
        <v>468</v>
      </c>
      <c r="C353" s="47">
        <f t="shared" si="137"/>
        <v>0</v>
      </c>
      <c r="D353" s="47">
        <f t="shared" si="137"/>
        <v>468</v>
      </c>
      <c r="E353" s="47">
        <f t="shared" si="137"/>
        <v>1</v>
      </c>
      <c r="F353" s="47">
        <f t="shared" si="137"/>
        <v>0</v>
      </c>
      <c r="G353" s="47">
        <f t="shared" si="137"/>
        <v>1</v>
      </c>
      <c r="H353" s="47">
        <f t="shared" si="137"/>
        <v>467</v>
      </c>
      <c r="I353" s="47">
        <f t="shared" si="137"/>
        <v>0</v>
      </c>
      <c r="J353" s="47">
        <f>SUM(J351:J352)</f>
        <v>467</v>
      </c>
      <c r="K353" s="188" t="s">
        <v>12</v>
      </c>
      <c r="L353" s="216"/>
    </row>
    <row r="354" spans="2:12" ht="15" customHeight="1" thickBot="1" x14ac:dyDescent="0.25">
      <c r="B354" s="47">
        <f t="shared" si="129"/>
        <v>222</v>
      </c>
      <c r="C354" s="47">
        <f t="shared" si="130"/>
        <v>86</v>
      </c>
      <c r="D354" s="47">
        <f t="shared" si="130"/>
        <v>136</v>
      </c>
      <c r="E354" s="47">
        <f t="shared" si="131"/>
        <v>0</v>
      </c>
      <c r="F354" s="47">
        <v>0</v>
      </c>
      <c r="G354" s="47">
        <v>0</v>
      </c>
      <c r="H354" s="47">
        <f t="shared" si="132"/>
        <v>222</v>
      </c>
      <c r="I354" s="47">
        <v>86</v>
      </c>
      <c r="J354" s="47">
        <v>136</v>
      </c>
      <c r="K354" s="188" t="s">
        <v>233</v>
      </c>
      <c r="L354" s="215"/>
    </row>
    <row r="355" spans="2:12" ht="15" customHeight="1" thickBot="1" x14ac:dyDescent="0.25">
      <c r="B355" s="47">
        <f t="shared" si="129"/>
        <v>0</v>
      </c>
      <c r="C355" s="47">
        <f t="shared" si="130"/>
        <v>0</v>
      </c>
      <c r="D355" s="47">
        <f t="shared" si="130"/>
        <v>0</v>
      </c>
      <c r="E355" s="47">
        <f t="shared" si="131"/>
        <v>0</v>
      </c>
      <c r="F355" s="47">
        <v>0</v>
      </c>
      <c r="G355" s="47">
        <v>0</v>
      </c>
      <c r="H355" s="47">
        <f t="shared" si="132"/>
        <v>0</v>
      </c>
      <c r="I355" s="47">
        <v>0</v>
      </c>
      <c r="J355" s="47">
        <v>0</v>
      </c>
      <c r="K355" s="188" t="s">
        <v>234</v>
      </c>
      <c r="L355" s="215" t="s">
        <v>431</v>
      </c>
    </row>
    <row r="356" spans="2:12" ht="15" customHeight="1" thickBot="1" x14ac:dyDescent="0.25">
      <c r="B356" s="47">
        <f t="shared" ref="B356:I356" si="138">SUM(B354:B355)</f>
        <v>222</v>
      </c>
      <c r="C356" s="47">
        <f t="shared" si="138"/>
        <v>86</v>
      </c>
      <c r="D356" s="47">
        <f t="shared" si="138"/>
        <v>136</v>
      </c>
      <c r="E356" s="47">
        <f t="shared" si="138"/>
        <v>0</v>
      </c>
      <c r="F356" s="47">
        <f t="shared" si="138"/>
        <v>0</v>
      </c>
      <c r="G356" s="47">
        <f t="shared" si="138"/>
        <v>0</v>
      </c>
      <c r="H356" s="47">
        <f t="shared" si="138"/>
        <v>222</v>
      </c>
      <c r="I356" s="47">
        <f t="shared" si="138"/>
        <v>86</v>
      </c>
      <c r="J356" s="47">
        <f>SUM(J354:J355)</f>
        <v>136</v>
      </c>
      <c r="K356" s="188" t="s">
        <v>12</v>
      </c>
      <c r="L356" s="216"/>
    </row>
    <row r="357" spans="2:12" ht="15" customHeight="1" thickBot="1" x14ac:dyDescent="0.25">
      <c r="B357" s="47">
        <f t="shared" si="129"/>
        <v>902</v>
      </c>
      <c r="C357" s="47">
        <f t="shared" si="130"/>
        <v>466</v>
      </c>
      <c r="D357" s="47">
        <f t="shared" si="130"/>
        <v>436</v>
      </c>
      <c r="E357" s="47">
        <f t="shared" si="131"/>
        <v>0</v>
      </c>
      <c r="F357" s="47">
        <v>0</v>
      </c>
      <c r="G357" s="47">
        <v>0</v>
      </c>
      <c r="H357" s="47">
        <f t="shared" si="132"/>
        <v>902</v>
      </c>
      <c r="I357" s="47">
        <v>466</v>
      </c>
      <c r="J357" s="47">
        <v>436</v>
      </c>
      <c r="K357" s="188" t="s">
        <v>233</v>
      </c>
      <c r="L357" s="215"/>
    </row>
    <row r="358" spans="2:12" ht="15" customHeight="1" thickBot="1" x14ac:dyDescent="0.25">
      <c r="B358" s="47">
        <f t="shared" si="129"/>
        <v>0</v>
      </c>
      <c r="C358" s="47">
        <f t="shared" si="130"/>
        <v>0</v>
      </c>
      <c r="D358" s="47">
        <f t="shared" si="130"/>
        <v>0</v>
      </c>
      <c r="E358" s="47">
        <f t="shared" si="131"/>
        <v>0</v>
      </c>
      <c r="F358" s="47">
        <v>0</v>
      </c>
      <c r="G358" s="47">
        <v>0</v>
      </c>
      <c r="H358" s="47">
        <f t="shared" si="132"/>
        <v>0</v>
      </c>
      <c r="I358" s="47">
        <v>0</v>
      </c>
      <c r="J358" s="47">
        <v>0</v>
      </c>
      <c r="K358" s="188" t="s">
        <v>234</v>
      </c>
      <c r="L358" s="215" t="s">
        <v>432</v>
      </c>
    </row>
    <row r="359" spans="2:12" ht="15" customHeight="1" thickBot="1" x14ac:dyDescent="0.25">
      <c r="B359" s="47">
        <f t="shared" ref="B359:I359" si="139">SUM(B357:B358)</f>
        <v>902</v>
      </c>
      <c r="C359" s="47">
        <f t="shared" si="139"/>
        <v>466</v>
      </c>
      <c r="D359" s="47">
        <f t="shared" si="139"/>
        <v>436</v>
      </c>
      <c r="E359" s="47">
        <f t="shared" si="139"/>
        <v>0</v>
      </c>
      <c r="F359" s="47">
        <f t="shared" si="139"/>
        <v>0</v>
      </c>
      <c r="G359" s="47">
        <f t="shared" si="139"/>
        <v>0</v>
      </c>
      <c r="H359" s="47">
        <f t="shared" si="139"/>
        <v>902</v>
      </c>
      <c r="I359" s="47">
        <f t="shared" si="139"/>
        <v>466</v>
      </c>
      <c r="J359" s="47">
        <f>SUM(J357:J358)</f>
        <v>436</v>
      </c>
      <c r="K359" s="188" t="s">
        <v>12</v>
      </c>
      <c r="L359" s="216"/>
    </row>
    <row r="360" spans="2:12" ht="15" customHeight="1" thickBot="1" x14ac:dyDescent="0.25">
      <c r="B360" s="47">
        <f t="shared" si="129"/>
        <v>205</v>
      </c>
      <c r="C360" s="47">
        <f t="shared" si="130"/>
        <v>0</v>
      </c>
      <c r="D360" s="47">
        <f t="shared" si="130"/>
        <v>205</v>
      </c>
      <c r="E360" s="47">
        <f t="shared" si="131"/>
        <v>1</v>
      </c>
      <c r="F360" s="47">
        <v>0</v>
      </c>
      <c r="G360" s="47">
        <v>1</v>
      </c>
      <c r="H360" s="47">
        <f t="shared" si="132"/>
        <v>204</v>
      </c>
      <c r="I360" s="47">
        <v>0</v>
      </c>
      <c r="J360" s="47">
        <v>204</v>
      </c>
      <c r="K360" s="188" t="s">
        <v>233</v>
      </c>
      <c r="L360" s="215"/>
    </row>
    <row r="361" spans="2:12" ht="15" customHeight="1" thickBot="1" x14ac:dyDescent="0.25">
      <c r="B361" s="47">
        <f t="shared" si="129"/>
        <v>0</v>
      </c>
      <c r="C361" s="47">
        <f t="shared" si="130"/>
        <v>0</v>
      </c>
      <c r="D361" s="47">
        <f t="shared" si="130"/>
        <v>0</v>
      </c>
      <c r="E361" s="47">
        <f t="shared" si="131"/>
        <v>0</v>
      </c>
      <c r="F361" s="47">
        <v>0</v>
      </c>
      <c r="G361" s="47">
        <v>0</v>
      </c>
      <c r="H361" s="47">
        <f t="shared" si="132"/>
        <v>0</v>
      </c>
      <c r="I361" s="47">
        <v>0</v>
      </c>
      <c r="J361" s="47">
        <v>0</v>
      </c>
      <c r="K361" s="188" t="s">
        <v>234</v>
      </c>
      <c r="L361" s="215" t="s">
        <v>433</v>
      </c>
    </row>
    <row r="362" spans="2:12" ht="15" customHeight="1" thickBot="1" x14ac:dyDescent="0.25">
      <c r="B362" s="47">
        <f t="shared" ref="B362:I362" si="140">SUM(B360:B361)</f>
        <v>205</v>
      </c>
      <c r="C362" s="47">
        <f t="shared" si="140"/>
        <v>0</v>
      </c>
      <c r="D362" s="47">
        <f t="shared" si="140"/>
        <v>205</v>
      </c>
      <c r="E362" s="47">
        <f t="shared" si="140"/>
        <v>1</v>
      </c>
      <c r="F362" s="47">
        <f t="shared" si="140"/>
        <v>0</v>
      </c>
      <c r="G362" s="47">
        <f t="shared" si="140"/>
        <v>1</v>
      </c>
      <c r="H362" s="47">
        <f t="shared" si="140"/>
        <v>204</v>
      </c>
      <c r="I362" s="47">
        <f t="shared" si="140"/>
        <v>0</v>
      </c>
      <c r="J362" s="47">
        <f>SUM(J360:J361)</f>
        <v>204</v>
      </c>
      <c r="K362" s="188" t="s">
        <v>12</v>
      </c>
      <c r="L362" s="216"/>
    </row>
    <row r="363" spans="2:12" ht="15" customHeight="1" thickBot="1" x14ac:dyDescent="0.25">
      <c r="B363" s="47">
        <f t="shared" si="129"/>
        <v>270</v>
      </c>
      <c r="C363" s="47">
        <f t="shared" si="130"/>
        <v>52</v>
      </c>
      <c r="D363" s="47">
        <f t="shared" si="130"/>
        <v>218</v>
      </c>
      <c r="E363" s="47">
        <f t="shared" si="131"/>
        <v>1</v>
      </c>
      <c r="F363" s="47">
        <v>0</v>
      </c>
      <c r="G363" s="47">
        <v>1</v>
      </c>
      <c r="H363" s="47">
        <f t="shared" si="132"/>
        <v>269</v>
      </c>
      <c r="I363" s="47">
        <v>52</v>
      </c>
      <c r="J363" s="47">
        <v>217</v>
      </c>
      <c r="K363" s="188" t="s">
        <v>233</v>
      </c>
      <c r="L363" s="215"/>
    </row>
    <row r="364" spans="2:12" ht="15" customHeight="1" thickBot="1" x14ac:dyDescent="0.25">
      <c r="B364" s="47">
        <f t="shared" si="129"/>
        <v>0</v>
      </c>
      <c r="C364" s="47">
        <f t="shared" si="130"/>
        <v>0</v>
      </c>
      <c r="D364" s="47">
        <f t="shared" si="130"/>
        <v>0</v>
      </c>
      <c r="E364" s="47">
        <f t="shared" si="131"/>
        <v>0</v>
      </c>
      <c r="F364" s="47">
        <v>0</v>
      </c>
      <c r="G364" s="47">
        <v>0</v>
      </c>
      <c r="H364" s="47">
        <f t="shared" si="132"/>
        <v>0</v>
      </c>
      <c r="I364" s="47">
        <v>0</v>
      </c>
      <c r="J364" s="47">
        <v>0</v>
      </c>
      <c r="K364" s="188" t="s">
        <v>234</v>
      </c>
      <c r="L364" s="215" t="s">
        <v>434</v>
      </c>
    </row>
    <row r="365" spans="2:12" ht="15" customHeight="1" thickBot="1" x14ac:dyDescent="0.25">
      <c r="B365" s="47">
        <f t="shared" ref="B365:I365" si="141">SUM(B363:B364)</f>
        <v>270</v>
      </c>
      <c r="C365" s="47">
        <f t="shared" si="141"/>
        <v>52</v>
      </c>
      <c r="D365" s="47">
        <f t="shared" si="141"/>
        <v>218</v>
      </c>
      <c r="E365" s="47">
        <f t="shared" si="141"/>
        <v>1</v>
      </c>
      <c r="F365" s="47">
        <f t="shared" si="141"/>
        <v>0</v>
      </c>
      <c r="G365" s="47">
        <f t="shared" si="141"/>
        <v>1</v>
      </c>
      <c r="H365" s="47">
        <f t="shared" si="141"/>
        <v>269</v>
      </c>
      <c r="I365" s="47">
        <f t="shared" si="141"/>
        <v>52</v>
      </c>
      <c r="J365" s="47">
        <f>SUM(J363:J364)</f>
        <v>217</v>
      </c>
      <c r="K365" s="188" t="s">
        <v>12</v>
      </c>
      <c r="L365" s="216"/>
    </row>
    <row r="366" spans="2:12" ht="15" customHeight="1" thickBot="1" x14ac:dyDescent="0.25">
      <c r="B366" s="47">
        <f t="shared" si="129"/>
        <v>278</v>
      </c>
      <c r="C366" s="47">
        <f t="shared" si="130"/>
        <v>115</v>
      </c>
      <c r="D366" s="47">
        <f t="shared" si="130"/>
        <v>163</v>
      </c>
      <c r="E366" s="47">
        <f t="shared" si="131"/>
        <v>0</v>
      </c>
      <c r="F366" s="47">
        <v>0</v>
      </c>
      <c r="G366" s="47">
        <v>0</v>
      </c>
      <c r="H366" s="47">
        <f t="shared" si="132"/>
        <v>278</v>
      </c>
      <c r="I366" s="47">
        <v>115</v>
      </c>
      <c r="J366" s="47">
        <v>163</v>
      </c>
      <c r="K366" s="188" t="s">
        <v>233</v>
      </c>
      <c r="L366" s="215"/>
    </row>
    <row r="367" spans="2:12" ht="15" customHeight="1" thickBot="1" x14ac:dyDescent="0.25">
      <c r="B367" s="47">
        <f t="shared" si="129"/>
        <v>0</v>
      </c>
      <c r="C367" s="47">
        <f t="shared" si="130"/>
        <v>0</v>
      </c>
      <c r="D367" s="47">
        <f t="shared" si="130"/>
        <v>0</v>
      </c>
      <c r="E367" s="47">
        <f t="shared" si="131"/>
        <v>0</v>
      </c>
      <c r="F367" s="47">
        <v>0</v>
      </c>
      <c r="G367" s="47">
        <v>0</v>
      </c>
      <c r="H367" s="47">
        <f t="shared" si="132"/>
        <v>0</v>
      </c>
      <c r="I367" s="47">
        <v>0</v>
      </c>
      <c r="J367" s="47">
        <v>0</v>
      </c>
      <c r="K367" s="188" t="s">
        <v>234</v>
      </c>
      <c r="L367" s="215" t="s">
        <v>435</v>
      </c>
    </row>
    <row r="368" spans="2:12" ht="15" customHeight="1" thickBot="1" x14ac:dyDescent="0.25">
      <c r="B368" s="47">
        <f t="shared" ref="B368:I368" si="142">SUM(B366:B367)</f>
        <v>278</v>
      </c>
      <c r="C368" s="47">
        <f t="shared" si="142"/>
        <v>115</v>
      </c>
      <c r="D368" s="47">
        <f t="shared" si="142"/>
        <v>163</v>
      </c>
      <c r="E368" s="47">
        <f t="shared" si="142"/>
        <v>0</v>
      </c>
      <c r="F368" s="47">
        <f t="shared" si="142"/>
        <v>0</v>
      </c>
      <c r="G368" s="47">
        <f t="shared" si="142"/>
        <v>0</v>
      </c>
      <c r="H368" s="47">
        <f t="shared" si="142"/>
        <v>278</v>
      </c>
      <c r="I368" s="47">
        <f t="shared" si="142"/>
        <v>115</v>
      </c>
      <c r="J368" s="47">
        <f>SUM(J366:J367)</f>
        <v>163</v>
      </c>
      <c r="K368" s="188" t="s">
        <v>12</v>
      </c>
      <c r="L368" s="216"/>
    </row>
    <row r="369" spans="2:12" ht="15" customHeight="1" thickBot="1" x14ac:dyDescent="0.25">
      <c r="B369" s="47">
        <f t="shared" si="129"/>
        <v>61</v>
      </c>
      <c r="C369" s="47">
        <f t="shared" si="130"/>
        <v>0</v>
      </c>
      <c r="D369" s="47">
        <f t="shared" si="130"/>
        <v>61</v>
      </c>
      <c r="E369" s="47">
        <f t="shared" si="131"/>
        <v>0</v>
      </c>
      <c r="F369" s="47">
        <v>0</v>
      </c>
      <c r="G369" s="47">
        <v>0</v>
      </c>
      <c r="H369" s="47">
        <f t="shared" si="132"/>
        <v>61</v>
      </c>
      <c r="I369" s="47">
        <v>0</v>
      </c>
      <c r="J369" s="47">
        <v>61</v>
      </c>
      <c r="K369" s="188" t="s">
        <v>233</v>
      </c>
      <c r="L369" s="215"/>
    </row>
    <row r="370" spans="2:12" ht="15" customHeight="1" thickBot="1" x14ac:dyDescent="0.25">
      <c r="B370" s="47">
        <f t="shared" si="129"/>
        <v>0</v>
      </c>
      <c r="C370" s="47">
        <f t="shared" si="130"/>
        <v>0</v>
      </c>
      <c r="D370" s="47">
        <f t="shared" si="130"/>
        <v>0</v>
      </c>
      <c r="E370" s="47">
        <f t="shared" si="131"/>
        <v>0</v>
      </c>
      <c r="F370" s="47">
        <v>0</v>
      </c>
      <c r="G370" s="47">
        <v>0</v>
      </c>
      <c r="H370" s="47">
        <f t="shared" si="132"/>
        <v>0</v>
      </c>
      <c r="I370" s="47">
        <v>0</v>
      </c>
      <c r="J370" s="47">
        <v>0</v>
      </c>
      <c r="K370" s="188" t="s">
        <v>234</v>
      </c>
      <c r="L370" s="215" t="s">
        <v>436</v>
      </c>
    </row>
    <row r="371" spans="2:12" ht="15" customHeight="1" thickBot="1" x14ac:dyDescent="0.25">
      <c r="B371" s="47">
        <f t="shared" ref="B371:I371" si="143">SUM(B369:B370)</f>
        <v>61</v>
      </c>
      <c r="C371" s="47">
        <f t="shared" si="143"/>
        <v>0</v>
      </c>
      <c r="D371" s="47">
        <f t="shared" si="143"/>
        <v>61</v>
      </c>
      <c r="E371" s="47">
        <f t="shared" si="143"/>
        <v>0</v>
      </c>
      <c r="F371" s="47">
        <f t="shared" si="143"/>
        <v>0</v>
      </c>
      <c r="G371" s="47">
        <f t="shared" si="143"/>
        <v>0</v>
      </c>
      <c r="H371" s="47">
        <f t="shared" si="143"/>
        <v>61</v>
      </c>
      <c r="I371" s="47">
        <f t="shared" si="143"/>
        <v>0</v>
      </c>
      <c r="J371" s="47">
        <f>SUM(J369:J370)</f>
        <v>61</v>
      </c>
      <c r="K371" s="188" t="s">
        <v>12</v>
      </c>
      <c r="L371" s="216"/>
    </row>
    <row r="372" spans="2:12" ht="15" customHeight="1" thickBot="1" x14ac:dyDescent="0.25">
      <c r="B372" s="47">
        <f t="shared" si="129"/>
        <v>243</v>
      </c>
      <c r="C372" s="47">
        <f t="shared" si="130"/>
        <v>138</v>
      </c>
      <c r="D372" s="47">
        <f t="shared" si="130"/>
        <v>105</v>
      </c>
      <c r="E372" s="47">
        <f t="shared" si="131"/>
        <v>0</v>
      </c>
      <c r="F372" s="47">
        <v>0</v>
      </c>
      <c r="G372" s="47">
        <v>0</v>
      </c>
      <c r="H372" s="47">
        <f t="shared" si="132"/>
        <v>243</v>
      </c>
      <c r="I372" s="47">
        <v>138</v>
      </c>
      <c r="J372" s="47">
        <v>105</v>
      </c>
      <c r="K372" s="188" t="s">
        <v>233</v>
      </c>
      <c r="L372" s="215"/>
    </row>
    <row r="373" spans="2:12" ht="15" customHeight="1" thickBot="1" x14ac:dyDescent="0.25">
      <c r="B373" s="47">
        <f t="shared" si="129"/>
        <v>0</v>
      </c>
      <c r="C373" s="47">
        <f t="shared" si="130"/>
        <v>0</v>
      </c>
      <c r="D373" s="47">
        <f t="shared" si="130"/>
        <v>0</v>
      </c>
      <c r="E373" s="47">
        <f t="shared" si="131"/>
        <v>0</v>
      </c>
      <c r="F373" s="47">
        <v>0</v>
      </c>
      <c r="G373" s="47">
        <v>0</v>
      </c>
      <c r="H373" s="47">
        <f t="shared" si="132"/>
        <v>0</v>
      </c>
      <c r="I373" s="47">
        <v>0</v>
      </c>
      <c r="J373" s="47">
        <v>0</v>
      </c>
      <c r="K373" s="188" t="s">
        <v>234</v>
      </c>
      <c r="L373" s="215" t="s">
        <v>437</v>
      </c>
    </row>
    <row r="374" spans="2:12" ht="15" customHeight="1" thickBot="1" x14ac:dyDescent="0.25">
      <c r="B374" s="47">
        <f t="shared" ref="B374:I374" si="144">SUM(B372:B373)</f>
        <v>243</v>
      </c>
      <c r="C374" s="47">
        <f t="shared" si="144"/>
        <v>138</v>
      </c>
      <c r="D374" s="47">
        <f t="shared" si="144"/>
        <v>105</v>
      </c>
      <c r="E374" s="47">
        <f t="shared" si="144"/>
        <v>0</v>
      </c>
      <c r="F374" s="47">
        <f t="shared" si="144"/>
        <v>0</v>
      </c>
      <c r="G374" s="47">
        <f t="shared" si="144"/>
        <v>0</v>
      </c>
      <c r="H374" s="47">
        <f t="shared" si="144"/>
        <v>243</v>
      </c>
      <c r="I374" s="47">
        <f t="shared" si="144"/>
        <v>138</v>
      </c>
      <c r="J374" s="47">
        <f>SUM(J372:J373)</f>
        <v>105</v>
      </c>
      <c r="K374" s="188" t="s">
        <v>12</v>
      </c>
      <c r="L374" s="216"/>
    </row>
    <row r="375" spans="2:12" ht="15" customHeight="1" thickBot="1" x14ac:dyDescent="0.25">
      <c r="B375" s="47">
        <f t="shared" si="129"/>
        <v>127</v>
      </c>
      <c r="C375" s="47">
        <f t="shared" si="130"/>
        <v>127</v>
      </c>
      <c r="D375" s="47">
        <f t="shared" si="130"/>
        <v>0</v>
      </c>
      <c r="E375" s="47">
        <f t="shared" si="131"/>
        <v>1</v>
      </c>
      <c r="F375" s="47">
        <v>1</v>
      </c>
      <c r="G375" s="47">
        <v>0</v>
      </c>
      <c r="H375" s="47">
        <f t="shared" si="132"/>
        <v>126</v>
      </c>
      <c r="I375" s="47">
        <v>126</v>
      </c>
      <c r="J375" s="47">
        <v>0</v>
      </c>
      <c r="K375" s="188" t="s">
        <v>233</v>
      </c>
      <c r="L375" s="215"/>
    </row>
    <row r="376" spans="2:12" ht="15" customHeight="1" thickBot="1" x14ac:dyDescent="0.25">
      <c r="B376" s="47">
        <f t="shared" si="129"/>
        <v>0</v>
      </c>
      <c r="C376" s="47">
        <f t="shared" si="130"/>
        <v>0</v>
      </c>
      <c r="D376" s="47">
        <f t="shared" si="130"/>
        <v>0</v>
      </c>
      <c r="E376" s="47">
        <f t="shared" si="131"/>
        <v>0</v>
      </c>
      <c r="F376" s="47">
        <v>0</v>
      </c>
      <c r="G376" s="47">
        <v>0</v>
      </c>
      <c r="H376" s="47">
        <f t="shared" si="132"/>
        <v>0</v>
      </c>
      <c r="I376" s="47">
        <v>0</v>
      </c>
      <c r="J376" s="47">
        <v>0</v>
      </c>
      <c r="K376" s="188" t="s">
        <v>234</v>
      </c>
      <c r="L376" s="215" t="s">
        <v>438</v>
      </c>
    </row>
    <row r="377" spans="2:12" ht="15" customHeight="1" thickBot="1" x14ac:dyDescent="0.25">
      <c r="B377" s="47">
        <f t="shared" ref="B377:I377" si="145">SUM(B375:B376)</f>
        <v>127</v>
      </c>
      <c r="C377" s="47">
        <f t="shared" si="145"/>
        <v>127</v>
      </c>
      <c r="D377" s="47">
        <f t="shared" si="145"/>
        <v>0</v>
      </c>
      <c r="E377" s="47">
        <f t="shared" si="145"/>
        <v>1</v>
      </c>
      <c r="F377" s="47">
        <f t="shared" si="145"/>
        <v>1</v>
      </c>
      <c r="G377" s="47">
        <f t="shared" si="145"/>
        <v>0</v>
      </c>
      <c r="H377" s="47">
        <f t="shared" si="145"/>
        <v>126</v>
      </c>
      <c r="I377" s="47">
        <f t="shared" si="145"/>
        <v>126</v>
      </c>
      <c r="J377" s="47">
        <f>SUM(J375:J376)</f>
        <v>0</v>
      </c>
      <c r="K377" s="188" t="s">
        <v>12</v>
      </c>
      <c r="L377" s="216"/>
    </row>
    <row r="378" spans="2:12" ht="15" customHeight="1" thickBot="1" x14ac:dyDescent="0.25">
      <c r="B378" s="47">
        <f t="shared" si="129"/>
        <v>82</v>
      </c>
      <c r="C378" s="47">
        <f t="shared" si="130"/>
        <v>0</v>
      </c>
      <c r="D378" s="47">
        <f t="shared" si="130"/>
        <v>82</v>
      </c>
      <c r="E378" s="47">
        <f t="shared" si="131"/>
        <v>0</v>
      </c>
      <c r="F378" s="47">
        <v>0</v>
      </c>
      <c r="G378" s="47">
        <v>0</v>
      </c>
      <c r="H378" s="47">
        <f t="shared" si="132"/>
        <v>82</v>
      </c>
      <c r="I378" s="47">
        <v>0</v>
      </c>
      <c r="J378" s="47">
        <v>82</v>
      </c>
      <c r="K378" s="188" t="s">
        <v>233</v>
      </c>
      <c r="L378" s="215"/>
    </row>
    <row r="379" spans="2:12" ht="15" customHeight="1" thickBot="1" x14ac:dyDescent="0.25">
      <c r="B379" s="47">
        <f t="shared" si="129"/>
        <v>0</v>
      </c>
      <c r="C379" s="47">
        <f t="shared" si="130"/>
        <v>0</v>
      </c>
      <c r="D379" s="47">
        <f t="shared" si="130"/>
        <v>0</v>
      </c>
      <c r="E379" s="47">
        <f t="shared" si="131"/>
        <v>0</v>
      </c>
      <c r="F379" s="47">
        <v>0</v>
      </c>
      <c r="G379" s="47">
        <v>0</v>
      </c>
      <c r="H379" s="47">
        <f t="shared" si="132"/>
        <v>0</v>
      </c>
      <c r="I379" s="47">
        <v>0</v>
      </c>
      <c r="J379" s="47">
        <v>0</v>
      </c>
      <c r="K379" s="188" t="s">
        <v>234</v>
      </c>
      <c r="L379" s="215" t="s">
        <v>439</v>
      </c>
    </row>
    <row r="380" spans="2:12" ht="15" customHeight="1" thickBot="1" x14ac:dyDescent="0.25">
      <c r="B380" s="47">
        <f t="shared" ref="B380:I380" si="146">SUM(B378:B379)</f>
        <v>82</v>
      </c>
      <c r="C380" s="47">
        <f t="shared" si="146"/>
        <v>0</v>
      </c>
      <c r="D380" s="47">
        <f t="shared" si="146"/>
        <v>82</v>
      </c>
      <c r="E380" s="47">
        <f t="shared" si="146"/>
        <v>0</v>
      </c>
      <c r="F380" s="47">
        <f t="shared" si="146"/>
        <v>0</v>
      </c>
      <c r="G380" s="47">
        <f t="shared" si="146"/>
        <v>0</v>
      </c>
      <c r="H380" s="47">
        <f t="shared" si="146"/>
        <v>82</v>
      </c>
      <c r="I380" s="47">
        <f t="shared" si="146"/>
        <v>0</v>
      </c>
      <c r="J380" s="47">
        <f>SUM(J378:J379)</f>
        <v>82</v>
      </c>
      <c r="K380" s="188" t="s">
        <v>12</v>
      </c>
      <c r="L380" s="216"/>
    </row>
    <row r="381" spans="2:12" ht="15" customHeight="1" thickBot="1" x14ac:dyDescent="0.25">
      <c r="B381" s="47">
        <f t="shared" si="129"/>
        <v>1257</v>
      </c>
      <c r="C381" s="47">
        <f t="shared" si="130"/>
        <v>1257</v>
      </c>
      <c r="D381" s="47">
        <f t="shared" si="130"/>
        <v>0</v>
      </c>
      <c r="E381" s="47">
        <f t="shared" si="131"/>
        <v>0</v>
      </c>
      <c r="F381" s="47">
        <v>0</v>
      </c>
      <c r="G381" s="47">
        <v>0</v>
      </c>
      <c r="H381" s="47">
        <f t="shared" si="132"/>
        <v>1257</v>
      </c>
      <c r="I381" s="47">
        <v>1257</v>
      </c>
      <c r="J381" s="47">
        <v>0</v>
      </c>
      <c r="K381" s="188" t="s">
        <v>233</v>
      </c>
      <c r="L381" s="485" t="s">
        <v>440</v>
      </c>
    </row>
    <row r="382" spans="2:12" ht="15" customHeight="1" thickBot="1" x14ac:dyDescent="0.25">
      <c r="B382" s="47">
        <f t="shared" si="129"/>
        <v>865</v>
      </c>
      <c r="C382" s="47">
        <f t="shared" si="130"/>
        <v>865</v>
      </c>
      <c r="D382" s="47">
        <f t="shared" si="130"/>
        <v>0</v>
      </c>
      <c r="E382" s="47">
        <f t="shared" si="131"/>
        <v>0</v>
      </c>
      <c r="F382" s="47">
        <v>0</v>
      </c>
      <c r="G382" s="47">
        <v>0</v>
      </c>
      <c r="H382" s="47">
        <f t="shared" si="132"/>
        <v>865</v>
      </c>
      <c r="I382" s="47">
        <v>865</v>
      </c>
      <c r="J382" s="47">
        <v>0</v>
      </c>
      <c r="K382" s="188" t="s">
        <v>234</v>
      </c>
      <c r="L382" s="486"/>
    </row>
    <row r="383" spans="2:12" ht="15" customHeight="1" thickBot="1" x14ac:dyDescent="0.25">
      <c r="B383" s="47">
        <f t="shared" ref="B383:I383" si="147">SUM(B381:B382)</f>
        <v>2122</v>
      </c>
      <c r="C383" s="47">
        <f t="shared" si="147"/>
        <v>2122</v>
      </c>
      <c r="D383" s="47">
        <f t="shared" si="147"/>
        <v>0</v>
      </c>
      <c r="E383" s="47">
        <f t="shared" si="147"/>
        <v>0</v>
      </c>
      <c r="F383" s="47">
        <f t="shared" si="147"/>
        <v>0</v>
      </c>
      <c r="G383" s="47">
        <f t="shared" si="147"/>
        <v>0</v>
      </c>
      <c r="H383" s="47">
        <f t="shared" si="147"/>
        <v>2122</v>
      </c>
      <c r="I383" s="47">
        <f t="shared" si="147"/>
        <v>2122</v>
      </c>
      <c r="J383" s="47">
        <f>SUM(J381:J382)</f>
        <v>0</v>
      </c>
      <c r="K383" s="188" t="s">
        <v>12</v>
      </c>
      <c r="L383" s="487"/>
    </row>
    <row r="384" spans="2:12" ht="15" customHeight="1" thickBot="1" x14ac:dyDescent="0.25">
      <c r="B384" s="47">
        <f t="shared" si="129"/>
        <v>652</v>
      </c>
      <c r="C384" s="47">
        <f t="shared" si="130"/>
        <v>652</v>
      </c>
      <c r="D384" s="47">
        <f t="shared" si="130"/>
        <v>0</v>
      </c>
      <c r="E384" s="47">
        <f t="shared" si="131"/>
        <v>1</v>
      </c>
      <c r="F384" s="47">
        <v>1</v>
      </c>
      <c r="G384" s="47">
        <v>0</v>
      </c>
      <c r="H384" s="47">
        <f t="shared" si="132"/>
        <v>651</v>
      </c>
      <c r="I384" s="47">
        <v>651</v>
      </c>
      <c r="J384" s="47">
        <v>0</v>
      </c>
      <c r="K384" s="188" t="s">
        <v>233</v>
      </c>
      <c r="L384" s="215"/>
    </row>
    <row r="385" spans="2:12" ht="15" customHeight="1" thickBot="1" x14ac:dyDescent="0.25">
      <c r="B385" s="47">
        <f t="shared" si="129"/>
        <v>0</v>
      </c>
      <c r="C385" s="47">
        <f t="shared" si="130"/>
        <v>0</v>
      </c>
      <c r="D385" s="47">
        <f t="shared" si="130"/>
        <v>0</v>
      </c>
      <c r="E385" s="47">
        <f t="shared" si="131"/>
        <v>0</v>
      </c>
      <c r="F385" s="47">
        <v>0</v>
      </c>
      <c r="G385" s="47">
        <v>0</v>
      </c>
      <c r="H385" s="47">
        <f t="shared" si="132"/>
        <v>0</v>
      </c>
      <c r="I385" s="47">
        <v>0</v>
      </c>
      <c r="J385" s="47">
        <v>0</v>
      </c>
      <c r="K385" s="188" t="s">
        <v>234</v>
      </c>
      <c r="L385" s="215" t="s">
        <v>441</v>
      </c>
    </row>
    <row r="386" spans="2:12" ht="15" customHeight="1" thickBot="1" x14ac:dyDescent="0.25">
      <c r="B386" s="47">
        <f t="shared" ref="B386:I386" si="148">SUM(B384:B385)</f>
        <v>652</v>
      </c>
      <c r="C386" s="47">
        <f t="shared" si="148"/>
        <v>652</v>
      </c>
      <c r="D386" s="47">
        <f t="shared" si="148"/>
        <v>0</v>
      </c>
      <c r="E386" s="47">
        <f t="shared" si="148"/>
        <v>1</v>
      </c>
      <c r="F386" s="47">
        <f t="shared" si="148"/>
        <v>1</v>
      </c>
      <c r="G386" s="47">
        <f t="shared" si="148"/>
        <v>0</v>
      </c>
      <c r="H386" s="47">
        <f t="shared" si="148"/>
        <v>651</v>
      </c>
      <c r="I386" s="47">
        <f t="shared" si="148"/>
        <v>651</v>
      </c>
      <c r="J386" s="47">
        <f>SUM(J384:J385)</f>
        <v>0</v>
      </c>
      <c r="K386" s="188" t="s">
        <v>12</v>
      </c>
      <c r="L386" s="216"/>
    </row>
    <row r="387" spans="2:12" ht="15" customHeight="1" thickBot="1" x14ac:dyDescent="0.25">
      <c r="B387" s="47">
        <f t="shared" si="129"/>
        <v>437</v>
      </c>
      <c r="C387" s="47">
        <f t="shared" si="130"/>
        <v>437</v>
      </c>
      <c r="D387" s="47">
        <f t="shared" si="130"/>
        <v>0</v>
      </c>
      <c r="E387" s="47">
        <f t="shared" si="131"/>
        <v>0</v>
      </c>
      <c r="F387" s="47">
        <v>0</v>
      </c>
      <c r="G387" s="47">
        <v>0</v>
      </c>
      <c r="H387" s="47">
        <f t="shared" si="132"/>
        <v>437</v>
      </c>
      <c r="I387" s="47">
        <v>437</v>
      </c>
      <c r="J387" s="47">
        <v>0</v>
      </c>
      <c r="K387" s="188" t="s">
        <v>233</v>
      </c>
      <c r="L387" s="215"/>
    </row>
    <row r="388" spans="2:12" ht="15" customHeight="1" thickBot="1" x14ac:dyDescent="0.25">
      <c r="B388" s="47">
        <f t="shared" si="129"/>
        <v>40</v>
      </c>
      <c r="C388" s="47">
        <f t="shared" si="130"/>
        <v>40</v>
      </c>
      <c r="D388" s="47">
        <f t="shared" si="130"/>
        <v>0</v>
      </c>
      <c r="E388" s="47">
        <f t="shared" si="131"/>
        <v>0</v>
      </c>
      <c r="F388" s="47">
        <v>0</v>
      </c>
      <c r="G388" s="47">
        <v>0</v>
      </c>
      <c r="H388" s="47">
        <f t="shared" si="132"/>
        <v>40</v>
      </c>
      <c r="I388" s="47">
        <v>40</v>
      </c>
      <c r="J388" s="47">
        <v>0</v>
      </c>
      <c r="K388" s="188" t="s">
        <v>234</v>
      </c>
      <c r="L388" s="215" t="s">
        <v>442</v>
      </c>
    </row>
    <row r="389" spans="2:12" ht="15" customHeight="1" thickBot="1" x14ac:dyDescent="0.25">
      <c r="B389" s="47">
        <f t="shared" ref="B389:I389" si="149">SUM(B387:B388)</f>
        <v>477</v>
      </c>
      <c r="C389" s="47">
        <f t="shared" si="149"/>
        <v>477</v>
      </c>
      <c r="D389" s="47">
        <f t="shared" si="149"/>
        <v>0</v>
      </c>
      <c r="E389" s="47">
        <f t="shared" si="149"/>
        <v>0</v>
      </c>
      <c r="F389" s="47">
        <f t="shared" si="149"/>
        <v>0</v>
      </c>
      <c r="G389" s="47">
        <f t="shared" si="149"/>
        <v>0</v>
      </c>
      <c r="H389" s="47">
        <f t="shared" si="149"/>
        <v>477</v>
      </c>
      <c r="I389" s="47">
        <f t="shared" si="149"/>
        <v>477</v>
      </c>
      <c r="J389" s="47">
        <f>SUM(J387:J388)</f>
        <v>0</v>
      </c>
      <c r="K389" s="188" t="s">
        <v>12</v>
      </c>
      <c r="L389" s="216"/>
    </row>
    <row r="390" spans="2:12" ht="15" customHeight="1" thickBot="1" x14ac:dyDescent="0.25">
      <c r="B390" s="47">
        <f t="shared" si="129"/>
        <v>503</v>
      </c>
      <c r="C390" s="47">
        <f t="shared" si="130"/>
        <v>503</v>
      </c>
      <c r="D390" s="47">
        <f t="shared" si="130"/>
        <v>0</v>
      </c>
      <c r="E390" s="47">
        <f t="shared" si="131"/>
        <v>4</v>
      </c>
      <c r="F390" s="47">
        <v>4</v>
      </c>
      <c r="G390" s="47">
        <v>0</v>
      </c>
      <c r="H390" s="47">
        <f t="shared" si="132"/>
        <v>499</v>
      </c>
      <c r="I390" s="47">
        <v>499</v>
      </c>
      <c r="J390" s="47">
        <v>0</v>
      </c>
      <c r="K390" s="188" t="s">
        <v>233</v>
      </c>
      <c r="L390" s="215"/>
    </row>
    <row r="391" spans="2:12" ht="15" customHeight="1" thickBot="1" x14ac:dyDescent="0.25">
      <c r="B391" s="47">
        <f t="shared" si="129"/>
        <v>707</v>
      </c>
      <c r="C391" s="47">
        <f t="shared" si="130"/>
        <v>707</v>
      </c>
      <c r="D391" s="47">
        <f t="shared" si="130"/>
        <v>0</v>
      </c>
      <c r="E391" s="47">
        <f t="shared" si="131"/>
        <v>19</v>
      </c>
      <c r="F391" s="47">
        <v>19</v>
      </c>
      <c r="G391" s="47">
        <v>0</v>
      </c>
      <c r="H391" s="47">
        <f t="shared" si="132"/>
        <v>688</v>
      </c>
      <c r="I391" s="47">
        <v>688</v>
      </c>
      <c r="J391" s="47">
        <v>0</v>
      </c>
      <c r="K391" s="188" t="s">
        <v>234</v>
      </c>
      <c r="L391" s="215" t="s">
        <v>443</v>
      </c>
    </row>
    <row r="392" spans="2:12" ht="15" customHeight="1" thickBot="1" x14ac:dyDescent="0.25">
      <c r="B392" s="47">
        <f t="shared" ref="B392:I392" si="150">SUM(B390:B391)</f>
        <v>1210</v>
      </c>
      <c r="C392" s="47">
        <f t="shared" si="150"/>
        <v>1210</v>
      </c>
      <c r="D392" s="47">
        <f t="shared" si="150"/>
        <v>0</v>
      </c>
      <c r="E392" s="47">
        <f t="shared" si="150"/>
        <v>23</v>
      </c>
      <c r="F392" s="47">
        <f t="shared" si="150"/>
        <v>23</v>
      </c>
      <c r="G392" s="47">
        <f t="shared" si="150"/>
        <v>0</v>
      </c>
      <c r="H392" s="47">
        <f t="shared" si="150"/>
        <v>1187</v>
      </c>
      <c r="I392" s="47">
        <f t="shared" si="150"/>
        <v>1187</v>
      </c>
      <c r="J392" s="47">
        <f>SUM(J390:J391)</f>
        <v>0</v>
      </c>
      <c r="K392" s="188" t="s">
        <v>12</v>
      </c>
      <c r="L392" s="216"/>
    </row>
    <row r="393" spans="2:12" ht="15" customHeight="1" thickBot="1" x14ac:dyDescent="0.25">
      <c r="B393" s="47">
        <f t="shared" si="129"/>
        <v>1978</v>
      </c>
      <c r="C393" s="47">
        <f t="shared" si="130"/>
        <v>1978</v>
      </c>
      <c r="D393" s="47">
        <f t="shared" si="130"/>
        <v>0</v>
      </c>
      <c r="E393" s="47">
        <f t="shared" si="131"/>
        <v>0</v>
      </c>
      <c r="F393" s="47">
        <v>0</v>
      </c>
      <c r="G393" s="47">
        <v>0</v>
      </c>
      <c r="H393" s="47">
        <f t="shared" si="132"/>
        <v>1978</v>
      </c>
      <c r="I393" s="47">
        <v>1978</v>
      </c>
      <c r="J393" s="47">
        <v>0</v>
      </c>
      <c r="K393" s="188" t="s">
        <v>233</v>
      </c>
      <c r="L393" s="215"/>
    </row>
    <row r="394" spans="2:12" ht="15" customHeight="1" thickBot="1" x14ac:dyDescent="0.25">
      <c r="B394" s="47">
        <f t="shared" si="129"/>
        <v>873</v>
      </c>
      <c r="C394" s="47">
        <f t="shared" si="130"/>
        <v>873</v>
      </c>
      <c r="D394" s="47">
        <f t="shared" si="130"/>
        <v>0</v>
      </c>
      <c r="E394" s="47">
        <f t="shared" si="131"/>
        <v>0</v>
      </c>
      <c r="F394" s="47">
        <v>0</v>
      </c>
      <c r="G394" s="47">
        <v>0</v>
      </c>
      <c r="H394" s="47">
        <f t="shared" si="132"/>
        <v>873</v>
      </c>
      <c r="I394" s="47">
        <v>873</v>
      </c>
      <c r="J394" s="47">
        <v>0</v>
      </c>
      <c r="K394" s="188" t="s">
        <v>234</v>
      </c>
      <c r="L394" s="215" t="s">
        <v>444</v>
      </c>
    </row>
    <row r="395" spans="2:12" ht="15" customHeight="1" thickBot="1" x14ac:dyDescent="0.25">
      <c r="B395" s="47">
        <f t="shared" ref="B395:I395" si="151">SUM(B393:B394)</f>
        <v>2851</v>
      </c>
      <c r="C395" s="47">
        <f t="shared" si="151"/>
        <v>2851</v>
      </c>
      <c r="D395" s="47">
        <f t="shared" si="151"/>
        <v>0</v>
      </c>
      <c r="E395" s="47">
        <f t="shared" si="151"/>
        <v>0</v>
      </c>
      <c r="F395" s="47">
        <f t="shared" si="151"/>
        <v>0</v>
      </c>
      <c r="G395" s="47">
        <f t="shared" si="151"/>
        <v>0</v>
      </c>
      <c r="H395" s="47">
        <f t="shared" si="151"/>
        <v>2851</v>
      </c>
      <c r="I395" s="47">
        <f t="shared" si="151"/>
        <v>2851</v>
      </c>
      <c r="J395" s="47">
        <f>SUM(J393:J394)</f>
        <v>0</v>
      </c>
      <c r="K395" s="188" t="s">
        <v>12</v>
      </c>
      <c r="L395" s="216"/>
    </row>
    <row r="396" spans="2:12" ht="15" customHeight="1" thickBot="1" x14ac:dyDescent="0.25">
      <c r="B396" s="47">
        <f t="shared" si="129"/>
        <v>531</v>
      </c>
      <c r="C396" s="47">
        <f t="shared" si="130"/>
        <v>531</v>
      </c>
      <c r="D396" s="47">
        <f t="shared" si="130"/>
        <v>0</v>
      </c>
      <c r="E396" s="47">
        <f t="shared" si="131"/>
        <v>0</v>
      </c>
      <c r="F396" s="47">
        <v>0</v>
      </c>
      <c r="G396" s="47">
        <v>0</v>
      </c>
      <c r="H396" s="47">
        <f t="shared" si="132"/>
        <v>531</v>
      </c>
      <c r="I396" s="47">
        <v>531</v>
      </c>
      <c r="J396" s="47">
        <v>0</v>
      </c>
      <c r="K396" s="188" t="s">
        <v>233</v>
      </c>
      <c r="L396" s="215"/>
    </row>
    <row r="397" spans="2:12" ht="15" customHeight="1" thickBot="1" x14ac:dyDescent="0.25">
      <c r="B397" s="47">
        <f t="shared" si="129"/>
        <v>0</v>
      </c>
      <c r="C397" s="47">
        <f t="shared" si="130"/>
        <v>0</v>
      </c>
      <c r="D397" s="47">
        <f t="shared" si="130"/>
        <v>0</v>
      </c>
      <c r="E397" s="47">
        <f t="shared" si="131"/>
        <v>0</v>
      </c>
      <c r="F397" s="47">
        <v>0</v>
      </c>
      <c r="G397" s="47">
        <v>0</v>
      </c>
      <c r="H397" s="47">
        <f t="shared" si="132"/>
        <v>0</v>
      </c>
      <c r="I397" s="47">
        <v>0</v>
      </c>
      <c r="J397" s="47">
        <v>0</v>
      </c>
      <c r="K397" s="188" t="s">
        <v>234</v>
      </c>
      <c r="L397" s="215" t="s">
        <v>445</v>
      </c>
    </row>
    <row r="398" spans="2:12" ht="15" customHeight="1" thickBot="1" x14ac:dyDescent="0.25">
      <c r="B398" s="47">
        <f t="shared" ref="B398:I398" si="152">SUM(B396:B397)</f>
        <v>531</v>
      </c>
      <c r="C398" s="47">
        <f t="shared" si="152"/>
        <v>531</v>
      </c>
      <c r="D398" s="47">
        <f t="shared" si="152"/>
        <v>0</v>
      </c>
      <c r="E398" s="47">
        <f t="shared" si="152"/>
        <v>0</v>
      </c>
      <c r="F398" s="47">
        <f t="shared" si="152"/>
        <v>0</v>
      </c>
      <c r="G398" s="47">
        <f t="shared" si="152"/>
        <v>0</v>
      </c>
      <c r="H398" s="47">
        <f t="shared" si="152"/>
        <v>531</v>
      </c>
      <c r="I398" s="47">
        <f t="shared" si="152"/>
        <v>531</v>
      </c>
      <c r="J398" s="47">
        <f>SUM(J396:J397)</f>
        <v>0</v>
      </c>
      <c r="K398" s="188" t="s">
        <v>12</v>
      </c>
      <c r="L398" s="216"/>
    </row>
    <row r="399" spans="2:12" ht="15" customHeight="1" thickBot="1" x14ac:dyDescent="0.25">
      <c r="B399" s="47">
        <f t="shared" si="129"/>
        <v>822</v>
      </c>
      <c r="C399" s="47">
        <f t="shared" si="130"/>
        <v>822</v>
      </c>
      <c r="D399" s="47">
        <f t="shared" si="130"/>
        <v>0</v>
      </c>
      <c r="E399" s="47">
        <f t="shared" si="131"/>
        <v>10</v>
      </c>
      <c r="F399" s="47">
        <v>10</v>
      </c>
      <c r="G399" s="47">
        <v>0</v>
      </c>
      <c r="H399" s="47">
        <f t="shared" si="132"/>
        <v>812</v>
      </c>
      <c r="I399" s="47">
        <v>812</v>
      </c>
      <c r="J399" s="47">
        <v>0</v>
      </c>
      <c r="K399" s="188" t="s">
        <v>233</v>
      </c>
      <c r="L399" s="215"/>
    </row>
    <row r="400" spans="2:12" ht="15" customHeight="1" thickBot="1" x14ac:dyDescent="0.25">
      <c r="B400" s="47">
        <f t="shared" si="129"/>
        <v>0</v>
      </c>
      <c r="C400" s="47">
        <f t="shared" si="130"/>
        <v>0</v>
      </c>
      <c r="D400" s="47">
        <f t="shared" si="130"/>
        <v>0</v>
      </c>
      <c r="E400" s="47">
        <f t="shared" si="131"/>
        <v>0</v>
      </c>
      <c r="F400" s="47">
        <v>0</v>
      </c>
      <c r="G400" s="47">
        <v>0</v>
      </c>
      <c r="H400" s="47">
        <f t="shared" si="132"/>
        <v>0</v>
      </c>
      <c r="I400" s="47">
        <v>0</v>
      </c>
      <c r="J400" s="47">
        <v>0</v>
      </c>
      <c r="K400" s="188" t="s">
        <v>234</v>
      </c>
      <c r="L400" s="215" t="s">
        <v>446</v>
      </c>
    </row>
    <row r="401" spans="2:12" ht="15" customHeight="1" thickBot="1" x14ac:dyDescent="0.25">
      <c r="B401" s="47">
        <f t="shared" ref="B401:I401" si="153">SUM(B399:B400)</f>
        <v>822</v>
      </c>
      <c r="C401" s="47">
        <f t="shared" si="153"/>
        <v>822</v>
      </c>
      <c r="D401" s="47">
        <f t="shared" si="153"/>
        <v>0</v>
      </c>
      <c r="E401" s="47">
        <f t="shared" si="153"/>
        <v>10</v>
      </c>
      <c r="F401" s="47">
        <f t="shared" si="153"/>
        <v>10</v>
      </c>
      <c r="G401" s="47">
        <f t="shared" si="153"/>
        <v>0</v>
      </c>
      <c r="H401" s="47">
        <f t="shared" si="153"/>
        <v>812</v>
      </c>
      <c r="I401" s="47">
        <f t="shared" si="153"/>
        <v>812</v>
      </c>
      <c r="J401" s="47">
        <f>SUM(J399:J400)</f>
        <v>0</v>
      </c>
      <c r="K401" s="188" t="s">
        <v>12</v>
      </c>
      <c r="L401" s="216"/>
    </row>
    <row r="402" spans="2:12" ht="15" customHeight="1" thickBot="1" x14ac:dyDescent="0.25">
      <c r="B402" s="47">
        <f t="shared" si="129"/>
        <v>299</v>
      </c>
      <c r="C402" s="47">
        <f t="shared" si="130"/>
        <v>299</v>
      </c>
      <c r="D402" s="47">
        <f t="shared" si="130"/>
        <v>0</v>
      </c>
      <c r="E402" s="47">
        <f t="shared" si="131"/>
        <v>0</v>
      </c>
      <c r="F402" s="47">
        <v>0</v>
      </c>
      <c r="G402" s="47">
        <v>0</v>
      </c>
      <c r="H402" s="47">
        <f t="shared" si="132"/>
        <v>299</v>
      </c>
      <c r="I402" s="47">
        <v>299</v>
      </c>
      <c r="J402" s="47">
        <v>0</v>
      </c>
      <c r="K402" s="188" t="s">
        <v>233</v>
      </c>
      <c r="L402" s="215"/>
    </row>
    <row r="403" spans="2:12" ht="15" customHeight="1" thickBot="1" x14ac:dyDescent="0.25">
      <c r="B403" s="47">
        <f t="shared" si="129"/>
        <v>118</v>
      </c>
      <c r="C403" s="47">
        <f t="shared" si="130"/>
        <v>118</v>
      </c>
      <c r="D403" s="47">
        <f t="shared" si="130"/>
        <v>0</v>
      </c>
      <c r="E403" s="47">
        <f t="shared" si="131"/>
        <v>0</v>
      </c>
      <c r="F403" s="47">
        <v>0</v>
      </c>
      <c r="G403" s="47">
        <v>0</v>
      </c>
      <c r="H403" s="47">
        <f t="shared" si="132"/>
        <v>118</v>
      </c>
      <c r="I403" s="47">
        <v>118</v>
      </c>
      <c r="J403" s="47">
        <v>0</v>
      </c>
      <c r="K403" s="188" t="s">
        <v>234</v>
      </c>
      <c r="L403" s="215" t="s">
        <v>447</v>
      </c>
    </row>
    <row r="404" spans="2:12" ht="15" customHeight="1" thickBot="1" x14ac:dyDescent="0.25">
      <c r="B404" s="47">
        <f t="shared" ref="B404:I404" si="154">SUM(B402:B403)</f>
        <v>417</v>
      </c>
      <c r="C404" s="47">
        <f t="shared" si="154"/>
        <v>417</v>
      </c>
      <c r="D404" s="47">
        <f t="shared" si="154"/>
        <v>0</v>
      </c>
      <c r="E404" s="47">
        <f t="shared" si="154"/>
        <v>0</v>
      </c>
      <c r="F404" s="47">
        <f t="shared" si="154"/>
        <v>0</v>
      </c>
      <c r="G404" s="47">
        <f t="shared" si="154"/>
        <v>0</v>
      </c>
      <c r="H404" s="47">
        <f t="shared" si="154"/>
        <v>417</v>
      </c>
      <c r="I404" s="47">
        <f t="shared" si="154"/>
        <v>417</v>
      </c>
      <c r="J404" s="47">
        <f>SUM(J402:J403)</f>
        <v>0</v>
      </c>
      <c r="K404" s="188" t="s">
        <v>12</v>
      </c>
      <c r="L404" s="216"/>
    </row>
    <row r="405" spans="2:12" ht="15" customHeight="1" thickBot="1" x14ac:dyDescent="0.25">
      <c r="B405" s="47">
        <f t="shared" ref="B405:B412" si="155">SUM(C405:D405)</f>
        <v>747</v>
      </c>
      <c r="C405" s="47">
        <f t="shared" ref="C405:D412" si="156">I405+F405</f>
        <v>747</v>
      </c>
      <c r="D405" s="47">
        <f t="shared" si="156"/>
        <v>0</v>
      </c>
      <c r="E405" s="47">
        <f t="shared" ref="E405:E412" si="157">SUM(F405:G405)</f>
        <v>0</v>
      </c>
      <c r="F405" s="47">
        <v>0</v>
      </c>
      <c r="G405" s="47">
        <v>0</v>
      </c>
      <c r="H405" s="47">
        <f t="shared" ref="H405:H412" si="158">SUM(I405:J405)</f>
        <v>747</v>
      </c>
      <c r="I405" s="47">
        <v>747</v>
      </c>
      <c r="J405" s="47">
        <v>0</v>
      </c>
      <c r="K405" s="188" t="s">
        <v>233</v>
      </c>
      <c r="L405" s="215"/>
    </row>
    <row r="406" spans="2:12" ht="15" customHeight="1" thickBot="1" x14ac:dyDescent="0.25">
      <c r="B406" s="47">
        <f t="shared" si="155"/>
        <v>0</v>
      </c>
      <c r="C406" s="47">
        <f t="shared" si="156"/>
        <v>0</v>
      </c>
      <c r="D406" s="47">
        <f t="shared" si="156"/>
        <v>0</v>
      </c>
      <c r="E406" s="47">
        <f t="shared" si="157"/>
        <v>0</v>
      </c>
      <c r="F406" s="47">
        <v>0</v>
      </c>
      <c r="G406" s="47">
        <v>0</v>
      </c>
      <c r="H406" s="47">
        <f t="shared" si="158"/>
        <v>0</v>
      </c>
      <c r="I406" s="47">
        <v>0</v>
      </c>
      <c r="J406" s="47">
        <v>0</v>
      </c>
      <c r="K406" s="188" t="s">
        <v>234</v>
      </c>
      <c r="L406" s="215" t="s">
        <v>448</v>
      </c>
    </row>
    <row r="407" spans="2:12" ht="15" customHeight="1" thickBot="1" x14ac:dyDescent="0.25">
      <c r="B407" s="47">
        <f t="shared" ref="B407:I407" si="159">SUM(B405:B406)</f>
        <v>747</v>
      </c>
      <c r="C407" s="47">
        <f t="shared" si="159"/>
        <v>747</v>
      </c>
      <c r="D407" s="47">
        <f t="shared" si="159"/>
        <v>0</v>
      </c>
      <c r="E407" s="47">
        <f t="shared" si="159"/>
        <v>0</v>
      </c>
      <c r="F407" s="47">
        <f t="shared" si="159"/>
        <v>0</v>
      </c>
      <c r="G407" s="47">
        <f t="shared" si="159"/>
        <v>0</v>
      </c>
      <c r="H407" s="47">
        <f t="shared" si="159"/>
        <v>747</v>
      </c>
      <c r="I407" s="47">
        <f t="shared" si="159"/>
        <v>747</v>
      </c>
      <c r="J407" s="47">
        <f>SUM(J405:J406)</f>
        <v>0</v>
      </c>
      <c r="K407" s="188" t="s">
        <v>12</v>
      </c>
      <c r="L407" s="216"/>
    </row>
    <row r="408" spans="2:12" ht="15" customHeight="1" thickBot="1" x14ac:dyDescent="0.25">
      <c r="B408" s="47">
        <f t="shared" si="155"/>
        <v>89</v>
      </c>
      <c r="C408" s="47">
        <f t="shared" si="156"/>
        <v>0</v>
      </c>
      <c r="D408" s="47">
        <f t="shared" si="156"/>
        <v>89</v>
      </c>
      <c r="E408" s="47">
        <f t="shared" si="157"/>
        <v>1</v>
      </c>
      <c r="F408" s="47">
        <v>0</v>
      </c>
      <c r="G408" s="47">
        <v>1</v>
      </c>
      <c r="H408" s="47">
        <f t="shared" si="158"/>
        <v>88</v>
      </c>
      <c r="I408" s="47">
        <v>0</v>
      </c>
      <c r="J408" s="47">
        <v>88</v>
      </c>
      <c r="K408" s="188" t="s">
        <v>233</v>
      </c>
      <c r="L408" s="215"/>
    </row>
    <row r="409" spans="2:12" ht="15" customHeight="1" thickBot="1" x14ac:dyDescent="0.25">
      <c r="B409" s="47">
        <f t="shared" si="155"/>
        <v>0</v>
      </c>
      <c r="C409" s="47">
        <f t="shared" si="156"/>
        <v>0</v>
      </c>
      <c r="D409" s="47">
        <f t="shared" si="156"/>
        <v>0</v>
      </c>
      <c r="E409" s="47">
        <f t="shared" si="157"/>
        <v>0</v>
      </c>
      <c r="F409" s="47">
        <v>0</v>
      </c>
      <c r="G409" s="47">
        <v>0</v>
      </c>
      <c r="H409" s="47">
        <f t="shared" si="158"/>
        <v>0</v>
      </c>
      <c r="I409" s="47">
        <v>0</v>
      </c>
      <c r="J409" s="47">
        <v>0</v>
      </c>
      <c r="K409" s="188" t="s">
        <v>234</v>
      </c>
      <c r="L409" s="215" t="s">
        <v>449</v>
      </c>
    </row>
    <row r="410" spans="2:12" ht="15" customHeight="1" thickBot="1" x14ac:dyDescent="0.25">
      <c r="B410" s="47">
        <f t="shared" ref="B410:I410" si="160">SUM(B408:B409)</f>
        <v>89</v>
      </c>
      <c r="C410" s="47">
        <f t="shared" si="160"/>
        <v>0</v>
      </c>
      <c r="D410" s="47">
        <f t="shared" si="160"/>
        <v>89</v>
      </c>
      <c r="E410" s="47">
        <f t="shared" si="160"/>
        <v>1</v>
      </c>
      <c r="F410" s="47">
        <f t="shared" si="160"/>
        <v>0</v>
      </c>
      <c r="G410" s="47">
        <f t="shared" si="160"/>
        <v>1</v>
      </c>
      <c r="H410" s="47">
        <f t="shared" si="160"/>
        <v>88</v>
      </c>
      <c r="I410" s="47">
        <f t="shared" si="160"/>
        <v>0</v>
      </c>
      <c r="J410" s="47">
        <f>SUM(J408:J409)</f>
        <v>88</v>
      </c>
      <c r="K410" s="188" t="s">
        <v>12</v>
      </c>
      <c r="L410" s="216"/>
    </row>
    <row r="411" spans="2:12" ht="15" customHeight="1" thickBot="1" x14ac:dyDescent="0.25">
      <c r="B411" s="47">
        <f t="shared" si="155"/>
        <v>69</v>
      </c>
      <c r="C411" s="47">
        <f t="shared" si="156"/>
        <v>0</v>
      </c>
      <c r="D411" s="47">
        <f t="shared" si="156"/>
        <v>69</v>
      </c>
      <c r="E411" s="47">
        <f t="shared" si="157"/>
        <v>0</v>
      </c>
      <c r="F411" s="47">
        <v>0</v>
      </c>
      <c r="G411" s="47">
        <v>0</v>
      </c>
      <c r="H411" s="47">
        <f t="shared" si="158"/>
        <v>69</v>
      </c>
      <c r="I411" s="47">
        <v>0</v>
      </c>
      <c r="J411" s="47">
        <v>69</v>
      </c>
      <c r="K411" s="188" t="s">
        <v>233</v>
      </c>
      <c r="L411" s="215"/>
    </row>
    <row r="412" spans="2:12" ht="15" customHeight="1" thickBot="1" x14ac:dyDescent="0.25">
      <c r="B412" s="47">
        <f t="shared" si="155"/>
        <v>0</v>
      </c>
      <c r="C412" s="47">
        <f t="shared" si="156"/>
        <v>0</v>
      </c>
      <c r="D412" s="47">
        <f t="shared" si="156"/>
        <v>0</v>
      </c>
      <c r="E412" s="47">
        <f t="shared" si="157"/>
        <v>0</v>
      </c>
      <c r="F412" s="47">
        <v>0</v>
      </c>
      <c r="G412" s="47">
        <v>0</v>
      </c>
      <c r="H412" s="47">
        <f t="shared" si="158"/>
        <v>0</v>
      </c>
      <c r="I412" s="47">
        <v>0</v>
      </c>
      <c r="J412" s="47">
        <v>0</v>
      </c>
      <c r="K412" s="188" t="s">
        <v>234</v>
      </c>
      <c r="L412" s="215" t="s">
        <v>450</v>
      </c>
    </row>
    <row r="413" spans="2:12" ht="15" customHeight="1" thickBot="1" x14ac:dyDescent="0.25">
      <c r="B413" s="229">
        <f t="shared" ref="B413:I413" si="161">SUM(B411:B412)</f>
        <v>69</v>
      </c>
      <c r="C413" s="229">
        <f t="shared" si="161"/>
        <v>0</v>
      </c>
      <c r="D413" s="229">
        <f t="shared" si="161"/>
        <v>69</v>
      </c>
      <c r="E413" s="229">
        <f t="shared" si="161"/>
        <v>0</v>
      </c>
      <c r="F413" s="229">
        <f t="shared" si="161"/>
        <v>0</v>
      </c>
      <c r="G413" s="229">
        <f t="shared" si="161"/>
        <v>0</v>
      </c>
      <c r="H413" s="229">
        <f t="shared" si="161"/>
        <v>69</v>
      </c>
      <c r="I413" s="229">
        <f t="shared" si="161"/>
        <v>0</v>
      </c>
      <c r="J413" s="229">
        <f>SUM(J411:J412)</f>
        <v>69</v>
      </c>
      <c r="K413" s="230" t="s">
        <v>12</v>
      </c>
      <c r="L413" s="231"/>
    </row>
    <row r="414" spans="2:12" ht="15" customHeight="1" thickBot="1" x14ac:dyDescent="0.25">
      <c r="B414" s="47">
        <f t="shared" ref="B414:J416" si="162">B339+B342+B345+B348+B351+B354+B357+B360+B363+B366+B369+B372+B375+B378+B381+B384+B387+B390+B393+B396+B399+B402+B405+B408+B411</f>
        <v>12702</v>
      </c>
      <c r="C414" s="47">
        <f t="shared" si="162"/>
        <v>9205</v>
      </c>
      <c r="D414" s="47">
        <f t="shared" si="162"/>
        <v>3497</v>
      </c>
      <c r="E414" s="47">
        <f t="shared" si="162"/>
        <v>31</v>
      </c>
      <c r="F414" s="47">
        <f t="shared" si="162"/>
        <v>23</v>
      </c>
      <c r="G414" s="47">
        <f t="shared" si="162"/>
        <v>8</v>
      </c>
      <c r="H414" s="47">
        <f t="shared" si="162"/>
        <v>12671</v>
      </c>
      <c r="I414" s="47">
        <f t="shared" si="162"/>
        <v>9182</v>
      </c>
      <c r="J414" s="47">
        <f>J339+J342+J345+J348+J351+J354+J357+J360+J363+J366+J369+J372+J375+J378+J381+J384+J387+J390+J393+J396+J399+J402+J405+J408+J411</f>
        <v>3489</v>
      </c>
      <c r="K414" s="232" t="s">
        <v>236</v>
      </c>
      <c r="L414" s="488" t="s">
        <v>188</v>
      </c>
    </row>
    <row r="415" spans="2:12" ht="15" customHeight="1" thickBot="1" x14ac:dyDescent="0.25">
      <c r="B415" s="47">
        <f t="shared" si="162"/>
        <v>2603</v>
      </c>
      <c r="C415" s="47">
        <f t="shared" si="162"/>
        <v>2603</v>
      </c>
      <c r="D415" s="47">
        <f t="shared" si="162"/>
        <v>0</v>
      </c>
      <c r="E415" s="47">
        <f t="shared" si="162"/>
        <v>19</v>
      </c>
      <c r="F415" s="47">
        <f t="shared" si="162"/>
        <v>19</v>
      </c>
      <c r="G415" s="47">
        <f t="shared" si="162"/>
        <v>0</v>
      </c>
      <c r="H415" s="47">
        <f t="shared" si="162"/>
        <v>2584</v>
      </c>
      <c r="I415" s="47">
        <f t="shared" si="162"/>
        <v>2584</v>
      </c>
      <c r="J415" s="47">
        <f t="shared" si="162"/>
        <v>0</v>
      </c>
      <c r="K415" s="233" t="s">
        <v>237</v>
      </c>
      <c r="L415" s="489"/>
    </row>
    <row r="416" spans="2:12" ht="15" customHeight="1" thickBot="1" x14ac:dyDescent="0.25">
      <c r="B416" s="47">
        <f t="shared" si="162"/>
        <v>15305</v>
      </c>
      <c r="C416" s="47">
        <f t="shared" si="162"/>
        <v>11808</v>
      </c>
      <c r="D416" s="47">
        <f t="shared" si="162"/>
        <v>3497</v>
      </c>
      <c r="E416" s="47">
        <f t="shared" si="162"/>
        <v>50</v>
      </c>
      <c r="F416" s="47">
        <f t="shared" si="162"/>
        <v>42</v>
      </c>
      <c r="G416" s="47">
        <f t="shared" si="162"/>
        <v>8</v>
      </c>
      <c r="H416" s="47">
        <f t="shared" si="162"/>
        <v>15255</v>
      </c>
      <c r="I416" s="47">
        <f t="shared" si="162"/>
        <v>11766</v>
      </c>
      <c r="J416" s="47">
        <f t="shared" si="162"/>
        <v>3489</v>
      </c>
      <c r="K416" s="234" t="s">
        <v>12</v>
      </c>
      <c r="L416" s="490"/>
    </row>
    <row r="417" spans="1:12" ht="15" customHeight="1" thickBot="1" x14ac:dyDescent="0.25">
      <c r="B417" s="491" t="s">
        <v>4</v>
      </c>
      <c r="C417" s="492"/>
      <c r="D417" s="493"/>
      <c r="E417" s="491" t="s">
        <v>145</v>
      </c>
      <c r="F417" s="492"/>
      <c r="G417" s="493"/>
      <c r="H417" s="491" t="s">
        <v>146</v>
      </c>
      <c r="I417" s="492"/>
      <c r="J417" s="493"/>
      <c r="K417" s="494" t="s">
        <v>66</v>
      </c>
      <c r="L417" s="495"/>
    </row>
    <row r="418" spans="1:12" ht="15" customHeight="1" x14ac:dyDescent="0.2">
      <c r="B418" s="235" t="s">
        <v>227</v>
      </c>
      <c r="C418" s="235" t="s">
        <v>10</v>
      </c>
      <c r="D418" s="235" t="s">
        <v>9</v>
      </c>
      <c r="E418" s="235" t="s">
        <v>227</v>
      </c>
      <c r="F418" s="235" t="s">
        <v>10</v>
      </c>
      <c r="G418" s="235" t="s">
        <v>9</v>
      </c>
      <c r="H418" s="235" t="s">
        <v>227</v>
      </c>
      <c r="I418" s="235" t="s">
        <v>10</v>
      </c>
      <c r="J418" s="235" t="s">
        <v>9</v>
      </c>
      <c r="K418" s="483" t="s">
        <v>75</v>
      </c>
      <c r="L418" s="484"/>
    </row>
    <row r="419" spans="1:12" ht="15" customHeight="1" thickBot="1" x14ac:dyDescent="0.25">
      <c r="A419" s="236"/>
      <c r="B419" s="237">
        <f>SUM(C419:D419)</f>
        <v>421</v>
      </c>
      <c r="C419" s="237">
        <f>I419+F419</f>
        <v>123</v>
      </c>
      <c r="D419" s="237">
        <f>J419+G419</f>
        <v>298</v>
      </c>
      <c r="E419" s="237">
        <f>SUM(F419:G419)</f>
        <v>4</v>
      </c>
      <c r="F419" s="237">
        <v>3</v>
      </c>
      <c r="G419" s="237">
        <v>1</v>
      </c>
      <c r="H419" s="237">
        <f>SUM(I419:J419)</f>
        <v>417</v>
      </c>
      <c r="I419" s="237">
        <v>120</v>
      </c>
      <c r="J419" s="237">
        <v>297</v>
      </c>
      <c r="K419" s="238" t="s">
        <v>233</v>
      </c>
      <c r="L419" s="215"/>
    </row>
    <row r="420" spans="1:12" ht="15" customHeight="1" thickBot="1" x14ac:dyDescent="0.25">
      <c r="A420" s="236"/>
      <c r="B420" s="237">
        <f t="shared" ref="B420:B483" si="163">SUM(C420:D420)</f>
        <v>0</v>
      </c>
      <c r="C420" s="237">
        <f t="shared" ref="C420:D483" si="164">I420+F420</f>
        <v>0</v>
      </c>
      <c r="D420" s="237">
        <f t="shared" si="164"/>
        <v>0</v>
      </c>
      <c r="E420" s="237">
        <f t="shared" ref="E420:E483" si="165">SUM(F420:G420)</f>
        <v>0</v>
      </c>
      <c r="F420" s="237">
        <v>0</v>
      </c>
      <c r="G420" s="237">
        <v>0</v>
      </c>
      <c r="H420" s="237">
        <f t="shared" ref="H420:H483" si="166">SUM(I420:J420)</f>
        <v>0</v>
      </c>
      <c r="I420" s="237">
        <v>0</v>
      </c>
      <c r="J420" s="237">
        <v>0</v>
      </c>
      <c r="K420" s="188" t="s">
        <v>234</v>
      </c>
      <c r="L420" s="215" t="s">
        <v>451</v>
      </c>
    </row>
    <row r="421" spans="1:12" ht="15" customHeight="1" thickBot="1" x14ac:dyDescent="0.25">
      <c r="A421" s="236"/>
      <c r="B421" s="237">
        <f t="shared" ref="B421:I421" si="167">SUM(B419:B420)</f>
        <v>421</v>
      </c>
      <c r="C421" s="237">
        <f t="shared" si="167"/>
        <v>123</v>
      </c>
      <c r="D421" s="237">
        <f t="shared" si="167"/>
        <v>298</v>
      </c>
      <c r="E421" s="237">
        <f t="shared" si="167"/>
        <v>4</v>
      </c>
      <c r="F421" s="237">
        <f t="shared" si="167"/>
        <v>3</v>
      </c>
      <c r="G421" s="237">
        <f t="shared" si="167"/>
        <v>1</v>
      </c>
      <c r="H421" s="237">
        <f t="shared" si="167"/>
        <v>417</v>
      </c>
      <c r="I421" s="237">
        <f t="shared" si="167"/>
        <v>120</v>
      </c>
      <c r="J421" s="237">
        <f>SUM(J419:J420)</f>
        <v>297</v>
      </c>
      <c r="K421" s="188" t="s">
        <v>12</v>
      </c>
      <c r="L421" s="216"/>
    </row>
    <row r="422" spans="1:12" ht="15" customHeight="1" thickBot="1" x14ac:dyDescent="0.25">
      <c r="A422" s="236"/>
      <c r="B422" s="185">
        <f t="shared" si="163"/>
        <v>353</v>
      </c>
      <c r="C422" s="237">
        <f t="shared" si="164"/>
        <v>0</v>
      </c>
      <c r="D422" s="237">
        <f t="shared" si="164"/>
        <v>353</v>
      </c>
      <c r="E422" s="185">
        <f t="shared" si="165"/>
        <v>4</v>
      </c>
      <c r="F422" s="185">
        <v>0</v>
      </c>
      <c r="G422" s="185">
        <v>4</v>
      </c>
      <c r="H422" s="237">
        <f t="shared" si="166"/>
        <v>349</v>
      </c>
      <c r="I422" s="185">
        <v>0</v>
      </c>
      <c r="J422" s="185">
        <v>349</v>
      </c>
      <c r="K422" s="188" t="s">
        <v>233</v>
      </c>
      <c r="L422" s="215"/>
    </row>
    <row r="423" spans="1:12" ht="15" customHeight="1" thickBot="1" x14ac:dyDescent="0.25">
      <c r="A423" s="236"/>
      <c r="B423" s="185">
        <f t="shared" si="163"/>
        <v>0</v>
      </c>
      <c r="C423" s="237">
        <f t="shared" si="164"/>
        <v>0</v>
      </c>
      <c r="D423" s="237">
        <f t="shared" si="164"/>
        <v>0</v>
      </c>
      <c r="E423" s="185">
        <f t="shared" si="165"/>
        <v>0</v>
      </c>
      <c r="F423" s="185">
        <v>0</v>
      </c>
      <c r="G423" s="185">
        <v>0</v>
      </c>
      <c r="H423" s="237">
        <f t="shared" si="166"/>
        <v>0</v>
      </c>
      <c r="I423" s="185">
        <v>0</v>
      </c>
      <c r="J423" s="185">
        <v>0</v>
      </c>
      <c r="K423" s="188" t="s">
        <v>234</v>
      </c>
      <c r="L423" s="215" t="s">
        <v>452</v>
      </c>
    </row>
    <row r="424" spans="1:12" ht="15" customHeight="1" thickBot="1" x14ac:dyDescent="0.25">
      <c r="A424" s="236"/>
      <c r="B424" s="237">
        <f t="shared" ref="B424:I424" si="168">SUM(B422:B423)</f>
        <v>353</v>
      </c>
      <c r="C424" s="237">
        <f t="shared" si="168"/>
        <v>0</v>
      </c>
      <c r="D424" s="237">
        <f t="shared" si="168"/>
        <v>353</v>
      </c>
      <c r="E424" s="237">
        <f t="shared" si="168"/>
        <v>4</v>
      </c>
      <c r="F424" s="237">
        <f t="shared" si="168"/>
        <v>0</v>
      </c>
      <c r="G424" s="237">
        <f t="shared" si="168"/>
        <v>4</v>
      </c>
      <c r="H424" s="237">
        <f t="shared" si="168"/>
        <v>349</v>
      </c>
      <c r="I424" s="237">
        <f t="shared" si="168"/>
        <v>0</v>
      </c>
      <c r="J424" s="237">
        <f>SUM(J422:J423)</f>
        <v>349</v>
      </c>
      <c r="K424" s="188" t="s">
        <v>12</v>
      </c>
      <c r="L424" s="216"/>
    </row>
    <row r="425" spans="1:12" ht="15" customHeight="1" thickBot="1" x14ac:dyDescent="0.25">
      <c r="A425" s="236"/>
      <c r="B425" s="185">
        <f t="shared" si="163"/>
        <v>230</v>
      </c>
      <c r="C425" s="237">
        <f t="shared" si="164"/>
        <v>0</v>
      </c>
      <c r="D425" s="237">
        <f t="shared" si="164"/>
        <v>230</v>
      </c>
      <c r="E425" s="185">
        <f t="shared" si="165"/>
        <v>0</v>
      </c>
      <c r="F425" s="185">
        <v>0</v>
      </c>
      <c r="G425" s="185">
        <v>0</v>
      </c>
      <c r="H425" s="237">
        <f t="shared" si="166"/>
        <v>230</v>
      </c>
      <c r="I425" s="185">
        <v>0</v>
      </c>
      <c r="J425" s="185">
        <v>230</v>
      </c>
      <c r="K425" s="188" t="s">
        <v>233</v>
      </c>
      <c r="L425" s="215"/>
    </row>
    <row r="426" spans="1:12" ht="15" customHeight="1" thickBot="1" x14ac:dyDescent="0.25">
      <c r="A426" s="236"/>
      <c r="B426" s="185">
        <f t="shared" si="163"/>
        <v>0</v>
      </c>
      <c r="C426" s="237">
        <f t="shared" si="164"/>
        <v>0</v>
      </c>
      <c r="D426" s="237">
        <f t="shared" si="164"/>
        <v>0</v>
      </c>
      <c r="E426" s="185">
        <f t="shared" si="165"/>
        <v>0</v>
      </c>
      <c r="F426" s="185">
        <v>0</v>
      </c>
      <c r="G426" s="185">
        <v>0</v>
      </c>
      <c r="H426" s="237">
        <f t="shared" si="166"/>
        <v>0</v>
      </c>
      <c r="I426" s="185">
        <v>0</v>
      </c>
      <c r="J426" s="185">
        <v>0</v>
      </c>
      <c r="K426" s="188" t="s">
        <v>234</v>
      </c>
      <c r="L426" s="215" t="s">
        <v>453</v>
      </c>
    </row>
    <row r="427" spans="1:12" ht="15" customHeight="1" thickBot="1" x14ac:dyDescent="0.25">
      <c r="A427" s="236"/>
      <c r="B427" s="237">
        <f t="shared" ref="B427:I427" si="169">SUM(B425:B426)</f>
        <v>230</v>
      </c>
      <c r="C427" s="237">
        <f t="shared" si="169"/>
        <v>0</v>
      </c>
      <c r="D427" s="237">
        <f t="shared" si="169"/>
        <v>230</v>
      </c>
      <c r="E427" s="237">
        <f t="shared" si="169"/>
        <v>0</v>
      </c>
      <c r="F427" s="237">
        <f t="shared" si="169"/>
        <v>0</v>
      </c>
      <c r="G427" s="237">
        <f t="shared" si="169"/>
        <v>0</v>
      </c>
      <c r="H427" s="237">
        <f t="shared" si="169"/>
        <v>230</v>
      </c>
      <c r="I427" s="237">
        <f t="shared" si="169"/>
        <v>0</v>
      </c>
      <c r="J427" s="237">
        <f>SUM(J425:J426)</f>
        <v>230</v>
      </c>
      <c r="K427" s="188" t="s">
        <v>12</v>
      </c>
      <c r="L427" s="216"/>
    </row>
    <row r="428" spans="1:12" ht="15" customHeight="1" thickBot="1" x14ac:dyDescent="0.25">
      <c r="A428" s="236"/>
      <c r="B428" s="185">
        <f t="shared" si="163"/>
        <v>55</v>
      </c>
      <c r="C428" s="237">
        <f t="shared" si="164"/>
        <v>0</v>
      </c>
      <c r="D428" s="237">
        <f t="shared" si="164"/>
        <v>55</v>
      </c>
      <c r="E428" s="185">
        <f t="shared" si="165"/>
        <v>0</v>
      </c>
      <c r="F428" s="185">
        <v>0</v>
      </c>
      <c r="G428" s="185">
        <v>0</v>
      </c>
      <c r="H428" s="237">
        <f t="shared" si="166"/>
        <v>55</v>
      </c>
      <c r="I428" s="185">
        <v>0</v>
      </c>
      <c r="J428" s="185">
        <v>55</v>
      </c>
      <c r="K428" s="188" t="s">
        <v>233</v>
      </c>
      <c r="L428" s="215"/>
    </row>
    <row r="429" spans="1:12" ht="15" customHeight="1" thickBot="1" x14ac:dyDescent="0.25">
      <c r="A429" s="236"/>
      <c r="B429" s="185">
        <f t="shared" si="163"/>
        <v>0</v>
      </c>
      <c r="C429" s="237">
        <f t="shared" si="164"/>
        <v>0</v>
      </c>
      <c r="D429" s="237">
        <f t="shared" si="164"/>
        <v>0</v>
      </c>
      <c r="E429" s="185">
        <f t="shared" si="165"/>
        <v>0</v>
      </c>
      <c r="F429" s="185">
        <v>0</v>
      </c>
      <c r="G429" s="185">
        <v>0</v>
      </c>
      <c r="H429" s="237">
        <f t="shared" si="166"/>
        <v>0</v>
      </c>
      <c r="I429" s="185">
        <v>0</v>
      </c>
      <c r="J429" s="185">
        <v>0</v>
      </c>
      <c r="K429" s="188" t="s">
        <v>234</v>
      </c>
      <c r="L429" s="215" t="s">
        <v>406</v>
      </c>
    </row>
    <row r="430" spans="1:12" ht="15" customHeight="1" thickBot="1" x14ac:dyDescent="0.25">
      <c r="A430" s="236"/>
      <c r="B430" s="237">
        <f t="shared" ref="B430:I430" si="170">SUM(B428:B429)</f>
        <v>55</v>
      </c>
      <c r="C430" s="237">
        <f t="shared" si="170"/>
        <v>0</v>
      </c>
      <c r="D430" s="237">
        <f t="shared" si="170"/>
        <v>55</v>
      </c>
      <c r="E430" s="237">
        <f t="shared" si="170"/>
        <v>0</v>
      </c>
      <c r="F430" s="237">
        <f t="shared" si="170"/>
        <v>0</v>
      </c>
      <c r="G430" s="237">
        <f t="shared" si="170"/>
        <v>0</v>
      </c>
      <c r="H430" s="237">
        <f t="shared" si="170"/>
        <v>55</v>
      </c>
      <c r="I430" s="237">
        <f t="shared" si="170"/>
        <v>0</v>
      </c>
      <c r="J430" s="237">
        <f>SUM(J428:J429)</f>
        <v>55</v>
      </c>
      <c r="K430" s="188" t="s">
        <v>12</v>
      </c>
      <c r="L430" s="216"/>
    </row>
    <row r="431" spans="1:12" ht="15" customHeight="1" thickBot="1" x14ac:dyDescent="0.25">
      <c r="A431" s="236"/>
      <c r="B431" s="185">
        <f t="shared" si="163"/>
        <v>90</v>
      </c>
      <c r="C431" s="237">
        <f t="shared" si="164"/>
        <v>29</v>
      </c>
      <c r="D431" s="237">
        <f t="shared" si="164"/>
        <v>61</v>
      </c>
      <c r="E431" s="185">
        <f t="shared" si="165"/>
        <v>0</v>
      </c>
      <c r="F431" s="185">
        <v>0</v>
      </c>
      <c r="G431" s="185">
        <v>0</v>
      </c>
      <c r="H431" s="237">
        <f t="shared" si="166"/>
        <v>90</v>
      </c>
      <c r="I431" s="185">
        <v>29</v>
      </c>
      <c r="J431" s="185">
        <v>61</v>
      </c>
      <c r="K431" s="188" t="s">
        <v>233</v>
      </c>
      <c r="L431" s="215"/>
    </row>
    <row r="432" spans="1:12" ht="15" customHeight="1" thickBot="1" x14ac:dyDescent="0.25">
      <c r="A432" s="236"/>
      <c r="B432" s="185">
        <f t="shared" si="163"/>
        <v>0</v>
      </c>
      <c r="C432" s="237">
        <f t="shared" si="164"/>
        <v>0</v>
      </c>
      <c r="D432" s="237">
        <f t="shared" si="164"/>
        <v>0</v>
      </c>
      <c r="E432" s="185">
        <f t="shared" si="165"/>
        <v>0</v>
      </c>
      <c r="F432" s="185">
        <v>0</v>
      </c>
      <c r="G432" s="185">
        <v>0</v>
      </c>
      <c r="H432" s="237">
        <f t="shared" si="166"/>
        <v>0</v>
      </c>
      <c r="I432" s="185">
        <v>0</v>
      </c>
      <c r="J432" s="185">
        <v>0</v>
      </c>
      <c r="K432" s="188" t="s">
        <v>234</v>
      </c>
      <c r="L432" s="215" t="s">
        <v>348</v>
      </c>
    </row>
    <row r="433" spans="1:12" ht="15" customHeight="1" thickBot="1" x14ac:dyDescent="0.25">
      <c r="A433" s="236"/>
      <c r="B433" s="237">
        <f t="shared" ref="B433:I433" si="171">SUM(B431:B432)</f>
        <v>90</v>
      </c>
      <c r="C433" s="237">
        <f t="shared" si="171"/>
        <v>29</v>
      </c>
      <c r="D433" s="237">
        <f t="shared" si="171"/>
        <v>61</v>
      </c>
      <c r="E433" s="237">
        <f t="shared" si="171"/>
        <v>0</v>
      </c>
      <c r="F433" s="237">
        <f t="shared" si="171"/>
        <v>0</v>
      </c>
      <c r="G433" s="237">
        <f t="shared" si="171"/>
        <v>0</v>
      </c>
      <c r="H433" s="237">
        <f t="shared" si="171"/>
        <v>90</v>
      </c>
      <c r="I433" s="237">
        <f t="shared" si="171"/>
        <v>29</v>
      </c>
      <c r="J433" s="237">
        <f>SUM(J431:J432)</f>
        <v>61</v>
      </c>
      <c r="K433" s="188" t="s">
        <v>12</v>
      </c>
      <c r="L433" s="216"/>
    </row>
    <row r="434" spans="1:12" ht="15" customHeight="1" thickBot="1" x14ac:dyDescent="0.25">
      <c r="A434" s="236"/>
      <c r="B434" s="185">
        <f t="shared" si="163"/>
        <v>89</v>
      </c>
      <c r="C434" s="237">
        <f t="shared" si="164"/>
        <v>0</v>
      </c>
      <c r="D434" s="237">
        <f t="shared" si="164"/>
        <v>89</v>
      </c>
      <c r="E434" s="185">
        <f t="shared" si="165"/>
        <v>0</v>
      </c>
      <c r="F434" s="185">
        <v>0</v>
      </c>
      <c r="G434" s="185">
        <v>0</v>
      </c>
      <c r="H434" s="237">
        <f t="shared" si="166"/>
        <v>89</v>
      </c>
      <c r="I434" s="185">
        <v>0</v>
      </c>
      <c r="J434" s="185">
        <v>89</v>
      </c>
      <c r="K434" s="188" t="s">
        <v>233</v>
      </c>
      <c r="L434" s="215"/>
    </row>
    <row r="435" spans="1:12" ht="15" customHeight="1" thickBot="1" x14ac:dyDescent="0.25">
      <c r="A435" s="236"/>
      <c r="B435" s="185">
        <f t="shared" si="163"/>
        <v>0</v>
      </c>
      <c r="C435" s="237">
        <f t="shared" si="164"/>
        <v>0</v>
      </c>
      <c r="D435" s="237">
        <f t="shared" si="164"/>
        <v>0</v>
      </c>
      <c r="E435" s="185">
        <f t="shared" si="165"/>
        <v>0</v>
      </c>
      <c r="F435" s="185">
        <v>0</v>
      </c>
      <c r="G435" s="185">
        <v>0</v>
      </c>
      <c r="H435" s="237">
        <f t="shared" si="166"/>
        <v>0</v>
      </c>
      <c r="I435" s="185">
        <v>0</v>
      </c>
      <c r="J435" s="185">
        <v>0</v>
      </c>
      <c r="K435" s="188" t="s">
        <v>234</v>
      </c>
      <c r="L435" s="215" t="s">
        <v>347</v>
      </c>
    </row>
    <row r="436" spans="1:12" ht="15" customHeight="1" thickBot="1" x14ac:dyDescent="0.25">
      <c r="A436" s="236"/>
      <c r="B436" s="237">
        <f t="shared" ref="B436:I436" si="172">SUM(B434:B435)</f>
        <v>89</v>
      </c>
      <c r="C436" s="237">
        <f t="shared" si="172"/>
        <v>0</v>
      </c>
      <c r="D436" s="237">
        <f t="shared" si="172"/>
        <v>89</v>
      </c>
      <c r="E436" s="237">
        <f t="shared" si="172"/>
        <v>0</v>
      </c>
      <c r="F436" s="237">
        <f t="shared" si="172"/>
        <v>0</v>
      </c>
      <c r="G436" s="237">
        <f t="shared" si="172"/>
        <v>0</v>
      </c>
      <c r="H436" s="237">
        <f t="shared" si="172"/>
        <v>89</v>
      </c>
      <c r="I436" s="237">
        <f t="shared" si="172"/>
        <v>0</v>
      </c>
      <c r="J436" s="237">
        <f>SUM(J434:J435)</f>
        <v>89</v>
      </c>
      <c r="K436" s="188" t="s">
        <v>12</v>
      </c>
      <c r="L436" s="216"/>
    </row>
    <row r="437" spans="1:12" ht="15" customHeight="1" thickBot="1" x14ac:dyDescent="0.25">
      <c r="A437" s="236"/>
      <c r="B437" s="185">
        <f t="shared" si="163"/>
        <v>357</v>
      </c>
      <c r="C437" s="237">
        <f t="shared" si="164"/>
        <v>0</v>
      </c>
      <c r="D437" s="237">
        <f t="shared" si="164"/>
        <v>357</v>
      </c>
      <c r="E437" s="185">
        <f t="shared" si="165"/>
        <v>12</v>
      </c>
      <c r="F437" s="185">
        <v>0</v>
      </c>
      <c r="G437" s="185">
        <v>12</v>
      </c>
      <c r="H437" s="237">
        <f t="shared" si="166"/>
        <v>345</v>
      </c>
      <c r="I437" s="185">
        <v>0</v>
      </c>
      <c r="J437" s="185">
        <v>345</v>
      </c>
      <c r="K437" s="188" t="s">
        <v>233</v>
      </c>
      <c r="L437" s="215"/>
    </row>
    <row r="438" spans="1:12" ht="15" customHeight="1" thickBot="1" x14ac:dyDescent="0.25">
      <c r="A438" s="236"/>
      <c r="B438" s="185">
        <f t="shared" si="163"/>
        <v>0</v>
      </c>
      <c r="C438" s="237">
        <f t="shared" si="164"/>
        <v>0</v>
      </c>
      <c r="D438" s="237">
        <f t="shared" si="164"/>
        <v>0</v>
      </c>
      <c r="E438" s="185">
        <f t="shared" si="165"/>
        <v>0</v>
      </c>
      <c r="F438" s="185">
        <v>0</v>
      </c>
      <c r="G438" s="185">
        <v>0</v>
      </c>
      <c r="H438" s="237">
        <f t="shared" si="166"/>
        <v>0</v>
      </c>
      <c r="I438" s="185">
        <v>0</v>
      </c>
      <c r="J438" s="185">
        <v>0</v>
      </c>
      <c r="K438" s="188" t="s">
        <v>234</v>
      </c>
      <c r="L438" s="215" t="s">
        <v>454</v>
      </c>
    </row>
    <row r="439" spans="1:12" ht="15" customHeight="1" thickBot="1" x14ac:dyDescent="0.25">
      <c r="A439" s="236"/>
      <c r="B439" s="237">
        <f t="shared" ref="B439:I439" si="173">SUM(B437:B438)</f>
        <v>357</v>
      </c>
      <c r="C439" s="237">
        <f t="shared" si="173"/>
        <v>0</v>
      </c>
      <c r="D439" s="237">
        <f t="shared" si="173"/>
        <v>357</v>
      </c>
      <c r="E439" s="237">
        <f t="shared" si="173"/>
        <v>12</v>
      </c>
      <c r="F439" s="237">
        <f t="shared" si="173"/>
        <v>0</v>
      </c>
      <c r="G439" s="237">
        <f t="shared" si="173"/>
        <v>12</v>
      </c>
      <c r="H439" s="237">
        <f t="shared" si="173"/>
        <v>345</v>
      </c>
      <c r="I439" s="237">
        <f t="shared" si="173"/>
        <v>0</v>
      </c>
      <c r="J439" s="237">
        <f>SUM(J437:J438)</f>
        <v>345</v>
      </c>
      <c r="K439" s="188" t="s">
        <v>12</v>
      </c>
      <c r="L439" s="216"/>
    </row>
    <row r="440" spans="1:12" ht="15" customHeight="1" thickBot="1" x14ac:dyDescent="0.25">
      <c r="A440" s="236"/>
      <c r="B440" s="185">
        <f t="shared" si="163"/>
        <v>413</v>
      </c>
      <c r="C440" s="237">
        <f t="shared" si="164"/>
        <v>210</v>
      </c>
      <c r="D440" s="237">
        <f t="shared" si="164"/>
        <v>203</v>
      </c>
      <c r="E440" s="185">
        <f t="shared" si="165"/>
        <v>0</v>
      </c>
      <c r="F440" s="185">
        <v>0</v>
      </c>
      <c r="G440" s="185">
        <v>0</v>
      </c>
      <c r="H440" s="237">
        <f t="shared" si="166"/>
        <v>413</v>
      </c>
      <c r="I440" s="185">
        <v>210</v>
      </c>
      <c r="J440" s="185">
        <v>203</v>
      </c>
      <c r="K440" s="188" t="s">
        <v>233</v>
      </c>
      <c r="L440" s="215"/>
    </row>
    <row r="441" spans="1:12" ht="15" customHeight="1" thickBot="1" x14ac:dyDescent="0.25">
      <c r="A441" s="236"/>
      <c r="B441" s="185">
        <f t="shared" si="163"/>
        <v>0</v>
      </c>
      <c r="C441" s="237">
        <f t="shared" si="164"/>
        <v>0</v>
      </c>
      <c r="D441" s="237">
        <f t="shared" si="164"/>
        <v>0</v>
      </c>
      <c r="E441" s="185">
        <f t="shared" si="165"/>
        <v>0</v>
      </c>
      <c r="F441" s="185">
        <v>0</v>
      </c>
      <c r="G441" s="185">
        <v>0</v>
      </c>
      <c r="H441" s="237">
        <f t="shared" si="166"/>
        <v>0</v>
      </c>
      <c r="I441" s="185">
        <v>0</v>
      </c>
      <c r="J441" s="185">
        <v>0</v>
      </c>
      <c r="K441" s="188" t="s">
        <v>234</v>
      </c>
      <c r="L441" s="215" t="s">
        <v>364</v>
      </c>
    </row>
    <row r="442" spans="1:12" ht="15" customHeight="1" thickBot="1" x14ac:dyDescent="0.25">
      <c r="A442" s="236"/>
      <c r="B442" s="237">
        <f t="shared" ref="B442:I442" si="174">SUM(B440:B441)</f>
        <v>413</v>
      </c>
      <c r="C442" s="237">
        <f t="shared" si="174"/>
        <v>210</v>
      </c>
      <c r="D442" s="237">
        <f t="shared" si="174"/>
        <v>203</v>
      </c>
      <c r="E442" s="237">
        <f t="shared" si="174"/>
        <v>0</v>
      </c>
      <c r="F442" s="237">
        <f t="shared" si="174"/>
        <v>0</v>
      </c>
      <c r="G442" s="237">
        <f t="shared" si="174"/>
        <v>0</v>
      </c>
      <c r="H442" s="237">
        <f t="shared" si="174"/>
        <v>413</v>
      </c>
      <c r="I442" s="237">
        <f t="shared" si="174"/>
        <v>210</v>
      </c>
      <c r="J442" s="237">
        <f>SUM(J440:J441)</f>
        <v>203</v>
      </c>
      <c r="K442" s="188" t="s">
        <v>12</v>
      </c>
      <c r="L442" s="216"/>
    </row>
    <row r="443" spans="1:12" ht="15" customHeight="1" thickBot="1" x14ac:dyDescent="0.25">
      <c r="A443" s="236"/>
      <c r="B443" s="185">
        <f t="shared" si="163"/>
        <v>384</v>
      </c>
      <c r="C443" s="237">
        <f t="shared" si="164"/>
        <v>47</v>
      </c>
      <c r="D443" s="237">
        <f t="shared" si="164"/>
        <v>337</v>
      </c>
      <c r="E443" s="185">
        <f t="shared" si="165"/>
        <v>2</v>
      </c>
      <c r="F443" s="185">
        <v>0</v>
      </c>
      <c r="G443" s="185">
        <v>2</v>
      </c>
      <c r="H443" s="237">
        <f t="shared" si="166"/>
        <v>382</v>
      </c>
      <c r="I443" s="185">
        <v>47</v>
      </c>
      <c r="J443" s="185">
        <v>335</v>
      </c>
      <c r="K443" s="188" t="s">
        <v>233</v>
      </c>
      <c r="L443" s="215"/>
    </row>
    <row r="444" spans="1:12" ht="15" customHeight="1" thickBot="1" x14ac:dyDescent="0.25">
      <c r="A444" s="236"/>
      <c r="B444" s="185">
        <f t="shared" si="163"/>
        <v>0</v>
      </c>
      <c r="C444" s="237">
        <f t="shared" si="164"/>
        <v>0</v>
      </c>
      <c r="D444" s="237">
        <f t="shared" si="164"/>
        <v>0</v>
      </c>
      <c r="E444" s="185">
        <f t="shared" si="165"/>
        <v>0</v>
      </c>
      <c r="F444" s="185">
        <v>0</v>
      </c>
      <c r="G444" s="185">
        <v>0</v>
      </c>
      <c r="H444" s="237">
        <f t="shared" si="166"/>
        <v>0</v>
      </c>
      <c r="I444" s="185">
        <v>0</v>
      </c>
      <c r="J444" s="185">
        <v>0</v>
      </c>
      <c r="K444" s="188" t="s">
        <v>234</v>
      </c>
      <c r="L444" s="215" t="s">
        <v>455</v>
      </c>
    </row>
    <row r="445" spans="1:12" ht="15" customHeight="1" thickBot="1" x14ac:dyDescent="0.25">
      <c r="A445" s="236"/>
      <c r="B445" s="237">
        <f t="shared" ref="B445:I445" si="175">SUM(B443:B444)</f>
        <v>384</v>
      </c>
      <c r="C445" s="237">
        <f t="shared" si="175"/>
        <v>47</v>
      </c>
      <c r="D445" s="237">
        <f t="shared" si="175"/>
        <v>337</v>
      </c>
      <c r="E445" s="237">
        <f t="shared" si="175"/>
        <v>2</v>
      </c>
      <c r="F445" s="237">
        <f t="shared" si="175"/>
        <v>0</v>
      </c>
      <c r="G445" s="237">
        <f t="shared" si="175"/>
        <v>2</v>
      </c>
      <c r="H445" s="237">
        <f t="shared" si="175"/>
        <v>382</v>
      </c>
      <c r="I445" s="237">
        <f t="shared" si="175"/>
        <v>47</v>
      </c>
      <c r="J445" s="237">
        <f>SUM(J443:J444)</f>
        <v>335</v>
      </c>
      <c r="K445" s="188" t="s">
        <v>12</v>
      </c>
      <c r="L445" s="216"/>
    </row>
    <row r="446" spans="1:12" ht="15" customHeight="1" thickBot="1" x14ac:dyDescent="0.25">
      <c r="A446" s="236"/>
      <c r="B446" s="185">
        <f t="shared" si="163"/>
        <v>214</v>
      </c>
      <c r="C446" s="237">
        <f t="shared" si="164"/>
        <v>111</v>
      </c>
      <c r="D446" s="237">
        <f t="shared" si="164"/>
        <v>103</v>
      </c>
      <c r="E446" s="185">
        <f t="shared" si="165"/>
        <v>0</v>
      </c>
      <c r="F446" s="185">
        <v>0</v>
      </c>
      <c r="G446" s="185">
        <v>0</v>
      </c>
      <c r="H446" s="237">
        <f t="shared" si="166"/>
        <v>214</v>
      </c>
      <c r="I446" s="185">
        <v>111</v>
      </c>
      <c r="J446" s="185">
        <v>103</v>
      </c>
      <c r="K446" s="188" t="s">
        <v>233</v>
      </c>
      <c r="L446" s="215"/>
    </row>
    <row r="447" spans="1:12" ht="15" customHeight="1" thickBot="1" x14ac:dyDescent="0.25">
      <c r="A447" s="236"/>
      <c r="B447" s="185">
        <f t="shared" si="163"/>
        <v>0</v>
      </c>
      <c r="C447" s="237">
        <f t="shared" si="164"/>
        <v>0</v>
      </c>
      <c r="D447" s="237">
        <f t="shared" si="164"/>
        <v>0</v>
      </c>
      <c r="E447" s="185">
        <f t="shared" si="165"/>
        <v>0</v>
      </c>
      <c r="F447" s="185">
        <v>0</v>
      </c>
      <c r="G447" s="185">
        <v>0</v>
      </c>
      <c r="H447" s="237">
        <f t="shared" si="166"/>
        <v>0</v>
      </c>
      <c r="I447" s="185">
        <v>0</v>
      </c>
      <c r="J447" s="185">
        <v>0</v>
      </c>
      <c r="K447" s="188" t="s">
        <v>234</v>
      </c>
      <c r="L447" s="215" t="s">
        <v>344</v>
      </c>
    </row>
    <row r="448" spans="1:12" ht="15" customHeight="1" thickBot="1" x14ac:dyDescent="0.25">
      <c r="A448" s="236"/>
      <c r="B448" s="237">
        <f t="shared" ref="B448:I448" si="176">SUM(B446:B447)</f>
        <v>214</v>
      </c>
      <c r="C448" s="237">
        <f t="shared" si="176"/>
        <v>111</v>
      </c>
      <c r="D448" s="237">
        <f t="shared" si="176"/>
        <v>103</v>
      </c>
      <c r="E448" s="237">
        <f t="shared" si="176"/>
        <v>0</v>
      </c>
      <c r="F448" s="237">
        <f t="shared" si="176"/>
        <v>0</v>
      </c>
      <c r="G448" s="237">
        <f t="shared" si="176"/>
        <v>0</v>
      </c>
      <c r="H448" s="237">
        <f t="shared" si="176"/>
        <v>214</v>
      </c>
      <c r="I448" s="237">
        <f t="shared" si="176"/>
        <v>111</v>
      </c>
      <c r="J448" s="237">
        <f>SUM(J446:J447)</f>
        <v>103</v>
      </c>
      <c r="K448" s="188" t="s">
        <v>12</v>
      </c>
      <c r="L448" s="216"/>
    </row>
    <row r="449" spans="1:12" ht="15" customHeight="1" thickBot="1" x14ac:dyDescent="0.25">
      <c r="A449" s="236"/>
      <c r="B449" s="185">
        <f t="shared" si="163"/>
        <v>560</v>
      </c>
      <c r="C449" s="237">
        <f t="shared" si="164"/>
        <v>560</v>
      </c>
      <c r="D449" s="237">
        <f t="shared" si="164"/>
        <v>0</v>
      </c>
      <c r="E449" s="185">
        <f t="shared" si="165"/>
        <v>1</v>
      </c>
      <c r="F449" s="185">
        <v>1</v>
      </c>
      <c r="G449" s="185">
        <v>0</v>
      </c>
      <c r="H449" s="237">
        <f t="shared" si="166"/>
        <v>559</v>
      </c>
      <c r="I449" s="185">
        <v>559</v>
      </c>
      <c r="J449" s="185">
        <v>0</v>
      </c>
      <c r="K449" s="188" t="s">
        <v>233</v>
      </c>
      <c r="L449" s="215"/>
    </row>
    <row r="450" spans="1:12" ht="15" customHeight="1" thickBot="1" x14ac:dyDescent="0.25">
      <c r="A450" s="236"/>
      <c r="B450" s="185">
        <f t="shared" si="163"/>
        <v>227</v>
      </c>
      <c r="C450" s="237">
        <f t="shared" si="164"/>
        <v>227</v>
      </c>
      <c r="D450" s="237">
        <f t="shared" si="164"/>
        <v>0</v>
      </c>
      <c r="E450" s="185">
        <f t="shared" si="165"/>
        <v>0</v>
      </c>
      <c r="F450" s="185">
        <v>0</v>
      </c>
      <c r="G450" s="185">
        <v>0</v>
      </c>
      <c r="H450" s="237">
        <f t="shared" si="166"/>
        <v>227</v>
      </c>
      <c r="I450" s="185">
        <v>227</v>
      </c>
      <c r="J450" s="185">
        <v>0</v>
      </c>
      <c r="K450" s="188" t="s">
        <v>234</v>
      </c>
      <c r="L450" s="215" t="s">
        <v>456</v>
      </c>
    </row>
    <row r="451" spans="1:12" ht="15" customHeight="1" thickBot="1" x14ac:dyDescent="0.25">
      <c r="A451" s="236"/>
      <c r="B451" s="237">
        <f t="shared" ref="B451:I451" si="177">SUM(B449:B450)</f>
        <v>787</v>
      </c>
      <c r="C451" s="237">
        <f t="shared" si="177"/>
        <v>787</v>
      </c>
      <c r="D451" s="237">
        <f t="shared" si="177"/>
        <v>0</v>
      </c>
      <c r="E451" s="237">
        <f t="shared" si="177"/>
        <v>1</v>
      </c>
      <c r="F451" s="237">
        <f t="shared" si="177"/>
        <v>1</v>
      </c>
      <c r="G451" s="237">
        <f t="shared" si="177"/>
        <v>0</v>
      </c>
      <c r="H451" s="237">
        <f t="shared" si="177"/>
        <v>786</v>
      </c>
      <c r="I451" s="237">
        <f t="shared" si="177"/>
        <v>786</v>
      </c>
      <c r="J451" s="237">
        <f>SUM(J449:J450)</f>
        <v>0</v>
      </c>
      <c r="K451" s="188" t="s">
        <v>12</v>
      </c>
      <c r="L451" s="216"/>
    </row>
    <row r="452" spans="1:12" ht="15" customHeight="1" thickBot="1" x14ac:dyDescent="0.25">
      <c r="A452" s="236"/>
      <c r="B452" s="185">
        <f t="shared" si="163"/>
        <v>994</v>
      </c>
      <c r="C452" s="237">
        <f t="shared" si="164"/>
        <v>994</v>
      </c>
      <c r="D452" s="237">
        <f t="shared" si="164"/>
        <v>0</v>
      </c>
      <c r="E452" s="185">
        <f t="shared" si="165"/>
        <v>0</v>
      </c>
      <c r="F452" s="185">
        <v>0</v>
      </c>
      <c r="G452" s="185">
        <v>0</v>
      </c>
      <c r="H452" s="237">
        <f t="shared" si="166"/>
        <v>994</v>
      </c>
      <c r="I452" s="185">
        <v>994</v>
      </c>
      <c r="J452" s="185">
        <v>0</v>
      </c>
      <c r="K452" s="188" t="s">
        <v>233</v>
      </c>
      <c r="L452" s="215"/>
    </row>
    <row r="453" spans="1:12" ht="15" customHeight="1" thickBot="1" x14ac:dyDescent="0.25">
      <c r="A453" s="236"/>
      <c r="B453" s="185">
        <f t="shared" si="163"/>
        <v>0</v>
      </c>
      <c r="C453" s="237">
        <f t="shared" si="164"/>
        <v>0</v>
      </c>
      <c r="D453" s="237">
        <f t="shared" si="164"/>
        <v>0</v>
      </c>
      <c r="E453" s="185">
        <f t="shared" si="165"/>
        <v>0</v>
      </c>
      <c r="F453" s="185">
        <v>0</v>
      </c>
      <c r="G453" s="185">
        <v>0</v>
      </c>
      <c r="H453" s="237">
        <f t="shared" si="166"/>
        <v>0</v>
      </c>
      <c r="I453" s="185">
        <v>0</v>
      </c>
      <c r="J453" s="185">
        <v>0</v>
      </c>
      <c r="K453" s="188" t="s">
        <v>234</v>
      </c>
      <c r="L453" s="215" t="s">
        <v>457</v>
      </c>
    </row>
    <row r="454" spans="1:12" ht="15" customHeight="1" thickBot="1" x14ac:dyDescent="0.25">
      <c r="A454" s="236"/>
      <c r="B454" s="237">
        <f t="shared" ref="B454:I454" si="178">SUM(B452:B453)</f>
        <v>994</v>
      </c>
      <c r="C454" s="237">
        <f t="shared" si="178"/>
        <v>994</v>
      </c>
      <c r="D454" s="237">
        <f t="shared" si="178"/>
        <v>0</v>
      </c>
      <c r="E454" s="237">
        <f t="shared" si="178"/>
        <v>0</v>
      </c>
      <c r="F454" s="237">
        <f t="shared" si="178"/>
        <v>0</v>
      </c>
      <c r="G454" s="237">
        <f t="shared" si="178"/>
        <v>0</v>
      </c>
      <c r="H454" s="237">
        <f t="shared" si="178"/>
        <v>994</v>
      </c>
      <c r="I454" s="237">
        <f t="shared" si="178"/>
        <v>994</v>
      </c>
      <c r="J454" s="237">
        <f>SUM(J452:J453)</f>
        <v>0</v>
      </c>
      <c r="K454" s="188" t="s">
        <v>12</v>
      </c>
      <c r="L454" s="216"/>
    </row>
    <row r="455" spans="1:12" ht="15" customHeight="1" thickBot="1" x14ac:dyDescent="0.25">
      <c r="A455" s="236"/>
      <c r="B455" s="185">
        <f t="shared" si="163"/>
        <v>929</v>
      </c>
      <c r="C455" s="237">
        <f t="shared" si="164"/>
        <v>929</v>
      </c>
      <c r="D455" s="237">
        <f t="shared" si="164"/>
        <v>0</v>
      </c>
      <c r="E455" s="185">
        <f t="shared" si="165"/>
        <v>0</v>
      </c>
      <c r="F455" s="185">
        <v>0</v>
      </c>
      <c r="G455" s="185">
        <v>0</v>
      </c>
      <c r="H455" s="237">
        <f t="shared" si="166"/>
        <v>929</v>
      </c>
      <c r="I455" s="185">
        <v>929</v>
      </c>
      <c r="J455" s="185">
        <v>0</v>
      </c>
      <c r="K455" s="188" t="s">
        <v>233</v>
      </c>
      <c r="L455" s="215"/>
    </row>
    <row r="456" spans="1:12" ht="15" customHeight="1" thickBot="1" x14ac:dyDescent="0.25">
      <c r="A456" s="236"/>
      <c r="B456" s="185">
        <f t="shared" si="163"/>
        <v>437</v>
      </c>
      <c r="C456" s="237">
        <f t="shared" si="164"/>
        <v>437</v>
      </c>
      <c r="D456" s="237">
        <f t="shared" si="164"/>
        <v>0</v>
      </c>
      <c r="E456" s="185">
        <f t="shared" si="165"/>
        <v>0</v>
      </c>
      <c r="F456" s="185">
        <v>0</v>
      </c>
      <c r="G456" s="185">
        <v>0</v>
      </c>
      <c r="H456" s="237">
        <f t="shared" si="166"/>
        <v>437</v>
      </c>
      <c r="I456" s="185">
        <v>437</v>
      </c>
      <c r="J456" s="185">
        <v>0</v>
      </c>
      <c r="K456" s="188" t="s">
        <v>234</v>
      </c>
      <c r="L456" s="215" t="s">
        <v>458</v>
      </c>
    </row>
    <row r="457" spans="1:12" ht="15" customHeight="1" thickBot="1" x14ac:dyDescent="0.25">
      <c r="A457" s="236"/>
      <c r="B457" s="237">
        <f t="shared" ref="B457:I457" si="179">SUM(B455:B456)</f>
        <v>1366</v>
      </c>
      <c r="C457" s="237">
        <f t="shared" si="179"/>
        <v>1366</v>
      </c>
      <c r="D457" s="237">
        <f t="shared" si="179"/>
        <v>0</v>
      </c>
      <c r="E457" s="237">
        <f t="shared" si="179"/>
        <v>0</v>
      </c>
      <c r="F457" s="237">
        <f t="shared" si="179"/>
        <v>0</v>
      </c>
      <c r="G457" s="237">
        <f t="shared" si="179"/>
        <v>0</v>
      </c>
      <c r="H457" s="237">
        <f t="shared" si="179"/>
        <v>1366</v>
      </c>
      <c r="I457" s="237">
        <f t="shared" si="179"/>
        <v>1366</v>
      </c>
      <c r="J457" s="237">
        <f>SUM(J455:J456)</f>
        <v>0</v>
      </c>
      <c r="K457" s="188" t="s">
        <v>12</v>
      </c>
      <c r="L457" s="216"/>
    </row>
    <row r="458" spans="1:12" ht="15" customHeight="1" thickBot="1" x14ac:dyDescent="0.25">
      <c r="A458" s="236"/>
      <c r="B458" s="185">
        <f t="shared" si="163"/>
        <v>227</v>
      </c>
      <c r="C458" s="237">
        <f t="shared" si="164"/>
        <v>227</v>
      </c>
      <c r="D458" s="237">
        <f t="shared" si="164"/>
        <v>0</v>
      </c>
      <c r="E458" s="185">
        <f t="shared" si="165"/>
        <v>0</v>
      </c>
      <c r="F458" s="185">
        <v>0</v>
      </c>
      <c r="G458" s="185">
        <v>0</v>
      </c>
      <c r="H458" s="237">
        <f t="shared" si="166"/>
        <v>227</v>
      </c>
      <c r="I458" s="185">
        <v>227</v>
      </c>
      <c r="J458" s="185">
        <v>0</v>
      </c>
      <c r="K458" s="188" t="s">
        <v>233</v>
      </c>
      <c r="L458" s="215"/>
    </row>
    <row r="459" spans="1:12" ht="15" customHeight="1" thickBot="1" x14ac:dyDescent="0.25">
      <c r="A459" s="236"/>
      <c r="B459" s="185">
        <f t="shared" si="163"/>
        <v>0</v>
      </c>
      <c r="C459" s="237">
        <f t="shared" si="164"/>
        <v>0</v>
      </c>
      <c r="D459" s="237">
        <f t="shared" si="164"/>
        <v>0</v>
      </c>
      <c r="E459" s="185">
        <f t="shared" si="165"/>
        <v>0</v>
      </c>
      <c r="F459" s="185">
        <v>0</v>
      </c>
      <c r="G459" s="185">
        <v>0</v>
      </c>
      <c r="H459" s="237">
        <f t="shared" si="166"/>
        <v>0</v>
      </c>
      <c r="I459" s="185">
        <v>0</v>
      </c>
      <c r="J459" s="185">
        <v>0</v>
      </c>
      <c r="K459" s="188" t="s">
        <v>234</v>
      </c>
      <c r="L459" s="215" t="s">
        <v>459</v>
      </c>
    </row>
    <row r="460" spans="1:12" ht="15" customHeight="1" thickBot="1" x14ac:dyDescent="0.25">
      <c r="A460" s="236"/>
      <c r="B460" s="237">
        <f t="shared" ref="B460:I460" si="180">SUM(B458:B459)</f>
        <v>227</v>
      </c>
      <c r="C460" s="237">
        <f t="shared" si="180"/>
        <v>227</v>
      </c>
      <c r="D460" s="237">
        <f t="shared" si="180"/>
        <v>0</v>
      </c>
      <c r="E460" s="237">
        <f t="shared" si="180"/>
        <v>0</v>
      </c>
      <c r="F460" s="237">
        <f t="shared" si="180"/>
        <v>0</v>
      </c>
      <c r="G460" s="237">
        <f t="shared" si="180"/>
        <v>0</v>
      </c>
      <c r="H460" s="237">
        <f t="shared" si="180"/>
        <v>227</v>
      </c>
      <c r="I460" s="237">
        <f t="shared" si="180"/>
        <v>227</v>
      </c>
      <c r="J460" s="237">
        <f>SUM(J458:J459)</f>
        <v>0</v>
      </c>
      <c r="K460" s="188" t="s">
        <v>12</v>
      </c>
      <c r="L460" s="216"/>
    </row>
    <row r="461" spans="1:12" ht="15" customHeight="1" thickBot="1" x14ac:dyDescent="0.25">
      <c r="A461" s="236"/>
      <c r="B461" s="185">
        <f t="shared" si="163"/>
        <v>524</v>
      </c>
      <c r="C461" s="237">
        <f t="shared" si="164"/>
        <v>524</v>
      </c>
      <c r="D461" s="237">
        <f t="shared" si="164"/>
        <v>0</v>
      </c>
      <c r="E461" s="185">
        <f t="shared" si="165"/>
        <v>0</v>
      </c>
      <c r="F461" s="185">
        <v>0</v>
      </c>
      <c r="G461" s="185">
        <v>0</v>
      </c>
      <c r="H461" s="237">
        <f t="shared" si="166"/>
        <v>524</v>
      </c>
      <c r="I461" s="185">
        <v>524</v>
      </c>
      <c r="J461" s="185">
        <v>0</v>
      </c>
      <c r="K461" s="188" t="s">
        <v>233</v>
      </c>
      <c r="L461" s="215"/>
    </row>
    <row r="462" spans="1:12" ht="15" customHeight="1" thickBot="1" x14ac:dyDescent="0.25">
      <c r="A462" s="236"/>
      <c r="B462" s="185">
        <f t="shared" si="163"/>
        <v>141</v>
      </c>
      <c r="C462" s="237">
        <f t="shared" si="164"/>
        <v>141</v>
      </c>
      <c r="D462" s="237">
        <f t="shared" si="164"/>
        <v>0</v>
      </c>
      <c r="E462" s="185">
        <f t="shared" si="165"/>
        <v>0</v>
      </c>
      <c r="F462" s="185">
        <v>0</v>
      </c>
      <c r="G462" s="185">
        <v>0</v>
      </c>
      <c r="H462" s="237">
        <f t="shared" si="166"/>
        <v>141</v>
      </c>
      <c r="I462" s="185">
        <v>141</v>
      </c>
      <c r="J462" s="185">
        <v>0</v>
      </c>
      <c r="K462" s="188" t="s">
        <v>234</v>
      </c>
      <c r="L462" s="215" t="s">
        <v>460</v>
      </c>
    </row>
    <row r="463" spans="1:12" ht="15" customHeight="1" thickBot="1" x14ac:dyDescent="0.25">
      <c r="A463" s="236"/>
      <c r="B463" s="237">
        <f t="shared" ref="B463:I463" si="181">SUM(B461:B462)</f>
        <v>665</v>
      </c>
      <c r="C463" s="237">
        <f t="shared" si="181"/>
        <v>665</v>
      </c>
      <c r="D463" s="237">
        <f t="shared" si="181"/>
        <v>0</v>
      </c>
      <c r="E463" s="237">
        <f t="shared" si="181"/>
        <v>0</v>
      </c>
      <c r="F463" s="237">
        <f t="shared" si="181"/>
        <v>0</v>
      </c>
      <c r="G463" s="237">
        <f t="shared" si="181"/>
        <v>0</v>
      </c>
      <c r="H463" s="237">
        <f t="shared" si="181"/>
        <v>665</v>
      </c>
      <c r="I463" s="237">
        <f t="shared" si="181"/>
        <v>665</v>
      </c>
      <c r="J463" s="237">
        <f>SUM(J461:J462)</f>
        <v>0</v>
      </c>
      <c r="K463" s="188" t="s">
        <v>12</v>
      </c>
      <c r="L463" s="216"/>
    </row>
    <row r="464" spans="1:12" ht="15" customHeight="1" thickBot="1" x14ac:dyDescent="0.25">
      <c r="A464" s="236"/>
      <c r="B464" s="185">
        <f t="shared" si="163"/>
        <v>369</v>
      </c>
      <c r="C464" s="237">
        <f t="shared" si="164"/>
        <v>369</v>
      </c>
      <c r="D464" s="237">
        <f t="shared" si="164"/>
        <v>0</v>
      </c>
      <c r="E464" s="185">
        <f t="shared" si="165"/>
        <v>0</v>
      </c>
      <c r="F464" s="185">
        <v>0</v>
      </c>
      <c r="G464" s="185">
        <v>0</v>
      </c>
      <c r="H464" s="237">
        <f t="shared" si="166"/>
        <v>369</v>
      </c>
      <c r="I464" s="185">
        <v>369</v>
      </c>
      <c r="J464" s="185">
        <v>0</v>
      </c>
      <c r="K464" s="188" t="s">
        <v>233</v>
      </c>
      <c r="L464" s="215"/>
    </row>
    <row r="465" spans="1:12" ht="15" customHeight="1" thickBot="1" x14ac:dyDescent="0.25">
      <c r="A465" s="236"/>
      <c r="B465" s="185">
        <f t="shared" si="163"/>
        <v>24</v>
      </c>
      <c r="C465" s="237">
        <f t="shared" si="164"/>
        <v>24</v>
      </c>
      <c r="D465" s="237">
        <f t="shared" si="164"/>
        <v>0</v>
      </c>
      <c r="E465" s="185">
        <f t="shared" si="165"/>
        <v>0</v>
      </c>
      <c r="F465" s="185">
        <v>0</v>
      </c>
      <c r="G465" s="185">
        <v>0</v>
      </c>
      <c r="H465" s="237">
        <f t="shared" si="166"/>
        <v>24</v>
      </c>
      <c r="I465" s="185">
        <v>24</v>
      </c>
      <c r="J465" s="185">
        <v>0</v>
      </c>
      <c r="K465" s="188" t="s">
        <v>234</v>
      </c>
      <c r="L465" s="215" t="s">
        <v>461</v>
      </c>
    </row>
    <row r="466" spans="1:12" ht="15" customHeight="1" thickBot="1" x14ac:dyDescent="0.25">
      <c r="A466" s="236"/>
      <c r="B466" s="237">
        <f t="shared" ref="B466:I466" si="182">SUM(B464:B465)</f>
        <v>393</v>
      </c>
      <c r="C466" s="237">
        <f t="shared" si="182"/>
        <v>393</v>
      </c>
      <c r="D466" s="237">
        <f t="shared" si="182"/>
        <v>0</v>
      </c>
      <c r="E466" s="237">
        <f t="shared" si="182"/>
        <v>0</v>
      </c>
      <c r="F466" s="237">
        <f t="shared" si="182"/>
        <v>0</v>
      </c>
      <c r="G466" s="237">
        <f t="shared" si="182"/>
        <v>0</v>
      </c>
      <c r="H466" s="237">
        <f t="shared" si="182"/>
        <v>393</v>
      </c>
      <c r="I466" s="237">
        <f t="shared" si="182"/>
        <v>393</v>
      </c>
      <c r="J466" s="237">
        <f>SUM(J464:J465)</f>
        <v>0</v>
      </c>
      <c r="K466" s="188" t="s">
        <v>12</v>
      </c>
      <c r="L466" s="216"/>
    </row>
    <row r="467" spans="1:12" ht="15" customHeight="1" thickBot="1" x14ac:dyDescent="0.25">
      <c r="A467" s="236"/>
      <c r="B467" s="185">
        <f t="shared" si="163"/>
        <v>421</v>
      </c>
      <c r="C467" s="237">
        <f t="shared" si="164"/>
        <v>421</v>
      </c>
      <c r="D467" s="237">
        <f t="shared" si="164"/>
        <v>0</v>
      </c>
      <c r="E467" s="185">
        <f t="shared" si="165"/>
        <v>0</v>
      </c>
      <c r="F467" s="185">
        <v>0</v>
      </c>
      <c r="G467" s="185">
        <v>0</v>
      </c>
      <c r="H467" s="237">
        <f t="shared" si="166"/>
        <v>421</v>
      </c>
      <c r="I467" s="185">
        <v>421</v>
      </c>
      <c r="J467" s="185">
        <v>0</v>
      </c>
      <c r="K467" s="188" t="s">
        <v>233</v>
      </c>
      <c r="L467" s="215"/>
    </row>
    <row r="468" spans="1:12" ht="15" customHeight="1" thickBot="1" x14ac:dyDescent="0.25">
      <c r="A468" s="236"/>
      <c r="B468" s="185">
        <f t="shared" si="163"/>
        <v>234</v>
      </c>
      <c r="C468" s="237">
        <f t="shared" si="164"/>
        <v>234</v>
      </c>
      <c r="D468" s="237">
        <f t="shared" si="164"/>
        <v>0</v>
      </c>
      <c r="E468" s="185">
        <f t="shared" si="165"/>
        <v>0</v>
      </c>
      <c r="F468" s="185">
        <v>0</v>
      </c>
      <c r="G468" s="185">
        <v>0</v>
      </c>
      <c r="H468" s="237">
        <f t="shared" si="166"/>
        <v>234</v>
      </c>
      <c r="I468" s="185">
        <v>234</v>
      </c>
      <c r="J468" s="185">
        <v>0</v>
      </c>
      <c r="K468" s="188" t="s">
        <v>234</v>
      </c>
      <c r="L468" s="215" t="s">
        <v>462</v>
      </c>
    </row>
    <row r="469" spans="1:12" ht="15" customHeight="1" thickBot="1" x14ac:dyDescent="0.25">
      <c r="A469" s="236"/>
      <c r="B469" s="237">
        <f t="shared" ref="B469:I469" si="183">SUM(B467:B468)</f>
        <v>655</v>
      </c>
      <c r="C469" s="237">
        <f t="shared" si="183"/>
        <v>655</v>
      </c>
      <c r="D469" s="237">
        <f t="shared" si="183"/>
        <v>0</v>
      </c>
      <c r="E469" s="237">
        <f t="shared" si="183"/>
        <v>0</v>
      </c>
      <c r="F469" s="237">
        <f t="shared" si="183"/>
        <v>0</v>
      </c>
      <c r="G469" s="237">
        <f t="shared" si="183"/>
        <v>0</v>
      </c>
      <c r="H469" s="237">
        <f t="shared" si="183"/>
        <v>655</v>
      </c>
      <c r="I469" s="237">
        <f t="shared" si="183"/>
        <v>655</v>
      </c>
      <c r="J469" s="237">
        <f>SUM(J467:J468)</f>
        <v>0</v>
      </c>
      <c r="K469" s="188" t="s">
        <v>12</v>
      </c>
      <c r="L469" s="216"/>
    </row>
    <row r="470" spans="1:12" ht="15" customHeight="1" thickBot="1" x14ac:dyDescent="0.25">
      <c r="A470" s="236"/>
      <c r="B470" s="185">
        <f t="shared" si="163"/>
        <v>366</v>
      </c>
      <c r="C470" s="237">
        <f t="shared" si="164"/>
        <v>366</v>
      </c>
      <c r="D470" s="237">
        <f t="shared" si="164"/>
        <v>0</v>
      </c>
      <c r="E470" s="185">
        <f t="shared" si="165"/>
        <v>0</v>
      </c>
      <c r="F470" s="185">
        <v>0</v>
      </c>
      <c r="G470" s="185">
        <v>0</v>
      </c>
      <c r="H470" s="237">
        <f t="shared" si="166"/>
        <v>366</v>
      </c>
      <c r="I470" s="185">
        <v>366</v>
      </c>
      <c r="J470" s="185">
        <v>0</v>
      </c>
      <c r="K470" s="188" t="s">
        <v>233</v>
      </c>
      <c r="L470" s="215"/>
    </row>
    <row r="471" spans="1:12" ht="15" customHeight="1" thickBot="1" x14ac:dyDescent="0.25">
      <c r="A471" s="236"/>
      <c r="B471" s="185">
        <f t="shared" si="163"/>
        <v>42</v>
      </c>
      <c r="C471" s="237">
        <f t="shared" si="164"/>
        <v>42</v>
      </c>
      <c r="D471" s="237">
        <f t="shared" si="164"/>
        <v>0</v>
      </c>
      <c r="E471" s="185">
        <f t="shared" si="165"/>
        <v>0</v>
      </c>
      <c r="F471" s="185">
        <v>0</v>
      </c>
      <c r="G471" s="185">
        <v>0</v>
      </c>
      <c r="H471" s="237">
        <f t="shared" si="166"/>
        <v>42</v>
      </c>
      <c r="I471" s="185">
        <v>42</v>
      </c>
      <c r="J471" s="185">
        <v>0</v>
      </c>
      <c r="K471" s="188" t="s">
        <v>234</v>
      </c>
      <c r="L471" s="215" t="s">
        <v>463</v>
      </c>
    </row>
    <row r="472" spans="1:12" ht="15" customHeight="1" thickBot="1" x14ac:dyDescent="0.25">
      <c r="A472" s="236"/>
      <c r="B472" s="237">
        <f t="shared" ref="B472:I472" si="184">SUM(B470:B471)</f>
        <v>408</v>
      </c>
      <c r="C472" s="237">
        <f t="shared" si="184"/>
        <v>408</v>
      </c>
      <c r="D472" s="237">
        <f t="shared" si="184"/>
        <v>0</v>
      </c>
      <c r="E472" s="237">
        <f t="shared" si="184"/>
        <v>0</v>
      </c>
      <c r="F472" s="237">
        <f t="shared" si="184"/>
        <v>0</v>
      </c>
      <c r="G472" s="237">
        <f t="shared" si="184"/>
        <v>0</v>
      </c>
      <c r="H472" s="237">
        <f t="shared" si="184"/>
        <v>408</v>
      </c>
      <c r="I472" s="237">
        <f t="shared" si="184"/>
        <v>408</v>
      </c>
      <c r="J472" s="237">
        <f>SUM(J470:J471)</f>
        <v>0</v>
      </c>
      <c r="K472" s="188" t="s">
        <v>12</v>
      </c>
      <c r="L472" s="216"/>
    </row>
    <row r="473" spans="1:12" ht="15" customHeight="1" thickBot="1" x14ac:dyDescent="0.25">
      <c r="A473" s="236"/>
      <c r="B473" s="185">
        <f t="shared" si="163"/>
        <v>481</v>
      </c>
      <c r="C473" s="237">
        <f t="shared" si="164"/>
        <v>481</v>
      </c>
      <c r="D473" s="237">
        <f t="shared" si="164"/>
        <v>0</v>
      </c>
      <c r="E473" s="185">
        <f t="shared" si="165"/>
        <v>0</v>
      </c>
      <c r="F473" s="185">
        <v>0</v>
      </c>
      <c r="G473" s="185">
        <v>0</v>
      </c>
      <c r="H473" s="237">
        <f t="shared" si="166"/>
        <v>481</v>
      </c>
      <c r="I473" s="185">
        <v>481</v>
      </c>
      <c r="J473" s="185">
        <v>0</v>
      </c>
      <c r="K473" s="188" t="s">
        <v>233</v>
      </c>
      <c r="L473" s="215"/>
    </row>
    <row r="474" spans="1:12" ht="15" customHeight="1" thickBot="1" x14ac:dyDescent="0.25">
      <c r="A474" s="236"/>
      <c r="B474" s="185">
        <f t="shared" si="163"/>
        <v>48</v>
      </c>
      <c r="C474" s="237">
        <f t="shared" si="164"/>
        <v>48</v>
      </c>
      <c r="D474" s="237">
        <f t="shared" si="164"/>
        <v>0</v>
      </c>
      <c r="E474" s="185">
        <f t="shared" si="165"/>
        <v>0</v>
      </c>
      <c r="F474" s="185">
        <v>0</v>
      </c>
      <c r="G474" s="185">
        <v>0</v>
      </c>
      <c r="H474" s="237">
        <f t="shared" si="166"/>
        <v>48</v>
      </c>
      <c r="I474" s="185">
        <v>48</v>
      </c>
      <c r="J474" s="185">
        <v>0</v>
      </c>
      <c r="K474" s="188" t="s">
        <v>234</v>
      </c>
      <c r="L474" s="215" t="s">
        <v>464</v>
      </c>
    </row>
    <row r="475" spans="1:12" ht="15" customHeight="1" thickBot="1" x14ac:dyDescent="0.25">
      <c r="A475" s="236"/>
      <c r="B475" s="237">
        <f t="shared" ref="B475:I475" si="185">SUM(B473:B474)</f>
        <v>529</v>
      </c>
      <c r="C475" s="237">
        <f t="shared" si="185"/>
        <v>529</v>
      </c>
      <c r="D475" s="237">
        <f t="shared" si="185"/>
        <v>0</v>
      </c>
      <c r="E475" s="237">
        <f t="shared" si="185"/>
        <v>0</v>
      </c>
      <c r="F475" s="237">
        <f t="shared" si="185"/>
        <v>0</v>
      </c>
      <c r="G475" s="237">
        <f t="shared" si="185"/>
        <v>0</v>
      </c>
      <c r="H475" s="237">
        <f t="shared" si="185"/>
        <v>529</v>
      </c>
      <c r="I475" s="237">
        <f t="shared" si="185"/>
        <v>529</v>
      </c>
      <c r="J475" s="237">
        <f>SUM(J473:J474)</f>
        <v>0</v>
      </c>
      <c r="K475" s="188" t="s">
        <v>12</v>
      </c>
      <c r="L475" s="216"/>
    </row>
    <row r="476" spans="1:12" ht="15" customHeight="1" thickBot="1" x14ac:dyDescent="0.25">
      <c r="A476" s="236"/>
      <c r="B476" s="185">
        <f t="shared" si="163"/>
        <v>329</v>
      </c>
      <c r="C476" s="237">
        <f t="shared" si="164"/>
        <v>329</v>
      </c>
      <c r="D476" s="237">
        <f t="shared" si="164"/>
        <v>0</v>
      </c>
      <c r="E476" s="185">
        <f t="shared" si="165"/>
        <v>0</v>
      </c>
      <c r="F476" s="185">
        <v>0</v>
      </c>
      <c r="G476" s="185">
        <v>0</v>
      </c>
      <c r="H476" s="237">
        <f t="shared" si="166"/>
        <v>329</v>
      </c>
      <c r="I476" s="185">
        <v>329</v>
      </c>
      <c r="J476" s="185">
        <v>0</v>
      </c>
      <c r="K476" s="188" t="s">
        <v>233</v>
      </c>
      <c r="L476" s="215"/>
    </row>
    <row r="477" spans="1:12" ht="15" customHeight="1" thickBot="1" x14ac:dyDescent="0.25">
      <c r="A477" s="236"/>
      <c r="B477" s="185">
        <f t="shared" si="163"/>
        <v>53</v>
      </c>
      <c r="C477" s="237">
        <f t="shared" si="164"/>
        <v>53</v>
      </c>
      <c r="D477" s="237">
        <f t="shared" si="164"/>
        <v>0</v>
      </c>
      <c r="E477" s="185">
        <f t="shared" si="165"/>
        <v>0</v>
      </c>
      <c r="F477" s="185">
        <v>0</v>
      </c>
      <c r="G477" s="185">
        <v>0</v>
      </c>
      <c r="H477" s="237">
        <f t="shared" si="166"/>
        <v>53</v>
      </c>
      <c r="I477" s="185">
        <v>53</v>
      </c>
      <c r="J477" s="185">
        <v>0</v>
      </c>
      <c r="K477" s="188" t="s">
        <v>234</v>
      </c>
      <c r="L477" s="215" t="s">
        <v>465</v>
      </c>
    </row>
    <row r="478" spans="1:12" ht="15" customHeight="1" thickBot="1" x14ac:dyDescent="0.25">
      <c r="A478" s="236"/>
      <c r="B478" s="237">
        <f t="shared" ref="B478:I478" si="186">SUM(B476:B477)</f>
        <v>382</v>
      </c>
      <c r="C478" s="237">
        <f t="shared" si="186"/>
        <v>382</v>
      </c>
      <c r="D478" s="237">
        <f t="shared" si="186"/>
        <v>0</v>
      </c>
      <c r="E478" s="237">
        <f t="shared" si="186"/>
        <v>0</v>
      </c>
      <c r="F478" s="237">
        <f t="shared" si="186"/>
        <v>0</v>
      </c>
      <c r="G478" s="237">
        <f t="shared" si="186"/>
        <v>0</v>
      </c>
      <c r="H478" s="237">
        <f t="shared" si="186"/>
        <v>382</v>
      </c>
      <c r="I478" s="237">
        <f t="shared" si="186"/>
        <v>382</v>
      </c>
      <c r="J478" s="237">
        <f>SUM(J476:J477)</f>
        <v>0</v>
      </c>
      <c r="K478" s="188" t="s">
        <v>12</v>
      </c>
      <c r="L478" s="216"/>
    </row>
    <row r="479" spans="1:12" ht="15" customHeight="1" thickBot="1" x14ac:dyDescent="0.25">
      <c r="A479" s="236"/>
      <c r="B479" s="185">
        <f t="shared" si="163"/>
        <v>67</v>
      </c>
      <c r="C479" s="237">
        <f t="shared" si="164"/>
        <v>0</v>
      </c>
      <c r="D479" s="237">
        <f t="shared" si="164"/>
        <v>67</v>
      </c>
      <c r="E479" s="185">
        <f t="shared" si="165"/>
        <v>0</v>
      </c>
      <c r="F479" s="185">
        <v>0</v>
      </c>
      <c r="G479" s="185">
        <v>0</v>
      </c>
      <c r="H479" s="237">
        <f t="shared" si="166"/>
        <v>67</v>
      </c>
      <c r="I479" s="185">
        <v>0</v>
      </c>
      <c r="J479" s="185">
        <v>67</v>
      </c>
      <c r="K479" s="188" t="s">
        <v>233</v>
      </c>
      <c r="L479" s="215"/>
    </row>
    <row r="480" spans="1:12" ht="15" customHeight="1" thickBot="1" x14ac:dyDescent="0.25">
      <c r="A480" s="236"/>
      <c r="B480" s="185">
        <f t="shared" si="163"/>
        <v>0</v>
      </c>
      <c r="C480" s="237">
        <f t="shared" si="164"/>
        <v>0</v>
      </c>
      <c r="D480" s="237">
        <f t="shared" si="164"/>
        <v>0</v>
      </c>
      <c r="E480" s="185">
        <f t="shared" si="165"/>
        <v>0</v>
      </c>
      <c r="F480" s="185">
        <v>0</v>
      </c>
      <c r="G480" s="185">
        <v>0</v>
      </c>
      <c r="H480" s="237">
        <f t="shared" si="166"/>
        <v>0</v>
      </c>
      <c r="I480" s="185">
        <v>0</v>
      </c>
      <c r="J480" s="185">
        <v>0</v>
      </c>
      <c r="K480" s="188" t="s">
        <v>234</v>
      </c>
      <c r="L480" s="215" t="s">
        <v>466</v>
      </c>
    </row>
    <row r="481" spans="1:12" ht="15" customHeight="1" thickBot="1" x14ac:dyDescent="0.25">
      <c r="A481" s="236"/>
      <c r="B481" s="237">
        <f t="shared" ref="B481:I481" si="187">SUM(B479:B480)</f>
        <v>67</v>
      </c>
      <c r="C481" s="237">
        <f t="shared" si="187"/>
        <v>0</v>
      </c>
      <c r="D481" s="237">
        <f t="shared" si="187"/>
        <v>67</v>
      </c>
      <c r="E481" s="237">
        <f t="shared" si="187"/>
        <v>0</v>
      </c>
      <c r="F481" s="237">
        <f t="shared" si="187"/>
        <v>0</v>
      </c>
      <c r="G481" s="237">
        <f t="shared" si="187"/>
        <v>0</v>
      </c>
      <c r="H481" s="237">
        <f t="shared" si="187"/>
        <v>67</v>
      </c>
      <c r="I481" s="237">
        <f t="shared" si="187"/>
        <v>0</v>
      </c>
      <c r="J481" s="237">
        <f>SUM(J479:J480)</f>
        <v>67</v>
      </c>
      <c r="K481" s="188" t="s">
        <v>12</v>
      </c>
      <c r="L481" s="216"/>
    </row>
    <row r="482" spans="1:12" ht="15" customHeight="1" thickBot="1" x14ac:dyDescent="0.25">
      <c r="A482" s="236"/>
      <c r="B482" s="185">
        <f t="shared" si="163"/>
        <v>53</v>
      </c>
      <c r="C482" s="237">
        <f t="shared" si="164"/>
        <v>53</v>
      </c>
      <c r="D482" s="237">
        <f t="shared" si="164"/>
        <v>0</v>
      </c>
      <c r="E482" s="185">
        <f t="shared" si="165"/>
        <v>0</v>
      </c>
      <c r="F482" s="185">
        <v>0</v>
      </c>
      <c r="G482" s="185">
        <v>0</v>
      </c>
      <c r="H482" s="237">
        <f t="shared" si="166"/>
        <v>53</v>
      </c>
      <c r="I482" s="185">
        <v>53</v>
      </c>
      <c r="J482" s="185">
        <v>0</v>
      </c>
      <c r="K482" s="188" t="s">
        <v>233</v>
      </c>
      <c r="L482" s="215"/>
    </row>
    <row r="483" spans="1:12" ht="15" customHeight="1" thickBot="1" x14ac:dyDescent="0.25">
      <c r="A483" s="236"/>
      <c r="B483" s="185">
        <f t="shared" si="163"/>
        <v>0</v>
      </c>
      <c r="C483" s="237">
        <f t="shared" si="164"/>
        <v>0</v>
      </c>
      <c r="D483" s="237">
        <f t="shared" si="164"/>
        <v>0</v>
      </c>
      <c r="E483" s="185">
        <f t="shared" si="165"/>
        <v>0</v>
      </c>
      <c r="F483" s="185">
        <v>0</v>
      </c>
      <c r="G483" s="185">
        <v>0</v>
      </c>
      <c r="H483" s="237">
        <f t="shared" si="166"/>
        <v>0</v>
      </c>
      <c r="I483" s="185">
        <v>0</v>
      </c>
      <c r="J483" s="185">
        <v>0</v>
      </c>
      <c r="K483" s="188" t="s">
        <v>234</v>
      </c>
      <c r="L483" s="215" t="s">
        <v>467</v>
      </c>
    </row>
    <row r="484" spans="1:12" ht="15" customHeight="1" thickBot="1" x14ac:dyDescent="0.25">
      <c r="A484" s="236"/>
      <c r="B484" s="237">
        <f t="shared" ref="B484:I484" si="188">SUM(B482:B483)</f>
        <v>53</v>
      </c>
      <c r="C484" s="237">
        <f t="shared" si="188"/>
        <v>53</v>
      </c>
      <c r="D484" s="237">
        <f t="shared" si="188"/>
        <v>0</v>
      </c>
      <c r="E484" s="237">
        <f t="shared" si="188"/>
        <v>0</v>
      </c>
      <c r="F484" s="237">
        <f t="shared" si="188"/>
        <v>0</v>
      </c>
      <c r="G484" s="237">
        <f t="shared" si="188"/>
        <v>0</v>
      </c>
      <c r="H484" s="237">
        <f t="shared" si="188"/>
        <v>53</v>
      </c>
      <c r="I484" s="237">
        <f t="shared" si="188"/>
        <v>53</v>
      </c>
      <c r="J484" s="237">
        <f>SUM(J482:J483)</f>
        <v>0</v>
      </c>
      <c r="K484" s="188" t="s">
        <v>12</v>
      </c>
      <c r="L484" s="216"/>
    </row>
    <row r="485" spans="1:12" ht="15" customHeight="1" thickBot="1" x14ac:dyDescent="0.25">
      <c r="A485" s="236"/>
      <c r="B485" s="185">
        <f t="shared" ref="B485:B486" si="189">SUM(C485:D485)</f>
        <v>100</v>
      </c>
      <c r="C485" s="237">
        <f t="shared" ref="C485:D486" si="190">I485+F485</f>
        <v>0</v>
      </c>
      <c r="D485" s="237">
        <f t="shared" si="190"/>
        <v>100</v>
      </c>
      <c r="E485" s="185">
        <f t="shared" ref="E485:E486" si="191">SUM(F485:G485)</f>
        <v>6</v>
      </c>
      <c r="F485" s="185">
        <v>0</v>
      </c>
      <c r="G485" s="185">
        <v>6</v>
      </c>
      <c r="H485" s="237">
        <f t="shared" ref="H485:H486" si="192">SUM(I485:J485)</f>
        <v>94</v>
      </c>
      <c r="I485" s="185">
        <v>0</v>
      </c>
      <c r="J485" s="185">
        <v>94</v>
      </c>
      <c r="K485" s="188" t="s">
        <v>233</v>
      </c>
      <c r="L485" s="215"/>
    </row>
    <row r="486" spans="1:12" ht="15" customHeight="1" thickBot="1" x14ac:dyDescent="0.25">
      <c r="A486" s="236"/>
      <c r="B486" s="185">
        <f t="shared" si="189"/>
        <v>0</v>
      </c>
      <c r="C486" s="237">
        <f t="shared" si="190"/>
        <v>0</v>
      </c>
      <c r="D486" s="237">
        <f t="shared" si="190"/>
        <v>0</v>
      </c>
      <c r="E486" s="185">
        <f t="shared" si="191"/>
        <v>0</v>
      </c>
      <c r="F486" s="185">
        <v>0</v>
      </c>
      <c r="G486" s="185">
        <v>0</v>
      </c>
      <c r="H486" s="237">
        <f t="shared" si="192"/>
        <v>0</v>
      </c>
      <c r="I486" s="185">
        <v>0</v>
      </c>
      <c r="J486" s="185">
        <v>0</v>
      </c>
      <c r="K486" s="188" t="s">
        <v>234</v>
      </c>
      <c r="L486" s="215" t="s">
        <v>468</v>
      </c>
    </row>
    <row r="487" spans="1:12" ht="15" customHeight="1" thickBot="1" x14ac:dyDescent="0.25">
      <c r="A487" s="236"/>
      <c r="B487" s="237">
        <f t="shared" ref="B487:I487" si="193">SUM(B485:B486)</f>
        <v>100</v>
      </c>
      <c r="C487" s="237">
        <f t="shared" si="193"/>
        <v>0</v>
      </c>
      <c r="D487" s="237">
        <f t="shared" si="193"/>
        <v>100</v>
      </c>
      <c r="E487" s="237">
        <f t="shared" si="193"/>
        <v>6</v>
      </c>
      <c r="F487" s="237">
        <f t="shared" si="193"/>
        <v>0</v>
      </c>
      <c r="G487" s="237">
        <f t="shared" si="193"/>
        <v>6</v>
      </c>
      <c r="H487" s="237">
        <f t="shared" si="193"/>
        <v>94</v>
      </c>
      <c r="I487" s="237">
        <f t="shared" si="193"/>
        <v>0</v>
      </c>
      <c r="J487" s="237">
        <f>SUM(J485:J486)</f>
        <v>94</v>
      </c>
      <c r="K487" s="188" t="s">
        <v>12</v>
      </c>
      <c r="L487" s="216"/>
    </row>
    <row r="488" spans="1:12" ht="15" customHeight="1" thickBot="1" x14ac:dyDescent="0.25">
      <c r="A488" s="236"/>
      <c r="B488" s="47">
        <f t="shared" ref="B488:J490" si="194">B419+B422+B425+B428+B431+B434+B437+B440+B443+B446+B449+B452+B455+B458+B461+B464+B467+B470+B473+B476+B479+B482+B485</f>
        <v>8026</v>
      </c>
      <c r="C488" s="47">
        <f t="shared" si="194"/>
        <v>5773</v>
      </c>
      <c r="D488" s="47">
        <f t="shared" si="194"/>
        <v>2253</v>
      </c>
      <c r="E488" s="47">
        <f t="shared" si="194"/>
        <v>29</v>
      </c>
      <c r="F488" s="47">
        <f t="shared" si="194"/>
        <v>4</v>
      </c>
      <c r="G488" s="47">
        <f t="shared" si="194"/>
        <v>25</v>
      </c>
      <c r="H488" s="47">
        <f t="shared" si="194"/>
        <v>7997</v>
      </c>
      <c r="I488" s="47">
        <f t="shared" si="194"/>
        <v>5769</v>
      </c>
      <c r="J488" s="47">
        <f>J419+J422+J425+J428+J431+J434+J437+J440+J443+J446+J449+J452+J455+J458+J461+J464+J467+J470+J473+J476+J479+J482+J485</f>
        <v>2228</v>
      </c>
      <c r="K488" s="188" t="s">
        <v>236</v>
      </c>
      <c r="L488" s="217"/>
    </row>
    <row r="489" spans="1:12" ht="15" customHeight="1" thickBot="1" x14ac:dyDescent="0.25">
      <c r="A489" s="236"/>
      <c r="B489" s="47">
        <f t="shared" si="194"/>
        <v>1206</v>
      </c>
      <c r="C489" s="47">
        <f t="shared" si="194"/>
        <v>1206</v>
      </c>
      <c r="D489" s="47">
        <f t="shared" si="194"/>
        <v>0</v>
      </c>
      <c r="E489" s="47">
        <f t="shared" si="194"/>
        <v>0</v>
      </c>
      <c r="F489" s="47">
        <f t="shared" si="194"/>
        <v>0</v>
      </c>
      <c r="G489" s="47">
        <f t="shared" si="194"/>
        <v>0</v>
      </c>
      <c r="H489" s="47">
        <f t="shared" si="194"/>
        <v>1206</v>
      </c>
      <c r="I489" s="47">
        <f t="shared" si="194"/>
        <v>1206</v>
      </c>
      <c r="J489" s="47">
        <f t="shared" si="194"/>
        <v>0</v>
      </c>
      <c r="K489" s="188" t="s">
        <v>237</v>
      </c>
      <c r="L489" s="218" t="s">
        <v>188</v>
      </c>
    </row>
    <row r="490" spans="1:12" ht="15" customHeight="1" thickBot="1" x14ac:dyDescent="0.25">
      <c r="A490" s="236"/>
      <c r="B490" s="47">
        <f t="shared" si="194"/>
        <v>9232</v>
      </c>
      <c r="C490" s="47">
        <f t="shared" si="194"/>
        <v>6979</v>
      </c>
      <c r="D490" s="47">
        <f t="shared" si="194"/>
        <v>2253</v>
      </c>
      <c r="E490" s="47">
        <f t="shared" si="194"/>
        <v>29</v>
      </c>
      <c r="F490" s="47">
        <f t="shared" si="194"/>
        <v>4</v>
      </c>
      <c r="G490" s="47">
        <f t="shared" si="194"/>
        <v>25</v>
      </c>
      <c r="H490" s="47">
        <f t="shared" si="194"/>
        <v>9203</v>
      </c>
      <c r="I490" s="47">
        <f t="shared" si="194"/>
        <v>6975</v>
      </c>
      <c r="J490" s="47">
        <f t="shared" si="194"/>
        <v>2228</v>
      </c>
      <c r="K490" s="188" t="s">
        <v>12</v>
      </c>
      <c r="L490" s="219"/>
    </row>
    <row r="491" spans="1:12" ht="15" customHeight="1" thickBot="1" x14ac:dyDescent="0.25">
      <c r="B491" s="476" t="s">
        <v>4</v>
      </c>
      <c r="C491" s="476"/>
      <c r="D491" s="476"/>
      <c r="E491" s="476" t="s">
        <v>145</v>
      </c>
      <c r="F491" s="476"/>
      <c r="G491" s="476"/>
      <c r="H491" s="476" t="s">
        <v>146</v>
      </c>
      <c r="I491" s="476"/>
      <c r="J491" s="476"/>
      <c r="K491" s="479" t="s">
        <v>66</v>
      </c>
      <c r="L491" s="479"/>
    </row>
    <row r="492" spans="1:12" ht="15" customHeight="1" thickBot="1" x14ac:dyDescent="0.25">
      <c r="B492" s="185" t="s">
        <v>227</v>
      </c>
      <c r="C492" s="185" t="s">
        <v>10</v>
      </c>
      <c r="D492" s="185" t="s">
        <v>9</v>
      </c>
      <c r="E492" s="185" t="s">
        <v>227</v>
      </c>
      <c r="F492" s="185" t="s">
        <v>10</v>
      </c>
      <c r="G492" s="185" t="s">
        <v>9</v>
      </c>
      <c r="H492" s="185" t="s">
        <v>227</v>
      </c>
      <c r="I492" s="185" t="s">
        <v>10</v>
      </c>
      <c r="J492" s="185" t="s">
        <v>9</v>
      </c>
      <c r="K492" s="480" t="s">
        <v>100</v>
      </c>
      <c r="L492" s="480"/>
    </row>
    <row r="493" spans="1:12" ht="15" customHeight="1" thickBot="1" x14ac:dyDescent="0.25">
      <c r="B493" s="47">
        <f>SUM(C493:D493)</f>
        <v>257</v>
      </c>
      <c r="C493" s="47">
        <f>I493+F493</f>
        <v>0</v>
      </c>
      <c r="D493" s="47">
        <f>J493+G493</f>
        <v>257</v>
      </c>
      <c r="E493" s="47">
        <f>SUM(F493:G493)</f>
        <v>0</v>
      </c>
      <c r="F493" s="47">
        <v>0</v>
      </c>
      <c r="G493" s="47">
        <v>0</v>
      </c>
      <c r="H493" s="47">
        <f>SUM(I493:J493)</f>
        <v>257</v>
      </c>
      <c r="I493" s="47">
        <v>0</v>
      </c>
      <c r="J493" s="47">
        <v>257</v>
      </c>
      <c r="K493" s="188" t="s">
        <v>233</v>
      </c>
      <c r="L493" s="215"/>
    </row>
    <row r="494" spans="1:12" ht="15" customHeight="1" thickBot="1" x14ac:dyDescent="0.25">
      <c r="B494" s="47">
        <f t="shared" ref="B494:B557" si="195">SUM(C494:D494)</f>
        <v>0</v>
      </c>
      <c r="C494" s="47">
        <f t="shared" ref="C494:D557" si="196">I494+F494</f>
        <v>0</v>
      </c>
      <c r="D494" s="47">
        <f t="shared" si="196"/>
        <v>0</v>
      </c>
      <c r="E494" s="47">
        <f t="shared" ref="E494:E557" si="197">SUM(F494:G494)</f>
        <v>0</v>
      </c>
      <c r="F494" s="47">
        <v>0</v>
      </c>
      <c r="G494" s="47">
        <v>0</v>
      </c>
      <c r="H494" s="47">
        <f t="shared" ref="H494:H557" si="198">SUM(I494:J494)</f>
        <v>0</v>
      </c>
      <c r="I494" s="47">
        <v>0</v>
      </c>
      <c r="J494" s="47">
        <v>0</v>
      </c>
      <c r="K494" s="188" t="s">
        <v>234</v>
      </c>
      <c r="L494" s="215" t="s">
        <v>469</v>
      </c>
    </row>
    <row r="495" spans="1:12" ht="15" customHeight="1" thickBot="1" x14ac:dyDescent="0.25">
      <c r="B495" s="47">
        <f t="shared" ref="B495:I495" si="199">SUM(B493:B494)</f>
        <v>257</v>
      </c>
      <c r="C495" s="47">
        <f t="shared" si="199"/>
        <v>0</v>
      </c>
      <c r="D495" s="47">
        <f t="shared" si="199"/>
        <v>257</v>
      </c>
      <c r="E495" s="47">
        <f t="shared" si="199"/>
        <v>0</v>
      </c>
      <c r="F495" s="47">
        <f t="shared" si="199"/>
        <v>0</v>
      </c>
      <c r="G495" s="47">
        <f t="shared" si="199"/>
        <v>0</v>
      </c>
      <c r="H495" s="47">
        <f t="shared" si="199"/>
        <v>257</v>
      </c>
      <c r="I495" s="47">
        <f t="shared" si="199"/>
        <v>0</v>
      </c>
      <c r="J495" s="47">
        <f>SUM(J493:J494)</f>
        <v>257</v>
      </c>
      <c r="K495" s="188" t="s">
        <v>12</v>
      </c>
      <c r="L495" s="216"/>
    </row>
    <row r="496" spans="1:12" ht="15" customHeight="1" thickBot="1" x14ac:dyDescent="0.25">
      <c r="B496" s="47">
        <f t="shared" si="195"/>
        <v>529</v>
      </c>
      <c r="C496" s="47">
        <f t="shared" si="196"/>
        <v>0</v>
      </c>
      <c r="D496" s="47">
        <f t="shared" si="196"/>
        <v>529</v>
      </c>
      <c r="E496" s="47">
        <f t="shared" si="197"/>
        <v>8</v>
      </c>
      <c r="F496" s="47">
        <v>0</v>
      </c>
      <c r="G496" s="47">
        <v>8</v>
      </c>
      <c r="H496" s="47">
        <f t="shared" si="198"/>
        <v>521</v>
      </c>
      <c r="I496" s="47">
        <v>0</v>
      </c>
      <c r="J496" s="47">
        <v>521</v>
      </c>
      <c r="K496" s="188" t="s">
        <v>233</v>
      </c>
      <c r="L496" s="215"/>
    </row>
    <row r="497" spans="2:12" ht="15" customHeight="1" thickBot="1" x14ac:dyDescent="0.25">
      <c r="B497" s="47">
        <f t="shared" si="195"/>
        <v>0</v>
      </c>
      <c r="C497" s="47">
        <f t="shared" si="196"/>
        <v>0</v>
      </c>
      <c r="D497" s="47">
        <f t="shared" si="196"/>
        <v>0</v>
      </c>
      <c r="E497" s="47">
        <f t="shared" si="197"/>
        <v>0</v>
      </c>
      <c r="F497" s="47">
        <v>0</v>
      </c>
      <c r="G497" s="47">
        <v>0</v>
      </c>
      <c r="H497" s="47">
        <f t="shared" si="198"/>
        <v>0</v>
      </c>
      <c r="I497" s="47">
        <v>0</v>
      </c>
      <c r="J497" s="47">
        <v>0</v>
      </c>
      <c r="K497" s="188" t="s">
        <v>234</v>
      </c>
      <c r="L497" s="215" t="s">
        <v>453</v>
      </c>
    </row>
    <row r="498" spans="2:12" ht="15" customHeight="1" thickBot="1" x14ac:dyDescent="0.25">
      <c r="B498" s="47">
        <f t="shared" ref="B498:I498" si="200">SUM(B496:B497)</f>
        <v>529</v>
      </c>
      <c r="C498" s="47">
        <f t="shared" si="200"/>
        <v>0</v>
      </c>
      <c r="D498" s="47">
        <f t="shared" si="200"/>
        <v>529</v>
      </c>
      <c r="E498" s="47">
        <f t="shared" si="200"/>
        <v>8</v>
      </c>
      <c r="F498" s="47">
        <f t="shared" si="200"/>
        <v>0</v>
      </c>
      <c r="G498" s="47">
        <f t="shared" si="200"/>
        <v>8</v>
      </c>
      <c r="H498" s="47">
        <f t="shared" si="200"/>
        <v>521</v>
      </c>
      <c r="I498" s="47">
        <f t="shared" si="200"/>
        <v>0</v>
      </c>
      <c r="J498" s="47">
        <f>SUM(J496:J497)</f>
        <v>521</v>
      </c>
      <c r="K498" s="188" t="s">
        <v>12</v>
      </c>
      <c r="L498" s="216"/>
    </row>
    <row r="499" spans="2:12" ht="15" customHeight="1" thickBot="1" x14ac:dyDescent="0.25">
      <c r="B499" s="47">
        <f t="shared" si="195"/>
        <v>314</v>
      </c>
      <c r="C499" s="47">
        <f t="shared" si="196"/>
        <v>0</v>
      </c>
      <c r="D499" s="47">
        <f t="shared" si="196"/>
        <v>314</v>
      </c>
      <c r="E499" s="47">
        <f t="shared" si="197"/>
        <v>1</v>
      </c>
      <c r="F499" s="47">
        <v>0</v>
      </c>
      <c r="G499" s="47">
        <v>1</v>
      </c>
      <c r="H499" s="47">
        <f t="shared" si="198"/>
        <v>313</v>
      </c>
      <c r="I499" s="47">
        <v>0</v>
      </c>
      <c r="J499" s="47">
        <v>313</v>
      </c>
      <c r="K499" s="188" t="s">
        <v>233</v>
      </c>
      <c r="L499" s="215"/>
    </row>
    <row r="500" spans="2:12" ht="15" customHeight="1" thickBot="1" x14ac:dyDescent="0.25">
      <c r="B500" s="47">
        <f t="shared" si="195"/>
        <v>0</v>
      </c>
      <c r="C500" s="47">
        <f t="shared" si="196"/>
        <v>0</v>
      </c>
      <c r="D500" s="47">
        <f t="shared" si="196"/>
        <v>0</v>
      </c>
      <c r="E500" s="47">
        <f t="shared" si="197"/>
        <v>0</v>
      </c>
      <c r="F500" s="47">
        <v>0</v>
      </c>
      <c r="G500" s="47">
        <v>0</v>
      </c>
      <c r="H500" s="47">
        <f t="shared" si="198"/>
        <v>0</v>
      </c>
      <c r="I500" s="47">
        <v>0</v>
      </c>
      <c r="J500" s="47">
        <v>0</v>
      </c>
      <c r="K500" s="188" t="s">
        <v>234</v>
      </c>
      <c r="L500" s="215" t="s">
        <v>470</v>
      </c>
    </row>
    <row r="501" spans="2:12" ht="15" customHeight="1" thickBot="1" x14ac:dyDescent="0.25">
      <c r="B501" s="47">
        <f t="shared" ref="B501:I501" si="201">SUM(B499:B500)</f>
        <v>314</v>
      </c>
      <c r="C501" s="47">
        <f t="shared" si="201"/>
        <v>0</v>
      </c>
      <c r="D501" s="47">
        <f t="shared" si="201"/>
        <v>314</v>
      </c>
      <c r="E501" s="47">
        <f t="shared" si="201"/>
        <v>1</v>
      </c>
      <c r="F501" s="47">
        <f t="shared" si="201"/>
        <v>0</v>
      </c>
      <c r="G501" s="47">
        <f t="shared" si="201"/>
        <v>1</v>
      </c>
      <c r="H501" s="47">
        <f t="shared" si="201"/>
        <v>313</v>
      </c>
      <c r="I501" s="47">
        <f t="shared" si="201"/>
        <v>0</v>
      </c>
      <c r="J501" s="47">
        <f>SUM(J499:J500)</f>
        <v>313</v>
      </c>
      <c r="K501" s="188" t="s">
        <v>12</v>
      </c>
      <c r="L501" s="216"/>
    </row>
    <row r="502" spans="2:12" ht="15" customHeight="1" thickBot="1" x14ac:dyDescent="0.25">
      <c r="B502" s="47">
        <f t="shared" si="195"/>
        <v>1113</v>
      </c>
      <c r="C502" s="47">
        <f t="shared" si="196"/>
        <v>583</v>
      </c>
      <c r="D502" s="47">
        <f t="shared" si="196"/>
        <v>530</v>
      </c>
      <c r="E502" s="47">
        <f t="shared" si="197"/>
        <v>15</v>
      </c>
      <c r="F502" s="47">
        <v>7</v>
      </c>
      <c r="G502" s="47">
        <v>8</v>
      </c>
      <c r="H502" s="47">
        <f t="shared" si="198"/>
        <v>1098</v>
      </c>
      <c r="I502" s="47">
        <v>576</v>
      </c>
      <c r="J502" s="47">
        <v>522</v>
      </c>
      <c r="K502" s="188" t="s">
        <v>233</v>
      </c>
      <c r="L502" s="215"/>
    </row>
    <row r="503" spans="2:12" ht="15" customHeight="1" thickBot="1" x14ac:dyDescent="0.25">
      <c r="B503" s="47">
        <f t="shared" si="195"/>
        <v>0</v>
      </c>
      <c r="C503" s="47">
        <f t="shared" si="196"/>
        <v>0</v>
      </c>
      <c r="D503" s="47">
        <f t="shared" si="196"/>
        <v>0</v>
      </c>
      <c r="E503" s="47">
        <f t="shared" si="197"/>
        <v>0</v>
      </c>
      <c r="F503" s="47">
        <v>0</v>
      </c>
      <c r="G503" s="47">
        <v>0</v>
      </c>
      <c r="H503" s="47">
        <f t="shared" si="198"/>
        <v>0</v>
      </c>
      <c r="I503" s="47">
        <v>0</v>
      </c>
      <c r="J503" s="47">
        <v>0</v>
      </c>
      <c r="K503" s="188" t="s">
        <v>234</v>
      </c>
      <c r="L503" s="215" t="s">
        <v>471</v>
      </c>
    </row>
    <row r="504" spans="2:12" ht="15" customHeight="1" thickBot="1" x14ac:dyDescent="0.25">
      <c r="B504" s="47">
        <f t="shared" ref="B504:I504" si="202">SUM(B502:B503)</f>
        <v>1113</v>
      </c>
      <c r="C504" s="47">
        <f t="shared" si="202"/>
        <v>583</v>
      </c>
      <c r="D504" s="47">
        <f t="shared" si="202"/>
        <v>530</v>
      </c>
      <c r="E504" s="47">
        <f t="shared" si="202"/>
        <v>15</v>
      </c>
      <c r="F504" s="47">
        <f t="shared" si="202"/>
        <v>7</v>
      </c>
      <c r="G504" s="47">
        <f t="shared" si="202"/>
        <v>8</v>
      </c>
      <c r="H504" s="47">
        <f t="shared" si="202"/>
        <v>1098</v>
      </c>
      <c r="I504" s="47">
        <f t="shared" si="202"/>
        <v>576</v>
      </c>
      <c r="J504" s="47">
        <f>SUM(J502:J503)</f>
        <v>522</v>
      </c>
      <c r="K504" s="188" t="s">
        <v>12</v>
      </c>
      <c r="L504" s="216"/>
    </row>
    <row r="505" spans="2:12" ht="15" customHeight="1" thickBot="1" x14ac:dyDescent="0.25">
      <c r="B505" s="47">
        <f t="shared" si="195"/>
        <v>316</v>
      </c>
      <c r="C505" s="47">
        <f t="shared" si="196"/>
        <v>0</v>
      </c>
      <c r="D505" s="47">
        <f t="shared" si="196"/>
        <v>316</v>
      </c>
      <c r="E505" s="47">
        <f t="shared" si="197"/>
        <v>3</v>
      </c>
      <c r="F505" s="47">
        <v>0</v>
      </c>
      <c r="G505" s="47">
        <v>3</v>
      </c>
      <c r="H505" s="47">
        <f t="shared" si="198"/>
        <v>313</v>
      </c>
      <c r="I505" s="47">
        <v>0</v>
      </c>
      <c r="J505" s="47">
        <v>313</v>
      </c>
      <c r="K505" s="188" t="s">
        <v>233</v>
      </c>
      <c r="L505" s="215"/>
    </row>
    <row r="506" spans="2:12" ht="15" customHeight="1" thickBot="1" x14ac:dyDescent="0.25">
      <c r="B506" s="47">
        <f t="shared" si="195"/>
        <v>0</v>
      </c>
      <c r="C506" s="47">
        <f t="shared" si="196"/>
        <v>0</v>
      </c>
      <c r="D506" s="47">
        <f t="shared" si="196"/>
        <v>0</v>
      </c>
      <c r="E506" s="47">
        <f t="shared" si="197"/>
        <v>0</v>
      </c>
      <c r="F506" s="47">
        <v>0</v>
      </c>
      <c r="G506" s="47">
        <v>0</v>
      </c>
      <c r="H506" s="47">
        <f t="shared" si="198"/>
        <v>0</v>
      </c>
      <c r="I506" s="47">
        <v>0</v>
      </c>
      <c r="J506" s="47">
        <v>0</v>
      </c>
      <c r="K506" s="188" t="s">
        <v>234</v>
      </c>
      <c r="L506" s="215" t="s">
        <v>472</v>
      </c>
    </row>
    <row r="507" spans="2:12" ht="15" customHeight="1" thickBot="1" x14ac:dyDescent="0.25">
      <c r="B507" s="47">
        <f t="shared" ref="B507:I507" si="203">SUM(B505:B506)</f>
        <v>316</v>
      </c>
      <c r="C507" s="47">
        <f t="shared" si="203"/>
        <v>0</v>
      </c>
      <c r="D507" s="47">
        <f t="shared" si="203"/>
        <v>316</v>
      </c>
      <c r="E507" s="47">
        <f t="shared" si="203"/>
        <v>3</v>
      </c>
      <c r="F507" s="47">
        <f t="shared" si="203"/>
        <v>0</v>
      </c>
      <c r="G507" s="47">
        <f t="shared" si="203"/>
        <v>3</v>
      </c>
      <c r="H507" s="47">
        <f t="shared" si="203"/>
        <v>313</v>
      </c>
      <c r="I507" s="47">
        <f t="shared" si="203"/>
        <v>0</v>
      </c>
      <c r="J507" s="47">
        <f>SUM(J505:J506)</f>
        <v>313</v>
      </c>
      <c r="K507" s="188" t="s">
        <v>12</v>
      </c>
      <c r="L507" s="216"/>
    </row>
    <row r="508" spans="2:12" ht="15" customHeight="1" thickBot="1" x14ac:dyDescent="0.25">
      <c r="B508" s="47">
        <f t="shared" si="195"/>
        <v>128</v>
      </c>
      <c r="C508" s="47">
        <f t="shared" si="196"/>
        <v>78</v>
      </c>
      <c r="D508" s="47">
        <f t="shared" si="196"/>
        <v>50</v>
      </c>
      <c r="E508" s="47">
        <f t="shared" si="197"/>
        <v>2</v>
      </c>
      <c r="F508" s="47">
        <v>0</v>
      </c>
      <c r="G508" s="47">
        <v>2</v>
      </c>
      <c r="H508" s="47">
        <f t="shared" si="198"/>
        <v>126</v>
      </c>
      <c r="I508" s="47">
        <v>78</v>
      </c>
      <c r="J508" s="47">
        <v>48</v>
      </c>
      <c r="K508" s="188" t="s">
        <v>233</v>
      </c>
      <c r="L508" s="215"/>
    </row>
    <row r="509" spans="2:12" ht="15" customHeight="1" thickBot="1" x14ac:dyDescent="0.25">
      <c r="B509" s="47">
        <f t="shared" si="195"/>
        <v>0</v>
      </c>
      <c r="C509" s="47">
        <f t="shared" si="196"/>
        <v>0</v>
      </c>
      <c r="D509" s="47">
        <f t="shared" si="196"/>
        <v>0</v>
      </c>
      <c r="E509" s="47">
        <f t="shared" si="197"/>
        <v>0</v>
      </c>
      <c r="F509" s="47">
        <v>0</v>
      </c>
      <c r="G509" s="47">
        <v>0</v>
      </c>
      <c r="H509" s="47">
        <f t="shared" si="198"/>
        <v>0</v>
      </c>
      <c r="I509" s="47">
        <v>0</v>
      </c>
      <c r="J509" s="47">
        <v>0</v>
      </c>
      <c r="K509" s="188" t="s">
        <v>234</v>
      </c>
      <c r="L509" s="215" t="s">
        <v>417</v>
      </c>
    </row>
    <row r="510" spans="2:12" ht="15" customHeight="1" thickBot="1" x14ac:dyDescent="0.25">
      <c r="B510" s="47">
        <f t="shared" ref="B510:I510" si="204">SUM(B508:B509)</f>
        <v>128</v>
      </c>
      <c r="C510" s="47">
        <f t="shared" si="204"/>
        <v>78</v>
      </c>
      <c r="D510" s="47">
        <f t="shared" si="204"/>
        <v>50</v>
      </c>
      <c r="E510" s="47">
        <f t="shared" si="204"/>
        <v>2</v>
      </c>
      <c r="F510" s="47">
        <f t="shared" si="204"/>
        <v>0</v>
      </c>
      <c r="G510" s="47">
        <f t="shared" si="204"/>
        <v>2</v>
      </c>
      <c r="H510" s="47">
        <f t="shared" si="204"/>
        <v>126</v>
      </c>
      <c r="I510" s="47">
        <f t="shared" si="204"/>
        <v>78</v>
      </c>
      <c r="J510" s="47">
        <f>SUM(J508:J509)</f>
        <v>48</v>
      </c>
      <c r="K510" s="188" t="s">
        <v>12</v>
      </c>
      <c r="L510" s="216"/>
    </row>
    <row r="511" spans="2:12" ht="15" customHeight="1" thickBot="1" x14ac:dyDescent="0.25">
      <c r="B511" s="47">
        <f t="shared" si="195"/>
        <v>131</v>
      </c>
      <c r="C511" s="47">
        <f t="shared" si="196"/>
        <v>0</v>
      </c>
      <c r="D511" s="47">
        <f t="shared" si="196"/>
        <v>131</v>
      </c>
      <c r="E511" s="47">
        <f t="shared" si="197"/>
        <v>1</v>
      </c>
      <c r="F511" s="47">
        <v>0</v>
      </c>
      <c r="G511" s="47">
        <v>1</v>
      </c>
      <c r="H511" s="47">
        <f t="shared" si="198"/>
        <v>130</v>
      </c>
      <c r="I511" s="47">
        <v>0</v>
      </c>
      <c r="J511" s="47">
        <v>130</v>
      </c>
      <c r="K511" s="188" t="s">
        <v>233</v>
      </c>
      <c r="L511" s="215"/>
    </row>
    <row r="512" spans="2:12" ht="15" customHeight="1" thickBot="1" x14ac:dyDescent="0.25">
      <c r="B512" s="47">
        <f t="shared" si="195"/>
        <v>0</v>
      </c>
      <c r="C512" s="47">
        <f t="shared" si="196"/>
        <v>0</v>
      </c>
      <c r="D512" s="47">
        <f t="shared" si="196"/>
        <v>0</v>
      </c>
      <c r="E512" s="47">
        <f t="shared" si="197"/>
        <v>0</v>
      </c>
      <c r="F512" s="47">
        <v>0</v>
      </c>
      <c r="G512" s="47">
        <v>0</v>
      </c>
      <c r="H512" s="47">
        <f t="shared" si="198"/>
        <v>0</v>
      </c>
      <c r="I512" s="47">
        <v>0</v>
      </c>
      <c r="J512" s="47">
        <v>0</v>
      </c>
      <c r="K512" s="188" t="s">
        <v>234</v>
      </c>
      <c r="L512" s="215" t="s">
        <v>454</v>
      </c>
    </row>
    <row r="513" spans="2:12" ht="15" customHeight="1" thickBot="1" x14ac:dyDescent="0.25">
      <c r="B513" s="47">
        <f t="shared" ref="B513:I513" si="205">SUM(B511:B512)</f>
        <v>131</v>
      </c>
      <c r="C513" s="47">
        <f t="shared" si="205"/>
        <v>0</v>
      </c>
      <c r="D513" s="47">
        <f t="shared" si="205"/>
        <v>131</v>
      </c>
      <c r="E513" s="47">
        <f t="shared" si="205"/>
        <v>1</v>
      </c>
      <c r="F513" s="47">
        <f t="shared" si="205"/>
        <v>0</v>
      </c>
      <c r="G513" s="47">
        <f t="shared" si="205"/>
        <v>1</v>
      </c>
      <c r="H513" s="47">
        <f t="shared" si="205"/>
        <v>130</v>
      </c>
      <c r="I513" s="47">
        <f t="shared" si="205"/>
        <v>0</v>
      </c>
      <c r="J513" s="47">
        <f>SUM(J511:J512)</f>
        <v>130</v>
      </c>
      <c r="K513" s="188" t="s">
        <v>12</v>
      </c>
      <c r="L513" s="216"/>
    </row>
    <row r="514" spans="2:12" ht="15" customHeight="1" thickBot="1" x14ac:dyDescent="0.25">
      <c r="B514" s="47">
        <f t="shared" si="195"/>
        <v>247</v>
      </c>
      <c r="C514" s="47">
        <f t="shared" si="196"/>
        <v>0</v>
      </c>
      <c r="D514" s="47">
        <f t="shared" si="196"/>
        <v>247</v>
      </c>
      <c r="E514" s="47">
        <f t="shared" si="197"/>
        <v>0</v>
      </c>
      <c r="F514" s="47">
        <v>0</v>
      </c>
      <c r="G514" s="47">
        <v>0</v>
      </c>
      <c r="H514" s="47">
        <f t="shared" si="198"/>
        <v>247</v>
      </c>
      <c r="I514" s="47">
        <v>0</v>
      </c>
      <c r="J514" s="47">
        <v>247</v>
      </c>
      <c r="K514" s="188" t="s">
        <v>233</v>
      </c>
      <c r="L514" s="215"/>
    </row>
    <row r="515" spans="2:12" ht="15" customHeight="1" thickBot="1" x14ac:dyDescent="0.25">
      <c r="B515" s="47">
        <f t="shared" si="195"/>
        <v>0</v>
      </c>
      <c r="C515" s="47">
        <f t="shared" si="196"/>
        <v>0</v>
      </c>
      <c r="D515" s="47">
        <f t="shared" si="196"/>
        <v>0</v>
      </c>
      <c r="E515" s="47">
        <f t="shared" si="197"/>
        <v>0</v>
      </c>
      <c r="F515" s="47">
        <v>0</v>
      </c>
      <c r="G515" s="47">
        <v>0</v>
      </c>
      <c r="H515" s="47">
        <f t="shared" si="198"/>
        <v>0</v>
      </c>
      <c r="I515" s="47">
        <v>0</v>
      </c>
      <c r="J515" s="47">
        <v>0</v>
      </c>
      <c r="K515" s="188" t="s">
        <v>234</v>
      </c>
      <c r="L515" s="215" t="s">
        <v>367</v>
      </c>
    </row>
    <row r="516" spans="2:12" ht="15" customHeight="1" thickBot="1" x14ac:dyDescent="0.25">
      <c r="B516" s="47">
        <f t="shared" ref="B516:I516" si="206">SUM(B514:B515)</f>
        <v>247</v>
      </c>
      <c r="C516" s="47">
        <f t="shared" si="206"/>
        <v>0</v>
      </c>
      <c r="D516" s="47">
        <f t="shared" si="206"/>
        <v>247</v>
      </c>
      <c r="E516" s="47">
        <f t="shared" si="206"/>
        <v>0</v>
      </c>
      <c r="F516" s="47">
        <f t="shared" si="206"/>
        <v>0</v>
      </c>
      <c r="G516" s="47">
        <f t="shared" si="206"/>
        <v>0</v>
      </c>
      <c r="H516" s="47">
        <f t="shared" si="206"/>
        <v>247</v>
      </c>
      <c r="I516" s="47">
        <f t="shared" si="206"/>
        <v>0</v>
      </c>
      <c r="J516" s="47">
        <f>SUM(J514:J515)</f>
        <v>247</v>
      </c>
      <c r="K516" s="188" t="s">
        <v>12</v>
      </c>
      <c r="L516" s="216"/>
    </row>
    <row r="517" spans="2:12" ht="15" customHeight="1" thickBot="1" x14ac:dyDescent="0.25">
      <c r="B517" s="47">
        <f t="shared" si="195"/>
        <v>178</v>
      </c>
      <c r="C517" s="47">
        <f t="shared" si="196"/>
        <v>0</v>
      </c>
      <c r="D517" s="47">
        <f t="shared" si="196"/>
        <v>178</v>
      </c>
      <c r="E517" s="47">
        <f t="shared" si="197"/>
        <v>0</v>
      </c>
      <c r="F517" s="47">
        <v>0</v>
      </c>
      <c r="G517" s="47">
        <v>0</v>
      </c>
      <c r="H517" s="47">
        <f t="shared" si="198"/>
        <v>178</v>
      </c>
      <c r="I517" s="47">
        <v>0</v>
      </c>
      <c r="J517" s="47">
        <v>178</v>
      </c>
      <c r="K517" s="188" t="s">
        <v>233</v>
      </c>
      <c r="L517" s="215"/>
    </row>
    <row r="518" spans="2:12" ht="15" customHeight="1" thickBot="1" x14ac:dyDescent="0.25">
      <c r="B518" s="47">
        <f t="shared" si="195"/>
        <v>0</v>
      </c>
      <c r="C518" s="47">
        <f t="shared" si="196"/>
        <v>0</v>
      </c>
      <c r="D518" s="47">
        <f t="shared" si="196"/>
        <v>0</v>
      </c>
      <c r="E518" s="47">
        <f t="shared" si="197"/>
        <v>0</v>
      </c>
      <c r="F518" s="47">
        <v>0</v>
      </c>
      <c r="G518" s="47">
        <v>0</v>
      </c>
      <c r="H518" s="47">
        <f t="shared" si="198"/>
        <v>0</v>
      </c>
      <c r="I518" s="47">
        <v>0</v>
      </c>
      <c r="J518" s="47">
        <v>0</v>
      </c>
      <c r="K518" s="188" t="s">
        <v>234</v>
      </c>
      <c r="L518" s="215" t="s">
        <v>473</v>
      </c>
    </row>
    <row r="519" spans="2:12" ht="15" customHeight="1" thickBot="1" x14ac:dyDescent="0.25">
      <c r="B519" s="47">
        <f t="shared" ref="B519:I519" si="207">SUM(B517:B518)</f>
        <v>178</v>
      </c>
      <c r="C519" s="47">
        <f t="shared" si="207"/>
        <v>0</v>
      </c>
      <c r="D519" s="47">
        <f t="shared" si="207"/>
        <v>178</v>
      </c>
      <c r="E519" s="47">
        <f t="shared" si="207"/>
        <v>0</v>
      </c>
      <c r="F519" s="47">
        <f t="shared" si="207"/>
        <v>0</v>
      </c>
      <c r="G519" s="47">
        <f t="shared" si="207"/>
        <v>0</v>
      </c>
      <c r="H519" s="47">
        <f t="shared" si="207"/>
        <v>178</v>
      </c>
      <c r="I519" s="47">
        <f t="shared" si="207"/>
        <v>0</v>
      </c>
      <c r="J519" s="47">
        <f>SUM(J517:J518)</f>
        <v>178</v>
      </c>
      <c r="K519" s="188" t="s">
        <v>12</v>
      </c>
      <c r="L519" s="216"/>
    </row>
    <row r="520" spans="2:12" ht="15" customHeight="1" thickBot="1" x14ac:dyDescent="0.25">
      <c r="B520" s="47">
        <f t="shared" si="195"/>
        <v>271</v>
      </c>
      <c r="C520" s="47">
        <f t="shared" si="196"/>
        <v>80</v>
      </c>
      <c r="D520" s="47">
        <f t="shared" si="196"/>
        <v>191</v>
      </c>
      <c r="E520" s="47">
        <f t="shared" si="197"/>
        <v>0</v>
      </c>
      <c r="F520" s="47">
        <v>0</v>
      </c>
      <c r="G520" s="47">
        <v>0</v>
      </c>
      <c r="H520" s="47">
        <f t="shared" si="198"/>
        <v>271</v>
      </c>
      <c r="I520" s="47">
        <v>80</v>
      </c>
      <c r="J520" s="47">
        <v>191</v>
      </c>
      <c r="K520" s="188" t="s">
        <v>233</v>
      </c>
      <c r="L520" s="215"/>
    </row>
    <row r="521" spans="2:12" ht="15" customHeight="1" thickBot="1" x14ac:dyDescent="0.25">
      <c r="B521" s="47">
        <f t="shared" si="195"/>
        <v>0</v>
      </c>
      <c r="C521" s="47">
        <f t="shared" si="196"/>
        <v>0</v>
      </c>
      <c r="D521" s="47">
        <f t="shared" si="196"/>
        <v>0</v>
      </c>
      <c r="E521" s="47">
        <f t="shared" si="197"/>
        <v>0</v>
      </c>
      <c r="F521" s="47">
        <v>0</v>
      </c>
      <c r="G521" s="47">
        <v>0</v>
      </c>
      <c r="H521" s="47">
        <f t="shared" si="198"/>
        <v>0</v>
      </c>
      <c r="I521" s="47">
        <v>0</v>
      </c>
      <c r="J521" s="47">
        <v>0</v>
      </c>
      <c r="K521" s="188" t="s">
        <v>234</v>
      </c>
      <c r="L521" s="215" t="s">
        <v>474</v>
      </c>
    </row>
    <row r="522" spans="2:12" ht="15" customHeight="1" thickBot="1" x14ac:dyDescent="0.25">
      <c r="B522" s="47">
        <f t="shared" ref="B522:I522" si="208">SUM(B520:B521)</f>
        <v>271</v>
      </c>
      <c r="C522" s="47">
        <f t="shared" si="208"/>
        <v>80</v>
      </c>
      <c r="D522" s="47">
        <f t="shared" si="208"/>
        <v>191</v>
      </c>
      <c r="E522" s="47">
        <f t="shared" si="208"/>
        <v>0</v>
      </c>
      <c r="F522" s="47">
        <f t="shared" si="208"/>
        <v>0</v>
      </c>
      <c r="G522" s="47">
        <f t="shared" si="208"/>
        <v>0</v>
      </c>
      <c r="H522" s="47">
        <f t="shared" si="208"/>
        <v>271</v>
      </c>
      <c r="I522" s="47">
        <f t="shared" si="208"/>
        <v>80</v>
      </c>
      <c r="J522" s="47">
        <f>SUM(J520:J521)</f>
        <v>191</v>
      </c>
      <c r="K522" s="188" t="s">
        <v>12</v>
      </c>
      <c r="L522" s="216"/>
    </row>
    <row r="523" spans="2:12" ht="15" customHeight="1" thickBot="1" x14ac:dyDescent="0.25">
      <c r="B523" s="47">
        <f t="shared" si="195"/>
        <v>379</v>
      </c>
      <c r="C523" s="47">
        <f t="shared" si="196"/>
        <v>379</v>
      </c>
      <c r="D523" s="47">
        <f t="shared" si="196"/>
        <v>0</v>
      </c>
      <c r="E523" s="47">
        <f t="shared" si="197"/>
        <v>0</v>
      </c>
      <c r="F523" s="47">
        <v>0</v>
      </c>
      <c r="G523" s="47">
        <v>0</v>
      </c>
      <c r="H523" s="47">
        <f t="shared" si="198"/>
        <v>379</v>
      </c>
      <c r="I523" s="47">
        <v>379</v>
      </c>
      <c r="J523" s="47">
        <v>0</v>
      </c>
      <c r="K523" s="188" t="s">
        <v>233</v>
      </c>
      <c r="L523" s="215"/>
    </row>
    <row r="524" spans="2:12" ht="15" customHeight="1" thickBot="1" x14ac:dyDescent="0.25">
      <c r="B524" s="47">
        <f t="shared" si="195"/>
        <v>0</v>
      </c>
      <c r="C524" s="47">
        <f t="shared" si="196"/>
        <v>0</v>
      </c>
      <c r="D524" s="47">
        <f t="shared" si="196"/>
        <v>0</v>
      </c>
      <c r="E524" s="47">
        <f t="shared" si="197"/>
        <v>0</v>
      </c>
      <c r="F524" s="47">
        <v>0</v>
      </c>
      <c r="G524" s="47">
        <v>0</v>
      </c>
      <c r="H524" s="47">
        <f t="shared" si="198"/>
        <v>0</v>
      </c>
      <c r="I524" s="47">
        <v>0</v>
      </c>
      <c r="J524" s="47">
        <v>0</v>
      </c>
      <c r="K524" s="188" t="s">
        <v>234</v>
      </c>
      <c r="L524" s="215" t="s">
        <v>475</v>
      </c>
    </row>
    <row r="525" spans="2:12" ht="15" customHeight="1" thickBot="1" x14ac:dyDescent="0.25">
      <c r="B525" s="47">
        <f t="shared" ref="B525:I525" si="209">SUM(B523:B524)</f>
        <v>379</v>
      </c>
      <c r="C525" s="47">
        <f t="shared" si="209"/>
        <v>379</v>
      </c>
      <c r="D525" s="47">
        <f t="shared" si="209"/>
        <v>0</v>
      </c>
      <c r="E525" s="47">
        <f t="shared" si="209"/>
        <v>0</v>
      </c>
      <c r="F525" s="47">
        <f t="shared" si="209"/>
        <v>0</v>
      </c>
      <c r="G525" s="47">
        <f t="shared" si="209"/>
        <v>0</v>
      </c>
      <c r="H525" s="47">
        <f t="shared" si="209"/>
        <v>379</v>
      </c>
      <c r="I525" s="47">
        <f t="shared" si="209"/>
        <v>379</v>
      </c>
      <c r="J525" s="47">
        <f>SUM(J523:J524)</f>
        <v>0</v>
      </c>
      <c r="K525" s="188" t="s">
        <v>12</v>
      </c>
      <c r="L525" s="216"/>
    </row>
    <row r="526" spans="2:12" ht="15" customHeight="1" thickBot="1" x14ac:dyDescent="0.25">
      <c r="B526" s="47">
        <f t="shared" si="195"/>
        <v>553</v>
      </c>
      <c r="C526" s="47">
        <f t="shared" si="196"/>
        <v>553</v>
      </c>
      <c r="D526" s="47">
        <f t="shared" si="196"/>
        <v>0</v>
      </c>
      <c r="E526" s="47">
        <f t="shared" si="197"/>
        <v>0</v>
      </c>
      <c r="F526" s="47">
        <v>0</v>
      </c>
      <c r="G526" s="47">
        <v>0</v>
      </c>
      <c r="H526" s="47">
        <f t="shared" si="198"/>
        <v>553</v>
      </c>
      <c r="I526" s="47">
        <v>553</v>
      </c>
      <c r="J526" s="47">
        <v>0</v>
      </c>
      <c r="K526" s="188" t="s">
        <v>233</v>
      </c>
      <c r="L526" s="215"/>
    </row>
    <row r="527" spans="2:12" ht="15" customHeight="1" thickBot="1" x14ac:dyDescent="0.25">
      <c r="B527" s="47">
        <f t="shared" si="195"/>
        <v>0</v>
      </c>
      <c r="C527" s="47">
        <f t="shared" si="196"/>
        <v>0</v>
      </c>
      <c r="D527" s="47">
        <f t="shared" si="196"/>
        <v>0</v>
      </c>
      <c r="E527" s="47">
        <f t="shared" si="197"/>
        <v>0</v>
      </c>
      <c r="F527" s="47">
        <v>0</v>
      </c>
      <c r="G527" s="47">
        <v>0</v>
      </c>
      <c r="H527" s="47">
        <f t="shared" si="198"/>
        <v>0</v>
      </c>
      <c r="I527" s="47">
        <v>0</v>
      </c>
      <c r="J527" s="47">
        <v>0</v>
      </c>
      <c r="K527" s="188" t="s">
        <v>234</v>
      </c>
      <c r="L527" s="215" t="s">
        <v>476</v>
      </c>
    </row>
    <row r="528" spans="2:12" ht="15" customHeight="1" thickBot="1" x14ac:dyDescent="0.25">
      <c r="B528" s="47">
        <f t="shared" ref="B528:I528" si="210">SUM(B526:B527)</f>
        <v>553</v>
      </c>
      <c r="C528" s="47">
        <f t="shared" si="210"/>
        <v>553</v>
      </c>
      <c r="D528" s="47">
        <f t="shared" si="210"/>
        <v>0</v>
      </c>
      <c r="E528" s="47">
        <f t="shared" si="210"/>
        <v>0</v>
      </c>
      <c r="F528" s="47">
        <f t="shared" si="210"/>
        <v>0</v>
      </c>
      <c r="G528" s="47">
        <f t="shared" si="210"/>
        <v>0</v>
      </c>
      <c r="H528" s="47">
        <f t="shared" si="210"/>
        <v>553</v>
      </c>
      <c r="I528" s="47">
        <f t="shared" si="210"/>
        <v>553</v>
      </c>
      <c r="J528" s="47">
        <f>SUM(J526:J527)</f>
        <v>0</v>
      </c>
      <c r="K528" s="188" t="s">
        <v>12</v>
      </c>
      <c r="L528" s="216"/>
    </row>
    <row r="529" spans="2:12" ht="15" customHeight="1" thickBot="1" x14ac:dyDescent="0.25">
      <c r="B529" s="47">
        <f t="shared" si="195"/>
        <v>624</v>
      </c>
      <c r="C529" s="47">
        <f t="shared" si="196"/>
        <v>624</v>
      </c>
      <c r="D529" s="47">
        <f t="shared" si="196"/>
        <v>0</v>
      </c>
      <c r="E529" s="47">
        <f t="shared" si="197"/>
        <v>2</v>
      </c>
      <c r="F529" s="47">
        <v>2</v>
      </c>
      <c r="G529" s="47">
        <v>0</v>
      </c>
      <c r="H529" s="47">
        <f t="shared" si="198"/>
        <v>622</v>
      </c>
      <c r="I529" s="47">
        <v>622</v>
      </c>
      <c r="J529" s="47">
        <v>0</v>
      </c>
      <c r="K529" s="188" t="s">
        <v>233</v>
      </c>
      <c r="L529" s="215"/>
    </row>
    <row r="530" spans="2:12" ht="15" customHeight="1" thickBot="1" x14ac:dyDescent="0.25">
      <c r="B530" s="47">
        <f t="shared" si="195"/>
        <v>157</v>
      </c>
      <c r="C530" s="47">
        <f t="shared" si="196"/>
        <v>157</v>
      </c>
      <c r="D530" s="47">
        <f t="shared" si="196"/>
        <v>0</v>
      </c>
      <c r="E530" s="47">
        <f t="shared" si="197"/>
        <v>0</v>
      </c>
      <c r="F530" s="47">
        <v>0</v>
      </c>
      <c r="G530" s="47">
        <v>0</v>
      </c>
      <c r="H530" s="47">
        <f t="shared" si="198"/>
        <v>157</v>
      </c>
      <c r="I530" s="47">
        <v>157</v>
      </c>
      <c r="J530" s="47">
        <v>0</v>
      </c>
      <c r="K530" s="188" t="s">
        <v>234</v>
      </c>
      <c r="L530" s="215" t="s">
        <v>477</v>
      </c>
    </row>
    <row r="531" spans="2:12" ht="15" customHeight="1" thickBot="1" x14ac:dyDescent="0.25">
      <c r="B531" s="47">
        <f t="shared" ref="B531:I531" si="211">SUM(B529:B530)</f>
        <v>781</v>
      </c>
      <c r="C531" s="47">
        <f t="shared" si="211"/>
        <v>781</v>
      </c>
      <c r="D531" s="47">
        <f t="shared" si="211"/>
        <v>0</v>
      </c>
      <c r="E531" s="47">
        <f t="shared" si="211"/>
        <v>2</v>
      </c>
      <c r="F531" s="47">
        <f t="shared" si="211"/>
        <v>2</v>
      </c>
      <c r="G531" s="47">
        <f t="shared" si="211"/>
        <v>0</v>
      </c>
      <c r="H531" s="47">
        <f t="shared" si="211"/>
        <v>779</v>
      </c>
      <c r="I531" s="47">
        <f t="shared" si="211"/>
        <v>779</v>
      </c>
      <c r="J531" s="47">
        <f>SUM(J529:J530)</f>
        <v>0</v>
      </c>
      <c r="K531" s="188" t="s">
        <v>12</v>
      </c>
      <c r="L531" s="216"/>
    </row>
    <row r="532" spans="2:12" ht="15" customHeight="1" thickBot="1" x14ac:dyDescent="0.25">
      <c r="B532" s="47">
        <f t="shared" si="195"/>
        <v>1025</v>
      </c>
      <c r="C532" s="47">
        <f t="shared" si="196"/>
        <v>1025</v>
      </c>
      <c r="D532" s="47">
        <f t="shared" si="196"/>
        <v>0</v>
      </c>
      <c r="E532" s="47">
        <f t="shared" si="197"/>
        <v>0</v>
      </c>
      <c r="F532" s="47">
        <v>0</v>
      </c>
      <c r="G532" s="47">
        <v>0</v>
      </c>
      <c r="H532" s="47">
        <f t="shared" si="198"/>
        <v>1025</v>
      </c>
      <c r="I532" s="47">
        <v>1025</v>
      </c>
      <c r="J532" s="47">
        <v>0</v>
      </c>
      <c r="K532" s="188" t="s">
        <v>233</v>
      </c>
      <c r="L532" s="215"/>
    </row>
    <row r="533" spans="2:12" ht="15" customHeight="1" thickBot="1" x14ac:dyDescent="0.25">
      <c r="B533" s="47">
        <f t="shared" si="195"/>
        <v>8</v>
      </c>
      <c r="C533" s="47">
        <f t="shared" si="196"/>
        <v>8</v>
      </c>
      <c r="D533" s="47">
        <f t="shared" si="196"/>
        <v>0</v>
      </c>
      <c r="E533" s="47">
        <f t="shared" si="197"/>
        <v>0</v>
      </c>
      <c r="F533" s="47">
        <v>0</v>
      </c>
      <c r="G533" s="47">
        <v>0</v>
      </c>
      <c r="H533" s="47">
        <f t="shared" si="198"/>
        <v>8</v>
      </c>
      <c r="I533" s="47">
        <v>8</v>
      </c>
      <c r="J533" s="47">
        <v>0</v>
      </c>
      <c r="K533" s="188" t="s">
        <v>234</v>
      </c>
      <c r="L533" s="215" t="s">
        <v>478</v>
      </c>
    </row>
    <row r="534" spans="2:12" ht="15" customHeight="1" thickBot="1" x14ac:dyDescent="0.25">
      <c r="B534" s="47">
        <f t="shared" ref="B534:I534" si="212">SUM(B532:B533)</f>
        <v>1033</v>
      </c>
      <c r="C534" s="47">
        <f t="shared" si="212"/>
        <v>1033</v>
      </c>
      <c r="D534" s="47">
        <f t="shared" si="212"/>
        <v>0</v>
      </c>
      <c r="E534" s="47">
        <f t="shared" si="212"/>
        <v>0</v>
      </c>
      <c r="F534" s="47">
        <f t="shared" si="212"/>
        <v>0</v>
      </c>
      <c r="G534" s="47">
        <f t="shared" si="212"/>
        <v>0</v>
      </c>
      <c r="H534" s="47">
        <f t="shared" si="212"/>
        <v>1033</v>
      </c>
      <c r="I534" s="47">
        <f t="shared" si="212"/>
        <v>1033</v>
      </c>
      <c r="J534" s="47">
        <f>SUM(J532:J533)</f>
        <v>0</v>
      </c>
      <c r="K534" s="188" t="s">
        <v>12</v>
      </c>
      <c r="L534" s="216"/>
    </row>
    <row r="535" spans="2:12" ht="15" customHeight="1" thickBot="1" x14ac:dyDescent="0.25">
      <c r="B535" s="47">
        <f t="shared" si="195"/>
        <v>1063</v>
      </c>
      <c r="C535" s="47">
        <f t="shared" si="196"/>
        <v>1063</v>
      </c>
      <c r="D535" s="47">
        <f t="shared" si="196"/>
        <v>0</v>
      </c>
      <c r="E535" s="47">
        <f t="shared" si="197"/>
        <v>10</v>
      </c>
      <c r="F535" s="47">
        <v>10</v>
      </c>
      <c r="G535" s="47">
        <v>0</v>
      </c>
      <c r="H535" s="47">
        <f t="shared" si="198"/>
        <v>1053</v>
      </c>
      <c r="I535" s="47">
        <v>1053</v>
      </c>
      <c r="J535" s="47">
        <v>0</v>
      </c>
      <c r="K535" s="188" t="s">
        <v>233</v>
      </c>
      <c r="L535" s="215"/>
    </row>
    <row r="536" spans="2:12" ht="15" customHeight="1" thickBot="1" x14ac:dyDescent="0.25">
      <c r="B536" s="47">
        <f t="shared" si="195"/>
        <v>35</v>
      </c>
      <c r="C536" s="47">
        <f t="shared" si="196"/>
        <v>35</v>
      </c>
      <c r="D536" s="47">
        <f t="shared" si="196"/>
        <v>0</v>
      </c>
      <c r="E536" s="47">
        <f t="shared" si="197"/>
        <v>0</v>
      </c>
      <c r="F536" s="47">
        <v>0</v>
      </c>
      <c r="G536" s="47">
        <v>0</v>
      </c>
      <c r="H536" s="47">
        <f t="shared" si="198"/>
        <v>35</v>
      </c>
      <c r="I536" s="47">
        <v>35</v>
      </c>
      <c r="J536" s="47">
        <v>0</v>
      </c>
      <c r="K536" s="188" t="s">
        <v>234</v>
      </c>
      <c r="L536" s="215" t="s">
        <v>479</v>
      </c>
    </row>
    <row r="537" spans="2:12" ht="15" customHeight="1" thickBot="1" x14ac:dyDescent="0.25">
      <c r="B537" s="47">
        <f t="shared" ref="B537:I537" si="213">SUM(B535:B536)</f>
        <v>1098</v>
      </c>
      <c r="C537" s="47">
        <f t="shared" si="213"/>
        <v>1098</v>
      </c>
      <c r="D537" s="47">
        <f t="shared" si="213"/>
        <v>0</v>
      </c>
      <c r="E537" s="47">
        <f t="shared" si="213"/>
        <v>10</v>
      </c>
      <c r="F537" s="47">
        <f t="shared" si="213"/>
        <v>10</v>
      </c>
      <c r="G537" s="47">
        <f t="shared" si="213"/>
        <v>0</v>
      </c>
      <c r="H537" s="47">
        <f t="shared" si="213"/>
        <v>1088</v>
      </c>
      <c r="I537" s="47">
        <f t="shared" si="213"/>
        <v>1088</v>
      </c>
      <c r="J537" s="47">
        <f>SUM(J535:J536)</f>
        <v>0</v>
      </c>
      <c r="K537" s="188" t="s">
        <v>12</v>
      </c>
      <c r="L537" s="216"/>
    </row>
    <row r="538" spans="2:12" ht="15" customHeight="1" thickBot="1" x14ac:dyDescent="0.25">
      <c r="B538" s="47">
        <f t="shared" si="195"/>
        <v>1037</v>
      </c>
      <c r="C538" s="47">
        <f t="shared" si="196"/>
        <v>1037</v>
      </c>
      <c r="D538" s="47">
        <f t="shared" si="196"/>
        <v>0</v>
      </c>
      <c r="E538" s="47">
        <f t="shared" si="197"/>
        <v>2</v>
      </c>
      <c r="F538" s="47">
        <v>2</v>
      </c>
      <c r="G538" s="47">
        <v>0</v>
      </c>
      <c r="H538" s="47">
        <f t="shared" si="198"/>
        <v>1035</v>
      </c>
      <c r="I538" s="47">
        <v>1035</v>
      </c>
      <c r="J538" s="47">
        <v>0</v>
      </c>
      <c r="K538" s="188" t="s">
        <v>233</v>
      </c>
      <c r="L538" s="215"/>
    </row>
    <row r="539" spans="2:12" ht="15" customHeight="1" thickBot="1" x14ac:dyDescent="0.25">
      <c r="B539" s="47">
        <f t="shared" si="195"/>
        <v>307</v>
      </c>
      <c r="C539" s="47">
        <f t="shared" si="196"/>
        <v>307</v>
      </c>
      <c r="D539" s="47">
        <f t="shared" si="196"/>
        <v>0</v>
      </c>
      <c r="E539" s="47">
        <f t="shared" si="197"/>
        <v>0</v>
      </c>
      <c r="F539" s="47">
        <v>0</v>
      </c>
      <c r="G539" s="47">
        <v>0</v>
      </c>
      <c r="H539" s="47">
        <f t="shared" si="198"/>
        <v>307</v>
      </c>
      <c r="I539" s="47">
        <v>307</v>
      </c>
      <c r="J539" s="47">
        <v>0</v>
      </c>
      <c r="K539" s="188" t="s">
        <v>234</v>
      </c>
      <c r="L539" s="215" t="s">
        <v>480</v>
      </c>
    </row>
    <row r="540" spans="2:12" ht="15" customHeight="1" thickBot="1" x14ac:dyDescent="0.25">
      <c r="B540" s="47">
        <f t="shared" ref="B540:I540" si="214">SUM(B538:B539)</f>
        <v>1344</v>
      </c>
      <c r="C540" s="47">
        <f t="shared" si="214"/>
        <v>1344</v>
      </c>
      <c r="D540" s="47">
        <f t="shared" si="214"/>
        <v>0</v>
      </c>
      <c r="E540" s="47">
        <f t="shared" si="214"/>
        <v>2</v>
      </c>
      <c r="F540" s="47">
        <f t="shared" si="214"/>
        <v>2</v>
      </c>
      <c r="G540" s="47">
        <f t="shared" si="214"/>
        <v>0</v>
      </c>
      <c r="H540" s="47">
        <f t="shared" si="214"/>
        <v>1342</v>
      </c>
      <c r="I540" s="47">
        <f t="shared" si="214"/>
        <v>1342</v>
      </c>
      <c r="J540" s="47">
        <f>SUM(J538:J539)</f>
        <v>0</v>
      </c>
      <c r="K540" s="188" t="s">
        <v>12</v>
      </c>
      <c r="L540" s="216"/>
    </row>
    <row r="541" spans="2:12" ht="15" customHeight="1" thickBot="1" x14ac:dyDescent="0.25">
      <c r="B541" s="47">
        <f t="shared" si="195"/>
        <v>596</v>
      </c>
      <c r="C541" s="47">
        <f t="shared" si="196"/>
        <v>60</v>
      </c>
      <c r="D541" s="47">
        <f t="shared" si="196"/>
        <v>536</v>
      </c>
      <c r="E541" s="47">
        <f t="shared" si="197"/>
        <v>3</v>
      </c>
      <c r="F541" s="47">
        <v>0</v>
      </c>
      <c r="G541" s="47">
        <v>3</v>
      </c>
      <c r="H541" s="47">
        <f t="shared" si="198"/>
        <v>593</v>
      </c>
      <c r="I541" s="47">
        <v>60</v>
      </c>
      <c r="J541" s="47">
        <v>533</v>
      </c>
      <c r="K541" s="188" t="s">
        <v>233</v>
      </c>
      <c r="L541" s="215"/>
    </row>
    <row r="542" spans="2:12" ht="15" customHeight="1" thickBot="1" x14ac:dyDescent="0.25">
      <c r="B542" s="47">
        <f t="shared" si="195"/>
        <v>0</v>
      </c>
      <c r="C542" s="47">
        <f t="shared" si="196"/>
        <v>0</v>
      </c>
      <c r="D542" s="47">
        <f t="shared" si="196"/>
        <v>0</v>
      </c>
      <c r="E542" s="47">
        <f t="shared" si="197"/>
        <v>0</v>
      </c>
      <c r="F542" s="47">
        <v>0</v>
      </c>
      <c r="G542" s="47">
        <v>0</v>
      </c>
      <c r="H542" s="47">
        <f t="shared" si="198"/>
        <v>0</v>
      </c>
      <c r="I542" s="47">
        <v>0</v>
      </c>
      <c r="J542" s="47">
        <v>0</v>
      </c>
      <c r="K542" s="188" t="s">
        <v>234</v>
      </c>
      <c r="L542" s="215" t="s">
        <v>424</v>
      </c>
    </row>
    <row r="543" spans="2:12" ht="15" customHeight="1" thickBot="1" x14ac:dyDescent="0.25">
      <c r="B543" s="47">
        <f t="shared" ref="B543:I543" si="215">SUM(B541:B542)</f>
        <v>596</v>
      </c>
      <c r="C543" s="47">
        <f t="shared" si="215"/>
        <v>60</v>
      </c>
      <c r="D543" s="47">
        <f t="shared" si="215"/>
        <v>536</v>
      </c>
      <c r="E543" s="47">
        <f t="shared" si="215"/>
        <v>3</v>
      </c>
      <c r="F543" s="47">
        <f t="shared" si="215"/>
        <v>0</v>
      </c>
      <c r="G543" s="47">
        <f t="shared" si="215"/>
        <v>3</v>
      </c>
      <c r="H543" s="47">
        <f t="shared" si="215"/>
        <v>593</v>
      </c>
      <c r="I543" s="47">
        <f t="shared" si="215"/>
        <v>60</v>
      </c>
      <c r="J543" s="47">
        <f>SUM(J541:J542)</f>
        <v>533</v>
      </c>
      <c r="K543" s="188" t="s">
        <v>12</v>
      </c>
      <c r="L543" s="216"/>
    </row>
    <row r="544" spans="2:12" ht="15" customHeight="1" thickBot="1" x14ac:dyDescent="0.25">
      <c r="B544" s="47">
        <f t="shared" si="195"/>
        <v>18</v>
      </c>
      <c r="C544" s="47">
        <f t="shared" si="196"/>
        <v>0</v>
      </c>
      <c r="D544" s="47">
        <f t="shared" si="196"/>
        <v>18</v>
      </c>
      <c r="E544" s="47">
        <f t="shared" si="197"/>
        <v>0</v>
      </c>
      <c r="F544" s="47">
        <v>0</v>
      </c>
      <c r="G544" s="47">
        <v>0</v>
      </c>
      <c r="H544" s="47">
        <f t="shared" si="198"/>
        <v>18</v>
      </c>
      <c r="I544" s="47">
        <v>0</v>
      </c>
      <c r="J544" s="47">
        <v>18</v>
      </c>
      <c r="K544" s="188" t="s">
        <v>233</v>
      </c>
      <c r="L544" s="215"/>
    </row>
    <row r="545" spans="2:12" ht="15" customHeight="1" thickBot="1" x14ac:dyDescent="0.25">
      <c r="B545" s="47">
        <f t="shared" si="195"/>
        <v>0</v>
      </c>
      <c r="C545" s="47">
        <f t="shared" si="196"/>
        <v>0</v>
      </c>
      <c r="D545" s="47">
        <f t="shared" si="196"/>
        <v>0</v>
      </c>
      <c r="E545" s="47">
        <f t="shared" si="197"/>
        <v>0</v>
      </c>
      <c r="F545" s="47">
        <v>0</v>
      </c>
      <c r="G545" s="47">
        <v>0</v>
      </c>
      <c r="H545" s="47">
        <f t="shared" si="198"/>
        <v>0</v>
      </c>
      <c r="I545" s="47">
        <v>0</v>
      </c>
      <c r="J545" s="47">
        <v>0</v>
      </c>
      <c r="K545" s="188" t="s">
        <v>234</v>
      </c>
      <c r="L545" s="215" t="s">
        <v>255</v>
      </c>
    </row>
    <row r="546" spans="2:12" ht="15" customHeight="1" thickBot="1" x14ac:dyDescent="0.25">
      <c r="B546" s="47">
        <f t="shared" ref="B546:I546" si="216">SUM(B544:B545)</f>
        <v>18</v>
      </c>
      <c r="C546" s="47">
        <f t="shared" si="216"/>
        <v>0</v>
      </c>
      <c r="D546" s="47">
        <f t="shared" si="216"/>
        <v>18</v>
      </c>
      <c r="E546" s="47">
        <f t="shared" si="216"/>
        <v>0</v>
      </c>
      <c r="F546" s="47">
        <f t="shared" si="216"/>
        <v>0</v>
      </c>
      <c r="G546" s="47">
        <f t="shared" si="216"/>
        <v>0</v>
      </c>
      <c r="H546" s="47">
        <f t="shared" si="216"/>
        <v>18</v>
      </c>
      <c r="I546" s="47">
        <f t="shared" si="216"/>
        <v>0</v>
      </c>
      <c r="J546" s="47">
        <f>SUM(J544:J545)</f>
        <v>18</v>
      </c>
      <c r="K546" s="188" t="s">
        <v>12</v>
      </c>
      <c r="L546" s="216"/>
    </row>
    <row r="547" spans="2:12" ht="15" customHeight="1" thickBot="1" x14ac:dyDescent="0.25">
      <c r="B547" s="47">
        <f t="shared" si="195"/>
        <v>24</v>
      </c>
      <c r="C547" s="47">
        <f t="shared" si="196"/>
        <v>0</v>
      </c>
      <c r="D547" s="47">
        <f t="shared" si="196"/>
        <v>24</v>
      </c>
      <c r="E547" s="47">
        <f t="shared" si="197"/>
        <v>0</v>
      </c>
      <c r="F547" s="47">
        <v>0</v>
      </c>
      <c r="G547" s="47">
        <v>0</v>
      </c>
      <c r="H547" s="47">
        <f t="shared" si="198"/>
        <v>24</v>
      </c>
      <c r="I547" s="47">
        <v>0</v>
      </c>
      <c r="J547" s="47">
        <v>24</v>
      </c>
      <c r="K547" s="188" t="s">
        <v>233</v>
      </c>
      <c r="L547" s="215"/>
    </row>
    <row r="548" spans="2:12" ht="15" customHeight="1" thickBot="1" x14ac:dyDescent="0.25">
      <c r="B548" s="47">
        <f t="shared" si="195"/>
        <v>0</v>
      </c>
      <c r="C548" s="47">
        <f t="shared" si="196"/>
        <v>0</v>
      </c>
      <c r="D548" s="47">
        <f t="shared" si="196"/>
        <v>0</v>
      </c>
      <c r="E548" s="47">
        <f t="shared" si="197"/>
        <v>0</v>
      </c>
      <c r="F548" s="47">
        <v>0</v>
      </c>
      <c r="G548" s="47">
        <v>0</v>
      </c>
      <c r="H548" s="47">
        <f t="shared" si="198"/>
        <v>0</v>
      </c>
      <c r="I548" s="47">
        <v>0</v>
      </c>
      <c r="J548" s="47">
        <v>0</v>
      </c>
      <c r="K548" s="188" t="s">
        <v>234</v>
      </c>
      <c r="L548" s="215" t="s">
        <v>348</v>
      </c>
    </row>
    <row r="549" spans="2:12" ht="15" customHeight="1" thickBot="1" x14ac:dyDescent="0.25">
      <c r="B549" s="47">
        <f t="shared" ref="B549:I549" si="217">SUM(B547:B548)</f>
        <v>24</v>
      </c>
      <c r="C549" s="47">
        <f t="shared" si="217"/>
        <v>0</v>
      </c>
      <c r="D549" s="47">
        <f t="shared" si="217"/>
        <v>24</v>
      </c>
      <c r="E549" s="47">
        <f t="shared" si="217"/>
        <v>0</v>
      </c>
      <c r="F549" s="47">
        <f t="shared" si="217"/>
        <v>0</v>
      </c>
      <c r="G549" s="47">
        <f t="shared" si="217"/>
        <v>0</v>
      </c>
      <c r="H549" s="47">
        <f t="shared" si="217"/>
        <v>24</v>
      </c>
      <c r="I549" s="47">
        <f t="shared" si="217"/>
        <v>0</v>
      </c>
      <c r="J549" s="47">
        <f>SUM(J547:J548)</f>
        <v>24</v>
      </c>
      <c r="K549" s="188" t="s">
        <v>12</v>
      </c>
      <c r="L549" s="216"/>
    </row>
    <row r="550" spans="2:12" ht="15" customHeight="1" thickBot="1" x14ac:dyDescent="0.25">
      <c r="B550" s="47">
        <f t="shared" si="195"/>
        <v>25</v>
      </c>
      <c r="C550" s="47">
        <f t="shared" si="196"/>
        <v>0</v>
      </c>
      <c r="D550" s="47">
        <f t="shared" si="196"/>
        <v>25</v>
      </c>
      <c r="E550" s="47">
        <f t="shared" si="197"/>
        <v>0</v>
      </c>
      <c r="F550" s="47">
        <v>0</v>
      </c>
      <c r="G550" s="47">
        <v>0</v>
      </c>
      <c r="H550" s="47">
        <f t="shared" si="198"/>
        <v>25</v>
      </c>
      <c r="I550" s="47">
        <v>0</v>
      </c>
      <c r="J550" s="47">
        <v>25</v>
      </c>
      <c r="K550" s="188" t="s">
        <v>233</v>
      </c>
      <c r="L550" s="215"/>
    </row>
    <row r="551" spans="2:12" ht="15" customHeight="1" thickBot="1" x14ac:dyDescent="0.25">
      <c r="B551" s="47">
        <f t="shared" si="195"/>
        <v>0</v>
      </c>
      <c r="C551" s="47">
        <f t="shared" si="196"/>
        <v>0</v>
      </c>
      <c r="D551" s="47">
        <f t="shared" si="196"/>
        <v>0</v>
      </c>
      <c r="E551" s="47">
        <f t="shared" si="197"/>
        <v>0</v>
      </c>
      <c r="F551" s="47">
        <v>0</v>
      </c>
      <c r="G551" s="47">
        <v>0</v>
      </c>
      <c r="H551" s="47">
        <f t="shared" si="198"/>
        <v>0</v>
      </c>
      <c r="I551" s="47">
        <v>0</v>
      </c>
      <c r="J551" s="47">
        <v>0</v>
      </c>
      <c r="K551" s="188" t="s">
        <v>234</v>
      </c>
      <c r="L551" s="215" t="s">
        <v>347</v>
      </c>
    </row>
    <row r="552" spans="2:12" ht="15" customHeight="1" thickBot="1" x14ac:dyDescent="0.25">
      <c r="B552" s="47">
        <f t="shared" ref="B552:I552" si="218">SUM(B550:B551)</f>
        <v>25</v>
      </c>
      <c r="C552" s="47">
        <f t="shared" si="218"/>
        <v>0</v>
      </c>
      <c r="D552" s="47">
        <f t="shared" si="218"/>
        <v>25</v>
      </c>
      <c r="E552" s="47">
        <f t="shared" si="218"/>
        <v>0</v>
      </c>
      <c r="F552" s="47">
        <f t="shared" si="218"/>
        <v>0</v>
      </c>
      <c r="G552" s="47">
        <f t="shared" si="218"/>
        <v>0</v>
      </c>
      <c r="H552" s="47">
        <f t="shared" si="218"/>
        <v>25</v>
      </c>
      <c r="I552" s="47">
        <f t="shared" si="218"/>
        <v>0</v>
      </c>
      <c r="J552" s="47">
        <f>SUM(J550:J551)</f>
        <v>25</v>
      </c>
      <c r="K552" s="188" t="s">
        <v>12</v>
      </c>
      <c r="L552" s="216"/>
    </row>
    <row r="553" spans="2:12" ht="15" customHeight="1" thickBot="1" x14ac:dyDescent="0.25">
      <c r="B553" s="47">
        <f t="shared" si="195"/>
        <v>700</v>
      </c>
      <c r="C553" s="47">
        <f t="shared" si="196"/>
        <v>700</v>
      </c>
      <c r="D553" s="47">
        <f t="shared" si="196"/>
        <v>0</v>
      </c>
      <c r="E553" s="47">
        <f t="shared" si="197"/>
        <v>0</v>
      </c>
      <c r="F553" s="47">
        <v>0</v>
      </c>
      <c r="G553" s="47">
        <v>0</v>
      </c>
      <c r="H553" s="47">
        <f t="shared" si="198"/>
        <v>700</v>
      </c>
      <c r="I553" s="47">
        <v>700</v>
      </c>
      <c r="J553" s="47">
        <v>0</v>
      </c>
      <c r="K553" s="188" t="s">
        <v>233</v>
      </c>
      <c r="L553" s="215"/>
    </row>
    <row r="554" spans="2:12" ht="15" customHeight="1" thickBot="1" x14ac:dyDescent="0.25">
      <c r="B554" s="47">
        <f t="shared" si="195"/>
        <v>112</v>
      </c>
      <c r="C554" s="47">
        <f t="shared" si="196"/>
        <v>112</v>
      </c>
      <c r="D554" s="47">
        <f t="shared" si="196"/>
        <v>0</v>
      </c>
      <c r="E554" s="47">
        <f t="shared" si="197"/>
        <v>0</v>
      </c>
      <c r="F554" s="47">
        <v>0</v>
      </c>
      <c r="G554" s="47">
        <v>0</v>
      </c>
      <c r="H554" s="47">
        <f t="shared" si="198"/>
        <v>112</v>
      </c>
      <c r="I554" s="47">
        <v>112</v>
      </c>
      <c r="J554" s="47">
        <v>0</v>
      </c>
      <c r="K554" s="188" t="s">
        <v>234</v>
      </c>
      <c r="L554" s="215" t="s">
        <v>481</v>
      </c>
    </row>
    <row r="555" spans="2:12" ht="15" customHeight="1" thickBot="1" x14ac:dyDescent="0.25">
      <c r="B555" s="47">
        <f t="shared" ref="B555:I555" si="219">SUM(B553:B554)</f>
        <v>812</v>
      </c>
      <c r="C555" s="47">
        <f t="shared" si="219"/>
        <v>812</v>
      </c>
      <c r="D555" s="47">
        <f t="shared" si="219"/>
        <v>0</v>
      </c>
      <c r="E555" s="47">
        <f t="shared" si="219"/>
        <v>0</v>
      </c>
      <c r="F555" s="47">
        <f t="shared" si="219"/>
        <v>0</v>
      </c>
      <c r="G555" s="47">
        <f t="shared" si="219"/>
        <v>0</v>
      </c>
      <c r="H555" s="47">
        <f t="shared" si="219"/>
        <v>812</v>
      </c>
      <c r="I555" s="47">
        <f t="shared" si="219"/>
        <v>812</v>
      </c>
      <c r="J555" s="47">
        <f>SUM(J553:J554)</f>
        <v>0</v>
      </c>
      <c r="K555" s="188" t="s">
        <v>12</v>
      </c>
      <c r="L555" s="216"/>
    </row>
    <row r="556" spans="2:12" ht="15" customHeight="1" thickBot="1" x14ac:dyDescent="0.25">
      <c r="B556" s="47">
        <f t="shared" si="195"/>
        <v>473</v>
      </c>
      <c r="C556" s="47">
        <f t="shared" si="196"/>
        <v>473</v>
      </c>
      <c r="D556" s="47">
        <f t="shared" si="196"/>
        <v>0</v>
      </c>
      <c r="E556" s="47">
        <f t="shared" si="197"/>
        <v>0</v>
      </c>
      <c r="F556" s="47">
        <v>0</v>
      </c>
      <c r="G556" s="47">
        <v>0</v>
      </c>
      <c r="H556" s="47">
        <f t="shared" si="198"/>
        <v>473</v>
      </c>
      <c r="I556" s="47">
        <v>473</v>
      </c>
      <c r="J556" s="47">
        <v>0</v>
      </c>
      <c r="K556" s="188" t="s">
        <v>233</v>
      </c>
      <c r="L556" s="215"/>
    </row>
    <row r="557" spans="2:12" ht="15" customHeight="1" thickBot="1" x14ac:dyDescent="0.25">
      <c r="B557" s="47">
        <f t="shared" si="195"/>
        <v>62</v>
      </c>
      <c r="C557" s="47">
        <f t="shared" si="196"/>
        <v>62</v>
      </c>
      <c r="D557" s="47">
        <f t="shared" si="196"/>
        <v>0</v>
      </c>
      <c r="E557" s="47">
        <f t="shared" si="197"/>
        <v>0</v>
      </c>
      <c r="F557" s="47">
        <v>0</v>
      </c>
      <c r="G557" s="47">
        <v>0</v>
      </c>
      <c r="H557" s="47">
        <f t="shared" si="198"/>
        <v>62</v>
      </c>
      <c r="I557" s="47">
        <v>62</v>
      </c>
      <c r="J557" s="47">
        <v>0</v>
      </c>
      <c r="K557" s="188" t="s">
        <v>234</v>
      </c>
      <c r="L557" s="215" t="s">
        <v>482</v>
      </c>
    </row>
    <row r="558" spans="2:12" ht="15" customHeight="1" thickBot="1" x14ac:dyDescent="0.25">
      <c r="B558" s="47">
        <f t="shared" ref="B558:I558" si="220">SUM(B556:B557)</f>
        <v>535</v>
      </c>
      <c r="C558" s="47">
        <f t="shared" si="220"/>
        <v>535</v>
      </c>
      <c r="D558" s="47">
        <f t="shared" si="220"/>
        <v>0</v>
      </c>
      <c r="E558" s="47">
        <f t="shared" si="220"/>
        <v>0</v>
      </c>
      <c r="F558" s="47">
        <f t="shared" si="220"/>
        <v>0</v>
      </c>
      <c r="G558" s="47">
        <f t="shared" si="220"/>
        <v>0</v>
      </c>
      <c r="H558" s="47">
        <f t="shared" si="220"/>
        <v>535</v>
      </c>
      <c r="I558" s="47">
        <f t="shared" si="220"/>
        <v>535</v>
      </c>
      <c r="J558" s="47">
        <f>SUM(J556:J557)</f>
        <v>0</v>
      </c>
      <c r="K558" s="188" t="s">
        <v>12</v>
      </c>
      <c r="L558" s="216"/>
    </row>
    <row r="559" spans="2:12" ht="15" customHeight="1" thickBot="1" x14ac:dyDescent="0.25">
      <c r="B559" s="47">
        <f t="shared" ref="B559:J561" si="221">B493+B496+B499+B502+B505+B508+B511+B514+B517+B520+B523+B526+B529+B532+B535+B538+B541+B544+B547+B550+B553+B556</f>
        <v>10001</v>
      </c>
      <c r="C559" s="47">
        <f t="shared" si="221"/>
        <v>6655</v>
      </c>
      <c r="D559" s="47">
        <f t="shared" si="221"/>
        <v>3346</v>
      </c>
      <c r="E559" s="47">
        <f t="shared" si="221"/>
        <v>47</v>
      </c>
      <c r="F559" s="47">
        <f t="shared" si="221"/>
        <v>21</v>
      </c>
      <c r="G559" s="47">
        <f t="shared" si="221"/>
        <v>26</v>
      </c>
      <c r="H559" s="47">
        <f t="shared" si="221"/>
        <v>9954</v>
      </c>
      <c r="I559" s="47">
        <f t="shared" si="221"/>
        <v>6634</v>
      </c>
      <c r="J559" s="47">
        <f>J493+J496+J499+J502+J505+J508+J511+J514+J517+J520+J523+J526+J529+J532+J535+J538+J541+J544+J547+J550+J553+J556</f>
        <v>3320</v>
      </c>
      <c r="K559" s="188" t="s">
        <v>236</v>
      </c>
      <c r="L559" s="217"/>
    </row>
    <row r="560" spans="2:12" ht="15" customHeight="1" thickBot="1" x14ac:dyDescent="0.25">
      <c r="B560" s="47">
        <f t="shared" si="221"/>
        <v>681</v>
      </c>
      <c r="C560" s="47">
        <f t="shared" si="221"/>
        <v>681</v>
      </c>
      <c r="D560" s="47">
        <f t="shared" si="221"/>
        <v>0</v>
      </c>
      <c r="E560" s="47">
        <f t="shared" si="221"/>
        <v>0</v>
      </c>
      <c r="F560" s="47">
        <f t="shared" si="221"/>
        <v>0</v>
      </c>
      <c r="G560" s="47">
        <f t="shared" si="221"/>
        <v>0</v>
      </c>
      <c r="H560" s="47">
        <f t="shared" si="221"/>
        <v>681</v>
      </c>
      <c r="I560" s="47">
        <f t="shared" si="221"/>
        <v>681</v>
      </c>
      <c r="J560" s="47">
        <f t="shared" si="221"/>
        <v>0</v>
      </c>
      <c r="K560" s="188" t="s">
        <v>237</v>
      </c>
      <c r="L560" s="218" t="s">
        <v>188</v>
      </c>
    </row>
    <row r="561" spans="2:12" ht="15" customHeight="1" thickBot="1" x14ac:dyDescent="0.25">
      <c r="B561" s="47">
        <f t="shared" si="221"/>
        <v>10682</v>
      </c>
      <c r="C561" s="47">
        <f t="shared" si="221"/>
        <v>7336</v>
      </c>
      <c r="D561" s="47">
        <f t="shared" si="221"/>
        <v>3346</v>
      </c>
      <c r="E561" s="47">
        <f t="shared" si="221"/>
        <v>47</v>
      </c>
      <c r="F561" s="47">
        <f t="shared" si="221"/>
        <v>21</v>
      </c>
      <c r="G561" s="47">
        <f t="shared" si="221"/>
        <v>26</v>
      </c>
      <c r="H561" s="47">
        <f t="shared" si="221"/>
        <v>10635</v>
      </c>
      <c r="I561" s="47">
        <f t="shared" si="221"/>
        <v>7315</v>
      </c>
      <c r="J561" s="47">
        <f t="shared" si="221"/>
        <v>3320</v>
      </c>
      <c r="K561" s="188" t="s">
        <v>12</v>
      </c>
      <c r="L561" s="219"/>
    </row>
    <row r="562" spans="2:12" ht="15" customHeight="1" thickBot="1" x14ac:dyDescent="0.25">
      <c r="B562" s="476" t="s">
        <v>4</v>
      </c>
      <c r="C562" s="476"/>
      <c r="D562" s="476"/>
      <c r="E562" s="476" t="s">
        <v>145</v>
      </c>
      <c r="F562" s="476"/>
      <c r="G562" s="476"/>
      <c r="H562" s="476" t="s">
        <v>146</v>
      </c>
      <c r="I562" s="476"/>
      <c r="J562" s="476"/>
      <c r="K562" s="479" t="s">
        <v>66</v>
      </c>
      <c r="L562" s="479"/>
    </row>
    <row r="563" spans="2:12" ht="15" customHeight="1" thickBot="1" x14ac:dyDescent="0.25">
      <c r="B563" s="185" t="s">
        <v>227</v>
      </c>
      <c r="C563" s="185" t="s">
        <v>10</v>
      </c>
      <c r="D563" s="185" t="s">
        <v>9</v>
      </c>
      <c r="E563" s="185" t="s">
        <v>227</v>
      </c>
      <c r="F563" s="185" t="s">
        <v>10</v>
      </c>
      <c r="G563" s="185" t="s">
        <v>9</v>
      </c>
      <c r="H563" s="185" t="s">
        <v>227</v>
      </c>
      <c r="I563" s="185" t="s">
        <v>10</v>
      </c>
      <c r="J563" s="185" t="s">
        <v>9</v>
      </c>
      <c r="K563" s="480" t="s">
        <v>76</v>
      </c>
      <c r="L563" s="480"/>
    </row>
    <row r="564" spans="2:12" ht="15" customHeight="1" thickBot="1" x14ac:dyDescent="0.25">
      <c r="B564" s="47">
        <f>SUM(C564:D564)</f>
        <v>680</v>
      </c>
      <c r="C564" s="47">
        <f>I564+F564</f>
        <v>0</v>
      </c>
      <c r="D564" s="47">
        <f>J564+G564</f>
        <v>680</v>
      </c>
      <c r="E564" s="47">
        <f>SUM(F564:G564)</f>
        <v>0</v>
      </c>
      <c r="F564" s="47">
        <v>0</v>
      </c>
      <c r="G564" s="47">
        <v>0</v>
      </c>
      <c r="H564" s="47">
        <f>SUM(I564:J564)</f>
        <v>680</v>
      </c>
      <c r="I564" s="47">
        <v>0</v>
      </c>
      <c r="J564" s="47">
        <v>680</v>
      </c>
      <c r="K564" s="188" t="s">
        <v>233</v>
      </c>
      <c r="L564" s="215"/>
    </row>
    <row r="565" spans="2:12" ht="15" customHeight="1" thickBot="1" x14ac:dyDescent="0.25">
      <c r="B565" s="47">
        <f t="shared" ref="B565:B607" si="222">SUM(C565:D565)</f>
        <v>0</v>
      </c>
      <c r="C565" s="47">
        <f t="shared" ref="C565:D607" si="223">I565+F565</f>
        <v>0</v>
      </c>
      <c r="D565" s="47">
        <f t="shared" si="223"/>
        <v>0</v>
      </c>
      <c r="E565" s="47">
        <f t="shared" ref="E565:E607" si="224">SUM(F565:G565)</f>
        <v>0</v>
      </c>
      <c r="F565" s="47">
        <v>0</v>
      </c>
      <c r="G565" s="47">
        <v>0</v>
      </c>
      <c r="H565" s="47">
        <f t="shared" ref="H565:H607" si="225">SUM(I565:J565)</f>
        <v>0</v>
      </c>
      <c r="I565" s="47">
        <v>0</v>
      </c>
      <c r="J565" s="47">
        <v>0</v>
      </c>
      <c r="K565" s="188" t="s">
        <v>234</v>
      </c>
      <c r="L565" s="215" t="s">
        <v>483</v>
      </c>
    </row>
    <row r="566" spans="2:12" ht="15" customHeight="1" thickBot="1" x14ac:dyDescent="0.25">
      <c r="B566" s="47">
        <f t="shared" ref="B566:I566" si="226">SUM(B564:B565)</f>
        <v>680</v>
      </c>
      <c r="C566" s="47">
        <f t="shared" si="226"/>
        <v>0</v>
      </c>
      <c r="D566" s="47">
        <f t="shared" si="226"/>
        <v>680</v>
      </c>
      <c r="E566" s="47">
        <f t="shared" si="226"/>
        <v>0</v>
      </c>
      <c r="F566" s="47">
        <f t="shared" si="226"/>
        <v>0</v>
      </c>
      <c r="G566" s="47">
        <f t="shared" si="226"/>
        <v>0</v>
      </c>
      <c r="H566" s="47">
        <f t="shared" si="226"/>
        <v>680</v>
      </c>
      <c r="I566" s="47">
        <f t="shared" si="226"/>
        <v>0</v>
      </c>
      <c r="J566" s="47">
        <f>SUM(J564:J565)</f>
        <v>680</v>
      </c>
      <c r="K566" s="188" t="s">
        <v>12</v>
      </c>
      <c r="L566" s="216"/>
    </row>
    <row r="567" spans="2:12" ht="15" customHeight="1" thickBot="1" x14ac:dyDescent="0.25">
      <c r="B567" s="47">
        <f t="shared" si="222"/>
        <v>1277</v>
      </c>
      <c r="C567" s="47">
        <f t="shared" si="223"/>
        <v>388</v>
      </c>
      <c r="D567" s="47">
        <f t="shared" si="223"/>
        <v>889</v>
      </c>
      <c r="E567" s="47">
        <f t="shared" si="224"/>
        <v>6</v>
      </c>
      <c r="F567" s="47">
        <v>5</v>
      </c>
      <c r="G567" s="47">
        <v>1</v>
      </c>
      <c r="H567" s="47">
        <f t="shared" si="225"/>
        <v>1271</v>
      </c>
      <c r="I567" s="47">
        <v>383</v>
      </c>
      <c r="J567" s="47">
        <v>888</v>
      </c>
      <c r="K567" s="188" t="s">
        <v>233</v>
      </c>
      <c r="L567" s="215"/>
    </row>
    <row r="568" spans="2:12" ht="15" customHeight="1" thickBot="1" x14ac:dyDescent="0.25">
      <c r="B568" s="47">
        <f t="shared" si="222"/>
        <v>0</v>
      </c>
      <c r="C568" s="47">
        <f t="shared" si="223"/>
        <v>0</v>
      </c>
      <c r="D568" s="47">
        <f t="shared" si="223"/>
        <v>0</v>
      </c>
      <c r="E568" s="47">
        <f t="shared" si="224"/>
        <v>0</v>
      </c>
      <c r="F568" s="47">
        <v>0</v>
      </c>
      <c r="G568" s="47">
        <v>0</v>
      </c>
      <c r="H568" s="47">
        <f t="shared" si="225"/>
        <v>0</v>
      </c>
      <c r="I568" s="47">
        <v>0</v>
      </c>
      <c r="J568" s="47">
        <v>0</v>
      </c>
      <c r="K568" s="188" t="s">
        <v>234</v>
      </c>
      <c r="L568" s="215" t="s">
        <v>367</v>
      </c>
    </row>
    <row r="569" spans="2:12" ht="15" customHeight="1" thickBot="1" x14ac:dyDescent="0.25">
      <c r="B569" s="47">
        <f t="shared" ref="B569:I569" si="227">SUM(B567:B568)</f>
        <v>1277</v>
      </c>
      <c r="C569" s="47">
        <f t="shared" si="227"/>
        <v>388</v>
      </c>
      <c r="D569" s="47">
        <f t="shared" si="227"/>
        <v>889</v>
      </c>
      <c r="E569" s="47">
        <f t="shared" si="227"/>
        <v>6</v>
      </c>
      <c r="F569" s="47">
        <f t="shared" si="227"/>
        <v>5</v>
      </c>
      <c r="G569" s="47">
        <f t="shared" si="227"/>
        <v>1</v>
      </c>
      <c r="H569" s="47">
        <f t="shared" si="227"/>
        <v>1271</v>
      </c>
      <c r="I569" s="47">
        <f t="shared" si="227"/>
        <v>383</v>
      </c>
      <c r="J569" s="47">
        <f>SUM(J567:J568)</f>
        <v>888</v>
      </c>
      <c r="K569" s="188" t="s">
        <v>12</v>
      </c>
      <c r="L569" s="216"/>
    </row>
    <row r="570" spans="2:12" ht="15" customHeight="1" thickBot="1" x14ac:dyDescent="0.25">
      <c r="B570" s="47">
        <f t="shared" si="222"/>
        <v>535</v>
      </c>
      <c r="C570" s="47">
        <f t="shared" si="223"/>
        <v>535</v>
      </c>
      <c r="D570" s="47">
        <f t="shared" si="223"/>
        <v>0</v>
      </c>
      <c r="E570" s="47">
        <f t="shared" si="224"/>
        <v>0</v>
      </c>
      <c r="F570" s="47">
        <v>0</v>
      </c>
      <c r="G570" s="47">
        <v>0</v>
      </c>
      <c r="H570" s="47">
        <f t="shared" si="225"/>
        <v>535</v>
      </c>
      <c r="I570" s="47">
        <v>535</v>
      </c>
      <c r="J570" s="47">
        <v>0</v>
      </c>
      <c r="K570" s="188" t="s">
        <v>233</v>
      </c>
      <c r="L570" s="215"/>
    </row>
    <row r="571" spans="2:12" ht="15" customHeight="1" thickBot="1" x14ac:dyDescent="0.25">
      <c r="B571" s="47">
        <f t="shared" si="222"/>
        <v>90</v>
      </c>
      <c r="C571" s="47">
        <f t="shared" si="223"/>
        <v>90</v>
      </c>
      <c r="D571" s="47">
        <f t="shared" si="223"/>
        <v>0</v>
      </c>
      <c r="E571" s="47">
        <f t="shared" si="224"/>
        <v>0</v>
      </c>
      <c r="F571" s="47">
        <v>0</v>
      </c>
      <c r="G571" s="47">
        <v>0</v>
      </c>
      <c r="H571" s="47">
        <f t="shared" si="225"/>
        <v>90</v>
      </c>
      <c r="I571" s="47">
        <v>90</v>
      </c>
      <c r="J571" s="47">
        <v>0</v>
      </c>
      <c r="K571" s="188" t="s">
        <v>234</v>
      </c>
      <c r="L571" s="215" t="s">
        <v>484</v>
      </c>
    </row>
    <row r="572" spans="2:12" ht="15" customHeight="1" thickBot="1" x14ac:dyDescent="0.25">
      <c r="B572" s="47">
        <f t="shared" ref="B572:I572" si="228">SUM(B570:B571)</f>
        <v>625</v>
      </c>
      <c r="C572" s="47">
        <f t="shared" si="228"/>
        <v>625</v>
      </c>
      <c r="D572" s="47">
        <f t="shared" si="228"/>
        <v>0</v>
      </c>
      <c r="E572" s="47">
        <f t="shared" si="228"/>
        <v>0</v>
      </c>
      <c r="F572" s="47">
        <f t="shared" si="228"/>
        <v>0</v>
      </c>
      <c r="G572" s="47">
        <f t="shared" si="228"/>
        <v>0</v>
      </c>
      <c r="H572" s="47">
        <f t="shared" si="228"/>
        <v>625</v>
      </c>
      <c r="I572" s="47">
        <f t="shared" si="228"/>
        <v>625</v>
      </c>
      <c r="J572" s="47">
        <f>SUM(J570:J571)</f>
        <v>0</v>
      </c>
      <c r="K572" s="188" t="s">
        <v>12</v>
      </c>
      <c r="L572" s="216"/>
    </row>
    <row r="573" spans="2:12" ht="15" customHeight="1" thickBot="1" x14ac:dyDescent="0.25">
      <c r="B573" s="47">
        <f t="shared" si="222"/>
        <v>671</v>
      </c>
      <c r="C573" s="47">
        <f t="shared" si="223"/>
        <v>671</v>
      </c>
      <c r="D573" s="47">
        <f t="shared" si="223"/>
        <v>0</v>
      </c>
      <c r="E573" s="47">
        <f t="shared" si="224"/>
        <v>4</v>
      </c>
      <c r="F573" s="47">
        <v>4</v>
      </c>
      <c r="G573" s="47">
        <v>0</v>
      </c>
      <c r="H573" s="47">
        <f t="shared" si="225"/>
        <v>667</v>
      </c>
      <c r="I573" s="47">
        <v>667</v>
      </c>
      <c r="J573" s="47">
        <v>0</v>
      </c>
      <c r="K573" s="188" t="s">
        <v>233</v>
      </c>
      <c r="L573" s="215"/>
    </row>
    <row r="574" spans="2:12" ht="15" customHeight="1" thickBot="1" x14ac:dyDescent="0.25">
      <c r="B574" s="47">
        <f t="shared" si="222"/>
        <v>780</v>
      </c>
      <c r="C574" s="47">
        <f t="shared" si="223"/>
        <v>780</v>
      </c>
      <c r="D574" s="47">
        <f t="shared" si="223"/>
        <v>0</v>
      </c>
      <c r="E574" s="47">
        <f t="shared" si="224"/>
        <v>7</v>
      </c>
      <c r="F574" s="47">
        <v>7</v>
      </c>
      <c r="G574" s="47">
        <v>0</v>
      </c>
      <c r="H574" s="47">
        <f t="shared" si="225"/>
        <v>773</v>
      </c>
      <c r="I574" s="47">
        <v>773</v>
      </c>
      <c r="J574" s="47">
        <v>0</v>
      </c>
      <c r="K574" s="188" t="s">
        <v>234</v>
      </c>
      <c r="L574" s="215" t="s">
        <v>485</v>
      </c>
    </row>
    <row r="575" spans="2:12" ht="15" customHeight="1" thickBot="1" x14ac:dyDescent="0.25">
      <c r="B575" s="47">
        <f t="shared" ref="B575:I575" si="229">SUM(B573:B574)</f>
        <v>1451</v>
      </c>
      <c r="C575" s="47">
        <f t="shared" si="229"/>
        <v>1451</v>
      </c>
      <c r="D575" s="47">
        <f t="shared" si="229"/>
        <v>0</v>
      </c>
      <c r="E575" s="47">
        <f t="shared" si="229"/>
        <v>11</v>
      </c>
      <c r="F575" s="47">
        <f t="shared" si="229"/>
        <v>11</v>
      </c>
      <c r="G575" s="47">
        <f t="shared" si="229"/>
        <v>0</v>
      </c>
      <c r="H575" s="47">
        <f t="shared" si="229"/>
        <v>1440</v>
      </c>
      <c r="I575" s="47">
        <f t="shared" si="229"/>
        <v>1440</v>
      </c>
      <c r="J575" s="47">
        <f>SUM(J573:J574)</f>
        <v>0</v>
      </c>
      <c r="K575" s="188" t="s">
        <v>12</v>
      </c>
      <c r="L575" s="216"/>
    </row>
    <row r="576" spans="2:12" ht="15" customHeight="1" thickBot="1" x14ac:dyDescent="0.25">
      <c r="B576" s="47">
        <f t="shared" si="222"/>
        <v>468</v>
      </c>
      <c r="C576" s="47">
        <f t="shared" si="223"/>
        <v>468</v>
      </c>
      <c r="D576" s="47">
        <f t="shared" si="223"/>
        <v>0</v>
      </c>
      <c r="E576" s="47">
        <f t="shared" si="224"/>
        <v>2</v>
      </c>
      <c r="F576" s="47">
        <v>2</v>
      </c>
      <c r="G576" s="47">
        <v>0</v>
      </c>
      <c r="H576" s="47">
        <f t="shared" si="225"/>
        <v>466</v>
      </c>
      <c r="I576" s="47">
        <v>466</v>
      </c>
      <c r="J576" s="47">
        <v>0</v>
      </c>
      <c r="K576" s="188" t="s">
        <v>233</v>
      </c>
      <c r="L576" s="215"/>
    </row>
    <row r="577" spans="2:12" ht="15" customHeight="1" thickBot="1" x14ac:dyDescent="0.25">
      <c r="B577" s="47">
        <f t="shared" si="222"/>
        <v>0</v>
      </c>
      <c r="C577" s="47">
        <f t="shared" si="223"/>
        <v>0</v>
      </c>
      <c r="D577" s="47">
        <f t="shared" si="223"/>
        <v>0</v>
      </c>
      <c r="E577" s="47">
        <f t="shared" si="224"/>
        <v>0</v>
      </c>
      <c r="F577" s="47">
        <v>0</v>
      </c>
      <c r="G577" s="47">
        <v>0</v>
      </c>
      <c r="H577" s="47">
        <f t="shared" si="225"/>
        <v>0</v>
      </c>
      <c r="I577" s="47">
        <v>0</v>
      </c>
      <c r="J577" s="47">
        <v>0</v>
      </c>
      <c r="K577" s="188" t="s">
        <v>234</v>
      </c>
      <c r="L577" s="215" t="s">
        <v>486</v>
      </c>
    </row>
    <row r="578" spans="2:12" ht="15" customHeight="1" thickBot="1" x14ac:dyDescent="0.25">
      <c r="B578" s="47">
        <f t="shared" ref="B578:I578" si="230">SUM(B576:B577)</f>
        <v>468</v>
      </c>
      <c r="C578" s="47">
        <f t="shared" si="230"/>
        <v>468</v>
      </c>
      <c r="D578" s="47">
        <f t="shared" si="230"/>
        <v>0</v>
      </c>
      <c r="E578" s="47">
        <f t="shared" si="230"/>
        <v>2</v>
      </c>
      <c r="F578" s="47">
        <f t="shared" si="230"/>
        <v>2</v>
      </c>
      <c r="G578" s="47">
        <f t="shared" si="230"/>
        <v>0</v>
      </c>
      <c r="H578" s="47">
        <f t="shared" si="230"/>
        <v>466</v>
      </c>
      <c r="I578" s="47">
        <f t="shared" si="230"/>
        <v>466</v>
      </c>
      <c r="J578" s="47">
        <f>SUM(J576:J577)</f>
        <v>0</v>
      </c>
      <c r="K578" s="188" t="s">
        <v>12</v>
      </c>
      <c r="L578" s="216"/>
    </row>
    <row r="579" spans="2:12" ht="15" customHeight="1" thickBot="1" x14ac:dyDescent="0.25">
      <c r="B579" s="47">
        <f t="shared" si="222"/>
        <v>471</v>
      </c>
      <c r="C579" s="47">
        <f t="shared" si="223"/>
        <v>471</v>
      </c>
      <c r="D579" s="47">
        <f t="shared" si="223"/>
        <v>0</v>
      </c>
      <c r="E579" s="47">
        <f t="shared" si="224"/>
        <v>0</v>
      </c>
      <c r="F579" s="47">
        <v>0</v>
      </c>
      <c r="G579" s="47">
        <v>0</v>
      </c>
      <c r="H579" s="47">
        <f t="shared" si="225"/>
        <v>471</v>
      </c>
      <c r="I579" s="47">
        <v>471</v>
      </c>
      <c r="J579" s="47">
        <v>0</v>
      </c>
      <c r="K579" s="188" t="s">
        <v>233</v>
      </c>
      <c r="L579" s="215"/>
    </row>
    <row r="580" spans="2:12" ht="15" customHeight="1" thickBot="1" x14ac:dyDescent="0.25">
      <c r="B580" s="47">
        <f t="shared" si="222"/>
        <v>639</v>
      </c>
      <c r="C580" s="47">
        <f t="shared" si="223"/>
        <v>639</v>
      </c>
      <c r="D580" s="47">
        <f t="shared" si="223"/>
        <v>0</v>
      </c>
      <c r="E580" s="47">
        <f t="shared" si="224"/>
        <v>0</v>
      </c>
      <c r="F580" s="47">
        <v>0</v>
      </c>
      <c r="G580" s="47">
        <v>0</v>
      </c>
      <c r="H580" s="47">
        <f t="shared" si="225"/>
        <v>639</v>
      </c>
      <c r="I580" s="47">
        <v>639</v>
      </c>
      <c r="J580" s="47">
        <v>0</v>
      </c>
      <c r="K580" s="188" t="s">
        <v>234</v>
      </c>
      <c r="L580" s="215" t="s">
        <v>487</v>
      </c>
    </row>
    <row r="581" spans="2:12" ht="15" customHeight="1" thickBot="1" x14ac:dyDescent="0.25">
      <c r="B581" s="47">
        <f t="shared" ref="B581:I581" si="231">SUM(B579:B580)</f>
        <v>1110</v>
      </c>
      <c r="C581" s="47">
        <f t="shared" si="231"/>
        <v>1110</v>
      </c>
      <c r="D581" s="47">
        <f t="shared" si="231"/>
        <v>0</v>
      </c>
      <c r="E581" s="47">
        <f t="shared" si="231"/>
        <v>0</v>
      </c>
      <c r="F581" s="47">
        <f t="shared" si="231"/>
        <v>0</v>
      </c>
      <c r="G581" s="47">
        <f t="shared" si="231"/>
        <v>0</v>
      </c>
      <c r="H581" s="47">
        <f t="shared" si="231"/>
        <v>1110</v>
      </c>
      <c r="I581" s="47">
        <f t="shared" si="231"/>
        <v>1110</v>
      </c>
      <c r="J581" s="47">
        <f>SUM(J579:J580)</f>
        <v>0</v>
      </c>
      <c r="K581" s="188" t="s">
        <v>12</v>
      </c>
      <c r="L581" s="216"/>
    </row>
    <row r="582" spans="2:12" ht="15" customHeight="1" thickBot="1" x14ac:dyDescent="0.25">
      <c r="B582" s="47">
        <f t="shared" si="222"/>
        <v>58</v>
      </c>
      <c r="C582" s="47">
        <f t="shared" si="223"/>
        <v>0</v>
      </c>
      <c r="D582" s="47">
        <f t="shared" si="223"/>
        <v>58</v>
      </c>
      <c r="E582" s="47">
        <f t="shared" si="224"/>
        <v>0</v>
      </c>
      <c r="F582" s="47">
        <v>0</v>
      </c>
      <c r="G582" s="47">
        <v>0</v>
      </c>
      <c r="H582" s="47">
        <f t="shared" si="225"/>
        <v>58</v>
      </c>
      <c r="I582" s="47">
        <v>0</v>
      </c>
      <c r="J582" s="47">
        <v>58</v>
      </c>
      <c r="K582" s="188" t="s">
        <v>233</v>
      </c>
      <c r="L582" s="215"/>
    </row>
    <row r="583" spans="2:12" ht="15" customHeight="1" thickBot="1" x14ac:dyDescent="0.25">
      <c r="B583" s="47">
        <f t="shared" si="222"/>
        <v>0</v>
      </c>
      <c r="C583" s="47">
        <f t="shared" si="223"/>
        <v>0</v>
      </c>
      <c r="D583" s="47">
        <f t="shared" si="223"/>
        <v>0</v>
      </c>
      <c r="E583" s="47">
        <f t="shared" si="224"/>
        <v>0</v>
      </c>
      <c r="F583" s="47">
        <v>0</v>
      </c>
      <c r="G583" s="47">
        <v>0</v>
      </c>
      <c r="H583" s="47">
        <f t="shared" si="225"/>
        <v>0</v>
      </c>
      <c r="I583" s="47">
        <v>0</v>
      </c>
      <c r="J583" s="47">
        <v>0</v>
      </c>
      <c r="K583" s="188" t="s">
        <v>234</v>
      </c>
      <c r="L583" s="215" t="s">
        <v>488</v>
      </c>
    </row>
    <row r="584" spans="2:12" ht="15" customHeight="1" thickBot="1" x14ac:dyDescent="0.25">
      <c r="B584" s="47">
        <f t="shared" ref="B584:I584" si="232">SUM(B582:B583)</f>
        <v>58</v>
      </c>
      <c r="C584" s="47">
        <f t="shared" si="232"/>
        <v>0</v>
      </c>
      <c r="D584" s="47">
        <f t="shared" si="232"/>
        <v>58</v>
      </c>
      <c r="E584" s="47">
        <f t="shared" si="232"/>
        <v>0</v>
      </c>
      <c r="F584" s="47">
        <f t="shared" si="232"/>
        <v>0</v>
      </c>
      <c r="G584" s="47">
        <f t="shared" si="232"/>
        <v>0</v>
      </c>
      <c r="H584" s="47">
        <f t="shared" si="232"/>
        <v>58</v>
      </c>
      <c r="I584" s="47">
        <f t="shared" si="232"/>
        <v>0</v>
      </c>
      <c r="J584" s="47">
        <f>SUM(J582:J583)</f>
        <v>58</v>
      </c>
      <c r="K584" s="188" t="s">
        <v>12</v>
      </c>
      <c r="L584" s="216"/>
    </row>
    <row r="585" spans="2:12" ht="15" customHeight="1" thickBot="1" x14ac:dyDescent="0.25">
      <c r="B585" s="47">
        <f t="shared" si="222"/>
        <v>99</v>
      </c>
      <c r="C585" s="47">
        <f t="shared" si="223"/>
        <v>0</v>
      </c>
      <c r="D585" s="47">
        <f t="shared" si="223"/>
        <v>99</v>
      </c>
      <c r="E585" s="47">
        <f t="shared" si="224"/>
        <v>0</v>
      </c>
      <c r="F585" s="47">
        <v>0</v>
      </c>
      <c r="G585" s="47">
        <v>0</v>
      </c>
      <c r="H585" s="47">
        <f t="shared" si="225"/>
        <v>99</v>
      </c>
      <c r="I585" s="47">
        <v>0</v>
      </c>
      <c r="J585" s="47">
        <v>99</v>
      </c>
      <c r="K585" s="188" t="s">
        <v>233</v>
      </c>
      <c r="L585" s="215"/>
    </row>
    <row r="586" spans="2:12" ht="15" customHeight="1" thickBot="1" x14ac:dyDescent="0.25">
      <c r="B586" s="47">
        <f t="shared" si="222"/>
        <v>0</v>
      </c>
      <c r="C586" s="47">
        <f t="shared" si="223"/>
        <v>0</v>
      </c>
      <c r="D586" s="47">
        <f t="shared" si="223"/>
        <v>0</v>
      </c>
      <c r="E586" s="47">
        <f t="shared" si="224"/>
        <v>0</v>
      </c>
      <c r="F586" s="47">
        <v>0</v>
      </c>
      <c r="G586" s="47">
        <v>0</v>
      </c>
      <c r="H586" s="47">
        <f t="shared" si="225"/>
        <v>0</v>
      </c>
      <c r="I586" s="47">
        <v>0</v>
      </c>
      <c r="J586" s="47">
        <v>0</v>
      </c>
      <c r="K586" s="188" t="s">
        <v>234</v>
      </c>
      <c r="L586" s="215" t="s">
        <v>489</v>
      </c>
    </row>
    <row r="587" spans="2:12" ht="15" customHeight="1" thickBot="1" x14ac:dyDescent="0.25">
      <c r="B587" s="47">
        <f t="shared" ref="B587:I587" si="233">SUM(B585:B586)</f>
        <v>99</v>
      </c>
      <c r="C587" s="47">
        <f t="shared" si="233"/>
        <v>0</v>
      </c>
      <c r="D587" s="47">
        <f t="shared" si="233"/>
        <v>99</v>
      </c>
      <c r="E587" s="47">
        <f t="shared" si="233"/>
        <v>0</v>
      </c>
      <c r="F587" s="47">
        <f t="shared" si="233"/>
        <v>0</v>
      </c>
      <c r="G587" s="47">
        <f t="shared" si="233"/>
        <v>0</v>
      </c>
      <c r="H587" s="47">
        <f t="shared" si="233"/>
        <v>99</v>
      </c>
      <c r="I587" s="47">
        <f t="shared" si="233"/>
        <v>0</v>
      </c>
      <c r="J587" s="47">
        <f>SUM(J585:J586)</f>
        <v>99</v>
      </c>
      <c r="K587" s="188" t="s">
        <v>12</v>
      </c>
      <c r="L587" s="216"/>
    </row>
    <row r="588" spans="2:12" ht="15" customHeight="1" thickBot="1" x14ac:dyDescent="0.25">
      <c r="B588" s="47">
        <f t="shared" si="222"/>
        <v>82</v>
      </c>
      <c r="C588" s="47">
        <f t="shared" si="223"/>
        <v>82</v>
      </c>
      <c r="D588" s="47">
        <f t="shared" si="223"/>
        <v>0</v>
      </c>
      <c r="E588" s="47">
        <f t="shared" si="224"/>
        <v>0</v>
      </c>
      <c r="F588" s="47">
        <v>0</v>
      </c>
      <c r="G588" s="47">
        <v>0</v>
      </c>
      <c r="H588" s="47">
        <f t="shared" si="225"/>
        <v>82</v>
      </c>
      <c r="I588" s="47">
        <v>82</v>
      </c>
      <c r="J588" s="47">
        <v>0</v>
      </c>
      <c r="K588" s="188" t="s">
        <v>233</v>
      </c>
      <c r="L588" s="215"/>
    </row>
    <row r="589" spans="2:12" ht="15" customHeight="1" thickBot="1" x14ac:dyDescent="0.25">
      <c r="B589" s="47">
        <f t="shared" si="222"/>
        <v>0</v>
      </c>
      <c r="C589" s="47">
        <f t="shared" si="223"/>
        <v>0</v>
      </c>
      <c r="D589" s="47">
        <f t="shared" si="223"/>
        <v>0</v>
      </c>
      <c r="E589" s="47">
        <f t="shared" si="224"/>
        <v>0</v>
      </c>
      <c r="F589" s="47">
        <v>0</v>
      </c>
      <c r="G589" s="47">
        <v>0</v>
      </c>
      <c r="H589" s="47">
        <f t="shared" si="225"/>
        <v>0</v>
      </c>
      <c r="I589" s="47">
        <v>0</v>
      </c>
      <c r="J589" s="47">
        <v>0</v>
      </c>
      <c r="K589" s="188" t="s">
        <v>234</v>
      </c>
      <c r="L589" s="215" t="s">
        <v>490</v>
      </c>
    </row>
    <row r="590" spans="2:12" ht="15" customHeight="1" thickBot="1" x14ac:dyDescent="0.25">
      <c r="B590" s="47">
        <f t="shared" ref="B590:I590" si="234">SUM(B588:B589)</f>
        <v>82</v>
      </c>
      <c r="C590" s="47">
        <f t="shared" si="234"/>
        <v>82</v>
      </c>
      <c r="D590" s="47">
        <f t="shared" si="234"/>
        <v>0</v>
      </c>
      <c r="E590" s="47">
        <f t="shared" si="234"/>
        <v>0</v>
      </c>
      <c r="F590" s="47">
        <f t="shared" si="234"/>
        <v>0</v>
      </c>
      <c r="G590" s="47">
        <f t="shared" si="234"/>
        <v>0</v>
      </c>
      <c r="H590" s="47">
        <f t="shared" si="234"/>
        <v>82</v>
      </c>
      <c r="I590" s="47">
        <f t="shared" si="234"/>
        <v>82</v>
      </c>
      <c r="J590" s="47">
        <f>SUM(J588:J589)</f>
        <v>0</v>
      </c>
      <c r="K590" s="188" t="s">
        <v>12</v>
      </c>
      <c r="L590" s="216"/>
    </row>
    <row r="591" spans="2:12" ht="15" customHeight="1" thickBot="1" x14ac:dyDescent="0.25">
      <c r="B591" s="47">
        <f t="shared" si="222"/>
        <v>120</v>
      </c>
      <c r="C591" s="47">
        <f t="shared" si="223"/>
        <v>120</v>
      </c>
      <c r="D591" s="47">
        <f t="shared" si="223"/>
        <v>0</v>
      </c>
      <c r="E591" s="47">
        <f t="shared" si="224"/>
        <v>0</v>
      </c>
      <c r="F591" s="47">
        <v>0</v>
      </c>
      <c r="G591" s="47">
        <v>0</v>
      </c>
      <c r="H591" s="47">
        <f t="shared" si="225"/>
        <v>120</v>
      </c>
      <c r="I591" s="47">
        <v>120</v>
      </c>
      <c r="J591" s="47">
        <v>0</v>
      </c>
      <c r="K591" s="188" t="s">
        <v>233</v>
      </c>
      <c r="L591" s="215"/>
    </row>
    <row r="592" spans="2:12" ht="15" customHeight="1" thickBot="1" x14ac:dyDescent="0.25">
      <c r="B592" s="47">
        <f t="shared" si="222"/>
        <v>0</v>
      </c>
      <c r="C592" s="47">
        <f t="shared" si="223"/>
        <v>0</v>
      </c>
      <c r="D592" s="47">
        <f t="shared" si="223"/>
        <v>0</v>
      </c>
      <c r="E592" s="47">
        <f t="shared" si="224"/>
        <v>0</v>
      </c>
      <c r="F592" s="47">
        <v>0</v>
      </c>
      <c r="G592" s="47">
        <v>0</v>
      </c>
      <c r="H592" s="47">
        <f t="shared" si="225"/>
        <v>0</v>
      </c>
      <c r="I592" s="47">
        <v>0</v>
      </c>
      <c r="J592" s="47">
        <v>0</v>
      </c>
      <c r="K592" s="188" t="s">
        <v>234</v>
      </c>
      <c r="L592" s="215" t="s">
        <v>491</v>
      </c>
    </row>
    <row r="593" spans="2:12" ht="15" customHeight="1" thickBot="1" x14ac:dyDescent="0.25">
      <c r="B593" s="47">
        <f t="shared" ref="B593:I593" si="235">SUM(B591:B592)</f>
        <v>120</v>
      </c>
      <c r="C593" s="47">
        <f t="shared" si="235"/>
        <v>120</v>
      </c>
      <c r="D593" s="47">
        <f t="shared" si="235"/>
        <v>0</v>
      </c>
      <c r="E593" s="47">
        <f t="shared" si="235"/>
        <v>0</v>
      </c>
      <c r="F593" s="47">
        <f t="shared" si="235"/>
        <v>0</v>
      </c>
      <c r="G593" s="47">
        <f t="shared" si="235"/>
        <v>0</v>
      </c>
      <c r="H593" s="47">
        <f t="shared" si="235"/>
        <v>120</v>
      </c>
      <c r="I593" s="47">
        <f t="shared" si="235"/>
        <v>120</v>
      </c>
      <c r="J593" s="47">
        <f>SUM(J591:J592)</f>
        <v>0</v>
      </c>
      <c r="K593" s="188" t="s">
        <v>12</v>
      </c>
      <c r="L593" s="216"/>
    </row>
    <row r="594" spans="2:12" ht="15" customHeight="1" thickBot="1" x14ac:dyDescent="0.25">
      <c r="B594" s="47">
        <f t="shared" si="222"/>
        <v>849</v>
      </c>
      <c r="C594" s="47">
        <f t="shared" si="223"/>
        <v>351</v>
      </c>
      <c r="D594" s="47">
        <f t="shared" si="223"/>
        <v>498</v>
      </c>
      <c r="E594" s="47">
        <f t="shared" si="224"/>
        <v>10</v>
      </c>
      <c r="F594" s="47">
        <v>7</v>
      </c>
      <c r="G594" s="47">
        <v>3</v>
      </c>
      <c r="H594" s="47">
        <f t="shared" si="225"/>
        <v>839</v>
      </c>
      <c r="I594" s="47">
        <v>344</v>
      </c>
      <c r="J594" s="47">
        <v>495</v>
      </c>
      <c r="K594" s="188" t="s">
        <v>233</v>
      </c>
      <c r="L594" s="215"/>
    </row>
    <row r="595" spans="2:12" ht="15" customHeight="1" thickBot="1" x14ac:dyDescent="0.25">
      <c r="B595" s="47">
        <f t="shared" si="222"/>
        <v>0</v>
      </c>
      <c r="C595" s="47">
        <f t="shared" si="223"/>
        <v>0</v>
      </c>
      <c r="D595" s="47">
        <f t="shared" si="223"/>
        <v>0</v>
      </c>
      <c r="E595" s="47">
        <f t="shared" si="224"/>
        <v>0</v>
      </c>
      <c r="F595" s="47">
        <v>0</v>
      </c>
      <c r="G595" s="47">
        <v>0</v>
      </c>
      <c r="H595" s="47">
        <f t="shared" si="225"/>
        <v>0</v>
      </c>
      <c r="I595" s="47">
        <v>0</v>
      </c>
      <c r="J595" s="47">
        <v>0</v>
      </c>
      <c r="K595" s="188" t="s">
        <v>234</v>
      </c>
      <c r="L595" s="215" t="s">
        <v>492</v>
      </c>
    </row>
    <row r="596" spans="2:12" ht="15" customHeight="1" thickBot="1" x14ac:dyDescent="0.25">
      <c r="B596" s="47">
        <f t="shared" ref="B596:I596" si="236">SUM(B594:B595)</f>
        <v>849</v>
      </c>
      <c r="C596" s="47">
        <f t="shared" si="236"/>
        <v>351</v>
      </c>
      <c r="D596" s="47">
        <f t="shared" si="236"/>
        <v>498</v>
      </c>
      <c r="E596" s="47">
        <f t="shared" si="236"/>
        <v>10</v>
      </c>
      <c r="F596" s="47">
        <f t="shared" si="236"/>
        <v>7</v>
      </c>
      <c r="G596" s="47">
        <f t="shared" si="236"/>
        <v>3</v>
      </c>
      <c r="H596" s="47">
        <f t="shared" si="236"/>
        <v>839</v>
      </c>
      <c r="I596" s="47">
        <f t="shared" si="236"/>
        <v>344</v>
      </c>
      <c r="J596" s="47">
        <f>SUM(J594:J595)</f>
        <v>495</v>
      </c>
      <c r="K596" s="188" t="s">
        <v>12</v>
      </c>
      <c r="L596" s="216"/>
    </row>
    <row r="597" spans="2:12" ht="15" customHeight="1" thickBot="1" x14ac:dyDescent="0.25">
      <c r="B597" s="47">
        <f t="shared" si="222"/>
        <v>813</v>
      </c>
      <c r="C597" s="47">
        <f t="shared" si="223"/>
        <v>313</v>
      </c>
      <c r="D597" s="47">
        <f t="shared" si="223"/>
        <v>500</v>
      </c>
      <c r="E597" s="47">
        <f t="shared" si="224"/>
        <v>5</v>
      </c>
      <c r="F597" s="47">
        <v>2</v>
      </c>
      <c r="G597" s="47">
        <v>3</v>
      </c>
      <c r="H597" s="47">
        <f t="shared" si="225"/>
        <v>808</v>
      </c>
      <c r="I597" s="47">
        <v>311</v>
      </c>
      <c r="J597" s="47">
        <v>497</v>
      </c>
      <c r="K597" s="188" t="s">
        <v>233</v>
      </c>
      <c r="L597" s="215"/>
    </row>
    <row r="598" spans="2:12" ht="15" customHeight="1" thickBot="1" x14ac:dyDescent="0.25">
      <c r="B598" s="47">
        <f t="shared" si="222"/>
        <v>0</v>
      </c>
      <c r="C598" s="47">
        <f t="shared" si="223"/>
        <v>0</v>
      </c>
      <c r="D598" s="47">
        <f t="shared" si="223"/>
        <v>0</v>
      </c>
      <c r="E598" s="47">
        <f t="shared" si="224"/>
        <v>0</v>
      </c>
      <c r="F598" s="47">
        <v>0</v>
      </c>
      <c r="G598" s="47">
        <v>0</v>
      </c>
      <c r="H598" s="47">
        <f t="shared" si="225"/>
        <v>0</v>
      </c>
      <c r="I598" s="47">
        <v>0</v>
      </c>
      <c r="J598" s="47">
        <v>0</v>
      </c>
      <c r="K598" s="188" t="s">
        <v>234</v>
      </c>
      <c r="L598" s="215" t="s">
        <v>493</v>
      </c>
    </row>
    <row r="599" spans="2:12" ht="15" customHeight="1" thickBot="1" x14ac:dyDescent="0.25">
      <c r="B599" s="47">
        <f t="shared" ref="B599:I599" si="237">SUM(B597:B598)</f>
        <v>813</v>
      </c>
      <c r="C599" s="47">
        <f t="shared" si="237"/>
        <v>313</v>
      </c>
      <c r="D599" s="47">
        <f t="shared" si="237"/>
        <v>500</v>
      </c>
      <c r="E599" s="47">
        <f t="shared" si="237"/>
        <v>5</v>
      </c>
      <c r="F599" s="47">
        <f t="shared" si="237"/>
        <v>2</v>
      </c>
      <c r="G599" s="47">
        <f t="shared" si="237"/>
        <v>3</v>
      </c>
      <c r="H599" s="47">
        <f t="shared" si="237"/>
        <v>808</v>
      </c>
      <c r="I599" s="47">
        <f t="shared" si="237"/>
        <v>311</v>
      </c>
      <c r="J599" s="47">
        <f>SUM(J597:J598)</f>
        <v>497</v>
      </c>
      <c r="K599" s="188" t="s">
        <v>12</v>
      </c>
      <c r="L599" s="216"/>
    </row>
    <row r="600" spans="2:12" ht="15" customHeight="1" thickBot="1" x14ac:dyDescent="0.25">
      <c r="B600" s="47">
        <f t="shared" si="222"/>
        <v>1248</v>
      </c>
      <c r="C600" s="47">
        <f t="shared" si="223"/>
        <v>696</v>
      </c>
      <c r="D600" s="47">
        <f t="shared" si="223"/>
        <v>552</v>
      </c>
      <c r="E600" s="47">
        <f t="shared" si="224"/>
        <v>14</v>
      </c>
      <c r="F600" s="47">
        <v>11</v>
      </c>
      <c r="G600" s="47">
        <v>3</v>
      </c>
      <c r="H600" s="47">
        <f t="shared" si="225"/>
        <v>1234</v>
      </c>
      <c r="I600" s="47">
        <v>685</v>
      </c>
      <c r="J600" s="47">
        <v>549</v>
      </c>
      <c r="K600" s="188" t="s">
        <v>233</v>
      </c>
      <c r="L600" s="215"/>
    </row>
    <row r="601" spans="2:12" ht="15" customHeight="1" thickBot="1" x14ac:dyDescent="0.25">
      <c r="B601" s="47">
        <f t="shared" si="222"/>
        <v>1750</v>
      </c>
      <c r="C601" s="47">
        <f t="shared" si="223"/>
        <v>530</v>
      </c>
      <c r="D601" s="47">
        <f t="shared" si="223"/>
        <v>1220</v>
      </c>
      <c r="E601" s="47">
        <f t="shared" si="224"/>
        <v>81</v>
      </c>
      <c r="F601" s="47">
        <v>56</v>
      </c>
      <c r="G601" s="47">
        <v>25</v>
      </c>
      <c r="H601" s="47">
        <f t="shared" si="225"/>
        <v>1669</v>
      </c>
      <c r="I601" s="47">
        <v>474</v>
      </c>
      <c r="J601" s="47">
        <v>1195</v>
      </c>
      <c r="K601" s="188" t="s">
        <v>234</v>
      </c>
      <c r="L601" s="215" t="s">
        <v>189</v>
      </c>
    </row>
    <row r="602" spans="2:12" ht="15" customHeight="1" thickBot="1" x14ac:dyDescent="0.25">
      <c r="B602" s="47">
        <f t="shared" ref="B602:I602" si="238">SUM(B600:B601)</f>
        <v>2998</v>
      </c>
      <c r="C602" s="47">
        <f t="shared" si="238"/>
        <v>1226</v>
      </c>
      <c r="D602" s="47">
        <f t="shared" si="238"/>
        <v>1772</v>
      </c>
      <c r="E602" s="47">
        <f t="shared" si="238"/>
        <v>95</v>
      </c>
      <c r="F602" s="47">
        <f t="shared" si="238"/>
        <v>67</v>
      </c>
      <c r="G602" s="47">
        <f t="shared" si="238"/>
        <v>28</v>
      </c>
      <c r="H602" s="47">
        <f t="shared" si="238"/>
        <v>2903</v>
      </c>
      <c r="I602" s="47">
        <f t="shared" si="238"/>
        <v>1159</v>
      </c>
      <c r="J602" s="47">
        <f>SUM(J600:J601)</f>
        <v>1744</v>
      </c>
      <c r="K602" s="188" t="s">
        <v>12</v>
      </c>
      <c r="L602" s="216"/>
    </row>
    <row r="603" spans="2:12" ht="15" customHeight="1" thickBot="1" x14ac:dyDescent="0.25">
      <c r="B603" s="47">
        <f t="shared" si="222"/>
        <v>87</v>
      </c>
      <c r="C603" s="47">
        <f t="shared" si="223"/>
        <v>87</v>
      </c>
      <c r="D603" s="47">
        <f t="shared" si="223"/>
        <v>0</v>
      </c>
      <c r="E603" s="47">
        <f t="shared" si="224"/>
        <v>0</v>
      </c>
      <c r="F603" s="47">
        <v>0</v>
      </c>
      <c r="G603" s="47">
        <v>0</v>
      </c>
      <c r="H603" s="47">
        <f t="shared" si="225"/>
        <v>87</v>
      </c>
      <c r="I603" s="47">
        <v>87</v>
      </c>
      <c r="J603" s="47">
        <v>0</v>
      </c>
      <c r="K603" s="188" t="s">
        <v>233</v>
      </c>
      <c r="L603" s="215"/>
    </row>
    <row r="604" spans="2:12" ht="15" customHeight="1" thickBot="1" x14ac:dyDescent="0.25">
      <c r="B604" s="47">
        <f t="shared" si="222"/>
        <v>0</v>
      </c>
      <c r="C604" s="47">
        <f t="shared" si="223"/>
        <v>0</v>
      </c>
      <c r="D604" s="47">
        <f t="shared" si="223"/>
        <v>0</v>
      </c>
      <c r="E604" s="47">
        <f t="shared" si="224"/>
        <v>0</v>
      </c>
      <c r="F604" s="47">
        <v>0</v>
      </c>
      <c r="G604" s="47">
        <v>0</v>
      </c>
      <c r="H604" s="47">
        <f t="shared" si="225"/>
        <v>0</v>
      </c>
      <c r="I604" s="47">
        <v>0</v>
      </c>
      <c r="J604" s="47">
        <v>0</v>
      </c>
      <c r="K604" s="188" t="s">
        <v>234</v>
      </c>
      <c r="L604" s="215" t="s">
        <v>494</v>
      </c>
    </row>
    <row r="605" spans="2:12" ht="15" customHeight="1" thickBot="1" x14ac:dyDescent="0.25">
      <c r="B605" s="47">
        <f t="shared" ref="B605:I605" si="239">SUM(B603:B604)</f>
        <v>87</v>
      </c>
      <c r="C605" s="47">
        <f t="shared" si="239"/>
        <v>87</v>
      </c>
      <c r="D605" s="47">
        <f t="shared" si="239"/>
        <v>0</v>
      </c>
      <c r="E605" s="47">
        <f t="shared" si="239"/>
        <v>0</v>
      </c>
      <c r="F605" s="47">
        <f t="shared" si="239"/>
        <v>0</v>
      </c>
      <c r="G605" s="47">
        <f t="shared" si="239"/>
        <v>0</v>
      </c>
      <c r="H605" s="47">
        <f t="shared" si="239"/>
        <v>87</v>
      </c>
      <c r="I605" s="47">
        <f t="shared" si="239"/>
        <v>87</v>
      </c>
      <c r="J605" s="47">
        <f>SUM(J603:J604)</f>
        <v>0</v>
      </c>
      <c r="K605" s="188" t="s">
        <v>12</v>
      </c>
      <c r="L605" s="216"/>
    </row>
    <row r="606" spans="2:12" ht="15" customHeight="1" thickBot="1" x14ac:dyDescent="0.25">
      <c r="B606" s="47">
        <f t="shared" si="222"/>
        <v>857</v>
      </c>
      <c r="C606" s="47">
        <f t="shared" si="223"/>
        <v>857</v>
      </c>
      <c r="D606" s="47">
        <f t="shared" si="223"/>
        <v>0</v>
      </c>
      <c r="E606" s="47">
        <f t="shared" si="224"/>
        <v>5</v>
      </c>
      <c r="F606" s="47">
        <v>5</v>
      </c>
      <c r="G606" s="47">
        <v>0</v>
      </c>
      <c r="H606" s="47">
        <f t="shared" si="225"/>
        <v>852</v>
      </c>
      <c r="I606" s="47">
        <v>852</v>
      </c>
      <c r="J606" s="47">
        <v>0</v>
      </c>
      <c r="K606" s="188" t="s">
        <v>233</v>
      </c>
      <c r="L606" s="215"/>
    </row>
    <row r="607" spans="2:12" ht="15" customHeight="1" thickBot="1" x14ac:dyDescent="0.25">
      <c r="B607" s="47">
        <f t="shared" si="222"/>
        <v>336</v>
      </c>
      <c r="C607" s="47">
        <f t="shared" si="223"/>
        <v>336</v>
      </c>
      <c r="D607" s="47">
        <f t="shared" si="223"/>
        <v>0</v>
      </c>
      <c r="E607" s="47">
        <f t="shared" si="224"/>
        <v>7</v>
      </c>
      <c r="F607" s="47">
        <v>7</v>
      </c>
      <c r="G607" s="47">
        <v>0</v>
      </c>
      <c r="H607" s="47">
        <f t="shared" si="225"/>
        <v>329</v>
      </c>
      <c r="I607" s="47">
        <v>329</v>
      </c>
      <c r="J607" s="47">
        <v>0</v>
      </c>
      <c r="K607" s="188" t="s">
        <v>234</v>
      </c>
      <c r="L607" s="215" t="s">
        <v>495</v>
      </c>
    </row>
    <row r="608" spans="2:12" ht="15" customHeight="1" thickBot="1" x14ac:dyDescent="0.25">
      <c r="B608" s="47">
        <f t="shared" ref="B608:I608" si="240">SUM(B606:B607)</f>
        <v>1193</v>
      </c>
      <c r="C608" s="47">
        <f t="shared" si="240"/>
        <v>1193</v>
      </c>
      <c r="D608" s="47">
        <f t="shared" si="240"/>
        <v>0</v>
      </c>
      <c r="E608" s="47">
        <f t="shared" si="240"/>
        <v>12</v>
      </c>
      <c r="F608" s="47">
        <f t="shared" si="240"/>
        <v>12</v>
      </c>
      <c r="G608" s="47">
        <f t="shared" si="240"/>
        <v>0</v>
      </c>
      <c r="H608" s="47">
        <f t="shared" si="240"/>
        <v>1181</v>
      </c>
      <c r="I608" s="47">
        <f t="shared" si="240"/>
        <v>1181</v>
      </c>
      <c r="J608" s="47">
        <f>SUM(J606:J607)</f>
        <v>0</v>
      </c>
      <c r="K608" s="188" t="s">
        <v>12</v>
      </c>
      <c r="L608" s="216"/>
    </row>
    <row r="609" spans="2:12" ht="15" customHeight="1" thickBot="1" x14ac:dyDescent="0.25">
      <c r="B609" s="47">
        <f t="shared" ref="B609:J611" si="241">B564+B567+B570+B573+B576+B579+B582+B585+B588+B591+B594+B597+B600+B603+B606</f>
        <v>8315</v>
      </c>
      <c r="C609" s="47">
        <f t="shared" si="241"/>
        <v>5039</v>
      </c>
      <c r="D609" s="47">
        <f t="shared" si="241"/>
        <v>3276</v>
      </c>
      <c r="E609" s="47">
        <f t="shared" si="241"/>
        <v>46</v>
      </c>
      <c r="F609" s="47">
        <f t="shared" si="241"/>
        <v>36</v>
      </c>
      <c r="G609" s="47">
        <f t="shared" si="241"/>
        <v>10</v>
      </c>
      <c r="H609" s="47">
        <f t="shared" si="241"/>
        <v>8269</v>
      </c>
      <c r="I609" s="47">
        <f t="shared" si="241"/>
        <v>5003</v>
      </c>
      <c r="J609" s="47">
        <f>J564+J567+J570+J573+J576+J579+J582+J585+J588+J591+J594+J597+J600+J603+J606</f>
        <v>3266</v>
      </c>
      <c r="K609" s="188" t="s">
        <v>236</v>
      </c>
      <c r="L609" s="217"/>
    </row>
    <row r="610" spans="2:12" ht="15" customHeight="1" thickBot="1" x14ac:dyDescent="0.25">
      <c r="B610" s="47">
        <f t="shared" si="241"/>
        <v>3595</v>
      </c>
      <c r="C610" s="47">
        <f t="shared" si="241"/>
        <v>2375</v>
      </c>
      <c r="D610" s="47">
        <f t="shared" si="241"/>
        <v>1220</v>
      </c>
      <c r="E610" s="47">
        <f t="shared" si="241"/>
        <v>95</v>
      </c>
      <c r="F610" s="47">
        <f t="shared" si="241"/>
        <v>70</v>
      </c>
      <c r="G610" s="47">
        <f t="shared" si="241"/>
        <v>25</v>
      </c>
      <c r="H610" s="47">
        <f t="shared" si="241"/>
        <v>3500</v>
      </c>
      <c r="I610" s="47">
        <f t="shared" si="241"/>
        <v>2305</v>
      </c>
      <c r="J610" s="47">
        <f t="shared" si="241"/>
        <v>1195</v>
      </c>
      <c r="K610" s="188" t="s">
        <v>237</v>
      </c>
      <c r="L610" s="218" t="s">
        <v>188</v>
      </c>
    </row>
    <row r="611" spans="2:12" ht="15" customHeight="1" thickBot="1" x14ac:dyDescent="0.25">
      <c r="B611" s="47">
        <f t="shared" si="241"/>
        <v>11910</v>
      </c>
      <c r="C611" s="47">
        <f t="shared" si="241"/>
        <v>7414</v>
      </c>
      <c r="D611" s="47">
        <f t="shared" si="241"/>
        <v>4496</v>
      </c>
      <c r="E611" s="47">
        <f t="shared" si="241"/>
        <v>141</v>
      </c>
      <c r="F611" s="47">
        <f t="shared" si="241"/>
        <v>106</v>
      </c>
      <c r="G611" s="47">
        <f t="shared" si="241"/>
        <v>35</v>
      </c>
      <c r="H611" s="47">
        <f t="shared" si="241"/>
        <v>11769</v>
      </c>
      <c r="I611" s="47">
        <f t="shared" si="241"/>
        <v>7308</v>
      </c>
      <c r="J611" s="47">
        <f t="shared" si="241"/>
        <v>4461</v>
      </c>
      <c r="K611" s="188" t="s">
        <v>12</v>
      </c>
      <c r="L611" s="219"/>
    </row>
    <row r="612" spans="2:12" ht="15" customHeight="1" thickBot="1" x14ac:dyDescent="0.25">
      <c r="B612" s="476" t="s">
        <v>4</v>
      </c>
      <c r="C612" s="476"/>
      <c r="D612" s="476"/>
      <c r="E612" s="476" t="s">
        <v>145</v>
      </c>
      <c r="F612" s="476"/>
      <c r="G612" s="476"/>
      <c r="H612" s="476" t="s">
        <v>146</v>
      </c>
      <c r="I612" s="476"/>
      <c r="J612" s="476"/>
      <c r="K612" s="479" t="s">
        <v>66</v>
      </c>
      <c r="L612" s="479"/>
    </row>
    <row r="613" spans="2:12" ht="15" customHeight="1" thickBot="1" x14ac:dyDescent="0.25">
      <c r="B613" s="185" t="s">
        <v>227</v>
      </c>
      <c r="C613" s="185" t="s">
        <v>10</v>
      </c>
      <c r="D613" s="185" t="s">
        <v>9</v>
      </c>
      <c r="E613" s="185" t="s">
        <v>227</v>
      </c>
      <c r="F613" s="185" t="s">
        <v>10</v>
      </c>
      <c r="G613" s="185" t="s">
        <v>9</v>
      </c>
      <c r="H613" s="185" t="s">
        <v>227</v>
      </c>
      <c r="I613" s="185" t="s">
        <v>10</v>
      </c>
      <c r="J613" s="185" t="s">
        <v>9</v>
      </c>
      <c r="K613" s="480" t="s">
        <v>77</v>
      </c>
      <c r="L613" s="480"/>
    </row>
    <row r="614" spans="2:12" ht="15" customHeight="1" thickBot="1" x14ac:dyDescent="0.25">
      <c r="B614" s="47">
        <f>SUM(C614:D614)</f>
        <v>764</v>
      </c>
      <c r="C614" s="47">
        <f>I614+F614</f>
        <v>0</v>
      </c>
      <c r="D614" s="47">
        <f>J614+G614</f>
        <v>764</v>
      </c>
      <c r="E614" s="47">
        <f>SUM(F614:G614)</f>
        <v>0</v>
      </c>
      <c r="F614" s="47">
        <v>0</v>
      </c>
      <c r="G614" s="47">
        <v>0</v>
      </c>
      <c r="H614" s="47">
        <f>SUM(I614:J614)</f>
        <v>764</v>
      </c>
      <c r="I614" s="47">
        <v>0</v>
      </c>
      <c r="J614" s="47">
        <v>764</v>
      </c>
      <c r="K614" s="188" t="s">
        <v>233</v>
      </c>
      <c r="L614" s="215"/>
    </row>
    <row r="615" spans="2:12" ht="15" customHeight="1" thickBot="1" x14ac:dyDescent="0.25">
      <c r="B615" s="47">
        <f t="shared" ref="B615:B654" si="242">SUM(C615:D615)</f>
        <v>0</v>
      </c>
      <c r="C615" s="47">
        <f t="shared" ref="C615:D654" si="243">I615+F615</f>
        <v>0</v>
      </c>
      <c r="D615" s="47">
        <f t="shared" si="243"/>
        <v>0</v>
      </c>
      <c r="E615" s="47">
        <f t="shared" ref="E615:E654" si="244">SUM(F615:G615)</f>
        <v>0</v>
      </c>
      <c r="F615" s="47">
        <v>0</v>
      </c>
      <c r="G615" s="47">
        <v>0</v>
      </c>
      <c r="H615" s="47">
        <f t="shared" ref="H615:H654" si="245">SUM(I615:J615)</f>
        <v>0</v>
      </c>
      <c r="I615" s="47">
        <v>0</v>
      </c>
      <c r="J615" s="47">
        <v>0</v>
      </c>
      <c r="K615" s="188" t="s">
        <v>234</v>
      </c>
      <c r="L615" s="215" t="s">
        <v>274</v>
      </c>
    </row>
    <row r="616" spans="2:12" ht="15" customHeight="1" thickBot="1" x14ac:dyDescent="0.25">
      <c r="B616" s="47">
        <f t="shared" ref="B616:I616" si="246">SUM(B614:B615)</f>
        <v>764</v>
      </c>
      <c r="C616" s="47">
        <f t="shared" si="246"/>
        <v>0</v>
      </c>
      <c r="D616" s="47">
        <f t="shared" si="246"/>
        <v>764</v>
      </c>
      <c r="E616" s="47">
        <f t="shared" si="246"/>
        <v>0</v>
      </c>
      <c r="F616" s="47">
        <f t="shared" si="246"/>
        <v>0</v>
      </c>
      <c r="G616" s="47">
        <f t="shared" si="246"/>
        <v>0</v>
      </c>
      <c r="H616" s="47">
        <f t="shared" si="246"/>
        <v>764</v>
      </c>
      <c r="I616" s="47">
        <f t="shared" si="246"/>
        <v>0</v>
      </c>
      <c r="J616" s="47">
        <f>SUM(J614:J615)</f>
        <v>764</v>
      </c>
      <c r="K616" s="188" t="s">
        <v>12</v>
      </c>
      <c r="L616" s="216"/>
    </row>
    <row r="617" spans="2:12" ht="15" customHeight="1" thickBot="1" x14ac:dyDescent="0.25">
      <c r="B617" s="47">
        <f t="shared" si="242"/>
        <v>1493</v>
      </c>
      <c r="C617" s="47">
        <f t="shared" si="243"/>
        <v>1285</v>
      </c>
      <c r="D617" s="47">
        <f t="shared" si="243"/>
        <v>208</v>
      </c>
      <c r="E617" s="47">
        <f t="shared" si="244"/>
        <v>8</v>
      </c>
      <c r="F617" s="47">
        <v>1</v>
      </c>
      <c r="G617" s="47">
        <v>7</v>
      </c>
      <c r="H617" s="47">
        <f t="shared" si="245"/>
        <v>1485</v>
      </c>
      <c r="I617" s="47">
        <v>1284</v>
      </c>
      <c r="J617" s="47">
        <v>201</v>
      </c>
      <c r="K617" s="188" t="s">
        <v>233</v>
      </c>
      <c r="L617" s="215"/>
    </row>
    <row r="618" spans="2:12" ht="15" customHeight="1" thickBot="1" x14ac:dyDescent="0.25">
      <c r="B618" s="47">
        <f t="shared" si="242"/>
        <v>0</v>
      </c>
      <c r="C618" s="47">
        <f t="shared" si="243"/>
        <v>0</v>
      </c>
      <c r="D618" s="47">
        <f t="shared" si="243"/>
        <v>0</v>
      </c>
      <c r="E618" s="47">
        <f t="shared" si="244"/>
        <v>0</v>
      </c>
      <c r="F618" s="47">
        <v>0</v>
      </c>
      <c r="G618" s="47">
        <v>0</v>
      </c>
      <c r="H618" s="47">
        <f t="shared" si="245"/>
        <v>0</v>
      </c>
      <c r="I618" s="47">
        <v>0</v>
      </c>
      <c r="J618" s="47">
        <v>0</v>
      </c>
      <c r="K618" s="188" t="s">
        <v>234</v>
      </c>
      <c r="L618" s="215" t="s">
        <v>496</v>
      </c>
    </row>
    <row r="619" spans="2:12" ht="15" customHeight="1" thickBot="1" x14ac:dyDescent="0.25">
      <c r="B619" s="47">
        <f t="shared" ref="B619:I619" si="247">SUM(B617:B618)</f>
        <v>1493</v>
      </c>
      <c r="C619" s="47">
        <f t="shared" si="247"/>
        <v>1285</v>
      </c>
      <c r="D619" s="47">
        <f t="shared" si="247"/>
        <v>208</v>
      </c>
      <c r="E619" s="47">
        <f t="shared" si="247"/>
        <v>8</v>
      </c>
      <c r="F619" s="47">
        <f t="shared" si="247"/>
        <v>1</v>
      </c>
      <c r="G619" s="47">
        <f t="shared" si="247"/>
        <v>7</v>
      </c>
      <c r="H619" s="47">
        <f t="shared" si="247"/>
        <v>1485</v>
      </c>
      <c r="I619" s="47">
        <f t="shared" si="247"/>
        <v>1284</v>
      </c>
      <c r="J619" s="47">
        <f>SUM(J617:J618)</f>
        <v>201</v>
      </c>
      <c r="K619" s="188" t="s">
        <v>12</v>
      </c>
      <c r="L619" s="216"/>
    </row>
    <row r="620" spans="2:12" ht="15" customHeight="1" thickBot="1" x14ac:dyDescent="0.25">
      <c r="B620" s="47">
        <f t="shared" si="242"/>
        <v>2043</v>
      </c>
      <c r="C620" s="47">
        <f t="shared" si="243"/>
        <v>1215</v>
      </c>
      <c r="D620" s="47">
        <f t="shared" si="243"/>
        <v>828</v>
      </c>
      <c r="E620" s="47">
        <f t="shared" si="244"/>
        <v>20</v>
      </c>
      <c r="F620" s="47">
        <v>15</v>
      </c>
      <c r="G620" s="47">
        <v>5</v>
      </c>
      <c r="H620" s="47">
        <f t="shared" si="245"/>
        <v>2023</v>
      </c>
      <c r="I620" s="47">
        <v>1200</v>
      </c>
      <c r="J620" s="47">
        <v>823</v>
      </c>
      <c r="K620" s="188" t="s">
        <v>233</v>
      </c>
      <c r="L620" s="215"/>
    </row>
    <row r="621" spans="2:12" ht="15" customHeight="1" thickBot="1" x14ac:dyDescent="0.25">
      <c r="B621" s="47">
        <f t="shared" si="242"/>
        <v>1</v>
      </c>
      <c r="C621" s="47">
        <f t="shared" si="243"/>
        <v>1</v>
      </c>
      <c r="D621" s="47">
        <f t="shared" si="243"/>
        <v>0</v>
      </c>
      <c r="E621" s="47">
        <f t="shared" si="244"/>
        <v>0</v>
      </c>
      <c r="F621" s="47">
        <v>0</v>
      </c>
      <c r="G621" s="47">
        <v>0</v>
      </c>
      <c r="H621" s="47">
        <f t="shared" si="245"/>
        <v>1</v>
      </c>
      <c r="I621" s="47">
        <v>1</v>
      </c>
      <c r="J621" s="47">
        <v>0</v>
      </c>
      <c r="K621" s="188" t="s">
        <v>234</v>
      </c>
      <c r="L621" s="215" t="s">
        <v>367</v>
      </c>
    </row>
    <row r="622" spans="2:12" ht="15" customHeight="1" thickBot="1" x14ac:dyDescent="0.25">
      <c r="B622" s="47">
        <f t="shared" ref="B622:I622" si="248">SUM(B620:B621)</f>
        <v>2044</v>
      </c>
      <c r="C622" s="47">
        <f t="shared" si="248"/>
        <v>1216</v>
      </c>
      <c r="D622" s="47">
        <f t="shared" si="248"/>
        <v>828</v>
      </c>
      <c r="E622" s="47">
        <f t="shared" si="248"/>
        <v>20</v>
      </c>
      <c r="F622" s="47">
        <f t="shared" si="248"/>
        <v>15</v>
      </c>
      <c r="G622" s="47">
        <f t="shared" si="248"/>
        <v>5</v>
      </c>
      <c r="H622" s="47">
        <f t="shared" si="248"/>
        <v>2024</v>
      </c>
      <c r="I622" s="47">
        <f t="shared" si="248"/>
        <v>1201</v>
      </c>
      <c r="J622" s="47">
        <f>SUM(J620:J621)</f>
        <v>823</v>
      </c>
      <c r="K622" s="188" t="s">
        <v>12</v>
      </c>
      <c r="L622" s="216"/>
    </row>
    <row r="623" spans="2:12" ht="15" customHeight="1" thickBot="1" x14ac:dyDescent="0.25">
      <c r="B623" s="47">
        <f t="shared" si="242"/>
        <v>117</v>
      </c>
      <c r="C623" s="47">
        <f t="shared" si="243"/>
        <v>0</v>
      </c>
      <c r="D623" s="47">
        <f t="shared" si="243"/>
        <v>117</v>
      </c>
      <c r="E623" s="47">
        <f t="shared" si="244"/>
        <v>0</v>
      </c>
      <c r="F623" s="47">
        <v>0</v>
      </c>
      <c r="G623" s="47">
        <v>0</v>
      </c>
      <c r="H623" s="47">
        <f t="shared" si="245"/>
        <v>117</v>
      </c>
      <c r="I623" s="47">
        <v>0</v>
      </c>
      <c r="J623" s="47">
        <v>117</v>
      </c>
      <c r="K623" s="188" t="s">
        <v>233</v>
      </c>
      <c r="L623" s="215"/>
    </row>
    <row r="624" spans="2:12" ht="15" customHeight="1" thickBot="1" x14ac:dyDescent="0.25">
      <c r="B624" s="47">
        <f t="shared" si="242"/>
        <v>0</v>
      </c>
      <c r="C624" s="47">
        <f t="shared" si="243"/>
        <v>0</v>
      </c>
      <c r="D624" s="47">
        <f t="shared" si="243"/>
        <v>0</v>
      </c>
      <c r="E624" s="47">
        <f t="shared" si="244"/>
        <v>0</v>
      </c>
      <c r="F624" s="47">
        <v>0</v>
      </c>
      <c r="G624" s="47">
        <v>0</v>
      </c>
      <c r="H624" s="47">
        <f t="shared" si="245"/>
        <v>0</v>
      </c>
      <c r="I624" s="47">
        <v>0</v>
      </c>
      <c r="J624" s="47">
        <v>0</v>
      </c>
      <c r="K624" s="188" t="s">
        <v>234</v>
      </c>
      <c r="L624" s="215" t="s">
        <v>497</v>
      </c>
    </row>
    <row r="625" spans="2:12" ht="15" customHeight="1" thickBot="1" x14ac:dyDescent="0.25">
      <c r="B625" s="47">
        <f t="shared" ref="B625:I625" si="249">SUM(B623:B624)</f>
        <v>117</v>
      </c>
      <c r="C625" s="47">
        <f t="shared" si="249"/>
        <v>0</v>
      </c>
      <c r="D625" s="47">
        <f t="shared" si="249"/>
        <v>117</v>
      </c>
      <c r="E625" s="47">
        <f t="shared" si="249"/>
        <v>0</v>
      </c>
      <c r="F625" s="47">
        <f t="shared" si="249"/>
        <v>0</v>
      </c>
      <c r="G625" s="47">
        <f t="shared" si="249"/>
        <v>0</v>
      </c>
      <c r="H625" s="47">
        <f t="shared" si="249"/>
        <v>117</v>
      </c>
      <c r="I625" s="47">
        <f t="shared" si="249"/>
        <v>0</v>
      </c>
      <c r="J625" s="47">
        <f>SUM(J623:J624)</f>
        <v>117</v>
      </c>
      <c r="K625" s="188" t="s">
        <v>12</v>
      </c>
      <c r="L625" s="216"/>
    </row>
    <row r="626" spans="2:12" ht="15" customHeight="1" thickBot="1" x14ac:dyDescent="0.25">
      <c r="B626" s="47">
        <f t="shared" si="242"/>
        <v>500</v>
      </c>
      <c r="C626" s="47">
        <f t="shared" si="243"/>
        <v>243</v>
      </c>
      <c r="D626" s="47">
        <f t="shared" si="243"/>
        <v>257</v>
      </c>
      <c r="E626" s="47">
        <f t="shared" si="244"/>
        <v>5</v>
      </c>
      <c r="F626" s="47">
        <v>3</v>
      </c>
      <c r="G626" s="47">
        <v>2</v>
      </c>
      <c r="H626" s="47">
        <f t="shared" si="245"/>
        <v>495</v>
      </c>
      <c r="I626" s="47">
        <v>240</v>
      </c>
      <c r="J626" s="47">
        <v>255</v>
      </c>
      <c r="K626" s="188" t="s">
        <v>233</v>
      </c>
      <c r="L626" s="215"/>
    </row>
    <row r="627" spans="2:12" ht="15" customHeight="1" thickBot="1" x14ac:dyDescent="0.25">
      <c r="B627" s="47">
        <f t="shared" si="242"/>
        <v>0</v>
      </c>
      <c r="C627" s="47">
        <f t="shared" si="243"/>
        <v>0</v>
      </c>
      <c r="D627" s="47">
        <f t="shared" si="243"/>
        <v>0</v>
      </c>
      <c r="E627" s="47">
        <f t="shared" si="244"/>
        <v>0</v>
      </c>
      <c r="F627" s="47">
        <v>0</v>
      </c>
      <c r="G627" s="47">
        <v>0</v>
      </c>
      <c r="H627" s="47">
        <f t="shared" si="245"/>
        <v>0</v>
      </c>
      <c r="I627" s="47">
        <v>0</v>
      </c>
      <c r="J627" s="47">
        <v>0</v>
      </c>
      <c r="K627" s="188" t="s">
        <v>234</v>
      </c>
      <c r="L627" s="215" t="s">
        <v>498</v>
      </c>
    </row>
    <row r="628" spans="2:12" ht="15" customHeight="1" thickBot="1" x14ac:dyDescent="0.25">
      <c r="B628" s="47">
        <f t="shared" ref="B628:I628" si="250">SUM(B626:B627)</f>
        <v>500</v>
      </c>
      <c r="C628" s="47">
        <f t="shared" si="250"/>
        <v>243</v>
      </c>
      <c r="D628" s="47">
        <f t="shared" si="250"/>
        <v>257</v>
      </c>
      <c r="E628" s="47">
        <f t="shared" si="250"/>
        <v>5</v>
      </c>
      <c r="F628" s="47">
        <f t="shared" si="250"/>
        <v>3</v>
      </c>
      <c r="G628" s="47">
        <f t="shared" si="250"/>
        <v>2</v>
      </c>
      <c r="H628" s="47">
        <f t="shared" si="250"/>
        <v>495</v>
      </c>
      <c r="I628" s="47">
        <f t="shared" si="250"/>
        <v>240</v>
      </c>
      <c r="J628" s="47">
        <f>SUM(J626:J627)</f>
        <v>255</v>
      </c>
      <c r="K628" s="188" t="s">
        <v>12</v>
      </c>
      <c r="L628" s="216"/>
    </row>
    <row r="629" spans="2:12" ht="15" customHeight="1" thickBot="1" x14ac:dyDescent="0.25">
      <c r="B629" s="47">
        <f t="shared" si="242"/>
        <v>491</v>
      </c>
      <c r="C629" s="47">
        <f t="shared" si="243"/>
        <v>266</v>
      </c>
      <c r="D629" s="47">
        <f t="shared" si="243"/>
        <v>225</v>
      </c>
      <c r="E629" s="47">
        <f t="shared" si="244"/>
        <v>5</v>
      </c>
      <c r="F629" s="47">
        <v>3</v>
      </c>
      <c r="G629" s="47">
        <v>2</v>
      </c>
      <c r="H629" s="47">
        <f t="shared" si="245"/>
        <v>486</v>
      </c>
      <c r="I629" s="47">
        <v>263</v>
      </c>
      <c r="J629" s="47">
        <v>223</v>
      </c>
      <c r="K629" s="188" t="s">
        <v>233</v>
      </c>
      <c r="L629" s="215"/>
    </row>
    <row r="630" spans="2:12" ht="15" customHeight="1" thickBot="1" x14ac:dyDescent="0.25">
      <c r="B630" s="47">
        <f t="shared" si="242"/>
        <v>0</v>
      </c>
      <c r="C630" s="47">
        <f t="shared" si="243"/>
        <v>0</v>
      </c>
      <c r="D630" s="47">
        <f t="shared" si="243"/>
        <v>0</v>
      </c>
      <c r="E630" s="47">
        <f t="shared" si="244"/>
        <v>0</v>
      </c>
      <c r="F630" s="47">
        <v>0</v>
      </c>
      <c r="G630" s="47">
        <v>0</v>
      </c>
      <c r="H630" s="47">
        <f t="shared" si="245"/>
        <v>0</v>
      </c>
      <c r="I630" s="47">
        <v>0</v>
      </c>
      <c r="J630" s="47">
        <v>0</v>
      </c>
      <c r="K630" s="188" t="s">
        <v>234</v>
      </c>
      <c r="L630" s="215" t="s">
        <v>499</v>
      </c>
    </row>
    <row r="631" spans="2:12" ht="15" customHeight="1" thickBot="1" x14ac:dyDescent="0.25">
      <c r="B631" s="47">
        <f t="shared" ref="B631:I631" si="251">SUM(B629:B630)</f>
        <v>491</v>
      </c>
      <c r="C631" s="47">
        <f t="shared" si="251"/>
        <v>266</v>
      </c>
      <c r="D631" s="47">
        <f t="shared" si="251"/>
        <v>225</v>
      </c>
      <c r="E631" s="47">
        <f t="shared" si="251"/>
        <v>5</v>
      </c>
      <c r="F631" s="47">
        <f t="shared" si="251"/>
        <v>3</v>
      </c>
      <c r="G631" s="47">
        <f t="shared" si="251"/>
        <v>2</v>
      </c>
      <c r="H631" s="47">
        <f t="shared" si="251"/>
        <v>486</v>
      </c>
      <c r="I631" s="47">
        <f t="shared" si="251"/>
        <v>263</v>
      </c>
      <c r="J631" s="47">
        <f>SUM(J629:J630)</f>
        <v>223</v>
      </c>
      <c r="K631" s="188" t="s">
        <v>12</v>
      </c>
      <c r="L631" s="216"/>
    </row>
    <row r="632" spans="2:12" ht="15" customHeight="1" thickBot="1" x14ac:dyDescent="0.25">
      <c r="B632" s="47">
        <f t="shared" si="242"/>
        <v>2101</v>
      </c>
      <c r="C632" s="47">
        <f t="shared" si="243"/>
        <v>1192</v>
      </c>
      <c r="D632" s="47">
        <f t="shared" si="243"/>
        <v>909</v>
      </c>
      <c r="E632" s="47">
        <f t="shared" si="244"/>
        <v>23</v>
      </c>
      <c r="F632" s="47">
        <v>17</v>
      </c>
      <c r="G632" s="47">
        <v>6</v>
      </c>
      <c r="H632" s="47">
        <f t="shared" si="245"/>
        <v>2078</v>
      </c>
      <c r="I632" s="47">
        <v>1175</v>
      </c>
      <c r="J632" s="47">
        <v>903</v>
      </c>
      <c r="K632" s="188" t="s">
        <v>233</v>
      </c>
      <c r="L632" s="215"/>
    </row>
    <row r="633" spans="2:12" ht="15" customHeight="1" thickBot="1" x14ac:dyDescent="0.25">
      <c r="B633" s="47">
        <f t="shared" si="242"/>
        <v>208</v>
      </c>
      <c r="C633" s="47">
        <f t="shared" si="243"/>
        <v>208</v>
      </c>
      <c r="D633" s="47">
        <f t="shared" si="243"/>
        <v>0</v>
      </c>
      <c r="E633" s="47">
        <f t="shared" si="244"/>
        <v>4</v>
      </c>
      <c r="F633" s="47">
        <v>4</v>
      </c>
      <c r="G633" s="47">
        <v>0</v>
      </c>
      <c r="H633" s="47">
        <f t="shared" si="245"/>
        <v>204</v>
      </c>
      <c r="I633" s="47">
        <v>204</v>
      </c>
      <c r="J633" s="47">
        <v>0</v>
      </c>
      <c r="K633" s="188" t="s">
        <v>234</v>
      </c>
      <c r="L633" s="215" t="s">
        <v>371</v>
      </c>
    </row>
    <row r="634" spans="2:12" ht="15" customHeight="1" thickBot="1" x14ac:dyDescent="0.25">
      <c r="B634" s="47">
        <f t="shared" ref="B634:I634" si="252">SUM(B632:B633)</f>
        <v>2309</v>
      </c>
      <c r="C634" s="47">
        <f t="shared" si="252"/>
        <v>1400</v>
      </c>
      <c r="D634" s="47">
        <f t="shared" si="252"/>
        <v>909</v>
      </c>
      <c r="E634" s="47">
        <f t="shared" si="252"/>
        <v>27</v>
      </c>
      <c r="F634" s="47">
        <f t="shared" si="252"/>
        <v>21</v>
      </c>
      <c r="G634" s="47">
        <f t="shared" si="252"/>
        <v>6</v>
      </c>
      <c r="H634" s="47">
        <f t="shared" si="252"/>
        <v>2282</v>
      </c>
      <c r="I634" s="47">
        <f t="shared" si="252"/>
        <v>1379</v>
      </c>
      <c r="J634" s="47">
        <f>SUM(J632:J633)</f>
        <v>903</v>
      </c>
      <c r="K634" s="188" t="s">
        <v>12</v>
      </c>
      <c r="L634" s="216"/>
    </row>
    <row r="635" spans="2:12" ht="15" customHeight="1" thickBot="1" x14ac:dyDescent="0.25">
      <c r="B635" s="47">
        <f t="shared" si="242"/>
        <v>88</v>
      </c>
      <c r="C635" s="47">
        <f t="shared" si="243"/>
        <v>0</v>
      </c>
      <c r="D635" s="47">
        <f t="shared" si="243"/>
        <v>88</v>
      </c>
      <c r="E635" s="47">
        <f t="shared" si="244"/>
        <v>0</v>
      </c>
      <c r="F635" s="47">
        <v>0</v>
      </c>
      <c r="G635" s="47">
        <v>0</v>
      </c>
      <c r="H635" s="47">
        <f t="shared" si="245"/>
        <v>88</v>
      </c>
      <c r="I635" s="47">
        <v>0</v>
      </c>
      <c r="J635" s="47">
        <v>88</v>
      </c>
      <c r="K635" s="188" t="s">
        <v>233</v>
      </c>
      <c r="L635" s="215"/>
    </row>
    <row r="636" spans="2:12" ht="15" customHeight="1" thickBot="1" x14ac:dyDescent="0.25">
      <c r="B636" s="47">
        <f t="shared" si="242"/>
        <v>0</v>
      </c>
      <c r="C636" s="47">
        <f t="shared" si="243"/>
        <v>0</v>
      </c>
      <c r="D636" s="47">
        <f t="shared" si="243"/>
        <v>0</v>
      </c>
      <c r="E636" s="47">
        <f t="shared" si="244"/>
        <v>0</v>
      </c>
      <c r="F636" s="47">
        <v>0</v>
      </c>
      <c r="G636" s="47">
        <v>0</v>
      </c>
      <c r="H636" s="47">
        <f t="shared" si="245"/>
        <v>0</v>
      </c>
      <c r="I636" s="47">
        <v>0</v>
      </c>
      <c r="J636" s="47">
        <v>0</v>
      </c>
      <c r="K636" s="188" t="s">
        <v>234</v>
      </c>
      <c r="L636" s="215" t="s">
        <v>348</v>
      </c>
    </row>
    <row r="637" spans="2:12" ht="15" customHeight="1" thickBot="1" x14ac:dyDescent="0.25">
      <c r="B637" s="47">
        <f t="shared" ref="B637:I637" si="253">SUM(B635:B636)</f>
        <v>88</v>
      </c>
      <c r="C637" s="47">
        <f t="shared" si="253"/>
        <v>0</v>
      </c>
      <c r="D637" s="47">
        <f t="shared" si="253"/>
        <v>88</v>
      </c>
      <c r="E637" s="47">
        <f t="shared" si="253"/>
        <v>0</v>
      </c>
      <c r="F637" s="47">
        <f t="shared" si="253"/>
        <v>0</v>
      </c>
      <c r="G637" s="47">
        <f t="shared" si="253"/>
        <v>0</v>
      </c>
      <c r="H637" s="47">
        <f t="shared" si="253"/>
        <v>88</v>
      </c>
      <c r="I637" s="47">
        <f t="shared" si="253"/>
        <v>0</v>
      </c>
      <c r="J637" s="47">
        <f>SUM(J635:J636)</f>
        <v>88</v>
      </c>
      <c r="K637" s="188" t="s">
        <v>12</v>
      </c>
      <c r="L637" s="216"/>
    </row>
    <row r="638" spans="2:12" ht="15" customHeight="1" thickBot="1" x14ac:dyDescent="0.25">
      <c r="B638" s="47">
        <f t="shared" si="242"/>
        <v>76</v>
      </c>
      <c r="C638" s="47">
        <f t="shared" si="243"/>
        <v>0</v>
      </c>
      <c r="D638" s="47">
        <f t="shared" si="243"/>
        <v>76</v>
      </c>
      <c r="E638" s="47">
        <f t="shared" si="244"/>
        <v>0</v>
      </c>
      <c r="F638" s="47">
        <v>0</v>
      </c>
      <c r="G638" s="47">
        <v>0</v>
      </c>
      <c r="H638" s="47">
        <f t="shared" si="245"/>
        <v>76</v>
      </c>
      <c r="I638" s="47">
        <v>0</v>
      </c>
      <c r="J638" s="47">
        <v>76</v>
      </c>
      <c r="K638" s="188" t="s">
        <v>233</v>
      </c>
      <c r="L638" s="215"/>
    </row>
    <row r="639" spans="2:12" ht="15" customHeight="1" thickBot="1" x14ac:dyDescent="0.25">
      <c r="B639" s="47">
        <f t="shared" si="242"/>
        <v>0</v>
      </c>
      <c r="C639" s="47">
        <f t="shared" si="243"/>
        <v>0</v>
      </c>
      <c r="D639" s="47">
        <f t="shared" si="243"/>
        <v>0</v>
      </c>
      <c r="E639" s="47">
        <f t="shared" si="244"/>
        <v>0</v>
      </c>
      <c r="F639" s="47">
        <v>0</v>
      </c>
      <c r="G639" s="47">
        <v>0</v>
      </c>
      <c r="H639" s="47">
        <f t="shared" si="245"/>
        <v>0</v>
      </c>
      <c r="I639" s="47">
        <v>0</v>
      </c>
      <c r="J639" s="47">
        <v>0</v>
      </c>
      <c r="K639" s="188" t="s">
        <v>234</v>
      </c>
      <c r="L639" s="215" t="s">
        <v>454</v>
      </c>
    </row>
    <row r="640" spans="2:12" ht="15" customHeight="1" thickBot="1" x14ac:dyDescent="0.25">
      <c r="B640" s="47">
        <f t="shared" ref="B640:I640" si="254">SUM(B638:B639)</f>
        <v>76</v>
      </c>
      <c r="C640" s="47">
        <f t="shared" si="254"/>
        <v>0</v>
      </c>
      <c r="D640" s="47">
        <f t="shared" si="254"/>
        <v>76</v>
      </c>
      <c r="E640" s="47">
        <f t="shared" si="254"/>
        <v>0</v>
      </c>
      <c r="F640" s="47">
        <f t="shared" si="254"/>
        <v>0</v>
      </c>
      <c r="G640" s="47">
        <f t="shared" si="254"/>
        <v>0</v>
      </c>
      <c r="H640" s="47">
        <f t="shared" si="254"/>
        <v>76</v>
      </c>
      <c r="I640" s="47">
        <f t="shared" si="254"/>
        <v>0</v>
      </c>
      <c r="J640" s="47">
        <f>SUM(J638:J639)</f>
        <v>76</v>
      </c>
      <c r="K640" s="188" t="s">
        <v>12</v>
      </c>
      <c r="L640" s="216"/>
    </row>
    <row r="641" spans="2:12" ht="15" customHeight="1" thickBot="1" x14ac:dyDescent="0.25">
      <c r="B641" s="47">
        <f t="shared" si="242"/>
        <v>15</v>
      </c>
      <c r="C641" s="47">
        <f t="shared" si="243"/>
        <v>0</v>
      </c>
      <c r="D641" s="47">
        <f t="shared" si="243"/>
        <v>15</v>
      </c>
      <c r="E641" s="47">
        <f t="shared" si="244"/>
        <v>0</v>
      </c>
      <c r="F641" s="47">
        <v>0</v>
      </c>
      <c r="G641" s="47">
        <v>0</v>
      </c>
      <c r="H641" s="47">
        <f t="shared" si="245"/>
        <v>15</v>
      </c>
      <c r="I641" s="47">
        <v>0</v>
      </c>
      <c r="J641" s="47">
        <v>15</v>
      </c>
      <c r="K641" s="188" t="s">
        <v>233</v>
      </c>
      <c r="L641" s="215"/>
    </row>
    <row r="642" spans="2:12" ht="15" customHeight="1" thickBot="1" x14ac:dyDescent="0.25">
      <c r="B642" s="47">
        <f t="shared" si="242"/>
        <v>0</v>
      </c>
      <c r="C642" s="47">
        <f t="shared" si="243"/>
        <v>0</v>
      </c>
      <c r="D642" s="47">
        <f t="shared" si="243"/>
        <v>0</v>
      </c>
      <c r="E642" s="47">
        <f t="shared" si="244"/>
        <v>0</v>
      </c>
      <c r="F642" s="47">
        <v>0</v>
      </c>
      <c r="G642" s="47">
        <v>0</v>
      </c>
      <c r="H642" s="47">
        <f t="shared" si="245"/>
        <v>0</v>
      </c>
      <c r="I642" s="47">
        <v>0</v>
      </c>
      <c r="J642" s="47">
        <v>0</v>
      </c>
      <c r="K642" s="188" t="s">
        <v>234</v>
      </c>
      <c r="L642" s="215" t="s">
        <v>275</v>
      </c>
    </row>
    <row r="643" spans="2:12" ht="15" customHeight="1" thickBot="1" x14ac:dyDescent="0.25">
      <c r="B643" s="47">
        <f t="shared" ref="B643:I643" si="255">SUM(B641:B642)</f>
        <v>15</v>
      </c>
      <c r="C643" s="47">
        <f t="shared" si="255"/>
        <v>0</v>
      </c>
      <c r="D643" s="47">
        <f t="shared" si="255"/>
        <v>15</v>
      </c>
      <c r="E643" s="47">
        <f t="shared" si="255"/>
        <v>0</v>
      </c>
      <c r="F643" s="47">
        <f t="shared" si="255"/>
        <v>0</v>
      </c>
      <c r="G643" s="47">
        <f t="shared" si="255"/>
        <v>0</v>
      </c>
      <c r="H643" s="47">
        <f t="shared" si="255"/>
        <v>15</v>
      </c>
      <c r="I643" s="47">
        <f t="shared" si="255"/>
        <v>0</v>
      </c>
      <c r="J643" s="47">
        <f>SUM(J641:J642)</f>
        <v>15</v>
      </c>
      <c r="K643" s="188" t="s">
        <v>12</v>
      </c>
      <c r="L643" s="216"/>
    </row>
    <row r="644" spans="2:12" ht="15" customHeight="1" thickBot="1" x14ac:dyDescent="0.25">
      <c r="B644" s="47">
        <f t="shared" si="242"/>
        <v>734</v>
      </c>
      <c r="C644" s="47">
        <f t="shared" si="243"/>
        <v>453</v>
      </c>
      <c r="D644" s="47">
        <f t="shared" si="243"/>
        <v>281</v>
      </c>
      <c r="E644" s="47">
        <f t="shared" si="244"/>
        <v>0</v>
      </c>
      <c r="F644" s="47">
        <v>0</v>
      </c>
      <c r="G644" s="47">
        <v>0</v>
      </c>
      <c r="H644" s="47">
        <f t="shared" si="245"/>
        <v>734</v>
      </c>
      <c r="I644" s="47">
        <v>453</v>
      </c>
      <c r="J644" s="47">
        <v>281</v>
      </c>
      <c r="K644" s="188" t="s">
        <v>233</v>
      </c>
      <c r="L644" s="215"/>
    </row>
    <row r="645" spans="2:12" ht="15" customHeight="1" thickBot="1" x14ac:dyDescent="0.25">
      <c r="B645" s="47">
        <f t="shared" si="242"/>
        <v>26</v>
      </c>
      <c r="C645" s="47">
        <f t="shared" si="243"/>
        <v>26</v>
      </c>
      <c r="D645" s="47">
        <f t="shared" si="243"/>
        <v>0</v>
      </c>
      <c r="E645" s="47">
        <f t="shared" si="244"/>
        <v>0</v>
      </c>
      <c r="F645" s="47">
        <v>0</v>
      </c>
      <c r="G645" s="47">
        <v>0</v>
      </c>
      <c r="H645" s="47">
        <f t="shared" si="245"/>
        <v>26</v>
      </c>
      <c r="I645" s="47">
        <v>26</v>
      </c>
      <c r="J645" s="47">
        <v>0</v>
      </c>
      <c r="K645" s="188" t="s">
        <v>234</v>
      </c>
      <c r="L645" s="215" t="s">
        <v>500</v>
      </c>
    </row>
    <row r="646" spans="2:12" ht="15" customHeight="1" thickBot="1" x14ac:dyDescent="0.25">
      <c r="B646" s="47">
        <f t="shared" ref="B646:I646" si="256">SUM(B644:B645)</f>
        <v>760</v>
      </c>
      <c r="C646" s="47">
        <f t="shared" si="256"/>
        <v>479</v>
      </c>
      <c r="D646" s="47">
        <f t="shared" si="256"/>
        <v>281</v>
      </c>
      <c r="E646" s="47">
        <f t="shared" si="256"/>
        <v>0</v>
      </c>
      <c r="F646" s="47">
        <f t="shared" si="256"/>
        <v>0</v>
      </c>
      <c r="G646" s="47">
        <f t="shared" si="256"/>
        <v>0</v>
      </c>
      <c r="H646" s="47">
        <f t="shared" si="256"/>
        <v>760</v>
      </c>
      <c r="I646" s="47">
        <f t="shared" si="256"/>
        <v>479</v>
      </c>
      <c r="J646" s="47">
        <f>SUM(J644:J645)</f>
        <v>281</v>
      </c>
      <c r="K646" s="188" t="s">
        <v>12</v>
      </c>
      <c r="L646" s="216"/>
    </row>
    <row r="647" spans="2:12" ht="15" customHeight="1" thickBot="1" x14ac:dyDescent="0.25">
      <c r="B647" s="47">
        <f t="shared" si="242"/>
        <v>703</v>
      </c>
      <c r="C647" s="47">
        <f t="shared" si="243"/>
        <v>521</v>
      </c>
      <c r="D647" s="47">
        <f t="shared" si="243"/>
        <v>182</v>
      </c>
      <c r="E647" s="47">
        <f t="shared" si="244"/>
        <v>0</v>
      </c>
      <c r="F647" s="47">
        <v>0</v>
      </c>
      <c r="G647" s="47">
        <v>0</v>
      </c>
      <c r="H647" s="47">
        <f t="shared" si="245"/>
        <v>703</v>
      </c>
      <c r="I647" s="47">
        <v>521</v>
      </c>
      <c r="J647" s="47">
        <v>182</v>
      </c>
      <c r="K647" s="188" t="s">
        <v>233</v>
      </c>
      <c r="L647" s="215"/>
    </row>
    <row r="648" spans="2:12" ht="15" customHeight="1" thickBot="1" x14ac:dyDescent="0.25">
      <c r="B648" s="47">
        <f t="shared" si="242"/>
        <v>10</v>
      </c>
      <c r="C648" s="47">
        <f t="shared" si="243"/>
        <v>10</v>
      </c>
      <c r="D648" s="47">
        <f t="shared" si="243"/>
        <v>0</v>
      </c>
      <c r="E648" s="47">
        <f t="shared" si="244"/>
        <v>0</v>
      </c>
      <c r="F648" s="47">
        <v>0</v>
      </c>
      <c r="G648" s="47">
        <v>0</v>
      </c>
      <c r="H648" s="47">
        <f t="shared" si="245"/>
        <v>10</v>
      </c>
      <c r="I648" s="47">
        <v>10</v>
      </c>
      <c r="J648" s="47">
        <v>0</v>
      </c>
      <c r="K648" s="188" t="s">
        <v>234</v>
      </c>
      <c r="L648" s="215" t="s">
        <v>501</v>
      </c>
    </row>
    <row r="649" spans="2:12" ht="15" customHeight="1" thickBot="1" x14ac:dyDescent="0.25">
      <c r="B649" s="47">
        <f t="shared" ref="B649:I649" si="257">SUM(B647:B648)</f>
        <v>713</v>
      </c>
      <c r="C649" s="47">
        <f t="shared" si="257"/>
        <v>531</v>
      </c>
      <c r="D649" s="47">
        <f t="shared" si="257"/>
        <v>182</v>
      </c>
      <c r="E649" s="47">
        <f t="shared" si="257"/>
        <v>0</v>
      </c>
      <c r="F649" s="47">
        <f t="shared" si="257"/>
        <v>0</v>
      </c>
      <c r="G649" s="47">
        <f t="shared" si="257"/>
        <v>0</v>
      </c>
      <c r="H649" s="47">
        <f t="shared" si="257"/>
        <v>713</v>
      </c>
      <c r="I649" s="47">
        <f t="shared" si="257"/>
        <v>531</v>
      </c>
      <c r="J649" s="47">
        <f>SUM(J647:J648)</f>
        <v>182</v>
      </c>
      <c r="K649" s="188" t="s">
        <v>12</v>
      </c>
      <c r="L649" s="216"/>
    </row>
    <row r="650" spans="2:12" ht="15" customHeight="1" thickBot="1" x14ac:dyDescent="0.25">
      <c r="B650" s="47">
        <f t="shared" si="242"/>
        <v>123</v>
      </c>
      <c r="C650" s="47">
        <f t="shared" si="243"/>
        <v>53</v>
      </c>
      <c r="D650" s="47">
        <f t="shared" si="243"/>
        <v>70</v>
      </c>
      <c r="E650" s="47">
        <f t="shared" si="244"/>
        <v>0</v>
      </c>
      <c r="F650" s="47">
        <v>0</v>
      </c>
      <c r="G650" s="47">
        <v>0</v>
      </c>
      <c r="H650" s="47">
        <f t="shared" si="245"/>
        <v>123</v>
      </c>
      <c r="I650" s="47">
        <v>53</v>
      </c>
      <c r="J650" s="47">
        <v>70</v>
      </c>
      <c r="K650" s="188" t="s">
        <v>233</v>
      </c>
      <c r="L650" s="215"/>
    </row>
    <row r="651" spans="2:12" ht="15" customHeight="1" thickBot="1" x14ac:dyDescent="0.25">
      <c r="B651" s="47">
        <f t="shared" si="242"/>
        <v>0</v>
      </c>
      <c r="C651" s="47">
        <f t="shared" si="243"/>
        <v>0</v>
      </c>
      <c r="D651" s="47">
        <f t="shared" si="243"/>
        <v>0</v>
      </c>
      <c r="E651" s="47">
        <f t="shared" si="244"/>
        <v>0</v>
      </c>
      <c r="F651" s="47">
        <v>0</v>
      </c>
      <c r="G651" s="47">
        <v>0</v>
      </c>
      <c r="H651" s="47">
        <f t="shared" si="245"/>
        <v>0</v>
      </c>
      <c r="I651" s="47">
        <v>0</v>
      </c>
      <c r="J651" s="47">
        <v>0</v>
      </c>
      <c r="K651" s="188" t="s">
        <v>234</v>
      </c>
      <c r="L651" s="215" t="s">
        <v>347</v>
      </c>
    </row>
    <row r="652" spans="2:12" ht="15" customHeight="1" thickBot="1" x14ac:dyDescent="0.25">
      <c r="B652" s="47">
        <f t="shared" ref="B652:I652" si="258">SUM(B650:B651)</f>
        <v>123</v>
      </c>
      <c r="C652" s="47">
        <f t="shared" si="258"/>
        <v>53</v>
      </c>
      <c r="D652" s="47">
        <f t="shared" si="258"/>
        <v>70</v>
      </c>
      <c r="E652" s="47">
        <f t="shared" si="258"/>
        <v>0</v>
      </c>
      <c r="F652" s="47">
        <f t="shared" si="258"/>
        <v>0</v>
      </c>
      <c r="G652" s="47">
        <f t="shared" si="258"/>
        <v>0</v>
      </c>
      <c r="H652" s="47">
        <f t="shared" si="258"/>
        <v>123</v>
      </c>
      <c r="I652" s="47">
        <f t="shared" si="258"/>
        <v>53</v>
      </c>
      <c r="J652" s="47">
        <f>SUM(J650:J651)</f>
        <v>70</v>
      </c>
      <c r="K652" s="188" t="s">
        <v>12</v>
      </c>
      <c r="L652" s="216"/>
    </row>
    <row r="653" spans="2:12" ht="15" customHeight="1" thickBot="1" x14ac:dyDescent="0.25">
      <c r="B653" s="47">
        <f t="shared" si="242"/>
        <v>545</v>
      </c>
      <c r="C653" s="47">
        <f t="shared" si="243"/>
        <v>358</v>
      </c>
      <c r="D653" s="47">
        <f t="shared" si="243"/>
        <v>187</v>
      </c>
      <c r="E653" s="47">
        <f t="shared" si="244"/>
        <v>0</v>
      </c>
      <c r="F653" s="47">
        <v>0</v>
      </c>
      <c r="G653" s="47">
        <v>0</v>
      </c>
      <c r="H653" s="47">
        <f t="shared" si="245"/>
        <v>545</v>
      </c>
      <c r="I653" s="47">
        <v>358</v>
      </c>
      <c r="J653" s="47">
        <v>187</v>
      </c>
      <c r="K653" s="188" t="s">
        <v>233</v>
      </c>
      <c r="L653" s="215"/>
    </row>
    <row r="654" spans="2:12" ht="15" customHeight="1" thickBot="1" x14ac:dyDescent="0.25">
      <c r="B654" s="47">
        <f t="shared" si="242"/>
        <v>0</v>
      </c>
      <c r="C654" s="47">
        <f t="shared" si="243"/>
        <v>0</v>
      </c>
      <c r="D654" s="47">
        <f t="shared" si="243"/>
        <v>0</v>
      </c>
      <c r="E654" s="47">
        <f t="shared" si="244"/>
        <v>0</v>
      </c>
      <c r="F654" s="47">
        <v>0</v>
      </c>
      <c r="G654" s="47">
        <v>0</v>
      </c>
      <c r="H654" s="47">
        <f t="shared" si="245"/>
        <v>0</v>
      </c>
      <c r="I654" s="47">
        <v>0</v>
      </c>
      <c r="J654" s="47">
        <v>0</v>
      </c>
      <c r="K654" s="188" t="s">
        <v>234</v>
      </c>
      <c r="L654" s="215" t="s">
        <v>502</v>
      </c>
    </row>
    <row r="655" spans="2:12" ht="15" customHeight="1" thickBot="1" x14ac:dyDescent="0.25">
      <c r="B655" s="47">
        <f t="shared" ref="B655:I655" si="259">SUM(B653:B654)</f>
        <v>545</v>
      </c>
      <c r="C655" s="47">
        <f t="shared" si="259"/>
        <v>358</v>
      </c>
      <c r="D655" s="47">
        <f t="shared" si="259"/>
        <v>187</v>
      </c>
      <c r="E655" s="47">
        <f t="shared" si="259"/>
        <v>0</v>
      </c>
      <c r="F655" s="47">
        <f t="shared" si="259"/>
        <v>0</v>
      </c>
      <c r="G655" s="47">
        <f t="shared" si="259"/>
        <v>0</v>
      </c>
      <c r="H655" s="47">
        <f t="shared" si="259"/>
        <v>545</v>
      </c>
      <c r="I655" s="47">
        <f t="shared" si="259"/>
        <v>358</v>
      </c>
      <c r="J655" s="47">
        <f>SUM(J653:J654)</f>
        <v>187</v>
      </c>
      <c r="K655" s="188" t="s">
        <v>12</v>
      </c>
      <c r="L655" s="216"/>
    </row>
    <row r="656" spans="2:12" ht="15" customHeight="1" thickBot="1" x14ac:dyDescent="0.25">
      <c r="B656" s="47">
        <f t="shared" ref="B656:J658" si="260">B614+B617+B620+B623+B626+B629+B632+B635+B638+B641+B644+B647+B650+B653</f>
        <v>9793</v>
      </c>
      <c r="C656" s="47">
        <f t="shared" si="260"/>
        <v>5586</v>
      </c>
      <c r="D656" s="47">
        <f t="shared" si="260"/>
        <v>4207</v>
      </c>
      <c r="E656" s="47">
        <f t="shared" si="260"/>
        <v>61</v>
      </c>
      <c r="F656" s="47">
        <f t="shared" si="260"/>
        <v>39</v>
      </c>
      <c r="G656" s="47">
        <f t="shared" si="260"/>
        <v>22</v>
      </c>
      <c r="H656" s="47">
        <f t="shared" si="260"/>
        <v>9732</v>
      </c>
      <c r="I656" s="47">
        <f t="shared" si="260"/>
        <v>5547</v>
      </c>
      <c r="J656" s="47">
        <f>J614+J617+J620+J623+J626+J629+J632+J635+J638+J641+J644+J647+J650+J653</f>
        <v>4185</v>
      </c>
      <c r="K656" s="188" t="s">
        <v>236</v>
      </c>
      <c r="L656" s="217"/>
    </row>
    <row r="657" spans="2:12" ht="15" customHeight="1" thickBot="1" x14ac:dyDescent="0.25">
      <c r="B657" s="47">
        <f t="shared" si="260"/>
        <v>245</v>
      </c>
      <c r="C657" s="47">
        <f t="shared" si="260"/>
        <v>245</v>
      </c>
      <c r="D657" s="47">
        <f t="shared" si="260"/>
        <v>0</v>
      </c>
      <c r="E657" s="47">
        <f t="shared" si="260"/>
        <v>4</v>
      </c>
      <c r="F657" s="47">
        <f t="shared" si="260"/>
        <v>4</v>
      </c>
      <c r="G657" s="47">
        <f t="shared" si="260"/>
        <v>0</v>
      </c>
      <c r="H657" s="47">
        <f t="shared" si="260"/>
        <v>241</v>
      </c>
      <c r="I657" s="47">
        <f t="shared" si="260"/>
        <v>241</v>
      </c>
      <c r="J657" s="47">
        <f t="shared" si="260"/>
        <v>0</v>
      </c>
      <c r="K657" s="188" t="s">
        <v>237</v>
      </c>
      <c r="L657" s="218" t="s">
        <v>188</v>
      </c>
    </row>
    <row r="658" spans="2:12" ht="15" customHeight="1" thickBot="1" x14ac:dyDescent="0.25">
      <c r="B658" s="47">
        <f t="shared" si="260"/>
        <v>10038</v>
      </c>
      <c r="C658" s="47">
        <f t="shared" si="260"/>
        <v>5831</v>
      </c>
      <c r="D658" s="47">
        <f t="shared" si="260"/>
        <v>4207</v>
      </c>
      <c r="E658" s="47">
        <f t="shared" si="260"/>
        <v>65</v>
      </c>
      <c r="F658" s="47">
        <f t="shared" si="260"/>
        <v>43</v>
      </c>
      <c r="G658" s="47">
        <f t="shared" si="260"/>
        <v>22</v>
      </c>
      <c r="H658" s="47">
        <f t="shared" si="260"/>
        <v>9973</v>
      </c>
      <c r="I658" s="47">
        <f t="shared" si="260"/>
        <v>5788</v>
      </c>
      <c r="J658" s="47">
        <f t="shared" si="260"/>
        <v>4185</v>
      </c>
      <c r="K658" s="188" t="s">
        <v>12</v>
      </c>
      <c r="L658" s="219"/>
    </row>
    <row r="659" spans="2:12" ht="15" customHeight="1" thickBot="1" x14ac:dyDescent="0.25">
      <c r="B659" s="476" t="s">
        <v>4</v>
      </c>
      <c r="C659" s="476"/>
      <c r="D659" s="476"/>
      <c r="E659" s="476" t="s">
        <v>145</v>
      </c>
      <c r="F659" s="476"/>
      <c r="G659" s="476"/>
      <c r="H659" s="476" t="s">
        <v>146</v>
      </c>
      <c r="I659" s="476"/>
      <c r="J659" s="476"/>
      <c r="K659" s="479" t="s">
        <v>66</v>
      </c>
      <c r="L659" s="479"/>
    </row>
    <row r="660" spans="2:12" ht="15" customHeight="1" thickBot="1" x14ac:dyDescent="0.25">
      <c r="B660" s="185" t="s">
        <v>227</v>
      </c>
      <c r="C660" s="185" t="s">
        <v>10</v>
      </c>
      <c r="D660" s="185" t="s">
        <v>9</v>
      </c>
      <c r="E660" s="185" t="s">
        <v>227</v>
      </c>
      <c r="F660" s="185" t="s">
        <v>10</v>
      </c>
      <c r="G660" s="185" t="s">
        <v>9</v>
      </c>
      <c r="H660" s="185" t="s">
        <v>227</v>
      </c>
      <c r="I660" s="185" t="s">
        <v>10</v>
      </c>
      <c r="J660" s="185" t="s">
        <v>9</v>
      </c>
      <c r="K660" s="480" t="s">
        <v>111</v>
      </c>
      <c r="L660" s="480"/>
    </row>
    <row r="661" spans="2:12" ht="15" customHeight="1" thickBot="1" x14ac:dyDescent="0.25">
      <c r="B661" s="47">
        <f>SUM(C661:D661)</f>
        <v>1544</v>
      </c>
      <c r="C661" s="47">
        <f>I661+F661</f>
        <v>482</v>
      </c>
      <c r="D661" s="47">
        <f>J661+G661</f>
        <v>1062</v>
      </c>
      <c r="E661" s="47">
        <f>SUM(F661:G661)</f>
        <v>0</v>
      </c>
      <c r="F661" s="47">
        <v>0</v>
      </c>
      <c r="G661" s="47">
        <v>0</v>
      </c>
      <c r="H661" s="47">
        <f>SUM(I661:J661)</f>
        <v>1544</v>
      </c>
      <c r="I661" s="47">
        <v>482</v>
      </c>
      <c r="J661" s="47">
        <v>1062</v>
      </c>
      <c r="K661" s="188" t="s">
        <v>233</v>
      </c>
      <c r="L661" s="215"/>
    </row>
    <row r="662" spans="2:12" ht="15" customHeight="1" thickBot="1" x14ac:dyDescent="0.25">
      <c r="B662" s="47">
        <f t="shared" ref="B662:B686" si="261">SUM(C662:D662)</f>
        <v>0</v>
      </c>
      <c r="C662" s="47">
        <f t="shared" ref="C662:D686" si="262">I662+F662</f>
        <v>0</v>
      </c>
      <c r="D662" s="47">
        <f t="shared" si="262"/>
        <v>0</v>
      </c>
      <c r="E662" s="47">
        <f t="shared" ref="E662:E686" si="263">SUM(F662:G662)</f>
        <v>0</v>
      </c>
      <c r="F662" s="47">
        <v>0</v>
      </c>
      <c r="G662" s="47">
        <v>0</v>
      </c>
      <c r="H662" s="47">
        <f t="shared" ref="H662:H686" si="264">SUM(I662:J662)</f>
        <v>0</v>
      </c>
      <c r="I662" s="47">
        <v>0</v>
      </c>
      <c r="J662" s="47">
        <v>0</v>
      </c>
      <c r="K662" s="188" t="s">
        <v>234</v>
      </c>
      <c r="L662" s="215" t="s">
        <v>367</v>
      </c>
    </row>
    <row r="663" spans="2:12" ht="15" customHeight="1" thickBot="1" x14ac:dyDescent="0.25">
      <c r="B663" s="47">
        <f t="shared" ref="B663:I663" si="265">SUM(B661:B662)</f>
        <v>1544</v>
      </c>
      <c r="C663" s="47">
        <f t="shared" si="265"/>
        <v>482</v>
      </c>
      <c r="D663" s="47">
        <f t="shared" si="265"/>
        <v>1062</v>
      </c>
      <c r="E663" s="47">
        <f t="shared" si="265"/>
        <v>0</v>
      </c>
      <c r="F663" s="47">
        <f t="shared" si="265"/>
        <v>0</v>
      </c>
      <c r="G663" s="47">
        <f t="shared" si="265"/>
        <v>0</v>
      </c>
      <c r="H663" s="47">
        <f t="shared" si="265"/>
        <v>1544</v>
      </c>
      <c r="I663" s="47">
        <f t="shared" si="265"/>
        <v>482</v>
      </c>
      <c r="J663" s="47">
        <f>SUM(J661:J662)</f>
        <v>1062</v>
      </c>
      <c r="K663" s="188" t="s">
        <v>12</v>
      </c>
      <c r="L663" s="216"/>
    </row>
    <row r="664" spans="2:12" ht="15" customHeight="1" thickBot="1" x14ac:dyDescent="0.25">
      <c r="B664" s="47">
        <f t="shared" si="261"/>
        <v>182</v>
      </c>
      <c r="C664" s="47">
        <f t="shared" si="262"/>
        <v>82</v>
      </c>
      <c r="D664" s="47">
        <f t="shared" si="262"/>
        <v>100</v>
      </c>
      <c r="E664" s="47">
        <f t="shared" si="263"/>
        <v>0</v>
      </c>
      <c r="F664" s="47">
        <v>0</v>
      </c>
      <c r="G664" s="47">
        <v>0</v>
      </c>
      <c r="H664" s="47">
        <f t="shared" si="264"/>
        <v>182</v>
      </c>
      <c r="I664" s="47">
        <v>82</v>
      </c>
      <c r="J664" s="47">
        <v>100</v>
      </c>
      <c r="K664" s="188" t="s">
        <v>233</v>
      </c>
      <c r="L664" s="215"/>
    </row>
    <row r="665" spans="2:12" ht="15" customHeight="1" thickBot="1" x14ac:dyDescent="0.25">
      <c r="B665" s="47">
        <f t="shared" si="261"/>
        <v>0</v>
      </c>
      <c r="C665" s="47">
        <f t="shared" si="262"/>
        <v>0</v>
      </c>
      <c r="D665" s="47">
        <f t="shared" si="262"/>
        <v>0</v>
      </c>
      <c r="E665" s="47">
        <f t="shared" si="263"/>
        <v>0</v>
      </c>
      <c r="F665" s="47">
        <v>0</v>
      </c>
      <c r="G665" s="47">
        <v>0</v>
      </c>
      <c r="H665" s="47">
        <f t="shared" si="264"/>
        <v>0</v>
      </c>
      <c r="I665" s="47">
        <v>0</v>
      </c>
      <c r="J665" s="47">
        <v>0</v>
      </c>
      <c r="K665" s="188" t="s">
        <v>234</v>
      </c>
      <c r="L665" s="215" t="s">
        <v>347</v>
      </c>
    </row>
    <row r="666" spans="2:12" ht="15" customHeight="1" thickBot="1" x14ac:dyDescent="0.25">
      <c r="B666" s="47">
        <f t="shared" ref="B666:I666" si="266">SUM(B664:B665)</f>
        <v>182</v>
      </c>
      <c r="C666" s="47">
        <f t="shared" si="266"/>
        <v>82</v>
      </c>
      <c r="D666" s="47">
        <f t="shared" si="266"/>
        <v>100</v>
      </c>
      <c r="E666" s="47">
        <f t="shared" si="266"/>
        <v>0</v>
      </c>
      <c r="F666" s="47">
        <f t="shared" si="266"/>
        <v>0</v>
      </c>
      <c r="G666" s="47">
        <f t="shared" si="266"/>
        <v>0</v>
      </c>
      <c r="H666" s="47">
        <f t="shared" si="266"/>
        <v>182</v>
      </c>
      <c r="I666" s="47">
        <f t="shared" si="266"/>
        <v>82</v>
      </c>
      <c r="J666" s="47">
        <f>SUM(J664:J665)</f>
        <v>100</v>
      </c>
      <c r="K666" s="188" t="s">
        <v>12</v>
      </c>
      <c r="L666" s="216"/>
    </row>
    <row r="667" spans="2:12" ht="15" customHeight="1" thickBot="1" x14ac:dyDescent="0.25">
      <c r="B667" s="47">
        <f t="shared" si="261"/>
        <v>120</v>
      </c>
      <c r="C667" s="47">
        <f t="shared" si="262"/>
        <v>0</v>
      </c>
      <c r="D667" s="47">
        <f t="shared" si="262"/>
        <v>120</v>
      </c>
      <c r="E667" s="47">
        <f t="shared" si="263"/>
        <v>0</v>
      </c>
      <c r="F667" s="47">
        <v>0</v>
      </c>
      <c r="G667" s="47">
        <v>0</v>
      </c>
      <c r="H667" s="47">
        <f t="shared" si="264"/>
        <v>120</v>
      </c>
      <c r="I667" s="47">
        <v>0</v>
      </c>
      <c r="J667" s="47">
        <v>120</v>
      </c>
      <c r="K667" s="188" t="s">
        <v>233</v>
      </c>
      <c r="L667" s="215"/>
    </row>
    <row r="668" spans="2:12" ht="15" customHeight="1" thickBot="1" x14ac:dyDescent="0.25">
      <c r="B668" s="47">
        <f t="shared" si="261"/>
        <v>0</v>
      </c>
      <c r="C668" s="47">
        <f t="shared" si="262"/>
        <v>0</v>
      </c>
      <c r="D668" s="47">
        <f t="shared" si="262"/>
        <v>0</v>
      </c>
      <c r="E668" s="47">
        <f t="shared" si="263"/>
        <v>0</v>
      </c>
      <c r="F668" s="47">
        <v>0</v>
      </c>
      <c r="G668" s="47">
        <v>0</v>
      </c>
      <c r="H668" s="47">
        <f t="shared" si="264"/>
        <v>0</v>
      </c>
      <c r="I668" s="47">
        <v>0</v>
      </c>
      <c r="J668" s="47">
        <v>0</v>
      </c>
      <c r="K668" s="188" t="s">
        <v>234</v>
      </c>
      <c r="L668" s="215" t="s">
        <v>454</v>
      </c>
    </row>
    <row r="669" spans="2:12" ht="15" customHeight="1" thickBot="1" x14ac:dyDescent="0.25">
      <c r="B669" s="47">
        <f t="shared" ref="B669:I669" si="267">SUM(B667:B668)</f>
        <v>120</v>
      </c>
      <c r="C669" s="47">
        <f t="shared" si="267"/>
        <v>0</v>
      </c>
      <c r="D669" s="47">
        <f t="shared" si="267"/>
        <v>120</v>
      </c>
      <c r="E669" s="47">
        <f t="shared" si="267"/>
        <v>0</v>
      </c>
      <c r="F669" s="47">
        <f t="shared" si="267"/>
        <v>0</v>
      </c>
      <c r="G669" s="47">
        <f t="shared" si="267"/>
        <v>0</v>
      </c>
      <c r="H669" s="47">
        <f t="shared" si="267"/>
        <v>120</v>
      </c>
      <c r="I669" s="47">
        <f t="shared" si="267"/>
        <v>0</v>
      </c>
      <c r="J669" s="47">
        <f>SUM(J667:J668)</f>
        <v>120</v>
      </c>
      <c r="K669" s="188" t="s">
        <v>12</v>
      </c>
      <c r="L669" s="216"/>
    </row>
    <row r="670" spans="2:12" ht="15" customHeight="1" thickBot="1" x14ac:dyDescent="0.25">
      <c r="B670" s="47">
        <f t="shared" si="261"/>
        <v>251</v>
      </c>
      <c r="C670" s="47">
        <f t="shared" si="262"/>
        <v>251</v>
      </c>
      <c r="D670" s="47">
        <f t="shared" si="262"/>
        <v>0</v>
      </c>
      <c r="E670" s="47">
        <f t="shared" si="263"/>
        <v>0</v>
      </c>
      <c r="F670" s="47">
        <v>0</v>
      </c>
      <c r="G670" s="47">
        <v>0</v>
      </c>
      <c r="H670" s="47">
        <f t="shared" si="264"/>
        <v>251</v>
      </c>
      <c r="I670" s="47">
        <v>251</v>
      </c>
      <c r="J670" s="47">
        <v>0</v>
      </c>
      <c r="K670" s="188" t="s">
        <v>233</v>
      </c>
      <c r="L670" s="215"/>
    </row>
    <row r="671" spans="2:12" ht="15" customHeight="1" thickBot="1" x14ac:dyDescent="0.25">
      <c r="B671" s="47">
        <f t="shared" si="261"/>
        <v>226</v>
      </c>
      <c r="C671" s="47">
        <f t="shared" si="262"/>
        <v>226</v>
      </c>
      <c r="D671" s="47">
        <f t="shared" si="262"/>
        <v>0</v>
      </c>
      <c r="E671" s="47">
        <f t="shared" si="263"/>
        <v>0</v>
      </c>
      <c r="F671" s="47">
        <v>0</v>
      </c>
      <c r="G671" s="47">
        <v>0</v>
      </c>
      <c r="H671" s="47">
        <f t="shared" si="264"/>
        <v>226</v>
      </c>
      <c r="I671" s="47">
        <v>226</v>
      </c>
      <c r="J671" s="47">
        <v>0</v>
      </c>
      <c r="K671" s="188" t="s">
        <v>234</v>
      </c>
      <c r="L671" s="215" t="s">
        <v>503</v>
      </c>
    </row>
    <row r="672" spans="2:12" ht="15" customHeight="1" thickBot="1" x14ac:dyDescent="0.25">
      <c r="B672" s="47">
        <f t="shared" ref="B672:I672" si="268">SUM(B670:B671)</f>
        <v>477</v>
      </c>
      <c r="C672" s="47">
        <f t="shared" si="268"/>
        <v>477</v>
      </c>
      <c r="D672" s="47">
        <f t="shared" si="268"/>
        <v>0</v>
      </c>
      <c r="E672" s="47">
        <f t="shared" si="268"/>
        <v>0</v>
      </c>
      <c r="F672" s="47">
        <f t="shared" si="268"/>
        <v>0</v>
      </c>
      <c r="G672" s="47">
        <f t="shared" si="268"/>
        <v>0</v>
      </c>
      <c r="H672" s="47">
        <f t="shared" si="268"/>
        <v>477</v>
      </c>
      <c r="I672" s="47">
        <f t="shared" si="268"/>
        <v>477</v>
      </c>
      <c r="J672" s="47">
        <f>SUM(J670:J671)</f>
        <v>0</v>
      </c>
      <c r="K672" s="188" t="s">
        <v>12</v>
      </c>
      <c r="L672" s="216"/>
    </row>
    <row r="673" spans="2:12" ht="15" customHeight="1" thickBot="1" x14ac:dyDescent="0.25">
      <c r="B673" s="47">
        <f t="shared" si="261"/>
        <v>936</v>
      </c>
      <c r="C673" s="47">
        <f t="shared" si="262"/>
        <v>936</v>
      </c>
      <c r="D673" s="47">
        <f t="shared" si="262"/>
        <v>0</v>
      </c>
      <c r="E673" s="47">
        <f t="shared" si="263"/>
        <v>0</v>
      </c>
      <c r="F673" s="47">
        <v>0</v>
      </c>
      <c r="G673" s="47">
        <v>0</v>
      </c>
      <c r="H673" s="47">
        <f t="shared" si="264"/>
        <v>936</v>
      </c>
      <c r="I673" s="47">
        <v>936</v>
      </c>
      <c r="J673" s="47">
        <v>0</v>
      </c>
      <c r="K673" s="188" t="s">
        <v>233</v>
      </c>
      <c r="L673" s="215"/>
    </row>
    <row r="674" spans="2:12" ht="15" customHeight="1" thickBot="1" x14ac:dyDescent="0.25">
      <c r="B674" s="47">
        <f t="shared" si="261"/>
        <v>173</v>
      </c>
      <c r="C674" s="47">
        <f t="shared" si="262"/>
        <v>173</v>
      </c>
      <c r="D674" s="47">
        <f t="shared" si="262"/>
        <v>0</v>
      </c>
      <c r="E674" s="47">
        <f t="shared" si="263"/>
        <v>0</v>
      </c>
      <c r="F674" s="47">
        <v>0</v>
      </c>
      <c r="G674" s="47">
        <v>0</v>
      </c>
      <c r="H674" s="47">
        <f t="shared" si="264"/>
        <v>173</v>
      </c>
      <c r="I674" s="47">
        <v>173</v>
      </c>
      <c r="J674" s="47">
        <v>0</v>
      </c>
      <c r="K674" s="188" t="s">
        <v>234</v>
      </c>
      <c r="L674" s="215" t="s">
        <v>504</v>
      </c>
    </row>
    <row r="675" spans="2:12" ht="15" customHeight="1" thickBot="1" x14ac:dyDescent="0.25">
      <c r="B675" s="47">
        <f t="shared" ref="B675:I675" si="269">SUM(B673:B674)</f>
        <v>1109</v>
      </c>
      <c r="C675" s="47">
        <f t="shared" si="269"/>
        <v>1109</v>
      </c>
      <c r="D675" s="47">
        <f t="shared" si="269"/>
        <v>0</v>
      </c>
      <c r="E675" s="47">
        <f t="shared" si="269"/>
        <v>0</v>
      </c>
      <c r="F675" s="47">
        <f t="shared" si="269"/>
        <v>0</v>
      </c>
      <c r="G675" s="47">
        <f t="shared" si="269"/>
        <v>0</v>
      </c>
      <c r="H675" s="47">
        <f t="shared" si="269"/>
        <v>1109</v>
      </c>
      <c r="I675" s="47">
        <f t="shared" si="269"/>
        <v>1109</v>
      </c>
      <c r="J675" s="47">
        <f>SUM(J673:J674)</f>
        <v>0</v>
      </c>
      <c r="K675" s="188" t="s">
        <v>12</v>
      </c>
      <c r="L675" s="216"/>
    </row>
    <row r="676" spans="2:12" ht="15" customHeight="1" thickBot="1" x14ac:dyDescent="0.25">
      <c r="B676" s="47">
        <f t="shared" si="261"/>
        <v>758</v>
      </c>
      <c r="C676" s="47">
        <f t="shared" si="262"/>
        <v>0</v>
      </c>
      <c r="D676" s="47">
        <f t="shared" si="262"/>
        <v>758</v>
      </c>
      <c r="E676" s="47">
        <f t="shared" si="263"/>
        <v>0</v>
      </c>
      <c r="F676" s="47">
        <v>0</v>
      </c>
      <c r="G676" s="47">
        <v>0</v>
      </c>
      <c r="H676" s="47">
        <f t="shared" si="264"/>
        <v>758</v>
      </c>
      <c r="I676" s="47">
        <v>0</v>
      </c>
      <c r="J676" s="47">
        <v>758</v>
      </c>
      <c r="K676" s="188" t="s">
        <v>233</v>
      </c>
      <c r="L676" s="215"/>
    </row>
    <row r="677" spans="2:12" ht="15" customHeight="1" thickBot="1" x14ac:dyDescent="0.25">
      <c r="B677" s="47">
        <f t="shared" si="261"/>
        <v>460</v>
      </c>
      <c r="C677" s="47">
        <f t="shared" si="262"/>
        <v>0</v>
      </c>
      <c r="D677" s="47">
        <f t="shared" si="262"/>
        <v>460</v>
      </c>
      <c r="E677" s="47">
        <f t="shared" si="263"/>
        <v>0</v>
      </c>
      <c r="F677" s="47">
        <v>0</v>
      </c>
      <c r="G677" s="47">
        <v>0</v>
      </c>
      <c r="H677" s="47">
        <f t="shared" si="264"/>
        <v>460</v>
      </c>
      <c r="I677" s="47">
        <v>0</v>
      </c>
      <c r="J677" s="47">
        <v>460</v>
      </c>
      <c r="K677" s="188" t="s">
        <v>234</v>
      </c>
      <c r="L677" s="215" t="s">
        <v>505</v>
      </c>
    </row>
    <row r="678" spans="2:12" ht="15" customHeight="1" thickBot="1" x14ac:dyDescent="0.25">
      <c r="B678" s="47">
        <f t="shared" ref="B678:I678" si="270">SUM(B676:B677)</f>
        <v>1218</v>
      </c>
      <c r="C678" s="47">
        <f t="shared" si="270"/>
        <v>0</v>
      </c>
      <c r="D678" s="47">
        <f t="shared" si="270"/>
        <v>1218</v>
      </c>
      <c r="E678" s="47">
        <f t="shared" si="270"/>
        <v>0</v>
      </c>
      <c r="F678" s="47">
        <f t="shared" si="270"/>
        <v>0</v>
      </c>
      <c r="G678" s="47">
        <f t="shared" si="270"/>
        <v>0</v>
      </c>
      <c r="H678" s="47">
        <f t="shared" si="270"/>
        <v>1218</v>
      </c>
      <c r="I678" s="47">
        <f t="shared" si="270"/>
        <v>0</v>
      </c>
      <c r="J678" s="47">
        <f>SUM(J676:J677)</f>
        <v>1218</v>
      </c>
      <c r="K678" s="188" t="s">
        <v>12</v>
      </c>
      <c r="L678" s="216"/>
    </row>
    <row r="679" spans="2:12" ht="15" customHeight="1" thickBot="1" x14ac:dyDescent="0.25">
      <c r="B679" s="47">
        <f t="shared" si="261"/>
        <v>888</v>
      </c>
      <c r="C679" s="47">
        <f t="shared" si="262"/>
        <v>888</v>
      </c>
      <c r="D679" s="47">
        <f t="shared" si="262"/>
        <v>0</v>
      </c>
      <c r="E679" s="47">
        <f t="shared" si="263"/>
        <v>0</v>
      </c>
      <c r="F679" s="47">
        <v>0</v>
      </c>
      <c r="G679" s="47">
        <v>0</v>
      </c>
      <c r="H679" s="47">
        <f t="shared" si="264"/>
        <v>888</v>
      </c>
      <c r="I679" s="47">
        <v>888</v>
      </c>
      <c r="J679" s="47">
        <v>0</v>
      </c>
      <c r="K679" s="188" t="s">
        <v>233</v>
      </c>
      <c r="L679" s="215"/>
    </row>
    <row r="680" spans="2:12" ht="15" customHeight="1" thickBot="1" x14ac:dyDescent="0.25">
      <c r="B680" s="47">
        <f t="shared" si="261"/>
        <v>0</v>
      </c>
      <c r="C680" s="47">
        <f t="shared" si="262"/>
        <v>0</v>
      </c>
      <c r="D680" s="47">
        <f t="shared" si="262"/>
        <v>0</v>
      </c>
      <c r="E680" s="47">
        <f t="shared" si="263"/>
        <v>0</v>
      </c>
      <c r="F680" s="47">
        <v>0</v>
      </c>
      <c r="G680" s="47">
        <v>0</v>
      </c>
      <c r="H680" s="47">
        <f t="shared" si="264"/>
        <v>0</v>
      </c>
      <c r="I680" s="47">
        <v>0</v>
      </c>
      <c r="J680" s="47">
        <v>0</v>
      </c>
      <c r="K680" s="188" t="s">
        <v>234</v>
      </c>
      <c r="L680" s="215" t="s">
        <v>506</v>
      </c>
    </row>
    <row r="681" spans="2:12" ht="15" customHeight="1" thickBot="1" x14ac:dyDescent="0.25">
      <c r="B681" s="47">
        <f t="shared" ref="B681:I681" si="271">SUM(B679:B680)</f>
        <v>888</v>
      </c>
      <c r="C681" s="47">
        <f t="shared" si="271"/>
        <v>888</v>
      </c>
      <c r="D681" s="47">
        <f t="shared" si="271"/>
        <v>0</v>
      </c>
      <c r="E681" s="47">
        <f t="shared" si="271"/>
        <v>0</v>
      </c>
      <c r="F681" s="47">
        <f t="shared" si="271"/>
        <v>0</v>
      </c>
      <c r="G681" s="47">
        <f t="shared" si="271"/>
        <v>0</v>
      </c>
      <c r="H681" s="47">
        <f t="shared" si="271"/>
        <v>888</v>
      </c>
      <c r="I681" s="47">
        <f t="shared" si="271"/>
        <v>888</v>
      </c>
      <c r="J681" s="47">
        <f>SUM(J679:J680)</f>
        <v>0</v>
      </c>
      <c r="K681" s="188" t="s">
        <v>12</v>
      </c>
      <c r="L681" s="216"/>
    </row>
    <row r="682" spans="2:12" ht="15" customHeight="1" thickBot="1" x14ac:dyDescent="0.25">
      <c r="B682" s="47">
        <f t="shared" si="261"/>
        <v>65</v>
      </c>
      <c r="C682" s="47">
        <f t="shared" si="262"/>
        <v>0</v>
      </c>
      <c r="D682" s="47">
        <f t="shared" si="262"/>
        <v>65</v>
      </c>
      <c r="E682" s="47">
        <f t="shared" si="263"/>
        <v>0</v>
      </c>
      <c r="F682" s="47">
        <v>0</v>
      </c>
      <c r="G682" s="47">
        <v>0</v>
      </c>
      <c r="H682" s="47">
        <f t="shared" si="264"/>
        <v>65</v>
      </c>
      <c r="I682" s="47">
        <v>0</v>
      </c>
      <c r="J682" s="47">
        <v>65</v>
      </c>
      <c r="K682" s="188" t="s">
        <v>233</v>
      </c>
      <c r="L682" s="215"/>
    </row>
    <row r="683" spans="2:12" ht="15" customHeight="1" thickBot="1" x14ac:dyDescent="0.25">
      <c r="B683" s="47">
        <f t="shared" si="261"/>
        <v>0</v>
      </c>
      <c r="C683" s="47">
        <f t="shared" si="262"/>
        <v>0</v>
      </c>
      <c r="D683" s="47">
        <f t="shared" si="262"/>
        <v>0</v>
      </c>
      <c r="E683" s="47">
        <f t="shared" si="263"/>
        <v>0</v>
      </c>
      <c r="F683" s="47">
        <v>0</v>
      </c>
      <c r="G683" s="47">
        <v>0</v>
      </c>
      <c r="H683" s="47">
        <f t="shared" si="264"/>
        <v>0</v>
      </c>
      <c r="I683" s="47">
        <v>0</v>
      </c>
      <c r="J683" s="47">
        <v>0</v>
      </c>
      <c r="K683" s="188" t="s">
        <v>234</v>
      </c>
      <c r="L683" s="215" t="s">
        <v>507</v>
      </c>
    </row>
    <row r="684" spans="2:12" ht="15" customHeight="1" thickBot="1" x14ac:dyDescent="0.25">
      <c r="B684" s="47">
        <f t="shared" ref="B684:I684" si="272">SUM(B682:B683)</f>
        <v>65</v>
      </c>
      <c r="C684" s="47">
        <f t="shared" si="272"/>
        <v>0</v>
      </c>
      <c r="D684" s="47">
        <f t="shared" si="272"/>
        <v>65</v>
      </c>
      <c r="E684" s="47">
        <f t="shared" si="272"/>
        <v>0</v>
      </c>
      <c r="F684" s="47">
        <f t="shared" si="272"/>
        <v>0</v>
      </c>
      <c r="G684" s="47">
        <f t="shared" si="272"/>
        <v>0</v>
      </c>
      <c r="H684" s="47">
        <f t="shared" si="272"/>
        <v>65</v>
      </c>
      <c r="I684" s="47">
        <f t="shared" si="272"/>
        <v>0</v>
      </c>
      <c r="J684" s="47">
        <f>SUM(J682:J683)</f>
        <v>65</v>
      </c>
      <c r="K684" s="188" t="s">
        <v>12</v>
      </c>
      <c r="L684" s="216"/>
    </row>
    <row r="685" spans="2:12" ht="15" customHeight="1" thickBot="1" x14ac:dyDescent="0.25">
      <c r="B685" s="47">
        <f t="shared" si="261"/>
        <v>204</v>
      </c>
      <c r="C685" s="47">
        <f t="shared" si="262"/>
        <v>204</v>
      </c>
      <c r="D685" s="47">
        <f t="shared" si="262"/>
        <v>0</v>
      </c>
      <c r="E685" s="47">
        <f t="shared" si="263"/>
        <v>0</v>
      </c>
      <c r="F685" s="47">
        <v>0</v>
      </c>
      <c r="G685" s="47">
        <v>0</v>
      </c>
      <c r="H685" s="47">
        <f t="shared" si="264"/>
        <v>204</v>
      </c>
      <c r="I685" s="47">
        <v>204</v>
      </c>
      <c r="J685" s="47">
        <v>0</v>
      </c>
      <c r="K685" s="188" t="s">
        <v>233</v>
      </c>
      <c r="L685" s="215"/>
    </row>
    <row r="686" spans="2:12" ht="15" customHeight="1" thickBot="1" x14ac:dyDescent="0.25">
      <c r="B686" s="47">
        <f t="shared" si="261"/>
        <v>0</v>
      </c>
      <c r="C686" s="47">
        <f t="shared" si="262"/>
        <v>0</v>
      </c>
      <c r="D686" s="47">
        <f t="shared" si="262"/>
        <v>0</v>
      </c>
      <c r="E686" s="47">
        <f t="shared" si="263"/>
        <v>0</v>
      </c>
      <c r="F686" s="47">
        <v>0</v>
      </c>
      <c r="G686" s="47">
        <v>0</v>
      </c>
      <c r="H686" s="47">
        <f t="shared" si="264"/>
        <v>0</v>
      </c>
      <c r="I686" s="47">
        <v>0</v>
      </c>
      <c r="J686" s="47">
        <v>0</v>
      </c>
      <c r="K686" s="188" t="s">
        <v>234</v>
      </c>
      <c r="L686" s="215" t="s">
        <v>508</v>
      </c>
    </row>
    <row r="687" spans="2:12" ht="15" customHeight="1" thickBot="1" x14ac:dyDescent="0.25">
      <c r="B687" s="47">
        <f t="shared" ref="B687:I687" si="273">SUM(B685:B686)</f>
        <v>204</v>
      </c>
      <c r="C687" s="47">
        <f t="shared" si="273"/>
        <v>204</v>
      </c>
      <c r="D687" s="47">
        <f t="shared" si="273"/>
        <v>0</v>
      </c>
      <c r="E687" s="47">
        <f t="shared" si="273"/>
        <v>0</v>
      </c>
      <c r="F687" s="47">
        <f t="shared" si="273"/>
        <v>0</v>
      </c>
      <c r="G687" s="47">
        <f t="shared" si="273"/>
        <v>0</v>
      </c>
      <c r="H687" s="47">
        <f t="shared" si="273"/>
        <v>204</v>
      </c>
      <c r="I687" s="47">
        <f t="shared" si="273"/>
        <v>204</v>
      </c>
      <c r="J687" s="47">
        <f>SUM(J685:J686)</f>
        <v>0</v>
      </c>
      <c r="K687" s="188" t="s">
        <v>12</v>
      </c>
      <c r="L687" s="216"/>
    </row>
    <row r="688" spans="2:12" ht="15" customHeight="1" thickBot="1" x14ac:dyDescent="0.25">
      <c r="B688" s="47">
        <f t="shared" ref="B688:J690" si="274">B661+B664+B667+B670+B673+B676+B679+B682+B685</f>
        <v>4948</v>
      </c>
      <c r="C688" s="47">
        <f t="shared" si="274"/>
        <v>2843</v>
      </c>
      <c r="D688" s="47">
        <f t="shared" si="274"/>
        <v>2105</v>
      </c>
      <c r="E688" s="47">
        <f t="shared" si="274"/>
        <v>0</v>
      </c>
      <c r="F688" s="47">
        <f t="shared" si="274"/>
        <v>0</v>
      </c>
      <c r="G688" s="47">
        <f t="shared" si="274"/>
        <v>0</v>
      </c>
      <c r="H688" s="47">
        <f t="shared" si="274"/>
        <v>4948</v>
      </c>
      <c r="I688" s="47">
        <f t="shared" si="274"/>
        <v>2843</v>
      </c>
      <c r="J688" s="47">
        <f>J661+J664+J667+J670+J673+J676+J679+J682+J685</f>
        <v>2105</v>
      </c>
      <c r="K688" s="188" t="s">
        <v>236</v>
      </c>
      <c r="L688" s="217"/>
    </row>
    <row r="689" spans="2:12" ht="15" customHeight="1" thickBot="1" x14ac:dyDescent="0.25">
      <c r="B689" s="47">
        <f t="shared" si="274"/>
        <v>859</v>
      </c>
      <c r="C689" s="47">
        <f t="shared" si="274"/>
        <v>399</v>
      </c>
      <c r="D689" s="47">
        <f t="shared" si="274"/>
        <v>460</v>
      </c>
      <c r="E689" s="47">
        <f t="shared" si="274"/>
        <v>0</v>
      </c>
      <c r="F689" s="47">
        <f t="shared" si="274"/>
        <v>0</v>
      </c>
      <c r="G689" s="47">
        <f t="shared" si="274"/>
        <v>0</v>
      </c>
      <c r="H689" s="47">
        <f t="shared" si="274"/>
        <v>859</v>
      </c>
      <c r="I689" s="47">
        <f t="shared" si="274"/>
        <v>399</v>
      </c>
      <c r="J689" s="47">
        <f t="shared" si="274"/>
        <v>460</v>
      </c>
      <c r="K689" s="188" t="s">
        <v>237</v>
      </c>
      <c r="L689" s="218" t="s">
        <v>188</v>
      </c>
    </row>
    <row r="690" spans="2:12" ht="15" customHeight="1" thickBot="1" x14ac:dyDescent="0.25">
      <c r="B690" s="47">
        <f t="shared" si="274"/>
        <v>5807</v>
      </c>
      <c r="C690" s="47">
        <f t="shared" si="274"/>
        <v>3242</v>
      </c>
      <c r="D690" s="47">
        <f t="shared" si="274"/>
        <v>2565</v>
      </c>
      <c r="E690" s="47">
        <f t="shared" si="274"/>
        <v>0</v>
      </c>
      <c r="F690" s="47">
        <f t="shared" si="274"/>
        <v>0</v>
      </c>
      <c r="G690" s="47">
        <f t="shared" si="274"/>
        <v>0</v>
      </c>
      <c r="H690" s="47">
        <f t="shared" si="274"/>
        <v>5807</v>
      </c>
      <c r="I690" s="47">
        <f t="shared" si="274"/>
        <v>3242</v>
      </c>
      <c r="J690" s="47">
        <f t="shared" si="274"/>
        <v>2565</v>
      </c>
      <c r="K690" s="188" t="s">
        <v>12</v>
      </c>
      <c r="L690" s="219"/>
    </row>
    <row r="691" spans="2:12" ht="15" customHeight="1" thickBot="1" x14ac:dyDescent="0.25">
      <c r="B691" s="476" t="s">
        <v>4</v>
      </c>
      <c r="C691" s="476"/>
      <c r="D691" s="476"/>
      <c r="E691" s="476" t="s">
        <v>145</v>
      </c>
      <c r="F691" s="476"/>
      <c r="G691" s="476"/>
      <c r="H691" s="476" t="s">
        <v>146</v>
      </c>
      <c r="I691" s="476"/>
      <c r="J691" s="476"/>
      <c r="K691" s="479" t="s">
        <v>66</v>
      </c>
      <c r="L691" s="479"/>
    </row>
    <row r="692" spans="2:12" ht="15" customHeight="1" thickBot="1" x14ac:dyDescent="0.25">
      <c r="B692" s="185" t="s">
        <v>227</v>
      </c>
      <c r="C692" s="185" t="s">
        <v>10</v>
      </c>
      <c r="D692" s="185" t="s">
        <v>9</v>
      </c>
      <c r="E692" s="185" t="s">
        <v>227</v>
      </c>
      <c r="F692" s="185" t="s">
        <v>10</v>
      </c>
      <c r="G692" s="185" t="s">
        <v>9</v>
      </c>
      <c r="H692" s="185" t="s">
        <v>227</v>
      </c>
      <c r="I692" s="185" t="s">
        <v>10</v>
      </c>
      <c r="J692" s="185" t="s">
        <v>9</v>
      </c>
      <c r="K692" s="480" t="s">
        <v>106</v>
      </c>
      <c r="L692" s="480"/>
    </row>
    <row r="693" spans="2:12" ht="15" customHeight="1" thickBot="1" x14ac:dyDescent="0.25">
      <c r="B693" s="47">
        <f>SUM(C693:D693)</f>
        <v>1899</v>
      </c>
      <c r="C693" s="47">
        <f>I693+F693</f>
        <v>0</v>
      </c>
      <c r="D693" s="47">
        <f>J693+G693</f>
        <v>1899</v>
      </c>
      <c r="E693" s="47">
        <f>SUM(F693:G693)</f>
        <v>0</v>
      </c>
      <c r="F693" s="47">
        <v>0</v>
      </c>
      <c r="G693" s="47">
        <v>0</v>
      </c>
      <c r="H693" s="47">
        <f>SUM(I693:J693)</f>
        <v>1899</v>
      </c>
      <c r="I693" s="47">
        <v>0</v>
      </c>
      <c r="J693" s="47">
        <v>1899</v>
      </c>
      <c r="K693" s="188" t="s">
        <v>233</v>
      </c>
      <c r="L693" s="134"/>
    </row>
    <row r="694" spans="2:12" ht="15" customHeight="1" thickBot="1" x14ac:dyDescent="0.25">
      <c r="B694" s="47">
        <f t="shared" ref="B694:B724" si="275">SUM(C694:D694)</f>
        <v>0</v>
      </c>
      <c r="C694" s="47">
        <f t="shared" ref="C694:D724" si="276">I694+F694</f>
        <v>0</v>
      </c>
      <c r="D694" s="47">
        <f t="shared" si="276"/>
        <v>0</v>
      </c>
      <c r="E694" s="47">
        <f t="shared" ref="E694:E724" si="277">SUM(F694:G694)</f>
        <v>0</v>
      </c>
      <c r="F694" s="47">
        <v>0</v>
      </c>
      <c r="G694" s="47">
        <v>0</v>
      </c>
      <c r="H694" s="47">
        <f t="shared" ref="H694:H724" si="278">SUM(I694:J694)</f>
        <v>0</v>
      </c>
      <c r="I694" s="47">
        <v>0</v>
      </c>
      <c r="J694" s="47">
        <v>0</v>
      </c>
      <c r="K694" s="188" t="s">
        <v>234</v>
      </c>
      <c r="L694" s="134" t="s">
        <v>279</v>
      </c>
    </row>
    <row r="695" spans="2:12" ht="15" customHeight="1" thickBot="1" x14ac:dyDescent="0.25">
      <c r="B695" s="47">
        <f t="shared" ref="B695:I695" si="279">SUM(B693:B694)</f>
        <v>1899</v>
      </c>
      <c r="C695" s="47">
        <f t="shared" si="279"/>
        <v>0</v>
      </c>
      <c r="D695" s="47">
        <f t="shared" si="279"/>
        <v>1899</v>
      </c>
      <c r="E695" s="47">
        <f t="shared" si="279"/>
        <v>0</v>
      </c>
      <c r="F695" s="47">
        <f t="shared" si="279"/>
        <v>0</v>
      </c>
      <c r="G695" s="47">
        <f t="shared" si="279"/>
        <v>0</v>
      </c>
      <c r="H695" s="47">
        <f t="shared" si="279"/>
        <v>1899</v>
      </c>
      <c r="I695" s="47">
        <f t="shared" si="279"/>
        <v>0</v>
      </c>
      <c r="J695" s="47">
        <f>SUM(J693:J694)</f>
        <v>1899</v>
      </c>
      <c r="K695" s="188" t="s">
        <v>12</v>
      </c>
      <c r="L695" s="239"/>
    </row>
    <row r="696" spans="2:12" ht="15" customHeight="1" thickBot="1" x14ac:dyDescent="0.25">
      <c r="B696" s="47">
        <f t="shared" si="275"/>
        <v>640</v>
      </c>
      <c r="C696" s="47">
        <f t="shared" si="276"/>
        <v>0</v>
      </c>
      <c r="D696" s="47">
        <f t="shared" si="276"/>
        <v>640</v>
      </c>
      <c r="E696" s="47">
        <f t="shared" si="277"/>
        <v>0</v>
      </c>
      <c r="F696" s="47">
        <v>0</v>
      </c>
      <c r="G696" s="47">
        <v>0</v>
      </c>
      <c r="H696" s="47">
        <f t="shared" si="278"/>
        <v>640</v>
      </c>
      <c r="I696" s="47">
        <v>0</v>
      </c>
      <c r="J696" s="47">
        <v>640</v>
      </c>
      <c r="K696" s="188" t="s">
        <v>233</v>
      </c>
      <c r="L696" s="134"/>
    </row>
    <row r="697" spans="2:12" ht="15" customHeight="1" thickBot="1" x14ac:dyDescent="0.25">
      <c r="B697" s="47">
        <f t="shared" si="275"/>
        <v>0</v>
      </c>
      <c r="C697" s="47">
        <f t="shared" si="276"/>
        <v>0</v>
      </c>
      <c r="D697" s="47">
        <f t="shared" si="276"/>
        <v>0</v>
      </c>
      <c r="E697" s="47">
        <f t="shared" si="277"/>
        <v>0</v>
      </c>
      <c r="F697" s="47">
        <v>0</v>
      </c>
      <c r="G697" s="47">
        <v>0</v>
      </c>
      <c r="H697" s="47">
        <f t="shared" si="278"/>
        <v>0</v>
      </c>
      <c r="I697" s="47">
        <v>0</v>
      </c>
      <c r="J697" s="47">
        <v>0</v>
      </c>
      <c r="K697" s="188" t="s">
        <v>234</v>
      </c>
      <c r="L697" s="134" t="s">
        <v>451</v>
      </c>
    </row>
    <row r="698" spans="2:12" ht="15" customHeight="1" thickBot="1" x14ac:dyDescent="0.25">
      <c r="B698" s="47">
        <f t="shared" ref="B698:I698" si="280">SUM(B696:B697)</f>
        <v>640</v>
      </c>
      <c r="C698" s="47">
        <f t="shared" si="280"/>
        <v>0</v>
      </c>
      <c r="D698" s="47">
        <f t="shared" si="280"/>
        <v>640</v>
      </c>
      <c r="E698" s="47">
        <f t="shared" si="280"/>
        <v>0</v>
      </c>
      <c r="F698" s="47">
        <f t="shared" si="280"/>
        <v>0</v>
      </c>
      <c r="G698" s="47">
        <f t="shared" si="280"/>
        <v>0</v>
      </c>
      <c r="H698" s="47">
        <f t="shared" si="280"/>
        <v>640</v>
      </c>
      <c r="I698" s="47">
        <f t="shared" si="280"/>
        <v>0</v>
      </c>
      <c r="J698" s="47">
        <f>SUM(J696:J697)</f>
        <v>640</v>
      </c>
      <c r="K698" s="188" t="s">
        <v>12</v>
      </c>
      <c r="L698" s="239"/>
    </row>
    <row r="699" spans="2:12" ht="15" customHeight="1" thickBot="1" x14ac:dyDescent="0.25">
      <c r="B699" s="47">
        <f t="shared" si="275"/>
        <v>798</v>
      </c>
      <c r="C699" s="47">
        <f t="shared" si="276"/>
        <v>0</v>
      </c>
      <c r="D699" s="47">
        <f t="shared" si="276"/>
        <v>798</v>
      </c>
      <c r="E699" s="47">
        <f t="shared" si="277"/>
        <v>0</v>
      </c>
      <c r="F699" s="47">
        <v>0</v>
      </c>
      <c r="G699" s="47">
        <v>0</v>
      </c>
      <c r="H699" s="47">
        <f t="shared" si="278"/>
        <v>798</v>
      </c>
      <c r="I699" s="47">
        <v>0</v>
      </c>
      <c r="J699" s="47">
        <v>798</v>
      </c>
      <c r="K699" s="188" t="s">
        <v>233</v>
      </c>
      <c r="L699" s="134"/>
    </row>
    <row r="700" spans="2:12" ht="15" customHeight="1" thickBot="1" x14ac:dyDescent="0.25">
      <c r="B700" s="47">
        <f t="shared" si="275"/>
        <v>0</v>
      </c>
      <c r="C700" s="47">
        <f t="shared" si="276"/>
        <v>0</v>
      </c>
      <c r="D700" s="47">
        <f t="shared" si="276"/>
        <v>0</v>
      </c>
      <c r="E700" s="47">
        <f t="shared" si="277"/>
        <v>0</v>
      </c>
      <c r="F700" s="47">
        <v>0</v>
      </c>
      <c r="G700" s="47">
        <v>0</v>
      </c>
      <c r="H700" s="47">
        <f t="shared" si="278"/>
        <v>0</v>
      </c>
      <c r="I700" s="47">
        <v>0</v>
      </c>
      <c r="J700" s="47">
        <v>0</v>
      </c>
      <c r="K700" s="188" t="s">
        <v>234</v>
      </c>
      <c r="L700" s="134" t="s">
        <v>454</v>
      </c>
    </row>
    <row r="701" spans="2:12" ht="15" customHeight="1" thickBot="1" x14ac:dyDescent="0.25">
      <c r="B701" s="47">
        <f t="shared" ref="B701:I701" si="281">SUM(B699:B700)</f>
        <v>798</v>
      </c>
      <c r="C701" s="47">
        <f t="shared" si="281"/>
        <v>0</v>
      </c>
      <c r="D701" s="47">
        <f t="shared" si="281"/>
        <v>798</v>
      </c>
      <c r="E701" s="47">
        <f t="shared" si="281"/>
        <v>0</v>
      </c>
      <c r="F701" s="47">
        <f t="shared" si="281"/>
        <v>0</v>
      </c>
      <c r="G701" s="47">
        <f t="shared" si="281"/>
        <v>0</v>
      </c>
      <c r="H701" s="47">
        <f t="shared" si="281"/>
        <v>798</v>
      </c>
      <c r="I701" s="47">
        <f t="shared" si="281"/>
        <v>0</v>
      </c>
      <c r="J701" s="47">
        <f>SUM(J699:J700)</f>
        <v>798</v>
      </c>
      <c r="K701" s="188" t="s">
        <v>12</v>
      </c>
      <c r="L701" s="239"/>
    </row>
    <row r="702" spans="2:12" ht="15" customHeight="1" thickBot="1" x14ac:dyDescent="0.25">
      <c r="B702" s="47">
        <f t="shared" si="275"/>
        <v>115</v>
      </c>
      <c r="C702" s="47">
        <f t="shared" si="276"/>
        <v>0</v>
      </c>
      <c r="D702" s="47">
        <f t="shared" si="276"/>
        <v>115</v>
      </c>
      <c r="E702" s="47">
        <f t="shared" si="277"/>
        <v>0</v>
      </c>
      <c r="F702" s="47">
        <v>0</v>
      </c>
      <c r="G702" s="47">
        <v>0</v>
      </c>
      <c r="H702" s="47">
        <f t="shared" si="278"/>
        <v>115</v>
      </c>
      <c r="I702" s="47">
        <v>0</v>
      </c>
      <c r="J702" s="47">
        <v>115</v>
      </c>
      <c r="K702" s="188" t="s">
        <v>233</v>
      </c>
      <c r="L702" s="134"/>
    </row>
    <row r="703" spans="2:12" ht="15" customHeight="1" thickBot="1" x14ac:dyDescent="0.25">
      <c r="B703" s="47">
        <f t="shared" si="275"/>
        <v>0</v>
      </c>
      <c r="C703" s="47">
        <f t="shared" si="276"/>
        <v>0</v>
      </c>
      <c r="D703" s="47">
        <f t="shared" si="276"/>
        <v>0</v>
      </c>
      <c r="E703" s="47">
        <f t="shared" si="277"/>
        <v>0</v>
      </c>
      <c r="F703" s="47">
        <v>0</v>
      </c>
      <c r="G703" s="47">
        <v>0</v>
      </c>
      <c r="H703" s="47">
        <f t="shared" si="278"/>
        <v>0</v>
      </c>
      <c r="I703" s="47">
        <v>0</v>
      </c>
      <c r="J703" s="47">
        <v>0</v>
      </c>
      <c r="K703" s="188" t="s">
        <v>234</v>
      </c>
      <c r="L703" s="134" t="s">
        <v>344</v>
      </c>
    </row>
    <row r="704" spans="2:12" ht="15" customHeight="1" thickBot="1" x14ac:dyDescent="0.25">
      <c r="B704" s="47">
        <f t="shared" ref="B704:I704" si="282">SUM(B702:B703)</f>
        <v>115</v>
      </c>
      <c r="C704" s="47">
        <f t="shared" si="282"/>
        <v>0</v>
      </c>
      <c r="D704" s="47">
        <f t="shared" si="282"/>
        <v>115</v>
      </c>
      <c r="E704" s="47">
        <f t="shared" si="282"/>
        <v>0</v>
      </c>
      <c r="F704" s="47">
        <f t="shared" si="282"/>
        <v>0</v>
      </c>
      <c r="G704" s="47">
        <f t="shared" si="282"/>
        <v>0</v>
      </c>
      <c r="H704" s="47">
        <f t="shared" si="282"/>
        <v>115</v>
      </c>
      <c r="I704" s="47">
        <f t="shared" si="282"/>
        <v>0</v>
      </c>
      <c r="J704" s="47">
        <f>SUM(J702:J703)</f>
        <v>115</v>
      </c>
      <c r="K704" s="188" t="s">
        <v>12</v>
      </c>
      <c r="L704" s="239"/>
    </row>
    <row r="705" spans="2:12" ht="15" customHeight="1" thickBot="1" x14ac:dyDescent="0.25">
      <c r="B705" s="47">
        <f t="shared" si="275"/>
        <v>829</v>
      </c>
      <c r="C705" s="47">
        <f t="shared" si="276"/>
        <v>0</v>
      </c>
      <c r="D705" s="47">
        <f t="shared" si="276"/>
        <v>829</v>
      </c>
      <c r="E705" s="47">
        <f t="shared" si="277"/>
        <v>0</v>
      </c>
      <c r="F705" s="47">
        <v>0</v>
      </c>
      <c r="G705" s="47">
        <v>0</v>
      </c>
      <c r="H705" s="47">
        <f t="shared" si="278"/>
        <v>829</v>
      </c>
      <c r="I705" s="47">
        <v>0</v>
      </c>
      <c r="J705" s="47">
        <v>829</v>
      </c>
      <c r="K705" s="188" t="s">
        <v>233</v>
      </c>
      <c r="L705" s="134"/>
    </row>
    <row r="706" spans="2:12" ht="15" customHeight="1" thickBot="1" x14ac:dyDescent="0.25">
      <c r="B706" s="47">
        <f t="shared" si="275"/>
        <v>0</v>
      </c>
      <c r="C706" s="47">
        <f t="shared" si="276"/>
        <v>0</v>
      </c>
      <c r="D706" s="47">
        <f t="shared" si="276"/>
        <v>0</v>
      </c>
      <c r="E706" s="47">
        <f t="shared" si="277"/>
        <v>0</v>
      </c>
      <c r="F706" s="47">
        <v>0</v>
      </c>
      <c r="G706" s="47">
        <v>0</v>
      </c>
      <c r="H706" s="47">
        <f t="shared" si="278"/>
        <v>0</v>
      </c>
      <c r="I706" s="47">
        <v>0</v>
      </c>
      <c r="J706" s="47">
        <v>0</v>
      </c>
      <c r="K706" s="188" t="s">
        <v>234</v>
      </c>
      <c r="L706" s="134" t="s">
        <v>367</v>
      </c>
    </row>
    <row r="707" spans="2:12" ht="15" customHeight="1" thickBot="1" x14ac:dyDescent="0.25">
      <c r="B707" s="47">
        <f t="shared" ref="B707:I707" si="283">SUM(B705:B706)</f>
        <v>829</v>
      </c>
      <c r="C707" s="47">
        <f t="shared" si="283"/>
        <v>0</v>
      </c>
      <c r="D707" s="47">
        <f t="shared" si="283"/>
        <v>829</v>
      </c>
      <c r="E707" s="47">
        <f t="shared" si="283"/>
        <v>0</v>
      </c>
      <c r="F707" s="47">
        <f t="shared" si="283"/>
        <v>0</v>
      </c>
      <c r="G707" s="47">
        <f t="shared" si="283"/>
        <v>0</v>
      </c>
      <c r="H707" s="47">
        <f t="shared" si="283"/>
        <v>829</v>
      </c>
      <c r="I707" s="47">
        <f t="shared" si="283"/>
        <v>0</v>
      </c>
      <c r="J707" s="47">
        <f>SUM(J705:J706)</f>
        <v>829</v>
      </c>
      <c r="K707" s="188" t="s">
        <v>12</v>
      </c>
      <c r="L707" s="239"/>
    </row>
    <row r="708" spans="2:12" ht="15" customHeight="1" thickBot="1" x14ac:dyDescent="0.25">
      <c r="B708" s="47">
        <f t="shared" si="275"/>
        <v>121</v>
      </c>
      <c r="C708" s="47">
        <f t="shared" si="276"/>
        <v>0</v>
      </c>
      <c r="D708" s="47">
        <f t="shared" si="276"/>
        <v>121</v>
      </c>
      <c r="E708" s="47">
        <f t="shared" si="277"/>
        <v>0</v>
      </c>
      <c r="F708" s="47">
        <v>0</v>
      </c>
      <c r="G708" s="47">
        <v>0</v>
      </c>
      <c r="H708" s="47">
        <f t="shared" si="278"/>
        <v>121</v>
      </c>
      <c r="I708" s="47">
        <v>0</v>
      </c>
      <c r="J708" s="47">
        <v>121</v>
      </c>
      <c r="K708" s="188" t="s">
        <v>233</v>
      </c>
      <c r="L708" s="134"/>
    </row>
    <row r="709" spans="2:12" ht="15" customHeight="1" thickBot="1" x14ac:dyDescent="0.25">
      <c r="B709" s="47">
        <f t="shared" si="275"/>
        <v>0</v>
      </c>
      <c r="C709" s="47">
        <f t="shared" si="276"/>
        <v>0</v>
      </c>
      <c r="D709" s="47">
        <f t="shared" si="276"/>
        <v>0</v>
      </c>
      <c r="E709" s="47">
        <f t="shared" si="277"/>
        <v>0</v>
      </c>
      <c r="F709" s="47">
        <v>0</v>
      </c>
      <c r="G709" s="47">
        <v>0</v>
      </c>
      <c r="H709" s="47">
        <f t="shared" si="278"/>
        <v>0</v>
      </c>
      <c r="I709" s="47">
        <v>0</v>
      </c>
      <c r="J709" s="47">
        <v>0</v>
      </c>
      <c r="K709" s="188" t="s">
        <v>234</v>
      </c>
      <c r="L709" s="134" t="s">
        <v>347</v>
      </c>
    </row>
    <row r="710" spans="2:12" ht="15" customHeight="1" thickBot="1" x14ac:dyDescent="0.25">
      <c r="B710" s="47">
        <f t="shared" ref="B710:I710" si="284">SUM(B708:B709)</f>
        <v>121</v>
      </c>
      <c r="C710" s="47">
        <f t="shared" si="284"/>
        <v>0</v>
      </c>
      <c r="D710" s="47">
        <f t="shared" si="284"/>
        <v>121</v>
      </c>
      <c r="E710" s="47">
        <f t="shared" si="284"/>
        <v>0</v>
      </c>
      <c r="F710" s="47">
        <f t="shared" si="284"/>
        <v>0</v>
      </c>
      <c r="G710" s="47">
        <f t="shared" si="284"/>
        <v>0</v>
      </c>
      <c r="H710" s="47">
        <f t="shared" si="284"/>
        <v>121</v>
      </c>
      <c r="I710" s="47">
        <f t="shared" si="284"/>
        <v>0</v>
      </c>
      <c r="J710" s="47">
        <f>SUM(J708:J709)</f>
        <v>121</v>
      </c>
      <c r="K710" s="188" t="s">
        <v>12</v>
      </c>
      <c r="L710" s="239"/>
    </row>
    <row r="711" spans="2:12" ht="15" customHeight="1" thickBot="1" x14ac:dyDescent="0.25">
      <c r="B711" s="47">
        <f t="shared" si="275"/>
        <v>2047</v>
      </c>
      <c r="C711" s="47">
        <f t="shared" si="276"/>
        <v>2047</v>
      </c>
      <c r="D711" s="47">
        <f t="shared" si="276"/>
        <v>0</v>
      </c>
      <c r="E711" s="47">
        <f t="shared" si="277"/>
        <v>0</v>
      </c>
      <c r="F711" s="47">
        <v>0</v>
      </c>
      <c r="G711" s="47">
        <v>0</v>
      </c>
      <c r="H711" s="47">
        <f t="shared" si="278"/>
        <v>2047</v>
      </c>
      <c r="I711" s="47">
        <v>2047</v>
      </c>
      <c r="J711" s="47">
        <v>0</v>
      </c>
      <c r="K711" s="188" t="s">
        <v>233</v>
      </c>
      <c r="L711" s="134"/>
    </row>
    <row r="712" spans="2:12" ht="15" customHeight="1" thickBot="1" x14ac:dyDescent="0.25">
      <c r="B712" s="47">
        <f t="shared" si="275"/>
        <v>901</v>
      </c>
      <c r="C712" s="47">
        <f t="shared" si="276"/>
        <v>901</v>
      </c>
      <c r="D712" s="47">
        <f t="shared" si="276"/>
        <v>0</v>
      </c>
      <c r="E712" s="47">
        <f t="shared" si="277"/>
        <v>0</v>
      </c>
      <c r="F712" s="47">
        <v>0</v>
      </c>
      <c r="G712" s="47">
        <v>0</v>
      </c>
      <c r="H712" s="47">
        <f t="shared" si="278"/>
        <v>901</v>
      </c>
      <c r="I712" s="47">
        <v>901</v>
      </c>
      <c r="J712" s="47">
        <v>0</v>
      </c>
      <c r="K712" s="188" t="s">
        <v>234</v>
      </c>
      <c r="L712" s="134" t="s">
        <v>509</v>
      </c>
    </row>
    <row r="713" spans="2:12" ht="15" customHeight="1" thickBot="1" x14ac:dyDescent="0.25">
      <c r="B713" s="47">
        <f t="shared" ref="B713:I713" si="285">SUM(B711:B712)</f>
        <v>2948</v>
      </c>
      <c r="C713" s="47">
        <f t="shared" si="285"/>
        <v>2948</v>
      </c>
      <c r="D713" s="47">
        <f t="shared" si="285"/>
        <v>0</v>
      </c>
      <c r="E713" s="47">
        <f t="shared" si="285"/>
        <v>0</v>
      </c>
      <c r="F713" s="47">
        <f t="shared" si="285"/>
        <v>0</v>
      </c>
      <c r="G713" s="47">
        <f t="shared" si="285"/>
        <v>0</v>
      </c>
      <c r="H713" s="47">
        <f t="shared" si="285"/>
        <v>2948</v>
      </c>
      <c r="I713" s="47">
        <f t="shared" si="285"/>
        <v>2948</v>
      </c>
      <c r="J713" s="47">
        <f>SUM(J711:J712)</f>
        <v>0</v>
      </c>
      <c r="K713" s="188" t="s">
        <v>12</v>
      </c>
      <c r="L713" s="239"/>
    </row>
    <row r="714" spans="2:12" ht="15" customHeight="1" thickBot="1" x14ac:dyDescent="0.25">
      <c r="B714" s="47">
        <f t="shared" si="275"/>
        <v>451</v>
      </c>
      <c r="C714" s="47">
        <f t="shared" si="276"/>
        <v>451</v>
      </c>
      <c r="D714" s="47">
        <f t="shared" si="276"/>
        <v>0</v>
      </c>
      <c r="E714" s="47">
        <f t="shared" si="277"/>
        <v>1</v>
      </c>
      <c r="F714" s="47">
        <v>1</v>
      </c>
      <c r="G714" s="47">
        <v>0</v>
      </c>
      <c r="H714" s="47">
        <f t="shared" si="278"/>
        <v>450</v>
      </c>
      <c r="I714" s="47">
        <v>450</v>
      </c>
      <c r="J714" s="47">
        <v>0</v>
      </c>
      <c r="K714" s="188" t="s">
        <v>233</v>
      </c>
      <c r="L714" s="134"/>
    </row>
    <row r="715" spans="2:12" ht="15" customHeight="1" thickBot="1" x14ac:dyDescent="0.25">
      <c r="B715" s="47">
        <f t="shared" si="275"/>
        <v>0</v>
      </c>
      <c r="C715" s="47">
        <f t="shared" si="276"/>
        <v>0</v>
      </c>
      <c r="D715" s="47">
        <f t="shared" si="276"/>
        <v>0</v>
      </c>
      <c r="E715" s="47">
        <f t="shared" si="277"/>
        <v>0</v>
      </c>
      <c r="F715" s="47">
        <v>0</v>
      </c>
      <c r="G715" s="47">
        <v>0</v>
      </c>
      <c r="H715" s="47">
        <f t="shared" si="278"/>
        <v>0</v>
      </c>
      <c r="I715" s="47">
        <v>0</v>
      </c>
      <c r="J715" s="47">
        <v>0</v>
      </c>
      <c r="K715" s="188" t="s">
        <v>234</v>
      </c>
      <c r="L715" s="134" t="s">
        <v>510</v>
      </c>
    </row>
    <row r="716" spans="2:12" ht="15" customHeight="1" thickBot="1" x14ac:dyDescent="0.25">
      <c r="B716" s="47">
        <f t="shared" ref="B716:I716" si="286">SUM(B714:B715)</f>
        <v>451</v>
      </c>
      <c r="C716" s="47">
        <f t="shared" si="286"/>
        <v>451</v>
      </c>
      <c r="D716" s="47">
        <f t="shared" si="286"/>
        <v>0</v>
      </c>
      <c r="E716" s="47">
        <f t="shared" si="286"/>
        <v>1</v>
      </c>
      <c r="F716" s="47">
        <f t="shared" si="286"/>
        <v>1</v>
      </c>
      <c r="G716" s="47">
        <f t="shared" si="286"/>
        <v>0</v>
      </c>
      <c r="H716" s="47">
        <f t="shared" si="286"/>
        <v>450</v>
      </c>
      <c r="I716" s="47">
        <f t="shared" si="286"/>
        <v>450</v>
      </c>
      <c r="J716" s="47">
        <f>SUM(J714:J715)</f>
        <v>0</v>
      </c>
      <c r="K716" s="188" t="s">
        <v>12</v>
      </c>
      <c r="L716" s="239"/>
    </row>
    <row r="717" spans="2:12" ht="15" customHeight="1" thickBot="1" x14ac:dyDescent="0.25">
      <c r="B717" s="47">
        <f t="shared" si="275"/>
        <v>2122</v>
      </c>
      <c r="C717" s="47">
        <f t="shared" si="276"/>
        <v>2122</v>
      </c>
      <c r="D717" s="47">
        <f t="shared" si="276"/>
        <v>0</v>
      </c>
      <c r="E717" s="47">
        <f t="shared" si="277"/>
        <v>0</v>
      </c>
      <c r="F717" s="47">
        <v>0</v>
      </c>
      <c r="G717" s="47">
        <v>0</v>
      </c>
      <c r="H717" s="47">
        <f t="shared" si="278"/>
        <v>2122</v>
      </c>
      <c r="I717" s="47">
        <v>2122</v>
      </c>
      <c r="J717" s="47">
        <v>0</v>
      </c>
      <c r="K717" s="188" t="s">
        <v>233</v>
      </c>
      <c r="L717" s="134"/>
    </row>
    <row r="718" spans="2:12" ht="15" customHeight="1" thickBot="1" x14ac:dyDescent="0.25">
      <c r="B718" s="47">
        <f t="shared" si="275"/>
        <v>0</v>
      </c>
      <c r="C718" s="47">
        <f t="shared" si="276"/>
        <v>0</v>
      </c>
      <c r="D718" s="47">
        <f t="shared" si="276"/>
        <v>0</v>
      </c>
      <c r="E718" s="47">
        <f t="shared" si="277"/>
        <v>0</v>
      </c>
      <c r="F718" s="47">
        <v>0</v>
      </c>
      <c r="G718" s="47">
        <v>0</v>
      </c>
      <c r="H718" s="47">
        <f t="shared" si="278"/>
        <v>0</v>
      </c>
      <c r="I718" s="47">
        <v>0</v>
      </c>
      <c r="J718" s="47">
        <v>0</v>
      </c>
      <c r="K718" s="188" t="s">
        <v>234</v>
      </c>
      <c r="L718" s="134" t="s">
        <v>511</v>
      </c>
    </row>
    <row r="719" spans="2:12" ht="15" customHeight="1" thickBot="1" x14ac:dyDescent="0.25">
      <c r="B719" s="47">
        <f t="shared" ref="B719:I719" si="287">SUM(B717:B718)</f>
        <v>2122</v>
      </c>
      <c r="C719" s="47">
        <f t="shared" si="287"/>
        <v>2122</v>
      </c>
      <c r="D719" s="47">
        <f t="shared" si="287"/>
        <v>0</v>
      </c>
      <c r="E719" s="47">
        <f t="shared" si="287"/>
        <v>0</v>
      </c>
      <c r="F719" s="47">
        <f t="shared" si="287"/>
        <v>0</v>
      </c>
      <c r="G719" s="47">
        <f t="shared" si="287"/>
        <v>0</v>
      </c>
      <c r="H719" s="47">
        <f t="shared" si="287"/>
        <v>2122</v>
      </c>
      <c r="I719" s="47">
        <f t="shared" si="287"/>
        <v>2122</v>
      </c>
      <c r="J719" s="47">
        <f>SUM(J717:J718)</f>
        <v>0</v>
      </c>
      <c r="K719" s="188" t="s">
        <v>12</v>
      </c>
      <c r="L719" s="239"/>
    </row>
    <row r="720" spans="2:12" ht="15" customHeight="1" thickBot="1" x14ac:dyDescent="0.25">
      <c r="B720" s="47">
        <f t="shared" si="275"/>
        <v>1168</v>
      </c>
      <c r="C720" s="47">
        <f t="shared" si="276"/>
        <v>1168</v>
      </c>
      <c r="D720" s="47">
        <f t="shared" si="276"/>
        <v>0</v>
      </c>
      <c r="E720" s="47">
        <f t="shared" si="277"/>
        <v>0</v>
      </c>
      <c r="F720" s="47">
        <v>0</v>
      </c>
      <c r="G720" s="47">
        <v>0</v>
      </c>
      <c r="H720" s="47">
        <f t="shared" si="278"/>
        <v>1168</v>
      </c>
      <c r="I720" s="47">
        <v>1168</v>
      </c>
      <c r="J720" s="47">
        <v>0</v>
      </c>
      <c r="K720" s="188" t="s">
        <v>233</v>
      </c>
      <c r="L720" s="134"/>
    </row>
    <row r="721" spans="2:12" ht="15" customHeight="1" thickBot="1" x14ac:dyDescent="0.25">
      <c r="B721" s="47">
        <f t="shared" si="275"/>
        <v>802</v>
      </c>
      <c r="C721" s="47">
        <f t="shared" si="276"/>
        <v>802</v>
      </c>
      <c r="D721" s="47">
        <f t="shared" si="276"/>
        <v>0</v>
      </c>
      <c r="E721" s="47">
        <f t="shared" si="277"/>
        <v>0</v>
      </c>
      <c r="F721" s="47">
        <v>0</v>
      </c>
      <c r="G721" s="47">
        <v>0</v>
      </c>
      <c r="H721" s="47">
        <f t="shared" si="278"/>
        <v>802</v>
      </c>
      <c r="I721" s="47">
        <v>802</v>
      </c>
      <c r="J721" s="47">
        <v>0</v>
      </c>
      <c r="K721" s="188" t="s">
        <v>234</v>
      </c>
      <c r="L721" s="134" t="s">
        <v>512</v>
      </c>
    </row>
    <row r="722" spans="2:12" ht="15" customHeight="1" thickBot="1" x14ac:dyDescent="0.25">
      <c r="B722" s="47">
        <f t="shared" ref="B722:I722" si="288">SUM(B720:B721)</f>
        <v>1970</v>
      </c>
      <c r="C722" s="47">
        <f t="shared" si="288"/>
        <v>1970</v>
      </c>
      <c r="D722" s="47">
        <f t="shared" si="288"/>
        <v>0</v>
      </c>
      <c r="E722" s="47">
        <f t="shared" si="288"/>
        <v>0</v>
      </c>
      <c r="F722" s="47">
        <f t="shared" si="288"/>
        <v>0</v>
      </c>
      <c r="G722" s="47">
        <f t="shared" si="288"/>
        <v>0</v>
      </c>
      <c r="H722" s="47">
        <f t="shared" si="288"/>
        <v>1970</v>
      </c>
      <c r="I722" s="47">
        <f t="shared" si="288"/>
        <v>1970</v>
      </c>
      <c r="J722" s="47">
        <f>SUM(J720:J721)</f>
        <v>0</v>
      </c>
      <c r="K722" s="188" t="s">
        <v>12</v>
      </c>
      <c r="L722" s="239"/>
    </row>
    <row r="723" spans="2:12" ht="15" customHeight="1" thickBot="1" x14ac:dyDescent="0.25">
      <c r="B723" s="47">
        <f t="shared" si="275"/>
        <v>1081</v>
      </c>
      <c r="C723" s="47">
        <f t="shared" si="276"/>
        <v>1081</v>
      </c>
      <c r="D723" s="47">
        <f t="shared" si="276"/>
        <v>0</v>
      </c>
      <c r="E723" s="47">
        <f t="shared" si="277"/>
        <v>25</v>
      </c>
      <c r="F723" s="47">
        <v>25</v>
      </c>
      <c r="G723" s="47">
        <v>0</v>
      </c>
      <c r="H723" s="47">
        <f t="shared" si="278"/>
        <v>1056</v>
      </c>
      <c r="I723" s="47">
        <v>1056</v>
      </c>
      <c r="J723" s="47">
        <v>0</v>
      </c>
      <c r="K723" s="188" t="s">
        <v>233</v>
      </c>
      <c r="L723" s="134"/>
    </row>
    <row r="724" spans="2:12" ht="15" customHeight="1" thickBot="1" x14ac:dyDescent="0.25">
      <c r="B724" s="47">
        <f t="shared" si="275"/>
        <v>1032</v>
      </c>
      <c r="C724" s="47">
        <f t="shared" si="276"/>
        <v>1032</v>
      </c>
      <c r="D724" s="47">
        <f t="shared" si="276"/>
        <v>0</v>
      </c>
      <c r="E724" s="47">
        <f t="shared" si="277"/>
        <v>8</v>
      </c>
      <c r="F724" s="47">
        <v>8</v>
      </c>
      <c r="G724" s="47">
        <v>0</v>
      </c>
      <c r="H724" s="47">
        <f t="shared" si="278"/>
        <v>1024</v>
      </c>
      <c r="I724" s="47">
        <v>1024</v>
      </c>
      <c r="J724" s="47">
        <v>0</v>
      </c>
      <c r="K724" s="188" t="s">
        <v>234</v>
      </c>
      <c r="L724" s="134" t="s">
        <v>513</v>
      </c>
    </row>
    <row r="725" spans="2:12" ht="15" customHeight="1" thickBot="1" x14ac:dyDescent="0.25">
      <c r="B725" s="47">
        <f t="shared" ref="B725:I725" si="289">SUM(B723:B724)</f>
        <v>2113</v>
      </c>
      <c r="C725" s="47">
        <f t="shared" si="289"/>
        <v>2113</v>
      </c>
      <c r="D725" s="47">
        <f t="shared" si="289"/>
        <v>0</v>
      </c>
      <c r="E725" s="47">
        <f t="shared" si="289"/>
        <v>33</v>
      </c>
      <c r="F725" s="47">
        <f t="shared" si="289"/>
        <v>33</v>
      </c>
      <c r="G725" s="47">
        <f t="shared" si="289"/>
        <v>0</v>
      </c>
      <c r="H725" s="47">
        <f t="shared" si="289"/>
        <v>2080</v>
      </c>
      <c r="I725" s="47">
        <f t="shared" si="289"/>
        <v>2080</v>
      </c>
      <c r="J725" s="47">
        <f>SUM(J723:J724)</f>
        <v>0</v>
      </c>
      <c r="K725" s="188" t="s">
        <v>12</v>
      </c>
      <c r="L725" s="239"/>
    </row>
    <row r="726" spans="2:12" ht="15" customHeight="1" thickBot="1" x14ac:dyDescent="0.25">
      <c r="B726" s="47">
        <f t="shared" ref="B726:J728" si="290">B693+B696+B699+B702+B705+B708+B711+B714+B717+B720+B723</f>
        <v>11271</v>
      </c>
      <c r="C726" s="47">
        <f t="shared" si="290"/>
        <v>6869</v>
      </c>
      <c r="D726" s="47">
        <f t="shared" si="290"/>
        <v>4402</v>
      </c>
      <c r="E726" s="47">
        <f t="shared" si="290"/>
        <v>26</v>
      </c>
      <c r="F726" s="47">
        <f t="shared" si="290"/>
        <v>26</v>
      </c>
      <c r="G726" s="47">
        <f t="shared" si="290"/>
        <v>0</v>
      </c>
      <c r="H726" s="47">
        <f t="shared" si="290"/>
        <v>11245</v>
      </c>
      <c r="I726" s="47">
        <f t="shared" si="290"/>
        <v>6843</v>
      </c>
      <c r="J726" s="47">
        <f>J693+J696+J699+J702+J705+J708+J711+J714+J717+J720+J723</f>
        <v>4402</v>
      </c>
      <c r="K726" s="188" t="s">
        <v>236</v>
      </c>
      <c r="L726" s="131"/>
    </row>
    <row r="727" spans="2:12" ht="15" customHeight="1" thickBot="1" x14ac:dyDescent="0.25">
      <c r="B727" s="47">
        <f t="shared" si="290"/>
        <v>2735</v>
      </c>
      <c r="C727" s="47">
        <f t="shared" si="290"/>
        <v>2735</v>
      </c>
      <c r="D727" s="47">
        <f t="shared" si="290"/>
        <v>0</v>
      </c>
      <c r="E727" s="47">
        <f t="shared" si="290"/>
        <v>8</v>
      </c>
      <c r="F727" s="47">
        <f t="shared" si="290"/>
        <v>8</v>
      </c>
      <c r="G727" s="47">
        <f t="shared" si="290"/>
        <v>0</v>
      </c>
      <c r="H727" s="47">
        <f t="shared" si="290"/>
        <v>2727</v>
      </c>
      <c r="I727" s="47">
        <f t="shared" si="290"/>
        <v>2727</v>
      </c>
      <c r="J727" s="47">
        <f t="shared" si="290"/>
        <v>0</v>
      </c>
      <c r="K727" s="188" t="s">
        <v>237</v>
      </c>
      <c r="L727" s="132" t="s">
        <v>188</v>
      </c>
    </row>
    <row r="728" spans="2:12" ht="15" customHeight="1" thickBot="1" x14ac:dyDescent="0.25">
      <c r="B728" s="47">
        <f t="shared" si="290"/>
        <v>14006</v>
      </c>
      <c r="C728" s="47">
        <f t="shared" si="290"/>
        <v>9604</v>
      </c>
      <c r="D728" s="47">
        <f t="shared" si="290"/>
        <v>4402</v>
      </c>
      <c r="E728" s="47">
        <f t="shared" si="290"/>
        <v>34</v>
      </c>
      <c r="F728" s="47">
        <f t="shared" si="290"/>
        <v>34</v>
      </c>
      <c r="G728" s="47">
        <f t="shared" si="290"/>
        <v>0</v>
      </c>
      <c r="H728" s="47">
        <f t="shared" si="290"/>
        <v>13972</v>
      </c>
      <c r="I728" s="47">
        <f t="shared" si="290"/>
        <v>9570</v>
      </c>
      <c r="J728" s="47">
        <f t="shared" si="290"/>
        <v>4402</v>
      </c>
      <c r="K728" s="188" t="s">
        <v>12</v>
      </c>
      <c r="L728" s="133"/>
    </row>
    <row r="729" spans="2:12" ht="15" customHeight="1" thickBot="1" x14ac:dyDescent="0.25">
      <c r="B729" s="476" t="s">
        <v>4</v>
      </c>
      <c r="C729" s="476"/>
      <c r="D729" s="476"/>
      <c r="E729" s="476" t="s">
        <v>145</v>
      </c>
      <c r="F729" s="476"/>
      <c r="G729" s="476"/>
      <c r="H729" s="476" t="s">
        <v>146</v>
      </c>
      <c r="I729" s="476"/>
      <c r="J729" s="476"/>
      <c r="K729" s="479" t="s">
        <v>66</v>
      </c>
      <c r="L729" s="479"/>
    </row>
    <row r="730" spans="2:12" ht="15" customHeight="1" thickBot="1" x14ac:dyDescent="0.25">
      <c r="B730" s="185" t="s">
        <v>227</v>
      </c>
      <c r="C730" s="185" t="s">
        <v>10</v>
      </c>
      <c r="D730" s="185" t="s">
        <v>9</v>
      </c>
      <c r="E730" s="185" t="s">
        <v>227</v>
      </c>
      <c r="F730" s="185" t="s">
        <v>10</v>
      </c>
      <c r="G730" s="185" t="s">
        <v>9</v>
      </c>
      <c r="H730" s="185" t="s">
        <v>227</v>
      </c>
      <c r="I730" s="185" t="s">
        <v>10</v>
      </c>
      <c r="J730" s="185" t="s">
        <v>9</v>
      </c>
      <c r="K730" s="480" t="s">
        <v>109</v>
      </c>
      <c r="L730" s="480"/>
    </row>
    <row r="731" spans="2:12" ht="15" customHeight="1" thickBot="1" x14ac:dyDescent="0.25">
      <c r="B731" s="47">
        <f>SUM(C731:D731)</f>
        <v>57</v>
      </c>
      <c r="C731" s="47">
        <f>I731+F731</f>
        <v>0</v>
      </c>
      <c r="D731" s="47">
        <f>J731+G731</f>
        <v>57</v>
      </c>
      <c r="E731" s="47">
        <f>SUM(F731:G731)</f>
        <v>0</v>
      </c>
      <c r="F731" s="47">
        <v>0</v>
      </c>
      <c r="G731" s="47">
        <v>0</v>
      </c>
      <c r="H731" s="47">
        <f>SUM(I731:J731)</f>
        <v>57</v>
      </c>
      <c r="I731" s="47">
        <v>0</v>
      </c>
      <c r="J731" s="47">
        <v>57</v>
      </c>
      <c r="K731" s="188" t="s">
        <v>233</v>
      </c>
      <c r="L731" s="215"/>
    </row>
    <row r="732" spans="2:12" ht="15" customHeight="1" thickBot="1" x14ac:dyDescent="0.25">
      <c r="B732" s="47">
        <f t="shared" ref="B732:B750" si="291">SUM(C732:D732)</f>
        <v>0</v>
      </c>
      <c r="C732" s="47">
        <f t="shared" ref="C732:D750" si="292">I732+F732</f>
        <v>0</v>
      </c>
      <c r="D732" s="47">
        <f t="shared" si="292"/>
        <v>0</v>
      </c>
      <c r="E732" s="47">
        <f t="shared" ref="E732:E750" si="293">SUM(F732:G732)</f>
        <v>0</v>
      </c>
      <c r="F732" s="47">
        <v>0</v>
      </c>
      <c r="G732" s="47">
        <v>0</v>
      </c>
      <c r="H732" s="47">
        <f t="shared" ref="H732:H750" si="294">SUM(I732:J732)</f>
        <v>0</v>
      </c>
      <c r="I732" s="47">
        <v>0</v>
      </c>
      <c r="J732" s="47">
        <v>0</v>
      </c>
      <c r="K732" s="188" t="s">
        <v>234</v>
      </c>
      <c r="L732" s="215" t="s">
        <v>454</v>
      </c>
    </row>
    <row r="733" spans="2:12" ht="15" customHeight="1" thickBot="1" x14ac:dyDescent="0.25">
      <c r="B733" s="47">
        <f t="shared" ref="B733:I733" si="295">SUM(B731:B732)</f>
        <v>57</v>
      </c>
      <c r="C733" s="47">
        <f t="shared" si="295"/>
        <v>0</v>
      </c>
      <c r="D733" s="47">
        <f t="shared" si="295"/>
        <v>57</v>
      </c>
      <c r="E733" s="47">
        <f t="shared" si="295"/>
        <v>0</v>
      </c>
      <c r="F733" s="47">
        <f t="shared" si="295"/>
        <v>0</v>
      </c>
      <c r="G733" s="47">
        <f t="shared" si="295"/>
        <v>0</v>
      </c>
      <c r="H733" s="47">
        <f t="shared" si="295"/>
        <v>57</v>
      </c>
      <c r="I733" s="47">
        <f t="shared" si="295"/>
        <v>0</v>
      </c>
      <c r="J733" s="47">
        <f>SUM(J731:J732)</f>
        <v>57</v>
      </c>
      <c r="K733" s="188" t="s">
        <v>12</v>
      </c>
      <c r="L733" s="216"/>
    </row>
    <row r="734" spans="2:12" ht="15" customHeight="1" thickBot="1" x14ac:dyDescent="0.25">
      <c r="B734" s="47">
        <f t="shared" si="291"/>
        <v>658</v>
      </c>
      <c r="C734" s="47">
        <f t="shared" si="292"/>
        <v>467</v>
      </c>
      <c r="D734" s="47">
        <f t="shared" si="292"/>
        <v>191</v>
      </c>
      <c r="E734" s="47">
        <f t="shared" si="293"/>
        <v>0</v>
      </c>
      <c r="F734" s="47">
        <v>0</v>
      </c>
      <c r="G734" s="47">
        <v>0</v>
      </c>
      <c r="H734" s="47">
        <f t="shared" si="294"/>
        <v>658</v>
      </c>
      <c r="I734" s="47">
        <v>467</v>
      </c>
      <c r="J734" s="47">
        <v>191</v>
      </c>
      <c r="K734" s="188" t="s">
        <v>233</v>
      </c>
      <c r="L734" s="215"/>
    </row>
    <row r="735" spans="2:12" ht="15" customHeight="1" thickBot="1" x14ac:dyDescent="0.25">
      <c r="B735" s="47">
        <f t="shared" si="291"/>
        <v>0</v>
      </c>
      <c r="C735" s="47">
        <f t="shared" si="292"/>
        <v>0</v>
      </c>
      <c r="D735" s="47">
        <f t="shared" si="292"/>
        <v>0</v>
      </c>
      <c r="E735" s="47">
        <f t="shared" si="293"/>
        <v>0</v>
      </c>
      <c r="F735" s="47">
        <v>0</v>
      </c>
      <c r="G735" s="47">
        <v>0</v>
      </c>
      <c r="H735" s="47">
        <f t="shared" si="294"/>
        <v>0</v>
      </c>
      <c r="I735" s="47">
        <v>0</v>
      </c>
      <c r="J735" s="47">
        <v>0</v>
      </c>
      <c r="K735" s="188" t="s">
        <v>234</v>
      </c>
      <c r="L735" s="215" t="s">
        <v>514</v>
      </c>
    </row>
    <row r="736" spans="2:12" ht="15" customHeight="1" thickBot="1" x14ac:dyDescent="0.25">
      <c r="B736" s="47">
        <f t="shared" ref="B736:I736" si="296">SUM(B734:B735)</f>
        <v>658</v>
      </c>
      <c r="C736" s="47">
        <f t="shared" si="296"/>
        <v>467</v>
      </c>
      <c r="D736" s="47">
        <f t="shared" si="296"/>
        <v>191</v>
      </c>
      <c r="E736" s="47">
        <f t="shared" si="296"/>
        <v>0</v>
      </c>
      <c r="F736" s="47">
        <f t="shared" si="296"/>
        <v>0</v>
      </c>
      <c r="G736" s="47">
        <f t="shared" si="296"/>
        <v>0</v>
      </c>
      <c r="H736" s="47">
        <f t="shared" si="296"/>
        <v>658</v>
      </c>
      <c r="I736" s="47">
        <f t="shared" si="296"/>
        <v>467</v>
      </c>
      <c r="J736" s="47">
        <f>SUM(J734:J735)</f>
        <v>191</v>
      </c>
      <c r="K736" s="188" t="s">
        <v>12</v>
      </c>
      <c r="L736" s="216"/>
    </row>
    <row r="737" spans="2:12" ht="15" customHeight="1" thickBot="1" x14ac:dyDescent="0.25">
      <c r="B737" s="47">
        <f t="shared" si="291"/>
        <v>893</v>
      </c>
      <c r="C737" s="47">
        <f t="shared" si="292"/>
        <v>893</v>
      </c>
      <c r="D737" s="47">
        <f t="shared" si="292"/>
        <v>0</v>
      </c>
      <c r="E737" s="47">
        <f t="shared" si="293"/>
        <v>2</v>
      </c>
      <c r="F737" s="47">
        <v>2</v>
      </c>
      <c r="G737" s="47">
        <v>0</v>
      </c>
      <c r="H737" s="47">
        <f t="shared" si="294"/>
        <v>891</v>
      </c>
      <c r="I737" s="47">
        <v>891</v>
      </c>
      <c r="J737" s="47">
        <v>0</v>
      </c>
      <c r="K737" s="188" t="s">
        <v>233</v>
      </c>
      <c r="L737" s="215"/>
    </row>
    <row r="738" spans="2:12" ht="15" customHeight="1" thickBot="1" x14ac:dyDescent="0.25">
      <c r="B738" s="47">
        <f t="shared" si="291"/>
        <v>131</v>
      </c>
      <c r="C738" s="47">
        <f t="shared" si="292"/>
        <v>131</v>
      </c>
      <c r="D738" s="47">
        <f t="shared" si="292"/>
        <v>0</v>
      </c>
      <c r="E738" s="47">
        <f t="shared" si="293"/>
        <v>0</v>
      </c>
      <c r="F738" s="47">
        <v>0</v>
      </c>
      <c r="G738" s="47">
        <v>0</v>
      </c>
      <c r="H738" s="47">
        <f t="shared" si="294"/>
        <v>131</v>
      </c>
      <c r="I738" s="47">
        <v>131</v>
      </c>
      <c r="J738" s="47">
        <v>0</v>
      </c>
      <c r="K738" s="188" t="s">
        <v>234</v>
      </c>
      <c r="L738" s="215" t="s">
        <v>515</v>
      </c>
    </row>
    <row r="739" spans="2:12" ht="15" customHeight="1" thickBot="1" x14ac:dyDescent="0.25">
      <c r="B739" s="47">
        <f t="shared" ref="B739:I739" si="297">SUM(B737:B738)</f>
        <v>1024</v>
      </c>
      <c r="C739" s="47">
        <f t="shared" si="297"/>
        <v>1024</v>
      </c>
      <c r="D739" s="47">
        <f t="shared" si="297"/>
        <v>0</v>
      </c>
      <c r="E739" s="47">
        <f t="shared" si="297"/>
        <v>2</v>
      </c>
      <c r="F739" s="47">
        <f t="shared" si="297"/>
        <v>2</v>
      </c>
      <c r="G739" s="47">
        <f t="shared" si="297"/>
        <v>0</v>
      </c>
      <c r="H739" s="47">
        <f t="shared" si="297"/>
        <v>1022</v>
      </c>
      <c r="I739" s="47">
        <f t="shared" si="297"/>
        <v>1022</v>
      </c>
      <c r="J739" s="47">
        <f>SUM(J737:J738)</f>
        <v>0</v>
      </c>
      <c r="K739" s="188" t="s">
        <v>12</v>
      </c>
      <c r="L739" s="216"/>
    </row>
    <row r="740" spans="2:12" ht="15" customHeight="1" thickBot="1" x14ac:dyDescent="0.25">
      <c r="B740" s="47">
        <f t="shared" si="291"/>
        <v>905</v>
      </c>
      <c r="C740" s="47">
        <f t="shared" si="292"/>
        <v>905</v>
      </c>
      <c r="D740" s="47">
        <f t="shared" si="292"/>
        <v>0</v>
      </c>
      <c r="E740" s="47">
        <f t="shared" si="293"/>
        <v>2</v>
      </c>
      <c r="F740" s="47">
        <v>2</v>
      </c>
      <c r="G740" s="47">
        <v>0</v>
      </c>
      <c r="H740" s="47">
        <f t="shared" si="294"/>
        <v>903</v>
      </c>
      <c r="I740" s="47">
        <v>903</v>
      </c>
      <c r="J740" s="47">
        <v>0</v>
      </c>
      <c r="K740" s="188" t="s">
        <v>233</v>
      </c>
      <c r="L740" s="215"/>
    </row>
    <row r="741" spans="2:12" ht="15" customHeight="1" thickBot="1" x14ac:dyDescent="0.25">
      <c r="B741" s="47">
        <f t="shared" si="291"/>
        <v>0</v>
      </c>
      <c r="C741" s="47">
        <f t="shared" si="292"/>
        <v>0</v>
      </c>
      <c r="D741" s="47">
        <f t="shared" si="292"/>
        <v>0</v>
      </c>
      <c r="E741" s="47">
        <f t="shared" si="293"/>
        <v>0</v>
      </c>
      <c r="F741" s="47">
        <v>0</v>
      </c>
      <c r="G741" s="47">
        <v>0</v>
      </c>
      <c r="H741" s="47">
        <f t="shared" si="294"/>
        <v>0</v>
      </c>
      <c r="I741" s="47">
        <v>0</v>
      </c>
      <c r="J741" s="47">
        <v>0</v>
      </c>
      <c r="K741" s="188" t="s">
        <v>234</v>
      </c>
      <c r="L741" s="215" t="s">
        <v>516</v>
      </c>
    </row>
    <row r="742" spans="2:12" ht="15" customHeight="1" thickBot="1" x14ac:dyDescent="0.25">
      <c r="B742" s="47">
        <f t="shared" ref="B742:I742" si="298">SUM(B740:B741)</f>
        <v>905</v>
      </c>
      <c r="C742" s="47">
        <f t="shared" si="298"/>
        <v>905</v>
      </c>
      <c r="D742" s="47">
        <f t="shared" si="298"/>
        <v>0</v>
      </c>
      <c r="E742" s="47">
        <f t="shared" si="298"/>
        <v>2</v>
      </c>
      <c r="F742" s="47">
        <f t="shared" si="298"/>
        <v>2</v>
      </c>
      <c r="G742" s="47">
        <f t="shared" si="298"/>
        <v>0</v>
      </c>
      <c r="H742" s="47">
        <f t="shared" si="298"/>
        <v>903</v>
      </c>
      <c r="I742" s="47">
        <f t="shared" si="298"/>
        <v>903</v>
      </c>
      <c r="J742" s="47">
        <f>SUM(J740:J741)</f>
        <v>0</v>
      </c>
      <c r="K742" s="188" t="s">
        <v>12</v>
      </c>
      <c r="L742" s="216"/>
    </row>
    <row r="743" spans="2:12" ht="15" customHeight="1" thickBot="1" x14ac:dyDescent="0.25">
      <c r="B743" s="47">
        <f t="shared" si="291"/>
        <v>680</v>
      </c>
      <c r="C743" s="47">
        <f t="shared" si="292"/>
        <v>133</v>
      </c>
      <c r="D743" s="47">
        <f t="shared" si="292"/>
        <v>547</v>
      </c>
      <c r="E743" s="47">
        <f t="shared" si="293"/>
        <v>0</v>
      </c>
      <c r="F743" s="47">
        <v>0</v>
      </c>
      <c r="G743" s="47">
        <v>0</v>
      </c>
      <c r="H743" s="47">
        <f t="shared" si="294"/>
        <v>680</v>
      </c>
      <c r="I743" s="47">
        <v>133</v>
      </c>
      <c r="J743" s="47">
        <v>547</v>
      </c>
      <c r="K743" s="188" t="s">
        <v>233</v>
      </c>
      <c r="L743" s="215"/>
    </row>
    <row r="744" spans="2:12" ht="15" customHeight="1" thickBot="1" x14ac:dyDescent="0.25">
      <c r="B744" s="47">
        <f t="shared" si="291"/>
        <v>0</v>
      </c>
      <c r="C744" s="47">
        <f t="shared" si="292"/>
        <v>0</v>
      </c>
      <c r="D744" s="47">
        <f t="shared" si="292"/>
        <v>0</v>
      </c>
      <c r="E744" s="47">
        <f t="shared" si="293"/>
        <v>0</v>
      </c>
      <c r="F744" s="47">
        <v>0</v>
      </c>
      <c r="G744" s="47">
        <v>0</v>
      </c>
      <c r="H744" s="47">
        <f t="shared" si="294"/>
        <v>0</v>
      </c>
      <c r="I744" s="47">
        <v>0</v>
      </c>
      <c r="J744" s="47">
        <v>0</v>
      </c>
      <c r="K744" s="188" t="s">
        <v>234</v>
      </c>
      <c r="L744" s="215" t="s">
        <v>108</v>
      </c>
    </row>
    <row r="745" spans="2:12" ht="15" customHeight="1" thickBot="1" x14ac:dyDescent="0.25">
      <c r="B745" s="47">
        <f t="shared" ref="B745:I745" si="299">SUM(B743:B744)</f>
        <v>680</v>
      </c>
      <c r="C745" s="47">
        <f t="shared" si="299"/>
        <v>133</v>
      </c>
      <c r="D745" s="47">
        <f t="shared" si="299"/>
        <v>547</v>
      </c>
      <c r="E745" s="47">
        <f t="shared" si="299"/>
        <v>0</v>
      </c>
      <c r="F745" s="47">
        <f t="shared" si="299"/>
        <v>0</v>
      </c>
      <c r="G745" s="47">
        <f t="shared" si="299"/>
        <v>0</v>
      </c>
      <c r="H745" s="47">
        <f t="shared" si="299"/>
        <v>680</v>
      </c>
      <c r="I745" s="47">
        <f t="shared" si="299"/>
        <v>133</v>
      </c>
      <c r="J745" s="47">
        <f>SUM(J743:J744)</f>
        <v>547</v>
      </c>
      <c r="K745" s="188" t="s">
        <v>12</v>
      </c>
      <c r="L745" s="216"/>
    </row>
    <row r="746" spans="2:12" ht="15" customHeight="1" thickBot="1" x14ac:dyDescent="0.25">
      <c r="B746" s="47">
        <f t="shared" si="291"/>
        <v>38</v>
      </c>
      <c r="C746" s="47">
        <f t="shared" si="292"/>
        <v>19</v>
      </c>
      <c r="D746" s="47">
        <f t="shared" si="292"/>
        <v>19</v>
      </c>
      <c r="E746" s="47">
        <f t="shared" si="293"/>
        <v>0</v>
      </c>
      <c r="F746" s="47">
        <v>0</v>
      </c>
      <c r="G746" s="47">
        <v>0</v>
      </c>
      <c r="H746" s="47">
        <f t="shared" si="294"/>
        <v>38</v>
      </c>
      <c r="I746" s="47">
        <v>19</v>
      </c>
      <c r="J746" s="47">
        <v>19</v>
      </c>
      <c r="K746" s="188" t="s">
        <v>233</v>
      </c>
      <c r="L746" s="215"/>
    </row>
    <row r="747" spans="2:12" ht="15" customHeight="1" thickBot="1" x14ac:dyDescent="0.25">
      <c r="B747" s="47">
        <f t="shared" si="291"/>
        <v>0</v>
      </c>
      <c r="C747" s="47">
        <f t="shared" si="292"/>
        <v>0</v>
      </c>
      <c r="D747" s="47">
        <f t="shared" si="292"/>
        <v>0</v>
      </c>
      <c r="E747" s="47">
        <f t="shared" si="293"/>
        <v>0</v>
      </c>
      <c r="F747" s="47">
        <v>0</v>
      </c>
      <c r="G747" s="47">
        <v>0</v>
      </c>
      <c r="H747" s="47">
        <f t="shared" si="294"/>
        <v>0</v>
      </c>
      <c r="I747" s="47">
        <v>0</v>
      </c>
      <c r="J747" s="47">
        <v>0</v>
      </c>
      <c r="K747" s="188" t="s">
        <v>234</v>
      </c>
      <c r="L747" s="215" t="s">
        <v>344</v>
      </c>
    </row>
    <row r="748" spans="2:12" ht="15" customHeight="1" thickBot="1" x14ac:dyDescent="0.25">
      <c r="B748" s="47">
        <f t="shared" ref="B748:I748" si="300">SUM(B746:B747)</f>
        <v>38</v>
      </c>
      <c r="C748" s="47">
        <f t="shared" si="300"/>
        <v>19</v>
      </c>
      <c r="D748" s="47">
        <f t="shared" si="300"/>
        <v>19</v>
      </c>
      <c r="E748" s="47">
        <f t="shared" si="300"/>
        <v>0</v>
      </c>
      <c r="F748" s="47">
        <f t="shared" si="300"/>
        <v>0</v>
      </c>
      <c r="G748" s="47">
        <f t="shared" si="300"/>
        <v>0</v>
      </c>
      <c r="H748" s="47">
        <f t="shared" si="300"/>
        <v>38</v>
      </c>
      <c r="I748" s="47">
        <f t="shared" si="300"/>
        <v>19</v>
      </c>
      <c r="J748" s="47">
        <f>SUM(J746:J747)</f>
        <v>19</v>
      </c>
      <c r="K748" s="188" t="s">
        <v>12</v>
      </c>
      <c r="L748" s="216"/>
    </row>
    <row r="749" spans="2:12" ht="15" customHeight="1" thickBot="1" x14ac:dyDescent="0.25">
      <c r="B749" s="47">
        <f t="shared" si="291"/>
        <v>689</v>
      </c>
      <c r="C749" s="47">
        <f t="shared" si="292"/>
        <v>0</v>
      </c>
      <c r="D749" s="47">
        <f t="shared" si="292"/>
        <v>689</v>
      </c>
      <c r="E749" s="47">
        <f t="shared" si="293"/>
        <v>2</v>
      </c>
      <c r="F749" s="47">
        <v>0</v>
      </c>
      <c r="G749" s="47">
        <v>2</v>
      </c>
      <c r="H749" s="47">
        <f t="shared" si="294"/>
        <v>687</v>
      </c>
      <c r="I749" s="47">
        <v>0</v>
      </c>
      <c r="J749" s="47">
        <v>687</v>
      </c>
      <c r="K749" s="188" t="s">
        <v>233</v>
      </c>
      <c r="L749" s="215"/>
    </row>
    <row r="750" spans="2:12" ht="15" customHeight="1" thickBot="1" x14ac:dyDescent="0.25">
      <c r="B750" s="47">
        <f t="shared" si="291"/>
        <v>0</v>
      </c>
      <c r="C750" s="47">
        <f t="shared" si="292"/>
        <v>0</v>
      </c>
      <c r="D750" s="47">
        <f t="shared" si="292"/>
        <v>0</v>
      </c>
      <c r="E750" s="47">
        <f t="shared" si="293"/>
        <v>0</v>
      </c>
      <c r="F750" s="47">
        <v>0</v>
      </c>
      <c r="G750" s="47">
        <v>0</v>
      </c>
      <c r="H750" s="47">
        <f t="shared" si="294"/>
        <v>0</v>
      </c>
      <c r="I750" s="47">
        <v>0</v>
      </c>
      <c r="J750" s="47">
        <v>0</v>
      </c>
      <c r="K750" s="188" t="s">
        <v>234</v>
      </c>
      <c r="L750" s="215" t="s">
        <v>256</v>
      </c>
    </row>
    <row r="751" spans="2:12" ht="15" customHeight="1" thickBot="1" x14ac:dyDescent="0.25">
      <c r="B751" s="47">
        <f t="shared" ref="B751:I751" si="301">SUM(B749:B750)</f>
        <v>689</v>
      </c>
      <c r="C751" s="47">
        <f t="shared" si="301"/>
        <v>0</v>
      </c>
      <c r="D751" s="47">
        <f t="shared" si="301"/>
        <v>689</v>
      </c>
      <c r="E751" s="47">
        <f t="shared" si="301"/>
        <v>2</v>
      </c>
      <c r="F751" s="47">
        <f t="shared" si="301"/>
        <v>0</v>
      </c>
      <c r="G751" s="47">
        <f t="shared" si="301"/>
        <v>2</v>
      </c>
      <c r="H751" s="47">
        <f t="shared" si="301"/>
        <v>687</v>
      </c>
      <c r="I751" s="47">
        <f t="shared" si="301"/>
        <v>0</v>
      </c>
      <c r="J751" s="47">
        <f>SUM(J749:J750)</f>
        <v>687</v>
      </c>
      <c r="K751" s="188" t="s">
        <v>12</v>
      </c>
      <c r="L751" s="216"/>
    </row>
    <row r="752" spans="2:12" ht="15" customHeight="1" thickBot="1" x14ac:dyDescent="0.25">
      <c r="B752" s="47">
        <f t="shared" ref="B752:J754" si="302">B731+B734+B737+B740+B743+B746+B749</f>
        <v>3920</v>
      </c>
      <c r="C752" s="47">
        <f t="shared" si="302"/>
        <v>2417</v>
      </c>
      <c r="D752" s="47">
        <f t="shared" si="302"/>
        <v>1503</v>
      </c>
      <c r="E752" s="47">
        <f t="shared" si="302"/>
        <v>6</v>
      </c>
      <c r="F752" s="47">
        <f t="shared" si="302"/>
        <v>4</v>
      </c>
      <c r="G752" s="47">
        <f t="shared" si="302"/>
        <v>2</v>
      </c>
      <c r="H752" s="47">
        <f t="shared" si="302"/>
        <v>3914</v>
      </c>
      <c r="I752" s="47">
        <f t="shared" si="302"/>
        <v>2413</v>
      </c>
      <c r="J752" s="47">
        <f>J731+J734+J737+J740+J743+J746+J749</f>
        <v>1501</v>
      </c>
      <c r="K752" s="188" t="s">
        <v>236</v>
      </c>
      <c r="L752" s="217"/>
    </row>
    <row r="753" spans="2:12" ht="15" customHeight="1" thickBot="1" x14ac:dyDescent="0.25">
      <c r="B753" s="47">
        <f t="shared" si="302"/>
        <v>131</v>
      </c>
      <c r="C753" s="47">
        <f t="shared" si="302"/>
        <v>131</v>
      </c>
      <c r="D753" s="47">
        <f t="shared" si="302"/>
        <v>0</v>
      </c>
      <c r="E753" s="47">
        <f t="shared" si="302"/>
        <v>0</v>
      </c>
      <c r="F753" s="47">
        <f t="shared" si="302"/>
        <v>0</v>
      </c>
      <c r="G753" s="47">
        <f t="shared" si="302"/>
        <v>0</v>
      </c>
      <c r="H753" s="47">
        <f t="shared" si="302"/>
        <v>131</v>
      </c>
      <c r="I753" s="47">
        <f t="shared" si="302"/>
        <v>131</v>
      </c>
      <c r="J753" s="47">
        <f t="shared" si="302"/>
        <v>0</v>
      </c>
      <c r="K753" s="188" t="s">
        <v>237</v>
      </c>
      <c r="L753" s="218" t="s">
        <v>188</v>
      </c>
    </row>
    <row r="754" spans="2:12" ht="15" customHeight="1" thickBot="1" x14ac:dyDescent="0.25">
      <c r="B754" s="47">
        <f t="shared" si="302"/>
        <v>4051</v>
      </c>
      <c r="C754" s="47">
        <f t="shared" si="302"/>
        <v>2548</v>
      </c>
      <c r="D754" s="47">
        <f t="shared" si="302"/>
        <v>1503</v>
      </c>
      <c r="E754" s="47">
        <f t="shared" si="302"/>
        <v>6</v>
      </c>
      <c r="F754" s="47">
        <f t="shared" si="302"/>
        <v>4</v>
      </c>
      <c r="G754" s="47">
        <f t="shared" si="302"/>
        <v>2</v>
      </c>
      <c r="H754" s="47">
        <f t="shared" si="302"/>
        <v>4045</v>
      </c>
      <c r="I754" s="47">
        <f t="shared" si="302"/>
        <v>2544</v>
      </c>
      <c r="J754" s="47">
        <f t="shared" si="302"/>
        <v>1501</v>
      </c>
      <c r="K754" s="188" t="s">
        <v>12</v>
      </c>
      <c r="L754" s="219"/>
    </row>
    <row r="755" spans="2:12" ht="15" customHeight="1" thickBot="1" x14ac:dyDescent="0.25">
      <c r="B755" s="476" t="s">
        <v>4</v>
      </c>
      <c r="C755" s="476"/>
      <c r="D755" s="476"/>
      <c r="E755" s="476" t="s">
        <v>145</v>
      </c>
      <c r="F755" s="476"/>
      <c r="G755" s="476"/>
      <c r="H755" s="476" t="s">
        <v>146</v>
      </c>
      <c r="I755" s="476"/>
      <c r="J755" s="476"/>
      <c r="K755" s="479" t="s">
        <v>66</v>
      </c>
      <c r="L755" s="479"/>
    </row>
    <row r="756" spans="2:12" ht="15" customHeight="1" thickBot="1" x14ac:dyDescent="0.25">
      <c r="B756" s="185" t="s">
        <v>227</v>
      </c>
      <c r="C756" s="185" t="s">
        <v>10</v>
      </c>
      <c r="D756" s="185" t="s">
        <v>9</v>
      </c>
      <c r="E756" s="185" t="s">
        <v>227</v>
      </c>
      <c r="F756" s="185" t="s">
        <v>10</v>
      </c>
      <c r="G756" s="185" t="s">
        <v>9</v>
      </c>
      <c r="H756" s="185" t="s">
        <v>227</v>
      </c>
      <c r="I756" s="185" t="s">
        <v>10</v>
      </c>
      <c r="J756" s="185" t="s">
        <v>9</v>
      </c>
      <c r="K756" s="480" t="s">
        <v>115</v>
      </c>
      <c r="L756" s="480"/>
    </row>
    <row r="757" spans="2:12" ht="15" customHeight="1" thickBot="1" x14ac:dyDescent="0.25">
      <c r="B757" s="47">
        <f>SUM(C757:D757)</f>
        <v>720</v>
      </c>
      <c r="C757" s="47">
        <f>I757+F757</f>
        <v>0</v>
      </c>
      <c r="D757" s="47">
        <f>J757+G757</f>
        <v>720</v>
      </c>
      <c r="E757" s="47">
        <f>SUM(F757:G757)</f>
        <v>0</v>
      </c>
      <c r="F757" s="47">
        <v>0</v>
      </c>
      <c r="G757" s="47">
        <v>0</v>
      </c>
      <c r="H757" s="47">
        <f>SUM(I757:J757)</f>
        <v>720</v>
      </c>
      <c r="I757" s="47">
        <v>0</v>
      </c>
      <c r="J757" s="47">
        <v>720</v>
      </c>
      <c r="K757" s="188" t="s">
        <v>233</v>
      </c>
      <c r="L757" s="215"/>
    </row>
    <row r="758" spans="2:12" ht="15" customHeight="1" thickBot="1" x14ac:dyDescent="0.25">
      <c r="B758" s="47">
        <f t="shared" ref="B758:B776" si="303">SUM(C758:D758)</f>
        <v>0</v>
      </c>
      <c r="C758" s="47">
        <f t="shared" ref="C758:D776" si="304">I758+F758</f>
        <v>0</v>
      </c>
      <c r="D758" s="47">
        <f t="shared" si="304"/>
        <v>0</v>
      </c>
      <c r="E758" s="47">
        <f t="shared" ref="E758:E776" si="305">SUM(F758:G758)</f>
        <v>0</v>
      </c>
      <c r="F758" s="47">
        <v>0</v>
      </c>
      <c r="G758" s="47">
        <v>0</v>
      </c>
      <c r="H758" s="47">
        <f t="shared" ref="H758:H776" si="306">SUM(I758:J758)</f>
        <v>0</v>
      </c>
      <c r="I758" s="47">
        <v>0</v>
      </c>
      <c r="J758" s="47">
        <v>0</v>
      </c>
      <c r="K758" s="188" t="s">
        <v>234</v>
      </c>
      <c r="L758" s="215" t="s">
        <v>367</v>
      </c>
    </row>
    <row r="759" spans="2:12" ht="15" customHeight="1" thickBot="1" x14ac:dyDescent="0.25">
      <c r="B759" s="47">
        <f t="shared" ref="B759:I759" si="307">SUM(B757:B758)</f>
        <v>720</v>
      </c>
      <c r="C759" s="47">
        <f t="shared" si="307"/>
        <v>0</v>
      </c>
      <c r="D759" s="47">
        <f t="shared" si="307"/>
        <v>720</v>
      </c>
      <c r="E759" s="47">
        <f t="shared" si="307"/>
        <v>0</v>
      </c>
      <c r="F759" s="47">
        <f t="shared" si="307"/>
        <v>0</v>
      </c>
      <c r="G759" s="47">
        <f t="shared" si="307"/>
        <v>0</v>
      </c>
      <c r="H759" s="47">
        <f t="shared" si="307"/>
        <v>720</v>
      </c>
      <c r="I759" s="47">
        <f t="shared" si="307"/>
        <v>0</v>
      </c>
      <c r="J759" s="47">
        <f>SUM(J757:J758)</f>
        <v>720</v>
      </c>
      <c r="K759" s="188" t="s">
        <v>12</v>
      </c>
      <c r="L759" s="216"/>
    </row>
    <row r="760" spans="2:12" ht="15" customHeight="1" thickBot="1" x14ac:dyDescent="0.25">
      <c r="B760" s="47">
        <f t="shared" si="303"/>
        <v>73</v>
      </c>
      <c r="C760" s="47">
        <f t="shared" si="304"/>
        <v>41</v>
      </c>
      <c r="D760" s="47">
        <f t="shared" si="304"/>
        <v>32</v>
      </c>
      <c r="E760" s="47">
        <f t="shared" si="305"/>
        <v>0</v>
      </c>
      <c r="F760" s="47">
        <v>0</v>
      </c>
      <c r="G760" s="47">
        <v>0</v>
      </c>
      <c r="H760" s="47">
        <f t="shared" si="306"/>
        <v>73</v>
      </c>
      <c r="I760" s="47">
        <v>41</v>
      </c>
      <c r="J760" s="47">
        <v>32</v>
      </c>
      <c r="K760" s="188" t="s">
        <v>233</v>
      </c>
      <c r="L760" s="215"/>
    </row>
    <row r="761" spans="2:12" ht="15" customHeight="1" thickBot="1" x14ac:dyDescent="0.25">
      <c r="B761" s="47">
        <f t="shared" si="303"/>
        <v>0</v>
      </c>
      <c r="C761" s="47">
        <f t="shared" si="304"/>
        <v>0</v>
      </c>
      <c r="D761" s="47">
        <f t="shared" si="304"/>
        <v>0</v>
      </c>
      <c r="E761" s="47">
        <f t="shared" si="305"/>
        <v>0</v>
      </c>
      <c r="F761" s="47">
        <v>0</v>
      </c>
      <c r="G761" s="47">
        <v>0</v>
      </c>
      <c r="H761" s="47">
        <f t="shared" si="306"/>
        <v>0</v>
      </c>
      <c r="I761" s="47">
        <v>0</v>
      </c>
      <c r="J761" s="47">
        <v>0</v>
      </c>
      <c r="K761" s="188" t="s">
        <v>234</v>
      </c>
      <c r="L761" s="215" t="s">
        <v>347</v>
      </c>
    </row>
    <row r="762" spans="2:12" ht="15" customHeight="1" thickBot="1" x14ac:dyDescent="0.25">
      <c r="B762" s="47">
        <f t="shared" ref="B762:I762" si="308">SUM(B760:B761)</f>
        <v>73</v>
      </c>
      <c r="C762" s="47">
        <f t="shared" si="308"/>
        <v>41</v>
      </c>
      <c r="D762" s="47">
        <f t="shared" si="308"/>
        <v>32</v>
      </c>
      <c r="E762" s="47">
        <f t="shared" si="308"/>
        <v>0</v>
      </c>
      <c r="F762" s="47">
        <f t="shared" si="308"/>
        <v>0</v>
      </c>
      <c r="G762" s="47">
        <f t="shared" si="308"/>
        <v>0</v>
      </c>
      <c r="H762" s="47">
        <f t="shared" si="308"/>
        <v>73</v>
      </c>
      <c r="I762" s="47">
        <f t="shared" si="308"/>
        <v>41</v>
      </c>
      <c r="J762" s="47">
        <f>SUM(J760:J761)</f>
        <v>32</v>
      </c>
      <c r="K762" s="188" t="s">
        <v>12</v>
      </c>
      <c r="L762" s="216"/>
    </row>
    <row r="763" spans="2:12" ht="15" customHeight="1" thickBot="1" x14ac:dyDescent="0.25">
      <c r="B763" s="47">
        <f t="shared" si="303"/>
        <v>56</v>
      </c>
      <c r="C763" s="47">
        <f t="shared" si="304"/>
        <v>26</v>
      </c>
      <c r="D763" s="47">
        <f t="shared" si="304"/>
        <v>30</v>
      </c>
      <c r="E763" s="47">
        <f t="shared" si="305"/>
        <v>0</v>
      </c>
      <c r="F763" s="47">
        <v>0</v>
      </c>
      <c r="G763" s="47">
        <v>0</v>
      </c>
      <c r="H763" s="47">
        <f t="shared" si="306"/>
        <v>56</v>
      </c>
      <c r="I763" s="47">
        <v>26</v>
      </c>
      <c r="J763" s="47">
        <v>30</v>
      </c>
      <c r="K763" s="188" t="s">
        <v>233</v>
      </c>
      <c r="L763" s="215"/>
    </row>
    <row r="764" spans="2:12" ht="15" customHeight="1" thickBot="1" x14ac:dyDescent="0.25">
      <c r="B764" s="47">
        <f t="shared" si="303"/>
        <v>0</v>
      </c>
      <c r="C764" s="47">
        <f t="shared" si="304"/>
        <v>0</v>
      </c>
      <c r="D764" s="47">
        <f t="shared" si="304"/>
        <v>0</v>
      </c>
      <c r="E764" s="47">
        <f t="shared" si="305"/>
        <v>0</v>
      </c>
      <c r="F764" s="47">
        <v>0</v>
      </c>
      <c r="G764" s="47">
        <v>0</v>
      </c>
      <c r="H764" s="47">
        <f t="shared" si="306"/>
        <v>0</v>
      </c>
      <c r="I764" s="47">
        <v>0</v>
      </c>
      <c r="J764" s="47">
        <v>0</v>
      </c>
      <c r="K764" s="188" t="s">
        <v>234</v>
      </c>
      <c r="L764" s="215" t="s">
        <v>344</v>
      </c>
    </row>
    <row r="765" spans="2:12" ht="15" customHeight="1" thickBot="1" x14ac:dyDescent="0.25">
      <c r="B765" s="47">
        <f t="shared" ref="B765:I765" si="309">SUM(B763:B764)</f>
        <v>56</v>
      </c>
      <c r="C765" s="47">
        <f t="shared" si="309"/>
        <v>26</v>
      </c>
      <c r="D765" s="47">
        <f t="shared" si="309"/>
        <v>30</v>
      </c>
      <c r="E765" s="47">
        <f t="shared" si="309"/>
        <v>0</v>
      </c>
      <c r="F765" s="47">
        <f t="shared" si="309"/>
        <v>0</v>
      </c>
      <c r="G765" s="47">
        <f t="shared" si="309"/>
        <v>0</v>
      </c>
      <c r="H765" s="47">
        <f t="shared" si="309"/>
        <v>56</v>
      </c>
      <c r="I765" s="47">
        <f t="shared" si="309"/>
        <v>26</v>
      </c>
      <c r="J765" s="47">
        <f>SUM(J763:J764)</f>
        <v>30</v>
      </c>
      <c r="K765" s="188" t="s">
        <v>12</v>
      </c>
      <c r="L765" s="216"/>
    </row>
    <row r="766" spans="2:12" ht="15" customHeight="1" thickBot="1" x14ac:dyDescent="0.25">
      <c r="B766" s="47">
        <f t="shared" si="303"/>
        <v>490</v>
      </c>
      <c r="C766" s="47">
        <f t="shared" si="304"/>
        <v>490</v>
      </c>
      <c r="D766" s="47">
        <f t="shared" si="304"/>
        <v>0</v>
      </c>
      <c r="E766" s="47">
        <f t="shared" si="305"/>
        <v>0</v>
      </c>
      <c r="F766" s="47">
        <v>0</v>
      </c>
      <c r="G766" s="47">
        <v>0</v>
      </c>
      <c r="H766" s="47">
        <f t="shared" si="306"/>
        <v>490</v>
      </c>
      <c r="I766" s="47">
        <v>490</v>
      </c>
      <c r="J766" s="47">
        <v>0</v>
      </c>
      <c r="K766" s="188" t="s">
        <v>233</v>
      </c>
      <c r="L766" s="215"/>
    </row>
    <row r="767" spans="2:12" ht="15" customHeight="1" thickBot="1" x14ac:dyDescent="0.25">
      <c r="B767" s="47">
        <f t="shared" si="303"/>
        <v>109</v>
      </c>
      <c r="C767" s="47">
        <f t="shared" si="304"/>
        <v>109</v>
      </c>
      <c r="D767" s="47">
        <f t="shared" si="304"/>
        <v>0</v>
      </c>
      <c r="E767" s="47">
        <f t="shared" si="305"/>
        <v>0</v>
      </c>
      <c r="F767" s="47">
        <v>0</v>
      </c>
      <c r="G767" s="47">
        <v>0</v>
      </c>
      <c r="H767" s="47">
        <f t="shared" si="306"/>
        <v>109</v>
      </c>
      <c r="I767" s="47">
        <v>109</v>
      </c>
      <c r="J767" s="47">
        <v>0</v>
      </c>
      <c r="K767" s="188" t="s">
        <v>234</v>
      </c>
      <c r="L767" s="215" t="s">
        <v>517</v>
      </c>
    </row>
    <row r="768" spans="2:12" ht="15" customHeight="1" thickBot="1" x14ac:dyDescent="0.25">
      <c r="B768" s="47">
        <f t="shared" ref="B768:I768" si="310">SUM(B766:B767)</f>
        <v>599</v>
      </c>
      <c r="C768" s="47">
        <f t="shared" si="310"/>
        <v>599</v>
      </c>
      <c r="D768" s="47">
        <f t="shared" si="310"/>
        <v>0</v>
      </c>
      <c r="E768" s="47">
        <f t="shared" si="310"/>
        <v>0</v>
      </c>
      <c r="F768" s="47">
        <f t="shared" si="310"/>
        <v>0</v>
      </c>
      <c r="G768" s="47">
        <f t="shared" si="310"/>
        <v>0</v>
      </c>
      <c r="H768" s="47">
        <f t="shared" si="310"/>
        <v>599</v>
      </c>
      <c r="I768" s="47">
        <f t="shared" si="310"/>
        <v>599</v>
      </c>
      <c r="J768" s="47">
        <f>SUM(J766:J767)</f>
        <v>0</v>
      </c>
      <c r="K768" s="188" t="s">
        <v>12</v>
      </c>
      <c r="L768" s="216"/>
    </row>
    <row r="769" spans="2:12" ht="15" customHeight="1" thickBot="1" x14ac:dyDescent="0.25">
      <c r="B769" s="47">
        <f t="shared" si="303"/>
        <v>72</v>
      </c>
      <c r="C769" s="47">
        <f t="shared" si="304"/>
        <v>0</v>
      </c>
      <c r="D769" s="47">
        <f t="shared" si="304"/>
        <v>72</v>
      </c>
      <c r="E769" s="47">
        <f t="shared" si="305"/>
        <v>0</v>
      </c>
      <c r="F769" s="47">
        <v>0</v>
      </c>
      <c r="G769" s="47">
        <v>0</v>
      </c>
      <c r="H769" s="47">
        <f t="shared" si="306"/>
        <v>72</v>
      </c>
      <c r="I769" s="47">
        <v>0</v>
      </c>
      <c r="J769" s="47">
        <v>72</v>
      </c>
      <c r="K769" s="188" t="s">
        <v>233</v>
      </c>
      <c r="L769" s="215"/>
    </row>
    <row r="770" spans="2:12" ht="15" customHeight="1" thickBot="1" x14ac:dyDescent="0.25">
      <c r="B770" s="47">
        <f t="shared" si="303"/>
        <v>0</v>
      </c>
      <c r="C770" s="47">
        <f t="shared" si="304"/>
        <v>0</v>
      </c>
      <c r="D770" s="47">
        <f t="shared" si="304"/>
        <v>0</v>
      </c>
      <c r="E770" s="47">
        <f t="shared" si="305"/>
        <v>0</v>
      </c>
      <c r="F770" s="47">
        <v>0</v>
      </c>
      <c r="G770" s="47">
        <v>0</v>
      </c>
      <c r="H770" s="47">
        <f t="shared" si="306"/>
        <v>0</v>
      </c>
      <c r="I770" s="47">
        <v>0</v>
      </c>
      <c r="J770" s="47">
        <v>0</v>
      </c>
      <c r="K770" s="188" t="s">
        <v>234</v>
      </c>
      <c r="L770" s="215" t="s">
        <v>454</v>
      </c>
    </row>
    <row r="771" spans="2:12" ht="15" customHeight="1" thickBot="1" x14ac:dyDescent="0.25">
      <c r="B771" s="47">
        <f t="shared" ref="B771:I771" si="311">SUM(B769:B770)</f>
        <v>72</v>
      </c>
      <c r="C771" s="47">
        <f t="shared" si="311"/>
        <v>0</v>
      </c>
      <c r="D771" s="47">
        <f t="shared" si="311"/>
        <v>72</v>
      </c>
      <c r="E771" s="47">
        <f t="shared" si="311"/>
        <v>0</v>
      </c>
      <c r="F771" s="47">
        <f t="shared" si="311"/>
        <v>0</v>
      </c>
      <c r="G771" s="47">
        <f t="shared" si="311"/>
        <v>0</v>
      </c>
      <c r="H771" s="47">
        <f t="shared" si="311"/>
        <v>72</v>
      </c>
      <c r="I771" s="47">
        <f t="shared" si="311"/>
        <v>0</v>
      </c>
      <c r="J771" s="47">
        <f>SUM(J769:J770)</f>
        <v>72</v>
      </c>
      <c r="K771" s="188" t="s">
        <v>12</v>
      </c>
      <c r="L771" s="216"/>
    </row>
    <row r="772" spans="2:12" ht="15" customHeight="1" thickBot="1" x14ac:dyDescent="0.25">
      <c r="B772" s="47">
        <f t="shared" si="303"/>
        <v>1878</v>
      </c>
      <c r="C772" s="47">
        <f t="shared" si="304"/>
        <v>1316</v>
      </c>
      <c r="D772" s="47">
        <f t="shared" si="304"/>
        <v>562</v>
      </c>
      <c r="E772" s="47">
        <f t="shared" si="305"/>
        <v>0</v>
      </c>
      <c r="F772" s="47">
        <v>0</v>
      </c>
      <c r="G772" s="47">
        <v>0</v>
      </c>
      <c r="H772" s="47">
        <f t="shared" si="306"/>
        <v>1878</v>
      </c>
      <c r="I772" s="47">
        <v>1316</v>
      </c>
      <c r="J772" s="47">
        <v>562</v>
      </c>
      <c r="K772" s="188" t="s">
        <v>233</v>
      </c>
      <c r="L772" s="215"/>
    </row>
    <row r="773" spans="2:12" ht="15" customHeight="1" thickBot="1" x14ac:dyDescent="0.25">
      <c r="B773" s="47">
        <f t="shared" si="303"/>
        <v>425</v>
      </c>
      <c r="C773" s="47">
        <f t="shared" si="304"/>
        <v>425</v>
      </c>
      <c r="D773" s="47">
        <f t="shared" si="304"/>
        <v>0</v>
      </c>
      <c r="E773" s="47">
        <f t="shared" si="305"/>
        <v>0</v>
      </c>
      <c r="F773" s="47">
        <v>0</v>
      </c>
      <c r="G773" s="47">
        <v>0</v>
      </c>
      <c r="H773" s="47">
        <f t="shared" si="306"/>
        <v>425</v>
      </c>
      <c r="I773" s="47">
        <v>425</v>
      </c>
      <c r="J773" s="47">
        <v>0</v>
      </c>
      <c r="K773" s="188" t="s">
        <v>234</v>
      </c>
      <c r="L773" s="215" t="s">
        <v>518</v>
      </c>
    </row>
    <row r="774" spans="2:12" ht="15" customHeight="1" thickBot="1" x14ac:dyDescent="0.25">
      <c r="B774" s="47">
        <f t="shared" ref="B774:I774" si="312">SUM(B772:B773)</f>
        <v>2303</v>
      </c>
      <c r="C774" s="47">
        <f t="shared" si="312"/>
        <v>1741</v>
      </c>
      <c r="D774" s="47">
        <f t="shared" si="312"/>
        <v>562</v>
      </c>
      <c r="E774" s="47">
        <f t="shared" si="312"/>
        <v>0</v>
      </c>
      <c r="F774" s="47">
        <f t="shared" si="312"/>
        <v>0</v>
      </c>
      <c r="G774" s="47">
        <f t="shared" si="312"/>
        <v>0</v>
      </c>
      <c r="H774" s="47">
        <f t="shared" si="312"/>
        <v>2303</v>
      </c>
      <c r="I774" s="47">
        <f t="shared" si="312"/>
        <v>1741</v>
      </c>
      <c r="J774" s="47">
        <f>SUM(J772:J773)</f>
        <v>562</v>
      </c>
      <c r="K774" s="188" t="s">
        <v>12</v>
      </c>
      <c r="L774" s="216"/>
    </row>
    <row r="775" spans="2:12" ht="15" customHeight="1" thickBot="1" x14ac:dyDescent="0.25">
      <c r="B775" s="47">
        <f t="shared" si="303"/>
        <v>96</v>
      </c>
      <c r="C775" s="47">
        <f t="shared" si="304"/>
        <v>0</v>
      </c>
      <c r="D775" s="47">
        <f t="shared" si="304"/>
        <v>96</v>
      </c>
      <c r="E775" s="47">
        <f t="shared" si="305"/>
        <v>0</v>
      </c>
      <c r="F775" s="47">
        <v>0</v>
      </c>
      <c r="G775" s="47">
        <v>0</v>
      </c>
      <c r="H775" s="47">
        <f t="shared" si="306"/>
        <v>96</v>
      </c>
      <c r="I775" s="47">
        <v>0</v>
      </c>
      <c r="J775" s="47">
        <v>96</v>
      </c>
      <c r="K775" s="188" t="s">
        <v>233</v>
      </c>
      <c r="L775" s="215"/>
    </row>
    <row r="776" spans="2:12" ht="15" customHeight="1" thickBot="1" x14ac:dyDescent="0.25">
      <c r="B776" s="47">
        <f t="shared" si="303"/>
        <v>0</v>
      </c>
      <c r="C776" s="47">
        <f t="shared" si="304"/>
        <v>0</v>
      </c>
      <c r="D776" s="47">
        <f t="shared" si="304"/>
        <v>0</v>
      </c>
      <c r="E776" s="47">
        <f t="shared" si="305"/>
        <v>0</v>
      </c>
      <c r="F776" s="47">
        <v>0</v>
      </c>
      <c r="G776" s="47">
        <v>0</v>
      </c>
      <c r="H776" s="47">
        <f t="shared" si="306"/>
        <v>0</v>
      </c>
      <c r="I776" s="47">
        <v>0</v>
      </c>
      <c r="J776" s="47">
        <v>0</v>
      </c>
      <c r="K776" s="188" t="s">
        <v>234</v>
      </c>
      <c r="L776" s="215" t="s">
        <v>519</v>
      </c>
    </row>
    <row r="777" spans="2:12" ht="15" customHeight="1" thickBot="1" x14ac:dyDescent="0.25">
      <c r="B777" s="47">
        <f t="shared" ref="B777:I777" si="313">SUM(B775:B776)</f>
        <v>96</v>
      </c>
      <c r="C777" s="47">
        <f t="shared" si="313"/>
        <v>0</v>
      </c>
      <c r="D777" s="47">
        <f t="shared" si="313"/>
        <v>96</v>
      </c>
      <c r="E777" s="47">
        <f t="shared" si="313"/>
        <v>0</v>
      </c>
      <c r="F777" s="47">
        <f t="shared" si="313"/>
        <v>0</v>
      </c>
      <c r="G777" s="47">
        <f t="shared" si="313"/>
        <v>0</v>
      </c>
      <c r="H777" s="47">
        <f t="shared" si="313"/>
        <v>96</v>
      </c>
      <c r="I777" s="47">
        <f t="shared" si="313"/>
        <v>0</v>
      </c>
      <c r="J777" s="47">
        <f>SUM(J775:J776)</f>
        <v>96</v>
      </c>
      <c r="K777" s="188" t="s">
        <v>12</v>
      </c>
      <c r="L777" s="216"/>
    </row>
    <row r="778" spans="2:12" ht="15" customHeight="1" thickBot="1" x14ac:dyDescent="0.25">
      <c r="B778" s="47">
        <f t="shared" ref="B778:J780" si="314">B757+B760+B763+B766+B769+B772+B775</f>
        <v>3385</v>
      </c>
      <c r="C778" s="47">
        <f t="shared" si="314"/>
        <v>1873</v>
      </c>
      <c r="D778" s="47">
        <f t="shared" si="314"/>
        <v>1512</v>
      </c>
      <c r="E778" s="47">
        <f t="shared" si="314"/>
        <v>0</v>
      </c>
      <c r="F778" s="47">
        <f t="shared" si="314"/>
        <v>0</v>
      </c>
      <c r="G778" s="47">
        <f t="shared" si="314"/>
        <v>0</v>
      </c>
      <c r="H778" s="47">
        <f t="shared" si="314"/>
        <v>3385</v>
      </c>
      <c r="I778" s="47">
        <f t="shared" si="314"/>
        <v>1873</v>
      </c>
      <c r="J778" s="47">
        <f>J757+J760+J763+J766+J769+J772+J775</f>
        <v>1512</v>
      </c>
      <c r="K778" s="188" t="s">
        <v>236</v>
      </c>
      <c r="L778" s="217"/>
    </row>
    <row r="779" spans="2:12" ht="15" customHeight="1" thickBot="1" x14ac:dyDescent="0.25">
      <c r="B779" s="47">
        <f t="shared" si="314"/>
        <v>534</v>
      </c>
      <c r="C779" s="47">
        <f t="shared" si="314"/>
        <v>534</v>
      </c>
      <c r="D779" s="47">
        <f t="shared" si="314"/>
        <v>0</v>
      </c>
      <c r="E779" s="47">
        <f t="shared" si="314"/>
        <v>0</v>
      </c>
      <c r="F779" s="47">
        <f t="shared" si="314"/>
        <v>0</v>
      </c>
      <c r="G779" s="47">
        <f t="shared" si="314"/>
        <v>0</v>
      </c>
      <c r="H779" s="47">
        <f t="shared" si="314"/>
        <v>534</v>
      </c>
      <c r="I779" s="47">
        <f t="shared" si="314"/>
        <v>534</v>
      </c>
      <c r="J779" s="47">
        <f t="shared" si="314"/>
        <v>0</v>
      </c>
      <c r="K779" s="188" t="s">
        <v>237</v>
      </c>
      <c r="L779" s="218" t="s">
        <v>188</v>
      </c>
    </row>
    <row r="780" spans="2:12" ht="15" customHeight="1" thickBot="1" x14ac:dyDescent="0.25">
      <c r="B780" s="47">
        <f t="shared" si="314"/>
        <v>3919</v>
      </c>
      <c r="C780" s="47">
        <f t="shared" si="314"/>
        <v>2407</v>
      </c>
      <c r="D780" s="47">
        <f t="shared" si="314"/>
        <v>1512</v>
      </c>
      <c r="E780" s="47">
        <f t="shared" si="314"/>
        <v>0</v>
      </c>
      <c r="F780" s="47">
        <f t="shared" si="314"/>
        <v>0</v>
      </c>
      <c r="G780" s="47">
        <f t="shared" si="314"/>
        <v>0</v>
      </c>
      <c r="H780" s="47">
        <f t="shared" si="314"/>
        <v>3919</v>
      </c>
      <c r="I780" s="47">
        <f t="shared" si="314"/>
        <v>2407</v>
      </c>
      <c r="J780" s="47">
        <f t="shared" si="314"/>
        <v>1512</v>
      </c>
      <c r="K780" s="188" t="s">
        <v>12</v>
      </c>
      <c r="L780" s="219"/>
    </row>
    <row r="781" spans="2:12" ht="15" customHeight="1" thickBot="1" x14ac:dyDescent="0.25">
      <c r="B781" s="476" t="s">
        <v>4</v>
      </c>
      <c r="C781" s="476"/>
      <c r="D781" s="476"/>
      <c r="E781" s="476" t="s">
        <v>145</v>
      </c>
      <c r="F781" s="476"/>
      <c r="G781" s="476"/>
      <c r="H781" s="476" t="s">
        <v>146</v>
      </c>
      <c r="I781" s="476"/>
      <c r="J781" s="476"/>
      <c r="K781" s="479" t="s">
        <v>66</v>
      </c>
      <c r="L781" s="479"/>
    </row>
    <row r="782" spans="2:12" ht="15" customHeight="1" thickBot="1" x14ac:dyDescent="0.25">
      <c r="B782" s="185" t="s">
        <v>227</v>
      </c>
      <c r="C782" s="185" t="s">
        <v>10</v>
      </c>
      <c r="D782" s="185" t="s">
        <v>9</v>
      </c>
      <c r="E782" s="185" t="s">
        <v>227</v>
      </c>
      <c r="F782" s="185" t="s">
        <v>10</v>
      </c>
      <c r="G782" s="185" t="s">
        <v>9</v>
      </c>
      <c r="H782" s="185" t="s">
        <v>227</v>
      </c>
      <c r="I782" s="185" t="s">
        <v>10</v>
      </c>
      <c r="J782" s="185" t="s">
        <v>9</v>
      </c>
      <c r="K782" s="480" t="s">
        <v>117</v>
      </c>
      <c r="L782" s="480"/>
    </row>
    <row r="783" spans="2:12" ht="15" customHeight="1" thickBot="1" x14ac:dyDescent="0.25">
      <c r="B783" s="47">
        <f>SUM(C783:D783)</f>
        <v>584</v>
      </c>
      <c r="C783" s="47">
        <f>I783+F783</f>
        <v>0</v>
      </c>
      <c r="D783" s="47">
        <f>J783+G783</f>
        <v>584</v>
      </c>
      <c r="E783" s="47">
        <f>SUM(F783:G783)</f>
        <v>0</v>
      </c>
      <c r="F783" s="47">
        <v>0</v>
      </c>
      <c r="G783" s="47">
        <v>0</v>
      </c>
      <c r="H783" s="47">
        <f>SUM(I783:J783)</f>
        <v>584</v>
      </c>
      <c r="I783" s="47">
        <v>0</v>
      </c>
      <c r="J783" s="47">
        <v>584</v>
      </c>
      <c r="K783" s="188" t="s">
        <v>233</v>
      </c>
      <c r="L783" s="215"/>
    </row>
    <row r="784" spans="2:12" ht="15" customHeight="1" thickBot="1" x14ac:dyDescent="0.25">
      <c r="B784" s="47">
        <f t="shared" ref="B784:B805" si="315">SUM(C784:D784)</f>
        <v>0</v>
      </c>
      <c r="C784" s="47">
        <f t="shared" ref="C784:D805" si="316">I784+F784</f>
        <v>0</v>
      </c>
      <c r="D784" s="47">
        <f t="shared" si="316"/>
        <v>0</v>
      </c>
      <c r="E784" s="47">
        <f t="shared" ref="E784:E805" si="317">SUM(F784:G784)</f>
        <v>0</v>
      </c>
      <c r="F784" s="47">
        <v>0</v>
      </c>
      <c r="G784" s="47">
        <v>0</v>
      </c>
      <c r="H784" s="47">
        <f t="shared" ref="H784:H805" si="318">SUM(I784:J784)</f>
        <v>0</v>
      </c>
      <c r="I784" s="47">
        <v>0</v>
      </c>
      <c r="J784" s="47">
        <v>0</v>
      </c>
      <c r="K784" s="188" t="s">
        <v>234</v>
      </c>
      <c r="L784" s="215" t="s">
        <v>520</v>
      </c>
    </row>
    <row r="785" spans="2:12" ht="15" customHeight="1" thickBot="1" x14ac:dyDescent="0.25">
      <c r="B785" s="47">
        <f t="shared" ref="B785:I785" si="319">SUM(B783:B784)</f>
        <v>584</v>
      </c>
      <c r="C785" s="47">
        <f t="shared" si="319"/>
        <v>0</v>
      </c>
      <c r="D785" s="47">
        <f t="shared" si="319"/>
        <v>584</v>
      </c>
      <c r="E785" s="47">
        <f t="shared" si="319"/>
        <v>0</v>
      </c>
      <c r="F785" s="47">
        <f t="shared" si="319"/>
        <v>0</v>
      </c>
      <c r="G785" s="47">
        <f t="shared" si="319"/>
        <v>0</v>
      </c>
      <c r="H785" s="47">
        <f t="shared" si="319"/>
        <v>584</v>
      </c>
      <c r="I785" s="47">
        <f t="shared" si="319"/>
        <v>0</v>
      </c>
      <c r="J785" s="47">
        <f>SUM(J783:J784)</f>
        <v>584</v>
      </c>
      <c r="K785" s="188" t="s">
        <v>12</v>
      </c>
      <c r="L785" s="216"/>
    </row>
    <row r="786" spans="2:12" ht="15" customHeight="1" thickBot="1" x14ac:dyDescent="0.25">
      <c r="B786" s="47">
        <f t="shared" si="315"/>
        <v>847</v>
      </c>
      <c r="C786" s="47">
        <f t="shared" si="316"/>
        <v>344</v>
      </c>
      <c r="D786" s="47">
        <f t="shared" si="316"/>
        <v>503</v>
      </c>
      <c r="E786" s="47">
        <f t="shared" si="317"/>
        <v>0</v>
      </c>
      <c r="F786" s="47">
        <v>0</v>
      </c>
      <c r="G786" s="47">
        <v>0</v>
      </c>
      <c r="H786" s="47">
        <f t="shared" si="318"/>
        <v>847</v>
      </c>
      <c r="I786" s="47">
        <v>344</v>
      </c>
      <c r="J786" s="47">
        <v>503</v>
      </c>
      <c r="K786" s="188" t="s">
        <v>233</v>
      </c>
      <c r="L786" s="215"/>
    </row>
    <row r="787" spans="2:12" ht="15" customHeight="1" thickBot="1" x14ac:dyDescent="0.25">
      <c r="B787" s="47">
        <f t="shared" si="315"/>
        <v>0</v>
      </c>
      <c r="C787" s="47">
        <f t="shared" si="316"/>
        <v>0</v>
      </c>
      <c r="D787" s="47">
        <f t="shared" si="316"/>
        <v>0</v>
      </c>
      <c r="E787" s="47">
        <f t="shared" si="317"/>
        <v>0</v>
      </c>
      <c r="F787" s="47">
        <v>0</v>
      </c>
      <c r="G787" s="47">
        <v>0</v>
      </c>
      <c r="H787" s="47">
        <f t="shared" si="318"/>
        <v>0</v>
      </c>
      <c r="I787" s="47">
        <v>0</v>
      </c>
      <c r="J787" s="47">
        <v>0</v>
      </c>
      <c r="K787" s="188" t="s">
        <v>234</v>
      </c>
      <c r="L787" s="215" t="s">
        <v>367</v>
      </c>
    </row>
    <row r="788" spans="2:12" ht="15" customHeight="1" thickBot="1" x14ac:dyDescent="0.25">
      <c r="B788" s="47">
        <f t="shared" ref="B788:I788" si="320">SUM(B786:B787)</f>
        <v>847</v>
      </c>
      <c r="C788" s="47">
        <f t="shared" si="320"/>
        <v>344</v>
      </c>
      <c r="D788" s="47">
        <f t="shared" si="320"/>
        <v>503</v>
      </c>
      <c r="E788" s="47">
        <f t="shared" si="320"/>
        <v>0</v>
      </c>
      <c r="F788" s="47">
        <f t="shared" si="320"/>
        <v>0</v>
      </c>
      <c r="G788" s="47">
        <f t="shared" si="320"/>
        <v>0</v>
      </c>
      <c r="H788" s="47">
        <f t="shared" si="320"/>
        <v>847</v>
      </c>
      <c r="I788" s="47">
        <f t="shared" si="320"/>
        <v>344</v>
      </c>
      <c r="J788" s="47">
        <f>SUM(J786:J787)</f>
        <v>503</v>
      </c>
      <c r="K788" s="188" t="s">
        <v>12</v>
      </c>
      <c r="L788" s="216"/>
    </row>
    <row r="789" spans="2:12" ht="15" customHeight="1" thickBot="1" x14ac:dyDescent="0.25">
      <c r="B789" s="47">
        <f t="shared" si="315"/>
        <v>348</v>
      </c>
      <c r="C789" s="47">
        <f t="shared" si="316"/>
        <v>0</v>
      </c>
      <c r="D789" s="47">
        <f t="shared" si="316"/>
        <v>348</v>
      </c>
      <c r="E789" s="47">
        <f t="shared" si="317"/>
        <v>0</v>
      </c>
      <c r="F789" s="47">
        <v>0</v>
      </c>
      <c r="G789" s="47">
        <v>0</v>
      </c>
      <c r="H789" s="47">
        <f t="shared" si="318"/>
        <v>348</v>
      </c>
      <c r="I789" s="47">
        <v>0</v>
      </c>
      <c r="J789" s="47">
        <v>348</v>
      </c>
      <c r="K789" s="188" t="s">
        <v>233</v>
      </c>
      <c r="L789" s="215"/>
    </row>
    <row r="790" spans="2:12" ht="15" customHeight="1" thickBot="1" x14ac:dyDescent="0.25">
      <c r="B790" s="47">
        <f t="shared" si="315"/>
        <v>0</v>
      </c>
      <c r="C790" s="47">
        <f t="shared" si="316"/>
        <v>0</v>
      </c>
      <c r="D790" s="47">
        <f t="shared" si="316"/>
        <v>0</v>
      </c>
      <c r="E790" s="47">
        <f t="shared" si="317"/>
        <v>0</v>
      </c>
      <c r="F790" s="47">
        <v>0</v>
      </c>
      <c r="G790" s="47">
        <v>0</v>
      </c>
      <c r="H790" s="47">
        <f t="shared" si="318"/>
        <v>0</v>
      </c>
      <c r="I790" s="47">
        <v>0</v>
      </c>
      <c r="J790" s="47">
        <v>0</v>
      </c>
      <c r="K790" s="188" t="s">
        <v>234</v>
      </c>
      <c r="L790" s="215" t="s">
        <v>454</v>
      </c>
    </row>
    <row r="791" spans="2:12" ht="15" customHeight="1" thickBot="1" x14ac:dyDescent="0.25">
      <c r="B791" s="47">
        <f t="shared" ref="B791:I791" si="321">SUM(B789:B790)</f>
        <v>348</v>
      </c>
      <c r="C791" s="47">
        <f t="shared" si="321"/>
        <v>0</v>
      </c>
      <c r="D791" s="47">
        <f t="shared" si="321"/>
        <v>348</v>
      </c>
      <c r="E791" s="47">
        <f t="shared" si="321"/>
        <v>0</v>
      </c>
      <c r="F791" s="47">
        <f t="shared" si="321"/>
        <v>0</v>
      </c>
      <c r="G791" s="47">
        <f t="shared" si="321"/>
        <v>0</v>
      </c>
      <c r="H791" s="47">
        <f t="shared" si="321"/>
        <v>348</v>
      </c>
      <c r="I791" s="47">
        <f t="shared" si="321"/>
        <v>0</v>
      </c>
      <c r="J791" s="47">
        <f>SUM(J789:J790)</f>
        <v>348</v>
      </c>
      <c r="K791" s="188" t="s">
        <v>12</v>
      </c>
      <c r="L791" s="216"/>
    </row>
    <row r="792" spans="2:12" ht="15" customHeight="1" thickBot="1" x14ac:dyDescent="0.25">
      <c r="B792" s="47">
        <f t="shared" si="315"/>
        <v>192</v>
      </c>
      <c r="C792" s="47">
        <f t="shared" si="316"/>
        <v>72</v>
      </c>
      <c r="D792" s="47">
        <f t="shared" si="316"/>
        <v>120</v>
      </c>
      <c r="E792" s="47">
        <f t="shared" si="317"/>
        <v>0</v>
      </c>
      <c r="F792" s="47">
        <v>0</v>
      </c>
      <c r="G792" s="47">
        <v>0</v>
      </c>
      <c r="H792" s="47">
        <f t="shared" si="318"/>
        <v>192</v>
      </c>
      <c r="I792" s="47">
        <v>72</v>
      </c>
      <c r="J792" s="47">
        <v>120</v>
      </c>
      <c r="K792" s="188" t="s">
        <v>233</v>
      </c>
      <c r="L792" s="215"/>
    </row>
    <row r="793" spans="2:12" ht="15" customHeight="1" thickBot="1" x14ac:dyDescent="0.25">
      <c r="B793" s="47">
        <f t="shared" si="315"/>
        <v>0</v>
      </c>
      <c r="C793" s="47">
        <f t="shared" si="316"/>
        <v>0</v>
      </c>
      <c r="D793" s="47">
        <f t="shared" si="316"/>
        <v>0</v>
      </c>
      <c r="E793" s="47">
        <f t="shared" si="317"/>
        <v>0</v>
      </c>
      <c r="F793" s="47">
        <v>0</v>
      </c>
      <c r="G793" s="47">
        <v>0</v>
      </c>
      <c r="H793" s="47">
        <f t="shared" si="318"/>
        <v>0</v>
      </c>
      <c r="I793" s="47">
        <v>0</v>
      </c>
      <c r="J793" s="47">
        <v>0</v>
      </c>
      <c r="K793" s="188" t="s">
        <v>234</v>
      </c>
      <c r="L793" s="215" t="s">
        <v>347</v>
      </c>
    </row>
    <row r="794" spans="2:12" ht="15" customHeight="1" thickBot="1" x14ac:dyDescent="0.25">
      <c r="B794" s="47">
        <f t="shared" ref="B794:I794" si="322">SUM(B792:B793)</f>
        <v>192</v>
      </c>
      <c r="C794" s="47">
        <f t="shared" si="322"/>
        <v>72</v>
      </c>
      <c r="D794" s="47">
        <f t="shared" si="322"/>
        <v>120</v>
      </c>
      <c r="E794" s="47">
        <f t="shared" si="322"/>
        <v>0</v>
      </c>
      <c r="F794" s="47">
        <f t="shared" si="322"/>
        <v>0</v>
      </c>
      <c r="G794" s="47">
        <f t="shared" si="322"/>
        <v>0</v>
      </c>
      <c r="H794" s="47">
        <f t="shared" si="322"/>
        <v>192</v>
      </c>
      <c r="I794" s="47">
        <f t="shared" si="322"/>
        <v>72</v>
      </c>
      <c r="J794" s="47">
        <f>SUM(J792:J793)</f>
        <v>120</v>
      </c>
      <c r="K794" s="188" t="s">
        <v>12</v>
      </c>
      <c r="L794" s="216"/>
    </row>
    <row r="795" spans="2:12" ht="15" customHeight="1" thickBot="1" x14ac:dyDescent="0.25">
      <c r="B795" s="47">
        <f t="shared" si="315"/>
        <v>386</v>
      </c>
      <c r="C795" s="47">
        <f t="shared" si="316"/>
        <v>386</v>
      </c>
      <c r="D795" s="47">
        <f t="shared" si="316"/>
        <v>0</v>
      </c>
      <c r="E795" s="47">
        <f t="shared" si="317"/>
        <v>0</v>
      </c>
      <c r="F795" s="47">
        <v>0</v>
      </c>
      <c r="G795" s="47">
        <v>0</v>
      </c>
      <c r="H795" s="47">
        <f t="shared" si="318"/>
        <v>386</v>
      </c>
      <c r="I795" s="47">
        <v>386</v>
      </c>
      <c r="J795" s="47">
        <v>0</v>
      </c>
      <c r="K795" s="188" t="s">
        <v>233</v>
      </c>
      <c r="L795" s="215"/>
    </row>
    <row r="796" spans="2:12" ht="15" customHeight="1" thickBot="1" x14ac:dyDescent="0.25">
      <c r="B796" s="47">
        <f t="shared" si="315"/>
        <v>0</v>
      </c>
      <c r="C796" s="47">
        <f t="shared" si="316"/>
        <v>0</v>
      </c>
      <c r="D796" s="47">
        <f t="shared" si="316"/>
        <v>0</v>
      </c>
      <c r="E796" s="47">
        <f t="shared" si="317"/>
        <v>0</v>
      </c>
      <c r="F796" s="47">
        <v>0</v>
      </c>
      <c r="G796" s="47">
        <v>0</v>
      </c>
      <c r="H796" s="47">
        <f t="shared" si="318"/>
        <v>0</v>
      </c>
      <c r="I796" s="47">
        <v>0</v>
      </c>
      <c r="J796" s="47">
        <v>0</v>
      </c>
      <c r="K796" s="188" t="s">
        <v>234</v>
      </c>
      <c r="L796" s="215" t="s">
        <v>521</v>
      </c>
    </row>
    <row r="797" spans="2:12" ht="15" customHeight="1" thickBot="1" x14ac:dyDescent="0.25">
      <c r="B797" s="47">
        <f t="shared" ref="B797:I797" si="323">SUM(B795:B796)</f>
        <v>386</v>
      </c>
      <c r="C797" s="47">
        <f t="shared" si="323"/>
        <v>386</v>
      </c>
      <c r="D797" s="47">
        <f t="shared" si="323"/>
        <v>0</v>
      </c>
      <c r="E797" s="47">
        <f t="shared" si="323"/>
        <v>0</v>
      </c>
      <c r="F797" s="47">
        <f t="shared" si="323"/>
        <v>0</v>
      </c>
      <c r="G797" s="47">
        <f t="shared" si="323"/>
        <v>0</v>
      </c>
      <c r="H797" s="47">
        <f t="shared" si="323"/>
        <v>386</v>
      </c>
      <c r="I797" s="47">
        <f t="shared" si="323"/>
        <v>386</v>
      </c>
      <c r="J797" s="47">
        <f>SUM(J795:J796)</f>
        <v>0</v>
      </c>
      <c r="K797" s="188" t="s">
        <v>12</v>
      </c>
      <c r="L797" s="216"/>
    </row>
    <row r="798" spans="2:12" ht="15" customHeight="1" thickBot="1" x14ac:dyDescent="0.25">
      <c r="B798" s="47">
        <f t="shared" si="315"/>
        <v>461</v>
      </c>
      <c r="C798" s="47">
        <f t="shared" si="316"/>
        <v>461</v>
      </c>
      <c r="D798" s="47">
        <f t="shared" si="316"/>
        <v>0</v>
      </c>
      <c r="E798" s="47">
        <f t="shared" si="317"/>
        <v>0</v>
      </c>
      <c r="F798" s="47">
        <v>0</v>
      </c>
      <c r="G798" s="47">
        <v>0</v>
      </c>
      <c r="H798" s="47">
        <f t="shared" si="318"/>
        <v>461</v>
      </c>
      <c r="I798" s="47">
        <v>461</v>
      </c>
      <c r="J798" s="47">
        <v>0</v>
      </c>
      <c r="K798" s="188" t="s">
        <v>233</v>
      </c>
      <c r="L798" s="215"/>
    </row>
    <row r="799" spans="2:12" ht="15" customHeight="1" thickBot="1" x14ac:dyDescent="0.25">
      <c r="B799" s="47">
        <f t="shared" si="315"/>
        <v>0</v>
      </c>
      <c r="C799" s="47">
        <f t="shared" si="316"/>
        <v>0</v>
      </c>
      <c r="D799" s="47">
        <f t="shared" si="316"/>
        <v>0</v>
      </c>
      <c r="E799" s="47">
        <f t="shared" si="317"/>
        <v>0</v>
      </c>
      <c r="F799" s="47">
        <v>0</v>
      </c>
      <c r="G799" s="47">
        <v>0</v>
      </c>
      <c r="H799" s="47">
        <f t="shared" si="318"/>
        <v>0</v>
      </c>
      <c r="I799" s="47">
        <v>0</v>
      </c>
      <c r="J799" s="47">
        <v>0</v>
      </c>
      <c r="K799" s="188" t="s">
        <v>234</v>
      </c>
      <c r="L799" s="215" t="s">
        <v>522</v>
      </c>
    </row>
    <row r="800" spans="2:12" ht="15" customHeight="1" thickBot="1" x14ac:dyDescent="0.25">
      <c r="B800" s="47">
        <f t="shared" ref="B800:I800" si="324">SUM(B798:B799)</f>
        <v>461</v>
      </c>
      <c r="C800" s="47">
        <f t="shared" si="324"/>
        <v>461</v>
      </c>
      <c r="D800" s="47">
        <f t="shared" si="324"/>
        <v>0</v>
      </c>
      <c r="E800" s="47">
        <f t="shared" si="324"/>
        <v>0</v>
      </c>
      <c r="F800" s="47">
        <f t="shared" si="324"/>
        <v>0</v>
      </c>
      <c r="G800" s="47">
        <f t="shared" si="324"/>
        <v>0</v>
      </c>
      <c r="H800" s="47">
        <f t="shared" si="324"/>
        <v>461</v>
      </c>
      <c r="I800" s="47">
        <f t="shared" si="324"/>
        <v>461</v>
      </c>
      <c r="J800" s="47">
        <f>SUM(J798:J799)</f>
        <v>0</v>
      </c>
      <c r="K800" s="188" t="s">
        <v>12</v>
      </c>
      <c r="L800" s="216"/>
    </row>
    <row r="801" spans="2:12" ht="15" customHeight="1" thickBot="1" x14ac:dyDescent="0.25">
      <c r="B801" s="47">
        <f t="shared" si="315"/>
        <v>562</v>
      </c>
      <c r="C801" s="47">
        <f t="shared" si="316"/>
        <v>562</v>
      </c>
      <c r="D801" s="47">
        <f t="shared" si="316"/>
        <v>0</v>
      </c>
      <c r="E801" s="47">
        <f t="shared" si="317"/>
        <v>0</v>
      </c>
      <c r="F801" s="47">
        <v>0</v>
      </c>
      <c r="G801" s="47">
        <v>0</v>
      </c>
      <c r="H801" s="47">
        <f t="shared" si="318"/>
        <v>562</v>
      </c>
      <c r="I801" s="47">
        <v>562</v>
      </c>
      <c r="J801" s="47">
        <v>0</v>
      </c>
      <c r="K801" s="188" t="s">
        <v>233</v>
      </c>
      <c r="L801" s="215"/>
    </row>
    <row r="802" spans="2:12" ht="15" customHeight="1" thickBot="1" x14ac:dyDescent="0.25">
      <c r="B802" s="47">
        <f t="shared" si="315"/>
        <v>0</v>
      </c>
      <c r="C802" s="47">
        <f t="shared" si="316"/>
        <v>0</v>
      </c>
      <c r="D802" s="47">
        <f t="shared" si="316"/>
        <v>0</v>
      </c>
      <c r="E802" s="47">
        <f t="shared" si="317"/>
        <v>0</v>
      </c>
      <c r="F802" s="47">
        <v>0</v>
      </c>
      <c r="G802" s="47">
        <v>0</v>
      </c>
      <c r="H802" s="47">
        <f t="shared" si="318"/>
        <v>0</v>
      </c>
      <c r="I802" s="47">
        <v>0</v>
      </c>
      <c r="J802" s="47">
        <v>0</v>
      </c>
      <c r="K802" s="188" t="s">
        <v>234</v>
      </c>
      <c r="L802" s="215" t="s">
        <v>523</v>
      </c>
    </row>
    <row r="803" spans="2:12" ht="15" customHeight="1" thickBot="1" x14ac:dyDescent="0.25">
      <c r="B803" s="47">
        <f t="shared" ref="B803:I803" si="325">SUM(B801:B802)</f>
        <v>562</v>
      </c>
      <c r="C803" s="47">
        <f t="shared" si="325"/>
        <v>562</v>
      </c>
      <c r="D803" s="47">
        <f t="shared" si="325"/>
        <v>0</v>
      </c>
      <c r="E803" s="47">
        <f t="shared" si="325"/>
        <v>0</v>
      </c>
      <c r="F803" s="47">
        <f t="shared" si="325"/>
        <v>0</v>
      </c>
      <c r="G803" s="47">
        <f t="shared" si="325"/>
        <v>0</v>
      </c>
      <c r="H803" s="47">
        <f t="shared" si="325"/>
        <v>562</v>
      </c>
      <c r="I803" s="47">
        <f t="shared" si="325"/>
        <v>562</v>
      </c>
      <c r="J803" s="47">
        <f>SUM(J801:J802)</f>
        <v>0</v>
      </c>
      <c r="K803" s="188" t="s">
        <v>12</v>
      </c>
      <c r="L803" s="216"/>
    </row>
    <row r="804" spans="2:12" ht="15" customHeight="1" thickBot="1" x14ac:dyDescent="0.25">
      <c r="B804" s="47">
        <f t="shared" si="315"/>
        <v>614</v>
      </c>
      <c r="C804" s="47">
        <f t="shared" si="316"/>
        <v>614</v>
      </c>
      <c r="D804" s="47">
        <f t="shared" si="316"/>
        <v>0</v>
      </c>
      <c r="E804" s="47">
        <f t="shared" si="317"/>
        <v>0</v>
      </c>
      <c r="F804" s="47">
        <v>0</v>
      </c>
      <c r="G804" s="47">
        <v>0</v>
      </c>
      <c r="H804" s="47">
        <f t="shared" si="318"/>
        <v>614</v>
      </c>
      <c r="I804" s="47">
        <v>614</v>
      </c>
      <c r="J804" s="47">
        <v>0</v>
      </c>
      <c r="K804" s="188" t="s">
        <v>233</v>
      </c>
      <c r="L804" s="215"/>
    </row>
    <row r="805" spans="2:12" ht="15" customHeight="1" thickBot="1" x14ac:dyDescent="0.25">
      <c r="B805" s="47">
        <f t="shared" si="315"/>
        <v>0</v>
      </c>
      <c r="C805" s="47">
        <f t="shared" si="316"/>
        <v>0</v>
      </c>
      <c r="D805" s="47">
        <f t="shared" si="316"/>
        <v>0</v>
      </c>
      <c r="E805" s="47">
        <f t="shared" si="317"/>
        <v>0</v>
      </c>
      <c r="F805" s="47">
        <v>0</v>
      </c>
      <c r="G805" s="47">
        <v>0</v>
      </c>
      <c r="H805" s="47">
        <f t="shared" si="318"/>
        <v>0</v>
      </c>
      <c r="I805" s="47">
        <v>0</v>
      </c>
      <c r="J805" s="47">
        <v>0</v>
      </c>
      <c r="K805" s="188" t="s">
        <v>234</v>
      </c>
      <c r="L805" s="215" t="s">
        <v>524</v>
      </c>
    </row>
    <row r="806" spans="2:12" ht="15" customHeight="1" thickBot="1" x14ac:dyDescent="0.25">
      <c r="B806" s="47">
        <f t="shared" ref="B806:I806" si="326">SUM(B804:B805)</f>
        <v>614</v>
      </c>
      <c r="C806" s="47">
        <f t="shared" si="326"/>
        <v>614</v>
      </c>
      <c r="D806" s="47">
        <f t="shared" si="326"/>
        <v>0</v>
      </c>
      <c r="E806" s="47">
        <f t="shared" si="326"/>
        <v>0</v>
      </c>
      <c r="F806" s="47">
        <f t="shared" si="326"/>
        <v>0</v>
      </c>
      <c r="G806" s="47">
        <f t="shared" si="326"/>
        <v>0</v>
      </c>
      <c r="H806" s="47">
        <f t="shared" si="326"/>
        <v>614</v>
      </c>
      <c r="I806" s="47">
        <f t="shared" si="326"/>
        <v>614</v>
      </c>
      <c r="J806" s="47">
        <f>SUM(J804:J805)</f>
        <v>0</v>
      </c>
      <c r="K806" s="188" t="s">
        <v>12</v>
      </c>
      <c r="L806" s="216"/>
    </row>
    <row r="807" spans="2:12" ht="15" customHeight="1" thickBot="1" x14ac:dyDescent="0.25">
      <c r="B807" s="47">
        <f t="shared" ref="B807:J809" si="327">B783+B786+B789+B792+B795+B798+B801+B804</f>
        <v>3994</v>
      </c>
      <c r="C807" s="47">
        <f t="shared" si="327"/>
        <v>2439</v>
      </c>
      <c r="D807" s="47">
        <f t="shared" si="327"/>
        <v>1555</v>
      </c>
      <c r="E807" s="47">
        <f t="shared" si="327"/>
        <v>0</v>
      </c>
      <c r="F807" s="47">
        <f t="shared" si="327"/>
        <v>0</v>
      </c>
      <c r="G807" s="47">
        <f t="shared" si="327"/>
        <v>0</v>
      </c>
      <c r="H807" s="47">
        <f t="shared" si="327"/>
        <v>3994</v>
      </c>
      <c r="I807" s="47">
        <f t="shared" si="327"/>
        <v>2439</v>
      </c>
      <c r="J807" s="47">
        <f>J783+J786+J789+J792+J795+J798+J801+J804</f>
        <v>1555</v>
      </c>
      <c r="K807" s="188" t="s">
        <v>236</v>
      </c>
      <c r="L807" s="217"/>
    </row>
    <row r="808" spans="2:12" ht="15" customHeight="1" thickBot="1" x14ac:dyDescent="0.25">
      <c r="B808" s="47">
        <f t="shared" si="327"/>
        <v>0</v>
      </c>
      <c r="C808" s="47">
        <f t="shared" si="327"/>
        <v>0</v>
      </c>
      <c r="D808" s="47">
        <f t="shared" si="327"/>
        <v>0</v>
      </c>
      <c r="E808" s="47">
        <f t="shared" si="327"/>
        <v>0</v>
      </c>
      <c r="F808" s="47">
        <f t="shared" si="327"/>
        <v>0</v>
      </c>
      <c r="G808" s="47">
        <f t="shared" si="327"/>
        <v>0</v>
      </c>
      <c r="H808" s="47">
        <f t="shared" si="327"/>
        <v>0</v>
      </c>
      <c r="I808" s="47">
        <f t="shared" si="327"/>
        <v>0</v>
      </c>
      <c r="J808" s="47">
        <f t="shared" si="327"/>
        <v>0</v>
      </c>
      <c r="K808" s="188" t="s">
        <v>237</v>
      </c>
      <c r="L808" s="218" t="s">
        <v>188</v>
      </c>
    </row>
    <row r="809" spans="2:12" ht="15" customHeight="1" thickBot="1" x14ac:dyDescent="0.25">
      <c r="B809" s="47">
        <f t="shared" si="327"/>
        <v>3994</v>
      </c>
      <c r="C809" s="47">
        <f t="shared" si="327"/>
        <v>2439</v>
      </c>
      <c r="D809" s="47">
        <f t="shared" si="327"/>
        <v>1555</v>
      </c>
      <c r="E809" s="47">
        <f t="shared" si="327"/>
        <v>0</v>
      </c>
      <c r="F809" s="47">
        <f t="shared" si="327"/>
        <v>0</v>
      </c>
      <c r="G809" s="47">
        <f t="shared" si="327"/>
        <v>0</v>
      </c>
      <c r="H809" s="47">
        <f t="shared" si="327"/>
        <v>3994</v>
      </c>
      <c r="I809" s="47">
        <f t="shared" si="327"/>
        <v>2439</v>
      </c>
      <c r="J809" s="47">
        <f t="shared" si="327"/>
        <v>1555</v>
      </c>
      <c r="K809" s="188" t="s">
        <v>12</v>
      </c>
      <c r="L809" s="219"/>
    </row>
    <row r="810" spans="2:12" ht="15" customHeight="1" thickBot="1" x14ac:dyDescent="0.25">
      <c r="B810" s="476" t="s">
        <v>4</v>
      </c>
      <c r="C810" s="476"/>
      <c r="D810" s="476"/>
      <c r="E810" s="476" t="s">
        <v>145</v>
      </c>
      <c r="F810" s="476"/>
      <c r="G810" s="476"/>
      <c r="H810" s="476" t="s">
        <v>146</v>
      </c>
      <c r="I810" s="476"/>
      <c r="J810" s="476"/>
      <c r="K810" s="479" t="s">
        <v>66</v>
      </c>
      <c r="L810" s="479"/>
    </row>
    <row r="811" spans="2:12" ht="15" customHeight="1" thickBot="1" x14ac:dyDescent="0.25">
      <c r="B811" s="185" t="s">
        <v>227</v>
      </c>
      <c r="C811" s="185" t="s">
        <v>10</v>
      </c>
      <c r="D811" s="185" t="s">
        <v>9</v>
      </c>
      <c r="E811" s="185" t="s">
        <v>227</v>
      </c>
      <c r="F811" s="185" t="s">
        <v>10</v>
      </c>
      <c r="G811" s="185" t="s">
        <v>9</v>
      </c>
      <c r="H811" s="185" t="s">
        <v>227</v>
      </c>
      <c r="I811" s="185" t="s">
        <v>10</v>
      </c>
      <c r="J811" s="185" t="s">
        <v>9</v>
      </c>
      <c r="K811" s="480" t="s">
        <v>119</v>
      </c>
      <c r="L811" s="480"/>
    </row>
    <row r="812" spans="2:12" ht="15" customHeight="1" thickBot="1" x14ac:dyDescent="0.25">
      <c r="B812" s="47">
        <f>SUM(C812:D812)</f>
        <v>691</v>
      </c>
      <c r="C812" s="47">
        <f>I812+F812</f>
        <v>691</v>
      </c>
      <c r="D812" s="47">
        <f>J812+G812</f>
        <v>0</v>
      </c>
      <c r="E812" s="47">
        <f>SUM(F812:G812)</f>
        <v>3</v>
      </c>
      <c r="F812" s="47">
        <v>3</v>
      </c>
      <c r="G812" s="47">
        <v>0</v>
      </c>
      <c r="H812" s="47">
        <f>SUM(I812:J812)</f>
        <v>688</v>
      </c>
      <c r="I812" s="47">
        <v>688</v>
      </c>
      <c r="J812" s="47">
        <v>0</v>
      </c>
      <c r="K812" s="188" t="s">
        <v>233</v>
      </c>
      <c r="L812" s="215"/>
    </row>
    <row r="813" spans="2:12" ht="15" customHeight="1" thickBot="1" x14ac:dyDescent="0.25">
      <c r="B813" s="47">
        <f t="shared" ref="B813:B825" si="328">SUM(C813:D813)</f>
        <v>103</v>
      </c>
      <c r="C813" s="47">
        <f t="shared" ref="C813:D825" si="329">I813+F813</f>
        <v>103</v>
      </c>
      <c r="D813" s="47">
        <f t="shared" si="329"/>
        <v>0</v>
      </c>
      <c r="E813" s="47">
        <f t="shared" ref="E813:E825" si="330">SUM(F813:G813)</f>
        <v>0</v>
      </c>
      <c r="F813" s="47">
        <v>0</v>
      </c>
      <c r="G813" s="47">
        <v>0</v>
      </c>
      <c r="H813" s="47">
        <f t="shared" ref="H813:H825" si="331">SUM(I813:J813)</f>
        <v>103</v>
      </c>
      <c r="I813" s="47">
        <v>103</v>
      </c>
      <c r="J813" s="47">
        <v>0</v>
      </c>
      <c r="K813" s="188" t="s">
        <v>234</v>
      </c>
      <c r="L813" s="215" t="s">
        <v>525</v>
      </c>
    </row>
    <row r="814" spans="2:12" ht="15" customHeight="1" thickBot="1" x14ac:dyDescent="0.25">
      <c r="B814" s="47">
        <f t="shared" ref="B814:I814" si="332">SUM(B812:B813)</f>
        <v>794</v>
      </c>
      <c r="C814" s="47">
        <f t="shared" si="332"/>
        <v>794</v>
      </c>
      <c r="D814" s="47">
        <f t="shared" si="332"/>
        <v>0</v>
      </c>
      <c r="E814" s="47">
        <f t="shared" si="332"/>
        <v>3</v>
      </c>
      <c r="F814" s="47">
        <f t="shared" si="332"/>
        <v>3</v>
      </c>
      <c r="G814" s="47">
        <f t="shared" si="332"/>
        <v>0</v>
      </c>
      <c r="H814" s="47">
        <f t="shared" si="332"/>
        <v>791</v>
      </c>
      <c r="I814" s="47">
        <f t="shared" si="332"/>
        <v>791</v>
      </c>
      <c r="J814" s="47">
        <f>SUM(J812:J813)</f>
        <v>0</v>
      </c>
      <c r="K814" s="188" t="s">
        <v>12</v>
      </c>
      <c r="L814" s="216"/>
    </row>
    <row r="815" spans="2:12" ht="15" customHeight="1" thickBot="1" x14ac:dyDescent="0.25">
      <c r="B815" s="47">
        <f t="shared" si="328"/>
        <v>437</v>
      </c>
      <c r="C815" s="47">
        <f t="shared" si="329"/>
        <v>437</v>
      </c>
      <c r="D815" s="47">
        <f t="shared" si="329"/>
        <v>0</v>
      </c>
      <c r="E815" s="47">
        <f t="shared" si="330"/>
        <v>0</v>
      </c>
      <c r="F815" s="47">
        <v>0</v>
      </c>
      <c r="G815" s="47">
        <v>0</v>
      </c>
      <c r="H815" s="47">
        <f t="shared" si="331"/>
        <v>437</v>
      </c>
      <c r="I815" s="47">
        <v>437</v>
      </c>
      <c r="J815" s="47">
        <v>0</v>
      </c>
      <c r="K815" s="188" t="s">
        <v>233</v>
      </c>
      <c r="L815" s="215"/>
    </row>
    <row r="816" spans="2:12" ht="15" customHeight="1" thickBot="1" x14ac:dyDescent="0.25">
      <c r="B816" s="47">
        <f t="shared" si="328"/>
        <v>34</v>
      </c>
      <c r="C816" s="47">
        <f t="shared" si="329"/>
        <v>34</v>
      </c>
      <c r="D816" s="47">
        <f t="shared" si="329"/>
        <v>0</v>
      </c>
      <c r="E816" s="47">
        <f t="shared" si="330"/>
        <v>0</v>
      </c>
      <c r="F816" s="47">
        <v>0</v>
      </c>
      <c r="G816" s="47">
        <v>0</v>
      </c>
      <c r="H816" s="47">
        <f t="shared" si="331"/>
        <v>34</v>
      </c>
      <c r="I816" s="47">
        <v>34</v>
      </c>
      <c r="J816" s="47">
        <v>0</v>
      </c>
      <c r="K816" s="188" t="s">
        <v>234</v>
      </c>
      <c r="L816" s="215" t="s">
        <v>526</v>
      </c>
    </row>
    <row r="817" spans="2:12" ht="15" customHeight="1" thickBot="1" x14ac:dyDescent="0.25">
      <c r="B817" s="47">
        <f t="shared" ref="B817:I817" si="333">SUM(B815:B816)</f>
        <v>471</v>
      </c>
      <c r="C817" s="47">
        <f t="shared" si="333"/>
        <v>471</v>
      </c>
      <c r="D817" s="47">
        <f t="shared" si="333"/>
        <v>0</v>
      </c>
      <c r="E817" s="47">
        <f t="shared" si="333"/>
        <v>0</v>
      </c>
      <c r="F817" s="47">
        <f t="shared" si="333"/>
        <v>0</v>
      </c>
      <c r="G817" s="47">
        <f t="shared" si="333"/>
        <v>0</v>
      </c>
      <c r="H817" s="47">
        <f t="shared" si="333"/>
        <v>471</v>
      </c>
      <c r="I817" s="47">
        <f t="shared" si="333"/>
        <v>471</v>
      </c>
      <c r="J817" s="47">
        <f>SUM(J815:J816)</f>
        <v>0</v>
      </c>
      <c r="K817" s="188" t="s">
        <v>12</v>
      </c>
      <c r="L817" s="216"/>
    </row>
    <row r="818" spans="2:12" ht="15" customHeight="1" thickBot="1" x14ac:dyDescent="0.25">
      <c r="B818" s="47">
        <f t="shared" si="328"/>
        <v>634</v>
      </c>
      <c r="C818" s="47">
        <f t="shared" si="329"/>
        <v>143</v>
      </c>
      <c r="D818" s="47">
        <f t="shared" si="329"/>
        <v>491</v>
      </c>
      <c r="E818" s="47">
        <f t="shared" si="330"/>
        <v>0</v>
      </c>
      <c r="F818" s="47">
        <v>0</v>
      </c>
      <c r="G818" s="47">
        <v>0</v>
      </c>
      <c r="H818" s="47">
        <f t="shared" si="331"/>
        <v>634</v>
      </c>
      <c r="I818" s="47">
        <v>143</v>
      </c>
      <c r="J818" s="47">
        <v>491</v>
      </c>
      <c r="K818" s="188" t="s">
        <v>233</v>
      </c>
      <c r="L818" s="215"/>
    </row>
    <row r="819" spans="2:12" ht="15" customHeight="1" thickBot="1" x14ac:dyDescent="0.25">
      <c r="B819" s="47">
        <f t="shared" si="328"/>
        <v>0</v>
      </c>
      <c r="C819" s="47">
        <f t="shared" si="329"/>
        <v>0</v>
      </c>
      <c r="D819" s="47">
        <f t="shared" si="329"/>
        <v>0</v>
      </c>
      <c r="E819" s="47">
        <f t="shared" si="330"/>
        <v>0</v>
      </c>
      <c r="F819" s="47">
        <v>0</v>
      </c>
      <c r="G819" s="47">
        <v>0</v>
      </c>
      <c r="H819" s="47">
        <f t="shared" si="331"/>
        <v>0</v>
      </c>
      <c r="I819" s="47">
        <v>0</v>
      </c>
      <c r="J819" s="47">
        <v>0</v>
      </c>
      <c r="K819" s="188" t="s">
        <v>234</v>
      </c>
      <c r="L819" s="215" t="s">
        <v>527</v>
      </c>
    </row>
    <row r="820" spans="2:12" ht="15" customHeight="1" thickBot="1" x14ac:dyDescent="0.25">
      <c r="B820" s="47">
        <f t="shared" ref="B820:I820" si="334">SUM(B818:B819)</f>
        <v>634</v>
      </c>
      <c r="C820" s="47">
        <f t="shared" si="334"/>
        <v>143</v>
      </c>
      <c r="D820" s="47">
        <f t="shared" si="334"/>
        <v>491</v>
      </c>
      <c r="E820" s="47">
        <f t="shared" si="334"/>
        <v>0</v>
      </c>
      <c r="F820" s="47">
        <f t="shared" si="334"/>
        <v>0</v>
      </c>
      <c r="G820" s="47">
        <f t="shared" si="334"/>
        <v>0</v>
      </c>
      <c r="H820" s="47">
        <f t="shared" si="334"/>
        <v>634</v>
      </c>
      <c r="I820" s="47">
        <f t="shared" si="334"/>
        <v>143</v>
      </c>
      <c r="J820" s="47">
        <f>SUM(J818:J819)</f>
        <v>491</v>
      </c>
      <c r="K820" s="188" t="s">
        <v>12</v>
      </c>
      <c r="L820" s="216"/>
    </row>
    <row r="821" spans="2:12" ht="15" customHeight="1" thickBot="1" x14ac:dyDescent="0.25">
      <c r="B821" s="47">
        <f t="shared" si="328"/>
        <v>98</v>
      </c>
      <c r="C821" s="47">
        <f t="shared" si="329"/>
        <v>0</v>
      </c>
      <c r="D821" s="47">
        <f t="shared" si="329"/>
        <v>98</v>
      </c>
      <c r="E821" s="47">
        <f t="shared" si="330"/>
        <v>0</v>
      </c>
      <c r="F821" s="47">
        <v>0</v>
      </c>
      <c r="G821" s="47">
        <v>0</v>
      </c>
      <c r="H821" s="47">
        <f t="shared" si="331"/>
        <v>98</v>
      </c>
      <c r="I821" s="47">
        <v>0</v>
      </c>
      <c r="J821" s="47">
        <v>98</v>
      </c>
      <c r="K821" s="188" t="s">
        <v>233</v>
      </c>
      <c r="L821" s="215"/>
    </row>
    <row r="822" spans="2:12" ht="15" customHeight="1" thickBot="1" x14ac:dyDescent="0.25">
      <c r="B822" s="47">
        <f t="shared" si="328"/>
        <v>0</v>
      </c>
      <c r="C822" s="47">
        <f t="shared" si="329"/>
        <v>0</v>
      </c>
      <c r="D822" s="47">
        <f t="shared" si="329"/>
        <v>0</v>
      </c>
      <c r="E822" s="47">
        <f t="shared" si="330"/>
        <v>0</v>
      </c>
      <c r="F822" s="47">
        <v>0</v>
      </c>
      <c r="G822" s="47">
        <v>0</v>
      </c>
      <c r="H822" s="47">
        <f t="shared" si="331"/>
        <v>0</v>
      </c>
      <c r="I822" s="47">
        <v>0</v>
      </c>
      <c r="J822" s="47">
        <v>0</v>
      </c>
      <c r="K822" s="188" t="s">
        <v>234</v>
      </c>
      <c r="L822" s="215" t="s">
        <v>455</v>
      </c>
    </row>
    <row r="823" spans="2:12" ht="15" customHeight="1" thickBot="1" x14ac:dyDescent="0.25">
      <c r="B823" s="47">
        <f t="shared" ref="B823:I823" si="335">SUM(B821:B822)</f>
        <v>98</v>
      </c>
      <c r="C823" s="47">
        <f t="shared" si="335"/>
        <v>0</v>
      </c>
      <c r="D823" s="47">
        <f t="shared" si="335"/>
        <v>98</v>
      </c>
      <c r="E823" s="47">
        <f t="shared" si="335"/>
        <v>0</v>
      </c>
      <c r="F823" s="47">
        <f t="shared" si="335"/>
        <v>0</v>
      </c>
      <c r="G823" s="47">
        <f t="shared" si="335"/>
        <v>0</v>
      </c>
      <c r="H823" s="47">
        <f t="shared" si="335"/>
        <v>98</v>
      </c>
      <c r="I823" s="47">
        <f t="shared" si="335"/>
        <v>0</v>
      </c>
      <c r="J823" s="47">
        <f>SUM(J821:J822)</f>
        <v>98</v>
      </c>
      <c r="K823" s="188" t="s">
        <v>12</v>
      </c>
      <c r="L823" s="216"/>
    </row>
    <row r="824" spans="2:12" ht="15" customHeight="1" thickBot="1" x14ac:dyDescent="0.25">
      <c r="B824" s="47">
        <f t="shared" si="328"/>
        <v>397</v>
      </c>
      <c r="C824" s="47">
        <f t="shared" si="329"/>
        <v>140</v>
      </c>
      <c r="D824" s="47">
        <f t="shared" si="329"/>
        <v>257</v>
      </c>
      <c r="E824" s="47">
        <f t="shared" si="330"/>
        <v>0</v>
      </c>
      <c r="F824" s="47">
        <v>0</v>
      </c>
      <c r="G824" s="47">
        <v>0</v>
      </c>
      <c r="H824" s="47">
        <f t="shared" si="331"/>
        <v>397</v>
      </c>
      <c r="I824" s="47">
        <v>140</v>
      </c>
      <c r="J824" s="47">
        <v>257</v>
      </c>
      <c r="K824" s="188" t="s">
        <v>233</v>
      </c>
      <c r="L824" s="215"/>
    </row>
    <row r="825" spans="2:12" ht="15" customHeight="1" thickBot="1" x14ac:dyDescent="0.25">
      <c r="B825" s="47">
        <f t="shared" si="328"/>
        <v>0</v>
      </c>
      <c r="C825" s="47">
        <f t="shared" si="329"/>
        <v>0</v>
      </c>
      <c r="D825" s="47">
        <f t="shared" si="329"/>
        <v>0</v>
      </c>
      <c r="E825" s="47">
        <f t="shared" si="330"/>
        <v>0</v>
      </c>
      <c r="F825" s="47">
        <v>0</v>
      </c>
      <c r="G825" s="47">
        <v>0</v>
      </c>
      <c r="H825" s="47">
        <f t="shared" si="331"/>
        <v>0</v>
      </c>
      <c r="I825" s="47">
        <v>0</v>
      </c>
      <c r="J825" s="47">
        <v>0</v>
      </c>
      <c r="K825" s="188" t="s">
        <v>234</v>
      </c>
      <c r="L825" s="215" t="s">
        <v>528</v>
      </c>
    </row>
    <row r="826" spans="2:12" ht="15" customHeight="1" thickBot="1" x14ac:dyDescent="0.25">
      <c r="B826" s="47">
        <f t="shared" ref="B826:I826" si="336">SUM(B824:B825)</f>
        <v>397</v>
      </c>
      <c r="C826" s="47">
        <f t="shared" si="336"/>
        <v>140</v>
      </c>
      <c r="D826" s="47">
        <f t="shared" si="336"/>
        <v>257</v>
      </c>
      <c r="E826" s="47">
        <f t="shared" si="336"/>
        <v>0</v>
      </c>
      <c r="F826" s="47">
        <f t="shared" si="336"/>
        <v>0</v>
      </c>
      <c r="G826" s="47">
        <f t="shared" si="336"/>
        <v>0</v>
      </c>
      <c r="H826" s="47">
        <f t="shared" si="336"/>
        <v>397</v>
      </c>
      <c r="I826" s="47">
        <f t="shared" si="336"/>
        <v>140</v>
      </c>
      <c r="J826" s="47">
        <f>SUM(J824:J825)</f>
        <v>257</v>
      </c>
      <c r="K826" s="188" t="s">
        <v>12</v>
      </c>
      <c r="L826" s="216"/>
    </row>
    <row r="827" spans="2:12" ht="15" customHeight="1" thickBot="1" x14ac:dyDescent="0.25">
      <c r="B827" s="47">
        <f t="shared" ref="B827:J829" si="337">B812+B815+B818+B821+B824</f>
        <v>2257</v>
      </c>
      <c r="C827" s="47">
        <f t="shared" si="337"/>
        <v>1411</v>
      </c>
      <c r="D827" s="47">
        <f t="shared" si="337"/>
        <v>846</v>
      </c>
      <c r="E827" s="47">
        <f t="shared" si="337"/>
        <v>3</v>
      </c>
      <c r="F827" s="47">
        <f t="shared" si="337"/>
        <v>3</v>
      </c>
      <c r="G827" s="47">
        <f t="shared" si="337"/>
        <v>0</v>
      </c>
      <c r="H827" s="47">
        <f t="shared" si="337"/>
        <v>2254</v>
      </c>
      <c r="I827" s="47">
        <f t="shared" si="337"/>
        <v>1408</v>
      </c>
      <c r="J827" s="47">
        <f>J812+J815+J818+J821+J824</f>
        <v>846</v>
      </c>
      <c r="K827" s="188" t="s">
        <v>236</v>
      </c>
      <c r="L827" s="217"/>
    </row>
    <row r="828" spans="2:12" ht="15" customHeight="1" thickBot="1" x14ac:dyDescent="0.25">
      <c r="B828" s="47">
        <f t="shared" si="337"/>
        <v>137</v>
      </c>
      <c r="C828" s="47">
        <f t="shared" si="337"/>
        <v>137</v>
      </c>
      <c r="D828" s="47">
        <f t="shared" si="337"/>
        <v>0</v>
      </c>
      <c r="E828" s="47">
        <f t="shared" si="337"/>
        <v>0</v>
      </c>
      <c r="F828" s="47">
        <f t="shared" si="337"/>
        <v>0</v>
      </c>
      <c r="G828" s="47">
        <f t="shared" si="337"/>
        <v>0</v>
      </c>
      <c r="H828" s="47">
        <f t="shared" si="337"/>
        <v>137</v>
      </c>
      <c r="I828" s="47">
        <f t="shared" si="337"/>
        <v>137</v>
      </c>
      <c r="J828" s="47">
        <f t="shared" si="337"/>
        <v>0</v>
      </c>
      <c r="K828" s="188" t="s">
        <v>237</v>
      </c>
      <c r="L828" s="218" t="s">
        <v>188</v>
      </c>
    </row>
    <row r="829" spans="2:12" ht="15" customHeight="1" thickBot="1" x14ac:dyDescent="0.25">
      <c r="B829" s="47">
        <f t="shared" si="337"/>
        <v>2394</v>
      </c>
      <c r="C829" s="47">
        <f t="shared" si="337"/>
        <v>1548</v>
      </c>
      <c r="D829" s="47">
        <f t="shared" si="337"/>
        <v>846</v>
      </c>
      <c r="E829" s="47">
        <f t="shared" si="337"/>
        <v>3</v>
      </c>
      <c r="F829" s="47">
        <f t="shared" si="337"/>
        <v>3</v>
      </c>
      <c r="G829" s="47">
        <f t="shared" si="337"/>
        <v>0</v>
      </c>
      <c r="H829" s="47">
        <f t="shared" si="337"/>
        <v>2391</v>
      </c>
      <c r="I829" s="47">
        <f t="shared" si="337"/>
        <v>1545</v>
      </c>
      <c r="J829" s="47">
        <f t="shared" si="337"/>
        <v>846</v>
      </c>
      <c r="K829" s="188" t="s">
        <v>12</v>
      </c>
      <c r="L829" s="219"/>
    </row>
    <row r="830" spans="2:12" ht="15" customHeight="1" thickBot="1" x14ac:dyDescent="0.25">
      <c r="B830" s="476" t="s">
        <v>4</v>
      </c>
      <c r="C830" s="476"/>
      <c r="D830" s="476"/>
      <c r="E830" s="476" t="s">
        <v>145</v>
      </c>
      <c r="F830" s="476"/>
      <c r="G830" s="476"/>
      <c r="H830" s="476" t="s">
        <v>146</v>
      </c>
      <c r="I830" s="476"/>
      <c r="J830" s="476"/>
      <c r="K830" s="479" t="s">
        <v>66</v>
      </c>
      <c r="L830" s="479"/>
    </row>
    <row r="831" spans="2:12" ht="15" customHeight="1" thickBot="1" x14ac:dyDescent="0.25">
      <c r="B831" s="185" t="s">
        <v>227</v>
      </c>
      <c r="C831" s="185" t="s">
        <v>10</v>
      </c>
      <c r="D831" s="185" t="s">
        <v>9</v>
      </c>
      <c r="E831" s="185" t="s">
        <v>227</v>
      </c>
      <c r="F831" s="185" t="s">
        <v>10</v>
      </c>
      <c r="G831" s="185" t="s">
        <v>9</v>
      </c>
      <c r="H831" s="185" t="s">
        <v>227</v>
      </c>
      <c r="I831" s="185" t="s">
        <v>10</v>
      </c>
      <c r="J831" s="185" t="s">
        <v>9</v>
      </c>
      <c r="K831" s="480" t="s">
        <v>121</v>
      </c>
      <c r="L831" s="480"/>
    </row>
    <row r="832" spans="2:12" ht="15" customHeight="1" thickBot="1" x14ac:dyDescent="0.25">
      <c r="B832" s="47">
        <f>SUM(C832:D832)</f>
        <v>924</v>
      </c>
      <c r="C832" s="47">
        <f>I832+F832</f>
        <v>924</v>
      </c>
      <c r="D832" s="47">
        <f>J832+G832</f>
        <v>0</v>
      </c>
      <c r="E832" s="47">
        <f>SUM(F832:G832)</f>
        <v>12</v>
      </c>
      <c r="F832" s="47">
        <v>12</v>
      </c>
      <c r="G832" s="47">
        <v>0</v>
      </c>
      <c r="H832" s="47">
        <f>SUM(I832:J832)</f>
        <v>912</v>
      </c>
      <c r="I832" s="47">
        <v>912</v>
      </c>
      <c r="J832" s="47">
        <v>0</v>
      </c>
      <c r="K832" s="188" t="s">
        <v>233</v>
      </c>
      <c r="L832" s="215"/>
    </row>
    <row r="833" spans="2:12" ht="15" customHeight="1" thickBot="1" x14ac:dyDescent="0.25">
      <c r="B833" s="47">
        <f t="shared" ref="B833:B896" si="338">SUM(C833:D833)</f>
        <v>0</v>
      </c>
      <c r="C833" s="47">
        <f t="shared" ref="C833:D896" si="339">I833+F833</f>
        <v>0</v>
      </c>
      <c r="D833" s="47">
        <f t="shared" si="339"/>
        <v>0</v>
      </c>
      <c r="E833" s="47">
        <f t="shared" ref="E833:E896" si="340">SUM(F833:G833)</f>
        <v>0</v>
      </c>
      <c r="F833" s="47">
        <v>0</v>
      </c>
      <c r="G833" s="47">
        <v>0</v>
      </c>
      <c r="H833" s="47">
        <f t="shared" ref="H833:H896" si="341">SUM(I833:J833)</f>
        <v>0</v>
      </c>
      <c r="I833" s="47">
        <v>0</v>
      </c>
      <c r="J833" s="47">
        <v>0</v>
      </c>
      <c r="K833" s="188" t="s">
        <v>234</v>
      </c>
      <c r="L833" s="215" t="s">
        <v>529</v>
      </c>
    </row>
    <row r="834" spans="2:12" ht="15" customHeight="1" thickBot="1" x14ac:dyDescent="0.25">
      <c r="B834" s="47">
        <f t="shared" ref="B834:I834" si="342">SUM(B832:B833)</f>
        <v>924</v>
      </c>
      <c r="C834" s="47">
        <f t="shared" si="342"/>
        <v>924</v>
      </c>
      <c r="D834" s="47">
        <f t="shared" si="342"/>
        <v>0</v>
      </c>
      <c r="E834" s="47">
        <f t="shared" si="342"/>
        <v>12</v>
      </c>
      <c r="F834" s="47">
        <f t="shared" si="342"/>
        <v>12</v>
      </c>
      <c r="G834" s="47">
        <f t="shared" si="342"/>
        <v>0</v>
      </c>
      <c r="H834" s="47">
        <f t="shared" si="342"/>
        <v>912</v>
      </c>
      <c r="I834" s="47">
        <f t="shared" si="342"/>
        <v>912</v>
      </c>
      <c r="J834" s="47">
        <f>SUM(J832:J833)</f>
        <v>0</v>
      </c>
      <c r="K834" s="188" t="s">
        <v>12</v>
      </c>
      <c r="L834" s="216"/>
    </row>
    <row r="835" spans="2:12" ht="15" customHeight="1" thickBot="1" x14ac:dyDescent="0.25">
      <c r="B835" s="47">
        <f t="shared" si="338"/>
        <v>1026</v>
      </c>
      <c r="C835" s="47">
        <f t="shared" si="339"/>
        <v>1026</v>
      </c>
      <c r="D835" s="47">
        <f t="shared" si="339"/>
        <v>0</v>
      </c>
      <c r="E835" s="47">
        <f t="shared" si="340"/>
        <v>19</v>
      </c>
      <c r="F835" s="47">
        <v>19</v>
      </c>
      <c r="G835" s="47">
        <v>0</v>
      </c>
      <c r="H835" s="47">
        <f t="shared" si="341"/>
        <v>1007</v>
      </c>
      <c r="I835" s="47">
        <v>1007</v>
      </c>
      <c r="J835" s="47">
        <v>0</v>
      </c>
      <c r="K835" s="188" t="s">
        <v>233</v>
      </c>
      <c r="L835" s="215"/>
    </row>
    <row r="836" spans="2:12" ht="15" customHeight="1" thickBot="1" x14ac:dyDescent="0.25">
      <c r="B836" s="47">
        <f t="shared" si="338"/>
        <v>603</v>
      </c>
      <c r="C836" s="47">
        <f t="shared" si="339"/>
        <v>603</v>
      </c>
      <c r="D836" s="47">
        <f t="shared" si="339"/>
        <v>0</v>
      </c>
      <c r="E836" s="47">
        <f t="shared" si="340"/>
        <v>13</v>
      </c>
      <c r="F836" s="47">
        <v>13</v>
      </c>
      <c r="G836" s="47">
        <v>0</v>
      </c>
      <c r="H836" s="47">
        <f t="shared" si="341"/>
        <v>590</v>
      </c>
      <c r="I836" s="47">
        <v>590</v>
      </c>
      <c r="J836" s="47">
        <v>0</v>
      </c>
      <c r="K836" s="188" t="s">
        <v>234</v>
      </c>
      <c r="L836" s="215" t="s">
        <v>530</v>
      </c>
    </row>
    <row r="837" spans="2:12" ht="15" customHeight="1" thickBot="1" x14ac:dyDescent="0.25">
      <c r="B837" s="47">
        <f t="shared" ref="B837:I837" si="343">SUM(B835:B836)</f>
        <v>1629</v>
      </c>
      <c r="C837" s="47">
        <f t="shared" si="343"/>
        <v>1629</v>
      </c>
      <c r="D837" s="47">
        <f t="shared" si="343"/>
        <v>0</v>
      </c>
      <c r="E837" s="47">
        <f t="shared" si="343"/>
        <v>32</v>
      </c>
      <c r="F837" s="47">
        <f t="shared" si="343"/>
        <v>32</v>
      </c>
      <c r="G837" s="47">
        <f t="shared" si="343"/>
        <v>0</v>
      </c>
      <c r="H837" s="47">
        <f t="shared" si="343"/>
        <v>1597</v>
      </c>
      <c r="I837" s="47">
        <f t="shared" si="343"/>
        <v>1597</v>
      </c>
      <c r="J837" s="47">
        <f>SUM(J835:J836)</f>
        <v>0</v>
      </c>
      <c r="K837" s="188" t="s">
        <v>12</v>
      </c>
      <c r="L837" s="216"/>
    </row>
    <row r="838" spans="2:12" ht="15" customHeight="1" thickBot="1" x14ac:dyDescent="0.25">
      <c r="B838" s="47">
        <f t="shared" si="338"/>
        <v>712</v>
      </c>
      <c r="C838" s="47">
        <f t="shared" si="339"/>
        <v>712</v>
      </c>
      <c r="D838" s="47">
        <f t="shared" si="339"/>
        <v>0</v>
      </c>
      <c r="E838" s="47">
        <f t="shared" si="340"/>
        <v>0</v>
      </c>
      <c r="F838" s="47">
        <v>0</v>
      </c>
      <c r="G838" s="47">
        <v>0</v>
      </c>
      <c r="H838" s="47">
        <f t="shared" si="341"/>
        <v>712</v>
      </c>
      <c r="I838" s="47">
        <v>712</v>
      </c>
      <c r="J838" s="47">
        <v>0</v>
      </c>
      <c r="K838" s="188" t="s">
        <v>233</v>
      </c>
      <c r="L838" s="215"/>
    </row>
    <row r="839" spans="2:12" ht="15" customHeight="1" thickBot="1" x14ac:dyDescent="0.25">
      <c r="B839" s="47">
        <f t="shared" si="338"/>
        <v>0</v>
      </c>
      <c r="C839" s="47">
        <f t="shared" si="339"/>
        <v>0</v>
      </c>
      <c r="D839" s="47">
        <f t="shared" si="339"/>
        <v>0</v>
      </c>
      <c r="E839" s="47">
        <f t="shared" si="340"/>
        <v>0</v>
      </c>
      <c r="F839" s="47">
        <v>0</v>
      </c>
      <c r="G839" s="47">
        <v>0</v>
      </c>
      <c r="H839" s="47">
        <f t="shared" si="341"/>
        <v>0</v>
      </c>
      <c r="I839" s="47">
        <v>0</v>
      </c>
      <c r="J839" s="47">
        <v>0</v>
      </c>
      <c r="K839" s="188" t="s">
        <v>234</v>
      </c>
      <c r="L839" s="215" t="s">
        <v>531</v>
      </c>
    </row>
    <row r="840" spans="2:12" ht="15" customHeight="1" thickBot="1" x14ac:dyDescent="0.25">
      <c r="B840" s="47">
        <f t="shared" ref="B840:I840" si="344">SUM(B838:B839)</f>
        <v>712</v>
      </c>
      <c r="C840" s="47">
        <f t="shared" si="344"/>
        <v>712</v>
      </c>
      <c r="D840" s="47">
        <f t="shared" si="344"/>
        <v>0</v>
      </c>
      <c r="E840" s="47">
        <f t="shared" si="344"/>
        <v>0</v>
      </c>
      <c r="F840" s="47">
        <f t="shared" si="344"/>
        <v>0</v>
      </c>
      <c r="G840" s="47">
        <f t="shared" si="344"/>
        <v>0</v>
      </c>
      <c r="H840" s="47">
        <f t="shared" si="344"/>
        <v>712</v>
      </c>
      <c r="I840" s="47">
        <f t="shared" si="344"/>
        <v>712</v>
      </c>
      <c r="J840" s="47">
        <f>SUM(J838:J839)</f>
        <v>0</v>
      </c>
      <c r="K840" s="188" t="s">
        <v>12</v>
      </c>
      <c r="L840" s="216"/>
    </row>
    <row r="841" spans="2:12" ht="15" customHeight="1" thickBot="1" x14ac:dyDescent="0.25">
      <c r="B841" s="47">
        <f t="shared" si="338"/>
        <v>553</v>
      </c>
      <c r="C841" s="47">
        <f t="shared" si="339"/>
        <v>553</v>
      </c>
      <c r="D841" s="47">
        <f t="shared" si="339"/>
        <v>0</v>
      </c>
      <c r="E841" s="47">
        <f t="shared" si="340"/>
        <v>0</v>
      </c>
      <c r="F841" s="47">
        <v>0</v>
      </c>
      <c r="G841" s="47">
        <v>0</v>
      </c>
      <c r="H841" s="47">
        <f t="shared" si="341"/>
        <v>553</v>
      </c>
      <c r="I841" s="47">
        <v>553</v>
      </c>
      <c r="J841" s="47">
        <v>0</v>
      </c>
      <c r="K841" s="188" t="s">
        <v>233</v>
      </c>
      <c r="L841" s="215"/>
    </row>
    <row r="842" spans="2:12" ht="15" customHeight="1" thickBot="1" x14ac:dyDescent="0.25">
      <c r="B842" s="47">
        <f t="shared" si="338"/>
        <v>0</v>
      </c>
      <c r="C842" s="47">
        <f t="shared" si="339"/>
        <v>0</v>
      </c>
      <c r="D842" s="47">
        <f t="shared" si="339"/>
        <v>0</v>
      </c>
      <c r="E842" s="47">
        <f t="shared" si="340"/>
        <v>0</v>
      </c>
      <c r="F842" s="47">
        <v>0</v>
      </c>
      <c r="G842" s="47">
        <v>0</v>
      </c>
      <c r="H842" s="47">
        <f t="shared" si="341"/>
        <v>0</v>
      </c>
      <c r="I842" s="47">
        <v>0</v>
      </c>
      <c r="J842" s="47">
        <v>0</v>
      </c>
      <c r="K842" s="188" t="s">
        <v>234</v>
      </c>
      <c r="L842" s="215" t="s">
        <v>532</v>
      </c>
    </row>
    <row r="843" spans="2:12" ht="15" customHeight="1" thickBot="1" x14ac:dyDescent="0.25">
      <c r="B843" s="47">
        <f t="shared" ref="B843:I843" si="345">SUM(B841:B842)</f>
        <v>553</v>
      </c>
      <c r="C843" s="47">
        <f t="shared" si="345"/>
        <v>553</v>
      </c>
      <c r="D843" s="47">
        <f t="shared" si="345"/>
        <v>0</v>
      </c>
      <c r="E843" s="47">
        <f t="shared" si="345"/>
        <v>0</v>
      </c>
      <c r="F843" s="47">
        <f t="shared" si="345"/>
        <v>0</v>
      </c>
      <c r="G843" s="47">
        <f t="shared" si="345"/>
        <v>0</v>
      </c>
      <c r="H843" s="47">
        <f t="shared" si="345"/>
        <v>553</v>
      </c>
      <c r="I843" s="47">
        <f t="shared" si="345"/>
        <v>553</v>
      </c>
      <c r="J843" s="47">
        <f>SUM(J841:J842)</f>
        <v>0</v>
      </c>
      <c r="K843" s="188" t="s">
        <v>12</v>
      </c>
      <c r="L843" s="216"/>
    </row>
    <row r="844" spans="2:12" ht="15" customHeight="1" thickBot="1" x14ac:dyDescent="0.25">
      <c r="B844" s="47">
        <f t="shared" si="338"/>
        <v>823</v>
      </c>
      <c r="C844" s="47">
        <f t="shared" si="339"/>
        <v>823</v>
      </c>
      <c r="D844" s="47">
        <f t="shared" si="339"/>
        <v>0</v>
      </c>
      <c r="E844" s="47">
        <f t="shared" si="340"/>
        <v>5</v>
      </c>
      <c r="F844" s="47">
        <v>5</v>
      </c>
      <c r="G844" s="47">
        <v>0</v>
      </c>
      <c r="H844" s="47">
        <f t="shared" si="341"/>
        <v>818</v>
      </c>
      <c r="I844" s="47">
        <v>818</v>
      </c>
      <c r="J844" s="47">
        <v>0</v>
      </c>
      <c r="K844" s="188" t="s">
        <v>233</v>
      </c>
      <c r="L844" s="215"/>
    </row>
    <row r="845" spans="2:12" ht="15" customHeight="1" thickBot="1" x14ac:dyDescent="0.25">
      <c r="B845" s="47">
        <f t="shared" si="338"/>
        <v>465</v>
      </c>
      <c r="C845" s="47">
        <f t="shared" si="339"/>
        <v>465</v>
      </c>
      <c r="D845" s="47">
        <f t="shared" si="339"/>
        <v>0</v>
      </c>
      <c r="E845" s="47">
        <f t="shared" si="340"/>
        <v>4</v>
      </c>
      <c r="F845" s="47">
        <v>4</v>
      </c>
      <c r="G845" s="47">
        <v>0</v>
      </c>
      <c r="H845" s="47">
        <f t="shared" si="341"/>
        <v>461</v>
      </c>
      <c r="I845" s="47">
        <v>461</v>
      </c>
      <c r="J845" s="47">
        <v>0</v>
      </c>
      <c r="K845" s="188" t="s">
        <v>234</v>
      </c>
      <c r="L845" s="215" t="s">
        <v>533</v>
      </c>
    </row>
    <row r="846" spans="2:12" ht="15" customHeight="1" thickBot="1" x14ac:dyDescent="0.25">
      <c r="B846" s="47">
        <f t="shared" ref="B846:I846" si="346">SUM(B844:B845)</f>
        <v>1288</v>
      </c>
      <c r="C846" s="47">
        <f t="shared" si="346"/>
        <v>1288</v>
      </c>
      <c r="D846" s="47">
        <f t="shared" si="346"/>
        <v>0</v>
      </c>
      <c r="E846" s="47">
        <f t="shared" si="346"/>
        <v>9</v>
      </c>
      <c r="F846" s="47">
        <f t="shared" si="346"/>
        <v>9</v>
      </c>
      <c r="G846" s="47">
        <f t="shared" si="346"/>
        <v>0</v>
      </c>
      <c r="H846" s="47">
        <f t="shared" si="346"/>
        <v>1279</v>
      </c>
      <c r="I846" s="47">
        <f t="shared" si="346"/>
        <v>1279</v>
      </c>
      <c r="J846" s="47">
        <f>SUM(J844:J845)</f>
        <v>0</v>
      </c>
      <c r="K846" s="188" t="s">
        <v>12</v>
      </c>
      <c r="L846" s="216"/>
    </row>
    <row r="847" spans="2:12" ht="15" customHeight="1" thickBot="1" x14ac:dyDescent="0.25">
      <c r="B847" s="47">
        <f t="shared" si="338"/>
        <v>569</v>
      </c>
      <c r="C847" s="47">
        <f t="shared" si="339"/>
        <v>569</v>
      </c>
      <c r="D847" s="47">
        <f t="shared" si="339"/>
        <v>0</v>
      </c>
      <c r="E847" s="47">
        <f t="shared" si="340"/>
        <v>0</v>
      </c>
      <c r="F847" s="47">
        <v>0</v>
      </c>
      <c r="G847" s="47">
        <v>0</v>
      </c>
      <c r="H847" s="47">
        <f t="shared" si="341"/>
        <v>569</v>
      </c>
      <c r="I847" s="47">
        <v>569</v>
      </c>
      <c r="J847" s="47">
        <v>0</v>
      </c>
      <c r="K847" s="188" t="s">
        <v>233</v>
      </c>
      <c r="L847" s="215"/>
    </row>
    <row r="848" spans="2:12" ht="15" customHeight="1" thickBot="1" x14ac:dyDescent="0.25">
      <c r="B848" s="47">
        <f t="shared" si="338"/>
        <v>26</v>
      </c>
      <c r="C848" s="47">
        <f t="shared" si="339"/>
        <v>26</v>
      </c>
      <c r="D848" s="47">
        <f t="shared" si="339"/>
        <v>0</v>
      </c>
      <c r="E848" s="47">
        <f t="shared" si="340"/>
        <v>0</v>
      </c>
      <c r="F848" s="47">
        <v>0</v>
      </c>
      <c r="G848" s="47">
        <v>0</v>
      </c>
      <c r="H848" s="47">
        <f t="shared" si="341"/>
        <v>26</v>
      </c>
      <c r="I848" s="47">
        <v>26</v>
      </c>
      <c r="J848" s="47">
        <v>0</v>
      </c>
      <c r="K848" s="188" t="s">
        <v>234</v>
      </c>
      <c r="L848" s="215" t="s">
        <v>534</v>
      </c>
    </row>
    <row r="849" spans="2:12" ht="15" customHeight="1" thickBot="1" x14ac:dyDescent="0.25">
      <c r="B849" s="47">
        <f t="shared" ref="B849:I849" si="347">SUM(B847:B848)</f>
        <v>595</v>
      </c>
      <c r="C849" s="47">
        <f t="shared" si="347"/>
        <v>595</v>
      </c>
      <c r="D849" s="47">
        <f t="shared" si="347"/>
        <v>0</v>
      </c>
      <c r="E849" s="47">
        <f t="shared" si="347"/>
        <v>0</v>
      </c>
      <c r="F849" s="47">
        <f t="shared" si="347"/>
        <v>0</v>
      </c>
      <c r="G849" s="47">
        <f t="shared" si="347"/>
        <v>0</v>
      </c>
      <c r="H849" s="47">
        <f t="shared" si="347"/>
        <v>595</v>
      </c>
      <c r="I849" s="47">
        <f t="shared" si="347"/>
        <v>595</v>
      </c>
      <c r="J849" s="47">
        <f>SUM(J847:J848)</f>
        <v>0</v>
      </c>
      <c r="K849" s="188" t="s">
        <v>12</v>
      </c>
      <c r="L849" s="216"/>
    </row>
    <row r="850" spans="2:12" ht="15" customHeight="1" thickBot="1" x14ac:dyDescent="0.25">
      <c r="B850" s="47">
        <f t="shared" si="338"/>
        <v>421</v>
      </c>
      <c r="C850" s="47">
        <f t="shared" si="339"/>
        <v>421</v>
      </c>
      <c r="D850" s="47">
        <f t="shared" si="339"/>
        <v>0</v>
      </c>
      <c r="E850" s="47">
        <f t="shared" si="340"/>
        <v>0</v>
      </c>
      <c r="F850" s="47">
        <v>0</v>
      </c>
      <c r="G850" s="47">
        <v>0</v>
      </c>
      <c r="H850" s="47">
        <f t="shared" si="341"/>
        <v>421</v>
      </c>
      <c r="I850" s="47">
        <v>421</v>
      </c>
      <c r="J850" s="47">
        <v>0</v>
      </c>
      <c r="K850" s="188" t="s">
        <v>233</v>
      </c>
      <c r="L850" s="215"/>
    </row>
    <row r="851" spans="2:12" ht="15" customHeight="1" thickBot="1" x14ac:dyDescent="0.25">
      <c r="B851" s="47">
        <f t="shared" si="338"/>
        <v>8</v>
      </c>
      <c r="C851" s="47">
        <f t="shared" si="339"/>
        <v>8</v>
      </c>
      <c r="D851" s="47">
        <f t="shared" si="339"/>
        <v>0</v>
      </c>
      <c r="E851" s="47">
        <f t="shared" si="340"/>
        <v>0</v>
      </c>
      <c r="F851" s="47">
        <v>0</v>
      </c>
      <c r="G851" s="47">
        <v>0</v>
      </c>
      <c r="H851" s="47">
        <f t="shared" si="341"/>
        <v>8</v>
      </c>
      <c r="I851" s="47">
        <v>8</v>
      </c>
      <c r="J851" s="47">
        <v>0</v>
      </c>
      <c r="K851" s="188" t="s">
        <v>234</v>
      </c>
      <c r="L851" s="215" t="s">
        <v>535</v>
      </c>
    </row>
    <row r="852" spans="2:12" ht="15" customHeight="1" thickBot="1" x14ac:dyDescent="0.25">
      <c r="B852" s="47">
        <f t="shared" ref="B852:I852" si="348">SUM(B850:B851)</f>
        <v>429</v>
      </c>
      <c r="C852" s="47">
        <f t="shared" si="348"/>
        <v>429</v>
      </c>
      <c r="D852" s="47">
        <f t="shared" si="348"/>
        <v>0</v>
      </c>
      <c r="E852" s="47">
        <f t="shared" si="348"/>
        <v>0</v>
      </c>
      <c r="F852" s="47">
        <f t="shared" si="348"/>
        <v>0</v>
      </c>
      <c r="G852" s="47">
        <f t="shared" si="348"/>
        <v>0</v>
      </c>
      <c r="H852" s="47">
        <f t="shared" si="348"/>
        <v>429</v>
      </c>
      <c r="I852" s="47">
        <f t="shared" si="348"/>
        <v>429</v>
      </c>
      <c r="J852" s="47">
        <f>SUM(J850:J851)</f>
        <v>0</v>
      </c>
      <c r="K852" s="188" t="s">
        <v>12</v>
      </c>
      <c r="L852" s="216"/>
    </row>
    <row r="853" spans="2:12" ht="15" customHeight="1" thickBot="1" x14ac:dyDescent="0.25">
      <c r="B853" s="47">
        <f t="shared" si="338"/>
        <v>308</v>
      </c>
      <c r="C853" s="47">
        <f t="shared" si="339"/>
        <v>308</v>
      </c>
      <c r="D853" s="47">
        <f t="shared" si="339"/>
        <v>0</v>
      </c>
      <c r="E853" s="47">
        <f t="shared" si="340"/>
        <v>0</v>
      </c>
      <c r="F853" s="47">
        <v>0</v>
      </c>
      <c r="G853" s="47">
        <v>0</v>
      </c>
      <c r="H853" s="47">
        <f t="shared" si="341"/>
        <v>308</v>
      </c>
      <c r="I853" s="47">
        <v>308</v>
      </c>
      <c r="J853" s="47">
        <v>0</v>
      </c>
      <c r="K853" s="188" t="s">
        <v>233</v>
      </c>
      <c r="L853" s="215"/>
    </row>
    <row r="854" spans="2:12" ht="15" customHeight="1" thickBot="1" x14ac:dyDescent="0.25">
      <c r="B854" s="47">
        <f t="shared" si="338"/>
        <v>43</v>
      </c>
      <c r="C854" s="47">
        <f t="shared" si="339"/>
        <v>43</v>
      </c>
      <c r="D854" s="47">
        <f t="shared" si="339"/>
        <v>0</v>
      </c>
      <c r="E854" s="47">
        <f t="shared" si="340"/>
        <v>0</v>
      </c>
      <c r="F854" s="47">
        <v>0</v>
      </c>
      <c r="G854" s="47">
        <v>0</v>
      </c>
      <c r="H854" s="47">
        <f t="shared" si="341"/>
        <v>43</v>
      </c>
      <c r="I854" s="47">
        <v>43</v>
      </c>
      <c r="J854" s="47">
        <v>0</v>
      </c>
      <c r="K854" s="188" t="s">
        <v>234</v>
      </c>
      <c r="L854" s="215" t="s">
        <v>536</v>
      </c>
    </row>
    <row r="855" spans="2:12" ht="15" customHeight="1" thickBot="1" x14ac:dyDescent="0.25">
      <c r="B855" s="47">
        <f t="shared" ref="B855:I855" si="349">SUM(B853:B854)</f>
        <v>351</v>
      </c>
      <c r="C855" s="47">
        <f t="shared" si="349"/>
        <v>351</v>
      </c>
      <c r="D855" s="47">
        <f t="shared" si="349"/>
        <v>0</v>
      </c>
      <c r="E855" s="47">
        <f t="shared" si="349"/>
        <v>0</v>
      </c>
      <c r="F855" s="47">
        <f t="shared" si="349"/>
        <v>0</v>
      </c>
      <c r="G855" s="47">
        <f t="shared" si="349"/>
        <v>0</v>
      </c>
      <c r="H855" s="47">
        <f t="shared" si="349"/>
        <v>351</v>
      </c>
      <c r="I855" s="47">
        <f t="shared" si="349"/>
        <v>351</v>
      </c>
      <c r="J855" s="47">
        <f>SUM(J853:J854)</f>
        <v>0</v>
      </c>
      <c r="K855" s="188" t="s">
        <v>12</v>
      </c>
      <c r="L855" s="216"/>
    </row>
    <row r="856" spans="2:12" ht="15" customHeight="1" thickBot="1" x14ac:dyDescent="0.25">
      <c r="B856" s="47">
        <f t="shared" si="338"/>
        <v>410</v>
      </c>
      <c r="C856" s="47">
        <f t="shared" si="339"/>
        <v>410</v>
      </c>
      <c r="D856" s="47">
        <f t="shared" si="339"/>
        <v>0</v>
      </c>
      <c r="E856" s="47">
        <f t="shared" si="340"/>
        <v>0</v>
      </c>
      <c r="F856" s="47">
        <v>0</v>
      </c>
      <c r="G856" s="47">
        <v>0</v>
      </c>
      <c r="H856" s="47">
        <f t="shared" si="341"/>
        <v>410</v>
      </c>
      <c r="I856" s="47">
        <v>410</v>
      </c>
      <c r="J856" s="47">
        <v>0</v>
      </c>
      <c r="K856" s="188" t="s">
        <v>233</v>
      </c>
      <c r="L856" s="215"/>
    </row>
    <row r="857" spans="2:12" ht="15" customHeight="1" thickBot="1" x14ac:dyDescent="0.25">
      <c r="B857" s="47">
        <f t="shared" si="338"/>
        <v>216</v>
      </c>
      <c r="C857" s="47">
        <f t="shared" si="339"/>
        <v>216</v>
      </c>
      <c r="D857" s="47">
        <f t="shared" si="339"/>
        <v>0</v>
      </c>
      <c r="E857" s="47">
        <f t="shared" si="340"/>
        <v>0</v>
      </c>
      <c r="F857" s="47">
        <v>0</v>
      </c>
      <c r="G857" s="47">
        <v>0</v>
      </c>
      <c r="H857" s="47">
        <f t="shared" si="341"/>
        <v>216</v>
      </c>
      <c r="I857" s="47">
        <v>216</v>
      </c>
      <c r="J857" s="47">
        <v>0</v>
      </c>
      <c r="K857" s="188" t="s">
        <v>234</v>
      </c>
      <c r="L857" s="215" t="s">
        <v>537</v>
      </c>
    </row>
    <row r="858" spans="2:12" ht="15" customHeight="1" thickBot="1" x14ac:dyDescent="0.25">
      <c r="B858" s="47">
        <f t="shared" ref="B858:I858" si="350">SUM(B856:B857)</f>
        <v>626</v>
      </c>
      <c r="C858" s="47">
        <f t="shared" si="350"/>
        <v>626</v>
      </c>
      <c r="D858" s="47">
        <f t="shared" si="350"/>
        <v>0</v>
      </c>
      <c r="E858" s="47">
        <f t="shared" si="350"/>
        <v>0</v>
      </c>
      <c r="F858" s="47">
        <f t="shared" si="350"/>
        <v>0</v>
      </c>
      <c r="G858" s="47">
        <f t="shared" si="350"/>
        <v>0</v>
      </c>
      <c r="H858" s="47">
        <f t="shared" si="350"/>
        <v>626</v>
      </c>
      <c r="I858" s="47">
        <f t="shared" si="350"/>
        <v>626</v>
      </c>
      <c r="J858" s="47">
        <f>SUM(J856:J857)</f>
        <v>0</v>
      </c>
      <c r="K858" s="188" t="s">
        <v>12</v>
      </c>
      <c r="L858" s="216"/>
    </row>
    <row r="859" spans="2:12" ht="15" customHeight="1" thickBot="1" x14ac:dyDescent="0.25">
      <c r="B859" s="47">
        <f t="shared" si="338"/>
        <v>763</v>
      </c>
      <c r="C859" s="47">
        <f t="shared" si="339"/>
        <v>763</v>
      </c>
      <c r="D859" s="47">
        <f t="shared" si="339"/>
        <v>0</v>
      </c>
      <c r="E859" s="47">
        <f t="shared" si="340"/>
        <v>2</v>
      </c>
      <c r="F859" s="47">
        <v>2</v>
      </c>
      <c r="G859" s="47">
        <v>0</v>
      </c>
      <c r="H859" s="47">
        <f t="shared" si="341"/>
        <v>761</v>
      </c>
      <c r="I859" s="47">
        <v>761</v>
      </c>
      <c r="J859" s="47">
        <v>0</v>
      </c>
      <c r="K859" s="188" t="s">
        <v>233</v>
      </c>
      <c r="L859" s="215"/>
    </row>
    <row r="860" spans="2:12" ht="15" customHeight="1" thickBot="1" x14ac:dyDescent="0.25">
      <c r="B860" s="47">
        <f t="shared" si="338"/>
        <v>24</v>
      </c>
      <c r="C860" s="47">
        <f t="shared" si="339"/>
        <v>24</v>
      </c>
      <c r="D860" s="47">
        <f t="shared" si="339"/>
        <v>0</v>
      </c>
      <c r="E860" s="47">
        <f t="shared" si="340"/>
        <v>0</v>
      </c>
      <c r="F860" s="47">
        <v>0</v>
      </c>
      <c r="G860" s="47">
        <v>0</v>
      </c>
      <c r="H860" s="47">
        <f t="shared" si="341"/>
        <v>24</v>
      </c>
      <c r="I860" s="47">
        <v>24</v>
      </c>
      <c r="J860" s="47">
        <v>0</v>
      </c>
      <c r="K860" s="188" t="s">
        <v>234</v>
      </c>
      <c r="L860" s="215" t="s">
        <v>538</v>
      </c>
    </row>
    <row r="861" spans="2:12" ht="15" customHeight="1" thickBot="1" x14ac:dyDescent="0.25">
      <c r="B861" s="47">
        <f t="shared" ref="B861:I861" si="351">SUM(B859:B860)</f>
        <v>787</v>
      </c>
      <c r="C861" s="47">
        <f t="shared" si="351"/>
        <v>787</v>
      </c>
      <c r="D861" s="47">
        <f t="shared" si="351"/>
        <v>0</v>
      </c>
      <c r="E861" s="47">
        <f t="shared" si="351"/>
        <v>2</v>
      </c>
      <c r="F861" s="47">
        <f t="shared" si="351"/>
        <v>2</v>
      </c>
      <c r="G861" s="47">
        <f t="shared" si="351"/>
        <v>0</v>
      </c>
      <c r="H861" s="47">
        <f t="shared" si="351"/>
        <v>785</v>
      </c>
      <c r="I861" s="47">
        <f t="shared" si="351"/>
        <v>785</v>
      </c>
      <c r="J861" s="47">
        <f>SUM(J859:J860)</f>
        <v>0</v>
      </c>
      <c r="K861" s="188" t="s">
        <v>12</v>
      </c>
      <c r="L861" s="216"/>
    </row>
    <row r="862" spans="2:12" ht="15" customHeight="1" thickBot="1" x14ac:dyDescent="0.25">
      <c r="B862" s="47">
        <f t="shared" si="338"/>
        <v>392</v>
      </c>
      <c r="C862" s="47">
        <f t="shared" si="339"/>
        <v>392</v>
      </c>
      <c r="D862" s="47">
        <f t="shared" si="339"/>
        <v>0</v>
      </c>
      <c r="E862" s="47">
        <f t="shared" si="340"/>
        <v>0</v>
      </c>
      <c r="F862" s="47">
        <v>0</v>
      </c>
      <c r="G862" s="47">
        <v>0</v>
      </c>
      <c r="H862" s="47">
        <f t="shared" si="341"/>
        <v>392</v>
      </c>
      <c r="I862" s="47">
        <v>392</v>
      </c>
      <c r="J862" s="47">
        <v>0</v>
      </c>
      <c r="K862" s="188" t="s">
        <v>233</v>
      </c>
      <c r="L862" s="215"/>
    </row>
    <row r="863" spans="2:12" ht="15" customHeight="1" thickBot="1" x14ac:dyDescent="0.25">
      <c r="B863" s="47">
        <f t="shared" si="338"/>
        <v>30</v>
      </c>
      <c r="C863" s="47">
        <f t="shared" si="339"/>
        <v>30</v>
      </c>
      <c r="D863" s="47">
        <f t="shared" si="339"/>
        <v>0</v>
      </c>
      <c r="E863" s="47">
        <f t="shared" si="340"/>
        <v>0</v>
      </c>
      <c r="F863" s="47">
        <v>0</v>
      </c>
      <c r="G863" s="47">
        <v>0</v>
      </c>
      <c r="H863" s="47">
        <f t="shared" si="341"/>
        <v>30</v>
      </c>
      <c r="I863" s="47">
        <v>30</v>
      </c>
      <c r="J863" s="47">
        <v>0</v>
      </c>
      <c r="K863" s="188" t="s">
        <v>234</v>
      </c>
      <c r="L863" s="215" t="s">
        <v>539</v>
      </c>
    </row>
    <row r="864" spans="2:12" ht="15" customHeight="1" thickBot="1" x14ac:dyDescent="0.25">
      <c r="B864" s="47">
        <f t="shared" ref="B864:I864" si="352">SUM(B862:B863)</f>
        <v>422</v>
      </c>
      <c r="C864" s="47">
        <f t="shared" si="352"/>
        <v>422</v>
      </c>
      <c r="D864" s="47">
        <f t="shared" si="352"/>
        <v>0</v>
      </c>
      <c r="E864" s="47">
        <f t="shared" si="352"/>
        <v>0</v>
      </c>
      <c r="F864" s="47">
        <f t="shared" si="352"/>
        <v>0</v>
      </c>
      <c r="G864" s="47">
        <f t="shared" si="352"/>
        <v>0</v>
      </c>
      <c r="H864" s="47">
        <f t="shared" si="352"/>
        <v>422</v>
      </c>
      <c r="I864" s="47">
        <f t="shared" si="352"/>
        <v>422</v>
      </c>
      <c r="J864" s="47">
        <f>SUM(J862:J863)</f>
        <v>0</v>
      </c>
      <c r="K864" s="188" t="s">
        <v>12</v>
      </c>
      <c r="L864" s="216"/>
    </row>
    <row r="865" spans="2:12" ht="15" customHeight="1" thickBot="1" x14ac:dyDescent="0.25">
      <c r="B865" s="47">
        <f t="shared" si="338"/>
        <v>651</v>
      </c>
      <c r="C865" s="47">
        <f t="shared" si="339"/>
        <v>651</v>
      </c>
      <c r="D865" s="47">
        <f t="shared" si="339"/>
        <v>0</v>
      </c>
      <c r="E865" s="47">
        <f t="shared" si="340"/>
        <v>0</v>
      </c>
      <c r="F865" s="47">
        <v>0</v>
      </c>
      <c r="G865" s="47">
        <v>0</v>
      </c>
      <c r="H865" s="47">
        <f t="shared" si="341"/>
        <v>651</v>
      </c>
      <c r="I865" s="47">
        <v>651</v>
      </c>
      <c r="J865" s="47">
        <v>0</v>
      </c>
      <c r="K865" s="188" t="s">
        <v>233</v>
      </c>
      <c r="L865" s="215"/>
    </row>
    <row r="866" spans="2:12" ht="15" customHeight="1" thickBot="1" x14ac:dyDescent="0.25">
      <c r="B866" s="47">
        <f t="shared" si="338"/>
        <v>207</v>
      </c>
      <c r="C866" s="47">
        <f t="shared" si="339"/>
        <v>207</v>
      </c>
      <c r="D866" s="47">
        <f t="shared" si="339"/>
        <v>0</v>
      </c>
      <c r="E866" s="47">
        <f t="shared" si="340"/>
        <v>0</v>
      </c>
      <c r="F866" s="47">
        <v>0</v>
      </c>
      <c r="G866" s="47">
        <v>0</v>
      </c>
      <c r="H866" s="47">
        <f t="shared" si="341"/>
        <v>207</v>
      </c>
      <c r="I866" s="47">
        <v>207</v>
      </c>
      <c r="J866" s="47">
        <v>0</v>
      </c>
      <c r="K866" s="188" t="s">
        <v>234</v>
      </c>
      <c r="L866" s="215" t="s">
        <v>540</v>
      </c>
    </row>
    <row r="867" spans="2:12" ht="15" customHeight="1" thickBot="1" x14ac:dyDescent="0.25">
      <c r="B867" s="47">
        <f t="shared" ref="B867:I867" si="353">SUM(B865:B866)</f>
        <v>858</v>
      </c>
      <c r="C867" s="47">
        <f t="shared" si="353"/>
        <v>858</v>
      </c>
      <c r="D867" s="47">
        <f t="shared" si="353"/>
        <v>0</v>
      </c>
      <c r="E867" s="47">
        <f t="shared" si="353"/>
        <v>0</v>
      </c>
      <c r="F867" s="47">
        <f t="shared" si="353"/>
        <v>0</v>
      </c>
      <c r="G867" s="47">
        <f t="shared" si="353"/>
        <v>0</v>
      </c>
      <c r="H867" s="47">
        <f t="shared" si="353"/>
        <v>858</v>
      </c>
      <c r="I867" s="47">
        <f t="shared" si="353"/>
        <v>858</v>
      </c>
      <c r="J867" s="47">
        <f>SUM(J865:J866)</f>
        <v>0</v>
      </c>
      <c r="K867" s="188" t="s">
        <v>12</v>
      </c>
      <c r="L867" s="216"/>
    </row>
    <row r="868" spans="2:12" ht="15" customHeight="1" thickBot="1" x14ac:dyDescent="0.25">
      <c r="B868" s="47">
        <f t="shared" si="338"/>
        <v>387</v>
      </c>
      <c r="C868" s="47">
        <f t="shared" si="339"/>
        <v>387</v>
      </c>
      <c r="D868" s="47">
        <f t="shared" si="339"/>
        <v>0</v>
      </c>
      <c r="E868" s="47">
        <f t="shared" si="340"/>
        <v>0</v>
      </c>
      <c r="F868" s="47">
        <v>0</v>
      </c>
      <c r="G868" s="47">
        <v>0</v>
      </c>
      <c r="H868" s="47">
        <f t="shared" si="341"/>
        <v>387</v>
      </c>
      <c r="I868" s="47">
        <v>387</v>
      </c>
      <c r="J868" s="47">
        <v>0</v>
      </c>
      <c r="K868" s="188" t="s">
        <v>233</v>
      </c>
      <c r="L868" s="215"/>
    </row>
    <row r="869" spans="2:12" ht="15" customHeight="1" thickBot="1" x14ac:dyDescent="0.25">
      <c r="B869" s="47">
        <f t="shared" si="338"/>
        <v>242</v>
      </c>
      <c r="C869" s="47">
        <f t="shared" si="339"/>
        <v>242</v>
      </c>
      <c r="D869" s="47">
        <f t="shared" si="339"/>
        <v>0</v>
      </c>
      <c r="E869" s="47">
        <f t="shared" si="340"/>
        <v>0</v>
      </c>
      <c r="F869" s="47">
        <v>0</v>
      </c>
      <c r="G869" s="47">
        <v>0</v>
      </c>
      <c r="H869" s="47">
        <f t="shared" si="341"/>
        <v>242</v>
      </c>
      <c r="I869" s="47">
        <v>242</v>
      </c>
      <c r="J869" s="47">
        <v>0</v>
      </c>
      <c r="K869" s="188" t="s">
        <v>234</v>
      </c>
      <c r="L869" s="215" t="s">
        <v>541</v>
      </c>
    </row>
    <row r="870" spans="2:12" ht="15" customHeight="1" thickBot="1" x14ac:dyDescent="0.25">
      <c r="B870" s="47">
        <f t="shared" ref="B870:I870" si="354">SUM(B868:B869)</f>
        <v>629</v>
      </c>
      <c r="C870" s="47">
        <f t="shared" si="354"/>
        <v>629</v>
      </c>
      <c r="D870" s="47">
        <f t="shared" si="354"/>
        <v>0</v>
      </c>
      <c r="E870" s="47">
        <f t="shared" si="354"/>
        <v>0</v>
      </c>
      <c r="F870" s="47">
        <f t="shared" si="354"/>
        <v>0</v>
      </c>
      <c r="G870" s="47">
        <f t="shared" si="354"/>
        <v>0</v>
      </c>
      <c r="H870" s="47">
        <f t="shared" si="354"/>
        <v>629</v>
      </c>
      <c r="I870" s="47">
        <f t="shared" si="354"/>
        <v>629</v>
      </c>
      <c r="J870" s="47">
        <f>SUM(J868:J869)</f>
        <v>0</v>
      </c>
      <c r="K870" s="188" t="s">
        <v>12</v>
      </c>
      <c r="L870" s="216"/>
    </row>
    <row r="871" spans="2:12" ht="15" customHeight="1" thickBot="1" x14ac:dyDescent="0.25">
      <c r="B871" s="47">
        <f t="shared" si="338"/>
        <v>497</v>
      </c>
      <c r="C871" s="47">
        <f t="shared" si="339"/>
        <v>497</v>
      </c>
      <c r="D871" s="47">
        <f t="shared" si="339"/>
        <v>0</v>
      </c>
      <c r="E871" s="47">
        <f t="shared" si="340"/>
        <v>0</v>
      </c>
      <c r="F871" s="47">
        <v>0</v>
      </c>
      <c r="G871" s="47">
        <v>0</v>
      </c>
      <c r="H871" s="47">
        <f t="shared" si="341"/>
        <v>497</v>
      </c>
      <c r="I871" s="47">
        <v>497</v>
      </c>
      <c r="J871" s="47">
        <v>0</v>
      </c>
      <c r="K871" s="188" t="s">
        <v>233</v>
      </c>
      <c r="L871" s="215"/>
    </row>
    <row r="872" spans="2:12" ht="15" customHeight="1" thickBot="1" x14ac:dyDescent="0.25">
      <c r="B872" s="47">
        <f t="shared" si="338"/>
        <v>125</v>
      </c>
      <c r="C872" s="47">
        <f t="shared" si="339"/>
        <v>125</v>
      </c>
      <c r="D872" s="47">
        <f t="shared" si="339"/>
        <v>0</v>
      </c>
      <c r="E872" s="47">
        <f t="shared" si="340"/>
        <v>0</v>
      </c>
      <c r="F872" s="47">
        <v>0</v>
      </c>
      <c r="G872" s="47">
        <v>0</v>
      </c>
      <c r="H872" s="47">
        <f t="shared" si="341"/>
        <v>125</v>
      </c>
      <c r="I872" s="47">
        <v>125</v>
      </c>
      <c r="J872" s="47">
        <v>0</v>
      </c>
      <c r="K872" s="188" t="s">
        <v>234</v>
      </c>
      <c r="L872" s="215" t="s">
        <v>542</v>
      </c>
    </row>
    <row r="873" spans="2:12" ht="15" customHeight="1" thickBot="1" x14ac:dyDescent="0.25">
      <c r="B873" s="47">
        <f t="shared" ref="B873:I873" si="355">SUM(B871:B872)</f>
        <v>622</v>
      </c>
      <c r="C873" s="47">
        <f t="shared" si="355"/>
        <v>622</v>
      </c>
      <c r="D873" s="47">
        <f t="shared" si="355"/>
        <v>0</v>
      </c>
      <c r="E873" s="47">
        <f t="shared" si="355"/>
        <v>0</v>
      </c>
      <c r="F873" s="47">
        <f t="shared" si="355"/>
        <v>0</v>
      </c>
      <c r="G873" s="47">
        <f t="shared" si="355"/>
        <v>0</v>
      </c>
      <c r="H873" s="47">
        <f t="shared" si="355"/>
        <v>622</v>
      </c>
      <c r="I873" s="47">
        <f t="shared" si="355"/>
        <v>622</v>
      </c>
      <c r="J873" s="47">
        <f>SUM(J871:J872)</f>
        <v>0</v>
      </c>
      <c r="K873" s="188" t="s">
        <v>12</v>
      </c>
      <c r="L873" s="216"/>
    </row>
    <row r="874" spans="2:12" ht="15" customHeight="1" thickBot="1" x14ac:dyDescent="0.25">
      <c r="B874" s="47">
        <f t="shared" si="338"/>
        <v>669</v>
      </c>
      <c r="C874" s="47">
        <f t="shared" si="339"/>
        <v>669</v>
      </c>
      <c r="D874" s="47">
        <f t="shared" si="339"/>
        <v>0</v>
      </c>
      <c r="E874" s="47">
        <f t="shared" si="340"/>
        <v>0</v>
      </c>
      <c r="F874" s="47">
        <v>0</v>
      </c>
      <c r="G874" s="47">
        <v>0</v>
      </c>
      <c r="H874" s="47">
        <f t="shared" si="341"/>
        <v>669</v>
      </c>
      <c r="I874" s="47">
        <v>669</v>
      </c>
      <c r="J874" s="47">
        <v>0</v>
      </c>
      <c r="K874" s="188" t="s">
        <v>233</v>
      </c>
      <c r="L874" s="215"/>
    </row>
    <row r="875" spans="2:12" ht="15" customHeight="1" thickBot="1" x14ac:dyDescent="0.25">
      <c r="B875" s="47">
        <f t="shared" si="338"/>
        <v>209</v>
      </c>
      <c r="C875" s="47">
        <f t="shared" si="339"/>
        <v>209</v>
      </c>
      <c r="D875" s="47">
        <f t="shared" si="339"/>
        <v>0</v>
      </c>
      <c r="E875" s="47">
        <f t="shared" si="340"/>
        <v>0</v>
      </c>
      <c r="F875" s="47">
        <v>0</v>
      </c>
      <c r="G875" s="47">
        <v>0</v>
      </c>
      <c r="H875" s="47">
        <f t="shared" si="341"/>
        <v>209</v>
      </c>
      <c r="I875" s="47">
        <v>209</v>
      </c>
      <c r="J875" s="47">
        <v>0</v>
      </c>
      <c r="K875" s="188" t="s">
        <v>234</v>
      </c>
      <c r="L875" s="215" t="s">
        <v>543</v>
      </c>
    </row>
    <row r="876" spans="2:12" ht="15" customHeight="1" thickBot="1" x14ac:dyDescent="0.25">
      <c r="B876" s="47">
        <f t="shared" ref="B876:I876" si="356">SUM(B874:B875)</f>
        <v>878</v>
      </c>
      <c r="C876" s="47">
        <f t="shared" si="356"/>
        <v>878</v>
      </c>
      <c r="D876" s="47">
        <f t="shared" si="356"/>
        <v>0</v>
      </c>
      <c r="E876" s="47">
        <f t="shared" si="356"/>
        <v>0</v>
      </c>
      <c r="F876" s="47">
        <f t="shared" si="356"/>
        <v>0</v>
      </c>
      <c r="G876" s="47">
        <f t="shared" si="356"/>
        <v>0</v>
      </c>
      <c r="H876" s="47">
        <f t="shared" si="356"/>
        <v>878</v>
      </c>
      <c r="I876" s="47">
        <f t="shared" si="356"/>
        <v>878</v>
      </c>
      <c r="J876" s="47">
        <f>SUM(J874:J875)</f>
        <v>0</v>
      </c>
      <c r="K876" s="188" t="s">
        <v>12</v>
      </c>
      <c r="L876" s="216"/>
    </row>
    <row r="877" spans="2:12" ht="15" customHeight="1" thickBot="1" x14ac:dyDescent="0.25">
      <c r="B877" s="47">
        <f t="shared" si="338"/>
        <v>672</v>
      </c>
      <c r="C877" s="47">
        <f t="shared" si="339"/>
        <v>672</v>
      </c>
      <c r="D877" s="47">
        <f t="shared" si="339"/>
        <v>0</v>
      </c>
      <c r="E877" s="47">
        <f t="shared" si="340"/>
        <v>0</v>
      </c>
      <c r="F877" s="47">
        <v>0</v>
      </c>
      <c r="G877" s="47">
        <v>0</v>
      </c>
      <c r="H877" s="47">
        <f t="shared" si="341"/>
        <v>672</v>
      </c>
      <c r="I877" s="47">
        <v>672</v>
      </c>
      <c r="J877" s="47">
        <v>0</v>
      </c>
      <c r="K877" s="188" t="s">
        <v>233</v>
      </c>
      <c r="L877" s="215"/>
    </row>
    <row r="878" spans="2:12" ht="15" customHeight="1" thickBot="1" x14ac:dyDescent="0.25">
      <c r="B878" s="47">
        <f t="shared" si="338"/>
        <v>273</v>
      </c>
      <c r="C878" s="47">
        <f t="shared" si="339"/>
        <v>273</v>
      </c>
      <c r="D878" s="47">
        <f t="shared" si="339"/>
        <v>0</v>
      </c>
      <c r="E878" s="47">
        <f t="shared" si="340"/>
        <v>3</v>
      </c>
      <c r="F878" s="47">
        <v>3</v>
      </c>
      <c r="G878" s="47">
        <v>0</v>
      </c>
      <c r="H878" s="47">
        <f t="shared" si="341"/>
        <v>270</v>
      </c>
      <c r="I878" s="47">
        <v>270</v>
      </c>
      <c r="J878" s="47">
        <v>0</v>
      </c>
      <c r="K878" s="188" t="s">
        <v>234</v>
      </c>
      <c r="L878" s="215" t="s">
        <v>544</v>
      </c>
    </row>
    <row r="879" spans="2:12" ht="15" customHeight="1" thickBot="1" x14ac:dyDescent="0.25">
      <c r="B879" s="47">
        <f t="shared" ref="B879:I879" si="357">SUM(B877:B878)</f>
        <v>945</v>
      </c>
      <c r="C879" s="47">
        <f t="shared" si="357"/>
        <v>945</v>
      </c>
      <c r="D879" s="47">
        <f t="shared" si="357"/>
        <v>0</v>
      </c>
      <c r="E879" s="47">
        <f t="shared" si="357"/>
        <v>3</v>
      </c>
      <c r="F879" s="47">
        <f t="shared" si="357"/>
        <v>3</v>
      </c>
      <c r="G879" s="47">
        <f t="shared" si="357"/>
        <v>0</v>
      </c>
      <c r="H879" s="47">
        <f t="shared" si="357"/>
        <v>942</v>
      </c>
      <c r="I879" s="47">
        <f t="shared" si="357"/>
        <v>942</v>
      </c>
      <c r="J879" s="47">
        <f>SUM(J877:J878)</f>
        <v>0</v>
      </c>
      <c r="K879" s="188" t="s">
        <v>12</v>
      </c>
      <c r="L879" s="216"/>
    </row>
    <row r="880" spans="2:12" ht="15" customHeight="1" thickBot="1" x14ac:dyDescent="0.25">
      <c r="B880" s="47">
        <f t="shared" si="338"/>
        <v>299</v>
      </c>
      <c r="C880" s="47">
        <f t="shared" si="339"/>
        <v>299</v>
      </c>
      <c r="D880" s="47">
        <f t="shared" si="339"/>
        <v>0</v>
      </c>
      <c r="E880" s="47">
        <f t="shared" si="340"/>
        <v>0</v>
      </c>
      <c r="F880" s="47">
        <v>0</v>
      </c>
      <c r="G880" s="47">
        <v>0</v>
      </c>
      <c r="H880" s="47">
        <f t="shared" si="341"/>
        <v>299</v>
      </c>
      <c r="I880" s="47">
        <v>299</v>
      </c>
      <c r="J880" s="47">
        <v>0</v>
      </c>
      <c r="K880" s="188" t="s">
        <v>233</v>
      </c>
      <c r="L880" s="215"/>
    </row>
    <row r="881" spans="2:12" ht="15" customHeight="1" thickBot="1" x14ac:dyDescent="0.25">
      <c r="B881" s="47">
        <f t="shared" si="338"/>
        <v>10</v>
      </c>
      <c r="C881" s="47">
        <f t="shared" si="339"/>
        <v>10</v>
      </c>
      <c r="D881" s="47">
        <f t="shared" si="339"/>
        <v>0</v>
      </c>
      <c r="E881" s="47">
        <f t="shared" si="340"/>
        <v>0</v>
      </c>
      <c r="F881" s="47">
        <v>0</v>
      </c>
      <c r="G881" s="47">
        <v>0</v>
      </c>
      <c r="H881" s="47">
        <f t="shared" si="341"/>
        <v>10</v>
      </c>
      <c r="I881" s="47">
        <v>10</v>
      </c>
      <c r="J881" s="47">
        <v>0</v>
      </c>
      <c r="K881" s="188" t="s">
        <v>234</v>
      </c>
      <c r="L881" s="215" t="s">
        <v>545</v>
      </c>
    </row>
    <row r="882" spans="2:12" ht="15" customHeight="1" thickBot="1" x14ac:dyDescent="0.25">
      <c r="B882" s="47">
        <f t="shared" ref="B882:I882" si="358">SUM(B880:B881)</f>
        <v>309</v>
      </c>
      <c r="C882" s="47">
        <f t="shared" si="358"/>
        <v>309</v>
      </c>
      <c r="D882" s="47">
        <f t="shared" si="358"/>
        <v>0</v>
      </c>
      <c r="E882" s="47">
        <f t="shared" si="358"/>
        <v>0</v>
      </c>
      <c r="F882" s="47">
        <f t="shared" si="358"/>
        <v>0</v>
      </c>
      <c r="G882" s="47">
        <f t="shared" si="358"/>
        <v>0</v>
      </c>
      <c r="H882" s="47">
        <f t="shared" si="358"/>
        <v>309</v>
      </c>
      <c r="I882" s="47">
        <f t="shared" si="358"/>
        <v>309</v>
      </c>
      <c r="J882" s="47">
        <f>SUM(J880:J881)</f>
        <v>0</v>
      </c>
      <c r="K882" s="188" t="s">
        <v>12</v>
      </c>
      <c r="L882" s="216"/>
    </row>
    <row r="883" spans="2:12" ht="15" customHeight="1" thickBot="1" x14ac:dyDescent="0.25">
      <c r="B883" s="47">
        <f t="shared" si="338"/>
        <v>210</v>
      </c>
      <c r="C883" s="47">
        <f t="shared" si="339"/>
        <v>210</v>
      </c>
      <c r="D883" s="47">
        <f t="shared" si="339"/>
        <v>0</v>
      </c>
      <c r="E883" s="47">
        <f t="shared" si="340"/>
        <v>0</v>
      </c>
      <c r="F883" s="47">
        <v>0</v>
      </c>
      <c r="G883" s="47">
        <v>0</v>
      </c>
      <c r="H883" s="47">
        <f t="shared" si="341"/>
        <v>210</v>
      </c>
      <c r="I883" s="47">
        <v>210</v>
      </c>
      <c r="J883" s="47">
        <v>0</v>
      </c>
      <c r="K883" s="188" t="s">
        <v>233</v>
      </c>
      <c r="L883" s="215"/>
    </row>
    <row r="884" spans="2:12" ht="15" customHeight="1" thickBot="1" x14ac:dyDescent="0.25">
      <c r="B884" s="47">
        <f t="shared" si="338"/>
        <v>0</v>
      </c>
      <c r="C884" s="47">
        <f t="shared" si="339"/>
        <v>0</v>
      </c>
      <c r="D884" s="47">
        <f t="shared" si="339"/>
        <v>0</v>
      </c>
      <c r="E884" s="47">
        <f t="shared" si="340"/>
        <v>0</v>
      </c>
      <c r="F884" s="47">
        <v>0</v>
      </c>
      <c r="G884" s="47">
        <v>0</v>
      </c>
      <c r="H884" s="47">
        <f t="shared" si="341"/>
        <v>0</v>
      </c>
      <c r="I884" s="47">
        <v>0</v>
      </c>
      <c r="J884" s="47">
        <v>0</v>
      </c>
      <c r="K884" s="188" t="s">
        <v>234</v>
      </c>
      <c r="L884" s="215" t="s">
        <v>546</v>
      </c>
    </row>
    <row r="885" spans="2:12" ht="15" customHeight="1" thickBot="1" x14ac:dyDescent="0.25">
      <c r="B885" s="47">
        <f t="shared" ref="B885:I885" si="359">SUM(B883:B884)</f>
        <v>210</v>
      </c>
      <c r="C885" s="47">
        <f t="shared" si="359"/>
        <v>210</v>
      </c>
      <c r="D885" s="47">
        <f t="shared" si="359"/>
        <v>0</v>
      </c>
      <c r="E885" s="47">
        <f t="shared" si="359"/>
        <v>0</v>
      </c>
      <c r="F885" s="47">
        <f t="shared" si="359"/>
        <v>0</v>
      </c>
      <c r="G885" s="47">
        <f t="shared" si="359"/>
        <v>0</v>
      </c>
      <c r="H885" s="47">
        <f t="shared" si="359"/>
        <v>210</v>
      </c>
      <c r="I885" s="47">
        <f t="shared" si="359"/>
        <v>210</v>
      </c>
      <c r="J885" s="47">
        <f>SUM(J883:J884)</f>
        <v>0</v>
      </c>
      <c r="K885" s="188" t="s">
        <v>12</v>
      </c>
      <c r="L885" s="216"/>
    </row>
    <row r="886" spans="2:12" ht="15" customHeight="1" thickBot="1" x14ac:dyDescent="0.25">
      <c r="B886" s="47">
        <f t="shared" si="338"/>
        <v>428</v>
      </c>
      <c r="C886" s="47">
        <f t="shared" si="339"/>
        <v>428</v>
      </c>
      <c r="D886" s="47">
        <f t="shared" si="339"/>
        <v>0</v>
      </c>
      <c r="E886" s="47">
        <f t="shared" si="340"/>
        <v>0</v>
      </c>
      <c r="F886" s="47">
        <v>0</v>
      </c>
      <c r="G886" s="47">
        <v>0</v>
      </c>
      <c r="H886" s="47">
        <f t="shared" si="341"/>
        <v>428</v>
      </c>
      <c r="I886" s="47">
        <v>428</v>
      </c>
      <c r="J886" s="47">
        <v>0</v>
      </c>
      <c r="K886" s="188" t="s">
        <v>233</v>
      </c>
      <c r="L886" s="215"/>
    </row>
    <row r="887" spans="2:12" ht="15" customHeight="1" thickBot="1" x14ac:dyDescent="0.25">
      <c r="B887" s="47">
        <f t="shared" si="338"/>
        <v>243</v>
      </c>
      <c r="C887" s="47">
        <f t="shared" si="339"/>
        <v>243</v>
      </c>
      <c r="D887" s="47">
        <f t="shared" si="339"/>
        <v>0</v>
      </c>
      <c r="E887" s="47">
        <f t="shared" si="340"/>
        <v>0</v>
      </c>
      <c r="F887" s="47">
        <v>0</v>
      </c>
      <c r="G887" s="47">
        <v>0</v>
      </c>
      <c r="H887" s="47">
        <f t="shared" si="341"/>
        <v>243</v>
      </c>
      <c r="I887" s="47">
        <v>243</v>
      </c>
      <c r="J887" s="47">
        <v>0</v>
      </c>
      <c r="K887" s="188" t="s">
        <v>234</v>
      </c>
      <c r="L887" s="215" t="s">
        <v>547</v>
      </c>
    </row>
    <row r="888" spans="2:12" ht="15" customHeight="1" thickBot="1" x14ac:dyDescent="0.25">
      <c r="B888" s="47">
        <f t="shared" ref="B888:I888" si="360">SUM(B886:B887)</f>
        <v>671</v>
      </c>
      <c r="C888" s="47">
        <f t="shared" si="360"/>
        <v>671</v>
      </c>
      <c r="D888" s="47">
        <f t="shared" si="360"/>
        <v>0</v>
      </c>
      <c r="E888" s="47">
        <f t="shared" si="360"/>
        <v>0</v>
      </c>
      <c r="F888" s="47">
        <f t="shared" si="360"/>
        <v>0</v>
      </c>
      <c r="G888" s="47">
        <f t="shared" si="360"/>
        <v>0</v>
      </c>
      <c r="H888" s="47">
        <f t="shared" si="360"/>
        <v>671</v>
      </c>
      <c r="I888" s="47">
        <f t="shared" si="360"/>
        <v>671</v>
      </c>
      <c r="J888" s="47">
        <f>SUM(J886:J887)</f>
        <v>0</v>
      </c>
      <c r="K888" s="188" t="s">
        <v>12</v>
      </c>
      <c r="L888" s="216"/>
    </row>
    <row r="889" spans="2:12" ht="15" customHeight="1" thickBot="1" x14ac:dyDescent="0.25">
      <c r="B889" s="47">
        <f t="shared" si="338"/>
        <v>440</v>
      </c>
      <c r="C889" s="47">
        <f t="shared" si="339"/>
        <v>440</v>
      </c>
      <c r="D889" s="47">
        <f t="shared" si="339"/>
        <v>0</v>
      </c>
      <c r="E889" s="47">
        <f t="shared" si="340"/>
        <v>0</v>
      </c>
      <c r="F889" s="47">
        <v>0</v>
      </c>
      <c r="G889" s="47">
        <v>0</v>
      </c>
      <c r="H889" s="47">
        <f t="shared" si="341"/>
        <v>440</v>
      </c>
      <c r="I889" s="47">
        <v>440</v>
      </c>
      <c r="J889" s="47">
        <v>0</v>
      </c>
      <c r="K889" s="188" t="s">
        <v>233</v>
      </c>
      <c r="L889" s="215"/>
    </row>
    <row r="890" spans="2:12" ht="15" customHeight="1" thickBot="1" x14ac:dyDescent="0.25">
      <c r="B890" s="47">
        <f t="shared" si="338"/>
        <v>0</v>
      </c>
      <c r="C890" s="47">
        <f t="shared" si="339"/>
        <v>0</v>
      </c>
      <c r="D890" s="47">
        <f t="shared" si="339"/>
        <v>0</v>
      </c>
      <c r="E890" s="47">
        <f t="shared" si="340"/>
        <v>0</v>
      </c>
      <c r="F890" s="47">
        <v>0</v>
      </c>
      <c r="G890" s="47">
        <v>0</v>
      </c>
      <c r="H890" s="47">
        <f t="shared" si="341"/>
        <v>0</v>
      </c>
      <c r="I890" s="47">
        <v>0</v>
      </c>
      <c r="J890" s="47">
        <v>0</v>
      </c>
      <c r="K890" s="188" t="s">
        <v>234</v>
      </c>
      <c r="L890" s="215" t="s">
        <v>548</v>
      </c>
    </row>
    <row r="891" spans="2:12" ht="15" customHeight="1" thickBot="1" x14ac:dyDescent="0.25">
      <c r="B891" s="47">
        <f t="shared" ref="B891:I891" si="361">SUM(B889:B890)</f>
        <v>440</v>
      </c>
      <c r="C891" s="47">
        <f t="shared" si="361"/>
        <v>440</v>
      </c>
      <c r="D891" s="47">
        <f t="shared" si="361"/>
        <v>0</v>
      </c>
      <c r="E891" s="47">
        <f t="shared" si="361"/>
        <v>0</v>
      </c>
      <c r="F891" s="47">
        <f t="shared" si="361"/>
        <v>0</v>
      </c>
      <c r="G891" s="47">
        <f t="shared" si="361"/>
        <v>0</v>
      </c>
      <c r="H891" s="47">
        <f t="shared" si="361"/>
        <v>440</v>
      </c>
      <c r="I891" s="47">
        <f t="shared" si="361"/>
        <v>440</v>
      </c>
      <c r="J891" s="47">
        <f>SUM(J889:J890)</f>
        <v>0</v>
      </c>
      <c r="K891" s="188" t="s">
        <v>12</v>
      </c>
      <c r="L891" s="216"/>
    </row>
    <row r="892" spans="2:12" ht="15" customHeight="1" thickBot="1" x14ac:dyDescent="0.25">
      <c r="B892" s="47">
        <f t="shared" si="338"/>
        <v>969</v>
      </c>
      <c r="C892" s="47">
        <f t="shared" si="339"/>
        <v>969</v>
      </c>
      <c r="D892" s="47">
        <f t="shared" si="339"/>
        <v>0</v>
      </c>
      <c r="E892" s="47">
        <f t="shared" si="340"/>
        <v>4</v>
      </c>
      <c r="F892" s="47">
        <v>4</v>
      </c>
      <c r="G892" s="47">
        <v>0</v>
      </c>
      <c r="H892" s="47">
        <f t="shared" si="341"/>
        <v>965</v>
      </c>
      <c r="I892" s="47">
        <v>965</v>
      </c>
      <c r="J892" s="47">
        <v>0</v>
      </c>
      <c r="K892" s="188" t="s">
        <v>233</v>
      </c>
      <c r="L892" s="215"/>
    </row>
    <row r="893" spans="2:12" ht="15" customHeight="1" thickBot="1" x14ac:dyDescent="0.25">
      <c r="B893" s="47">
        <f t="shared" si="338"/>
        <v>494</v>
      </c>
      <c r="C893" s="47">
        <f t="shared" si="339"/>
        <v>494</v>
      </c>
      <c r="D893" s="47">
        <f t="shared" si="339"/>
        <v>0</v>
      </c>
      <c r="E893" s="47">
        <f t="shared" si="340"/>
        <v>0</v>
      </c>
      <c r="F893" s="47">
        <v>0</v>
      </c>
      <c r="G893" s="47">
        <v>0</v>
      </c>
      <c r="H893" s="47">
        <f t="shared" si="341"/>
        <v>494</v>
      </c>
      <c r="I893" s="47">
        <v>494</v>
      </c>
      <c r="J893" s="47">
        <v>0</v>
      </c>
      <c r="K893" s="188" t="s">
        <v>234</v>
      </c>
      <c r="L893" s="215" t="s">
        <v>549</v>
      </c>
    </row>
    <row r="894" spans="2:12" ht="15" customHeight="1" thickBot="1" x14ac:dyDescent="0.25">
      <c r="B894" s="47">
        <f t="shared" ref="B894:I894" si="362">SUM(B892:B893)</f>
        <v>1463</v>
      </c>
      <c r="C894" s="47">
        <f t="shared" si="362"/>
        <v>1463</v>
      </c>
      <c r="D894" s="47">
        <f t="shared" si="362"/>
        <v>0</v>
      </c>
      <c r="E894" s="47">
        <f t="shared" si="362"/>
        <v>4</v>
      </c>
      <c r="F894" s="47">
        <f t="shared" si="362"/>
        <v>4</v>
      </c>
      <c r="G894" s="47">
        <f t="shared" si="362"/>
        <v>0</v>
      </c>
      <c r="H894" s="47">
        <f t="shared" si="362"/>
        <v>1459</v>
      </c>
      <c r="I894" s="47">
        <f t="shared" si="362"/>
        <v>1459</v>
      </c>
      <c r="J894" s="47">
        <f>SUM(J892:J893)</f>
        <v>0</v>
      </c>
      <c r="K894" s="188" t="s">
        <v>12</v>
      </c>
      <c r="L894" s="216"/>
    </row>
    <row r="895" spans="2:12" ht="15" customHeight="1" thickBot="1" x14ac:dyDescent="0.25">
      <c r="B895" s="47">
        <f t="shared" si="338"/>
        <v>362</v>
      </c>
      <c r="C895" s="47">
        <f t="shared" si="339"/>
        <v>362</v>
      </c>
      <c r="D895" s="47">
        <f t="shared" si="339"/>
        <v>0</v>
      </c>
      <c r="E895" s="47">
        <f t="shared" si="340"/>
        <v>0</v>
      </c>
      <c r="F895" s="47">
        <v>0</v>
      </c>
      <c r="G895" s="47">
        <v>0</v>
      </c>
      <c r="H895" s="47">
        <f t="shared" si="341"/>
        <v>362</v>
      </c>
      <c r="I895" s="47">
        <v>362</v>
      </c>
      <c r="J895" s="47">
        <v>0</v>
      </c>
      <c r="K895" s="188" t="s">
        <v>233</v>
      </c>
      <c r="L895" s="215"/>
    </row>
    <row r="896" spans="2:12" ht="15" customHeight="1" thickBot="1" x14ac:dyDescent="0.25">
      <c r="B896" s="47">
        <f t="shared" si="338"/>
        <v>0</v>
      </c>
      <c r="C896" s="47">
        <f t="shared" si="339"/>
        <v>0</v>
      </c>
      <c r="D896" s="47">
        <f t="shared" si="339"/>
        <v>0</v>
      </c>
      <c r="E896" s="47">
        <f t="shared" si="340"/>
        <v>0</v>
      </c>
      <c r="F896" s="47">
        <v>0</v>
      </c>
      <c r="G896" s="47">
        <v>0</v>
      </c>
      <c r="H896" s="47">
        <f t="shared" si="341"/>
        <v>0</v>
      </c>
      <c r="I896" s="47">
        <v>0</v>
      </c>
      <c r="J896" s="47">
        <v>0</v>
      </c>
      <c r="K896" s="188" t="s">
        <v>234</v>
      </c>
      <c r="L896" s="215" t="s">
        <v>550</v>
      </c>
    </row>
    <row r="897" spans="2:12" ht="15" customHeight="1" thickBot="1" x14ac:dyDescent="0.25">
      <c r="B897" s="47">
        <f t="shared" ref="B897:I897" si="363">SUM(B895:B896)</f>
        <v>362</v>
      </c>
      <c r="C897" s="47">
        <f t="shared" si="363"/>
        <v>362</v>
      </c>
      <c r="D897" s="47">
        <f t="shared" si="363"/>
        <v>0</v>
      </c>
      <c r="E897" s="47">
        <f t="shared" si="363"/>
        <v>0</v>
      </c>
      <c r="F897" s="47">
        <f t="shared" si="363"/>
        <v>0</v>
      </c>
      <c r="G897" s="47">
        <f t="shared" si="363"/>
        <v>0</v>
      </c>
      <c r="H897" s="47">
        <f t="shared" si="363"/>
        <v>362</v>
      </c>
      <c r="I897" s="47">
        <f t="shared" si="363"/>
        <v>362</v>
      </c>
      <c r="J897" s="47">
        <f>SUM(J895:J896)</f>
        <v>0</v>
      </c>
      <c r="K897" s="188" t="s">
        <v>12</v>
      </c>
      <c r="L897" s="216"/>
    </row>
    <row r="898" spans="2:12" ht="15" customHeight="1" thickBot="1" x14ac:dyDescent="0.25">
      <c r="B898" s="47">
        <f t="shared" ref="B898:B926" si="364">SUM(C898:D898)</f>
        <v>334</v>
      </c>
      <c r="C898" s="47">
        <f t="shared" ref="C898:D926" si="365">I898+F898</f>
        <v>334</v>
      </c>
      <c r="D898" s="47">
        <f t="shared" si="365"/>
        <v>0</v>
      </c>
      <c r="E898" s="47">
        <f t="shared" ref="E898:E926" si="366">SUM(F898:G898)</f>
        <v>0</v>
      </c>
      <c r="F898" s="47">
        <v>0</v>
      </c>
      <c r="G898" s="47">
        <v>0</v>
      </c>
      <c r="H898" s="47">
        <f t="shared" ref="H898:H926" si="367">SUM(I898:J898)</f>
        <v>334</v>
      </c>
      <c r="I898" s="47">
        <v>334</v>
      </c>
      <c r="J898" s="47">
        <v>0</v>
      </c>
      <c r="K898" s="188" t="s">
        <v>233</v>
      </c>
      <c r="L898" s="215"/>
    </row>
    <row r="899" spans="2:12" ht="15" customHeight="1" thickBot="1" x14ac:dyDescent="0.25">
      <c r="B899" s="47">
        <f t="shared" si="364"/>
        <v>31</v>
      </c>
      <c r="C899" s="47">
        <f t="shared" si="365"/>
        <v>31</v>
      </c>
      <c r="D899" s="47">
        <f t="shared" si="365"/>
        <v>0</v>
      </c>
      <c r="E899" s="47">
        <f t="shared" si="366"/>
        <v>0</v>
      </c>
      <c r="F899" s="47">
        <v>0</v>
      </c>
      <c r="G899" s="47">
        <v>0</v>
      </c>
      <c r="H899" s="47">
        <f t="shared" si="367"/>
        <v>31</v>
      </c>
      <c r="I899" s="47">
        <v>31</v>
      </c>
      <c r="J899" s="47">
        <v>0</v>
      </c>
      <c r="K899" s="188" t="s">
        <v>234</v>
      </c>
      <c r="L899" s="215" t="s">
        <v>551</v>
      </c>
    </row>
    <row r="900" spans="2:12" ht="15" customHeight="1" thickBot="1" x14ac:dyDescent="0.25">
      <c r="B900" s="47">
        <f t="shared" ref="B900:I900" si="368">SUM(B898:B899)</f>
        <v>365</v>
      </c>
      <c r="C900" s="47">
        <f t="shared" si="368"/>
        <v>365</v>
      </c>
      <c r="D900" s="47">
        <f t="shared" si="368"/>
        <v>0</v>
      </c>
      <c r="E900" s="47">
        <f t="shared" si="368"/>
        <v>0</v>
      </c>
      <c r="F900" s="47">
        <f t="shared" si="368"/>
        <v>0</v>
      </c>
      <c r="G900" s="47">
        <f t="shared" si="368"/>
        <v>0</v>
      </c>
      <c r="H900" s="47">
        <f t="shared" si="368"/>
        <v>365</v>
      </c>
      <c r="I900" s="47">
        <f t="shared" si="368"/>
        <v>365</v>
      </c>
      <c r="J900" s="47">
        <f>SUM(J898:J899)</f>
        <v>0</v>
      </c>
      <c r="K900" s="188" t="s">
        <v>12</v>
      </c>
      <c r="L900" s="216"/>
    </row>
    <row r="901" spans="2:12" ht="15" customHeight="1" thickBot="1" x14ac:dyDescent="0.25">
      <c r="B901" s="47">
        <f t="shared" si="364"/>
        <v>678</v>
      </c>
      <c r="C901" s="47">
        <f t="shared" si="365"/>
        <v>678</v>
      </c>
      <c r="D901" s="47">
        <f t="shared" si="365"/>
        <v>0</v>
      </c>
      <c r="E901" s="47">
        <f t="shared" si="366"/>
        <v>0</v>
      </c>
      <c r="F901" s="47">
        <v>0</v>
      </c>
      <c r="G901" s="47">
        <v>0</v>
      </c>
      <c r="H901" s="47">
        <f t="shared" si="367"/>
        <v>678</v>
      </c>
      <c r="I901" s="47">
        <v>678</v>
      </c>
      <c r="J901" s="47">
        <v>0</v>
      </c>
      <c r="K901" s="188" t="s">
        <v>233</v>
      </c>
      <c r="L901" s="215"/>
    </row>
    <row r="902" spans="2:12" ht="15" customHeight="1" thickBot="1" x14ac:dyDescent="0.25">
      <c r="B902" s="47">
        <f t="shared" si="364"/>
        <v>265</v>
      </c>
      <c r="C902" s="47">
        <f t="shared" si="365"/>
        <v>265</v>
      </c>
      <c r="D902" s="47">
        <f t="shared" si="365"/>
        <v>0</v>
      </c>
      <c r="E902" s="47">
        <f t="shared" si="366"/>
        <v>0</v>
      </c>
      <c r="F902" s="47">
        <v>0</v>
      </c>
      <c r="G902" s="47">
        <v>0</v>
      </c>
      <c r="H902" s="47">
        <f t="shared" si="367"/>
        <v>265</v>
      </c>
      <c r="I902" s="47">
        <v>265</v>
      </c>
      <c r="J902" s="47">
        <v>0</v>
      </c>
      <c r="K902" s="188" t="s">
        <v>234</v>
      </c>
      <c r="L902" s="215" t="s">
        <v>552</v>
      </c>
    </row>
    <row r="903" spans="2:12" ht="15" customHeight="1" thickBot="1" x14ac:dyDescent="0.25">
      <c r="B903" s="47">
        <f t="shared" ref="B903:I903" si="369">SUM(B901:B902)</f>
        <v>943</v>
      </c>
      <c r="C903" s="47">
        <f t="shared" si="369"/>
        <v>943</v>
      </c>
      <c r="D903" s="47">
        <f t="shared" si="369"/>
        <v>0</v>
      </c>
      <c r="E903" s="47">
        <f t="shared" si="369"/>
        <v>0</v>
      </c>
      <c r="F903" s="47">
        <f t="shared" si="369"/>
        <v>0</v>
      </c>
      <c r="G903" s="47">
        <f t="shared" si="369"/>
        <v>0</v>
      </c>
      <c r="H903" s="47">
        <f t="shared" si="369"/>
        <v>943</v>
      </c>
      <c r="I903" s="47">
        <f t="shared" si="369"/>
        <v>943</v>
      </c>
      <c r="J903" s="47">
        <f>SUM(J901:J902)</f>
        <v>0</v>
      </c>
      <c r="K903" s="188" t="s">
        <v>12</v>
      </c>
      <c r="L903" s="216"/>
    </row>
    <row r="904" spans="2:12" ht="15" customHeight="1" thickBot="1" x14ac:dyDescent="0.25">
      <c r="B904" s="47">
        <f t="shared" si="364"/>
        <v>494</v>
      </c>
      <c r="C904" s="47">
        <f t="shared" si="365"/>
        <v>494</v>
      </c>
      <c r="D904" s="47">
        <f t="shared" si="365"/>
        <v>0</v>
      </c>
      <c r="E904" s="47">
        <f t="shared" si="366"/>
        <v>0</v>
      </c>
      <c r="F904" s="47">
        <v>0</v>
      </c>
      <c r="G904" s="47">
        <v>0</v>
      </c>
      <c r="H904" s="47">
        <f t="shared" si="367"/>
        <v>494</v>
      </c>
      <c r="I904" s="47">
        <v>494</v>
      </c>
      <c r="J904" s="47">
        <v>0</v>
      </c>
      <c r="K904" s="188" t="s">
        <v>233</v>
      </c>
      <c r="L904" s="215"/>
    </row>
    <row r="905" spans="2:12" ht="15" customHeight="1" thickBot="1" x14ac:dyDescent="0.25">
      <c r="B905" s="47">
        <f t="shared" si="364"/>
        <v>0</v>
      </c>
      <c r="C905" s="47">
        <f t="shared" si="365"/>
        <v>0</v>
      </c>
      <c r="D905" s="47">
        <f t="shared" si="365"/>
        <v>0</v>
      </c>
      <c r="E905" s="47">
        <f t="shared" si="366"/>
        <v>0</v>
      </c>
      <c r="F905" s="47">
        <v>0</v>
      </c>
      <c r="G905" s="47">
        <v>0</v>
      </c>
      <c r="H905" s="47">
        <f t="shared" si="367"/>
        <v>0</v>
      </c>
      <c r="I905" s="47">
        <v>0</v>
      </c>
      <c r="J905" s="47">
        <v>0</v>
      </c>
      <c r="K905" s="188" t="s">
        <v>234</v>
      </c>
      <c r="L905" s="215" t="s">
        <v>455</v>
      </c>
    </row>
    <row r="906" spans="2:12" ht="15" customHeight="1" thickBot="1" x14ac:dyDescent="0.25">
      <c r="B906" s="47">
        <f t="shared" ref="B906:I906" si="370">SUM(B904:B905)</f>
        <v>494</v>
      </c>
      <c r="C906" s="47">
        <f t="shared" si="370"/>
        <v>494</v>
      </c>
      <c r="D906" s="47">
        <f t="shared" si="370"/>
        <v>0</v>
      </c>
      <c r="E906" s="47">
        <f t="shared" si="370"/>
        <v>0</v>
      </c>
      <c r="F906" s="47">
        <f t="shared" si="370"/>
        <v>0</v>
      </c>
      <c r="G906" s="47">
        <f t="shared" si="370"/>
        <v>0</v>
      </c>
      <c r="H906" s="47">
        <f t="shared" si="370"/>
        <v>494</v>
      </c>
      <c r="I906" s="47">
        <f t="shared" si="370"/>
        <v>494</v>
      </c>
      <c r="J906" s="47">
        <f>SUM(J904:J905)</f>
        <v>0</v>
      </c>
      <c r="K906" s="188" t="s">
        <v>12</v>
      </c>
      <c r="L906" s="216"/>
    </row>
    <row r="907" spans="2:12" ht="15" customHeight="1" thickBot="1" x14ac:dyDescent="0.25">
      <c r="B907" s="47">
        <f t="shared" si="364"/>
        <v>204</v>
      </c>
      <c r="C907" s="47">
        <f t="shared" si="365"/>
        <v>204</v>
      </c>
      <c r="D907" s="47">
        <f t="shared" si="365"/>
        <v>0</v>
      </c>
      <c r="E907" s="47">
        <f t="shared" si="366"/>
        <v>0</v>
      </c>
      <c r="F907" s="47">
        <v>0</v>
      </c>
      <c r="G907" s="47">
        <v>0</v>
      </c>
      <c r="H907" s="47">
        <f t="shared" si="367"/>
        <v>204</v>
      </c>
      <c r="I907" s="47">
        <v>204</v>
      </c>
      <c r="J907" s="47">
        <v>0</v>
      </c>
      <c r="K907" s="188" t="s">
        <v>233</v>
      </c>
      <c r="L907" s="215"/>
    </row>
    <row r="908" spans="2:12" ht="15" customHeight="1" thickBot="1" x14ac:dyDescent="0.25">
      <c r="B908" s="47">
        <f t="shared" si="364"/>
        <v>0</v>
      </c>
      <c r="C908" s="47">
        <f t="shared" si="365"/>
        <v>0</v>
      </c>
      <c r="D908" s="47">
        <f t="shared" si="365"/>
        <v>0</v>
      </c>
      <c r="E908" s="47">
        <f t="shared" si="366"/>
        <v>0</v>
      </c>
      <c r="F908" s="47">
        <v>0</v>
      </c>
      <c r="G908" s="47">
        <v>0</v>
      </c>
      <c r="H908" s="47">
        <f t="shared" si="367"/>
        <v>0</v>
      </c>
      <c r="I908" s="47">
        <v>0</v>
      </c>
      <c r="J908" s="47">
        <v>0</v>
      </c>
      <c r="K908" s="188" t="s">
        <v>234</v>
      </c>
      <c r="L908" s="215" t="s">
        <v>553</v>
      </c>
    </row>
    <row r="909" spans="2:12" ht="15" customHeight="1" thickBot="1" x14ac:dyDescent="0.25">
      <c r="B909" s="47">
        <f t="shared" ref="B909:I909" si="371">SUM(B907:B908)</f>
        <v>204</v>
      </c>
      <c r="C909" s="47">
        <f t="shared" si="371"/>
        <v>204</v>
      </c>
      <c r="D909" s="47">
        <f t="shared" si="371"/>
        <v>0</v>
      </c>
      <c r="E909" s="47">
        <f t="shared" si="371"/>
        <v>0</v>
      </c>
      <c r="F909" s="47">
        <f t="shared" si="371"/>
        <v>0</v>
      </c>
      <c r="G909" s="47">
        <f t="shared" si="371"/>
        <v>0</v>
      </c>
      <c r="H909" s="47">
        <f t="shared" si="371"/>
        <v>204</v>
      </c>
      <c r="I909" s="47">
        <f t="shared" si="371"/>
        <v>204</v>
      </c>
      <c r="J909" s="47">
        <f>SUM(J907:J908)</f>
        <v>0</v>
      </c>
      <c r="K909" s="188" t="s">
        <v>12</v>
      </c>
      <c r="L909" s="216"/>
    </row>
    <row r="910" spans="2:12" ht="15" customHeight="1" thickBot="1" x14ac:dyDescent="0.25">
      <c r="B910" s="47">
        <f t="shared" si="364"/>
        <v>226</v>
      </c>
      <c r="C910" s="47">
        <f t="shared" si="365"/>
        <v>226</v>
      </c>
      <c r="D910" s="47">
        <f t="shared" si="365"/>
        <v>0</v>
      </c>
      <c r="E910" s="47">
        <f t="shared" si="366"/>
        <v>0</v>
      </c>
      <c r="F910" s="47">
        <v>0</v>
      </c>
      <c r="G910" s="47">
        <v>0</v>
      </c>
      <c r="H910" s="47">
        <f t="shared" si="367"/>
        <v>226</v>
      </c>
      <c r="I910" s="47">
        <v>226</v>
      </c>
      <c r="J910" s="47">
        <v>0</v>
      </c>
      <c r="K910" s="188" t="s">
        <v>233</v>
      </c>
      <c r="L910" s="215"/>
    </row>
    <row r="911" spans="2:12" ht="15" customHeight="1" thickBot="1" x14ac:dyDescent="0.25">
      <c r="B911" s="47">
        <f t="shared" si="364"/>
        <v>0</v>
      </c>
      <c r="C911" s="47">
        <f t="shared" si="365"/>
        <v>0</v>
      </c>
      <c r="D911" s="47">
        <f t="shared" si="365"/>
        <v>0</v>
      </c>
      <c r="E911" s="47">
        <f t="shared" si="366"/>
        <v>0</v>
      </c>
      <c r="F911" s="47">
        <v>0</v>
      </c>
      <c r="G911" s="47">
        <v>0</v>
      </c>
      <c r="H911" s="47">
        <f t="shared" si="367"/>
        <v>0</v>
      </c>
      <c r="I911" s="47">
        <v>0</v>
      </c>
      <c r="J911" s="47">
        <v>0</v>
      </c>
      <c r="K911" s="188" t="s">
        <v>234</v>
      </c>
      <c r="L911" s="215" t="s">
        <v>365</v>
      </c>
    </row>
    <row r="912" spans="2:12" ht="15" customHeight="1" thickBot="1" x14ac:dyDescent="0.25">
      <c r="B912" s="47">
        <f t="shared" ref="B912:I912" si="372">SUM(B910:B911)</f>
        <v>226</v>
      </c>
      <c r="C912" s="47">
        <f t="shared" si="372"/>
        <v>226</v>
      </c>
      <c r="D912" s="47">
        <f t="shared" si="372"/>
        <v>0</v>
      </c>
      <c r="E912" s="47">
        <f t="shared" si="372"/>
        <v>0</v>
      </c>
      <c r="F912" s="47">
        <f t="shared" si="372"/>
        <v>0</v>
      </c>
      <c r="G912" s="47">
        <f t="shared" si="372"/>
        <v>0</v>
      </c>
      <c r="H912" s="47">
        <f t="shared" si="372"/>
        <v>226</v>
      </c>
      <c r="I912" s="47">
        <f t="shared" si="372"/>
        <v>226</v>
      </c>
      <c r="J912" s="47">
        <f>SUM(J910:J911)</f>
        <v>0</v>
      </c>
      <c r="K912" s="188" t="s">
        <v>12</v>
      </c>
      <c r="L912" s="216"/>
    </row>
    <row r="913" spans="2:12" ht="15" customHeight="1" thickBot="1" x14ac:dyDescent="0.25">
      <c r="B913" s="47">
        <f t="shared" si="364"/>
        <v>184</v>
      </c>
      <c r="C913" s="47">
        <f t="shared" si="365"/>
        <v>184</v>
      </c>
      <c r="D913" s="47">
        <f t="shared" si="365"/>
        <v>0</v>
      </c>
      <c r="E913" s="47">
        <f t="shared" si="366"/>
        <v>0</v>
      </c>
      <c r="F913" s="47">
        <v>0</v>
      </c>
      <c r="G913" s="47">
        <v>0</v>
      </c>
      <c r="H913" s="47">
        <f t="shared" si="367"/>
        <v>184</v>
      </c>
      <c r="I913" s="47">
        <v>184</v>
      </c>
      <c r="J913" s="47">
        <v>0</v>
      </c>
      <c r="K913" s="188" t="s">
        <v>233</v>
      </c>
      <c r="L913" s="215"/>
    </row>
    <row r="914" spans="2:12" ht="15" customHeight="1" thickBot="1" x14ac:dyDescent="0.25">
      <c r="B914" s="47">
        <f t="shared" si="364"/>
        <v>0</v>
      </c>
      <c r="C914" s="47">
        <f t="shared" si="365"/>
        <v>0</v>
      </c>
      <c r="D914" s="47">
        <f t="shared" si="365"/>
        <v>0</v>
      </c>
      <c r="E914" s="47">
        <f t="shared" si="366"/>
        <v>0</v>
      </c>
      <c r="F914" s="47">
        <v>0</v>
      </c>
      <c r="G914" s="47">
        <v>0</v>
      </c>
      <c r="H914" s="47">
        <f t="shared" si="367"/>
        <v>0</v>
      </c>
      <c r="I914" s="47">
        <v>0</v>
      </c>
      <c r="J914" s="47">
        <v>0</v>
      </c>
      <c r="K914" s="188" t="s">
        <v>234</v>
      </c>
      <c r="L914" s="215" t="s">
        <v>554</v>
      </c>
    </row>
    <row r="915" spans="2:12" ht="15" customHeight="1" thickBot="1" x14ac:dyDescent="0.25">
      <c r="B915" s="47">
        <f t="shared" ref="B915:I915" si="373">SUM(B913:B914)</f>
        <v>184</v>
      </c>
      <c r="C915" s="47">
        <f t="shared" si="373"/>
        <v>184</v>
      </c>
      <c r="D915" s="47">
        <f t="shared" si="373"/>
        <v>0</v>
      </c>
      <c r="E915" s="47">
        <f t="shared" si="373"/>
        <v>0</v>
      </c>
      <c r="F915" s="47">
        <f t="shared" si="373"/>
        <v>0</v>
      </c>
      <c r="G915" s="47">
        <f t="shared" si="373"/>
        <v>0</v>
      </c>
      <c r="H915" s="47">
        <f t="shared" si="373"/>
        <v>184</v>
      </c>
      <c r="I915" s="47">
        <f t="shared" si="373"/>
        <v>184</v>
      </c>
      <c r="J915" s="47">
        <f>SUM(J913:J914)</f>
        <v>0</v>
      </c>
      <c r="K915" s="188" t="s">
        <v>12</v>
      </c>
      <c r="L915" s="216"/>
    </row>
    <row r="916" spans="2:12" ht="15" customHeight="1" thickBot="1" x14ac:dyDescent="0.25">
      <c r="B916" s="47">
        <f t="shared" si="364"/>
        <v>39</v>
      </c>
      <c r="C916" s="47">
        <f t="shared" si="365"/>
        <v>39</v>
      </c>
      <c r="D916" s="47">
        <f t="shared" si="365"/>
        <v>0</v>
      </c>
      <c r="E916" s="47">
        <f t="shared" si="366"/>
        <v>0</v>
      </c>
      <c r="F916" s="47">
        <v>0</v>
      </c>
      <c r="G916" s="47">
        <v>0</v>
      </c>
      <c r="H916" s="47">
        <f t="shared" si="367"/>
        <v>39</v>
      </c>
      <c r="I916" s="47">
        <v>39</v>
      </c>
      <c r="J916" s="47">
        <v>0</v>
      </c>
      <c r="K916" s="188" t="s">
        <v>233</v>
      </c>
      <c r="L916" s="215"/>
    </row>
    <row r="917" spans="2:12" ht="15" customHeight="1" thickBot="1" x14ac:dyDescent="0.25">
      <c r="B917" s="47">
        <f t="shared" si="364"/>
        <v>0</v>
      </c>
      <c r="C917" s="47">
        <f t="shared" si="365"/>
        <v>0</v>
      </c>
      <c r="D917" s="47">
        <f t="shared" si="365"/>
        <v>0</v>
      </c>
      <c r="E917" s="47">
        <f t="shared" si="366"/>
        <v>0</v>
      </c>
      <c r="F917" s="47">
        <v>0</v>
      </c>
      <c r="G917" s="47">
        <v>0</v>
      </c>
      <c r="H917" s="47">
        <f t="shared" si="367"/>
        <v>0</v>
      </c>
      <c r="I917" s="47">
        <v>0</v>
      </c>
      <c r="J917" s="47">
        <v>0</v>
      </c>
      <c r="K917" s="188" t="s">
        <v>234</v>
      </c>
      <c r="L917" s="215" t="s">
        <v>555</v>
      </c>
    </row>
    <row r="918" spans="2:12" ht="15" customHeight="1" thickBot="1" x14ac:dyDescent="0.25">
      <c r="B918" s="47">
        <f t="shared" ref="B918:I918" si="374">SUM(B916:B917)</f>
        <v>39</v>
      </c>
      <c r="C918" s="47">
        <f t="shared" si="374"/>
        <v>39</v>
      </c>
      <c r="D918" s="47">
        <f t="shared" si="374"/>
        <v>0</v>
      </c>
      <c r="E918" s="47">
        <f t="shared" si="374"/>
        <v>0</v>
      </c>
      <c r="F918" s="47">
        <f t="shared" si="374"/>
        <v>0</v>
      </c>
      <c r="G918" s="47">
        <f t="shared" si="374"/>
        <v>0</v>
      </c>
      <c r="H918" s="47">
        <f t="shared" si="374"/>
        <v>39</v>
      </c>
      <c r="I918" s="47">
        <f t="shared" si="374"/>
        <v>39</v>
      </c>
      <c r="J918" s="47">
        <f>SUM(J916:J917)</f>
        <v>0</v>
      </c>
      <c r="K918" s="188" t="s">
        <v>12</v>
      </c>
      <c r="L918" s="216"/>
    </row>
    <row r="919" spans="2:12" ht="15" customHeight="1" thickBot="1" x14ac:dyDescent="0.25">
      <c r="B919" s="47">
        <f t="shared" si="364"/>
        <v>39</v>
      </c>
      <c r="C919" s="47">
        <f t="shared" si="365"/>
        <v>39</v>
      </c>
      <c r="D919" s="47">
        <f t="shared" si="365"/>
        <v>0</v>
      </c>
      <c r="E919" s="47">
        <f t="shared" si="366"/>
        <v>0</v>
      </c>
      <c r="F919" s="47">
        <v>0</v>
      </c>
      <c r="G919" s="47">
        <v>0</v>
      </c>
      <c r="H919" s="47">
        <f t="shared" si="367"/>
        <v>39</v>
      </c>
      <c r="I919" s="47">
        <v>39</v>
      </c>
      <c r="J919" s="47">
        <v>0</v>
      </c>
      <c r="K919" s="188" t="s">
        <v>233</v>
      </c>
      <c r="L919" s="215"/>
    </row>
    <row r="920" spans="2:12" ht="15" customHeight="1" thickBot="1" x14ac:dyDescent="0.25">
      <c r="B920" s="47">
        <f t="shared" si="364"/>
        <v>0</v>
      </c>
      <c r="C920" s="47">
        <f t="shared" si="365"/>
        <v>0</v>
      </c>
      <c r="D920" s="47">
        <f t="shared" si="365"/>
        <v>0</v>
      </c>
      <c r="E920" s="47">
        <f t="shared" si="366"/>
        <v>0</v>
      </c>
      <c r="F920" s="47">
        <v>0</v>
      </c>
      <c r="G920" s="47">
        <v>0</v>
      </c>
      <c r="H920" s="47">
        <f t="shared" si="367"/>
        <v>0</v>
      </c>
      <c r="I920" s="47">
        <v>0</v>
      </c>
      <c r="J920" s="47">
        <v>0</v>
      </c>
      <c r="K920" s="188" t="s">
        <v>234</v>
      </c>
      <c r="L920" s="215" t="s">
        <v>556</v>
      </c>
    </row>
    <row r="921" spans="2:12" ht="15" customHeight="1" thickBot="1" x14ac:dyDescent="0.25">
      <c r="B921" s="47">
        <f t="shared" ref="B921:I921" si="375">SUM(B919:B920)</f>
        <v>39</v>
      </c>
      <c r="C921" s="47">
        <f t="shared" si="375"/>
        <v>39</v>
      </c>
      <c r="D921" s="47">
        <f t="shared" si="375"/>
        <v>0</v>
      </c>
      <c r="E921" s="47">
        <f t="shared" si="375"/>
        <v>0</v>
      </c>
      <c r="F921" s="47">
        <f t="shared" si="375"/>
        <v>0</v>
      </c>
      <c r="G921" s="47">
        <f t="shared" si="375"/>
        <v>0</v>
      </c>
      <c r="H921" s="47">
        <f t="shared" si="375"/>
        <v>39</v>
      </c>
      <c r="I921" s="47">
        <f t="shared" si="375"/>
        <v>39</v>
      </c>
      <c r="J921" s="47">
        <f>SUM(J919:J920)</f>
        <v>0</v>
      </c>
      <c r="K921" s="188" t="s">
        <v>12</v>
      </c>
      <c r="L921" s="216"/>
    </row>
    <row r="922" spans="2:12" ht="15" customHeight="1" thickBot="1" x14ac:dyDescent="0.25">
      <c r="B922" s="47">
        <f t="shared" si="364"/>
        <v>36</v>
      </c>
      <c r="C922" s="47">
        <f t="shared" si="365"/>
        <v>36</v>
      </c>
      <c r="D922" s="47">
        <f t="shared" si="365"/>
        <v>0</v>
      </c>
      <c r="E922" s="47">
        <f t="shared" si="366"/>
        <v>0</v>
      </c>
      <c r="F922" s="47">
        <v>0</v>
      </c>
      <c r="G922" s="47">
        <v>0</v>
      </c>
      <c r="H922" s="47">
        <f t="shared" si="367"/>
        <v>36</v>
      </c>
      <c r="I922" s="47">
        <v>36</v>
      </c>
      <c r="J922" s="47">
        <v>0</v>
      </c>
      <c r="K922" s="188" t="s">
        <v>233</v>
      </c>
      <c r="L922" s="215"/>
    </row>
    <row r="923" spans="2:12" ht="15" customHeight="1" thickBot="1" x14ac:dyDescent="0.25">
      <c r="B923" s="47">
        <f t="shared" si="364"/>
        <v>0</v>
      </c>
      <c r="C923" s="47">
        <f t="shared" si="365"/>
        <v>0</v>
      </c>
      <c r="D923" s="47">
        <f t="shared" si="365"/>
        <v>0</v>
      </c>
      <c r="E923" s="47">
        <f t="shared" si="366"/>
        <v>0</v>
      </c>
      <c r="F923" s="47">
        <v>0</v>
      </c>
      <c r="G923" s="47">
        <v>0</v>
      </c>
      <c r="H923" s="47">
        <f t="shared" si="367"/>
        <v>0</v>
      </c>
      <c r="I923" s="47">
        <v>0</v>
      </c>
      <c r="J923" s="47">
        <v>0</v>
      </c>
      <c r="K923" s="188" t="s">
        <v>234</v>
      </c>
      <c r="L923" s="215" t="s">
        <v>377</v>
      </c>
    </row>
    <row r="924" spans="2:12" ht="15" customHeight="1" thickBot="1" x14ac:dyDescent="0.25">
      <c r="B924" s="47">
        <f t="shared" ref="B924:I924" si="376">SUM(B922:B923)</f>
        <v>36</v>
      </c>
      <c r="C924" s="47">
        <f t="shared" si="376"/>
        <v>36</v>
      </c>
      <c r="D924" s="47">
        <f t="shared" si="376"/>
        <v>0</v>
      </c>
      <c r="E924" s="47">
        <f t="shared" si="376"/>
        <v>0</v>
      </c>
      <c r="F924" s="47">
        <f t="shared" si="376"/>
        <v>0</v>
      </c>
      <c r="G924" s="47">
        <f t="shared" si="376"/>
        <v>0</v>
      </c>
      <c r="H924" s="47">
        <f t="shared" si="376"/>
        <v>36</v>
      </c>
      <c r="I924" s="47">
        <f t="shared" si="376"/>
        <v>36</v>
      </c>
      <c r="J924" s="47">
        <f>SUM(J922:J923)</f>
        <v>0</v>
      </c>
      <c r="K924" s="188" t="s">
        <v>12</v>
      </c>
      <c r="L924" s="216"/>
    </row>
    <row r="925" spans="2:12" ht="15" customHeight="1" thickBot="1" x14ac:dyDescent="0.25">
      <c r="B925" s="47">
        <f t="shared" si="364"/>
        <v>227</v>
      </c>
      <c r="C925" s="47">
        <f t="shared" si="365"/>
        <v>227</v>
      </c>
      <c r="D925" s="47">
        <f t="shared" si="365"/>
        <v>0</v>
      </c>
      <c r="E925" s="47">
        <f t="shared" si="366"/>
        <v>0</v>
      </c>
      <c r="F925" s="47">
        <v>0</v>
      </c>
      <c r="G925" s="47">
        <v>0</v>
      </c>
      <c r="H925" s="47">
        <f t="shared" si="367"/>
        <v>227</v>
      </c>
      <c r="I925" s="47">
        <v>227</v>
      </c>
      <c r="J925" s="47">
        <v>0</v>
      </c>
      <c r="K925" s="188" t="s">
        <v>233</v>
      </c>
      <c r="L925" s="215"/>
    </row>
    <row r="926" spans="2:12" ht="15" customHeight="1" thickBot="1" x14ac:dyDescent="0.25">
      <c r="B926" s="47">
        <f t="shared" si="364"/>
        <v>0</v>
      </c>
      <c r="C926" s="47">
        <f t="shared" si="365"/>
        <v>0</v>
      </c>
      <c r="D926" s="47">
        <f t="shared" si="365"/>
        <v>0</v>
      </c>
      <c r="E926" s="47">
        <f t="shared" si="366"/>
        <v>0</v>
      </c>
      <c r="F926" s="47">
        <v>0</v>
      </c>
      <c r="G926" s="47">
        <v>0</v>
      </c>
      <c r="H926" s="47">
        <f t="shared" si="367"/>
        <v>0</v>
      </c>
      <c r="I926" s="47">
        <v>0</v>
      </c>
      <c r="J926" s="47">
        <v>0</v>
      </c>
      <c r="K926" s="188" t="s">
        <v>234</v>
      </c>
      <c r="L926" s="215" t="s">
        <v>557</v>
      </c>
    </row>
    <row r="927" spans="2:12" ht="15" customHeight="1" thickBot="1" x14ac:dyDescent="0.25">
      <c r="B927" s="47">
        <f t="shared" ref="B927:I927" si="377">SUM(B925:B926)</f>
        <v>227</v>
      </c>
      <c r="C927" s="47">
        <f t="shared" si="377"/>
        <v>227</v>
      </c>
      <c r="D927" s="47">
        <f t="shared" si="377"/>
        <v>0</v>
      </c>
      <c r="E927" s="47">
        <f t="shared" si="377"/>
        <v>0</v>
      </c>
      <c r="F927" s="47">
        <f t="shared" si="377"/>
        <v>0</v>
      </c>
      <c r="G927" s="47">
        <f t="shared" si="377"/>
        <v>0</v>
      </c>
      <c r="H927" s="47">
        <f t="shared" si="377"/>
        <v>227</v>
      </c>
      <c r="I927" s="47">
        <f t="shared" si="377"/>
        <v>227</v>
      </c>
      <c r="J927" s="47">
        <f>SUM(J925:J926)</f>
        <v>0</v>
      </c>
      <c r="K927" s="188" t="s">
        <v>12</v>
      </c>
      <c r="L927" s="216"/>
    </row>
    <row r="928" spans="2:12" ht="15" customHeight="1" thickBot="1" x14ac:dyDescent="0.25">
      <c r="B928" s="47">
        <f t="shared" ref="B928:J930" si="378">B832+B835+B838+B841+B844+B847+B850+B853+B856+B859+B862+B865+B868+B871+B874+B877+B880+B883+B886+B889+B892+B895+B898+B901+B904+B907+B910+B913+B916+B919+B922+B925</f>
        <v>14946</v>
      </c>
      <c r="C928" s="47">
        <f t="shared" si="378"/>
        <v>14946</v>
      </c>
      <c r="D928" s="47">
        <f t="shared" si="378"/>
        <v>0</v>
      </c>
      <c r="E928" s="47">
        <f t="shared" si="378"/>
        <v>42</v>
      </c>
      <c r="F928" s="47">
        <f t="shared" si="378"/>
        <v>42</v>
      </c>
      <c r="G928" s="47">
        <f t="shared" si="378"/>
        <v>0</v>
      </c>
      <c r="H928" s="47">
        <f t="shared" si="378"/>
        <v>14904</v>
      </c>
      <c r="I928" s="47">
        <f t="shared" si="378"/>
        <v>14904</v>
      </c>
      <c r="J928" s="47">
        <f>J832+J835+J838+J841+J844+J847+J850+J853+J856+J859+J862+J865+J868+J871+J874+J877+J880+J883+J886+J889+J892+J895+J898+J901+J904+J907+J910+J913+J916+J919+J922+J925</f>
        <v>0</v>
      </c>
      <c r="K928" s="188" t="s">
        <v>236</v>
      </c>
      <c r="L928" s="217"/>
    </row>
    <row r="929" spans="2:12" ht="15" customHeight="1" thickBot="1" x14ac:dyDescent="0.25">
      <c r="B929" s="47">
        <f t="shared" si="378"/>
        <v>3514</v>
      </c>
      <c r="C929" s="47">
        <f t="shared" si="378"/>
        <v>3514</v>
      </c>
      <c r="D929" s="47">
        <f t="shared" si="378"/>
        <v>0</v>
      </c>
      <c r="E929" s="47">
        <f t="shared" si="378"/>
        <v>20</v>
      </c>
      <c r="F929" s="47">
        <f t="shared" si="378"/>
        <v>20</v>
      </c>
      <c r="G929" s="47">
        <f t="shared" si="378"/>
        <v>0</v>
      </c>
      <c r="H929" s="47">
        <f t="shared" si="378"/>
        <v>3494</v>
      </c>
      <c r="I929" s="47">
        <f t="shared" si="378"/>
        <v>3494</v>
      </c>
      <c r="J929" s="47">
        <f t="shared" si="378"/>
        <v>0</v>
      </c>
      <c r="K929" s="188" t="s">
        <v>237</v>
      </c>
      <c r="L929" s="218" t="s">
        <v>188</v>
      </c>
    </row>
    <row r="930" spans="2:12" ht="15" customHeight="1" thickBot="1" x14ac:dyDescent="0.25">
      <c r="B930" s="47">
        <f t="shared" si="378"/>
        <v>18460</v>
      </c>
      <c r="C930" s="47">
        <f t="shared" si="378"/>
        <v>18460</v>
      </c>
      <c r="D930" s="47">
        <f t="shared" si="378"/>
        <v>0</v>
      </c>
      <c r="E930" s="47">
        <f t="shared" si="378"/>
        <v>62</v>
      </c>
      <c r="F930" s="47">
        <f t="shared" si="378"/>
        <v>62</v>
      </c>
      <c r="G930" s="47">
        <f t="shared" si="378"/>
        <v>0</v>
      </c>
      <c r="H930" s="47">
        <f t="shared" si="378"/>
        <v>18398</v>
      </c>
      <c r="I930" s="47">
        <f t="shared" si="378"/>
        <v>18398</v>
      </c>
      <c r="J930" s="47">
        <f t="shared" si="378"/>
        <v>0</v>
      </c>
      <c r="K930" s="188" t="s">
        <v>12</v>
      </c>
      <c r="L930" s="219"/>
    </row>
    <row r="931" spans="2:12" ht="15" customHeight="1" thickBot="1" x14ac:dyDescent="0.25">
      <c r="B931" s="476" t="s">
        <v>4</v>
      </c>
      <c r="C931" s="476"/>
      <c r="D931" s="476"/>
      <c r="E931" s="476" t="s">
        <v>145</v>
      </c>
      <c r="F931" s="476"/>
      <c r="G931" s="476"/>
      <c r="H931" s="476" t="s">
        <v>146</v>
      </c>
      <c r="I931" s="476"/>
      <c r="J931" s="476"/>
      <c r="K931" s="479" t="s">
        <v>66</v>
      </c>
      <c r="L931" s="479"/>
    </row>
    <row r="932" spans="2:12" ht="15" customHeight="1" thickBot="1" x14ac:dyDescent="0.25">
      <c r="B932" s="185" t="s">
        <v>227</v>
      </c>
      <c r="C932" s="185" t="s">
        <v>10</v>
      </c>
      <c r="D932" s="185" t="s">
        <v>9</v>
      </c>
      <c r="E932" s="185" t="s">
        <v>227</v>
      </c>
      <c r="F932" s="185" t="s">
        <v>10</v>
      </c>
      <c r="G932" s="185" t="s">
        <v>9</v>
      </c>
      <c r="H932" s="185" t="s">
        <v>227</v>
      </c>
      <c r="I932" s="185" t="s">
        <v>10</v>
      </c>
      <c r="J932" s="185" t="s">
        <v>9</v>
      </c>
      <c r="K932" s="480" t="s">
        <v>123</v>
      </c>
      <c r="L932" s="480"/>
    </row>
    <row r="933" spans="2:12" ht="15" customHeight="1" thickBot="1" x14ac:dyDescent="0.25">
      <c r="B933" s="47">
        <f>SUM(C933:D933)</f>
        <v>395</v>
      </c>
      <c r="C933" s="47">
        <f>I933+F933</f>
        <v>0</v>
      </c>
      <c r="D933" s="47">
        <f>J933+G933</f>
        <v>395</v>
      </c>
      <c r="E933" s="47">
        <f>SUM(F933:G933)</f>
        <v>0</v>
      </c>
      <c r="F933" s="47">
        <v>0</v>
      </c>
      <c r="G933" s="47">
        <v>0</v>
      </c>
      <c r="H933" s="47">
        <f>SUM(I933:J933)</f>
        <v>395</v>
      </c>
      <c r="I933" s="47">
        <v>0</v>
      </c>
      <c r="J933" s="47">
        <v>395</v>
      </c>
      <c r="K933" s="188" t="s">
        <v>233</v>
      </c>
      <c r="L933" s="215"/>
    </row>
    <row r="934" spans="2:12" ht="15" customHeight="1" thickBot="1" x14ac:dyDescent="0.25">
      <c r="B934" s="47">
        <f t="shared" ref="B934:B955" si="379">SUM(C934:D934)</f>
        <v>0</v>
      </c>
      <c r="C934" s="47">
        <f t="shared" ref="C934:D955" si="380">I934+F934</f>
        <v>0</v>
      </c>
      <c r="D934" s="47">
        <f t="shared" si="380"/>
        <v>0</v>
      </c>
      <c r="E934" s="47">
        <f t="shared" ref="E934:E955" si="381">SUM(F934:G934)</f>
        <v>0</v>
      </c>
      <c r="F934" s="47">
        <v>0</v>
      </c>
      <c r="G934" s="47">
        <v>0</v>
      </c>
      <c r="H934" s="47">
        <f t="shared" ref="H934:H955" si="382">SUM(I934:J934)</f>
        <v>0</v>
      </c>
      <c r="I934" s="47">
        <v>0</v>
      </c>
      <c r="J934" s="47">
        <v>0</v>
      </c>
      <c r="K934" s="188" t="s">
        <v>234</v>
      </c>
      <c r="L934" s="215" t="s">
        <v>558</v>
      </c>
    </row>
    <row r="935" spans="2:12" ht="15" customHeight="1" thickBot="1" x14ac:dyDescent="0.25">
      <c r="B935" s="47">
        <f t="shared" ref="B935:I935" si="383">SUM(B933:B934)</f>
        <v>395</v>
      </c>
      <c r="C935" s="47">
        <f t="shared" si="383"/>
        <v>0</v>
      </c>
      <c r="D935" s="47">
        <f t="shared" si="383"/>
        <v>395</v>
      </c>
      <c r="E935" s="47">
        <f t="shared" si="383"/>
        <v>0</v>
      </c>
      <c r="F935" s="47">
        <f t="shared" si="383"/>
        <v>0</v>
      </c>
      <c r="G935" s="47">
        <f t="shared" si="383"/>
        <v>0</v>
      </c>
      <c r="H935" s="47">
        <f t="shared" si="383"/>
        <v>395</v>
      </c>
      <c r="I935" s="47">
        <f t="shared" si="383"/>
        <v>0</v>
      </c>
      <c r="J935" s="47">
        <f>SUM(J933:J934)</f>
        <v>395</v>
      </c>
      <c r="K935" s="188" t="s">
        <v>12</v>
      </c>
      <c r="L935" s="216"/>
    </row>
    <row r="936" spans="2:12" ht="15" customHeight="1" thickBot="1" x14ac:dyDescent="0.25">
      <c r="B936" s="47">
        <f t="shared" si="379"/>
        <v>721</v>
      </c>
      <c r="C936" s="47">
        <f t="shared" si="380"/>
        <v>0</v>
      </c>
      <c r="D936" s="47">
        <f t="shared" si="380"/>
        <v>721</v>
      </c>
      <c r="E936" s="47">
        <f t="shared" si="381"/>
        <v>0</v>
      </c>
      <c r="F936" s="47">
        <v>0</v>
      </c>
      <c r="G936" s="47">
        <v>0</v>
      </c>
      <c r="H936" s="47">
        <f t="shared" si="382"/>
        <v>721</v>
      </c>
      <c r="I936" s="47">
        <v>0</v>
      </c>
      <c r="J936" s="47">
        <v>721</v>
      </c>
      <c r="K936" s="188" t="s">
        <v>233</v>
      </c>
      <c r="L936" s="215"/>
    </row>
    <row r="937" spans="2:12" ht="15" customHeight="1" thickBot="1" x14ac:dyDescent="0.25">
      <c r="B937" s="47">
        <f t="shared" si="379"/>
        <v>0</v>
      </c>
      <c r="C937" s="47">
        <f t="shared" si="380"/>
        <v>0</v>
      </c>
      <c r="D937" s="47">
        <f t="shared" si="380"/>
        <v>0</v>
      </c>
      <c r="E937" s="47">
        <f t="shared" si="381"/>
        <v>0</v>
      </c>
      <c r="F937" s="47">
        <v>0</v>
      </c>
      <c r="G937" s="47">
        <v>0</v>
      </c>
      <c r="H937" s="47">
        <f t="shared" si="382"/>
        <v>0</v>
      </c>
      <c r="I937" s="47">
        <v>0</v>
      </c>
      <c r="J937" s="47">
        <v>0</v>
      </c>
      <c r="K937" s="188" t="s">
        <v>234</v>
      </c>
      <c r="L937" s="215" t="s">
        <v>286</v>
      </c>
    </row>
    <row r="938" spans="2:12" ht="15" customHeight="1" thickBot="1" x14ac:dyDescent="0.25">
      <c r="B938" s="47">
        <f t="shared" ref="B938:I938" si="384">SUM(B936:B937)</f>
        <v>721</v>
      </c>
      <c r="C938" s="47">
        <f t="shared" si="384"/>
        <v>0</v>
      </c>
      <c r="D938" s="47">
        <f t="shared" si="384"/>
        <v>721</v>
      </c>
      <c r="E938" s="47">
        <f t="shared" si="384"/>
        <v>0</v>
      </c>
      <c r="F938" s="47">
        <f t="shared" si="384"/>
        <v>0</v>
      </c>
      <c r="G938" s="47">
        <f t="shared" si="384"/>
        <v>0</v>
      </c>
      <c r="H938" s="47">
        <f t="shared" si="384"/>
        <v>721</v>
      </c>
      <c r="I938" s="47">
        <f t="shared" si="384"/>
        <v>0</v>
      </c>
      <c r="J938" s="47">
        <f>SUM(J936:J937)</f>
        <v>721</v>
      </c>
      <c r="K938" s="188" t="s">
        <v>12</v>
      </c>
      <c r="L938" s="216"/>
    </row>
    <row r="939" spans="2:12" ht="15" customHeight="1" thickBot="1" x14ac:dyDescent="0.25">
      <c r="B939" s="47">
        <f t="shared" si="379"/>
        <v>824</v>
      </c>
      <c r="C939" s="47">
        <f t="shared" si="380"/>
        <v>824</v>
      </c>
      <c r="D939" s="47">
        <f t="shared" si="380"/>
        <v>0</v>
      </c>
      <c r="E939" s="47">
        <f t="shared" si="381"/>
        <v>0</v>
      </c>
      <c r="F939" s="47">
        <v>0</v>
      </c>
      <c r="G939" s="47">
        <v>0</v>
      </c>
      <c r="H939" s="47">
        <f t="shared" si="382"/>
        <v>824</v>
      </c>
      <c r="I939" s="47">
        <v>824</v>
      </c>
      <c r="J939" s="47">
        <v>0</v>
      </c>
      <c r="K939" s="188" t="s">
        <v>233</v>
      </c>
      <c r="L939" s="215"/>
    </row>
    <row r="940" spans="2:12" ht="15" customHeight="1" thickBot="1" x14ac:dyDescent="0.25">
      <c r="B940" s="47">
        <f t="shared" si="379"/>
        <v>0</v>
      </c>
      <c r="C940" s="47">
        <f t="shared" si="380"/>
        <v>0</v>
      </c>
      <c r="D940" s="47">
        <f t="shared" si="380"/>
        <v>0</v>
      </c>
      <c r="E940" s="47">
        <f t="shared" si="381"/>
        <v>0</v>
      </c>
      <c r="F940" s="47">
        <v>0</v>
      </c>
      <c r="G940" s="47">
        <v>0</v>
      </c>
      <c r="H940" s="47">
        <f t="shared" si="382"/>
        <v>0</v>
      </c>
      <c r="I940" s="47">
        <v>0</v>
      </c>
      <c r="J940" s="47">
        <v>0</v>
      </c>
      <c r="K940" s="188" t="s">
        <v>234</v>
      </c>
      <c r="L940" s="215" t="s">
        <v>559</v>
      </c>
    </row>
    <row r="941" spans="2:12" ht="15" customHeight="1" thickBot="1" x14ac:dyDescent="0.25">
      <c r="B941" s="47">
        <f t="shared" ref="B941:I941" si="385">SUM(B939:B940)</f>
        <v>824</v>
      </c>
      <c r="C941" s="47">
        <f t="shared" si="385"/>
        <v>824</v>
      </c>
      <c r="D941" s="47">
        <f t="shared" si="385"/>
        <v>0</v>
      </c>
      <c r="E941" s="47">
        <f t="shared" si="385"/>
        <v>0</v>
      </c>
      <c r="F941" s="47">
        <f t="shared" si="385"/>
        <v>0</v>
      </c>
      <c r="G941" s="47">
        <f t="shared" si="385"/>
        <v>0</v>
      </c>
      <c r="H941" s="47">
        <f t="shared" si="385"/>
        <v>824</v>
      </c>
      <c r="I941" s="47">
        <f t="shared" si="385"/>
        <v>824</v>
      </c>
      <c r="J941" s="47">
        <f>SUM(J939:J940)</f>
        <v>0</v>
      </c>
      <c r="K941" s="188" t="s">
        <v>12</v>
      </c>
      <c r="L941" s="216"/>
    </row>
    <row r="942" spans="2:12" ht="15" customHeight="1" thickBot="1" x14ac:dyDescent="0.25">
      <c r="B942" s="47">
        <f t="shared" si="379"/>
        <v>595</v>
      </c>
      <c r="C942" s="47">
        <f t="shared" si="380"/>
        <v>595</v>
      </c>
      <c r="D942" s="47">
        <f t="shared" si="380"/>
        <v>0</v>
      </c>
      <c r="E942" s="47">
        <f t="shared" si="381"/>
        <v>0</v>
      </c>
      <c r="F942" s="47">
        <v>0</v>
      </c>
      <c r="G942" s="47">
        <v>0</v>
      </c>
      <c r="H942" s="47">
        <f t="shared" si="382"/>
        <v>595</v>
      </c>
      <c r="I942" s="47">
        <v>595</v>
      </c>
      <c r="J942" s="47">
        <v>0</v>
      </c>
      <c r="K942" s="188" t="s">
        <v>233</v>
      </c>
      <c r="L942" s="215"/>
    </row>
    <row r="943" spans="2:12" ht="15" customHeight="1" thickBot="1" x14ac:dyDescent="0.25">
      <c r="B943" s="47">
        <f t="shared" si="379"/>
        <v>0</v>
      </c>
      <c r="C943" s="47">
        <f t="shared" si="380"/>
        <v>0</v>
      </c>
      <c r="D943" s="47">
        <f t="shared" si="380"/>
        <v>0</v>
      </c>
      <c r="E943" s="47">
        <f t="shared" si="381"/>
        <v>0</v>
      </c>
      <c r="F943" s="47">
        <v>0</v>
      </c>
      <c r="G943" s="47">
        <v>0</v>
      </c>
      <c r="H943" s="47">
        <f t="shared" si="382"/>
        <v>0</v>
      </c>
      <c r="I943" s="47">
        <v>0</v>
      </c>
      <c r="J943" s="47">
        <v>0</v>
      </c>
      <c r="K943" s="188" t="s">
        <v>234</v>
      </c>
      <c r="L943" s="215" t="s">
        <v>560</v>
      </c>
    </row>
    <row r="944" spans="2:12" ht="15" customHeight="1" thickBot="1" x14ac:dyDescent="0.25">
      <c r="B944" s="47">
        <f t="shared" ref="B944:I944" si="386">SUM(B942:B943)</f>
        <v>595</v>
      </c>
      <c r="C944" s="47">
        <f t="shared" si="386"/>
        <v>595</v>
      </c>
      <c r="D944" s="47">
        <f t="shared" si="386"/>
        <v>0</v>
      </c>
      <c r="E944" s="47">
        <f t="shared" si="386"/>
        <v>0</v>
      </c>
      <c r="F944" s="47">
        <f t="shared" si="386"/>
        <v>0</v>
      </c>
      <c r="G944" s="47">
        <f t="shared" si="386"/>
        <v>0</v>
      </c>
      <c r="H944" s="47">
        <f t="shared" si="386"/>
        <v>595</v>
      </c>
      <c r="I944" s="47">
        <f t="shared" si="386"/>
        <v>595</v>
      </c>
      <c r="J944" s="47">
        <f>SUM(J942:J943)</f>
        <v>0</v>
      </c>
      <c r="K944" s="188" t="s">
        <v>12</v>
      </c>
      <c r="L944" s="216"/>
    </row>
    <row r="945" spans="2:12" ht="15" customHeight="1" thickBot="1" x14ac:dyDescent="0.25">
      <c r="B945" s="47">
        <f t="shared" si="379"/>
        <v>62</v>
      </c>
      <c r="C945" s="47">
        <f t="shared" si="380"/>
        <v>31</v>
      </c>
      <c r="D945" s="47">
        <f t="shared" si="380"/>
        <v>31</v>
      </c>
      <c r="E945" s="47">
        <f t="shared" si="381"/>
        <v>0</v>
      </c>
      <c r="F945" s="47">
        <v>0</v>
      </c>
      <c r="G945" s="47">
        <v>0</v>
      </c>
      <c r="H945" s="47">
        <f t="shared" si="382"/>
        <v>62</v>
      </c>
      <c r="I945" s="47">
        <v>31</v>
      </c>
      <c r="J945" s="47">
        <v>31</v>
      </c>
      <c r="K945" s="188" t="s">
        <v>233</v>
      </c>
      <c r="L945" s="215"/>
    </row>
    <row r="946" spans="2:12" ht="15" customHeight="1" thickBot="1" x14ac:dyDescent="0.25">
      <c r="B946" s="47">
        <f t="shared" si="379"/>
        <v>0</v>
      </c>
      <c r="C946" s="47">
        <f t="shared" si="380"/>
        <v>0</v>
      </c>
      <c r="D946" s="47">
        <f t="shared" si="380"/>
        <v>0</v>
      </c>
      <c r="E946" s="47">
        <f t="shared" si="381"/>
        <v>0</v>
      </c>
      <c r="F946" s="47">
        <v>0</v>
      </c>
      <c r="G946" s="47">
        <v>0</v>
      </c>
      <c r="H946" s="47">
        <f t="shared" si="382"/>
        <v>0</v>
      </c>
      <c r="I946" s="47">
        <v>0</v>
      </c>
      <c r="J946" s="47">
        <v>0</v>
      </c>
      <c r="K946" s="188" t="s">
        <v>234</v>
      </c>
      <c r="L946" s="215" t="s">
        <v>344</v>
      </c>
    </row>
    <row r="947" spans="2:12" ht="15" customHeight="1" thickBot="1" x14ac:dyDescent="0.25">
      <c r="B947" s="47">
        <f t="shared" ref="B947:I947" si="387">SUM(B945:B946)</f>
        <v>62</v>
      </c>
      <c r="C947" s="47">
        <f t="shared" si="387"/>
        <v>31</v>
      </c>
      <c r="D947" s="47">
        <f t="shared" si="387"/>
        <v>31</v>
      </c>
      <c r="E947" s="47">
        <f t="shared" si="387"/>
        <v>0</v>
      </c>
      <c r="F947" s="47">
        <f t="shared" si="387"/>
        <v>0</v>
      </c>
      <c r="G947" s="47">
        <f t="shared" si="387"/>
        <v>0</v>
      </c>
      <c r="H947" s="47">
        <f t="shared" si="387"/>
        <v>62</v>
      </c>
      <c r="I947" s="47">
        <f t="shared" si="387"/>
        <v>31</v>
      </c>
      <c r="J947" s="47">
        <f>SUM(J945:J946)</f>
        <v>31</v>
      </c>
      <c r="K947" s="188" t="s">
        <v>12</v>
      </c>
      <c r="L947" s="216"/>
    </row>
    <row r="948" spans="2:12" ht="15" customHeight="1" thickBot="1" x14ac:dyDescent="0.25">
      <c r="B948" s="47">
        <f t="shared" si="379"/>
        <v>77</v>
      </c>
      <c r="C948" s="47">
        <f t="shared" si="380"/>
        <v>0</v>
      </c>
      <c r="D948" s="47">
        <f t="shared" si="380"/>
        <v>77</v>
      </c>
      <c r="E948" s="47">
        <f t="shared" si="381"/>
        <v>0</v>
      </c>
      <c r="F948" s="47">
        <v>0</v>
      </c>
      <c r="G948" s="47">
        <v>0</v>
      </c>
      <c r="H948" s="47">
        <f t="shared" si="382"/>
        <v>77</v>
      </c>
      <c r="I948" s="47">
        <v>0</v>
      </c>
      <c r="J948" s="47">
        <v>77</v>
      </c>
      <c r="K948" s="188" t="s">
        <v>233</v>
      </c>
      <c r="L948" s="215"/>
    </row>
    <row r="949" spans="2:12" ht="15" customHeight="1" thickBot="1" x14ac:dyDescent="0.25">
      <c r="B949" s="47">
        <f t="shared" si="379"/>
        <v>0</v>
      </c>
      <c r="C949" s="47">
        <f t="shared" si="380"/>
        <v>0</v>
      </c>
      <c r="D949" s="47">
        <f t="shared" si="380"/>
        <v>0</v>
      </c>
      <c r="E949" s="47">
        <f t="shared" si="381"/>
        <v>0</v>
      </c>
      <c r="F949" s="47">
        <v>0</v>
      </c>
      <c r="G949" s="47">
        <v>0</v>
      </c>
      <c r="H949" s="47">
        <f t="shared" si="382"/>
        <v>0</v>
      </c>
      <c r="I949" s="47">
        <v>0</v>
      </c>
      <c r="J949" s="47">
        <v>0</v>
      </c>
      <c r="K949" s="188" t="s">
        <v>234</v>
      </c>
      <c r="L949" s="215" t="s">
        <v>454</v>
      </c>
    </row>
    <row r="950" spans="2:12" ht="15" customHeight="1" thickBot="1" x14ac:dyDescent="0.25">
      <c r="B950" s="47">
        <f t="shared" ref="B950:I950" si="388">SUM(B948:B949)</f>
        <v>77</v>
      </c>
      <c r="C950" s="47">
        <f t="shared" si="388"/>
        <v>0</v>
      </c>
      <c r="D950" s="47">
        <f t="shared" si="388"/>
        <v>77</v>
      </c>
      <c r="E950" s="47">
        <f t="shared" si="388"/>
        <v>0</v>
      </c>
      <c r="F950" s="47">
        <f t="shared" si="388"/>
        <v>0</v>
      </c>
      <c r="G950" s="47">
        <f t="shared" si="388"/>
        <v>0</v>
      </c>
      <c r="H950" s="47">
        <f t="shared" si="388"/>
        <v>77</v>
      </c>
      <c r="I950" s="47">
        <f t="shared" si="388"/>
        <v>0</v>
      </c>
      <c r="J950" s="47">
        <f>SUM(J948:J949)</f>
        <v>77</v>
      </c>
      <c r="K950" s="188" t="s">
        <v>12</v>
      </c>
      <c r="L950" s="216"/>
    </row>
    <row r="951" spans="2:12" ht="15" customHeight="1" thickBot="1" x14ac:dyDescent="0.25">
      <c r="B951" s="47">
        <f t="shared" si="379"/>
        <v>64</v>
      </c>
      <c r="C951" s="47">
        <f t="shared" si="380"/>
        <v>34</v>
      </c>
      <c r="D951" s="47">
        <f t="shared" si="380"/>
        <v>30</v>
      </c>
      <c r="E951" s="47">
        <f t="shared" si="381"/>
        <v>0</v>
      </c>
      <c r="F951" s="47">
        <v>0</v>
      </c>
      <c r="G951" s="47">
        <v>0</v>
      </c>
      <c r="H951" s="47">
        <f t="shared" si="382"/>
        <v>64</v>
      </c>
      <c r="I951" s="47">
        <v>34</v>
      </c>
      <c r="J951" s="47">
        <v>30</v>
      </c>
      <c r="K951" s="188" t="s">
        <v>233</v>
      </c>
      <c r="L951" s="215"/>
    </row>
    <row r="952" spans="2:12" ht="15" customHeight="1" thickBot="1" x14ac:dyDescent="0.25">
      <c r="B952" s="47">
        <f t="shared" si="379"/>
        <v>0</v>
      </c>
      <c r="C952" s="47">
        <f t="shared" si="380"/>
        <v>0</v>
      </c>
      <c r="D952" s="47">
        <f t="shared" si="380"/>
        <v>0</v>
      </c>
      <c r="E952" s="47">
        <f t="shared" si="381"/>
        <v>0</v>
      </c>
      <c r="F952" s="47">
        <v>0</v>
      </c>
      <c r="G952" s="47">
        <v>0</v>
      </c>
      <c r="H952" s="47">
        <f t="shared" si="382"/>
        <v>0</v>
      </c>
      <c r="I952" s="47">
        <v>0</v>
      </c>
      <c r="J952" s="47">
        <v>0</v>
      </c>
      <c r="K952" s="188" t="s">
        <v>234</v>
      </c>
      <c r="L952" s="215" t="s">
        <v>561</v>
      </c>
    </row>
    <row r="953" spans="2:12" ht="15" customHeight="1" thickBot="1" x14ac:dyDescent="0.25">
      <c r="B953" s="47">
        <f t="shared" ref="B953:I953" si="389">SUM(B951:B952)</f>
        <v>64</v>
      </c>
      <c r="C953" s="47">
        <f t="shared" si="389"/>
        <v>34</v>
      </c>
      <c r="D953" s="47">
        <f t="shared" si="389"/>
        <v>30</v>
      </c>
      <c r="E953" s="47">
        <f t="shared" si="389"/>
        <v>0</v>
      </c>
      <c r="F953" s="47">
        <f t="shared" si="389"/>
        <v>0</v>
      </c>
      <c r="G953" s="47">
        <f t="shared" si="389"/>
        <v>0</v>
      </c>
      <c r="H953" s="47">
        <f t="shared" si="389"/>
        <v>64</v>
      </c>
      <c r="I953" s="47">
        <f t="shared" si="389"/>
        <v>34</v>
      </c>
      <c r="J953" s="47">
        <f>SUM(J951:J952)</f>
        <v>30</v>
      </c>
      <c r="K953" s="188" t="s">
        <v>12</v>
      </c>
      <c r="L953" s="216"/>
    </row>
    <row r="954" spans="2:12" ht="15" customHeight="1" thickBot="1" x14ac:dyDescent="0.25">
      <c r="B954" s="47">
        <f t="shared" si="379"/>
        <v>70</v>
      </c>
      <c r="C954" s="47">
        <f t="shared" si="380"/>
        <v>45</v>
      </c>
      <c r="D954" s="47">
        <f t="shared" si="380"/>
        <v>25</v>
      </c>
      <c r="E954" s="47">
        <f t="shared" si="381"/>
        <v>0</v>
      </c>
      <c r="F954" s="47">
        <v>0</v>
      </c>
      <c r="G954" s="47">
        <v>0</v>
      </c>
      <c r="H954" s="47">
        <f t="shared" si="382"/>
        <v>70</v>
      </c>
      <c r="I954" s="47">
        <v>45</v>
      </c>
      <c r="J954" s="47">
        <v>25</v>
      </c>
      <c r="K954" s="188" t="s">
        <v>233</v>
      </c>
      <c r="L954" s="215"/>
    </row>
    <row r="955" spans="2:12" ht="15" customHeight="1" thickBot="1" x14ac:dyDescent="0.25">
      <c r="B955" s="47">
        <f t="shared" si="379"/>
        <v>0</v>
      </c>
      <c r="C955" s="47">
        <f t="shared" si="380"/>
        <v>0</v>
      </c>
      <c r="D955" s="47">
        <f t="shared" si="380"/>
        <v>0</v>
      </c>
      <c r="E955" s="47">
        <f t="shared" si="381"/>
        <v>0</v>
      </c>
      <c r="F955" s="47">
        <v>0</v>
      </c>
      <c r="G955" s="47">
        <v>0</v>
      </c>
      <c r="H955" s="47">
        <f t="shared" si="382"/>
        <v>0</v>
      </c>
      <c r="I955" s="47">
        <v>0</v>
      </c>
      <c r="J955" s="47">
        <v>0</v>
      </c>
      <c r="K955" s="188" t="s">
        <v>234</v>
      </c>
      <c r="L955" s="215" t="s">
        <v>562</v>
      </c>
    </row>
    <row r="956" spans="2:12" ht="15" customHeight="1" thickBot="1" x14ac:dyDescent="0.25">
      <c r="B956" s="47">
        <f t="shared" ref="B956:I956" si="390">SUM(B954:B955)</f>
        <v>70</v>
      </c>
      <c r="C956" s="47">
        <f t="shared" si="390"/>
        <v>45</v>
      </c>
      <c r="D956" s="47">
        <f t="shared" si="390"/>
        <v>25</v>
      </c>
      <c r="E956" s="47">
        <f t="shared" si="390"/>
        <v>0</v>
      </c>
      <c r="F956" s="47">
        <f t="shared" si="390"/>
        <v>0</v>
      </c>
      <c r="G956" s="47">
        <f t="shared" si="390"/>
        <v>0</v>
      </c>
      <c r="H956" s="47">
        <f t="shared" si="390"/>
        <v>70</v>
      </c>
      <c r="I956" s="47">
        <f t="shared" si="390"/>
        <v>45</v>
      </c>
      <c r="J956" s="47">
        <f>SUM(J954:J955)</f>
        <v>25</v>
      </c>
      <c r="K956" s="188" t="s">
        <v>12</v>
      </c>
      <c r="L956" s="216"/>
    </row>
    <row r="957" spans="2:12" ht="15" customHeight="1" thickBot="1" x14ac:dyDescent="0.25">
      <c r="B957" s="47">
        <f t="shared" ref="B957:J959" si="391">B933+B936+B939+B942+B945+B948+B951+B954</f>
        <v>2808</v>
      </c>
      <c r="C957" s="47">
        <f t="shared" si="391"/>
        <v>1529</v>
      </c>
      <c r="D957" s="47">
        <f t="shared" si="391"/>
        <v>1279</v>
      </c>
      <c r="E957" s="47">
        <f t="shared" si="391"/>
        <v>0</v>
      </c>
      <c r="F957" s="47">
        <f t="shared" si="391"/>
        <v>0</v>
      </c>
      <c r="G957" s="47">
        <f t="shared" si="391"/>
        <v>0</v>
      </c>
      <c r="H957" s="47">
        <f t="shared" si="391"/>
        <v>2808</v>
      </c>
      <c r="I957" s="47">
        <f t="shared" si="391"/>
        <v>1529</v>
      </c>
      <c r="J957" s="47">
        <f>J933+J936+J939+J942+J945+J948+J951+J954</f>
        <v>1279</v>
      </c>
      <c r="K957" s="188" t="s">
        <v>236</v>
      </c>
      <c r="L957" s="217"/>
    </row>
    <row r="958" spans="2:12" ht="15" customHeight="1" thickBot="1" x14ac:dyDescent="0.25">
      <c r="B958" s="47">
        <f t="shared" si="391"/>
        <v>0</v>
      </c>
      <c r="C958" s="47">
        <f t="shared" si="391"/>
        <v>0</v>
      </c>
      <c r="D958" s="47">
        <f t="shared" si="391"/>
        <v>0</v>
      </c>
      <c r="E958" s="47">
        <f t="shared" si="391"/>
        <v>0</v>
      </c>
      <c r="F958" s="47">
        <f t="shared" si="391"/>
        <v>0</v>
      </c>
      <c r="G958" s="47">
        <f t="shared" si="391"/>
        <v>0</v>
      </c>
      <c r="H958" s="47">
        <f t="shared" si="391"/>
        <v>0</v>
      </c>
      <c r="I958" s="47">
        <f t="shared" si="391"/>
        <v>0</v>
      </c>
      <c r="J958" s="47">
        <f t="shared" si="391"/>
        <v>0</v>
      </c>
      <c r="K958" s="188" t="s">
        <v>237</v>
      </c>
      <c r="L958" s="218" t="s">
        <v>188</v>
      </c>
    </row>
    <row r="959" spans="2:12" ht="15" customHeight="1" thickBot="1" x14ac:dyDescent="0.25">
      <c r="B959" s="47">
        <f t="shared" si="391"/>
        <v>2808</v>
      </c>
      <c r="C959" s="47">
        <f t="shared" si="391"/>
        <v>1529</v>
      </c>
      <c r="D959" s="47">
        <f t="shared" si="391"/>
        <v>1279</v>
      </c>
      <c r="E959" s="47">
        <f t="shared" si="391"/>
        <v>0</v>
      </c>
      <c r="F959" s="47">
        <f t="shared" si="391"/>
        <v>0</v>
      </c>
      <c r="G959" s="47">
        <f t="shared" si="391"/>
        <v>0</v>
      </c>
      <c r="H959" s="47">
        <f t="shared" si="391"/>
        <v>2808</v>
      </c>
      <c r="I959" s="47">
        <f t="shared" si="391"/>
        <v>1529</v>
      </c>
      <c r="J959" s="47">
        <f t="shared" si="391"/>
        <v>1279</v>
      </c>
      <c r="K959" s="188" t="s">
        <v>12</v>
      </c>
      <c r="L959" s="219"/>
    </row>
    <row r="960" spans="2:12" ht="15" customHeight="1" thickBot="1" x14ac:dyDescent="0.25">
      <c r="B960" s="476" t="s">
        <v>4</v>
      </c>
      <c r="C960" s="476"/>
      <c r="D960" s="476"/>
      <c r="E960" s="476" t="s">
        <v>145</v>
      </c>
      <c r="F960" s="476"/>
      <c r="G960" s="476"/>
      <c r="H960" s="476" t="s">
        <v>146</v>
      </c>
      <c r="I960" s="476"/>
      <c r="J960" s="476"/>
      <c r="K960" s="479" t="s">
        <v>66</v>
      </c>
      <c r="L960" s="479"/>
    </row>
    <row r="961" spans="2:12" ht="15" customHeight="1" thickBot="1" x14ac:dyDescent="0.25">
      <c r="B961" s="185" t="s">
        <v>227</v>
      </c>
      <c r="C961" s="185" t="s">
        <v>10</v>
      </c>
      <c r="D961" s="185" t="s">
        <v>9</v>
      </c>
      <c r="E961" s="185" t="s">
        <v>227</v>
      </c>
      <c r="F961" s="185" t="s">
        <v>10</v>
      </c>
      <c r="G961" s="185" t="s">
        <v>9</v>
      </c>
      <c r="H961" s="185" t="s">
        <v>227</v>
      </c>
      <c r="I961" s="185" t="s">
        <v>10</v>
      </c>
      <c r="J961" s="185" t="s">
        <v>9</v>
      </c>
      <c r="K961" s="480" t="s">
        <v>148</v>
      </c>
      <c r="L961" s="480"/>
    </row>
    <row r="962" spans="2:12" ht="15" customHeight="1" thickBot="1" x14ac:dyDescent="0.25">
      <c r="B962" s="47">
        <f>SUM(C962:D962)</f>
        <v>101</v>
      </c>
      <c r="C962" s="47">
        <f>I962+F962</f>
        <v>0</v>
      </c>
      <c r="D962" s="47">
        <f>J962+G962</f>
        <v>101</v>
      </c>
      <c r="E962" s="47">
        <f>SUM(F962:G962)</f>
        <v>0</v>
      </c>
      <c r="F962" s="47">
        <v>0</v>
      </c>
      <c r="G962" s="47">
        <v>0</v>
      </c>
      <c r="H962" s="47">
        <f>SUM(I962:J962)</f>
        <v>101</v>
      </c>
      <c r="I962" s="47">
        <v>0</v>
      </c>
      <c r="J962" s="47">
        <v>101</v>
      </c>
      <c r="K962" s="188" t="s">
        <v>233</v>
      </c>
      <c r="L962" s="215"/>
    </row>
    <row r="963" spans="2:12" ht="15" customHeight="1" thickBot="1" x14ac:dyDescent="0.25">
      <c r="B963" s="47">
        <f t="shared" ref="B963:B975" si="392">SUM(C963:D963)</f>
        <v>0</v>
      </c>
      <c r="C963" s="47">
        <f t="shared" ref="C963:D975" si="393">I963+F963</f>
        <v>0</v>
      </c>
      <c r="D963" s="47">
        <f t="shared" si="393"/>
        <v>0</v>
      </c>
      <c r="E963" s="47">
        <f t="shared" ref="E963:E975" si="394">SUM(F963:G963)</f>
        <v>0</v>
      </c>
      <c r="F963" s="47">
        <v>0</v>
      </c>
      <c r="G963" s="47">
        <v>0</v>
      </c>
      <c r="H963" s="47">
        <f t="shared" ref="H963:H975" si="395">SUM(I963:J963)</f>
        <v>0</v>
      </c>
      <c r="I963" s="47">
        <v>0</v>
      </c>
      <c r="J963" s="47">
        <v>0</v>
      </c>
      <c r="K963" s="188" t="s">
        <v>234</v>
      </c>
      <c r="L963" s="215" t="s">
        <v>344</v>
      </c>
    </row>
    <row r="964" spans="2:12" ht="15" customHeight="1" thickBot="1" x14ac:dyDescent="0.25">
      <c r="B964" s="47">
        <f t="shared" ref="B964:I964" si="396">SUM(B962:B963)</f>
        <v>101</v>
      </c>
      <c r="C964" s="47">
        <f t="shared" si="396"/>
        <v>0</v>
      </c>
      <c r="D964" s="47">
        <f t="shared" si="396"/>
        <v>101</v>
      </c>
      <c r="E964" s="47">
        <f t="shared" si="396"/>
        <v>0</v>
      </c>
      <c r="F964" s="47">
        <f t="shared" si="396"/>
        <v>0</v>
      </c>
      <c r="G964" s="47">
        <f t="shared" si="396"/>
        <v>0</v>
      </c>
      <c r="H964" s="47">
        <f t="shared" si="396"/>
        <v>101</v>
      </c>
      <c r="I964" s="47">
        <f t="shared" si="396"/>
        <v>0</v>
      </c>
      <c r="J964" s="47">
        <f>SUM(J962:J963)</f>
        <v>101</v>
      </c>
      <c r="K964" s="188" t="s">
        <v>12</v>
      </c>
      <c r="L964" s="216"/>
    </row>
    <row r="965" spans="2:12" ht="15" customHeight="1" thickBot="1" x14ac:dyDescent="0.25">
      <c r="B965" s="47">
        <f t="shared" si="392"/>
        <v>88</v>
      </c>
      <c r="C965" s="47">
        <f t="shared" si="393"/>
        <v>88</v>
      </c>
      <c r="D965" s="47">
        <f t="shared" si="393"/>
        <v>0</v>
      </c>
      <c r="E965" s="47">
        <f t="shared" si="394"/>
        <v>0</v>
      </c>
      <c r="F965" s="47">
        <v>0</v>
      </c>
      <c r="G965" s="47">
        <v>0</v>
      </c>
      <c r="H965" s="47">
        <f t="shared" si="395"/>
        <v>88</v>
      </c>
      <c r="I965" s="47">
        <v>88</v>
      </c>
      <c r="J965" s="47">
        <v>0</v>
      </c>
      <c r="K965" s="188" t="s">
        <v>233</v>
      </c>
      <c r="L965" s="215"/>
    </row>
    <row r="966" spans="2:12" ht="15" customHeight="1" thickBot="1" x14ac:dyDescent="0.25">
      <c r="B966" s="47">
        <f t="shared" si="392"/>
        <v>0</v>
      </c>
      <c r="C966" s="47">
        <f t="shared" si="393"/>
        <v>0</v>
      </c>
      <c r="D966" s="47">
        <f t="shared" si="393"/>
        <v>0</v>
      </c>
      <c r="E966" s="47">
        <f t="shared" si="394"/>
        <v>0</v>
      </c>
      <c r="F966" s="47">
        <v>0</v>
      </c>
      <c r="G966" s="47">
        <v>0</v>
      </c>
      <c r="H966" s="47">
        <f t="shared" si="395"/>
        <v>0</v>
      </c>
      <c r="I966" s="47">
        <v>0</v>
      </c>
      <c r="J966" s="47">
        <v>0</v>
      </c>
      <c r="K966" s="188" t="s">
        <v>234</v>
      </c>
      <c r="L966" s="215" t="s">
        <v>563</v>
      </c>
    </row>
    <row r="967" spans="2:12" ht="15" customHeight="1" thickBot="1" x14ac:dyDescent="0.25">
      <c r="B967" s="47">
        <f t="shared" ref="B967:I967" si="397">SUM(B965:B966)</f>
        <v>88</v>
      </c>
      <c r="C967" s="47">
        <f t="shared" si="397"/>
        <v>88</v>
      </c>
      <c r="D967" s="47">
        <f t="shared" si="397"/>
        <v>0</v>
      </c>
      <c r="E967" s="47">
        <f t="shared" si="397"/>
        <v>0</v>
      </c>
      <c r="F967" s="47">
        <f t="shared" si="397"/>
        <v>0</v>
      </c>
      <c r="G967" s="47">
        <f t="shared" si="397"/>
        <v>0</v>
      </c>
      <c r="H967" s="47">
        <f t="shared" si="397"/>
        <v>88</v>
      </c>
      <c r="I967" s="47">
        <f t="shared" si="397"/>
        <v>88</v>
      </c>
      <c r="J967" s="47">
        <f>SUM(J965:J966)</f>
        <v>0</v>
      </c>
      <c r="K967" s="188" t="s">
        <v>12</v>
      </c>
      <c r="L967" s="216"/>
    </row>
    <row r="968" spans="2:12" ht="15" customHeight="1" thickBot="1" x14ac:dyDescent="0.25">
      <c r="B968" s="47">
        <f t="shared" si="392"/>
        <v>51</v>
      </c>
      <c r="C968" s="47">
        <f t="shared" si="393"/>
        <v>51</v>
      </c>
      <c r="D968" s="47">
        <f t="shared" si="393"/>
        <v>0</v>
      </c>
      <c r="E968" s="47">
        <f t="shared" si="394"/>
        <v>0</v>
      </c>
      <c r="F968" s="47">
        <v>0</v>
      </c>
      <c r="G968" s="47">
        <v>0</v>
      </c>
      <c r="H968" s="47">
        <f t="shared" si="395"/>
        <v>51</v>
      </c>
      <c r="I968" s="47">
        <v>51</v>
      </c>
      <c r="J968" s="47">
        <v>0</v>
      </c>
      <c r="K968" s="188" t="s">
        <v>233</v>
      </c>
      <c r="L968" s="215"/>
    </row>
    <row r="969" spans="2:12" ht="15" customHeight="1" thickBot="1" x14ac:dyDescent="0.25">
      <c r="B969" s="47">
        <f t="shared" si="392"/>
        <v>0</v>
      </c>
      <c r="C969" s="47">
        <f t="shared" si="393"/>
        <v>0</v>
      </c>
      <c r="D969" s="47">
        <f t="shared" si="393"/>
        <v>0</v>
      </c>
      <c r="E969" s="47">
        <f t="shared" si="394"/>
        <v>0</v>
      </c>
      <c r="F969" s="47">
        <v>0</v>
      </c>
      <c r="G969" s="47">
        <v>0</v>
      </c>
      <c r="H969" s="47">
        <f t="shared" si="395"/>
        <v>0</v>
      </c>
      <c r="I969" s="47">
        <v>0</v>
      </c>
      <c r="J969" s="47">
        <v>0</v>
      </c>
      <c r="K969" s="188" t="s">
        <v>234</v>
      </c>
      <c r="L969" s="215" t="s">
        <v>564</v>
      </c>
    </row>
    <row r="970" spans="2:12" ht="15" customHeight="1" thickBot="1" x14ac:dyDescent="0.25">
      <c r="B970" s="47">
        <f t="shared" ref="B970:I970" si="398">SUM(B968:B969)</f>
        <v>51</v>
      </c>
      <c r="C970" s="47">
        <f t="shared" si="398"/>
        <v>51</v>
      </c>
      <c r="D970" s="47">
        <f t="shared" si="398"/>
        <v>0</v>
      </c>
      <c r="E970" s="47">
        <f t="shared" si="398"/>
        <v>0</v>
      </c>
      <c r="F970" s="47">
        <f t="shared" si="398"/>
        <v>0</v>
      </c>
      <c r="G970" s="47">
        <f t="shared" si="398"/>
        <v>0</v>
      </c>
      <c r="H970" s="47">
        <f t="shared" si="398"/>
        <v>51</v>
      </c>
      <c r="I970" s="47">
        <f t="shared" si="398"/>
        <v>51</v>
      </c>
      <c r="J970" s="47">
        <f>SUM(J968:J969)</f>
        <v>0</v>
      </c>
      <c r="K970" s="188" t="s">
        <v>12</v>
      </c>
      <c r="L970" s="216"/>
    </row>
    <row r="971" spans="2:12" ht="15" customHeight="1" thickBot="1" x14ac:dyDescent="0.25">
      <c r="B971" s="47">
        <f t="shared" si="392"/>
        <v>56</v>
      </c>
      <c r="C971" s="47">
        <f t="shared" si="393"/>
        <v>0</v>
      </c>
      <c r="D971" s="47">
        <f t="shared" si="393"/>
        <v>56</v>
      </c>
      <c r="E971" s="47">
        <f t="shared" si="394"/>
        <v>0</v>
      </c>
      <c r="F971" s="47">
        <v>0</v>
      </c>
      <c r="G971" s="47">
        <v>0</v>
      </c>
      <c r="H971" s="47">
        <f t="shared" si="395"/>
        <v>56</v>
      </c>
      <c r="I971" s="47">
        <v>0</v>
      </c>
      <c r="J971" s="47">
        <v>56</v>
      </c>
      <c r="K971" s="188" t="s">
        <v>233</v>
      </c>
      <c r="L971" s="215"/>
    </row>
    <row r="972" spans="2:12" ht="15" customHeight="1" thickBot="1" x14ac:dyDescent="0.25">
      <c r="B972" s="47">
        <f t="shared" si="392"/>
        <v>0</v>
      </c>
      <c r="C972" s="47">
        <f t="shared" si="393"/>
        <v>0</v>
      </c>
      <c r="D972" s="47">
        <f t="shared" si="393"/>
        <v>0</v>
      </c>
      <c r="E972" s="47">
        <f t="shared" si="394"/>
        <v>0</v>
      </c>
      <c r="F972" s="47">
        <v>0</v>
      </c>
      <c r="G972" s="47">
        <v>0</v>
      </c>
      <c r="H972" s="47">
        <f t="shared" si="395"/>
        <v>0</v>
      </c>
      <c r="I972" s="47">
        <v>0</v>
      </c>
      <c r="J972" s="47">
        <v>0</v>
      </c>
      <c r="K972" s="188" t="s">
        <v>234</v>
      </c>
      <c r="L972" s="215" t="s">
        <v>378</v>
      </c>
    </row>
    <row r="973" spans="2:12" ht="15" customHeight="1" thickBot="1" x14ac:dyDescent="0.25">
      <c r="B973" s="47">
        <f t="shared" ref="B973:I973" si="399">SUM(B971:B972)</f>
        <v>56</v>
      </c>
      <c r="C973" s="47">
        <f t="shared" si="399"/>
        <v>0</v>
      </c>
      <c r="D973" s="47">
        <f t="shared" si="399"/>
        <v>56</v>
      </c>
      <c r="E973" s="47">
        <f t="shared" si="399"/>
        <v>0</v>
      </c>
      <c r="F973" s="47">
        <f t="shared" si="399"/>
        <v>0</v>
      </c>
      <c r="G973" s="47">
        <f t="shared" si="399"/>
        <v>0</v>
      </c>
      <c r="H973" s="47">
        <f t="shared" si="399"/>
        <v>56</v>
      </c>
      <c r="I973" s="47">
        <f t="shared" si="399"/>
        <v>0</v>
      </c>
      <c r="J973" s="47">
        <f>SUM(J971:J972)</f>
        <v>56</v>
      </c>
      <c r="K973" s="188" t="s">
        <v>12</v>
      </c>
      <c r="L973" s="216"/>
    </row>
    <row r="974" spans="2:12" ht="15" customHeight="1" thickBot="1" x14ac:dyDescent="0.25">
      <c r="B974" s="47">
        <f t="shared" si="392"/>
        <v>20</v>
      </c>
      <c r="C974" s="47">
        <f t="shared" si="393"/>
        <v>20</v>
      </c>
      <c r="D974" s="47">
        <f t="shared" si="393"/>
        <v>0</v>
      </c>
      <c r="E974" s="47">
        <f t="shared" si="394"/>
        <v>0</v>
      </c>
      <c r="F974" s="47">
        <v>0</v>
      </c>
      <c r="G974" s="47">
        <v>0</v>
      </c>
      <c r="H974" s="47">
        <f t="shared" si="395"/>
        <v>20</v>
      </c>
      <c r="I974" s="47">
        <v>20</v>
      </c>
      <c r="J974" s="47">
        <v>0</v>
      </c>
      <c r="K974" s="188" t="s">
        <v>233</v>
      </c>
      <c r="L974" s="215"/>
    </row>
    <row r="975" spans="2:12" ht="15" customHeight="1" thickBot="1" x14ac:dyDescent="0.25">
      <c r="B975" s="47">
        <f t="shared" si="392"/>
        <v>0</v>
      </c>
      <c r="C975" s="47">
        <f t="shared" si="393"/>
        <v>0</v>
      </c>
      <c r="D975" s="47">
        <f t="shared" si="393"/>
        <v>0</v>
      </c>
      <c r="E975" s="47">
        <f t="shared" si="394"/>
        <v>0</v>
      </c>
      <c r="F975" s="47">
        <v>0</v>
      </c>
      <c r="G975" s="47">
        <v>0</v>
      </c>
      <c r="H975" s="47">
        <f t="shared" si="395"/>
        <v>0</v>
      </c>
      <c r="I975" s="47">
        <v>0</v>
      </c>
      <c r="J975" s="47">
        <v>0</v>
      </c>
      <c r="K975" s="188" t="s">
        <v>234</v>
      </c>
      <c r="L975" s="215" t="s">
        <v>565</v>
      </c>
    </row>
    <row r="976" spans="2:12" ht="15" customHeight="1" thickBot="1" x14ac:dyDescent="0.25">
      <c r="B976" s="47">
        <f t="shared" ref="B976:I976" si="400">SUM(B974:B975)</f>
        <v>20</v>
      </c>
      <c r="C976" s="47">
        <f t="shared" si="400"/>
        <v>20</v>
      </c>
      <c r="D976" s="47">
        <f t="shared" si="400"/>
        <v>0</v>
      </c>
      <c r="E976" s="47">
        <f t="shared" si="400"/>
        <v>0</v>
      </c>
      <c r="F976" s="47">
        <f t="shared" si="400"/>
        <v>0</v>
      </c>
      <c r="G976" s="47">
        <f t="shared" si="400"/>
        <v>0</v>
      </c>
      <c r="H976" s="47">
        <f t="shared" si="400"/>
        <v>20</v>
      </c>
      <c r="I976" s="47">
        <f t="shared" si="400"/>
        <v>20</v>
      </c>
      <c r="J976" s="47">
        <f>SUM(J974:J975)</f>
        <v>0</v>
      </c>
      <c r="K976" s="188" t="s">
        <v>12</v>
      </c>
      <c r="L976" s="216"/>
    </row>
    <row r="977" spans="2:12" ht="15" customHeight="1" thickBot="1" x14ac:dyDescent="0.25">
      <c r="B977" s="47">
        <f t="shared" ref="B977:J979" si="401">B962+B965+B968+B971+B974</f>
        <v>316</v>
      </c>
      <c r="C977" s="47">
        <f t="shared" si="401"/>
        <v>159</v>
      </c>
      <c r="D977" s="47">
        <f t="shared" si="401"/>
        <v>157</v>
      </c>
      <c r="E977" s="47">
        <f t="shared" si="401"/>
        <v>0</v>
      </c>
      <c r="F977" s="47">
        <f t="shared" si="401"/>
        <v>0</v>
      </c>
      <c r="G977" s="47">
        <f t="shared" si="401"/>
        <v>0</v>
      </c>
      <c r="H977" s="47">
        <f t="shared" si="401"/>
        <v>316</v>
      </c>
      <c r="I977" s="47">
        <f t="shared" si="401"/>
        <v>159</v>
      </c>
      <c r="J977" s="47">
        <f>J962+J965+J968+J971+J974</f>
        <v>157</v>
      </c>
      <c r="K977" s="188" t="s">
        <v>236</v>
      </c>
      <c r="L977" s="217"/>
    </row>
    <row r="978" spans="2:12" ht="15" customHeight="1" thickBot="1" x14ac:dyDescent="0.25">
      <c r="B978" s="47">
        <f t="shared" si="401"/>
        <v>0</v>
      </c>
      <c r="C978" s="47">
        <f t="shared" si="401"/>
        <v>0</v>
      </c>
      <c r="D978" s="47">
        <f t="shared" si="401"/>
        <v>0</v>
      </c>
      <c r="E978" s="47">
        <f t="shared" si="401"/>
        <v>0</v>
      </c>
      <c r="F978" s="47">
        <f t="shared" si="401"/>
        <v>0</v>
      </c>
      <c r="G978" s="47">
        <f t="shared" si="401"/>
        <v>0</v>
      </c>
      <c r="H978" s="47">
        <f t="shared" si="401"/>
        <v>0</v>
      </c>
      <c r="I978" s="47">
        <f t="shared" si="401"/>
        <v>0</v>
      </c>
      <c r="J978" s="47">
        <f t="shared" si="401"/>
        <v>0</v>
      </c>
      <c r="K978" s="188" t="s">
        <v>237</v>
      </c>
      <c r="L978" s="218" t="s">
        <v>188</v>
      </c>
    </row>
    <row r="979" spans="2:12" ht="15" customHeight="1" thickBot="1" x14ac:dyDescent="0.25">
      <c r="B979" s="47">
        <f t="shared" si="401"/>
        <v>316</v>
      </c>
      <c r="C979" s="47">
        <f t="shared" si="401"/>
        <v>159</v>
      </c>
      <c r="D979" s="47">
        <f t="shared" si="401"/>
        <v>157</v>
      </c>
      <c r="E979" s="47">
        <f t="shared" si="401"/>
        <v>0</v>
      </c>
      <c r="F979" s="47">
        <f t="shared" si="401"/>
        <v>0</v>
      </c>
      <c r="G979" s="47">
        <f t="shared" si="401"/>
        <v>0</v>
      </c>
      <c r="H979" s="47">
        <f t="shared" si="401"/>
        <v>316</v>
      </c>
      <c r="I979" s="47">
        <f t="shared" si="401"/>
        <v>159</v>
      </c>
      <c r="J979" s="47">
        <f t="shared" si="401"/>
        <v>157</v>
      </c>
      <c r="K979" s="188" t="s">
        <v>12</v>
      </c>
      <c r="L979" s="219"/>
    </row>
    <row r="980" spans="2:12" ht="15" customHeight="1" thickBot="1" x14ac:dyDescent="0.25">
      <c r="B980" s="496" t="s">
        <v>4</v>
      </c>
      <c r="C980" s="496"/>
      <c r="D980" s="496"/>
      <c r="E980" s="496" t="s">
        <v>145</v>
      </c>
      <c r="F980" s="496"/>
      <c r="G980" s="496"/>
      <c r="H980" s="496" t="s">
        <v>146</v>
      </c>
      <c r="I980" s="496"/>
      <c r="J980" s="496"/>
      <c r="K980" s="497" t="s">
        <v>66</v>
      </c>
      <c r="L980" s="497"/>
    </row>
    <row r="981" spans="2:12" ht="15" customHeight="1" thickBot="1" x14ac:dyDescent="0.25">
      <c r="B981" s="240" t="s">
        <v>227</v>
      </c>
      <c r="C981" s="240" t="s">
        <v>10</v>
      </c>
      <c r="D981" s="240" t="s">
        <v>9</v>
      </c>
      <c r="E981" s="240" t="s">
        <v>227</v>
      </c>
      <c r="F981" s="240" t="s">
        <v>10</v>
      </c>
      <c r="G981" s="240" t="s">
        <v>9</v>
      </c>
      <c r="H981" s="240" t="s">
        <v>227</v>
      </c>
      <c r="I981" s="240" t="s">
        <v>10</v>
      </c>
      <c r="J981" s="240" t="s">
        <v>9</v>
      </c>
      <c r="K981" s="498" t="s">
        <v>155</v>
      </c>
      <c r="L981" s="498"/>
    </row>
    <row r="982" spans="2:12" ht="15" customHeight="1" thickBot="1" x14ac:dyDescent="0.25">
      <c r="B982" s="241">
        <f>SUM(C982:D982)</f>
        <v>463</v>
      </c>
      <c r="C982" s="241">
        <f>I982+F982</f>
        <v>258</v>
      </c>
      <c r="D982" s="241">
        <f>J982+G982</f>
        <v>205</v>
      </c>
      <c r="E982" s="241">
        <f>SUM(F982:G982)</f>
        <v>0</v>
      </c>
      <c r="F982" s="241">
        <v>0</v>
      </c>
      <c r="G982" s="241">
        <v>0</v>
      </c>
      <c r="H982" s="241">
        <f>SUM(I982:J982)</f>
        <v>463</v>
      </c>
      <c r="I982" s="241">
        <v>258</v>
      </c>
      <c r="J982" s="241">
        <v>205</v>
      </c>
      <c r="K982" s="242" t="s">
        <v>233</v>
      </c>
      <c r="L982" s="243"/>
    </row>
    <row r="983" spans="2:12" ht="15" customHeight="1" thickBot="1" x14ac:dyDescent="0.25">
      <c r="B983" s="241">
        <f t="shared" ref="B983:B1040" si="402">SUM(C983:D983)</f>
        <v>0</v>
      </c>
      <c r="C983" s="241">
        <f t="shared" ref="C983:D1040" si="403">I983+F983</f>
        <v>0</v>
      </c>
      <c r="D983" s="241">
        <f t="shared" si="403"/>
        <v>0</v>
      </c>
      <c r="E983" s="241">
        <f t="shared" ref="E983:E1040" si="404">SUM(F983:G983)</f>
        <v>0</v>
      </c>
      <c r="F983" s="241">
        <v>0</v>
      </c>
      <c r="G983" s="241">
        <v>0</v>
      </c>
      <c r="H983" s="241">
        <f t="shared" ref="H983:H1040" si="405">SUM(I983:J983)</f>
        <v>0</v>
      </c>
      <c r="I983" s="241">
        <v>0</v>
      </c>
      <c r="J983" s="241">
        <v>0</v>
      </c>
      <c r="K983" s="242" t="s">
        <v>234</v>
      </c>
      <c r="L983" s="243" t="s">
        <v>127</v>
      </c>
    </row>
    <row r="984" spans="2:12" ht="15" customHeight="1" thickBot="1" x14ac:dyDescent="0.25">
      <c r="B984" s="241">
        <f t="shared" ref="B984:I984" si="406">SUM(B982:B983)</f>
        <v>463</v>
      </c>
      <c r="C984" s="241">
        <f t="shared" si="406"/>
        <v>258</v>
      </c>
      <c r="D984" s="241">
        <f t="shared" si="406"/>
        <v>205</v>
      </c>
      <c r="E984" s="241">
        <f t="shared" si="406"/>
        <v>0</v>
      </c>
      <c r="F984" s="241">
        <f t="shared" si="406"/>
        <v>0</v>
      </c>
      <c r="G984" s="241">
        <f t="shared" si="406"/>
        <v>0</v>
      </c>
      <c r="H984" s="241">
        <f t="shared" si="406"/>
        <v>463</v>
      </c>
      <c r="I984" s="241">
        <f t="shared" si="406"/>
        <v>258</v>
      </c>
      <c r="J984" s="241">
        <f>SUM(J982:J983)</f>
        <v>205</v>
      </c>
      <c r="K984" s="242" t="s">
        <v>12</v>
      </c>
      <c r="L984" s="244"/>
    </row>
    <row r="985" spans="2:12" ht="15" customHeight="1" thickBot="1" x14ac:dyDescent="0.25">
      <c r="B985" s="241">
        <f t="shared" si="402"/>
        <v>3168</v>
      </c>
      <c r="C985" s="241">
        <f t="shared" si="403"/>
        <v>1400</v>
      </c>
      <c r="D985" s="241">
        <f t="shared" si="403"/>
        <v>1768</v>
      </c>
      <c r="E985" s="241">
        <f t="shared" si="404"/>
        <v>1089</v>
      </c>
      <c r="F985" s="241">
        <v>500</v>
      </c>
      <c r="G985" s="241">
        <v>589</v>
      </c>
      <c r="H985" s="241">
        <f t="shared" si="405"/>
        <v>2079</v>
      </c>
      <c r="I985" s="241">
        <v>900</v>
      </c>
      <c r="J985" s="241">
        <v>1179</v>
      </c>
      <c r="K985" s="242" t="s">
        <v>233</v>
      </c>
      <c r="L985" s="243"/>
    </row>
    <row r="986" spans="2:12" ht="15" customHeight="1" thickBot="1" x14ac:dyDescent="0.25">
      <c r="B986" s="241">
        <f t="shared" si="402"/>
        <v>0</v>
      </c>
      <c r="C986" s="241">
        <f t="shared" si="403"/>
        <v>0</v>
      </c>
      <c r="D986" s="241">
        <f t="shared" si="403"/>
        <v>0</v>
      </c>
      <c r="E986" s="241">
        <f t="shared" si="404"/>
        <v>0</v>
      </c>
      <c r="F986" s="241">
        <v>0</v>
      </c>
      <c r="G986" s="241">
        <v>0</v>
      </c>
      <c r="H986" s="241">
        <f t="shared" si="405"/>
        <v>0</v>
      </c>
      <c r="I986" s="241">
        <v>0</v>
      </c>
      <c r="J986" s="241">
        <v>0</v>
      </c>
      <c r="K986" s="242" t="s">
        <v>234</v>
      </c>
      <c r="L986" s="243" t="s">
        <v>128</v>
      </c>
    </row>
    <row r="987" spans="2:12" ht="15" customHeight="1" thickBot="1" x14ac:dyDescent="0.25">
      <c r="B987" s="241">
        <f t="shared" ref="B987:I987" si="407">SUM(B985:B986)</f>
        <v>3168</v>
      </c>
      <c r="C987" s="241">
        <f t="shared" si="407"/>
        <v>1400</v>
      </c>
      <c r="D987" s="241">
        <f t="shared" si="407"/>
        <v>1768</v>
      </c>
      <c r="E987" s="241">
        <f t="shared" si="407"/>
        <v>1089</v>
      </c>
      <c r="F987" s="241">
        <f t="shared" si="407"/>
        <v>500</v>
      </c>
      <c r="G987" s="241">
        <f t="shared" si="407"/>
        <v>589</v>
      </c>
      <c r="H987" s="241">
        <f t="shared" si="407"/>
        <v>2079</v>
      </c>
      <c r="I987" s="241">
        <f t="shared" si="407"/>
        <v>900</v>
      </c>
      <c r="J987" s="241">
        <f>SUM(J985:J986)</f>
        <v>1179</v>
      </c>
      <c r="K987" s="242" t="s">
        <v>12</v>
      </c>
      <c r="L987" s="244"/>
    </row>
    <row r="988" spans="2:12" ht="15" customHeight="1" thickBot="1" x14ac:dyDescent="0.25">
      <c r="B988" s="241">
        <f t="shared" si="402"/>
        <v>646</v>
      </c>
      <c r="C988" s="241">
        <f t="shared" si="403"/>
        <v>279</v>
      </c>
      <c r="D988" s="241">
        <f t="shared" si="403"/>
        <v>367</v>
      </c>
      <c r="E988" s="241">
        <f t="shared" si="404"/>
        <v>45</v>
      </c>
      <c r="F988" s="241">
        <v>22</v>
      </c>
      <c r="G988" s="241">
        <v>23</v>
      </c>
      <c r="H988" s="241">
        <f t="shared" si="405"/>
        <v>601</v>
      </c>
      <c r="I988" s="241">
        <v>257</v>
      </c>
      <c r="J988" s="241">
        <v>344</v>
      </c>
      <c r="K988" s="242" t="s">
        <v>233</v>
      </c>
      <c r="L988" s="243"/>
    </row>
    <row r="989" spans="2:12" ht="15" customHeight="1" thickBot="1" x14ac:dyDescent="0.25">
      <c r="B989" s="241">
        <f t="shared" si="402"/>
        <v>0</v>
      </c>
      <c r="C989" s="241">
        <f t="shared" si="403"/>
        <v>0</v>
      </c>
      <c r="D989" s="241">
        <f t="shared" si="403"/>
        <v>0</v>
      </c>
      <c r="E989" s="241">
        <f t="shared" si="404"/>
        <v>0</v>
      </c>
      <c r="F989" s="241">
        <v>0</v>
      </c>
      <c r="G989" s="241">
        <v>0</v>
      </c>
      <c r="H989" s="241">
        <f t="shared" si="405"/>
        <v>0</v>
      </c>
      <c r="I989" s="241">
        <v>0</v>
      </c>
      <c r="J989" s="241">
        <v>0</v>
      </c>
      <c r="K989" s="242" t="s">
        <v>234</v>
      </c>
      <c r="L989" s="243" t="s">
        <v>129</v>
      </c>
    </row>
    <row r="990" spans="2:12" ht="15" customHeight="1" thickBot="1" x14ac:dyDescent="0.25">
      <c r="B990" s="241">
        <f t="shared" ref="B990:I990" si="408">SUM(B988:B989)</f>
        <v>646</v>
      </c>
      <c r="C990" s="241">
        <f t="shared" si="408"/>
        <v>279</v>
      </c>
      <c r="D990" s="241">
        <f t="shared" si="408"/>
        <v>367</v>
      </c>
      <c r="E990" s="241">
        <f t="shared" si="408"/>
        <v>45</v>
      </c>
      <c r="F990" s="241">
        <f t="shared" si="408"/>
        <v>22</v>
      </c>
      <c r="G990" s="241">
        <f t="shared" si="408"/>
        <v>23</v>
      </c>
      <c r="H990" s="241">
        <f t="shared" si="408"/>
        <v>601</v>
      </c>
      <c r="I990" s="241">
        <f t="shared" si="408"/>
        <v>257</v>
      </c>
      <c r="J990" s="241">
        <f>SUM(J988:J989)</f>
        <v>344</v>
      </c>
      <c r="K990" s="242" t="s">
        <v>12</v>
      </c>
      <c r="L990" s="244"/>
    </row>
    <row r="991" spans="2:12" ht="15" customHeight="1" thickBot="1" x14ac:dyDescent="0.25">
      <c r="B991" s="241">
        <f t="shared" si="402"/>
        <v>456</v>
      </c>
      <c r="C991" s="241">
        <f t="shared" si="403"/>
        <v>456</v>
      </c>
      <c r="D991" s="241">
        <f t="shared" si="403"/>
        <v>0</v>
      </c>
      <c r="E991" s="241">
        <f t="shared" si="404"/>
        <v>0</v>
      </c>
      <c r="F991" s="241">
        <v>0</v>
      </c>
      <c r="G991" s="241">
        <v>0</v>
      </c>
      <c r="H991" s="241">
        <f t="shared" si="405"/>
        <v>456</v>
      </c>
      <c r="I991" s="241">
        <v>456</v>
      </c>
      <c r="J991" s="241">
        <v>0</v>
      </c>
      <c r="K991" s="242" t="s">
        <v>233</v>
      </c>
      <c r="L991" s="243"/>
    </row>
    <row r="992" spans="2:12" ht="15" customHeight="1" thickBot="1" x14ac:dyDescent="0.25">
      <c r="B992" s="241">
        <f t="shared" si="402"/>
        <v>0</v>
      </c>
      <c r="C992" s="241">
        <f t="shared" si="403"/>
        <v>0</v>
      </c>
      <c r="D992" s="241">
        <f t="shared" si="403"/>
        <v>0</v>
      </c>
      <c r="E992" s="241">
        <f t="shared" si="404"/>
        <v>0</v>
      </c>
      <c r="F992" s="241">
        <v>0</v>
      </c>
      <c r="G992" s="241">
        <v>0</v>
      </c>
      <c r="H992" s="241">
        <f t="shared" si="405"/>
        <v>0</v>
      </c>
      <c r="I992" s="241">
        <v>0</v>
      </c>
      <c r="J992" s="241">
        <v>0</v>
      </c>
      <c r="K992" s="242" t="s">
        <v>234</v>
      </c>
      <c r="L992" s="243" t="s">
        <v>130</v>
      </c>
    </row>
    <row r="993" spans="2:12" ht="15" customHeight="1" thickBot="1" x14ac:dyDescent="0.25">
      <c r="B993" s="241">
        <f t="shared" ref="B993:I993" si="409">SUM(B991:B992)</f>
        <v>456</v>
      </c>
      <c r="C993" s="241">
        <f t="shared" si="409"/>
        <v>456</v>
      </c>
      <c r="D993" s="241">
        <f t="shared" si="409"/>
        <v>0</v>
      </c>
      <c r="E993" s="241">
        <f t="shared" si="409"/>
        <v>0</v>
      </c>
      <c r="F993" s="241">
        <f t="shared" si="409"/>
        <v>0</v>
      </c>
      <c r="G993" s="241">
        <f t="shared" si="409"/>
        <v>0</v>
      </c>
      <c r="H993" s="241">
        <f t="shared" si="409"/>
        <v>456</v>
      </c>
      <c r="I993" s="241">
        <f t="shared" si="409"/>
        <v>456</v>
      </c>
      <c r="J993" s="241">
        <f>SUM(J991:J992)</f>
        <v>0</v>
      </c>
      <c r="K993" s="242" t="s">
        <v>12</v>
      </c>
      <c r="L993" s="244"/>
    </row>
    <row r="994" spans="2:12" ht="15" customHeight="1" thickBot="1" x14ac:dyDescent="0.25">
      <c r="B994" s="241">
        <f t="shared" si="402"/>
        <v>195</v>
      </c>
      <c r="C994" s="241">
        <f t="shared" si="403"/>
        <v>103</v>
      </c>
      <c r="D994" s="241">
        <f t="shared" si="403"/>
        <v>92</v>
      </c>
      <c r="E994" s="241">
        <f t="shared" si="404"/>
        <v>0</v>
      </c>
      <c r="F994" s="241">
        <v>0</v>
      </c>
      <c r="G994" s="241">
        <v>0</v>
      </c>
      <c r="H994" s="241">
        <f t="shared" si="405"/>
        <v>195</v>
      </c>
      <c r="I994" s="241">
        <v>103</v>
      </c>
      <c r="J994" s="241">
        <v>92</v>
      </c>
      <c r="K994" s="242" t="s">
        <v>233</v>
      </c>
      <c r="L994" s="243"/>
    </row>
    <row r="995" spans="2:12" ht="15" customHeight="1" thickBot="1" x14ac:dyDescent="0.25">
      <c r="B995" s="241">
        <f t="shared" si="402"/>
        <v>0</v>
      </c>
      <c r="C995" s="241">
        <f t="shared" si="403"/>
        <v>0</v>
      </c>
      <c r="D995" s="241">
        <f t="shared" si="403"/>
        <v>0</v>
      </c>
      <c r="E995" s="241">
        <f t="shared" si="404"/>
        <v>0</v>
      </c>
      <c r="F995" s="241">
        <v>0</v>
      </c>
      <c r="G995" s="241">
        <v>0</v>
      </c>
      <c r="H995" s="241">
        <f t="shared" si="405"/>
        <v>0</v>
      </c>
      <c r="I995" s="241">
        <v>0</v>
      </c>
      <c r="J995" s="241">
        <v>0</v>
      </c>
      <c r="K995" s="242" t="s">
        <v>234</v>
      </c>
      <c r="L995" s="243" t="s">
        <v>131</v>
      </c>
    </row>
    <row r="996" spans="2:12" ht="15" customHeight="1" thickBot="1" x14ac:dyDescent="0.25">
      <c r="B996" s="241">
        <f t="shared" ref="B996:I996" si="410">SUM(B994:B995)</f>
        <v>195</v>
      </c>
      <c r="C996" s="241">
        <f t="shared" si="410"/>
        <v>103</v>
      </c>
      <c r="D996" s="241">
        <f t="shared" si="410"/>
        <v>92</v>
      </c>
      <c r="E996" s="241">
        <f t="shared" si="410"/>
        <v>0</v>
      </c>
      <c r="F996" s="241">
        <f t="shared" si="410"/>
        <v>0</v>
      </c>
      <c r="G996" s="241">
        <f t="shared" si="410"/>
        <v>0</v>
      </c>
      <c r="H996" s="241">
        <f t="shared" si="410"/>
        <v>195</v>
      </c>
      <c r="I996" s="241">
        <f t="shared" si="410"/>
        <v>103</v>
      </c>
      <c r="J996" s="241">
        <f>SUM(J994:J995)</f>
        <v>92</v>
      </c>
      <c r="K996" s="242" t="s">
        <v>12</v>
      </c>
      <c r="L996" s="244"/>
    </row>
    <row r="997" spans="2:12" ht="15" customHeight="1" thickBot="1" x14ac:dyDescent="0.25">
      <c r="B997" s="241">
        <f t="shared" si="402"/>
        <v>88</v>
      </c>
      <c r="C997" s="241">
        <f t="shared" si="403"/>
        <v>0</v>
      </c>
      <c r="D997" s="241">
        <f t="shared" si="403"/>
        <v>88</v>
      </c>
      <c r="E997" s="241">
        <f t="shared" si="404"/>
        <v>36</v>
      </c>
      <c r="F997" s="241">
        <v>0</v>
      </c>
      <c r="G997" s="241">
        <v>36</v>
      </c>
      <c r="H997" s="241">
        <f t="shared" si="405"/>
        <v>52</v>
      </c>
      <c r="I997" s="241">
        <v>0</v>
      </c>
      <c r="J997" s="241">
        <v>52</v>
      </c>
      <c r="K997" s="242" t="s">
        <v>233</v>
      </c>
      <c r="L997" s="243"/>
    </row>
    <row r="998" spans="2:12" ht="15" customHeight="1" thickBot="1" x14ac:dyDescent="0.25">
      <c r="B998" s="241">
        <f t="shared" si="402"/>
        <v>0</v>
      </c>
      <c r="C998" s="241">
        <f t="shared" si="403"/>
        <v>0</v>
      </c>
      <c r="D998" s="241">
        <f t="shared" si="403"/>
        <v>0</v>
      </c>
      <c r="E998" s="241">
        <f t="shared" si="404"/>
        <v>0</v>
      </c>
      <c r="F998" s="241">
        <v>0</v>
      </c>
      <c r="G998" s="241">
        <v>0</v>
      </c>
      <c r="H998" s="241">
        <f t="shared" si="405"/>
        <v>0</v>
      </c>
      <c r="I998" s="241">
        <v>0</v>
      </c>
      <c r="J998" s="241">
        <v>0</v>
      </c>
      <c r="K998" s="242" t="s">
        <v>234</v>
      </c>
      <c r="L998" s="243" t="s">
        <v>132</v>
      </c>
    </row>
    <row r="999" spans="2:12" ht="15" customHeight="1" thickBot="1" x14ac:dyDescent="0.25">
      <c r="B999" s="241">
        <f t="shared" ref="B999:I999" si="411">SUM(B997:B998)</f>
        <v>88</v>
      </c>
      <c r="C999" s="241">
        <f t="shared" si="411"/>
        <v>0</v>
      </c>
      <c r="D999" s="241">
        <f t="shared" si="411"/>
        <v>88</v>
      </c>
      <c r="E999" s="241">
        <f t="shared" si="411"/>
        <v>36</v>
      </c>
      <c r="F999" s="241">
        <f t="shared" si="411"/>
        <v>0</v>
      </c>
      <c r="G999" s="241">
        <f t="shared" si="411"/>
        <v>36</v>
      </c>
      <c r="H999" s="241">
        <f t="shared" si="411"/>
        <v>52</v>
      </c>
      <c r="I999" s="241">
        <f t="shared" si="411"/>
        <v>0</v>
      </c>
      <c r="J999" s="241">
        <f>SUM(J997:J998)</f>
        <v>52</v>
      </c>
      <c r="K999" s="242" t="s">
        <v>12</v>
      </c>
      <c r="L999" s="244"/>
    </row>
    <row r="1000" spans="2:12" ht="15" customHeight="1" thickBot="1" x14ac:dyDescent="0.25">
      <c r="B1000" s="241">
        <f t="shared" si="402"/>
        <v>217</v>
      </c>
      <c r="C1000" s="241">
        <f t="shared" si="403"/>
        <v>217</v>
      </c>
      <c r="D1000" s="241">
        <f t="shared" si="403"/>
        <v>0</v>
      </c>
      <c r="E1000" s="241">
        <f t="shared" si="404"/>
        <v>59</v>
      </c>
      <c r="F1000" s="241">
        <v>59</v>
      </c>
      <c r="G1000" s="241">
        <v>0</v>
      </c>
      <c r="H1000" s="241">
        <f t="shared" si="405"/>
        <v>158</v>
      </c>
      <c r="I1000" s="241">
        <v>158</v>
      </c>
      <c r="J1000" s="241">
        <v>0</v>
      </c>
      <c r="K1000" s="242" t="s">
        <v>233</v>
      </c>
      <c r="L1000" s="243"/>
    </row>
    <row r="1001" spans="2:12" ht="15" customHeight="1" thickBot="1" x14ac:dyDescent="0.25">
      <c r="B1001" s="241">
        <f t="shared" si="402"/>
        <v>0</v>
      </c>
      <c r="C1001" s="241">
        <f t="shared" si="403"/>
        <v>0</v>
      </c>
      <c r="D1001" s="241">
        <f t="shared" si="403"/>
        <v>0</v>
      </c>
      <c r="E1001" s="241">
        <f t="shared" si="404"/>
        <v>0</v>
      </c>
      <c r="F1001" s="241">
        <v>0</v>
      </c>
      <c r="G1001" s="241">
        <v>0</v>
      </c>
      <c r="H1001" s="241">
        <f t="shared" si="405"/>
        <v>0</v>
      </c>
      <c r="I1001" s="241">
        <v>0</v>
      </c>
      <c r="J1001" s="241">
        <v>0</v>
      </c>
      <c r="K1001" s="242" t="s">
        <v>234</v>
      </c>
      <c r="L1001" s="243" t="s">
        <v>133</v>
      </c>
    </row>
    <row r="1002" spans="2:12" ht="15" customHeight="1" thickBot="1" x14ac:dyDescent="0.25">
      <c r="B1002" s="241">
        <f t="shared" ref="B1002:I1002" si="412">SUM(B1000:B1001)</f>
        <v>217</v>
      </c>
      <c r="C1002" s="241">
        <f t="shared" si="412"/>
        <v>217</v>
      </c>
      <c r="D1002" s="241">
        <f t="shared" si="412"/>
        <v>0</v>
      </c>
      <c r="E1002" s="241">
        <f t="shared" si="412"/>
        <v>59</v>
      </c>
      <c r="F1002" s="241">
        <f t="shared" si="412"/>
        <v>59</v>
      </c>
      <c r="G1002" s="241">
        <f t="shared" si="412"/>
        <v>0</v>
      </c>
      <c r="H1002" s="241">
        <f t="shared" si="412"/>
        <v>158</v>
      </c>
      <c r="I1002" s="241">
        <f t="shared" si="412"/>
        <v>158</v>
      </c>
      <c r="J1002" s="241">
        <f>SUM(J1000:J1001)</f>
        <v>0</v>
      </c>
      <c r="K1002" s="242" t="s">
        <v>12</v>
      </c>
      <c r="L1002" s="244"/>
    </row>
    <row r="1003" spans="2:12" ht="15" customHeight="1" thickBot="1" x14ac:dyDescent="0.25">
      <c r="B1003" s="241">
        <f t="shared" si="402"/>
        <v>98</v>
      </c>
      <c r="C1003" s="241">
        <f t="shared" si="403"/>
        <v>0</v>
      </c>
      <c r="D1003" s="241">
        <f t="shared" si="403"/>
        <v>98</v>
      </c>
      <c r="E1003" s="241">
        <f t="shared" si="404"/>
        <v>1</v>
      </c>
      <c r="F1003" s="241">
        <v>0</v>
      </c>
      <c r="G1003" s="241">
        <v>1</v>
      </c>
      <c r="H1003" s="241">
        <f t="shared" si="405"/>
        <v>97</v>
      </c>
      <c r="I1003" s="241">
        <v>0</v>
      </c>
      <c r="J1003" s="241">
        <v>97</v>
      </c>
      <c r="K1003" s="242" t="s">
        <v>233</v>
      </c>
      <c r="L1003" s="243"/>
    </row>
    <row r="1004" spans="2:12" ht="15" customHeight="1" thickBot="1" x14ac:dyDescent="0.25">
      <c r="B1004" s="241">
        <f t="shared" si="402"/>
        <v>0</v>
      </c>
      <c r="C1004" s="241">
        <f t="shared" si="403"/>
        <v>0</v>
      </c>
      <c r="D1004" s="241">
        <f t="shared" si="403"/>
        <v>0</v>
      </c>
      <c r="E1004" s="241">
        <f t="shared" si="404"/>
        <v>0</v>
      </c>
      <c r="F1004" s="241">
        <v>0</v>
      </c>
      <c r="G1004" s="241">
        <v>0</v>
      </c>
      <c r="H1004" s="241">
        <f t="shared" si="405"/>
        <v>0</v>
      </c>
      <c r="I1004" s="241">
        <v>0</v>
      </c>
      <c r="J1004" s="241">
        <v>0</v>
      </c>
      <c r="K1004" s="242" t="s">
        <v>234</v>
      </c>
      <c r="L1004" s="243" t="s">
        <v>134</v>
      </c>
    </row>
    <row r="1005" spans="2:12" ht="15" customHeight="1" thickBot="1" x14ac:dyDescent="0.25">
      <c r="B1005" s="241">
        <f t="shared" ref="B1005:I1005" si="413">SUM(B1003:B1004)</f>
        <v>98</v>
      </c>
      <c r="C1005" s="241">
        <f t="shared" si="413"/>
        <v>0</v>
      </c>
      <c r="D1005" s="241">
        <f t="shared" si="413"/>
        <v>98</v>
      </c>
      <c r="E1005" s="241">
        <f t="shared" si="413"/>
        <v>1</v>
      </c>
      <c r="F1005" s="241">
        <f t="shared" si="413"/>
        <v>0</v>
      </c>
      <c r="G1005" s="241">
        <f t="shared" si="413"/>
        <v>1</v>
      </c>
      <c r="H1005" s="241">
        <f t="shared" si="413"/>
        <v>97</v>
      </c>
      <c r="I1005" s="241">
        <f t="shared" si="413"/>
        <v>0</v>
      </c>
      <c r="J1005" s="241">
        <f>SUM(J1003:J1004)</f>
        <v>97</v>
      </c>
      <c r="K1005" s="242" t="s">
        <v>12</v>
      </c>
      <c r="L1005" s="244"/>
    </row>
    <row r="1006" spans="2:12" ht="15" customHeight="1" thickBot="1" x14ac:dyDescent="0.25">
      <c r="B1006" s="241">
        <f t="shared" si="402"/>
        <v>106</v>
      </c>
      <c r="C1006" s="241">
        <f t="shared" si="403"/>
        <v>0</v>
      </c>
      <c r="D1006" s="241">
        <f t="shared" si="403"/>
        <v>106</v>
      </c>
      <c r="E1006" s="241">
        <f t="shared" si="404"/>
        <v>2</v>
      </c>
      <c r="F1006" s="241">
        <v>0</v>
      </c>
      <c r="G1006" s="241">
        <v>2</v>
      </c>
      <c r="H1006" s="241">
        <f t="shared" si="405"/>
        <v>104</v>
      </c>
      <c r="I1006" s="241">
        <v>0</v>
      </c>
      <c r="J1006" s="241">
        <v>104</v>
      </c>
      <c r="K1006" s="242" t="s">
        <v>233</v>
      </c>
      <c r="L1006" s="243"/>
    </row>
    <row r="1007" spans="2:12" ht="15" customHeight="1" thickBot="1" x14ac:dyDescent="0.25">
      <c r="B1007" s="241">
        <f t="shared" si="402"/>
        <v>0</v>
      </c>
      <c r="C1007" s="241">
        <f t="shared" si="403"/>
        <v>0</v>
      </c>
      <c r="D1007" s="241">
        <f t="shared" si="403"/>
        <v>0</v>
      </c>
      <c r="E1007" s="241">
        <f t="shared" si="404"/>
        <v>0</v>
      </c>
      <c r="F1007" s="241">
        <v>0</v>
      </c>
      <c r="G1007" s="241">
        <v>0</v>
      </c>
      <c r="H1007" s="241">
        <f t="shared" si="405"/>
        <v>0</v>
      </c>
      <c r="I1007" s="241">
        <v>0</v>
      </c>
      <c r="J1007" s="241">
        <v>0</v>
      </c>
      <c r="K1007" s="242" t="s">
        <v>234</v>
      </c>
      <c r="L1007" s="243" t="s">
        <v>135</v>
      </c>
    </row>
    <row r="1008" spans="2:12" ht="15" customHeight="1" thickBot="1" x14ac:dyDescent="0.25">
      <c r="B1008" s="241">
        <f t="shared" ref="B1008:I1008" si="414">SUM(B1006:B1007)</f>
        <v>106</v>
      </c>
      <c r="C1008" s="241">
        <f t="shared" si="414"/>
        <v>0</v>
      </c>
      <c r="D1008" s="241">
        <f t="shared" si="414"/>
        <v>106</v>
      </c>
      <c r="E1008" s="241">
        <f t="shared" si="414"/>
        <v>2</v>
      </c>
      <c r="F1008" s="241">
        <f t="shared" si="414"/>
        <v>0</v>
      </c>
      <c r="G1008" s="241">
        <f t="shared" si="414"/>
        <v>2</v>
      </c>
      <c r="H1008" s="241">
        <f t="shared" si="414"/>
        <v>104</v>
      </c>
      <c r="I1008" s="241">
        <f t="shared" si="414"/>
        <v>0</v>
      </c>
      <c r="J1008" s="241">
        <f>SUM(J1006:J1007)</f>
        <v>104</v>
      </c>
      <c r="K1008" s="242" t="s">
        <v>12</v>
      </c>
      <c r="L1008" s="244"/>
    </row>
    <row r="1009" spans="2:12" ht="15" customHeight="1" thickBot="1" x14ac:dyDescent="0.25">
      <c r="B1009" s="241">
        <f t="shared" si="402"/>
        <v>107</v>
      </c>
      <c r="C1009" s="241">
        <f t="shared" si="403"/>
        <v>41</v>
      </c>
      <c r="D1009" s="241">
        <f t="shared" si="403"/>
        <v>66</v>
      </c>
      <c r="E1009" s="241">
        <f t="shared" si="404"/>
        <v>21</v>
      </c>
      <c r="F1009" s="241">
        <v>4</v>
      </c>
      <c r="G1009" s="241">
        <v>17</v>
      </c>
      <c r="H1009" s="241">
        <f t="shared" si="405"/>
        <v>86</v>
      </c>
      <c r="I1009" s="241">
        <v>37</v>
      </c>
      <c r="J1009" s="241">
        <v>49</v>
      </c>
      <c r="K1009" s="242" t="s">
        <v>233</v>
      </c>
      <c r="L1009" s="243"/>
    </row>
    <row r="1010" spans="2:12" ht="15" customHeight="1" thickBot="1" x14ac:dyDescent="0.25">
      <c r="B1010" s="241">
        <f t="shared" si="402"/>
        <v>0</v>
      </c>
      <c r="C1010" s="241">
        <f t="shared" si="403"/>
        <v>0</v>
      </c>
      <c r="D1010" s="241">
        <f t="shared" si="403"/>
        <v>0</v>
      </c>
      <c r="E1010" s="241">
        <f t="shared" si="404"/>
        <v>0</v>
      </c>
      <c r="F1010" s="241">
        <v>0</v>
      </c>
      <c r="G1010" s="241">
        <v>0</v>
      </c>
      <c r="H1010" s="241">
        <f t="shared" si="405"/>
        <v>0</v>
      </c>
      <c r="I1010" s="241">
        <v>0</v>
      </c>
      <c r="J1010" s="241">
        <v>0</v>
      </c>
      <c r="K1010" s="242" t="s">
        <v>234</v>
      </c>
      <c r="L1010" s="243" t="s">
        <v>136</v>
      </c>
    </row>
    <row r="1011" spans="2:12" ht="15" customHeight="1" thickBot="1" x14ac:dyDescent="0.25">
      <c r="B1011" s="241">
        <f t="shared" ref="B1011:I1011" si="415">SUM(B1009:B1010)</f>
        <v>107</v>
      </c>
      <c r="C1011" s="241">
        <f t="shared" si="415"/>
        <v>41</v>
      </c>
      <c r="D1011" s="241">
        <f t="shared" si="415"/>
        <v>66</v>
      </c>
      <c r="E1011" s="241">
        <f t="shared" si="415"/>
        <v>21</v>
      </c>
      <c r="F1011" s="241">
        <f t="shared" si="415"/>
        <v>4</v>
      </c>
      <c r="G1011" s="241">
        <f t="shared" si="415"/>
        <v>17</v>
      </c>
      <c r="H1011" s="241">
        <f t="shared" si="415"/>
        <v>86</v>
      </c>
      <c r="I1011" s="241">
        <f t="shared" si="415"/>
        <v>37</v>
      </c>
      <c r="J1011" s="241">
        <f>SUM(J1009:J1010)</f>
        <v>49</v>
      </c>
      <c r="K1011" s="242" t="s">
        <v>12</v>
      </c>
      <c r="L1011" s="244"/>
    </row>
    <row r="1012" spans="2:12" ht="15" customHeight="1" thickBot="1" x14ac:dyDescent="0.25">
      <c r="B1012" s="241">
        <f t="shared" si="402"/>
        <v>195</v>
      </c>
      <c r="C1012" s="241">
        <f t="shared" si="403"/>
        <v>44</v>
      </c>
      <c r="D1012" s="241">
        <f t="shared" si="403"/>
        <v>151</v>
      </c>
      <c r="E1012" s="241">
        <f t="shared" si="404"/>
        <v>0</v>
      </c>
      <c r="F1012" s="241">
        <v>0</v>
      </c>
      <c r="G1012" s="241">
        <v>0</v>
      </c>
      <c r="H1012" s="241">
        <f t="shared" si="405"/>
        <v>195</v>
      </c>
      <c r="I1012" s="241">
        <v>44</v>
      </c>
      <c r="J1012" s="241">
        <v>151</v>
      </c>
      <c r="K1012" s="242" t="s">
        <v>233</v>
      </c>
      <c r="L1012" s="243"/>
    </row>
    <row r="1013" spans="2:12" ht="15" customHeight="1" thickBot="1" x14ac:dyDescent="0.25">
      <c r="B1013" s="241">
        <f t="shared" si="402"/>
        <v>0</v>
      </c>
      <c r="C1013" s="241">
        <f t="shared" si="403"/>
        <v>0</v>
      </c>
      <c r="D1013" s="241">
        <f t="shared" si="403"/>
        <v>0</v>
      </c>
      <c r="E1013" s="241">
        <f t="shared" si="404"/>
        <v>0</v>
      </c>
      <c r="F1013" s="241">
        <v>0</v>
      </c>
      <c r="G1013" s="241">
        <v>0</v>
      </c>
      <c r="H1013" s="241">
        <f t="shared" si="405"/>
        <v>0</v>
      </c>
      <c r="I1013" s="241">
        <v>0</v>
      </c>
      <c r="J1013" s="241">
        <v>0</v>
      </c>
      <c r="K1013" s="242" t="s">
        <v>234</v>
      </c>
      <c r="L1013" s="243" t="s">
        <v>566</v>
      </c>
    </row>
    <row r="1014" spans="2:12" ht="15" customHeight="1" thickBot="1" x14ac:dyDescent="0.25">
      <c r="B1014" s="241">
        <f t="shared" ref="B1014:I1014" si="416">SUM(B1012:B1013)</f>
        <v>195</v>
      </c>
      <c r="C1014" s="241">
        <f t="shared" si="416"/>
        <v>44</v>
      </c>
      <c r="D1014" s="241">
        <f t="shared" si="416"/>
        <v>151</v>
      </c>
      <c r="E1014" s="241">
        <f t="shared" si="416"/>
        <v>0</v>
      </c>
      <c r="F1014" s="241">
        <f t="shared" si="416"/>
        <v>0</v>
      </c>
      <c r="G1014" s="241">
        <f t="shared" si="416"/>
        <v>0</v>
      </c>
      <c r="H1014" s="241">
        <f t="shared" si="416"/>
        <v>195</v>
      </c>
      <c r="I1014" s="241">
        <f t="shared" si="416"/>
        <v>44</v>
      </c>
      <c r="J1014" s="241">
        <f>SUM(J1012:J1013)</f>
        <v>151</v>
      </c>
      <c r="K1014" s="242" t="s">
        <v>12</v>
      </c>
      <c r="L1014" s="244"/>
    </row>
    <row r="1015" spans="2:12" ht="15" customHeight="1" thickBot="1" x14ac:dyDescent="0.25">
      <c r="B1015" s="241">
        <f t="shared" si="402"/>
        <v>270</v>
      </c>
      <c r="C1015" s="241">
        <f t="shared" si="403"/>
        <v>160</v>
      </c>
      <c r="D1015" s="241">
        <f t="shared" si="403"/>
        <v>110</v>
      </c>
      <c r="E1015" s="241">
        <f t="shared" si="404"/>
        <v>0</v>
      </c>
      <c r="F1015" s="241">
        <v>0</v>
      </c>
      <c r="G1015" s="241">
        <v>0</v>
      </c>
      <c r="H1015" s="241">
        <f t="shared" si="405"/>
        <v>270</v>
      </c>
      <c r="I1015" s="241">
        <v>160</v>
      </c>
      <c r="J1015" s="241">
        <v>110</v>
      </c>
      <c r="K1015" s="242" t="s">
        <v>233</v>
      </c>
      <c r="L1015" s="243"/>
    </row>
    <row r="1016" spans="2:12" ht="15" customHeight="1" thickBot="1" x14ac:dyDescent="0.25">
      <c r="B1016" s="241">
        <f t="shared" si="402"/>
        <v>0</v>
      </c>
      <c r="C1016" s="241">
        <f t="shared" si="403"/>
        <v>0</v>
      </c>
      <c r="D1016" s="241">
        <f t="shared" si="403"/>
        <v>0</v>
      </c>
      <c r="E1016" s="241">
        <f t="shared" si="404"/>
        <v>0</v>
      </c>
      <c r="F1016" s="241">
        <v>0</v>
      </c>
      <c r="G1016" s="241">
        <v>0</v>
      </c>
      <c r="H1016" s="241">
        <f t="shared" si="405"/>
        <v>0</v>
      </c>
      <c r="I1016" s="241">
        <v>0</v>
      </c>
      <c r="J1016" s="241">
        <v>0</v>
      </c>
      <c r="K1016" s="242" t="s">
        <v>234</v>
      </c>
      <c r="L1016" s="243" t="s">
        <v>567</v>
      </c>
    </row>
    <row r="1017" spans="2:12" ht="15" customHeight="1" thickBot="1" x14ac:dyDescent="0.25">
      <c r="B1017" s="241">
        <f t="shared" ref="B1017:I1017" si="417">SUM(B1015:B1016)</f>
        <v>270</v>
      </c>
      <c r="C1017" s="241">
        <f t="shared" si="417"/>
        <v>160</v>
      </c>
      <c r="D1017" s="241">
        <f t="shared" si="417"/>
        <v>110</v>
      </c>
      <c r="E1017" s="241">
        <f t="shared" si="417"/>
        <v>0</v>
      </c>
      <c r="F1017" s="241">
        <f t="shared" si="417"/>
        <v>0</v>
      </c>
      <c r="G1017" s="241">
        <f t="shared" si="417"/>
        <v>0</v>
      </c>
      <c r="H1017" s="241">
        <f t="shared" si="417"/>
        <v>270</v>
      </c>
      <c r="I1017" s="241">
        <f t="shared" si="417"/>
        <v>160</v>
      </c>
      <c r="J1017" s="241">
        <f>SUM(J1015:J1016)</f>
        <v>110</v>
      </c>
      <c r="K1017" s="242" t="s">
        <v>12</v>
      </c>
      <c r="L1017" s="244"/>
    </row>
    <row r="1018" spans="2:12" ht="15" customHeight="1" thickBot="1" x14ac:dyDescent="0.25">
      <c r="B1018" s="241">
        <f t="shared" si="402"/>
        <v>345</v>
      </c>
      <c r="C1018" s="241">
        <f t="shared" si="403"/>
        <v>183</v>
      </c>
      <c r="D1018" s="241">
        <f t="shared" si="403"/>
        <v>162</v>
      </c>
      <c r="E1018" s="241">
        <f t="shared" si="404"/>
        <v>97</v>
      </c>
      <c r="F1018" s="241">
        <v>50</v>
      </c>
      <c r="G1018" s="241">
        <v>47</v>
      </c>
      <c r="H1018" s="241">
        <f t="shared" si="405"/>
        <v>248</v>
      </c>
      <c r="I1018" s="241">
        <v>133</v>
      </c>
      <c r="J1018" s="241">
        <v>115</v>
      </c>
      <c r="K1018" s="242" t="s">
        <v>233</v>
      </c>
      <c r="L1018" s="243"/>
    </row>
    <row r="1019" spans="2:12" ht="15" customHeight="1" thickBot="1" x14ac:dyDescent="0.25">
      <c r="B1019" s="241">
        <f t="shared" si="402"/>
        <v>0</v>
      </c>
      <c r="C1019" s="241">
        <f t="shared" si="403"/>
        <v>0</v>
      </c>
      <c r="D1019" s="241">
        <f t="shared" si="403"/>
        <v>0</v>
      </c>
      <c r="E1019" s="241">
        <f t="shared" si="404"/>
        <v>0</v>
      </c>
      <c r="F1019" s="241">
        <v>0</v>
      </c>
      <c r="G1019" s="241">
        <v>0</v>
      </c>
      <c r="H1019" s="241">
        <f t="shared" si="405"/>
        <v>0</v>
      </c>
      <c r="I1019" s="241">
        <v>0</v>
      </c>
      <c r="J1019" s="241">
        <v>0</v>
      </c>
      <c r="K1019" s="242" t="s">
        <v>234</v>
      </c>
      <c r="L1019" s="243" t="s">
        <v>568</v>
      </c>
    </row>
    <row r="1020" spans="2:12" ht="15" customHeight="1" thickBot="1" x14ac:dyDescent="0.25">
      <c r="B1020" s="241">
        <f t="shared" ref="B1020:I1020" si="418">SUM(B1018:B1019)</f>
        <v>345</v>
      </c>
      <c r="C1020" s="241">
        <f t="shared" si="418"/>
        <v>183</v>
      </c>
      <c r="D1020" s="241">
        <f t="shared" si="418"/>
        <v>162</v>
      </c>
      <c r="E1020" s="241">
        <f t="shared" si="418"/>
        <v>97</v>
      </c>
      <c r="F1020" s="241">
        <f t="shared" si="418"/>
        <v>50</v>
      </c>
      <c r="G1020" s="241">
        <f t="shared" si="418"/>
        <v>47</v>
      </c>
      <c r="H1020" s="241">
        <f t="shared" si="418"/>
        <v>248</v>
      </c>
      <c r="I1020" s="241">
        <f t="shared" si="418"/>
        <v>133</v>
      </c>
      <c r="J1020" s="241">
        <f>SUM(J1018:J1019)</f>
        <v>115</v>
      </c>
      <c r="K1020" s="242" t="s">
        <v>12</v>
      </c>
      <c r="L1020" s="244"/>
    </row>
    <row r="1021" spans="2:12" ht="15" customHeight="1" thickBot="1" x14ac:dyDescent="0.25">
      <c r="B1021" s="241">
        <f t="shared" si="402"/>
        <v>228</v>
      </c>
      <c r="C1021" s="241">
        <f t="shared" si="403"/>
        <v>78</v>
      </c>
      <c r="D1021" s="241">
        <f t="shared" si="403"/>
        <v>150</v>
      </c>
      <c r="E1021" s="241">
        <f t="shared" si="404"/>
        <v>39</v>
      </c>
      <c r="F1021" s="241">
        <v>9</v>
      </c>
      <c r="G1021" s="241">
        <v>30</v>
      </c>
      <c r="H1021" s="241">
        <f t="shared" si="405"/>
        <v>189</v>
      </c>
      <c r="I1021" s="241">
        <v>69</v>
      </c>
      <c r="J1021" s="241">
        <v>120</v>
      </c>
      <c r="K1021" s="242" t="s">
        <v>233</v>
      </c>
      <c r="L1021" s="243"/>
    </row>
    <row r="1022" spans="2:12" ht="15" customHeight="1" thickBot="1" x14ac:dyDescent="0.25">
      <c r="B1022" s="241">
        <f t="shared" si="402"/>
        <v>0</v>
      </c>
      <c r="C1022" s="241">
        <f t="shared" si="403"/>
        <v>0</v>
      </c>
      <c r="D1022" s="241">
        <f t="shared" si="403"/>
        <v>0</v>
      </c>
      <c r="E1022" s="241">
        <f t="shared" si="404"/>
        <v>0</v>
      </c>
      <c r="F1022" s="241">
        <v>0</v>
      </c>
      <c r="G1022" s="241">
        <v>0</v>
      </c>
      <c r="H1022" s="241">
        <f t="shared" si="405"/>
        <v>0</v>
      </c>
      <c r="I1022" s="241">
        <v>0</v>
      </c>
      <c r="J1022" s="241">
        <v>0</v>
      </c>
      <c r="K1022" s="242" t="s">
        <v>234</v>
      </c>
      <c r="L1022" s="243" t="s">
        <v>139</v>
      </c>
    </row>
    <row r="1023" spans="2:12" ht="15" customHeight="1" thickBot="1" x14ac:dyDescent="0.25">
      <c r="B1023" s="241">
        <f t="shared" ref="B1023:I1023" si="419">SUM(B1021:B1022)</f>
        <v>228</v>
      </c>
      <c r="C1023" s="241">
        <f t="shared" si="419"/>
        <v>78</v>
      </c>
      <c r="D1023" s="241">
        <f t="shared" si="419"/>
        <v>150</v>
      </c>
      <c r="E1023" s="241">
        <f t="shared" si="419"/>
        <v>39</v>
      </c>
      <c r="F1023" s="241">
        <f t="shared" si="419"/>
        <v>9</v>
      </c>
      <c r="G1023" s="241">
        <f t="shared" si="419"/>
        <v>30</v>
      </c>
      <c r="H1023" s="241">
        <f t="shared" si="419"/>
        <v>189</v>
      </c>
      <c r="I1023" s="241">
        <f t="shared" si="419"/>
        <v>69</v>
      </c>
      <c r="J1023" s="241">
        <f>SUM(J1021:J1022)</f>
        <v>120</v>
      </c>
      <c r="K1023" s="242" t="s">
        <v>12</v>
      </c>
      <c r="L1023" s="244"/>
    </row>
    <row r="1024" spans="2:12" ht="15" customHeight="1" thickBot="1" x14ac:dyDescent="0.25">
      <c r="B1024" s="241">
        <f t="shared" si="402"/>
        <v>193</v>
      </c>
      <c r="C1024" s="241">
        <f t="shared" si="403"/>
        <v>69</v>
      </c>
      <c r="D1024" s="241">
        <f t="shared" si="403"/>
        <v>124</v>
      </c>
      <c r="E1024" s="241">
        <f t="shared" si="404"/>
        <v>12</v>
      </c>
      <c r="F1024" s="241">
        <v>4</v>
      </c>
      <c r="G1024" s="241">
        <v>8</v>
      </c>
      <c r="H1024" s="241">
        <f t="shared" si="405"/>
        <v>181</v>
      </c>
      <c r="I1024" s="241">
        <v>65</v>
      </c>
      <c r="J1024" s="241">
        <v>116</v>
      </c>
      <c r="K1024" s="242" t="s">
        <v>233</v>
      </c>
      <c r="L1024" s="243"/>
    </row>
    <row r="1025" spans="2:12" ht="15" customHeight="1" thickBot="1" x14ac:dyDescent="0.25">
      <c r="B1025" s="241">
        <f t="shared" si="402"/>
        <v>0</v>
      </c>
      <c r="C1025" s="241">
        <f t="shared" si="403"/>
        <v>0</v>
      </c>
      <c r="D1025" s="241">
        <f t="shared" si="403"/>
        <v>0</v>
      </c>
      <c r="E1025" s="241">
        <f t="shared" si="404"/>
        <v>0</v>
      </c>
      <c r="F1025" s="241">
        <v>0</v>
      </c>
      <c r="G1025" s="241">
        <v>0</v>
      </c>
      <c r="H1025" s="241">
        <f t="shared" si="405"/>
        <v>0</v>
      </c>
      <c r="I1025" s="241">
        <v>0</v>
      </c>
      <c r="J1025" s="241">
        <v>0</v>
      </c>
      <c r="K1025" s="242" t="s">
        <v>234</v>
      </c>
      <c r="L1025" s="243" t="s">
        <v>140</v>
      </c>
    </row>
    <row r="1026" spans="2:12" ht="15" customHeight="1" thickBot="1" x14ac:dyDescent="0.25">
      <c r="B1026" s="241">
        <f t="shared" ref="B1026:I1026" si="420">SUM(B1024:B1025)</f>
        <v>193</v>
      </c>
      <c r="C1026" s="241">
        <f t="shared" si="420"/>
        <v>69</v>
      </c>
      <c r="D1026" s="241">
        <f t="shared" si="420"/>
        <v>124</v>
      </c>
      <c r="E1026" s="241">
        <f t="shared" si="420"/>
        <v>12</v>
      </c>
      <c r="F1026" s="241">
        <f t="shared" si="420"/>
        <v>4</v>
      </c>
      <c r="G1026" s="241">
        <f t="shared" si="420"/>
        <v>8</v>
      </c>
      <c r="H1026" s="241">
        <f t="shared" si="420"/>
        <v>181</v>
      </c>
      <c r="I1026" s="241">
        <f t="shared" si="420"/>
        <v>65</v>
      </c>
      <c r="J1026" s="241">
        <f>SUM(J1024:J1025)</f>
        <v>116</v>
      </c>
      <c r="K1026" s="242" t="s">
        <v>12</v>
      </c>
      <c r="L1026" s="244"/>
    </row>
    <row r="1027" spans="2:12" ht="15" customHeight="1" thickBot="1" x14ac:dyDescent="0.25">
      <c r="B1027" s="241">
        <f t="shared" si="402"/>
        <v>59</v>
      </c>
      <c r="C1027" s="241">
        <f t="shared" si="403"/>
        <v>0</v>
      </c>
      <c r="D1027" s="241">
        <f t="shared" si="403"/>
        <v>59</v>
      </c>
      <c r="E1027" s="241">
        <f t="shared" si="404"/>
        <v>10</v>
      </c>
      <c r="F1027" s="241">
        <v>0</v>
      </c>
      <c r="G1027" s="241">
        <v>10</v>
      </c>
      <c r="H1027" s="241">
        <f t="shared" si="405"/>
        <v>49</v>
      </c>
      <c r="I1027" s="241">
        <v>0</v>
      </c>
      <c r="J1027" s="241">
        <v>49</v>
      </c>
      <c r="K1027" s="242" t="s">
        <v>233</v>
      </c>
      <c r="L1027" s="243"/>
    </row>
    <row r="1028" spans="2:12" ht="15" customHeight="1" thickBot="1" x14ac:dyDescent="0.25">
      <c r="B1028" s="241">
        <f t="shared" si="402"/>
        <v>0</v>
      </c>
      <c r="C1028" s="241">
        <f t="shared" si="403"/>
        <v>0</v>
      </c>
      <c r="D1028" s="241">
        <f t="shared" si="403"/>
        <v>0</v>
      </c>
      <c r="E1028" s="241">
        <f t="shared" si="404"/>
        <v>0</v>
      </c>
      <c r="F1028" s="241">
        <v>0</v>
      </c>
      <c r="G1028" s="241">
        <v>0</v>
      </c>
      <c r="H1028" s="241">
        <f t="shared" si="405"/>
        <v>0</v>
      </c>
      <c r="I1028" s="241">
        <v>0</v>
      </c>
      <c r="J1028" s="241">
        <v>0</v>
      </c>
      <c r="K1028" s="242" t="s">
        <v>234</v>
      </c>
      <c r="L1028" s="243" t="s">
        <v>201</v>
      </c>
    </row>
    <row r="1029" spans="2:12" ht="15" customHeight="1" thickBot="1" x14ac:dyDescent="0.25">
      <c r="B1029" s="241">
        <f t="shared" ref="B1029:I1029" si="421">SUM(B1027:B1028)</f>
        <v>59</v>
      </c>
      <c r="C1029" s="241">
        <f t="shared" si="421"/>
        <v>0</v>
      </c>
      <c r="D1029" s="241">
        <f t="shared" si="421"/>
        <v>59</v>
      </c>
      <c r="E1029" s="241">
        <f t="shared" si="421"/>
        <v>10</v>
      </c>
      <c r="F1029" s="241">
        <f t="shared" si="421"/>
        <v>0</v>
      </c>
      <c r="G1029" s="241">
        <f t="shared" si="421"/>
        <v>10</v>
      </c>
      <c r="H1029" s="241">
        <f t="shared" si="421"/>
        <v>49</v>
      </c>
      <c r="I1029" s="241">
        <f t="shared" si="421"/>
        <v>0</v>
      </c>
      <c r="J1029" s="241">
        <f>SUM(J1027:J1028)</f>
        <v>49</v>
      </c>
      <c r="K1029" s="242" t="s">
        <v>12</v>
      </c>
      <c r="L1029" s="244"/>
    </row>
    <row r="1030" spans="2:12" ht="15" customHeight="1" thickBot="1" x14ac:dyDescent="0.25">
      <c r="B1030" s="241">
        <f t="shared" si="402"/>
        <v>251</v>
      </c>
      <c r="C1030" s="241">
        <f t="shared" si="403"/>
        <v>125</v>
      </c>
      <c r="D1030" s="241">
        <f t="shared" si="403"/>
        <v>126</v>
      </c>
      <c r="E1030" s="241">
        <f t="shared" si="404"/>
        <v>0</v>
      </c>
      <c r="F1030" s="241">
        <v>0</v>
      </c>
      <c r="G1030" s="241">
        <v>0</v>
      </c>
      <c r="H1030" s="241">
        <f t="shared" si="405"/>
        <v>251</v>
      </c>
      <c r="I1030" s="241">
        <v>125</v>
      </c>
      <c r="J1030" s="241">
        <v>126</v>
      </c>
      <c r="K1030" s="242" t="s">
        <v>233</v>
      </c>
      <c r="L1030" s="243"/>
    </row>
    <row r="1031" spans="2:12" ht="15" customHeight="1" thickBot="1" x14ac:dyDescent="0.25">
      <c r="B1031" s="241">
        <f t="shared" si="402"/>
        <v>0</v>
      </c>
      <c r="C1031" s="241">
        <f t="shared" si="403"/>
        <v>0</v>
      </c>
      <c r="D1031" s="241">
        <f t="shared" si="403"/>
        <v>0</v>
      </c>
      <c r="E1031" s="241">
        <f t="shared" si="404"/>
        <v>0</v>
      </c>
      <c r="F1031" s="241">
        <v>0</v>
      </c>
      <c r="G1031" s="241">
        <v>0</v>
      </c>
      <c r="H1031" s="241">
        <f t="shared" si="405"/>
        <v>0</v>
      </c>
      <c r="I1031" s="241">
        <v>0</v>
      </c>
      <c r="J1031" s="241">
        <v>0</v>
      </c>
      <c r="K1031" s="242" t="s">
        <v>234</v>
      </c>
      <c r="L1031" s="243" t="s">
        <v>569</v>
      </c>
    </row>
    <row r="1032" spans="2:12" ht="15" customHeight="1" thickBot="1" x14ac:dyDescent="0.25">
      <c r="B1032" s="241">
        <f t="shared" ref="B1032:I1032" si="422">SUM(B1030:B1031)</f>
        <v>251</v>
      </c>
      <c r="C1032" s="241">
        <f t="shared" si="422"/>
        <v>125</v>
      </c>
      <c r="D1032" s="241">
        <f t="shared" si="422"/>
        <v>126</v>
      </c>
      <c r="E1032" s="241">
        <f t="shared" si="422"/>
        <v>0</v>
      </c>
      <c r="F1032" s="241">
        <f t="shared" si="422"/>
        <v>0</v>
      </c>
      <c r="G1032" s="241">
        <f t="shared" si="422"/>
        <v>0</v>
      </c>
      <c r="H1032" s="241">
        <f t="shared" si="422"/>
        <v>251</v>
      </c>
      <c r="I1032" s="241">
        <f t="shared" si="422"/>
        <v>125</v>
      </c>
      <c r="J1032" s="241">
        <f>SUM(J1030:J1031)</f>
        <v>126</v>
      </c>
      <c r="K1032" s="242" t="s">
        <v>12</v>
      </c>
      <c r="L1032" s="244"/>
    </row>
    <row r="1033" spans="2:12" ht="15" customHeight="1" thickBot="1" x14ac:dyDescent="0.25">
      <c r="B1033" s="241">
        <f t="shared" si="402"/>
        <v>65</v>
      </c>
      <c r="C1033" s="241">
        <f t="shared" si="403"/>
        <v>65</v>
      </c>
      <c r="D1033" s="241">
        <f t="shared" si="403"/>
        <v>0</v>
      </c>
      <c r="E1033" s="241">
        <f t="shared" si="404"/>
        <v>0</v>
      </c>
      <c r="F1033" s="241">
        <v>0</v>
      </c>
      <c r="G1033" s="241">
        <v>0</v>
      </c>
      <c r="H1033" s="241">
        <f t="shared" si="405"/>
        <v>65</v>
      </c>
      <c r="I1033" s="241">
        <v>65</v>
      </c>
      <c r="J1033" s="241">
        <v>0</v>
      </c>
      <c r="K1033" s="242" t="s">
        <v>233</v>
      </c>
      <c r="L1033" s="243"/>
    </row>
    <row r="1034" spans="2:12" ht="15" customHeight="1" thickBot="1" x14ac:dyDescent="0.25">
      <c r="B1034" s="241">
        <f t="shared" si="402"/>
        <v>0</v>
      </c>
      <c r="C1034" s="241">
        <f t="shared" si="403"/>
        <v>0</v>
      </c>
      <c r="D1034" s="241">
        <f t="shared" si="403"/>
        <v>0</v>
      </c>
      <c r="E1034" s="241">
        <f t="shared" si="404"/>
        <v>0</v>
      </c>
      <c r="F1034" s="241">
        <v>0</v>
      </c>
      <c r="G1034" s="241">
        <v>0</v>
      </c>
      <c r="H1034" s="241">
        <f t="shared" si="405"/>
        <v>0</v>
      </c>
      <c r="I1034" s="241">
        <v>0</v>
      </c>
      <c r="J1034" s="241">
        <v>0</v>
      </c>
      <c r="K1034" s="242" t="s">
        <v>234</v>
      </c>
      <c r="L1034" s="243" t="s">
        <v>570</v>
      </c>
    </row>
    <row r="1035" spans="2:12" ht="15" customHeight="1" thickBot="1" x14ac:dyDescent="0.25">
      <c r="B1035" s="241">
        <f t="shared" ref="B1035:I1035" si="423">SUM(B1033:B1034)</f>
        <v>65</v>
      </c>
      <c r="C1035" s="241">
        <f t="shared" si="423"/>
        <v>65</v>
      </c>
      <c r="D1035" s="241">
        <f t="shared" si="423"/>
        <v>0</v>
      </c>
      <c r="E1035" s="241">
        <f t="shared" si="423"/>
        <v>0</v>
      </c>
      <c r="F1035" s="241">
        <f t="shared" si="423"/>
        <v>0</v>
      </c>
      <c r="G1035" s="241">
        <f t="shared" si="423"/>
        <v>0</v>
      </c>
      <c r="H1035" s="241">
        <f t="shared" si="423"/>
        <v>65</v>
      </c>
      <c r="I1035" s="241">
        <f t="shared" si="423"/>
        <v>65</v>
      </c>
      <c r="J1035" s="241">
        <f>SUM(J1033:J1034)</f>
        <v>0</v>
      </c>
      <c r="K1035" s="242" t="s">
        <v>12</v>
      </c>
      <c r="L1035" s="244"/>
    </row>
    <row r="1036" spans="2:12" ht="15" customHeight="1" thickBot="1" x14ac:dyDescent="0.25">
      <c r="B1036" s="241">
        <f t="shared" si="402"/>
        <v>60</v>
      </c>
      <c r="C1036" s="241">
        <f t="shared" si="403"/>
        <v>60</v>
      </c>
      <c r="D1036" s="241">
        <f t="shared" si="403"/>
        <v>0</v>
      </c>
      <c r="E1036" s="241">
        <f t="shared" si="404"/>
        <v>0</v>
      </c>
      <c r="F1036" s="241">
        <v>0</v>
      </c>
      <c r="G1036" s="241">
        <v>0</v>
      </c>
      <c r="H1036" s="241">
        <f t="shared" si="405"/>
        <v>60</v>
      </c>
      <c r="I1036" s="241">
        <v>60</v>
      </c>
      <c r="J1036" s="241">
        <v>0</v>
      </c>
      <c r="K1036" s="242" t="s">
        <v>233</v>
      </c>
      <c r="L1036" s="243"/>
    </row>
    <row r="1037" spans="2:12" ht="15" customHeight="1" thickBot="1" x14ac:dyDescent="0.25">
      <c r="B1037" s="241">
        <f t="shared" si="402"/>
        <v>0</v>
      </c>
      <c r="C1037" s="241">
        <f t="shared" si="403"/>
        <v>0</v>
      </c>
      <c r="D1037" s="241">
        <f t="shared" si="403"/>
        <v>0</v>
      </c>
      <c r="E1037" s="241">
        <f t="shared" si="404"/>
        <v>0</v>
      </c>
      <c r="F1037" s="241">
        <v>0</v>
      </c>
      <c r="G1037" s="241">
        <v>0</v>
      </c>
      <c r="H1037" s="241">
        <f t="shared" si="405"/>
        <v>0</v>
      </c>
      <c r="I1037" s="241">
        <v>0</v>
      </c>
      <c r="J1037" s="241">
        <v>0</v>
      </c>
      <c r="K1037" s="242" t="s">
        <v>234</v>
      </c>
      <c r="L1037" s="243" t="s">
        <v>141</v>
      </c>
    </row>
    <row r="1038" spans="2:12" ht="15" customHeight="1" thickBot="1" x14ac:dyDescent="0.25">
      <c r="B1038" s="241">
        <f t="shared" ref="B1038:I1038" si="424">SUM(B1036:B1037)</f>
        <v>60</v>
      </c>
      <c r="C1038" s="241">
        <f t="shared" si="424"/>
        <v>60</v>
      </c>
      <c r="D1038" s="241">
        <f t="shared" si="424"/>
        <v>0</v>
      </c>
      <c r="E1038" s="241">
        <f t="shared" si="424"/>
        <v>0</v>
      </c>
      <c r="F1038" s="241">
        <f t="shared" si="424"/>
        <v>0</v>
      </c>
      <c r="G1038" s="241">
        <f t="shared" si="424"/>
        <v>0</v>
      </c>
      <c r="H1038" s="241">
        <f t="shared" si="424"/>
        <v>60</v>
      </c>
      <c r="I1038" s="241">
        <f t="shared" si="424"/>
        <v>60</v>
      </c>
      <c r="J1038" s="241">
        <f>SUM(J1036:J1037)</f>
        <v>0</v>
      </c>
      <c r="K1038" s="242" t="s">
        <v>12</v>
      </c>
      <c r="L1038" s="244"/>
    </row>
    <row r="1039" spans="2:12" ht="15" customHeight="1" thickBot="1" x14ac:dyDescent="0.25">
      <c r="B1039" s="241">
        <f t="shared" si="402"/>
        <v>43</v>
      </c>
      <c r="C1039" s="241">
        <f t="shared" si="403"/>
        <v>39</v>
      </c>
      <c r="D1039" s="241">
        <f t="shared" si="403"/>
        <v>4</v>
      </c>
      <c r="E1039" s="241">
        <f t="shared" si="404"/>
        <v>0</v>
      </c>
      <c r="F1039" s="241">
        <v>0</v>
      </c>
      <c r="G1039" s="241">
        <v>0</v>
      </c>
      <c r="H1039" s="241">
        <f t="shared" si="405"/>
        <v>43</v>
      </c>
      <c r="I1039" s="241">
        <v>39</v>
      </c>
      <c r="J1039" s="241">
        <v>4</v>
      </c>
      <c r="K1039" s="242" t="s">
        <v>233</v>
      </c>
      <c r="L1039" s="243"/>
    </row>
    <row r="1040" spans="2:12" ht="15" customHeight="1" thickBot="1" x14ac:dyDescent="0.25">
      <c r="B1040" s="241">
        <f t="shared" si="402"/>
        <v>0</v>
      </c>
      <c r="C1040" s="241">
        <f t="shared" si="403"/>
        <v>0</v>
      </c>
      <c r="D1040" s="241">
        <f t="shared" si="403"/>
        <v>0</v>
      </c>
      <c r="E1040" s="241">
        <f t="shared" si="404"/>
        <v>0</v>
      </c>
      <c r="F1040" s="241">
        <v>0</v>
      </c>
      <c r="G1040" s="241">
        <v>0</v>
      </c>
      <c r="H1040" s="241">
        <f t="shared" si="405"/>
        <v>0</v>
      </c>
      <c r="I1040" s="241">
        <v>0</v>
      </c>
      <c r="J1040" s="241">
        <v>0</v>
      </c>
      <c r="K1040" s="242" t="s">
        <v>234</v>
      </c>
      <c r="L1040" s="243" t="s">
        <v>203</v>
      </c>
    </row>
    <row r="1041" spans="2:12" ht="15" customHeight="1" thickBot="1" x14ac:dyDescent="0.25">
      <c r="B1041" s="241">
        <f t="shared" ref="B1041:I1041" si="425">SUM(B1039:B1040)</f>
        <v>43</v>
      </c>
      <c r="C1041" s="241">
        <f t="shared" si="425"/>
        <v>39</v>
      </c>
      <c r="D1041" s="241">
        <f t="shared" si="425"/>
        <v>4</v>
      </c>
      <c r="E1041" s="241">
        <f t="shared" si="425"/>
        <v>0</v>
      </c>
      <c r="F1041" s="241">
        <f t="shared" si="425"/>
        <v>0</v>
      </c>
      <c r="G1041" s="241">
        <f t="shared" si="425"/>
        <v>0</v>
      </c>
      <c r="H1041" s="241">
        <f t="shared" si="425"/>
        <v>43</v>
      </c>
      <c r="I1041" s="241">
        <f t="shared" si="425"/>
        <v>39</v>
      </c>
      <c r="J1041" s="241">
        <f>SUM(J1039:J1040)</f>
        <v>4</v>
      </c>
      <c r="K1041" s="242" t="s">
        <v>12</v>
      </c>
      <c r="L1041" s="244"/>
    </row>
    <row r="1042" spans="2:12" ht="15" customHeight="1" thickBot="1" x14ac:dyDescent="0.25">
      <c r="B1042" s="241">
        <f t="shared" ref="B1042:B1043" si="426">SUM(C1042:D1042)</f>
        <v>250</v>
      </c>
      <c r="C1042" s="241">
        <f t="shared" ref="C1042:D1043" si="427">I1042+F1042</f>
        <v>189</v>
      </c>
      <c r="D1042" s="241">
        <f t="shared" si="427"/>
        <v>61</v>
      </c>
      <c r="E1042" s="241">
        <f t="shared" ref="E1042:E1043" si="428">SUM(F1042:G1042)</f>
        <v>0</v>
      </c>
      <c r="F1042" s="241">
        <v>0</v>
      </c>
      <c r="G1042" s="241">
        <v>0</v>
      </c>
      <c r="H1042" s="241">
        <f t="shared" ref="H1042:H1043" si="429">SUM(I1042:J1042)</f>
        <v>250</v>
      </c>
      <c r="I1042" s="241">
        <v>189</v>
      </c>
      <c r="J1042" s="241">
        <v>61</v>
      </c>
      <c r="K1042" s="242" t="s">
        <v>233</v>
      </c>
      <c r="L1042" s="243"/>
    </row>
    <row r="1043" spans="2:12" ht="15" customHeight="1" thickBot="1" x14ac:dyDescent="0.25">
      <c r="B1043" s="241">
        <f t="shared" si="426"/>
        <v>0</v>
      </c>
      <c r="C1043" s="241">
        <f t="shared" si="427"/>
        <v>0</v>
      </c>
      <c r="D1043" s="241">
        <f t="shared" si="427"/>
        <v>0</v>
      </c>
      <c r="E1043" s="241">
        <f t="shared" si="428"/>
        <v>0</v>
      </c>
      <c r="F1043" s="241">
        <v>0</v>
      </c>
      <c r="G1043" s="241">
        <v>0</v>
      </c>
      <c r="H1043" s="241">
        <f t="shared" si="429"/>
        <v>0</v>
      </c>
      <c r="I1043" s="241">
        <v>0</v>
      </c>
      <c r="J1043" s="241">
        <v>0</v>
      </c>
      <c r="K1043" s="242" t="s">
        <v>234</v>
      </c>
      <c r="L1043" s="243" t="s">
        <v>194</v>
      </c>
    </row>
    <row r="1044" spans="2:12" ht="15" customHeight="1" thickBot="1" x14ac:dyDescent="0.25">
      <c r="B1044" s="241">
        <f t="shared" ref="B1044:I1044" si="430">SUM(B1042:B1043)</f>
        <v>250</v>
      </c>
      <c r="C1044" s="241">
        <f t="shared" si="430"/>
        <v>189</v>
      </c>
      <c r="D1044" s="241">
        <f t="shared" si="430"/>
        <v>61</v>
      </c>
      <c r="E1044" s="241">
        <f t="shared" si="430"/>
        <v>0</v>
      </c>
      <c r="F1044" s="241">
        <f t="shared" si="430"/>
        <v>0</v>
      </c>
      <c r="G1044" s="241">
        <f t="shared" si="430"/>
        <v>0</v>
      </c>
      <c r="H1044" s="241">
        <f t="shared" si="430"/>
        <v>250</v>
      </c>
      <c r="I1044" s="241">
        <f t="shared" si="430"/>
        <v>189</v>
      </c>
      <c r="J1044" s="241">
        <f>SUM(J1042:J1043)</f>
        <v>61</v>
      </c>
      <c r="K1044" s="242" t="s">
        <v>12</v>
      </c>
      <c r="L1044" s="244"/>
    </row>
    <row r="1045" spans="2:12" ht="15" customHeight="1" thickBot="1" x14ac:dyDescent="0.25">
      <c r="B1045" s="241">
        <f t="shared" ref="B1045:B1046" si="431">SUM(C1045:D1045)</f>
        <v>40</v>
      </c>
      <c r="C1045" s="241">
        <f t="shared" ref="C1045:D1046" si="432">I1045+F1045</f>
        <v>40</v>
      </c>
      <c r="D1045" s="241">
        <f t="shared" si="432"/>
        <v>0</v>
      </c>
      <c r="E1045" s="241">
        <f t="shared" ref="E1045:E1046" si="433">SUM(F1045:G1045)</f>
        <v>0</v>
      </c>
      <c r="F1045" s="241">
        <v>0</v>
      </c>
      <c r="G1045" s="241">
        <v>0</v>
      </c>
      <c r="H1045" s="241">
        <f t="shared" ref="H1045:H1046" si="434">SUM(I1045:J1045)</f>
        <v>40</v>
      </c>
      <c r="I1045" s="241">
        <v>40</v>
      </c>
      <c r="J1045" s="241">
        <v>0</v>
      </c>
      <c r="K1045" s="242" t="s">
        <v>233</v>
      </c>
      <c r="L1045" s="243"/>
    </row>
    <row r="1046" spans="2:12" ht="15" customHeight="1" thickBot="1" x14ac:dyDescent="0.25">
      <c r="B1046" s="241">
        <f t="shared" si="431"/>
        <v>0</v>
      </c>
      <c r="C1046" s="241">
        <f t="shared" si="432"/>
        <v>0</v>
      </c>
      <c r="D1046" s="241">
        <f t="shared" si="432"/>
        <v>0</v>
      </c>
      <c r="E1046" s="241">
        <f t="shared" si="433"/>
        <v>0</v>
      </c>
      <c r="F1046" s="241">
        <v>0</v>
      </c>
      <c r="G1046" s="241">
        <v>0</v>
      </c>
      <c r="H1046" s="241">
        <f t="shared" si="434"/>
        <v>0</v>
      </c>
      <c r="I1046" s="241">
        <v>0</v>
      </c>
      <c r="J1046" s="241">
        <v>0</v>
      </c>
      <c r="K1046" s="242" t="s">
        <v>234</v>
      </c>
      <c r="L1046" s="243" t="s">
        <v>571</v>
      </c>
    </row>
    <row r="1047" spans="2:12" ht="15" customHeight="1" thickBot="1" x14ac:dyDescent="0.25">
      <c r="B1047" s="241">
        <f t="shared" ref="B1047:I1047" si="435">SUM(B1045:B1046)</f>
        <v>40</v>
      </c>
      <c r="C1047" s="241">
        <f t="shared" si="435"/>
        <v>40</v>
      </c>
      <c r="D1047" s="241">
        <f t="shared" si="435"/>
        <v>0</v>
      </c>
      <c r="E1047" s="241">
        <f t="shared" si="435"/>
        <v>0</v>
      </c>
      <c r="F1047" s="241">
        <f t="shared" si="435"/>
        <v>0</v>
      </c>
      <c r="G1047" s="241">
        <f t="shared" si="435"/>
        <v>0</v>
      </c>
      <c r="H1047" s="241">
        <f t="shared" si="435"/>
        <v>40</v>
      </c>
      <c r="I1047" s="241">
        <f t="shared" si="435"/>
        <v>40</v>
      </c>
      <c r="J1047" s="241">
        <f>SUM(J1045:J1046)</f>
        <v>0</v>
      </c>
      <c r="K1047" s="242" t="s">
        <v>12</v>
      </c>
      <c r="L1047" s="244"/>
    </row>
    <row r="1048" spans="2:12" ht="15" customHeight="1" thickBot="1" x14ac:dyDescent="0.25">
      <c r="B1048" s="241">
        <f t="shared" ref="B1048:J1050" si="436">B982+B985+B988+B991+B994+B997+B1000+B1003+B1006+B1009+B1012+B1015+B1018+B1021+B1024+B1027+B1030+B1033+B1036+B1039+B1042+B1045</f>
        <v>7543</v>
      </c>
      <c r="C1048" s="241">
        <f t="shared" si="436"/>
        <v>3806</v>
      </c>
      <c r="D1048" s="241">
        <f t="shared" si="436"/>
        <v>3737</v>
      </c>
      <c r="E1048" s="241">
        <f t="shared" si="436"/>
        <v>1411</v>
      </c>
      <c r="F1048" s="241">
        <f t="shared" si="436"/>
        <v>648</v>
      </c>
      <c r="G1048" s="241">
        <f t="shared" si="436"/>
        <v>763</v>
      </c>
      <c r="H1048" s="241">
        <f t="shared" si="436"/>
        <v>6132</v>
      </c>
      <c r="I1048" s="241">
        <f t="shared" si="436"/>
        <v>3158</v>
      </c>
      <c r="J1048" s="241">
        <f>J982+J985+J988+J991+J994+J997+J1000+J1003+J1006+J1009+J1012+J1015+J1018+J1021+J1024+J1027+J1030+J1033+J1036+J1039+J1042+J1045</f>
        <v>2974</v>
      </c>
      <c r="K1048" s="242" t="s">
        <v>236</v>
      </c>
      <c r="L1048" s="245"/>
    </row>
    <row r="1049" spans="2:12" ht="15" customHeight="1" thickBot="1" x14ac:dyDescent="0.25">
      <c r="B1049" s="241">
        <f t="shared" si="436"/>
        <v>0</v>
      </c>
      <c r="C1049" s="241">
        <f t="shared" si="436"/>
        <v>0</v>
      </c>
      <c r="D1049" s="241">
        <f t="shared" si="436"/>
        <v>0</v>
      </c>
      <c r="E1049" s="241">
        <f t="shared" si="436"/>
        <v>0</v>
      </c>
      <c r="F1049" s="241">
        <f t="shared" si="436"/>
        <v>0</v>
      </c>
      <c r="G1049" s="241">
        <f t="shared" si="436"/>
        <v>0</v>
      </c>
      <c r="H1049" s="241">
        <f t="shared" si="436"/>
        <v>0</v>
      </c>
      <c r="I1049" s="241">
        <f t="shared" si="436"/>
        <v>0</v>
      </c>
      <c r="J1049" s="241">
        <f t="shared" si="436"/>
        <v>0</v>
      </c>
      <c r="K1049" s="242" t="s">
        <v>237</v>
      </c>
      <c r="L1049" s="246" t="s">
        <v>188</v>
      </c>
    </row>
    <row r="1050" spans="2:12" ht="15" customHeight="1" thickBot="1" x14ac:dyDescent="0.25">
      <c r="B1050" s="241">
        <f t="shared" si="436"/>
        <v>7543</v>
      </c>
      <c r="C1050" s="241">
        <f t="shared" si="436"/>
        <v>3806</v>
      </c>
      <c r="D1050" s="241">
        <f t="shared" si="436"/>
        <v>3737</v>
      </c>
      <c r="E1050" s="241">
        <f t="shared" si="436"/>
        <v>1411</v>
      </c>
      <c r="F1050" s="241">
        <f t="shared" si="436"/>
        <v>648</v>
      </c>
      <c r="G1050" s="241">
        <f t="shared" si="436"/>
        <v>763</v>
      </c>
      <c r="H1050" s="241">
        <f t="shared" si="436"/>
        <v>6132</v>
      </c>
      <c r="I1050" s="241">
        <f t="shared" si="436"/>
        <v>3158</v>
      </c>
      <c r="J1050" s="241">
        <f t="shared" si="436"/>
        <v>2974</v>
      </c>
      <c r="K1050" s="242" t="s">
        <v>12</v>
      </c>
      <c r="L1050" s="247"/>
    </row>
    <row r="1051" spans="2:12" ht="15" customHeight="1" thickBot="1" x14ac:dyDescent="0.25">
      <c r="B1051" s="476" t="s">
        <v>4</v>
      </c>
      <c r="C1051" s="476"/>
      <c r="D1051" s="476"/>
      <c r="E1051" s="476" t="s">
        <v>145</v>
      </c>
      <c r="F1051" s="476"/>
      <c r="G1051" s="476"/>
      <c r="H1051" s="476" t="s">
        <v>146</v>
      </c>
      <c r="I1051" s="476"/>
      <c r="J1051" s="476"/>
      <c r="K1051" s="479" t="s">
        <v>66</v>
      </c>
      <c r="L1051" s="479"/>
    </row>
    <row r="1052" spans="2:12" ht="15" customHeight="1" thickBot="1" x14ac:dyDescent="0.25">
      <c r="B1052" s="185" t="s">
        <v>227</v>
      </c>
      <c r="C1052" s="185" t="s">
        <v>10</v>
      </c>
      <c r="D1052" s="185" t="s">
        <v>9</v>
      </c>
      <c r="E1052" s="185" t="s">
        <v>227</v>
      </c>
      <c r="F1052" s="185" t="s">
        <v>10</v>
      </c>
      <c r="G1052" s="185" t="s">
        <v>9</v>
      </c>
      <c r="H1052" s="185" t="s">
        <v>227</v>
      </c>
      <c r="I1052" s="185" t="s">
        <v>10</v>
      </c>
      <c r="J1052" s="185" t="s">
        <v>9</v>
      </c>
      <c r="K1052" s="480" t="s">
        <v>151</v>
      </c>
      <c r="L1052" s="480"/>
    </row>
    <row r="1053" spans="2:12" ht="15" customHeight="1" thickBot="1" x14ac:dyDescent="0.25">
      <c r="B1053" s="47">
        <f t="shared" ref="B1053:B1055" si="437">SUM(C1053:D1053)</f>
        <v>547</v>
      </c>
      <c r="C1053" s="47">
        <f>I1053+F1053</f>
        <v>0</v>
      </c>
      <c r="D1053" s="47">
        <f>J1053+G1053</f>
        <v>547</v>
      </c>
      <c r="E1053" s="47">
        <f>SUM(F1053:G1053)</f>
        <v>0</v>
      </c>
      <c r="F1053" s="47">
        <v>0</v>
      </c>
      <c r="G1053" s="47">
        <v>0</v>
      </c>
      <c r="H1053" s="47">
        <f>SUM(I1053:J1053)</f>
        <v>547</v>
      </c>
      <c r="I1053" s="47">
        <v>0</v>
      </c>
      <c r="J1053" s="47">
        <v>547</v>
      </c>
      <c r="K1053" s="188" t="s">
        <v>233</v>
      </c>
      <c r="L1053" s="215"/>
    </row>
    <row r="1054" spans="2:12" ht="15" customHeight="1" thickBot="1" x14ac:dyDescent="0.25">
      <c r="B1054" s="47">
        <f t="shared" si="437"/>
        <v>0</v>
      </c>
      <c r="C1054" s="47">
        <f>I1054+F1054</f>
        <v>0</v>
      </c>
      <c r="D1054" s="47">
        <f>J1054+G1054</f>
        <v>0</v>
      </c>
      <c r="E1054" s="47">
        <f>SUM(F1054:G1054)</f>
        <v>0</v>
      </c>
      <c r="F1054" s="47">
        <v>0</v>
      </c>
      <c r="G1054" s="47">
        <v>0</v>
      </c>
      <c r="H1054" s="47">
        <f>SUM(I1054:J1054)</f>
        <v>0</v>
      </c>
      <c r="I1054" s="47">
        <v>0</v>
      </c>
      <c r="J1054" s="47">
        <v>0</v>
      </c>
      <c r="K1054" s="188" t="s">
        <v>234</v>
      </c>
      <c r="L1054" s="215" t="s">
        <v>290</v>
      </c>
    </row>
    <row r="1055" spans="2:12" ht="15" customHeight="1" thickBot="1" x14ac:dyDescent="0.25">
      <c r="B1055" s="47">
        <f t="shared" si="437"/>
        <v>547</v>
      </c>
      <c r="C1055" s="47">
        <f t="shared" ref="C1055:I1055" si="438">SUM(C1053:C1054)</f>
        <v>0</v>
      </c>
      <c r="D1055" s="47">
        <f t="shared" si="438"/>
        <v>547</v>
      </c>
      <c r="E1055" s="47">
        <f t="shared" si="438"/>
        <v>0</v>
      </c>
      <c r="F1055" s="47">
        <f t="shared" si="438"/>
        <v>0</v>
      </c>
      <c r="G1055" s="47">
        <f t="shared" si="438"/>
        <v>0</v>
      </c>
      <c r="H1055" s="47">
        <f t="shared" si="438"/>
        <v>547</v>
      </c>
      <c r="I1055" s="47">
        <f t="shared" si="438"/>
        <v>0</v>
      </c>
      <c r="J1055" s="47">
        <f>SUM(J1053:J1054)</f>
        <v>547</v>
      </c>
      <c r="K1055" s="188" t="s">
        <v>12</v>
      </c>
      <c r="L1055" s="216"/>
    </row>
    <row r="1056" spans="2:12" ht="15" customHeight="1" thickBot="1" x14ac:dyDescent="0.25">
      <c r="B1056" s="47">
        <f t="shared" ref="B1056:J1058" si="439">B1053</f>
        <v>547</v>
      </c>
      <c r="C1056" s="47">
        <f t="shared" si="439"/>
        <v>0</v>
      </c>
      <c r="D1056" s="47">
        <f t="shared" si="439"/>
        <v>547</v>
      </c>
      <c r="E1056" s="47">
        <f t="shared" si="439"/>
        <v>0</v>
      </c>
      <c r="F1056" s="47">
        <f t="shared" si="439"/>
        <v>0</v>
      </c>
      <c r="G1056" s="47">
        <f t="shared" si="439"/>
        <v>0</v>
      </c>
      <c r="H1056" s="47">
        <f t="shared" si="439"/>
        <v>547</v>
      </c>
      <c r="I1056" s="47">
        <f t="shared" si="439"/>
        <v>0</v>
      </c>
      <c r="J1056" s="47">
        <f>J1053</f>
        <v>547</v>
      </c>
      <c r="K1056" s="188" t="s">
        <v>236</v>
      </c>
      <c r="L1056" s="217"/>
    </row>
    <row r="1057" spans="2:12" ht="15" customHeight="1" thickBot="1" x14ac:dyDescent="0.25">
      <c r="B1057" s="47">
        <f t="shared" si="439"/>
        <v>0</v>
      </c>
      <c r="C1057" s="47">
        <f t="shared" si="439"/>
        <v>0</v>
      </c>
      <c r="D1057" s="47">
        <f t="shared" si="439"/>
        <v>0</v>
      </c>
      <c r="E1057" s="47">
        <f t="shared" si="439"/>
        <v>0</v>
      </c>
      <c r="F1057" s="47">
        <f t="shared" si="439"/>
        <v>0</v>
      </c>
      <c r="G1057" s="47">
        <f t="shared" si="439"/>
        <v>0</v>
      </c>
      <c r="H1057" s="47">
        <f t="shared" si="439"/>
        <v>0</v>
      </c>
      <c r="I1057" s="47">
        <f t="shared" si="439"/>
        <v>0</v>
      </c>
      <c r="J1057" s="47">
        <f t="shared" si="439"/>
        <v>0</v>
      </c>
      <c r="K1057" s="188" t="s">
        <v>237</v>
      </c>
      <c r="L1057" s="218" t="s">
        <v>188</v>
      </c>
    </row>
    <row r="1058" spans="2:12" ht="15" customHeight="1" thickBot="1" x14ac:dyDescent="0.25">
      <c r="B1058" s="47">
        <f t="shared" si="439"/>
        <v>547</v>
      </c>
      <c r="C1058" s="47">
        <f t="shared" si="439"/>
        <v>0</v>
      </c>
      <c r="D1058" s="47">
        <f t="shared" si="439"/>
        <v>547</v>
      </c>
      <c r="E1058" s="47">
        <f t="shared" si="439"/>
        <v>0</v>
      </c>
      <c r="F1058" s="47">
        <f t="shared" si="439"/>
        <v>0</v>
      </c>
      <c r="G1058" s="47">
        <f t="shared" si="439"/>
        <v>0</v>
      </c>
      <c r="H1058" s="47">
        <f t="shared" si="439"/>
        <v>547</v>
      </c>
      <c r="I1058" s="47">
        <f t="shared" si="439"/>
        <v>0</v>
      </c>
      <c r="J1058" s="47">
        <f t="shared" si="439"/>
        <v>547</v>
      </c>
      <c r="K1058" s="188" t="s">
        <v>12</v>
      </c>
      <c r="L1058" s="219"/>
    </row>
    <row r="1059" spans="2:12" ht="15" customHeight="1" thickBot="1" x14ac:dyDescent="0.25">
      <c r="B1059" s="476" t="s">
        <v>4</v>
      </c>
      <c r="C1059" s="476"/>
      <c r="D1059" s="476"/>
      <c r="E1059" s="476" t="s">
        <v>145</v>
      </c>
      <c r="F1059" s="476"/>
      <c r="G1059" s="476"/>
      <c r="H1059" s="476" t="s">
        <v>146</v>
      </c>
      <c r="I1059" s="476"/>
      <c r="J1059" s="476"/>
      <c r="K1059" s="479" t="s">
        <v>66</v>
      </c>
      <c r="L1059" s="479"/>
    </row>
    <row r="1060" spans="2:12" ht="15" customHeight="1" thickBot="1" x14ac:dyDescent="0.25">
      <c r="B1060" s="185" t="s">
        <v>227</v>
      </c>
      <c r="C1060" s="185" t="s">
        <v>10</v>
      </c>
      <c r="D1060" s="185" t="s">
        <v>9</v>
      </c>
      <c r="E1060" s="185" t="s">
        <v>227</v>
      </c>
      <c r="F1060" s="185" t="s">
        <v>10</v>
      </c>
      <c r="G1060" s="185" t="s">
        <v>9</v>
      </c>
      <c r="H1060" s="185" t="s">
        <v>227</v>
      </c>
      <c r="I1060" s="185" t="s">
        <v>10</v>
      </c>
      <c r="J1060" s="185" t="s">
        <v>9</v>
      </c>
      <c r="K1060" s="480" t="s">
        <v>228</v>
      </c>
      <c r="L1060" s="480"/>
    </row>
    <row r="1061" spans="2:12" ht="15" customHeight="1" thickBot="1" x14ac:dyDescent="0.25">
      <c r="B1061" s="47">
        <f>SUM(C1061:D1061)</f>
        <v>159</v>
      </c>
      <c r="C1061" s="47">
        <f>I1061+F1061</f>
        <v>0</v>
      </c>
      <c r="D1061" s="47">
        <f>J1061+G1061</f>
        <v>159</v>
      </c>
      <c r="E1061" s="47">
        <f>SUM(F1061:G1061)</f>
        <v>0</v>
      </c>
      <c r="F1061" s="47">
        <v>0</v>
      </c>
      <c r="G1061" s="47">
        <v>0</v>
      </c>
      <c r="H1061" s="47">
        <f>SUM(I1061:J1061)</f>
        <v>159</v>
      </c>
      <c r="I1061" s="47">
        <v>0</v>
      </c>
      <c r="J1061" s="47">
        <v>159</v>
      </c>
      <c r="K1061" s="188" t="s">
        <v>233</v>
      </c>
      <c r="L1061" s="134"/>
    </row>
    <row r="1062" spans="2:12" ht="15" customHeight="1" thickBot="1" x14ac:dyDescent="0.25">
      <c r="B1062" s="47">
        <f t="shared" ref="B1062:B1071" si="440">SUM(C1062:D1062)</f>
        <v>0</v>
      </c>
      <c r="C1062" s="47">
        <f t="shared" ref="C1062:D1071" si="441">I1062+F1062</f>
        <v>0</v>
      </c>
      <c r="D1062" s="47">
        <f t="shared" si="441"/>
        <v>0</v>
      </c>
      <c r="E1062" s="47">
        <f t="shared" ref="E1062:E1071" si="442">SUM(F1062:G1062)</f>
        <v>0</v>
      </c>
      <c r="F1062" s="47">
        <v>0</v>
      </c>
      <c r="G1062" s="47">
        <v>0</v>
      </c>
      <c r="H1062" s="47">
        <f t="shared" ref="H1062:H1071" si="443">SUM(I1062:J1062)</f>
        <v>0</v>
      </c>
      <c r="I1062" s="47">
        <v>0</v>
      </c>
      <c r="J1062" s="47">
        <v>0</v>
      </c>
      <c r="K1062" s="188" t="s">
        <v>234</v>
      </c>
      <c r="L1062" s="134" t="s">
        <v>334</v>
      </c>
    </row>
    <row r="1063" spans="2:12" ht="15" customHeight="1" thickBot="1" x14ac:dyDescent="0.25">
      <c r="B1063" s="47">
        <f t="shared" ref="B1063:I1063" si="444">SUM(B1061:B1062)</f>
        <v>159</v>
      </c>
      <c r="C1063" s="47">
        <f t="shared" si="444"/>
        <v>0</v>
      </c>
      <c r="D1063" s="47">
        <f t="shared" si="444"/>
        <v>159</v>
      </c>
      <c r="E1063" s="47">
        <f t="shared" si="444"/>
        <v>0</v>
      </c>
      <c r="F1063" s="47">
        <f t="shared" si="444"/>
        <v>0</v>
      </c>
      <c r="G1063" s="47">
        <f t="shared" si="444"/>
        <v>0</v>
      </c>
      <c r="H1063" s="47">
        <f t="shared" si="444"/>
        <v>159</v>
      </c>
      <c r="I1063" s="47">
        <f t="shared" si="444"/>
        <v>0</v>
      </c>
      <c r="J1063" s="47">
        <f>SUM(J1061:J1062)</f>
        <v>159</v>
      </c>
      <c r="K1063" s="188" t="s">
        <v>12</v>
      </c>
      <c r="L1063" s="239"/>
    </row>
    <row r="1064" spans="2:12" ht="15" customHeight="1" thickBot="1" x14ac:dyDescent="0.25">
      <c r="B1064" s="47">
        <f t="shared" si="440"/>
        <v>259</v>
      </c>
      <c r="C1064" s="47">
        <f t="shared" si="441"/>
        <v>0</v>
      </c>
      <c r="D1064" s="47">
        <f t="shared" si="441"/>
        <v>259</v>
      </c>
      <c r="E1064" s="47">
        <f t="shared" si="442"/>
        <v>0</v>
      </c>
      <c r="F1064" s="47">
        <v>0</v>
      </c>
      <c r="G1064" s="47">
        <v>0</v>
      </c>
      <c r="H1064" s="47">
        <f t="shared" si="443"/>
        <v>259</v>
      </c>
      <c r="I1064" s="47">
        <v>0</v>
      </c>
      <c r="J1064" s="47">
        <v>259</v>
      </c>
      <c r="K1064" s="188" t="s">
        <v>233</v>
      </c>
      <c r="L1064" s="134"/>
    </row>
    <row r="1065" spans="2:12" ht="15" customHeight="1" thickBot="1" x14ac:dyDescent="0.25">
      <c r="B1065" s="47">
        <f t="shared" si="440"/>
        <v>0</v>
      </c>
      <c r="C1065" s="47">
        <f t="shared" si="441"/>
        <v>0</v>
      </c>
      <c r="D1065" s="47">
        <f t="shared" si="441"/>
        <v>0</v>
      </c>
      <c r="E1065" s="47">
        <f t="shared" si="442"/>
        <v>0</v>
      </c>
      <c r="F1065" s="47">
        <v>0</v>
      </c>
      <c r="G1065" s="47">
        <v>0</v>
      </c>
      <c r="H1065" s="47">
        <f t="shared" si="443"/>
        <v>0</v>
      </c>
      <c r="I1065" s="47">
        <v>0</v>
      </c>
      <c r="J1065" s="47">
        <v>0</v>
      </c>
      <c r="K1065" s="188" t="s">
        <v>234</v>
      </c>
      <c r="L1065" s="134" t="s">
        <v>335</v>
      </c>
    </row>
    <row r="1066" spans="2:12" ht="15" customHeight="1" thickBot="1" x14ac:dyDescent="0.25">
      <c r="B1066" s="47">
        <f t="shared" ref="B1066:I1066" si="445">SUM(B1064:B1065)</f>
        <v>259</v>
      </c>
      <c r="C1066" s="47">
        <f t="shared" si="445"/>
        <v>0</v>
      </c>
      <c r="D1066" s="47">
        <f t="shared" si="445"/>
        <v>259</v>
      </c>
      <c r="E1066" s="47">
        <f t="shared" si="445"/>
        <v>0</v>
      </c>
      <c r="F1066" s="47">
        <f t="shared" si="445"/>
        <v>0</v>
      </c>
      <c r="G1066" s="47">
        <f t="shared" si="445"/>
        <v>0</v>
      </c>
      <c r="H1066" s="47">
        <f t="shared" si="445"/>
        <v>259</v>
      </c>
      <c r="I1066" s="47">
        <f t="shared" si="445"/>
        <v>0</v>
      </c>
      <c r="J1066" s="47">
        <f>SUM(J1064:J1065)</f>
        <v>259</v>
      </c>
      <c r="K1066" s="188" t="s">
        <v>12</v>
      </c>
      <c r="L1066" s="239"/>
    </row>
    <row r="1067" spans="2:12" ht="15" customHeight="1" thickBot="1" x14ac:dyDescent="0.25">
      <c r="B1067" s="47">
        <f t="shared" si="440"/>
        <v>913</v>
      </c>
      <c r="C1067" s="47">
        <f t="shared" si="441"/>
        <v>444</v>
      </c>
      <c r="D1067" s="47">
        <f t="shared" si="441"/>
        <v>469</v>
      </c>
      <c r="E1067" s="47">
        <f t="shared" si="442"/>
        <v>0</v>
      </c>
      <c r="F1067" s="47">
        <v>0</v>
      </c>
      <c r="G1067" s="47">
        <v>0</v>
      </c>
      <c r="H1067" s="47">
        <f t="shared" si="443"/>
        <v>913</v>
      </c>
      <c r="I1067" s="47">
        <v>444</v>
      </c>
      <c r="J1067" s="47">
        <v>469</v>
      </c>
      <c r="K1067" s="188" t="s">
        <v>233</v>
      </c>
      <c r="L1067" s="134"/>
    </row>
    <row r="1068" spans="2:12" ht="15" customHeight="1" thickBot="1" x14ac:dyDescent="0.25">
      <c r="B1068" s="47">
        <f t="shared" si="440"/>
        <v>0</v>
      </c>
      <c r="C1068" s="47">
        <f t="shared" si="441"/>
        <v>0</v>
      </c>
      <c r="D1068" s="47">
        <f t="shared" si="441"/>
        <v>0</v>
      </c>
      <c r="E1068" s="47">
        <f t="shared" si="442"/>
        <v>0</v>
      </c>
      <c r="F1068" s="47">
        <v>0</v>
      </c>
      <c r="G1068" s="47">
        <v>0</v>
      </c>
      <c r="H1068" s="47">
        <f t="shared" si="443"/>
        <v>0</v>
      </c>
      <c r="I1068" s="47">
        <v>0</v>
      </c>
      <c r="J1068" s="47">
        <v>0</v>
      </c>
      <c r="K1068" s="188" t="s">
        <v>234</v>
      </c>
      <c r="L1068" s="134" t="s">
        <v>572</v>
      </c>
    </row>
    <row r="1069" spans="2:12" ht="15" customHeight="1" thickBot="1" x14ac:dyDescent="0.25">
      <c r="B1069" s="47">
        <f t="shared" ref="B1069:I1069" si="446">SUM(B1067:B1068)</f>
        <v>913</v>
      </c>
      <c r="C1069" s="47">
        <f t="shared" si="446"/>
        <v>444</v>
      </c>
      <c r="D1069" s="47">
        <f t="shared" si="446"/>
        <v>469</v>
      </c>
      <c r="E1069" s="47">
        <f t="shared" si="446"/>
        <v>0</v>
      </c>
      <c r="F1069" s="47">
        <f t="shared" si="446"/>
        <v>0</v>
      </c>
      <c r="G1069" s="47">
        <f t="shared" si="446"/>
        <v>0</v>
      </c>
      <c r="H1069" s="47">
        <f t="shared" si="446"/>
        <v>913</v>
      </c>
      <c r="I1069" s="47">
        <f t="shared" si="446"/>
        <v>444</v>
      </c>
      <c r="J1069" s="47">
        <f>SUM(J1067:J1068)</f>
        <v>469</v>
      </c>
      <c r="K1069" s="188" t="s">
        <v>12</v>
      </c>
      <c r="L1069" s="239"/>
    </row>
    <row r="1070" spans="2:12" ht="15" customHeight="1" thickBot="1" x14ac:dyDescent="0.25">
      <c r="B1070" s="47">
        <f t="shared" si="440"/>
        <v>194</v>
      </c>
      <c r="C1070" s="47">
        <f t="shared" si="441"/>
        <v>80</v>
      </c>
      <c r="D1070" s="47">
        <f t="shared" si="441"/>
        <v>114</v>
      </c>
      <c r="E1070" s="47">
        <f t="shared" si="442"/>
        <v>0</v>
      </c>
      <c r="F1070" s="47">
        <v>0</v>
      </c>
      <c r="G1070" s="47">
        <v>0</v>
      </c>
      <c r="H1070" s="47">
        <f t="shared" si="443"/>
        <v>194</v>
      </c>
      <c r="I1070" s="47">
        <v>80</v>
      </c>
      <c r="J1070" s="47">
        <v>114</v>
      </c>
      <c r="K1070" s="188" t="s">
        <v>233</v>
      </c>
      <c r="L1070" s="134"/>
    </row>
    <row r="1071" spans="2:12" ht="15" customHeight="1" thickBot="1" x14ac:dyDescent="0.25">
      <c r="B1071" s="47">
        <f t="shared" si="440"/>
        <v>0</v>
      </c>
      <c r="C1071" s="47">
        <f t="shared" si="441"/>
        <v>0</v>
      </c>
      <c r="D1071" s="47">
        <f t="shared" si="441"/>
        <v>0</v>
      </c>
      <c r="E1071" s="47">
        <f t="shared" si="442"/>
        <v>0</v>
      </c>
      <c r="F1071" s="47">
        <v>0</v>
      </c>
      <c r="G1071" s="47">
        <v>0</v>
      </c>
      <c r="H1071" s="47">
        <f t="shared" si="443"/>
        <v>0</v>
      </c>
      <c r="I1071" s="47">
        <v>0</v>
      </c>
      <c r="J1071" s="47">
        <v>0</v>
      </c>
      <c r="K1071" s="188" t="s">
        <v>234</v>
      </c>
      <c r="L1071" s="134" t="s">
        <v>573</v>
      </c>
    </row>
    <row r="1072" spans="2:12" ht="15" customHeight="1" thickBot="1" x14ac:dyDescent="0.25">
      <c r="B1072" s="47">
        <f t="shared" ref="B1072:I1072" si="447">SUM(B1070:B1071)</f>
        <v>194</v>
      </c>
      <c r="C1072" s="47">
        <f t="shared" si="447"/>
        <v>80</v>
      </c>
      <c r="D1072" s="47">
        <f t="shared" si="447"/>
        <v>114</v>
      </c>
      <c r="E1072" s="47">
        <f t="shared" si="447"/>
        <v>0</v>
      </c>
      <c r="F1072" s="47">
        <f t="shared" si="447"/>
        <v>0</v>
      </c>
      <c r="G1072" s="47">
        <f t="shared" si="447"/>
        <v>0</v>
      </c>
      <c r="H1072" s="47">
        <f t="shared" si="447"/>
        <v>194</v>
      </c>
      <c r="I1072" s="47">
        <f t="shared" si="447"/>
        <v>80</v>
      </c>
      <c r="J1072" s="47">
        <f>SUM(J1070:J1071)</f>
        <v>114</v>
      </c>
      <c r="K1072" s="188" t="s">
        <v>12</v>
      </c>
      <c r="L1072" s="239"/>
    </row>
    <row r="1073" spans="2:12" ht="15" customHeight="1" thickBot="1" x14ac:dyDescent="0.25">
      <c r="B1073" s="47">
        <f t="shared" ref="B1073:J1075" si="448">B1061+B1064+B1067+B1070</f>
        <v>1525</v>
      </c>
      <c r="C1073" s="47">
        <f t="shared" si="448"/>
        <v>524</v>
      </c>
      <c r="D1073" s="47">
        <f t="shared" si="448"/>
        <v>1001</v>
      </c>
      <c r="E1073" s="47">
        <f t="shared" si="448"/>
        <v>0</v>
      </c>
      <c r="F1073" s="47">
        <f t="shared" si="448"/>
        <v>0</v>
      </c>
      <c r="G1073" s="47">
        <f t="shared" si="448"/>
        <v>0</v>
      </c>
      <c r="H1073" s="47">
        <f t="shared" si="448"/>
        <v>1525</v>
      </c>
      <c r="I1073" s="47">
        <f t="shared" si="448"/>
        <v>524</v>
      </c>
      <c r="J1073" s="47">
        <f>J1061+J1064+J1067+J1070</f>
        <v>1001</v>
      </c>
      <c r="K1073" s="188" t="s">
        <v>236</v>
      </c>
      <c r="L1073" s="131"/>
    </row>
    <row r="1074" spans="2:12" ht="15" customHeight="1" thickBot="1" x14ac:dyDescent="0.25">
      <c r="B1074" s="47">
        <f t="shared" si="448"/>
        <v>0</v>
      </c>
      <c r="C1074" s="47">
        <f t="shared" si="448"/>
        <v>0</v>
      </c>
      <c r="D1074" s="47">
        <f t="shared" si="448"/>
        <v>0</v>
      </c>
      <c r="E1074" s="47">
        <f t="shared" si="448"/>
        <v>0</v>
      </c>
      <c r="F1074" s="47">
        <f t="shared" si="448"/>
        <v>0</v>
      </c>
      <c r="G1074" s="47">
        <f t="shared" si="448"/>
        <v>0</v>
      </c>
      <c r="H1074" s="47">
        <f t="shared" si="448"/>
        <v>0</v>
      </c>
      <c r="I1074" s="47">
        <f t="shared" si="448"/>
        <v>0</v>
      </c>
      <c r="J1074" s="47">
        <f t="shared" si="448"/>
        <v>0</v>
      </c>
      <c r="K1074" s="188" t="s">
        <v>237</v>
      </c>
      <c r="L1074" s="132" t="s">
        <v>188</v>
      </c>
    </row>
    <row r="1075" spans="2:12" ht="15" customHeight="1" thickBot="1" x14ac:dyDescent="0.25">
      <c r="B1075" s="47">
        <f t="shared" si="448"/>
        <v>1525</v>
      </c>
      <c r="C1075" s="47">
        <f t="shared" si="448"/>
        <v>524</v>
      </c>
      <c r="D1075" s="47">
        <f t="shared" si="448"/>
        <v>1001</v>
      </c>
      <c r="E1075" s="47">
        <f t="shared" si="448"/>
        <v>0</v>
      </c>
      <c r="F1075" s="47">
        <f t="shared" si="448"/>
        <v>0</v>
      </c>
      <c r="G1075" s="47">
        <f t="shared" si="448"/>
        <v>0</v>
      </c>
      <c r="H1075" s="47">
        <f t="shared" si="448"/>
        <v>1525</v>
      </c>
      <c r="I1075" s="47">
        <f t="shared" si="448"/>
        <v>524</v>
      </c>
      <c r="J1075" s="47">
        <f t="shared" si="448"/>
        <v>1001</v>
      </c>
      <c r="K1075" s="188" t="s">
        <v>12</v>
      </c>
      <c r="L1075" s="133"/>
    </row>
    <row r="1076" spans="2:12" ht="15" customHeight="1" thickBot="1" x14ac:dyDescent="0.25">
      <c r="B1076" s="476" t="s">
        <v>4</v>
      </c>
      <c r="C1076" s="476"/>
      <c r="D1076" s="476"/>
      <c r="E1076" s="476" t="s">
        <v>145</v>
      </c>
      <c r="F1076" s="476"/>
      <c r="G1076" s="476"/>
      <c r="H1076" s="476" t="s">
        <v>146</v>
      </c>
      <c r="I1076" s="476"/>
      <c r="J1076" s="476"/>
      <c r="K1076" s="479" t="s">
        <v>66</v>
      </c>
      <c r="L1076" s="479"/>
    </row>
    <row r="1077" spans="2:12" ht="15" customHeight="1" thickBot="1" x14ac:dyDescent="0.25">
      <c r="B1077" s="185" t="s">
        <v>227</v>
      </c>
      <c r="C1077" s="185" t="s">
        <v>10</v>
      </c>
      <c r="D1077" s="185" t="s">
        <v>9</v>
      </c>
      <c r="E1077" s="185" t="s">
        <v>227</v>
      </c>
      <c r="F1077" s="185" t="s">
        <v>10</v>
      </c>
      <c r="G1077" s="185" t="s">
        <v>9</v>
      </c>
      <c r="H1077" s="185" t="s">
        <v>227</v>
      </c>
      <c r="I1077" s="185" t="s">
        <v>10</v>
      </c>
      <c r="J1077" s="185" t="s">
        <v>9</v>
      </c>
      <c r="K1077" s="480" t="s">
        <v>152</v>
      </c>
      <c r="L1077" s="480"/>
    </row>
    <row r="1078" spans="2:12" ht="15" customHeight="1" thickBot="1" x14ac:dyDescent="0.25">
      <c r="B1078" s="47">
        <f>SUM(C1078:D1078)</f>
        <v>91</v>
      </c>
      <c r="C1078" s="47">
        <f>I1078+F1078</f>
        <v>52</v>
      </c>
      <c r="D1078" s="47">
        <f>J1078+G1078</f>
        <v>39</v>
      </c>
      <c r="E1078" s="47">
        <f>SUM(F1078:G1078)</f>
        <v>0</v>
      </c>
      <c r="F1078" s="47">
        <v>0</v>
      </c>
      <c r="G1078" s="47">
        <v>0</v>
      </c>
      <c r="H1078" s="47">
        <f>SUM(I1078:J1078)</f>
        <v>91</v>
      </c>
      <c r="I1078" s="47">
        <v>52</v>
      </c>
      <c r="J1078" s="47">
        <v>39</v>
      </c>
      <c r="K1078" s="188" t="s">
        <v>233</v>
      </c>
      <c r="L1078" s="248"/>
    </row>
    <row r="1079" spans="2:12" ht="15" customHeight="1" thickBot="1" x14ac:dyDescent="0.25">
      <c r="B1079" s="47">
        <f t="shared" ref="B1079" si="449">SUM(C1079:D1079)</f>
        <v>0</v>
      </c>
      <c r="C1079" s="47">
        <f t="shared" ref="C1079:D1079" si="450">I1079+F1079</f>
        <v>0</v>
      </c>
      <c r="D1079" s="47">
        <f t="shared" si="450"/>
        <v>0</v>
      </c>
      <c r="E1079" s="47">
        <f t="shared" ref="E1079" si="451">SUM(F1079:G1079)</f>
        <v>0</v>
      </c>
      <c r="F1079" s="47">
        <v>0</v>
      </c>
      <c r="G1079" s="47">
        <v>0</v>
      </c>
      <c r="H1079" s="47">
        <f t="shared" ref="H1079" si="452">SUM(I1079:J1079)</f>
        <v>0</v>
      </c>
      <c r="I1079" s="47">
        <v>0</v>
      </c>
      <c r="J1079" s="47">
        <v>0</v>
      </c>
      <c r="K1079" s="188" t="s">
        <v>234</v>
      </c>
      <c r="L1079" s="248" t="s">
        <v>336</v>
      </c>
    </row>
    <row r="1080" spans="2:12" ht="15" customHeight="1" thickBot="1" x14ac:dyDescent="0.25">
      <c r="B1080" s="47">
        <f t="shared" ref="B1080:I1080" si="453">SUM(B1078:B1079)</f>
        <v>91</v>
      </c>
      <c r="C1080" s="47">
        <f t="shared" si="453"/>
        <v>52</v>
      </c>
      <c r="D1080" s="47">
        <f t="shared" si="453"/>
        <v>39</v>
      </c>
      <c r="E1080" s="47">
        <f t="shared" si="453"/>
        <v>0</v>
      </c>
      <c r="F1080" s="47">
        <f t="shared" si="453"/>
        <v>0</v>
      </c>
      <c r="G1080" s="47">
        <f t="shared" si="453"/>
        <v>0</v>
      </c>
      <c r="H1080" s="47">
        <f t="shared" si="453"/>
        <v>91</v>
      </c>
      <c r="I1080" s="47">
        <f t="shared" si="453"/>
        <v>52</v>
      </c>
      <c r="J1080" s="47">
        <f>SUM(J1078:J1079)</f>
        <v>39</v>
      </c>
      <c r="K1080" s="188" t="s">
        <v>12</v>
      </c>
      <c r="L1080" s="249"/>
    </row>
    <row r="1081" spans="2:12" ht="15" customHeight="1" thickBot="1" x14ac:dyDescent="0.25">
      <c r="B1081" s="47">
        <f t="shared" ref="B1081:J1083" si="454">B1078</f>
        <v>91</v>
      </c>
      <c r="C1081" s="47">
        <f t="shared" si="454"/>
        <v>52</v>
      </c>
      <c r="D1081" s="47">
        <f t="shared" si="454"/>
        <v>39</v>
      </c>
      <c r="E1081" s="47">
        <f t="shared" si="454"/>
        <v>0</v>
      </c>
      <c r="F1081" s="47">
        <f t="shared" si="454"/>
        <v>0</v>
      </c>
      <c r="G1081" s="47">
        <f t="shared" si="454"/>
        <v>0</v>
      </c>
      <c r="H1081" s="47">
        <f t="shared" si="454"/>
        <v>91</v>
      </c>
      <c r="I1081" s="47">
        <f t="shared" si="454"/>
        <v>52</v>
      </c>
      <c r="J1081" s="47">
        <f>J1078</f>
        <v>39</v>
      </c>
      <c r="K1081" s="188" t="s">
        <v>236</v>
      </c>
      <c r="L1081" s="250"/>
    </row>
    <row r="1082" spans="2:12" ht="15" customHeight="1" thickBot="1" x14ac:dyDescent="0.25">
      <c r="B1082" s="47">
        <f t="shared" si="454"/>
        <v>0</v>
      </c>
      <c r="C1082" s="47">
        <f t="shared" si="454"/>
        <v>0</v>
      </c>
      <c r="D1082" s="47">
        <f t="shared" si="454"/>
        <v>0</v>
      </c>
      <c r="E1082" s="47">
        <f t="shared" si="454"/>
        <v>0</v>
      </c>
      <c r="F1082" s="47">
        <f t="shared" si="454"/>
        <v>0</v>
      </c>
      <c r="G1082" s="47">
        <f t="shared" si="454"/>
        <v>0</v>
      </c>
      <c r="H1082" s="47">
        <f t="shared" si="454"/>
        <v>0</v>
      </c>
      <c r="I1082" s="47">
        <f t="shared" si="454"/>
        <v>0</v>
      </c>
      <c r="J1082" s="47">
        <f t="shared" si="454"/>
        <v>0</v>
      </c>
      <c r="K1082" s="188" t="s">
        <v>237</v>
      </c>
      <c r="L1082" s="251" t="s">
        <v>188</v>
      </c>
    </row>
    <row r="1083" spans="2:12" ht="15" customHeight="1" thickBot="1" x14ac:dyDescent="0.25">
      <c r="B1083" s="47">
        <f t="shared" si="454"/>
        <v>91</v>
      </c>
      <c r="C1083" s="47">
        <f t="shared" si="454"/>
        <v>52</v>
      </c>
      <c r="D1083" s="47">
        <f t="shared" si="454"/>
        <v>39</v>
      </c>
      <c r="E1083" s="47">
        <f t="shared" si="454"/>
        <v>0</v>
      </c>
      <c r="F1083" s="47">
        <f t="shared" si="454"/>
        <v>0</v>
      </c>
      <c r="G1083" s="47">
        <f t="shared" si="454"/>
        <v>0</v>
      </c>
      <c r="H1083" s="47">
        <f t="shared" si="454"/>
        <v>91</v>
      </c>
      <c r="I1083" s="47">
        <f t="shared" si="454"/>
        <v>52</v>
      </c>
      <c r="J1083" s="47">
        <f t="shared" si="454"/>
        <v>39</v>
      </c>
      <c r="K1083" s="188" t="s">
        <v>12</v>
      </c>
      <c r="L1083" s="187"/>
    </row>
  </sheetData>
  <mergeCells count="123">
    <mergeCell ref="K1060:L1060"/>
    <mergeCell ref="B1076:D1076"/>
    <mergeCell ref="E1076:G1076"/>
    <mergeCell ref="H1076:J1076"/>
    <mergeCell ref="K1076:L1076"/>
    <mergeCell ref="K1077:L1077"/>
    <mergeCell ref="B1051:D1051"/>
    <mergeCell ref="E1051:G1051"/>
    <mergeCell ref="H1051:J1051"/>
    <mergeCell ref="K1051:L1051"/>
    <mergeCell ref="K1052:L1052"/>
    <mergeCell ref="B1059:D1059"/>
    <mergeCell ref="E1059:G1059"/>
    <mergeCell ref="H1059:J1059"/>
    <mergeCell ref="K1059:L1059"/>
    <mergeCell ref="K961:L961"/>
    <mergeCell ref="B980:D980"/>
    <mergeCell ref="E980:G980"/>
    <mergeCell ref="H980:J980"/>
    <mergeCell ref="K980:L980"/>
    <mergeCell ref="K981:L981"/>
    <mergeCell ref="B931:D931"/>
    <mergeCell ref="E931:G931"/>
    <mergeCell ref="H931:J931"/>
    <mergeCell ref="K931:L931"/>
    <mergeCell ref="K932:L932"/>
    <mergeCell ref="B960:D960"/>
    <mergeCell ref="E960:G960"/>
    <mergeCell ref="H960:J960"/>
    <mergeCell ref="K960:L960"/>
    <mergeCell ref="K811:L811"/>
    <mergeCell ref="B830:D830"/>
    <mergeCell ref="E830:G830"/>
    <mergeCell ref="H830:J830"/>
    <mergeCell ref="K830:L830"/>
    <mergeCell ref="K831:L831"/>
    <mergeCell ref="B781:D781"/>
    <mergeCell ref="E781:G781"/>
    <mergeCell ref="H781:J781"/>
    <mergeCell ref="K781:L781"/>
    <mergeCell ref="K782:L782"/>
    <mergeCell ref="B810:D810"/>
    <mergeCell ref="E810:G810"/>
    <mergeCell ref="H810:J810"/>
    <mergeCell ref="K810:L810"/>
    <mergeCell ref="K730:L730"/>
    <mergeCell ref="B755:D755"/>
    <mergeCell ref="E755:G755"/>
    <mergeCell ref="H755:J755"/>
    <mergeCell ref="K755:L755"/>
    <mergeCell ref="K756:L756"/>
    <mergeCell ref="B691:D691"/>
    <mergeCell ref="E691:G691"/>
    <mergeCell ref="H691:J691"/>
    <mergeCell ref="K691:L691"/>
    <mergeCell ref="K692:L692"/>
    <mergeCell ref="B729:D729"/>
    <mergeCell ref="E729:G729"/>
    <mergeCell ref="H729:J729"/>
    <mergeCell ref="K729:L729"/>
    <mergeCell ref="K613:L613"/>
    <mergeCell ref="B659:D659"/>
    <mergeCell ref="E659:G659"/>
    <mergeCell ref="H659:J659"/>
    <mergeCell ref="K659:L659"/>
    <mergeCell ref="K660:L660"/>
    <mergeCell ref="B562:D562"/>
    <mergeCell ref="E562:G562"/>
    <mergeCell ref="H562:J562"/>
    <mergeCell ref="K562:L562"/>
    <mergeCell ref="K563:L563"/>
    <mergeCell ref="B612:D612"/>
    <mergeCell ref="E612:G612"/>
    <mergeCell ref="H612:J612"/>
    <mergeCell ref="K612:L612"/>
    <mergeCell ref="K418:L418"/>
    <mergeCell ref="B491:D491"/>
    <mergeCell ref="E491:G491"/>
    <mergeCell ref="H491:J491"/>
    <mergeCell ref="K491:L491"/>
    <mergeCell ref="K492:L492"/>
    <mergeCell ref="L381:L383"/>
    <mergeCell ref="L414:L416"/>
    <mergeCell ref="B417:D417"/>
    <mergeCell ref="E417:G417"/>
    <mergeCell ref="H417:J417"/>
    <mergeCell ref="K417:L417"/>
    <mergeCell ref="K312:L312"/>
    <mergeCell ref="B337:D337"/>
    <mergeCell ref="E337:G337"/>
    <mergeCell ref="H337:J337"/>
    <mergeCell ref="K337:L337"/>
    <mergeCell ref="K338:L338"/>
    <mergeCell ref="B249:D249"/>
    <mergeCell ref="E249:G249"/>
    <mergeCell ref="H249:J249"/>
    <mergeCell ref="K249:L249"/>
    <mergeCell ref="K250:L250"/>
    <mergeCell ref="B311:D311"/>
    <mergeCell ref="E311:G311"/>
    <mergeCell ref="H311:J311"/>
    <mergeCell ref="K311:L311"/>
    <mergeCell ref="K128:L128"/>
    <mergeCell ref="B66:D66"/>
    <mergeCell ref="E66:G66"/>
    <mergeCell ref="H66:J66"/>
    <mergeCell ref="K66:L66"/>
    <mergeCell ref="K67:L67"/>
    <mergeCell ref="B86:D86"/>
    <mergeCell ref="E86:G86"/>
    <mergeCell ref="H86:J86"/>
    <mergeCell ref="K86:L86"/>
    <mergeCell ref="B2:L2"/>
    <mergeCell ref="B4:D4"/>
    <mergeCell ref="E4:G4"/>
    <mergeCell ref="H4:J4"/>
    <mergeCell ref="K4:L4"/>
    <mergeCell ref="K5:L5"/>
    <mergeCell ref="K87:L87"/>
    <mergeCell ref="B127:D127"/>
    <mergeCell ref="E127:G127"/>
    <mergeCell ref="H127:J127"/>
    <mergeCell ref="K127:L127"/>
  </mergeCells>
  <printOptions horizontalCentered="1" verticalCentered="1"/>
  <pageMargins left="0.39370078740157499" right="0.19" top="0.23622047244094499" bottom="0.47" header="0.23622047244094499" footer="0.23622047244094499"/>
  <pageSetup paperSize="9" scale="88" orientation="landscape" r:id="rId1"/>
  <headerFooter alignWithMargins="0"/>
  <rowBreaks count="17" manualBreakCount="17">
    <brk id="65" min="1" max="11" man="1"/>
    <brk id="85" min="1" max="11" man="1"/>
    <brk id="126" max="16383" man="1"/>
    <brk id="248" max="16383" man="1"/>
    <brk id="310" max="16383" man="1"/>
    <brk id="336" min="1" max="11" man="1"/>
    <brk id="416" max="16383" man="1"/>
    <brk id="490" min="1" max="11" man="1"/>
    <brk id="561" min="1" max="11" man="1"/>
    <brk id="690" min="1" max="11" man="1"/>
    <brk id="728" min="1" max="11" man="1"/>
    <brk id="780" min="1" max="11" man="1"/>
    <brk id="829" min="1" max="11" man="1"/>
    <brk id="930" min="1" max="11" man="1"/>
    <brk id="960" min="1" max="11" man="1"/>
    <brk id="979" min="1" max="11" man="1"/>
    <brk id="1051" min="1" max="11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2:L378"/>
  <sheetViews>
    <sheetView showGridLines="0" zoomScaleSheetLayoutView="124" workbookViewId="0">
      <selection activeCell="O15" sqref="O15"/>
    </sheetView>
  </sheetViews>
  <sheetFormatPr defaultColWidth="9.125" defaultRowHeight="16.5" customHeight="1" x14ac:dyDescent="0.2"/>
  <cols>
    <col min="1" max="1" width="9.125" style="56"/>
    <col min="2" max="10" width="9.875" style="252" customWidth="1"/>
    <col min="11" max="11" width="9.125" style="253"/>
    <col min="12" max="12" width="32.625" style="254" bestFit="1" customWidth="1"/>
    <col min="13" max="16384" width="9.125" style="56"/>
  </cols>
  <sheetData>
    <row r="2" spans="2:12" ht="19.5" customHeight="1" x14ac:dyDescent="0.2">
      <c r="B2" s="499" t="s">
        <v>574</v>
      </c>
      <c r="C2" s="499"/>
      <c r="D2" s="499"/>
      <c r="E2" s="499"/>
      <c r="F2" s="499"/>
      <c r="G2" s="499"/>
      <c r="H2" s="499"/>
      <c r="I2" s="499"/>
      <c r="J2" s="499"/>
      <c r="K2" s="499"/>
      <c r="L2" s="499"/>
    </row>
    <row r="3" spans="2:12" ht="16.5" customHeight="1" thickBot="1" x14ac:dyDescent="0.25"/>
    <row r="4" spans="2:12" ht="16.5" customHeight="1" thickBot="1" x14ac:dyDescent="0.25">
      <c r="B4" s="476" t="s">
        <v>4</v>
      </c>
      <c r="C4" s="476"/>
      <c r="D4" s="476"/>
      <c r="E4" s="476" t="s">
        <v>145</v>
      </c>
      <c r="F4" s="476"/>
      <c r="G4" s="476"/>
      <c r="H4" s="476" t="s">
        <v>146</v>
      </c>
      <c r="I4" s="476"/>
      <c r="J4" s="476"/>
      <c r="K4" s="479" t="s">
        <v>66</v>
      </c>
      <c r="L4" s="479"/>
    </row>
    <row r="5" spans="2:12" ht="16.5" customHeight="1" thickBot="1" x14ac:dyDescent="0.25">
      <c r="B5" s="185" t="s">
        <v>227</v>
      </c>
      <c r="C5" s="185" t="s">
        <v>10</v>
      </c>
      <c r="D5" s="185" t="s">
        <v>9</v>
      </c>
      <c r="E5" s="185" t="s">
        <v>227</v>
      </c>
      <c r="F5" s="185" t="s">
        <v>10</v>
      </c>
      <c r="G5" s="185" t="s">
        <v>9</v>
      </c>
      <c r="H5" s="185" t="s">
        <v>227</v>
      </c>
      <c r="I5" s="185" t="s">
        <v>10</v>
      </c>
      <c r="J5" s="185" t="s">
        <v>9</v>
      </c>
      <c r="K5" s="480" t="s">
        <v>68</v>
      </c>
      <c r="L5" s="480"/>
    </row>
    <row r="6" spans="2:12" ht="16.5" customHeight="1" thickBot="1" x14ac:dyDescent="0.25">
      <c r="B6" s="47">
        <f>SUM(C6:D6)</f>
        <v>12</v>
      </c>
      <c r="C6" s="47">
        <f>I6+F6</f>
        <v>0</v>
      </c>
      <c r="D6" s="47">
        <f>J6+G6</f>
        <v>12</v>
      </c>
      <c r="E6" s="47">
        <f>SUM(F6:G6)</f>
        <v>0</v>
      </c>
      <c r="F6" s="47">
        <v>0</v>
      </c>
      <c r="G6" s="47">
        <v>0</v>
      </c>
      <c r="H6" s="47">
        <f>SUM(I6:J6)</f>
        <v>12</v>
      </c>
      <c r="I6" s="47">
        <v>0</v>
      </c>
      <c r="J6" s="47">
        <v>12</v>
      </c>
      <c r="K6" s="188" t="s">
        <v>56</v>
      </c>
      <c r="L6" s="134"/>
    </row>
    <row r="7" spans="2:12" ht="16.5" customHeight="1" thickBot="1" x14ac:dyDescent="0.25">
      <c r="B7" s="47">
        <f t="shared" ref="B7:B32" si="0">SUM(C7:D7)</f>
        <v>66</v>
      </c>
      <c r="C7" s="47">
        <f t="shared" ref="C7:D32" si="1">I7+F7</f>
        <v>31</v>
      </c>
      <c r="D7" s="47">
        <f t="shared" si="1"/>
        <v>35</v>
      </c>
      <c r="E7" s="47">
        <f t="shared" ref="E7:E32" si="2">SUM(F7:G7)</f>
        <v>12</v>
      </c>
      <c r="F7" s="47">
        <v>4</v>
      </c>
      <c r="G7" s="47">
        <v>8</v>
      </c>
      <c r="H7" s="47">
        <f t="shared" ref="H7:H32" si="3">SUM(I7:J7)</f>
        <v>54</v>
      </c>
      <c r="I7" s="47">
        <v>27</v>
      </c>
      <c r="J7" s="47">
        <v>27</v>
      </c>
      <c r="K7" s="188" t="s">
        <v>57</v>
      </c>
      <c r="L7" s="134" t="s">
        <v>339</v>
      </c>
    </row>
    <row r="8" spans="2:12" ht="16.5" customHeight="1" thickBot="1" x14ac:dyDescent="0.25">
      <c r="B8" s="47">
        <f t="shared" si="0"/>
        <v>33</v>
      </c>
      <c r="C8" s="47">
        <f t="shared" si="1"/>
        <v>0</v>
      </c>
      <c r="D8" s="47">
        <f t="shared" si="1"/>
        <v>33</v>
      </c>
      <c r="E8" s="47">
        <f t="shared" si="2"/>
        <v>6</v>
      </c>
      <c r="F8" s="47">
        <v>0</v>
      </c>
      <c r="G8" s="47">
        <v>6</v>
      </c>
      <c r="H8" s="47">
        <f t="shared" si="3"/>
        <v>27</v>
      </c>
      <c r="I8" s="47">
        <v>0</v>
      </c>
      <c r="J8" s="47">
        <v>27</v>
      </c>
      <c r="K8" s="188" t="s">
        <v>59</v>
      </c>
      <c r="L8" s="135"/>
    </row>
    <row r="9" spans="2:12" ht="16.5" customHeight="1" thickBot="1" x14ac:dyDescent="0.25">
      <c r="B9" s="47">
        <f t="shared" si="0"/>
        <v>84</v>
      </c>
      <c r="C9" s="47">
        <f t="shared" si="1"/>
        <v>48</v>
      </c>
      <c r="D9" s="47">
        <f t="shared" si="1"/>
        <v>36</v>
      </c>
      <c r="E9" s="47">
        <f t="shared" si="2"/>
        <v>11</v>
      </c>
      <c r="F9" s="47">
        <v>3</v>
      </c>
      <c r="G9" s="47">
        <v>8</v>
      </c>
      <c r="H9" s="47">
        <f t="shared" si="3"/>
        <v>73</v>
      </c>
      <c r="I9" s="47">
        <v>45</v>
      </c>
      <c r="J9" s="47">
        <v>28</v>
      </c>
      <c r="K9" s="188" t="s">
        <v>56</v>
      </c>
      <c r="L9" s="134"/>
    </row>
    <row r="10" spans="2:12" ht="16.5" customHeight="1" thickBot="1" x14ac:dyDescent="0.25">
      <c r="B10" s="47">
        <f t="shared" si="0"/>
        <v>194</v>
      </c>
      <c r="C10" s="47">
        <f t="shared" si="1"/>
        <v>82</v>
      </c>
      <c r="D10" s="47">
        <f t="shared" si="1"/>
        <v>112</v>
      </c>
      <c r="E10" s="47">
        <f t="shared" si="2"/>
        <v>5</v>
      </c>
      <c r="F10" s="47">
        <v>4</v>
      </c>
      <c r="G10" s="47">
        <v>1</v>
      </c>
      <c r="H10" s="47">
        <f t="shared" si="3"/>
        <v>189</v>
      </c>
      <c r="I10" s="47">
        <v>78</v>
      </c>
      <c r="J10" s="47">
        <v>111</v>
      </c>
      <c r="K10" s="188" t="s">
        <v>57</v>
      </c>
      <c r="L10" s="134" t="s">
        <v>340</v>
      </c>
    </row>
    <row r="11" spans="2:12" ht="16.5" customHeight="1" thickBot="1" x14ac:dyDescent="0.25">
      <c r="B11" s="47">
        <f t="shared" si="0"/>
        <v>437</v>
      </c>
      <c r="C11" s="47">
        <f t="shared" si="1"/>
        <v>116</v>
      </c>
      <c r="D11" s="47">
        <f t="shared" si="1"/>
        <v>321</v>
      </c>
      <c r="E11" s="47">
        <f t="shared" si="2"/>
        <v>0</v>
      </c>
      <c r="F11" s="47">
        <v>0</v>
      </c>
      <c r="G11" s="47">
        <v>0</v>
      </c>
      <c r="H11" s="47">
        <f t="shared" si="3"/>
        <v>437</v>
      </c>
      <c r="I11" s="47">
        <v>116</v>
      </c>
      <c r="J11" s="47">
        <v>321</v>
      </c>
      <c r="K11" s="188" t="s">
        <v>59</v>
      </c>
      <c r="L11" s="135"/>
    </row>
    <row r="12" spans="2:12" ht="16.5" customHeight="1" thickBot="1" x14ac:dyDescent="0.25">
      <c r="B12" s="47">
        <f t="shared" si="0"/>
        <v>15</v>
      </c>
      <c r="C12" s="47">
        <f t="shared" si="1"/>
        <v>10</v>
      </c>
      <c r="D12" s="47">
        <f t="shared" si="1"/>
        <v>5</v>
      </c>
      <c r="E12" s="47">
        <f t="shared" si="2"/>
        <v>0</v>
      </c>
      <c r="F12" s="47">
        <v>0</v>
      </c>
      <c r="G12" s="47">
        <v>0</v>
      </c>
      <c r="H12" s="47">
        <f t="shared" si="3"/>
        <v>15</v>
      </c>
      <c r="I12" s="47">
        <v>10</v>
      </c>
      <c r="J12" s="47">
        <v>5</v>
      </c>
      <c r="K12" s="188" t="s">
        <v>56</v>
      </c>
      <c r="L12" s="134"/>
    </row>
    <row r="13" spans="2:12" ht="16.5" customHeight="1" thickBot="1" x14ac:dyDescent="0.25">
      <c r="B13" s="47">
        <f t="shared" si="0"/>
        <v>38</v>
      </c>
      <c r="C13" s="47">
        <f t="shared" si="1"/>
        <v>17</v>
      </c>
      <c r="D13" s="47">
        <f t="shared" si="1"/>
        <v>21</v>
      </c>
      <c r="E13" s="47">
        <f t="shared" si="2"/>
        <v>6</v>
      </c>
      <c r="F13" s="47">
        <v>4</v>
      </c>
      <c r="G13" s="47">
        <v>2</v>
      </c>
      <c r="H13" s="47">
        <f t="shared" si="3"/>
        <v>32</v>
      </c>
      <c r="I13" s="47">
        <v>13</v>
      </c>
      <c r="J13" s="47">
        <v>19</v>
      </c>
      <c r="K13" s="188" t="s">
        <v>57</v>
      </c>
      <c r="L13" s="134" t="s">
        <v>341</v>
      </c>
    </row>
    <row r="14" spans="2:12" ht="16.5" customHeight="1" thickBot="1" x14ac:dyDescent="0.25">
      <c r="B14" s="47">
        <f t="shared" si="0"/>
        <v>0</v>
      </c>
      <c r="C14" s="47">
        <f t="shared" si="1"/>
        <v>0</v>
      </c>
      <c r="D14" s="47">
        <f t="shared" si="1"/>
        <v>0</v>
      </c>
      <c r="E14" s="47">
        <f t="shared" si="2"/>
        <v>0</v>
      </c>
      <c r="F14" s="47">
        <v>0</v>
      </c>
      <c r="G14" s="47">
        <v>0</v>
      </c>
      <c r="H14" s="47">
        <f t="shared" si="3"/>
        <v>0</v>
      </c>
      <c r="I14" s="47">
        <v>0</v>
      </c>
      <c r="J14" s="47">
        <v>0</v>
      </c>
      <c r="K14" s="188" t="s">
        <v>59</v>
      </c>
      <c r="L14" s="135"/>
    </row>
    <row r="15" spans="2:12" ht="16.5" customHeight="1" thickBot="1" x14ac:dyDescent="0.25">
      <c r="B15" s="47">
        <f t="shared" si="0"/>
        <v>0</v>
      </c>
      <c r="C15" s="47">
        <f t="shared" si="1"/>
        <v>0</v>
      </c>
      <c r="D15" s="47">
        <f t="shared" si="1"/>
        <v>0</v>
      </c>
      <c r="E15" s="47">
        <f t="shared" si="2"/>
        <v>0</v>
      </c>
      <c r="F15" s="47">
        <v>0</v>
      </c>
      <c r="G15" s="47">
        <v>0</v>
      </c>
      <c r="H15" s="47">
        <f t="shared" si="3"/>
        <v>0</v>
      </c>
      <c r="I15" s="47">
        <v>0</v>
      </c>
      <c r="J15" s="47">
        <v>0</v>
      </c>
      <c r="K15" s="188" t="s">
        <v>56</v>
      </c>
      <c r="L15" s="134"/>
    </row>
    <row r="16" spans="2:12" ht="16.5" customHeight="1" thickBot="1" x14ac:dyDescent="0.25">
      <c r="B16" s="47">
        <f t="shared" si="0"/>
        <v>52</v>
      </c>
      <c r="C16" s="47">
        <f t="shared" si="1"/>
        <v>50</v>
      </c>
      <c r="D16" s="47">
        <f t="shared" si="1"/>
        <v>2</v>
      </c>
      <c r="E16" s="47">
        <f t="shared" si="2"/>
        <v>0</v>
      </c>
      <c r="F16" s="47">
        <v>0</v>
      </c>
      <c r="G16" s="47">
        <v>0</v>
      </c>
      <c r="H16" s="47">
        <f t="shared" si="3"/>
        <v>52</v>
      </c>
      <c r="I16" s="47">
        <v>50</v>
      </c>
      <c r="J16" s="47">
        <v>2</v>
      </c>
      <c r="K16" s="188" t="s">
        <v>57</v>
      </c>
      <c r="L16" s="134" t="s">
        <v>342</v>
      </c>
    </row>
    <row r="17" spans="2:12" ht="16.5" customHeight="1" thickBot="1" x14ac:dyDescent="0.25">
      <c r="B17" s="47">
        <f t="shared" si="0"/>
        <v>0</v>
      </c>
      <c r="C17" s="47">
        <f t="shared" si="1"/>
        <v>0</v>
      </c>
      <c r="D17" s="47">
        <f t="shared" si="1"/>
        <v>0</v>
      </c>
      <c r="E17" s="47">
        <f t="shared" si="2"/>
        <v>0</v>
      </c>
      <c r="F17" s="47">
        <v>0</v>
      </c>
      <c r="G17" s="47">
        <v>0</v>
      </c>
      <c r="H17" s="47">
        <f t="shared" si="3"/>
        <v>0</v>
      </c>
      <c r="I17" s="47">
        <v>0</v>
      </c>
      <c r="J17" s="47">
        <v>0</v>
      </c>
      <c r="K17" s="188" t="s">
        <v>59</v>
      </c>
      <c r="L17" s="135"/>
    </row>
    <row r="18" spans="2:12" ht="16.5" customHeight="1" thickBot="1" x14ac:dyDescent="0.25">
      <c r="B18" s="47">
        <f t="shared" si="0"/>
        <v>5</v>
      </c>
      <c r="C18" s="47">
        <f t="shared" si="1"/>
        <v>5</v>
      </c>
      <c r="D18" s="47">
        <f t="shared" si="1"/>
        <v>0</v>
      </c>
      <c r="E18" s="47">
        <f t="shared" si="2"/>
        <v>0</v>
      </c>
      <c r="F18" s="47">
        <v>0</v>
      </c>
      <c r="G18" s="47">
        <v>0</v>
      </c>
      <c r="H18" s="47">
        <f t="shared" si="3"/>
        <v>5</v>
      </c>
      <c r="I18" s="47">
        <v>5</v>
      </c>
      <c r="J18" s="47">
        <v>0</v>
      </c>
      <c r="K18" s="188" t="s">
        <v>56</v>
      </c>
      <c r="L18" s="134"/>
    </row>
    <row r="19" spans="2:12" ht="16.5" customHeight="1" thickBot="1" x14ac:dyDescent="0.25">
      <c r="B19" s="47">
        <f t="shared" si="0"/>
        <v>18</v>
      </c>
      <c r="C19" s="47">
        <f t="shared" si="1"/>
        <v>16</v>
      </c>
      <c r="D19" s="47">
        <f t="shared" si="1"/>
        <v>2</v>
      </c>
      <c r="E19" s="47">
        <f t="shared" si="2"/>
        <v>0</v>
      </c>
      <c r="F19" s="47">
        <v>0</v>
      </c>
      <c r="G19" s="47">
        <v>0</v>
      </c>
      <c r="H19" s="47">
        <f t="shared" si="3"/>
        <v>18</v>
      </c>
      <c r="I19" s="47">
        <v>16</v>
      </c>
      <c r="J19" s="47">
        <v>2</v>
      </c>
      <c r="K19" s="188" t="s">
        <v>57</v>
      </c>
      <c r="L19" s="134" t="s">
        <v>345</v>
      </c>
    </row>
    <row r="20" spans="2:12" ht="16.5" customHeight="1" thickBot="1" x14ac:dyDescent="0.25">
      <c r="B20" s="47">
        <f t="shared" si="0"/>
        <v>0</v>
      </c>
      <c r="C20" s="47">
        <f t="shared" si="1"/>
        <v>0</v>
      </c>
      <c r="D20" s="47">
        <f t="shared" si="1"/>
        <v>0</v>
      </c>
      <c r="E20" s="47">
        <f t="shared" si="2"/>
        <v>0</v>
      </c>
      <c r="F20" s="47">
        <v>0</v>
      </c>
      <c r="G20" s="47">
        <v>0</v>
      </c>
      <c r="H20" s="47">
        <f t="shared" si="3"/>
        <v>0</v>
      </c>
      <c r="I20" s="47">
        <v>0</v>
      </c>
      <c r="J20" s="47">
        <v>0</v>
      </c>
      <c r="K20" s="188" t="s">
        <v>59</v>
      </c>
      <c r="L20" s="135"/>
    </row>
    <row r="21" spans="2:12" ht="16.5" customHeight="1" thickBot="1" x14ac:dyDescent="0.25">
      <c r="B21" s="47">
        <f t="shared" si="0"/>
        <v>25</v>
      </c>
      <c r="C21" s="47">
        <f t="shared" si="1"/>
        <v>17</v>
      </c>
      <c r="D21" s="47">
        <f t="shared" si="1"/>
        <v>8</v>
      </c>
      <c r="E21" s="47">
        <f t="shared" si="2"/>
        <v>0</v>
      </c>
      <c r="F21" s="47">
        <v>0</v>
      </c>
      <c r="G21" s="47">
        <v>0</v>
      </c>
      <c r="H21" s="47">
        <f t="shared" si="3"/>
        <v>25</v>
      </c>
      <c r="I21" s="47">
        <v>17</v>
      </c>
      <c r="J21" s="47">
        <v>8</v>
      </c>
      <c r="K21" s="188" t="s">
        <v>56</v>
      </c>
      <c r="L21" s="134"/>
    </row>
    <row r="22" spans="2:12" ht="16.5" customHeight="1" thickBot="1" x14ac:dyDescent="0.25">
      <c r="B22" s="47">
        <f t="shared" si="0"/>
        <v>92</v>
      </c>
      <c r="C22" s="47">
        <f t="shared" si="1"/>
        <v>30</v>
      </c>
      <c r="D22" s="47">
        <f t="shared" si="1"/>
        <v>62</v>
      </c>
      <c r="E22" s="47">
        <f t="shared" si="2"/>
        <v>16</v>
      </c>
      <c r="F22" s="47">
        <v>0</v>
      </c>
      <c r="G22" s="47">
        <v>16</v>
      </c>
      <c r="H22" s="47">
        <f t="shared" si="3"/>
        <v>76</v>
      </c>
      <c r="I22" s="47">
        <v>30</v>
      </c>
      <c r="J22" s="47">
        <v>46</v>
      </c>
      <c r="K22" s="188" t="s">
        <v>57</v>
      </c>
      <c r="L22" s="134" t="s">
        <v>346</v>
      </c>
    </row>
    <row r="23" spans="2:12" ht="16.5" customHeight="1" thickBot="1" x14ac:dyDescent="0.25">
      <c r="B23" s="47">
        <f t="shared" si="0"/>
        <v>0</v>
      </c>
      <c r="C23" s="47">
        <f t="shared" si="1"/>
        <v>0</v>
      </c>
      <c r="D23" s="47">
        <f t="shared" si="1"/>
        <v>0</v>
      </c>
      <c r="E23" s="47">
        <f t="shared" si="2"/>
        <v>0</v>
      </c>
      <c r="F23" s="47">
        <v>0</v>
      </c>
      <c r="G23" s="47">
        <v>0</v>
      </c>
      <c r="H23" s="47">
        <f t="shared" si="3"/>
        <v>0</v>
      </c>
      <c r="I23" s="47">
        <v>0</v>
      </c>
      <c r="J23" s="47">
        <v>0</v>
      </c>
      <c r="K23" s="188" t="s">
        <v>59</v>
      </c>
      <c r="L23" s="135"/>
    </row>
    <row r="24" spans="2:12" ht="16.5" customHeight="1" thickBot="1" x14ac:dyDescent="0.25">
      <c r="B24" s="47">
        <f t="shared" si="0"/>
        <v>0</v>
      </c>
      <c r="C24" s="47">
        <f t="shared" si="1"/>
        <v>0</v>
      </c>
      <c r="D24" s="47">
        <f t="shared" si="1"/>
        <v>0</v>
      </c>
      <c r="E24" s="47">
        <f t="shared" si="2"/>
        <v>0</v>
      </c>
      <c r="F24" s="47">
        <v>0</v>
      </c>
      <c r="G24" s="47">
        <v>0</v>
      </c>
      <c r="H24" s="47">
        <f t="shared" si="3"/>
        <v>0</v>
      </c>
      <c r="I24" s="47">
        <v>0</v>
      </c>
      <c r="J24" s="47">
        <v>0</v>
      </c>
      <c r="K24" s="188" t="s">
        <v>56</v>
      </c>
      <c r="L24" s="134"/>
    </row>
    <row r="25" spans="2:12" ht="16.5" customHeight="1" thickBot="1" x14ac:dyDescent="0.25">
      <c r="B25" s="47">
        <f t="shared" si="0"/>
        <v>28</v>
      </c>
      <c r="C25" s="47">
        <f t="shared" si="1"/>
        <v>0</v>
      </c>
      <c r="D25" s="47">
        <f t="shared" si="1"/>
        <v>28</v>
      </c>
      <c r="E25" s="47">
        <f t="shared" si="2"/>
        <v>0</v>
      </c>
      <c r="F25" s="47">
        <v>0</v>
      </c>
      <c r="G25" s="47">
        <v>0</v>
      </c>
      <c r="H25" s="47">
        <f t="shared" si="3"/>
        <v>28</v>
      </c>
      <c r="I25" s="47">
        <v>0</v>
      </c>
      <c r="J25" s="47">
        <v>28</v>
      </c>
      <c r="K25" s="188" t="s">
        <v>57</v>
      </c>
      <c r="L25" s="134" t="s">
        <v>576</v>
      </c>
    </row>
    <row r="26" spans="2:12" ht="16.5" customHeight="1" thickBot="1" x14ac:dyDescent="0.25">
      <c r="B26" s="47">
        <f t="shared" si="0"/>
        <v>0</v>
      </c>
      <c r="C26" s="47">
        <f t="shared" si="1"/>
        <v>0</v>
      </c>
      <c r="D26" s="47">
        <f t="shared" si="1"/>
        <v>0</v>
      </c>
      <c r="E26" s="47">
        <f t="shared" si="2"/>
        <v>0</v>
      </c>
      <c r="F26" s="47">
        <v>0</v>
      </c>
      <c r="G26" s="47">
        <v>0</v>
      </c>
      <c r="H26" s="47">
        <f t="shared" si="3"/>
        <v>0</v>
      </c>
      <c r="I26" s="47">
        <v>0</v>
      </c>
      <c r="J26" s="47">
        <v>0</v>
      </c>
      <c r="K26" s="188" t="s">
        <v>59</v>
      </c>
      <c r="L26" s="135"/>
    </row>
    <row r="27" spans="2:12" ht="16.5" customHeight="1" thickBot="1" x14ac:dyDescent="0.25">
      <c r="B27" s="47">
        <f t="shared" si="0"/>
        <v>5</v>
      </c>
      <c r="C27" s="47">
        <f t="shared" si="1"/>
        <v>5</v>
      </c>
      <c r="D27" s="47">
        <f t="shared" si="1"/>
        <v>0</v>
      </c>
      <c r="E27" s="47">
        <f t="shared" si="2"/>
        <v>0</v>
      </c>
      <c r="F27" s="47">
        <v>0</v>
      </c>
      <c r="G27" s="47">
        <v>0</v>
      </c>
      <c r="H27" s="47">
        <f t="shared" si="3"/>
        <v>5</v>
      </c>
      <c r="I27" s="47">
        <v>5</v>
      </c>
      <c r="J27" s="47">
        <v>0</v>
      </c>
      <c r="K27" s="188" t="s">
        <v>56</v>
      </c>
      <c r="L27" s="134"/>
    </row>
    <row r="28" spans="2:12" ht="16.5" customHeight="1" thickBot="1" x14ac:dyDescent="0.25">
      <c r="B28" s="47">
        <f t="shared" si="0"/>
        <v>15</v>
      </c>
      <c r="C28" s="47">
        <f t="shared" si="1"/>
        <v>15</v>
      </c>
      <c r="D28" s="47">
        <f t="shared" si="1"/>
        <v>0</v>
      </c>
      <c r="E28" s="47">
        <f t="shared" si="2"/>
        <v>0</v>
      </c>
      <c r="F28" s="47">
        <v>0</v>
      </c>
      <c r="G28" s="47">
        <v>0</v>
      </c>
      <c r="H28" s="47">
        <f t="shared" si="3"/>
        <v>15</v>
      </c>
      <c r="I28" s="47">
        <v>15</v>
      </c>
      <c r="J28" s="47">
        <v>0</v>
      </c>
      <c r="K28" s="188" t="s">
        <v>57</v>
      </c>
      <c r="L28" s="134" t="s">
        <v>350</v>
      </c>
    </row>
    <row r="29" spans="2:12" ht="16.5" customHeight="1" thickBot="1" x14ac:dyDescent="0.25">
      <c r="B29" s="47">
        <f t="shared" si="0"/>
        <v>0</v>
      </c>
      <c r="C29" s="47">
        <f t="shared" si="1"/>
        <v>0</v>
      </c>
      <c r="D29" s="47">
        <f t="shared" si="1"/>
        <v>0</v>
      </c>
      <c r="E29" s="47">
        <f t="shared" si="2"/>
        <v>0</v>
      </c>
      <c r="F29" s="47">
        <v>0</v>
      </c>
      <c r="G29" s="47">
        <v>0</v>
      </c>
      <c r="H29" s="47">
        <f t="shared" si="3"/>
        <v>0</v>
      </c>
      <c r="I29" s="47">
        <v>0</v>
      </c>
      <c r="J29" s="47">
        <v>0</v>
      </c>
      <c r="K29" s="188" t="s">
        <v>59</v>
      </c>
      <c r="L29" s="135"/>
    </row>
    <row r="30" spans="2:12" ht="16.5" customHeight="1" thickBot="1" x14ac:dyDescent="0.25">
      <c r="B30" s="47">
        <f t="shared" si="0"/>
        <v>0</v>
      </c>
      <c r="C30" s="47">
        <f t="shared" si="1"/>
        <v>0</v>
      </c>
      <c r="D30" s="47">
        <f t="shared" si="1"/>
        <v>0</v>
      </c>
      <c r="E30" s="47">
        <f t="shared" si="2"/>
        <v>0</v>
      </c>
      <c r="F30" s="47">
        <v>0</v>
      </c>
      <c r="G30" s="47">
        <v>0</v>
      </c>
      <c r="H30" s="47">
        <f t="shared" si="3"/>
        <v>0</v>
      </c>
      <c r="I30" s="47">
        <v>0</v>
      </c>
      <c r="J30" s="47">
        <v>0</v>
      </c>
      <c r="K30" s="188" t="s">
        <v>56</v>
      </c>
      <c r="L30" s="134"/>
    </row>
    <row r="31" spans="2:12" ht="16.5" customHeight="1" thickBot="1" x14ac:dyDescent="0.25">
      <c r="B31" s="47">
        <f t="shared" si="0"/>
        <v>4</v>
      </c>
      <c r="C31" s="47">
        <f t="shared" si="1"/>
        <v>0</v>
      </c>
      <c r="D31" s="47">
        <f t="shared" si="1"/>
        <v>4</v>
      </c>
      <c r="E31" s="47">
        <f t="shared" si="2"/>
        <v>0</v>
      </c>
      <c r="F31" s="47">
        <v>0</v>
      </c>
      <c r="G31" s="47">
        <v>0</v>
      </c>
      <c r="H31" s="47">
        <f t="shared" si="3"/>
        <v>4</v>
      </c>
      <c r="I31" s="47">
        <v>0</v>
      </c>
      <c r="J31" s="47">
        <v>4</v>
      </c>
      <c r="K31" s="188" t="s">
        <v>57</v>
      </c>
      <c r="L31" s="134" t="s">
        <v>343</v>
      </c>
    </row>
    <row r="32" spans="2:12" ht="16.5" customHeight="1" thickBot="1" x14ac:dyDescent="0.25">
      <c r="B32" s="47">
        <f t="shared" si="0"/>
        <v>0</v>
      </c>
      <c r="C32" s="47">
        <f t="shared" si="1"/>
        <v>0</v>
      </c>
      <c r="D32" s="47">
        <f t="shared" si="1"/>
        <v>0</v>
      </c>
      <c r="E32" s="47">
        <f t="shared" si="2"/>
        <v>0</v>
      </c>
      <c r="F32" s="47">
        <v>0</v>
      </c>
      <c r="G32" s="47">
        <v>0</v>
      </c>
      <c r="H32" s="47">
        <f t="shared" si="3"/>
        <v>0</v>
      </c>
      <c r="I32" s="47">
        <v>0</v>
      </c>
      <c r="J32" s="47">
        <v>0</v>
      </c>
      <c r="K32" s="188" t="s">
        <v>59</v>
      </c>
      <c r="L32" s="135"/>
    </row>
    <row r="33" spans="2:12" ht="16.5" customHeight="1" thickBot="1" x14ac:dyDescent="0.25">
      <c r="B33" s="47">
        <f t="shared" ref="B33:J35" si="4">B6+B9+B12+B15+B18+B21+B24+B27+B30</f>
        <v>146</v>
      </c>
      <c r="C33" s="47">
        <f t="shared" si="4"/>
        <v>85</v>
      </c>
      <c r="D33" s="47">
        <f t="shared" si="4"/>
        <v>61</v>
      </c>
      <c r="E33" s="47">
        <f t="shared" si="4"/>
        <v>11</v>
      </c>
      <c r="F33" s="47">
        <f t="shared" si="4"/>
        <v>3</v>
      </c>
      <c r="G33" s="47">
        <f t="shared" si="4"/>
        <v>8</v>
      </c>
      <c r="H33" s="47">
        <f t="shared" si="4"/>
        <v>135</v>
      </c>
      <c r="I33" s="47">
        <f t="shared" si="4"/>
        <v>82</v>
      </c>
      <c r="J33" s="47">
        <f>J6+J9+J12+J15+J18+J21+J24+J27+J30</f>
        <v>53</v>
      </c>
      <c r="K33" s="188" t="s">
        <v>243</v>
      </c>
      <c r="L33" s="131"/>
    </row>
    <row r="34" spans="2:12" ht="16.5" customHeight="1" thickBot="1" x14ac:dyDescent="0.25">
      <c r="B34" s="47">
        <f t="shared" si="4"/>
        <v>507</v>
      </c>
      <c r="C34" s="47">
        <f t="shared" si="4"/>
        <v>241</v>
      </c>
      <c r="D34" s="47">
        <f t="shared" si="4"/>
        <v>266</v>
      </c>
      <c r="E34" s="47">
        <f t="shared" si="4"/>
        <v>39</v>
      </c>
      <c r="F34" s="47">
        <f t="shared" si="4"/>
        <v>12</v>
      </c>
      <c r="G34" s="47">
        <f t="shared" si="4"/>
        <v>27</v>
      </c>
      <c r="H34" s="47">
        <f t="shared" si="4"/>
        <v>468</v>
      </c>
      <c r="I34" s="47">
        <f t="shared" si="4"/>
        <v>229</v>
      </c>
      <c r="J34" s="47">
        <f t="shared" si="4"/>
        <v>239</v>
      </c>
      <c r="K34" s="188" t="s">
        <v>57</v>
      </c>
      <c r="L34" s="132" t="s">
        <v>244</v>
      </c>
    </row>
    <row r="35" spans="2:12" ht="16.5" customHeight="1" thickBot="1" x14ac:dyDescent="0.25">
      <c r="B35" s="47">
        <f t="shared" si="4"/>
        <v>470</v>
      </c>
      <c r="C35" s="47">
        <f t="shared" si="4"/>
        <v>116</v>
      </c>
      <c r="D35" s="47">
        <f t="shared" si="4"/>
        <v>354</v>
      </c>
      <c r="E35" s="47">
        <f t="shared" si="4"/>
        <v>6</v>
      </c>
      <c r="F35" s="47">
        <f t="shared" si="4"/>
        <v>0</v>
      </c>
      <c r="G35" s="47">
        <f t="shared" si="4"/>
        <v>6</v>
      </c>
      <c r="H35" s="47">
        <f t="shared" si="4"/>
        <v>464</v>
      </c>
      <c r="I35" s="47">
        <f t="shared" si="4"/>
        <v>116</v>
      </c>
      <c r="J35" s="47">
        <f t="shared" si="4"/>
        <v>348</v>
      </c>
      <c r="K35" s="188" t="s">
        <v>59</v>
      </c>
      <c r="L35" s="133"/>
    </row>
    <row r="36" spans="2:12" ht="16.5" customHeight="1" thickBot="1" x14ac:dyDescent="0.25">
      <c r="B36" s="47">
        <f t="shared" ref="B36:I36" si="5">SUM(B33:B35)</f>
        <v>1123</v>
      </c>
      <c r="C36" s="47">
        <f t="shared" si="5"/>
        <v>442</v>
      </c>
      <c r="D36" s="47">
        <f t="shared" si="5"/>
        <v>681</v>
      </c>
      <c r="E36" s="47">
        <f t="shared" si="5"/>
        <v>56</v>
      </c>
      <c r="F36" s="47">
        <f t="shared" si="5"/>
        <v>15</v>
      </c>
      <c r="G36" s="47">
        <f t="shared" si="5"/>
        <v>41</v>
      </c>
      <c r="H36" s="47">
        <f t="shared" si="5"/>
        <v>1067</v>
      </c>
      <c r="I36" s="47">
        <f t="shared" si="5"/>
        <v>427</v>
      </c>
      <c r="J36" s="47">
        <f>SUM(J33:J35)</f>
        <v>640</v>
      </c>
      <c r="K36" s="500" t="s">
        <v>245</v>
      </c>
      <c r="L36" s="500"/>
    </row>
    <row r="37" spans="2:12" ht="16.5" customHeight="1" thickBot="1" x14ac:dyDescent="0.25">
      <c r="B37" s="476" t="s">
        <v>4</v>
      </c>
      <c r="C37" s="476"/>
      <c r="D37" s="476"/>
      <c r="E37" s="476" t="s">
        <v>145</v>
      </c>
      <c r="F37" s="476"/>
      <c r="G37" s="476"/>
      <c r="H37" s="476" t="s">
        <v>146</v>
      </c>
      <c r="I37" s="476"/>
      <c r="J37" s="476"/>
      <c r="K37" s="479" t="s">
        <v>66</v>
      </c>
      <c r="L37" s="479"/>
    </row>
    <row r="38" spans="2:12" ht="16.5" customHeight="1" thickBot="1" x14ac:dyDescent="0.25">
      <c r="B38" s="185" t="s">
        <v>227</v>
      </c>
      <c r="C38" s="185" t="s">
        <v>10</v>
      </c>
      <c r="D38" s="185" t="s">
        <v>9</v>
      </c>
      <c r="E38" s="185" t="s">
        <v>227</v>
      </c>
      <c r="F38" s="185" t="s">
        <v>10</v>
      </c>
      <c r="G38" s="185" t="s">
        <v>9</v>
      </c>
      <c r="H38" s="185" t="s">
        <v>227</v>
      </c>
      <c r="I38" s="185" t="s">
        <v>10</v>
      </c>
      <c r="J38" s="185" t="s">
        <v>9</v>
      </c>
      <c r="K38" s="480" t="s">
        <v>147</v>
      </c>
      <c r="L38" s="480"/>
    </row>
    <row r="39" spans="2:12" ht="16.5" customHeight="1" thickBot="1" x14ac:dyDescent="0.25">
      <c r="B39" s="47">
        <f>SUM(C39:D39)</f>
        <v>21</v>
      </c>
      <c r="C39" s="47">
        <f>I39+F39</f>
        <v>0</v>
      </c>
      <c r="D39" s="47">
        <f>J39+G39</f>
        <v>21</v>
      </c>
      <c r="E39" s="47">
        <f>SUM(F39:G39)</f>
        <v>0</v>
      </c>
      <c r="F39" s="47">
        <v>0</v>
      </c>
      <c r="G39" s="47">
        <v>0</v>
      </c>
      <c r="H39" s="47">
        <f>SUM(I39:J39)</f>
        <v>21</v>
      </c>
      <c r="I39" s="47">
        <v>0</v>
      </c>
      <c r="J39" s="47">
        <v>21</v>
      </c>
      <c r="K39" s="188" t="s">
        <v>56</v>
      </c>
      <c r="L39" s="134"/>
    </row>
    <row r="40" spans="2:12" ht="16.5" customHeight="1" thickBot="1" x14ac:dyDescent="0.25">
      <c r="B40" s="47">
        <f t="shared" ref="B40:B53" si="6">SUM(C40:D40)</f>
        <v>35</v>
      </c>
      <c r="C40" s="47">
        <f t="shared" ref="C40:D53" si="7">I40+F40</f>
        <v>0</v>
      </c>
      <c r="D40" s="47">
        <f t="shared" si="7"/>
        <v>35</v>
      </c>
      <c r="E40" s="47">
        <f t="shared" ref="E40:E53" si="8">SUM(F40:G40)</f>
        <v>17</v>
      </c>
      <c r="F40" s="47">
        <v>0</v>
      </c>
      <c r="G40" s="47">
        <v>17</v>
      </c>
      <c r="H40" s="47">
        <f t="shared" ref="H40:H53" si="9">SUM(I40:J40)</f>
        <v>18</v>
      </c>
      <c r="I40" s="47">
        <v>0</v>
      </c>
      <c r="J40" s="47">
        <v>18</v>
      </c>
      <c r="K40" s="188" t="s">
        <v>57</v>
      </c>
      <c r="L40" s="134" t="s">
        <v>356</v>
      </c>
    </row>
    <row r="41" spans="2:12" ht="16.5" customHeight="1" thickBot="1" x14ac:dyDescent="0.25">
      <c r="B41" s="47">
        <f t="shared" si="6"/>
        <v>0</v>
      </c>
      <c r="C41" s="47">
        <f t="shared" si="7"/>
        <v>0</v>
      </c>
      <c r="D41" s="47">
        <f t="shared" si="7"/>
        <v>0</v>
      </c>
      <c r="E41" s="47">
        <f t="shared" si="8"/>
        <v>0</v>
      </c>
      <c r="F41" s="47">
        <v>0</v>
      </c>
      <c r="G41" s="47">
        <v>0</v>
      </c>
      <c r="H41" s="47">
        <f t="shared" si="9"/>
        <v>0</v>
      </c>
      <c r="I41" s="47">
        <v>0</v>
      </c>
      <c r="J41" s="47">
        <v>0</v>
      </c>
      <c r="K41" s="188" t="s">
        <v>59</v>
      </c>
      <c r="L41" s="135"/>
    </row>
    <row r="42" spans="2:12" ht="16.5" customHeight="1" thickBot="1" x14ac:dyDescent="0.25">
      <c r="B42" s="47">
        <f t="shared" si="6"/>
        <v>32</v>
      </c>
      <c r="C42" s="47">
        <f t="shared" si="7"/>
        <v>0</v>
      </c>
      <c r="D42" s="47">
        <f t="shared" si="7"/>
        <v>32</v>
      </c>
      <c r="E42" s="47">
        <f t="shared" si="8"/>
        <v>14</v>
      </c>
      <c r="F42" s="47">
        <v>0</v>
      </c>
      <c r="G42" s="47">
        <v>14</v>
      </c>
      <c r="H42" s="47">
        <f t="shared" si="9"/>
        <v>18</v>
      </c>
      <c r="I42" s="47">
        <v>0</v>
      </c>
      <c r="J42" s="47">
        <v>18</v>
      </c>
      <c r="K42" s="188" t="s">
        <v>56</v>
      </c>
      <c r="L42" s="134"/>
    </row>
    <row r="43" spans="2:12" ht="16.5" customHeight="1" thickBot="1" x14ac:dyDescent="0.25">
      <c r="B43" s="47">
        <f t="shared" si="6"/>
        <v>34</v>
      </c>
      <c r="C43" s="47">
        <f t="shared" si="7"/>
        <v>0</v>
      </c>
      <c r="D43" s="47">
        <f t="shared" si="7"/>
        <v>34</v>
      </c>
      <c r="E43" s="47">
        <f t="shared" si="8"/>
        <v>15</v>
      </c>
      <c r="F43" s="47">
        <v>0</v>
      </c>
      <c r="G43" s="47">
        <v>15</v>
      </c>
      <c r="H43" s="47">
        <f t="shared" si="9"/>
        <v>19</v>
      </c>
      <c r="I43" s="47">
        <v>0</v>
      </c>
      <c r="J43" s="47">
        <v>19</v>
      </c>
      <c r="K43" s="188" t="s">
        <v>57</v>
      </c>
      <c r="L43" s="134" t="s">
        <v>357</v>
      </c>
    </row>
    <row r="44" spans="2:12" ht="16.5" customHeight="1" thickBot="1" x14ac:dyDescent="0.25">
      <c r="B44" s="47">
        <f t="shared" si="6"/>
        <v>0</v>
      </c>
      <c r="C44" s="47">
        <f t="shared" si="7"/>
        <v>0</v>
      </c>
      <c r="D44" s="47">
        <f t="shared" si="7"/>
        <v>0</v>
      </c>
      <c r="E44" s="47">
        <f t="shared" si="8"/>
        <v>0</v>
      </c>
      <c r="F44" s="47">
        <v>0</v>
      </c>
      <c r="G44" s="47">
        <v>0</v>
      </c>
      <c r="H44" s="47">
        <f t="shared" si="9"/>
        <v>0</v>
      </c>
      <c r="I44" s="47">
        <v>0</v>
      </c>
      <c r="J44" s="47">
        <v>0</v>
      </c>
      <c r="K44" s="188" t="s">
        <v>59</v>
      </c>
      <c r="L44" s="135"/>
    </row>
    <row r="45" spans="2:12" ht="16.5" customHeight="1" thickBot="1" x14ac:dyDescent="0.25">
      <c r="B45" s="47">
        <f t="shared" si="6"/>
        <v>58</v>
      </c>
      <c r="C45" s="47">
        <f t="shared" si="7"/>
        <v>0</v>
      </c>
      <c r="D45" s="47">
        <f t="shared" si="7"/>
        <v>58</v>
      </c>
      <c r="E45" s="47">
        <f t="shared" si="8"/>
        <v>23</v>
      </c>
      <c r="F45" s="47">
        <v>0</v>
      </c>
      <c r="G45" s="47">
        <v>23</v>
      </c>
      <c r="H45" s="47">
        <f t="shared" si="9"/>
        <v>35</v>
      </c>
      <c r="I45" s="47">
        <v>0</v>
      </c>
      <c r="J45" s="47">
        <v>35</v>
      </c>
      <c r="K45" s="188" t="s">
        <v>56</v>
      </c>
      <c r="L45" s="134"/>
    </row>
    <row r="46" spans="2:12" ht="16.5" customHeight="1" thickBot="1" x14ac:dyDescent="0.25">
      <c r="B46" s="47">
        <f t="shared" si="6"/>
        <v>40</v>
      </c>
      <c r="C46" s="47">
        <f t="shared" si="7"/>
        <v>0</v>
      </c>
      <c r="D46" s="47">
        <f t="shared" si="7"/>
        <v>40</v>
      </c>
      <c r="E46" s="47">
        <f t="shared" si="8"/>
        <v>13</v>
      </c>
      <c r="F46" s="47">
        <v>0</v>
      </c>
      <c r="G46" s="47">
        <v>13</v>
      </c>
      <c r="H46" s="47">
        <f t="shared" si="9"/>
        <v>27</v>
      </c>
      <c r="I46" s="47">
        <v>0</v>
      </c>
      <c r="J46" s="47">
        <v>27</v>
      </c>
      <c r="K46" s="188" t="s">
        <v>57</v>
      </c>
      <c r="L46" s="134" t="s">
        <v>358</v>
      </c>
    </row>
    <row r="47" spans="2:12" ht="16.5" customHeight="1" thickBot="1" x14ac:dyDescent="0.25">
      <c r="B47" s="47">
        <f t="shared" si="6"/>
        <v>36</v>
      </c>
      <c r="C47" s="47">
        <f t="shared" si="7"/>
        <v>0</v>
      </c>
      <c r="D47" s="47">
        <f t="shared" si="7"/>
        <v>36</v>
      </c>
      <c r="E47" s="47">
        <f t="shared" si="8"/>
        <v>10</v>
      </c>
      <c r="F47" s="47">
        <v>0</v>
      </c>
      <c r="G47" s="47">
        <v>10</v>
      </c>
      <c r="H47" s="47">
        <f t="shared" si="9"/>
        <v>26</v>
      </c>
      <c r="I47" s="47">
        <v>0</v>
      </c>
      <c r="J47" s="47">
        <v>26</v>
      </c>
      <c r="K47" s="188" t="s">
        <v>59</v>
      </c>
      <c r="L47" s="135"/>
    </row>
    <row r="48" spans="2:12" ht="16.5" customHeight="1" thickBot="1" x14ac:dyDescent="0.25">
      <c r="B48" s="47">
        <f t="shared" si="6"/>
        <v>32</v>
      </c>
      <c r="C48" s="47">
        <f t="shared" si="7"/>
        <v>0</v>
      </c>
      <c r="D48" s="47">
        <f t="shared" si="7"/>
        <v>32</v>
      </c>
      <c r="E48" s="47">
        <f t="shared" si="8"/>
        <v>9</v>
      </c>
      <c r="F48" s="47">
        <v>0</v>
      </c>
      <c r="G48" s="47">
        <v>9</v>
      </c>
      <c r="H48" s="47">
        <f t="shared" si="9"/>
        <v>23</v>
      </c>
      <c r="I48" s="47">
        <v>0</v>
      </c>
      <c r="J48" s="47">
        <v>23</v>
      </c>
      <c r="K48" s="188" t="s">
        <v>56</v>
      </c>
      <c r="L48" s="134"/>
    </row>
    <row r="49" spans="2:12" ht="16.5" customHeight="1" thickBot="1" x14ac:dyDescent="0.25">
      <c r="B49" s="47">
        <f t="shared" si="6"/>
        <v>58</v>
      </c>
      <c r="C49" s="47">
        <f t="shared" si="7"/>
        <v>0</v>
      </c>
      <c r="D49" s="47">
        <f t="shared" si="7"/>
        <v>58</v>
      </c>
      <c r="E49" s="47">
        <f t="shared" si="8"/>
        <v>25</v>
      </c>
      <c r="F49" s="47">
        <v>0</v>
      </c>
      <c r="G49" s="47">
        <v>25</v>
      </c>
      <c r="H49" s="47">
        <f t="shared" si="9"/>
        <v>33</v>
      </c>
      <c r="I49" s="47">
        <v>0</v>
      </c>
      <c r="J49" s="47">
        <v>33</v>
      </c>
      <c r="K49" s="188" t="s">
        <v>57</v>
      </c>
      <c r="L49" s="134" t="s">
        <v>359</v>
      </c>
    </row>
    <row r="50" spans="2:12" ht="16.5" customHeight="1" thickBot="1" x14ac:dyDescent="0.25">
      <c r="B50" s="47">
        <f t="shared" si="6"/>
        <v>38</v>
      </c>
      <c r="C50" s="47">
        <f t="shared" si="7"/>
        <v>0</v>
      </c>
      <c r="D50" s="47">
        <f t="shared" si="7"/>
        <v>38</v>
      </c>
      <c r="E50" s="47">
        <f t="shared" si="8"/>
        <v>28</v>
      </c>
      <c r="F50" s="47">
        <v>0</v>
      </c>
      <c r="G50" s="47">
        <v>28</v>
      </c>
      <c r="H50" s="47">
        <f t="shared" si="9"/>
        <v>10</v>
      </c>
      <c r="I50" s="47">
        <v>0</v>
      </c>
      <c r="J50" s="47">
        <v>10</v>
      </c>
      <c r="K50" s="188" t="s">
        <v>59</v>
      </c>
      <c r="L50" s="135"/>
    </row>
    <row r="51" spans="2:12" ht="16.5" customHeight="1" thickBot="1" x14ac:dyDescent="0.25">
      <c r="B51" s="47">
        <f t="shared" si="6"/>
        <v>17</v>
      </c>
      <c r="C51" s="47">
        <f t="shared" si="7"/>
        <v>0</v>
      </c>
      <c r="D51" s="47">
        <f t="shared" si="7"/>
        <v>17</v>
      </c>
      <c r="E51" s="47">
        <f t="shared" si="8"/>
        <v>0</v>
      </c>
      <c r="F51" s="47">
        <v>0</v>
      </c>
      <c r="G51" s="47">
        <v>0</v>
      </c>
      <c r="H51" s="47">
        <f t="shared" si="9"/>
        <v>17</v>
      </c>
      <c r="I51" s="47">
        <v>0</v>
      </c>
      <c r="J51" s="47">
        <v>17</v>
      </c>
      <c r="K51" s="188" t="s">
        <v>56</v>
      </c>
      <c r="L51" s="134"/>
    </row>
    <row r="52" spans="2:12" ht="16.5" customHeight="1" thickBot="1" x14ac:dyDescent="0.25">
      <c r="B52" s="47">
        <f t="shared" si="6"/>
        <v>47</v>
      </c>
      <c r="C52" s="47">
        <f t="shared" si="7"/>
        <v>0</v>
      </c>
      <c r="D52" s="47">
        <f t="shared" si="7"/>
        <v>47</v>
      </c>
      <c r="E52" s="47">
        <f t="shared" si="8"/>
        <v>8</v>
      </c>
      <c r="F52" s="47">
        <v>0</v>
      </c>
      <c r="G52" s="47">
        <v>8</v>
      </c>
      <c r="H52" s="47">
        <f t="shared" si="9"/>
        <v>39</v>
      </c>
      <c r="I52" s="47">
        <v>0</v>
      </c>
      <c r="J52" s="47">
        <v>39</v>
      </c>
      <c r="K52" s="188" t="s">
        <v>57</v>
      </c>
      <c r="L52" s="134" t="s">
        <v>360</v>
      </c>
    </row>
    <row r="53" spans="2:12" ht="16.5" customHeight="1" thickBot="1" x14ac:dyDescent="0.25">
      <c r="B53" s="47">
        <f t="shared" si="6"/>
        <v>0</v>
      </c>
      <c r="C53" s="47">
        <f t="shared" si="7"/>
        <v>0</v>
      </c>
      <c r="D53" s="47">
        <f t="shared" si="7"/>
        <v>0</v>
      </c>
      <c r="E53" s="47">
        <f t="shared" si="8"/>
        <v>0</v>
      </c>
      <c r="F53" s="47">
        <v>0</v>
      </c>
      <c r="G53" s="47">
        <v>0</v>
      </c>
      <c r="H53" s="47">
        <f t="shared" si="9"/>
        <v>0</v>
      </c>
      <c r="I53" s="47">
        <v>0</v>
      </c>
      <c r="J53" s="47">
        <v>0</v>
      </c>
      <c r="K53" s="188" t="s">
        <v>59</v>
      </c>
      <c r="L53" s="135"/>
    </row>
    <row r="54" spans="2:12" ht="16.5" customHeight="1" thickBot="1" x14ac:dyDescent="0.25">
      <c r="B54" s="47">
        <f t="shared" ref="B54:J56" si="10">B39+B42+B45+B48+B51</f>
        <v>160</v>
      </c>
      <c r="C54" s="47">
        <f t="shared" si="10"/>
        <v>0</v>
      </c>
      <c r="D54" s="47">
        <f t="shared" si="10"/>
        <v>160</v>
      </c>
      <c r="E54" s="47">
        <f t="shared" si="10"/>
        <v>46</v>
      </c>
      <c r="F54" s="47">
        <f t="shared" si="10"/>
        <v>0</v>
      </c>
      <c r="G54" s="47">
        <f t="shared" si="10"/>
        <v>46</v>
      </c>
      <c r="H54" s="47">
        <f t="shared" si="10"/>
        <v>114</v>
      </c>
      <c r="I54" s="47">
        <f t="shared" si="10"/>
        <v>0</v>
      </c>
      <c r="J54" s="47">
        <f>J39+J42+J45+J48+J51</f>
        <v>114</v>
      </c>
      <c r="K54" s="188" t="s">
        <v>243</v>
      </c>
      <c r="L54" s="131"/>
    </row>
    <row r="55" spans="2:12" ht="16.5" customHeight="1" thickBot="1" x14ac:dyDescent="0.25">
      <c r="B55" s="47">
        <f t="shared" si="10"/>
        <v>214</v>
      </c>
      <c r="C55" s="47">
        <f t="shared" si="10"/>
        <v>0</v>
      </c>
      <c r="D55" s="47">
        <f t="shared" si="10"/>
        <v>214</v>
      </c>
      <c r="E55" s="47">
        <f t="shared" si="10"/>
        <v>78</v>
      </c>
      <c r="F55" s="47">
        <f t="shared" si="10"/>
        <v>0</v>
      </c>
      <c r="G55" s="47">
        <f t="shared" si="10"/>
        <v>78</v>
      </c>
      <c r="H55" s="47">
        <f t="shared" si="10"/>
        <v>136</v>
      </c>
      <c r="I55" s="47">
        <f t="shared" si="10"/>
        <v>0</v>
      </c>
      <c r="J55" s="47">
        <f t="shared" si="10"/>
        <v>136</v>
      </c>
      <c r="K55" s="188" t="s">
        <v>57</v>
      </c>
      <c r="L55" s="132" t="s">
        <v>244</v>
      </c>
    </row>
    <row r="56" spans="2:12" ht="16.5" customHeight="1" thickBot="1" x14ac:dyDescent="0.25">
      <c r="B56" s="47">
        <f t="shared" si="10"/>
        <v>74</v>
      </c>
      <c r="C56" s="47">
        <f t="shared" si="10"/>
        <v>0</v>
      </c>
      <c r="D56" s="47">
        <f t="shared" si="10"/>
        <v>74</v>
      </c>
      <c r="E56" s="47">
        <f t="shared" si="10"/>
        <v>38</v>
      </c>
      <c r="F56" s="47">
        <f t="shared" si="10"/>
        <v>0</v>
      </c>
      <c r="G56" s="47">
        <f t="shared" si="10"/>
        <v>38</v>
      </c>
      <c r="H56" s="47">
        <f t="shared" si="10"/>
        <v>36</v>
      </c>
      <c r="I56" s="47">
        <f t="shared" si="10"/>
        <v>0</v>
      </c>
      <c r="J56" s="47">
        <f t="shared" si="10"/>
        <v>36</v>
      </c>
      <c r="K56" s="188" t="s">
        <v>59</v>
      </c>
      <c r="L56" s="133"/>
    </row>
    <row r="57" spans="2:12" ht="16.5" customHeight="1" thickBot="1" x14ac:dyDescent="0.25">
      <c r="B57" s="47">
        <f t="shared" ref="B57:I57" si="11">SUM(B54:B56)</f>
        <v>448</v>
      </c>
      <c r="C57" s="47">
        <f t="shared" si="11"/>
        <v>0</v>
      </c>
      <c r="D57" s="47">
        <f t="shared" si="11"/>
        <v>448</v>
      </c>
      <c r="E57" s="47">
        <f t="shared" si="11"/>
        <v>162</v>
      </c>
      <c r="F57" s="47">
        <f t="shared" si="11"/>
        <v>0</v>
      </c>
      <c r="G57" s="47">
        <f t="shared" si="11"/>
        <v>162</v>
      </c>
      <c r="H57" s="47">
        <f t="shared" si="11"/>
        <v>286</v>
      </c>
      <c r="I57" s="47">
        <f t="shared" si="11"/>
        <v>0</v>
      </c>
      <c r="J57" s="47">
        <f>SUM(J54:J56)</f>
        <v>286</v>
      </c>
      <c r="K57" s="500" t="s">
        <v>245</v>
      </c>
      <c r="L57" s="500"/>
    </row>
    <row r="58" spans="2:12" ht="16.5" customHeight="1" thickBot="1" x14ac:dyDescent="0.25">
      <c r="B58" s="476" t="s">
        <v>4</v>
      </c>
      <c r="C58" s="476"/>
      <c r="D58" s="476"/>
      <c r="E58" s="476" t="s">
        <v>145</v>
      </c>
      <c r="F58" s="476"/>
      <c r="G58" s="476"/>
      <c r="H58" s="476" t="s">
        <v>146</v>
      </c>
      <c r="I58" s="476"/>
      <c r="J58" s="476"/>
      <c r="K58" s="479" t="s">
        <v>66</v>
      </c>
      <c r="L58" s="479"/>
    </row>
    <row r="59" spans="2:12" ht="16.5" customHeight="1" thickBot="1" x14ac:dyDescent="0.25">
      <c r="B59" s="185" t="s">
        <v>227</v>
      </c>
      <c r="C59" s="185" t="s">
        <v>10</v>
      </c>
      <c r="D59" s="185" t="s">
        <v>9</v>
      </c>
      <c r="E59" s="185" t="s">
        <v>227</v>
      </c>
      <c r="F59" s="185" t="s">
        <v>10</v>
      </c>
      <c r="G59" s="185" t="s">
        <v>9</v>
      </c>
      <c r="H59" s="185" t="s">
        <v>227</v>
      </c>
      <c r="I59" s="185" t="s">
        <v>10</v>
      </c>
      <c r="J59" s="185" t="s">
        <v>9</v>
      </c>
      <c r="K59" s="480" t="s">
        <v>70</v>
      </c>
      <c r="L59" s="480"/>
    </row>
    <row r="60" spans="2:12" ht="16.5" customHeight="1" thickBot="1" x14ac:dyDescent="0.25">
      <c r="B60" s="47">
        <f>SUM(C60:D60)</f>
        <v>21</v>
      </c>
      <c r="C60" s="47">
        <f>I60+F60</f>
        <v>0</v>
      </c>
      <c r="D60" s="47">
        <f>J60+G60</f>
        <v>21</v>
      </c>
      <c r="E60" s="47">
        <f>SUM(F60:G60)</f>
        <v>0</v>
      </c>
      <c r="F60" s="47">
        <v>0</v>
      </c>
      <c r="G60" s="47">
        <v>0</v>
      </c>
      <c r="H60" s="47">
        <f>SUM(I60:J60)</f>
        <v>21</v>
      </c>
      <c r="I60" s="47">
        <v>0</v>
      </c>
      <c r="J60" s="47">
        <v>21</v>
      </c>
      <c r="K60" s="188" t="s">
        <v>56</v>
      </c>
      <c r="L60" s="134"/>
    </row>
    <row r="61" spans="2:12" ht="16.5" customHeight="1" thickBot="1" x14ac:dyDescent="0.25">
      <c r="B61" s="47">
        <f t="shared" ref="B61:B89" si="12">SUM(C61:D61)</f>
        <v>249</v>
      </c>
      <c r="C61" s="47">
        <f t="shared" ref="C61:D89" si="13">I61+F61</f>
        <v>0</v>
      </c>
      <c r="D61" s="47">
        <f t="shared" si="13"/>
        <v>249</v>
      </c>
      <c r="E61" s="47">
        <f t="shared" ref="E61:E89" si="14">SUM(F61:G61)</f>
        <v>6</v>
      </c>
      <c r="F61" s="47">
        <v>0</v>
      </c>
      <c r="G61" s="47">
        <v>6</v>
      </c>
      <c r="H61" s="47">
        <f t="shared" ref="H61:H89" si="15">SUM(I61:J61)</f>
        <v>243</v>
      </c>
      <c r="I61" s="47">
        <v>0</v>
      </c>
      <c r="J61" s="47">
        <v>243</v>
      </c>
      <c r="K61" s="188" t="s">
        <v>57</v>
      </c>
      <c r="L61" s="134" t="s">
        <v>577</v>
      </c>
    </row>
    <row r="62" spans="2:12" ht="16.5" customHeight="1" thickBot="1" x14ac:dyDescent="0.25">
      <c r="B62" s="47">
        <f t="shared" si="12"/>
        <v>0</v>
      </c>
      <c r="C62" s="47">
        <f t="shared" si="13"/>
        <v>0</v>
      </c>
      <c r="D62" s="47">
        <f t="shared" si="13"/>
        <v>0</v>
      </c>
      <c r="E62" s="47">
        <f t="shared" si="14"/>
        <v>0</v>
      </c>
      <c r="F62" s="47">
        <v>0</v>
      </c>
      <c r="G62" s="47">
        <v>0</v>
      </c>
      <c r="H62" s="47">
        <f t="shared" si="15"/>
        <v>0</v>
      </c>
      <c r="I62" s="47">
        <v>0</v>
      </c>
      <c r="J62" s="47">
        <v>0</v>
      </c>
      <c r="K62" s="188" t="s">
        <v>59</v>
      </c>
      <c r="L62" s="135"/>
    </row>
    <row r="63" spans="2:12" ht="16.5" customHeight="1" thickBot="1" x14ac:dyDescent="0.25">
      <c r="B63" s="47">
        <f t="shared" si="12"/>
        <v>38</v>
      </c>
      <c r="C63" s="47">
        <f t="shared" si="13"/>
        <v>15</v>
      </c>
      <c r="D63" s="47">
        <f t="shared" si="13"/>
        <v>23</v>
      </c>
      <c r="E63" s="47">
        <f t="shared" si="14"/>
        <v>1</v>
      </c>
      <c r="F63" s="47">
        <v>0</v>
      </c>
      <c r="G63" s="47">
        <v>1</v>
      </c>
      <c r="H63" s="47">
        <f t="shared" si="15"/>
        <v>37</v>
      </c>
      <c r="I63" s="47">
        <v>15</v>
      </c>
      <c r="J63" s="47">
        <v>22</v>
      </c>
      <c r="K63" s="188" t="s">
        <v>56</v>
      </c>
      <c r="L63" s="134"/>
    </row>
    <row r="64" spans="2:12" ht="16.5" customHeight="1" thickBot="1" x14ac:dyDescent="0.25">
      <c r="B64" s="47">
        <f t="shared" si="12"/>
        <v>212</v>
      </c>
      <c r="C64" s="47">
        <f t="shared" si="13"/>
        <v>100</v>
      </c>
      <c r="D64" s="47">
        <f t="shared" si="13"/>
        <v>112</v>
      </c>
      <c r="E64" s="47">
        <f t="shared" si="14"/>
        <v>4</v>
      </c>
      <c r="F64" s="47">
        <v>0</v>
      </c>
      <c r="G64" s="47">
        <v>4</v>
      </c>
      <c r="H64" s="47">
        <f t="shared" si="15"/>
        <v>208</v>
      </c>
      <c r="I64" s="47">
        <f>150-40-10</f>
        <v>100</v>
      </c>
      <c r="J64" s="47">
        <v>108</v>
      </c>
      <c r="K64" s="188" t="s">
        <v>57</v>
      </c>
      <c r="L64" s="134" t="s">
        <v>578</v>
      </c>
    </row>
    <row r="65" spans="2:12" ht="16.5" customHeight="1" thickBot="1" x14ac:dyDescent="0.25">
      <c r="B65" s="47">
        <f t="shared" si="12"/>
        <v>0</v>
      </c>
      <c r="C65" s="47">
        <f t="shared" si="13"/>
        <v>0</v>
      </c>
      <c r="D65" s="47">
        <f t="shared" si="13"/>
        <v>0</v>
      </c>
      <c r="E65" s="47">
        <f t="shared" si="14"/>
        <v>0</v>
      </c>
      <c r="F65" s="47">
        <v>0</v>
      </c>
      <c r="G65" s="47">
        <v>0</v>
      </c>
      <c r="H65" s="47">
        <f t="shared" si="15"/>
        <v>0</v>
      </c>
      <c r="I65" s="47">
        <v>0</v>
      </c>
      <c r="J65" s="47">
        <v>0</v>
      </c>
      <c r="K65" s="188" t="s">
        <v>59</v>
      </c>
      <c r="L65" s="135"/>
    </row>
    <row r="66" spans="2:12" ht="16.5" customHeight="1" thickBot="1" x14ac:dyDescent="0.25">
      <c r="B66" s="47">
        <f t="shared" si="12"/>
        <v>27</v>
      </c>
      <c r="C66" s="47">
        <f t="shared" si="13"/>
        <v>11</v>
      </c>
      <c r="D66" s="47">
        <f t="shared" si="13"/>
        <v>16</v>
      </c>
      <c r="E66" s="47">
        <f t="shared" si="14"/>
        <v>1</v>
      </c>
      <c r="F66" s="47">
        <v>0</v>
      </c>
      <c r="G66" s="47">
        <v>1</v>
      </c>
      <c r="H66" s="47">
        <f t="shared" si="15"/>
        <v>26</v>
      </c>
      <c r="I66" s="47">
        <v>11</v>
      </c>
      <c r="J66" s="47">
        <v>15</v>
      </c>
      <c r="K66" s="188" t="s">
        <v>56</v>
      </c>
      <c r="L66" s="134"/>
    </row>
    <row r="67" spans="2:12" ht="16.5" customHeight="1" thickBot="1" x14ac:dyDescent="0.25">
      <c r="B67" s="47">
        <f t="shared" si="12"/>
        <v>145</v>
      </c>
      <c r="C67" s="47">
        <f t="shared" si="13"/>
        <v>43</v>
      </c>
      <c r="D67" s="47">
        <f t="shared" si="13"/>
        <v>102</v>
      </c>
      <c r="E67" s="47">
        <f t="shared" si="14"/>
        <v>2</v>
      </c>
      <c r="F67" s="47">
        <v>1</v>
      </c>
      <c r="G67" s="47">
        <v>1</v>
      </c>
      <c r="H67" s="47">
        <f t="shared" si="15"/>
        <v>143</v>
      </c>
      <c r="I67" s="47">
        <f>52-10</f>
        <v>42</v>
      </c>
      <c r="J67" s="47">
        <v>101</v>
      </c>
      <c r="K67" s="188" t="s">
        <v>57</v>
      </c>
      <c r="L67" s="134" t="s">
        <v>579</v>
      </c>
    </row>
    <row r="68" spans="2:12" ht="16.5" customHeight="1" thickBot="1" x14ac:dyDescent="0.25">
      <c r="B68" s="47">
        <f t="shared" si="12"/>
        <v>0</v>
      </c>
      <c r="C68" s="47">
        <f t="shared" si="13"/>
        <v>0</v>
      </c>
      <c r="D68" s="47">
        <f t="shared" si="13"/>
        <v>0</v>
      </c>
      <c r="E68" s="47">
        <f t="shared" si="14"/>
        <v>0</v>
      </c>
      <c r="F68" s="47">
        <v>0</v>
      </c>
      <c r="G68" s="47">
        <v>0</v>
      </c>
      <c r="H68" s="47">
        <f t="shared" si="15"/>
        <v>0</v>
      </c>
      <c r="I68" s="47">
        <v>0</v>
      </c>
      <c r="J68" s="47">
        <v>0</v>
      </c>
      <c r="K68" s="188" t="s">
        <v>59</v>
      </c>
      <c r="L68" s="135"/>
    </row>
    <row r="69" spans="2:12" ht="16.5" customHeight="1" thickBot="1" x14ac:dyDescent="0.25">
      <c r="B69" s="47">
        <f t="shared" si="12"/>
        <v>21</v>
      </c>
      <c r="C69" s="47">
        <f t="shared" si="13"/>
        <v>11</v>
      </c>
      <c r="D69" s="47">
        <f t="shared" si="13"/>
        <v>10</v>
      </c>
      <c r="E69" s="47">
        <f t="shared" si="14"/>
        <v>1</v>
      </c>
      <c r="F69" s="47">
        <v>0</v>
      </c>
      <c r="G69" s="47">
        <v>1</v>
      </c>
      <c r="H69" s="47">
        <f t="shared" si="15"/>
        <v>20</v>
      </c>
      <c r="I69" s="47">
        <v>11</v>
      </c>
      <c r="J69" s="47">
        <v>9</v>
      </c>
      <c r="K69" s="188" t="s">
        <v>56</v>
      </c>
      <c r="L69" s="134"/>
    </row>
    <row r="70" spans="2:12" ht="16.5" customHeight="1" thickBot="1" x14ac:dyDescent="0.25">
      <c r="B70" s="47">
        <f t="shared" si="12"/>
        <v>77</v>
      </c>
      <c r="C70" s="47">
        <f t="shared" si="13"/>
        <v>30</v>
      </c>
      <c r="D70" s="47">
        <f t="shared" si="13"/>
        <v>47</v>
      </c>
      <c r="E70" s="47">
        <f t="shared" si="14"/>
        <v>6</v>
      </c>
      <c r="F70" s="47">
        <v>1</v>
      </c>
      <c r="G70" s="47">
        <v>5</v>
      </c>
      <c r="H70" s="47">
        <f t="shared" si="15"/>
        <v>71</v>
      </c>
      <c r="I70" s="47">
        <f>31-2</f>
        <v>29</v>
      </c>
      <c r="J70" s="47">
        <v>42</v>
      </c>
      <c r="K70" s="188" t="s">
        <v>57</v>
      </c>
      <c r="L70" s="134" t="s">
        <v>580</v>
      </c>
    </row>
    <row r="71" spans="2:12" ht="16.5" customHeight="1" thickBot="1" x14ac:dyDescent="0.25">
      <c r="B71" s="47">
        <f t="shared" si="12"/>
        <v>0</v>
      </c>
      <c r="C71" s="47">
        <f t="shared" si="13"/>
        <v>0</v>
      </c>
      <c r="D71" s="47">
        <f t="shared" si="13"/>
        <v>0</v>
      </c>
      <c r="E71" s="47">
        <f t="shared" si="14"/>
        <v>0</v>
      </c>
      <c r="F71" s="47">
        <v>0</v>
      </c>
      <c r="G71" s="47">
        <v>0</v>
      </c>
      <c r="H71" s="47">
        <f t="shared" si="15"/>
        <v>0</v>
      </c>
      <c r="I71" s="47">
        <v>0</v>
      </c>
      <c r="J71" s="47">
        <v>0</v>
      </c>
      <c r="K71" s="188" t="s">
        <v>59</v>
      </c>
      <c r="L71" s="135"/>
    </row>
    <row r="72" spans="2:12" ht="16.5" customHeight="1" thickBot="1" x14ac:dyDescent="0.25">
      <c r="B72" s="47">
        <f t="shared" si="12"/>
        <v>27</v>
      </c>
      <c r="C72" s="47">
        <f t="shared" si="13"/>
        <v>2</v>
      </c>
      <c r="D72" s="47">
        <f t="shared" si="13"/>
        <v>25</v>
      </c>
      <c r="E72" s="47">
        <f t="shared" si="14"/>
        <v>1</v>
      </c>
      <c r="F72" s="47">
        <v>1</v>
      </c>
      <c r="G72" s="47">
        <v>0</v>
      </c>
      <c r="H72" s="47">
        <f t="shared" si="15"/>
        <v>26</v>
      </c>
      <c r="I72" s="47">
        <v>1</v>
      </c>
      <c r="J72" s="47">
        <v>25</v>
      </c>
      <c r="K72" s="188" t="s">
        <v>56</v>
      </c>
      <c r="L72" s="134"/>
    </row>
    <row r="73" spans="2:12" ht="16.5" customHeight="1" thickBot="1" x14ac:dyDescent="0.25">
      <c r="B73" s="47">
        <f t="shared" si="12"/>
        <v>103</v>
      </c>
      <c r="C73" s="47">
        <f t="shared" si="13"/>
        <v>45</v>
      </c>
      <c r="D73" s="47">
        <f t="shared" si="13"/>
        <v>58</v>
      </c>
      <c r="E73" s="47">
        <f t="shared" si="14"/>
        <v>3</v>
      </c>
      <c r="F73" s="47">
        <v>1</v>
      </c>
      <c r="G73" s="47">
        <v>2</v>
      </c>
      <c r="H73" s="47">
        <f t="shared" si="15"/>
        <v>100</v>
      </c>
      <c r="I73" s="47">
        <f>59-15</f>
        <v>44</v>
      </c>
      <c r="J73" s="47">
        <v>56</v>
      </c>
      <c r="K73" s="188" t="s">
        <v>57</v>
      </c>
      <c r="L73" s="134" t="s">
        <v>581</v>
      </c>
    </row>
    <row r="74" spans="2:12" ht="16.5" customHeight="1" thickBot="1" x14ac:dyDescent="0.25">
      <c r="B74" s="47">
        <f t="shared" si="12"/>
        <v>0</v>
      </c>
      <c r="C74" s="47">
        <f t="shared" si="13"/>
        <v>0</v>
      </c>
      <c r="D74" s="47">
        <f t="shared" si="13"/>
        <v>0</v>
      </c>
      <c r="E74" s="47">
        <f t="shared" si="14"/>
        <v>0</v>
      </c>
      <c r="F74" s="47">
        <v>0</v>
      </c>
      <c r="G74" s="47">
        <v>0</v>
      </c>
      <c r="H74" s="47">
        <f t="shared" si="15"/>
        <v>0</v>
      </c>
      <c r="I74" s="47">
        <v>0</v>
      </c>
      <c r="J74" s="47">
        <v>0</v>
      </c>
      <c r="K74" s="188" t="s">
        <v>59</v>
      </c>
      <c r="L74" s="135"/>
    </row>
    <row r="75" spans="2:12" ht="16.5" customHeight="1" thickBot="1" x14ac:dyDescent="0.25">
      <c r="B75" s="47">
        <f t="shared" si="12"/>
        <v>41</v>
      </c>
      <c r="C75" s="47">
        <f t="shared" si="13"/>
        <v>20</v>
      </c>
      <c r="D75" s="47">
        <f t="shared" si="13"/>
        <v>21</v>
      </c>
      <c r="E75" s="47">
        <f t="shared" si="14"/>
        <v>0</v>
      </c>
      <c r="F75" s="47">
        <v>0</v>
      </c>
      <c r="G75" s="47">
        <v>0</v>
      </c>
      <c r="H75" s="47">
        <f t="shared" si="15"/>
        <v>41</v>
      </c>
      <c r="I75" s="47">
        <v>20</v>
      </c>
      <c r="J75" s="47">
        <v>21</v>
      </c>
      <c r="K75" s="188" t="s">
        <v>56</v>
      </c>
      <c r="L75" s="134"/>
    </row>
    <row r="76" spans="2:12" ht="16.5" customHeight="1" thickBot="1" x14ac:dyDescent="0.25">
      <c r="B76" s="47">
        <f t="shared" si="12"/>
        <v>325</v>
      </c>
      <c r="C76" s="47">
        <f t="shared" si="13"/>
        <v>101</v>
      </c>
      <c r="D76" s="47">
        <f t="shared" si="13"/>
        <v>224</v>
      </c>
      <c r="E76" s="47">
        <f t="shared" si="14"/>
        <v>0</v>
      </c>
      <c r="F76" s="47">
        <v>0</v>
      </c>
      <c r="G76" s="47">
        <v>0</v>
      </c>
      <c r="H76" s="47">
        <f t="shared" si="15"/>
        <v>325</v>
      </c>
      <c r="I76" s="47">
        <f>141-40</f>
        <v>101</v>
      </c>
      <c r="J76" s="47">
        <v>224</v>
      </c>
      <c r="K76" s="188" t="s">
        <v>57</v>
      </c>
      <c r="L76" s="134" t="s">
        <v>582</v>
      </c>
    </row>
    <row r="77" spans="2:12" ht="16.5" customHeight="1" thickBot="1" x14ac:dyDescent="0.25">
      <c r="B77" s="47">
        <f t="shared" si="12"/>
        <v>0</v>
      </c>
      <c r="C77" s="47">
        <f t="shared" si="13"/>
        <v>0</v>
      </c>
      <c r="D77" s="47">
        <f t="shared" si="13"/>
        <v>0</v>
      </c>
      <c r="E77" s="47">
        <f t="shared" si="14"/>
        <v>0</v>
      </c>
      <c r="F77" s="47">
        <v>0</v>
      </c>
      <c r="G77" s="47">
        <v>0</v>
      </c>
      <c r="H77" s="47">
        <f t="shared" si="15"/>
        <v>0</v>
      </c>
      <c r="I77" s="47">
        <v>0</v>
      </c>
      <c r="J77" s="47">
        <v>0</v>
      </c>
      <c r="K77" s="188" t="s">
        <v>59</v>
      </c>
      <c r="L77" s="135"/>
    </row>
    <row r="78" spans="2:12" ht="16.5" customHeight="1" thickBot="1" x14ac:dyDescent="0.25">
      <c r="B78" s="47">
        <f t="shared" si="12"/>
        <v>0</v>
      </c>
      <c r="C78" s="47">
        <f t="shared" si="13"/>
        <v>0</v>
      </c>
      <c r="D78" s="47">
        <f t="shared" si="13"/>
        <v>0</v>
      </c>
      <c r="E78" s="47">
        <f t="shared" si="14"/>
        <v>0</v>
      </c>
      <c r="F78" s="47">
        <v>0</v>
      </c>
      <c r="G78" s="47">
        <v>0</v>
      </c>
      <c r="H78" s="47">
        <f t="shared" si="15"/>
        <v>0</v>
      </c>
      <c r="I78" s="47">
        <v>0</v>
      </c>
      <c r="J78" s="47">
        <v>0</v>
      </c>
      <c r="K78" s="188" t="s">
        <v>56</v>
      </c>
      <c r="L78" s="134"/>
    </row>
    <row r="79" spans="2:12" ht="16.5" customHeight="1" thickBot="1" x14ac:dyDescent="0.25">
      <c r="B79" s="47">
        <f t="shared" si="12"/>
        <v>73</v>
      </c>
      <c r="C79" s="47">
        <f t="shared" si="13"/>
        <v>47</v>
      </c>
      <c r="D79" s="47">
        <f t="shared" si="13"/>
        <v>26</v>
      </c>
      <c r="E79" s="47">
        <f t="shared" si="14"/>
        <v>0</v>
      </c>
      <c r="F79" s="47">
        <v>0</v>
      </c>
      <c r="G79" s="47">
        <v>0</v>
      </c>
      <c r="H79" s="47">
        <f t="shared" si="15"/>
        <v>73</v>
      </c>
      <c r="I79" s="47">
        <f>62-15</f>
        <v>47</v>
      </c>
      <c r="J79" s="47">
        <v>26</v>
      </c>
      <c r="K79" s="188" t="s">
        <v>57</v>
      </c>
      <c r="L79" s="134" t="s">
        <v>583</v>
      </c>
    </row>
    <row r="80" spans="2:12" ht="16.5" customHeight="1" thickBot="1" x14ac:dyDescent="0.25">
      <c r="B80" s="47">
        <f t="shared" si="12"/>
        <v>0</v>
      </c>
      <c r="C80" s="47">
        <f t="shared" si="13"/>
        <v>0</v>
      </c>
      <c r="D80" s="47">
        <f t="shared" si="13"/>
        <v>0</v>
      </c>
      <c r="E80" s="47">
        <f t="shared" si="14"/>
        <v>0</v>
      </c>
      <c r="F80" s="47">
        <v>0</v>
      </c>
      <c r="G80" s="47">
        <v>0</v>
      </c>
      <c r="H80" s="47">
        <f t="shared" si="15"/>
        <v>0</v>
      </c>
      <c r="I80" s="47">
        <v>0</v>
      </c>
      <c r="J80" s="47">
        <v>0</v>
      </c>
      <c r="K80" s="188" t="s">
        <v>59</v>
      </c>
      <c r="L80" s="135"/>
    </row>
    <row r="81" spans="2:12" ht="16.5" customHeight="1" thickBot="1" x14ac:dyDescent="0.25">
      <c r="B81" s="47">
        <f t="shared" si="12"/>
        <v>0</v>
      </c>
      <c r="C81" s="47">
        <f t="shared" si="13"/>
        <v>0</v>
      </c>
      <c r="D81" s="47">
        <f t="shared" si="13"/>
        <v>0</v>
      </c>
      <c r="E81" s="47">
        <f t="shared" si="14"/>
        <v>0</v>
      </c>
      <c r="F81" s="47">
        <v>0</v>
      </c>
      <c r="G81" s="47">
        <v>0</v>
      </c>
      <c r="H81" s="47">
        <f t="shared" si="15"/>
        <v>0</v>
      </c>
      <c r="I81" s="47">
        <v>0</v>
      </c>
      <c r="J81" s="47">
        <v>0</v>
      </c>
      <c r="K81" s="188" t="s">
        <v>56</v>
      </c>
      <c r="L81" s="134"/>
    </row>
    <row r="82" spans="2:12" ht="16.5" customHeight="1" thickBot="1" x14ac:dyDescent="0.25">
      <c r="B82" s="47">
        <f t="shared" si="12"/>
        <v>17</v>
      </c>
      <c r="C82" s="47">
        <f t="shared" si="13"/>
        <v>0</v>
      </c>
      <c r="D82" s="47">
        <f t="shared" si="13"/>
        <v>17</v>
      </c>
      <c r="E82" s="47">
        <f t="shared" si="14"/>
        <v>0</v>
      </c>
      <c r="F82" s="47">
        <v>0</v>
      </c>
      <c r="G82" s="47">
        <v>0</v>
      </c>
      <c r="H82" s="47">
        <f t="shared" si="15"/>
        <v>17</v>
      </c>
      <c r="I82" s="47">
        <v>0</v>
      </c>
      <c r="J82" s="47">
        <v>17</v>
      </c>
      <c r="K82" s="188" t="s">
        <v>57</v>
      </c>
      <c r="L82" s="134" t="s">
        <v>584</v>
      </c>
    </row>
    <row r="83" spans="2:12" ht="16.5" customHeight="1" thickBot="1" x14ac:dyDescent="0.25">
      <c r="B83" s="47">
        <f t="shared" si="12"/>
        <v>0</v>
      </c>
      <c r="C83" s="47">
        <f t="shared" si="13"/>
        <v>0</v>
      </c>
      <c r="D83" s="47">
        <f t="shared" si="13"/>
        <v>0</v>
      </c>
      <c r="E83" s="47">
        <f t="shared" si="14"/>
        <v>0</v>
      </c>
      <c r="F83" s="47">
        <v>0</v>
      </c>
      <c r="G83" s="47">
        <v>0</v>
      </c>
      <c r="H83" s="47">
        <f t="shared" si="15"/>
        <v>0</v>
      </c>
      <c r="I83" s="47">
        <v>0</v>
      </c>
      <c r="J83" s="47">
        <v>0</v>
      </c>
      <c r="K83" s="188" t="s">
        <v>59</v>
      </c>
      <c r="L83" s="135"/>
    </row>
    <row r="84" spans="2:12" ht="16.5" customHeight="1" thickBot="1" x14ac:dyDescent="0.25">
      <c r="B84" s="47">
        <f t="shared" si="12"/>
        <v>0</v>
      </c>
      <c r="C84" s="47">
        <f t="shared" si="13"/>
        <v>0</v>
      </c>
      <c r="D84" s="47">
        <f t="shared" si="13"/>
        <v>0</v>
      </c>
      <c r="E84" s="47">
        <f t="shared" si="14"/>
        <v>0</v>
      </c>
      <c r="F84" s="47">
        <v>0</v>
      </c>
      <c r="G84" s="47">
        <v>0</v>
      </c>
      <c r="H84" s="47">
        <f t="shared" si="15"/>
        <v>0</v>
      </c>
      <c r="I84" s="47">
        <v>0</v>
      </c>
      <c r="J84" s="47">
        <v>0</v>
      </c>
      <c r="K84" s="188" t="s">
        <v>56</v>
      </c>
      <c r="L84" s="134"/>
    </row>
    <row r="85" spans="2:12" ht="16.5" customHeight="1" thickBot="1" x14ac:dyDescent="0.25">
      <c r="B85" s="47">
        <f t="shared" si="12"/>
        <v>0</v>
      </c>
      <c r="C85" s="47">
        <f t="shared" si="13"/>
        <v>0</v>
      </c>
      <c r="D85" s="47">
        <f t="shared" si="13"/>
        <v>0</v>
      </c>
      <c r="E85" s="47">
        <f t="shared" si="14"/>
        <v>0</v>
      </c>
      <c r="F85" s="47">
        <v>0</v>
      </c>
      <c r="G85" s="47">
        <v>0</v>
      </c>
      <c r="H85" s="47">
        <f t="shared" si="15"/>
        <v>0</v>
      </c>
      <c r="I85" s="47">
        <v>0</v>
      </c>
      <c r="J85" s="47">
        <v>0</v>
      </c>
      <c r="K85" s="188" t="s">
        <v>57</v>
      </c>
      <c r="L85" s="134" t="s">
        <v>585</v>
      </c>
    </row>
    <row r="86" spans="2:12" ht="16.5" customHeight="1" thickBot="1" x14ac:dyDescent="0.25">
      <c r="B86" s="47">
        <f t="shared" si="12"/>
        <v>0</v>
      </c>
      <c r="C86" s="47">
        <f t="shared" si="13"/>
        <v>0</v>
      </c>
      <c r="D86" s="47">
        <f t="shared" si="13"/>
        <v>0</v>
      </c>
      <c r="E86" s="47">
        <f t="shared" si="14"/>
        <v>0</v>
      </c>
      <c r="F86" s="47">
        <v>0</v>
      </c>
      <c r="G86" s="47">
        <v>0</v>
      </c>
      <c r="H86" s="47">
        <f t="shared" si="15"/>
        <v>0</v>
      </c>
      <c r="I86" s="47">
        <v>0</v>
      </c>
      <c r="J86" s="47">
        <v>0</v>
      </c>
      <c r="K86" s="188" t="s">
        <v>59</v>
      </c>
      <c r="L86" s="135"/>
    </row>
    <row r="87" spans="2:12" ht="16.5" customHeight="1" thickBot="1" x14ac:dyDescent="0.25">
      <c r="B87" s="47">
        <f t="shared" si="12"/>
        <v>71</v>
      </c>
      <c r="C87" s="47">
        <f t="shared" si="13"/>
        <v>6</v>
      </c>
      <c r="D87" s="47">
        <f t="shared" si="13"/>
        <v>65</v>
      </c>
      <c r="E87" s="47">
        <f t="shared" si="14"/>
        <v>0</v>
      </c>
      <c r="F87" s="47">
        <v>0</v>
      </c>
      <c r="G87" s="47">
        <v>0</v>
      </c>
      <c r="H87" s="47">
        <f t="shared" si="15"/>
        <v>71</v>
      </c>
      <c r="I87" s="47">
        <v>6</v>
      </c>
      <c r="J87" s="47">
        <v>65</v>
      </c>
      <c r="K87" s="188" t="s">
        <v>56</v>
      </c>
      <c r="L87" s="134"/>
    </row>
    <row r="88" spans="2:12" ht="16.5" customHeight="1" thickBot="1" x14ac:dyDescent="0.25">
      <c r="B88" s="47">
        <f t="shared" si="12"/>
        <v>992</v>
      </c>
      <c r="C88" s="47">
        <f t="shared" si="13"/>
        <v>319</v>
      </c>
      <c r="D88" s="47">
        <f t="shared" si="13"/>
        <v>673</v>
      </c>
      <c r="E88" s="47">
        <f t="shared" si="14"/>
        <v>0</v>
      </c>
      <c r="F88" s="47">
        <v>0</v>
      </c>
      <c r="G88" s="47">
        <v>0</v>
      </c>
      <c r="H88" s="47">
        <f t="shared" si="15"/>
        <v>992</v>
      </c>
      <c r="I88" s="47">
        <f>438-100-19</f>
        <v>319</v>
      </c>
      <c r="J88" s="47">
        <v>673</v>
      </c>
      <c r="K88" s="188" t="s">
        <v>57</v>
      </c>
      <c r="L88" s="134" t="s">
        <v>69</v>
      </c>
    </row>
    <row r="89" spans="2:12" ht="16.5" customHeight="1" thickBot="1" x14ac:dyDescent="0.25">
      <c r="B89" s="47">
        <f t="shared" si="12"/>
        <v>0</v>
      </c>
      <c r="C89" s="47">
        <f t="shared" si="13"/>
        <v>0</v>
      </c>
      <c r="D89" s="47">
        <f t="shared" si="13"/>
        <v>0</v>
      </c>
      <c r="E89" s="47">
        <f t="shared" si="14"/>
        <v>0</v>
      </c>
      <c r="F89" s="47">
        <v>0</v>
      </c>
      <c r="G89" s="47">
        <v>0</v>
      </c>
      <c r="H89" s="47">
        <f t="shared" si="15"/>
        <v>0</v>
      </c>
      <c r="I89" s="47">
        <v>0</v>
      </c>
      <c r="J89" s="47">
        <v>0</v>
      </c>
      <c r="K89" s="188" t="s">
        <v>59</v>
      </c>
      <c r="L89" s="134"/>
    </row>
    <row r="90" spans="2:12" ht="16.5" customHeight="1" thickBot="1" x14ac:dyDescent="0.25">
      <c r="B90" s="47">
        <f t="shared" ref="B90:J92" si="16">B60+B63+B66+B69+B72+B75+B78+B81+B84+B87</f>
        <v>246</v>
      </c>
      <c r="C90" s="47">
        <f t="shared" si="16"/>
        <v>65</v>
      </c>
      <c r="D90" s="47">
        <f t="shared" si="16"/>
        <v>181</v>
      </c>
      <c r="E90" s="47">
        <f t="shared" si="16"/>
        <v>4</v>
      </c>
      <c r="F90" s="47">
        <f t="shared" si="16"/>
        <v>1</v>
      </c>
      <c r="G90" s="47">
        <f t="shared" si="16"/>
        <v>3</v>
      </c>
      <c r="H90" s="47">
        <f t="shared" si="16"/>
        <v>242</v>
      </c>
      <c r="I90" s="47">
        <f t="shared" si="16"/>
        <v>64</v>
      </c>
      <c r="J90" s="47">
        <f>J60+J63+J66+J69+J72+J75+J78+J81+J84+J87</f>
        <v>178</v>
      </c>
      <c r="K90" s="188" t="s">
        <v>243</v>
      </c>
      <c r="L90" s="131"/>
    </row>
    <row r="91" spans="2:12" ht="16.5" customHeight="1" thickBot="1" x14ac:dyDescent="0.25">
      <c r="B91" s="47">
        <f t="shared" si="16"/>
        <v>2193</v>
      </c>
      <c r="C91" s="47">
        <f t="shared" si="16"/>
        <v>685</v>
      </c>
      <c r="D91" s="47">
        <f t="shared" si="16"/>
        <v>1508</v>
      </c>
      <c r="E91" s="47">
        <f t="shared" si="16"/>
        <v>21</v>
      </c>
      <c r="F91" s="47">
        <f t="shared" si="16"/>
        <v>3</v>
      </c>
      <c r="G91" s="47">
        <f t="shared" si="16"/>
        <v>18</v>
      </c>
      <c r="H91" s="47">
        <f t="shared" si="16"/>
        <v>2172</v>
      </c>
      <c r="I91" s="47">
        <f t="shared" si="16"/>
        <v>682</v>
      </c>
      <c r="J91" s="47">
        <f t="shared" si="16"/>
        <v>1490</v>
      </c>
      <c r="K91" s="188" t="s">
        <v>57</v>
      </c>
      <c r="L91" s="132" t="s">
        <v>244</v>
      </c>
    </row>
    <row r="92" spans="2:12" ht="16.5" customHeight="1" thickBot="1" x14ac:dyDescent="0.25">
      <c r="B92" s="47">
        <f t="shared" si="16"/>
        <v>0</v>
      </c>
      <c r="C92" s="47">
        <f t="shared" si="16"/>
        <v>0</v>
      </c>
      <c r="D92" s="47">
        <f t="shared" si="16"/>
        <v>0</v>
      </c>
      <c r="E92" s="47">
        <f t="shared" si="16"/>
        <v>0</v>
      </c>
      <c r="F92" s="47">
        <f t="shared" si="16"/>
        <v>0</v>
      </c>
      <c r="G92" s="47">
        <f t="shared" si="16"/>
        <v>0</v>
      </c>
      <c r="H92" s="47">
        <f t="shared" si="16"/>
        <v>0</v>
      </c>
      <c r="I92" s="47">
        <f t="shared" si="16"/>
        <v>0</v>
      </c>
      <c r="J92" s="47">
        <f t="shared" si="16"/>
        <v>0</v>
      </c>
      <c r="K92" s="188" t="s">
        <v>59</v>
      </c>
      <c r="L92" s="133"/>
    </row>
    <row r="93" spans="2:12" ht="16.5" customHeight="1" thickBot="1" x14ac:dyDescent="0.25">
      <c r="B93" s="47">
        <f t="shared" ref="B93:I93" si="17">SUM(B90:B92)</f>
        <v>2439</v>
      </c>
      <c r="C93" s="47">
        <f t="shared" si="17"/>
        <v>750</v>
      </c>
      <c r="D93" s="47">
        <f t="shared" si="17"/>
        <v>1689</v>
      </c>
      <c r="E93" s="47">
        <f t="shared" si="17"/>
        <v>25</v>
      </c>
      <c r="F93" s="47">
        <f t="shared" si="17"/>
        <v>4</v>
      </c>
      <c r="G93" s="47">
        <f t="shared" si="17"/>
        <v>21</v>
      </c>
      <c r="H93" s="47">
        <f t="shared" si="17"/>
        <v>2414</v>
      </c>
      <c r="I93" s="47">
        <f t="shared" si="17"/>
        <v>746</v>
      </c>
      <c r="J93" s="47">
        <f>SUM(J90:J92)</f>
        <v>1668</v>
      </c>
      <c r="K93" s="500" t="s">
        <v>245</v>
      </c>
      <c r="L93" s="500"/>
    </row>
    <row r="94" spans="2:12" ht="16.5" customHeight="1" thickBot="1" x14ac:dyDescent="0.25">
      <c r="B94" s="476" t="s">
        <v>4</v>
      </c>
      <c r="C94" s="476"/>
      <c r="D94" s="476"/>
      <c r="E94" s="476" t="s">
        <v>145</v>
      </c>
      <c r="F94" s="476"/>
      <c r="G94" s="476"/>
      <c r="H94" s="476" t="s">
        <v>146</v>
      </c>
      <c r="I94" s="476"/>
      <c r="J94" s="476"/>
      <c r="K94" s="479" t="s">
        <v>66</v>
      </c>
      <c r="L94" s="479"/>
    </row>
    <row r="95" spans="2:12" ht="16.5" customHeight="1" thickBot="1" x14ac:dyDescent="0.25">
      <c r="B95" s="185" t="s">
        <v>227</v>
      </c>
      <c r="C95" s="185" t="s">
        <v>10</v>
      </c>
      <c r="D95" s="185" t="s">
        <v>9</v>
      </c>
      <c r="E95" s="185" t="s">
        <v>227</v>
      </c>
      <c r="F95" s="185" t="s">
        <v>10</v>
      </c>
      <c r="G95" s="185" t="s">
        <v>9</v>
      </c>
      <c r="H95" s="185" t="s">
        <v>227</v>
      </c>
      <c r="I95" s="185" t="s">
        <v>10</v>
      </c>
      <c r="J95" s="185" t="s">
        <v>9</v>
      </c>
      <c r="K95" s="480" t="s">
        <v>72</v>
      </c>
      <c r="L95" s="480"/>
    </row>
    <row r="96" spans="2:12" ht="16.5" customHeight="1" thickBot="1" x14ac:dyDescent="0.25">
      <c r="B96" s="47">
        <f>SUM(C96:D96)</f>
        <v>42</v>
      </c>
      <c r="C96" s="47">
        <f>I96+F96</f>
        <v>27</v>
      </c>
      <c r="D96" s="47">
        <f>J96+G96</f>
        <v>15</v>
      </c>
      <c r="E96" s="47">
        <f>SUM(F96:G96)</f>
        <v>3</v>
      </c>
      <c r="F96" s="47">
        <v>0</v>
      </c>
      <c r="G96" s="47">
        <v>3</v>
      </c>
      <c r="H96" s="47">
        <f>SUM(I96:J96)</f>
        <v>39</v>
      </c>
      <c r="I96" s="47">
        <v>27</v>
      </c>
      <c r="J96" s="47">
        <v>12</v>
      </c>
      <c r="K96" s="188" t="s">
        <v>56</v>
      </c>
      <c r="L96" s="134"/>
    </row>
    <row r="97" spans="2:12" ht="16.5" customHeight="1" thickBot="1" x14ac:dyDescent="0.25">
      <c r="B97" s="47">
        <f t="shared" ref="B97:B140" si="18">SUM(C97:D97)</f>
        <v>167</v>
      </c>
      <c r="C97" s="47">
        <f t="shared" ref="C97:D140" si="19">I97+F97</f>
        <v>86</v>
      </c>
      <c r="D97" s="47">
        <f t="shared" si="19"/>
        <v>81</v>
      </c>
      <c r="E97" s="47">
        <f t="shared" ref="E97:E140" si="20">SUM(F97:G97)</f>
        <v>24</v>
      </c>
      <c r="F97" s="47">
        <v>2</v>
      </c>
      <c r="G97" s="47">
        <v>22</v>
      </c>
      <c r="H97" s="47">
        <f t="shared" ref="H97:H140" si="21">SUM(I97:J97)</f>
        <v>143</v>
      </c>
      <c r="I97" s="47">
        <v>84</v>
      </c>
      <c r="J97" s="47">
        <v>59</v>
      </c>
      <c r="K97" s="188" t="s">
        <v>57</v>
      </c>
      <c r="L97" s="134" t="s">
        <v>371</v>
      </c>
    </row>
    <row r="98" spans="2:12" ht="16.5" customHeight="1" thickBot="1" x14ac:dyDescent="0.25">
      <c r="B98" s="47">
        <f t="shared" si="18"/>
        <v>0</v>
      </c>
      <c r="C98" s="47">
        <f t="shared" si="19"/>
        <v>0</v>
      </c>
      <c r="D98" s="47">
        <f t="shared" si="19"/>
        <v>0</v>
      </c>
      <c r="E98" s="47">
        <f t="shared" si="20"/>
        <v>0</v>
      </c>
      <c r="F98" s="47">
        <v>0</v>
      </c>
      <c r="G98" s="47">
        <v>0</v>
      </c>
      <c r="H98" s="47">
        <f t="shared" si="21"/>
        <v>0</v>
      </c>
      <c r="I98" s="47">
        <v>0</v>
      </c>
      <c r="J98" s="47">
        <v>0</v>
      </c>
      <c r="K98" s="188" t="s">
        <v>59</v>
      </c>
      <c r="L98" s="135"/>
    </row>
    <row r="99" spans="2:12" ht="16.5" customHeight="1" thickBot="1" x14ac:dyDescent="0.25">
      <c r="B99" s="47">
        <f t="shared" si="18"/>
        <v>54</v>
      </c>
      <c r="C99" s="47">
        <f t="shared" si="19"/>
        <v>23</v>
      </c>
      <c r="D99" s="47">
        <f t="shared" si="19"/>
        <v>31</v>
      </c>
      <c r="E99" s="47">
        <f t="shared" si="20"/>
        <v>31</v>
      </c>
      <c r="F99" s="47">
        <v>8</v>
      </c>
      <c r="G99" s="47">
        <v>23</v>
      </c>
      <c r="H99" s="47">
        <f t="shared" si="21"/>
        <v>23</v>
      </c>
      <c r="I99" s="47">
        <v>15</v>
      </c>
      <c r="J99" s="47">
        <v>8</v>
      </c>
      <c r="K99" s="188" t="s">
        <v>56</v>
      </c>
      <c r="L99" s="134"/>
    </row>
    <row r="100" spans="2:12" ht="16.5" customHeight="1" thickBot="1" x14ac:dyDescent="0.25">
      <c r="B100" s="47">
        <f t="shared" si="18"/>
        <v>240</v>
      </c>
      <c r="C100" s="47">
        <f t="shared" si="19"/>
        <v>94</v>
      </c>
      <c r="D100" s="47">
        <f t="shared" si="19"/>
        <v>146</v>
      </c>
      <c r="E100" s="47">
        <f t="shared" si="20"/>
        <v>46</v>
      </c>
      <c r="F100" s="47">
        <v>13</v>
      </c>
      <c r="G100" s="47">
        <v>33</v>
      </c>
      <c r="H100" s="47">
        <f t="shared" si="21"/>
        <v>194</v>
      </c>
      <c r="I100" s="47">
        <v>81</v>
      </c>
      <c r="J100" s="47">
        <v>113</v>
      </c>
      <c r="K100" s="188" t="s">
        <v>57</v>
      </c>
      <c r="L100" s="134" t="s">
        <v>367</v>
      </c>
    </row>
    <row r="101" spans="2:12" ht="16.5" customHeight="1" thickBot="1" x14ac:dyDescent="0.25">
      <c r="B101" s="47">
        <f t="shared" si="18"/>
        <v>0</v>
      </c>
      <c r="C101" s="47">
        <f t="shared" si="19"/>
        <v>0</v>
      </c>
      <c r="D101" s="47">
        <f t="shared" si="19"/>
        <v>0</v>
      </c>
      <c r="E101" s="47">
        <f t="shared" si="20"/>
        <v>0</v>
      </c>
      <c r="F101" s="47">
        <v>0</v>
      </c>
      <c r="G101" s="47">
        <v>0</v>
      </c>
      <c r="H101" s="47">
        <f t="shared" si="21"/>
        <v>0</v>
      </c>
      <c r="I101" s="47">
        <v>0</v>
      </c>
      <c r="J101" s="47">
        <v>0</v>
      </c>
      <c r="K101" s="188" t="s">
        <v>59</v>
      </c>
      <c r="L101" s="135"/>
    </row>
    <row r="102" spans="2:12" ht="16.5" customHeight="1" thickBot="1" x14ac:dyDescent="0.25">
      <c r="B102" s="47">
        <f t="shared" si="18"/>
        <v>13</v>
      </c>
      <c r="C102" s="47">
        <f t="shared" si="19"/>
        <v>3</v>
      </c>
      <c r="D102" s="47">
        <f t="shared" si="19"/>
        <v>10</v>
      </c>
      <c r="E102" s="47">
        <f t="shared" si="20"/>
        <v>3</v>
      </c>
      <c r="F102" s="47">
        <v>0</v>
      </c>
      <c r="G102" s="47">
        <v>3</v>
      </c>
      <c r="H102" s="47">
        <f t="shared" si="21"/>
        <v>10</v>
      </c>
      <c r="I102" s="47">
        <v>3</v>
      </c>
      <c r="J102" s="47">
        <v>7</v>
      </c>
      <c r="K102" s="188" t="s">
        <v>56</v>
      </c>
      <c r="L102" s="134"/>
    </row>
    <row r="103" spans="2:12" ht="16.5" customHeight="1" thickBot="1" x14ac:dyDescent="0.25">
      <c r="B103" s="47">
        <f t="shared" si="18"/>
        <v>254</v>
      </c>
      <c r="C103" s="47">
        <f t="shared" si="19"/>
        <v>90</v>
      </c>
      <c r="D103" s="47">
        <f t="shared" si="19"/>
        <v>164</v>
      </c>
      <c r="E103" s="47">
        <f t="shared" si="20"/>
        <v>9</v>
      </c>
      <c r="F103" s="47">
        <v>4</v>
      </c>
      <c r="G103" s="47">
        <v>5</v>
      </c>
      <c r="H103" s="47">
        <f t="shared" si="21"/>
        <v>245</v>
      </c>
      <c r="I103" s="47">
        <v>86</v>
      </c>
      <c r="J103" s="47">
        <v>159</v>
      </c>
      <c r="K103" s="188" t="s">
        <v>57</v>
      </c>
      <c r="L103" s="134" t="s">
        <v>373</v>
      </c>
    </row>
    <row r="104" spans="2:12" ht="16.5" customHeight="1" thickBot="1" x14ac:dyDescent="0.25">
      <c r="B104" s="47">
        <f t="shared" si="18"/>
        <v>0</v>
      </c>
      <c r="C104" s="47">
        <f t="shared" si="19"/>
        <v>0</v>
      </c>
      <c r="D104" s="47">
        <f t="shared" si="19"/>
        <v>0</v>
      </c>
      <c r="E104" s="47">
        <f t="shared" si="20"/>
        <v>0</v>
      </c>
      <c r="F104" s="47">
        <v>0</v>
      </c>
      <c r="G104" s="47">
        <v>0</v>
      </c>
      <c r="H104" s="47">
        <f t="shared" si="21"/>
        <v>0</v>
      </c>
      <c r="I104" s="47">
        <v>0</v>
      </c>
      <c r="J104" s="47">
        <v>0</v>
      </c>
      <c r="K104" s="188" t="s">
        <v>59</v>
      </c>
      <c r="L104" s="135"/>
    </row>
    <row r="105" spans="2:12" ht="16.5" customHeight="1" thickBot="1" x14ac:dyDescent="0.25">
      <c r="B105" s="47">
        <f t="shared" si="18"/>
        <v>1</v>
      </c>
      <c r="C105" s="47">
        <f t="shared" si="19"/>
        <v>0</v>
      </c>
      <c r="D105" s="47">
        <f t="shared" si="19"/>
        <v>1</v>
      </c>
      <c r="E105" s="47">
        <f t="shared" si="20"/>
        <v>1</v>
      </c>
      <c r="F105" s="47">
        <v>0</v>
      </c>
      <c r="G105" s="47">
        <v>1</v>
      </c>
      <c r="H105" s="47">
        <f t="shared" si="21"/>
        <v>0</v>
      </c>
      <c r="I105" s="47">
        <v>0</v>
      </c>
      <c r="J105" s="47">
        <v>0</v>
      </c>
      <c r="K105" s="188" t="s">
        <v>56</v>
      </c>
      <c r="L105" s="134"/>
    </row>
    <row r="106" spans="2:12" ht="16.5" customHeight="1" thickBot="1" x14ac:dyDescent="0.25">
      <c r="B106" s="47">
        <f t="shared" si="18"/>
        <v>59</v>
      </c>
      <c r="C106" s="47">
        <f t="shared" si="19"/>
        <v>24</v>
      </c>
      <c r="D106" s="47">
        <f t="shared" si="19"/>
        <v>35</v>
      </c>
      <c r="E106" s="47">
        <f t="shared" si="20"/>
        <v>32</v>
      </c>
      <c r="F106" s="47">
        <v>8</v>
      </c>
      <c r="G106" s="47">
        <v>24</v>
      </c>
      <c r="H106" s="47">
        <f t="shared" si="21"/>
        <v>27</v>
      </c>
      <c r="I106" s="47">
        <v>16</v>
      </c>
      <c r="J106" s="47">
        <v>11</v>
      </c>
      <c r="K106" s="188" t="s">
        <v>57</v>
      </c>
      <c r="L106" s="134" t="s">
        <v>348</v>
      </c>
    </row>
    <row r="107" spans="2:12" ht="16.5" customHeight="1" thickBot="1" x14ac:dyDescent="0.25">
      <c r="B107" s="47">
        <f t="shared" si="18"/>
        <v>0</v>
      </c>
      <c r="C107" s="47">
        <f t="shared" si="19"/>
        <v>0</v>
      </c>
      <c r="D107" s="47">
        <f t="shared" si="19"/>
        <v>0</v>
      </c>
      <c r="E107" s="47">
        <f t="shared" si="20"/>
        <v>0</v>
      </c>
      <c r="F107" s="47">
        <v>0</v>
      </c>
      <c r="G107" s="47">
        <v>0</v>
      </c>
      <c r="H107" s="47">
        <f t="shared" si="21"/>
        <v>0</v>
      </c>
      <c r="I107" s="47">
        <v>0</v>
      </c>
      <c r="J107" s="47">
        <v>0</v>
      </c>
      <c r="K107" s="188" t="s">
        <v>59</v>
      </c>
      <c r="L107" s="135"/>
    </row>
    <row r="108" spans="2:12" ht="16.5" customHeight="1" thickBot="1" x14ac:dyDescent="0.25">
      <c r="B108" s="47">
        <f t="shared" si="18"/>
        <v>10</v>
      </c>
      <c r="C108" s="47">
        <f t="shared" si="19"/>
        <v>0</v>
      </c>
      <c r="D108" s="47">
        <f t="shared" si="19"/>
        <v>10</v>
      </c>
      <c r="E108" s="47">
        <f t="shared" si="20"/>
        <v>9</v>
      </c>
      <c r="F108" s="47">
        <v>0</v>
      </c>
      <c r="G108" s="47">
        <v>9</v>
      </c>
      <c r="H108" s="47">
        <f t="shared" si="21"/>
        <v>1</v>
      </c>
      <c r="I108" s="47">
        <v>0</v>
      </c>
      <c r="J108" s="47">
        <v>1</v>
      </c>
      <c r="K108" s="188" t="s">
        <v>56</v>
      </c>
      <c r="L108" s="134"/>
    </row>
    <row r="109" spans="2:12" ht="16.5" customHeight="1" thickBot="1" x14ac:dyDescent="0.25">
      <c r="B109" s="47">
        <f t="shared" si="18"/>
        <v>100</v>
      </c>
      <c r="C109" s="47">
        <f t="shared" si="19"/>
        <v>0</v>
      </c>
      <c r="D109" s="47">
        <f t="shared" si="19"/>
        <v>100</v>
      </c>
      <c r="E109" s="47">
        <f t="shared" si="20"/>
        <v>68</v>
      </c>
      <c r="F109" s="47">
        <v>0</v>
      </c>
      <c r="G109" s="47">
        <v>68</v>
      </c>
      <c r="H109" s="47">
        <f t="shared" si="21"/>
        <v>32</v>
      </c>
      <c r="I109" s="47">
        <v>0</v>
      </c>
      <c r="J109" s="47">
        <v>32</v>
      </c>
      <c r="K109" s="188" t="s">
        <v>57</v>
      </c>
      <c r="L109" s="134" t="s">
        <v>454</v>
      </c>
    </row>
    <row r="110" spans="2:12" ht="16.5" customHeight="1" thickBot="1" x14ac:dyDescent="0.25">
      <c r="B110" s="47">
        <f t="shared" si="18"/>
        <v>0</v>
      </c>
      <c r="C110" s="47">
        <f t="shared" si="19"/>
        <v>0</v>
      </c>
      <c r="D110" s="47">
        <f t="shared" si="19"/>
        <v>0</v>
      </c>
      <c r="E110" s="47">
        <f t="shared" si="20"/>
        <v>0</v>
      </c>
      <c r="F110" s="47">
        <v>0</v>
      </c>
      <c r="G110" s="47">
        <v>0</v>
      </c>
      <c r="H110" s="47">
        <f t="shared" si="21"/>
        <v>0</v>
      </c>
      <c r="I110" s="47">
        <v>0</v>
      </c>
      <c r="J110" s="47">
        <v>0</v>
      </c>
      <c r="K110" s="188" t="s">
        <v>59</v>
      </c>
      <c r="L110" s="135"/>
    </row>
    <row r="111" spans="2:12" ht="16.5" customHeight="1" thickBot="1" x14ac:dyDescent="0.25">
      <c r="B111" s="47">
        <f t="shared" si="18"/>
        <v>54</v>
      </c>
      <c r="C111" s="47">
        <f t="shared" si="19"/>
        <v>22</v>
      </c>
      <c r="D111" s="47">
        <f t="shared" si="19"/>
        <v>32</v>
      </c>
      <c r="E111" s="47">
        <f t="shared" si="20"/>
        <v>5</v>
      </c>
      <c r="F111" s="47">
        <v>1</v>
      </c>
      <c r="G111" s="47">
        <v>4</v>
      </c>
      <c r="H111" s="47">
        <f t="shared" si="21"/>
        <v>49</v>
      </c>
      <c r="I111" s="47">
        <v>21</v>
      </c>
      <c r="J111" s="47">
        <v>28</v>
      </c>
      <c r="K111" s="188" t="s">
        <v>56</v>
      </c>
      <c r="L111" s="134"/>
    </row>
    <row r="112" spans="2:12" ht="16.5" customHeight="1" thickBot="1" x14ac:dyDescent="0.25">
      <c r="B112" s="47">
        <f t="shared" si="18"/>
        <v>592</v>
      </c>
      <c r="C112" s="47">
        <f t="shared" si="19"/>
        <v>281</v>
      </c>
      <c r="D112" s="47">
        <f t="shared" si="19"/>
        <v>311</v>
      </c>
      <c r="E112" s="47">
        <f t="shared" si="20"/>
        <v>32</v>
      </c>
      <c r="F112" s="47">
        <v>6</v>
      </c>
      <c r="G112" s="47">
        <v>26</v>
      </c>
      <c r="H112" s="47">
        <f t="shared" si="21"/>
        <v>560</v>
      </c>
      <c r="I112" s="47">
        <v>275</v>
      </c>
      <c r="J112" s="47">
        <v>285</v>
      </c>
      <c r="K112" s="188" t="s">
        <v>57</v>
      </c>
      <c r="L112" s="134" t="s">
        <v>376</v>
      </c>
    </row>
    <row r="113" spans="2:12" ht="16.5" customHeight="1" thickBot="1" x14ac:dyDescent="0.25">
      <c r="B113" s="47">
        <f t="shared" si="18"/>
        <v>0</v>
      </c>
      <c r="C113" s="47">
        <f t="shared" si="19"/>
        <v>0</v>
      </c>
      <c r="D113" s="47">
        <f t="shared" si="19"/>
        <v>0</v>
      </c>
      <c r="E113" s="47">
        <f t="shared" si="20"/>
        <v>0</v>
      </c>
      <c r="F113" s="47">
        <v>0</v>
      </c>
      <c r="G113" s="47">
        <v>0</v>
      </c>
      <c r="H113" s="47">
        <f t="shared" si="21"/>
        <v>0</v>
      </c>
      <c r="I113" s="47">
        <v>0</v>
      </c>
      <c r="J113" s="47">
        <v>0</v>
      </c>
      <c r="K113" s="188" t="s">
        <v>59</v>
      </c>
      <c r="L113" s="135"/>
    </row>
    <row r="114" spans="2:12" ht="16.5" customHeight="1" thickBot="1" x14ac:dyDescent="0.25">
      <c r="B114" s="47">
        <f t="shared" si="18"/>
        <v>0</v>
      </c>
      <c r="C114" s="47">
        <f t="shared" si="19"/>
        <v>0</v>
      </c>
      <c r="D114" s="47">
        <f t="shared" si="19"/>
        <v>0</v>
      </c>
      <c r="E114" s="47">
        <f t="shared" si="20"/>
        <v>0</v>
      </c>
      <c r="F114" s="47">
        <v>0</v>
      </c>
      <c r="G114" s="47">
        <v>0</v>
      </c>
      <c r="H114" s="47">
        <f t="shared" si="21"/>
        <v>0</v>
      </c>
      <c r="I114" s="47">
        <v>0</v>
      </c>
      <c r="J114" s="47">
        <v>0</v>
      </c>
      <c r="K114" s="188" t="s">
        <v>56</v>
      </c>
      <c r="L114" s="134"/>
    </row>
    <row r="115" spans="2:12" ht="16.5" customHeight="1" thickBot="1" x14ac:dyDescent="0.25">
      <c r="B115" s="47">
        <f t="shared" si="18"/>
        <v>6</v>
      </c>
      <c r="C115" s="47">
        <f t="shared" si="19"/>
        <v>0</v>
      </c>
      <c r="D115" s="47">
        <f t="shared" si="19"/>
        <v>6</v>
      </c>
      <c r="E115" s="47">
        <f t="shared" si="20"/>
        <v>0</v>
      </c>
      <c r="F115" s="47">
        <v>0</v>
      </c>
      <c r="G115" s="47">
        <v>0</v>
      </c>
      <c r="H115" s="47">
        <f t="shared" si="21"/>
        <v>6</v>
      </c>
      <c r="I115" s="47">
        <v>0</v>
      </c>
      <c r="J115" s="47">
        <v>6</v>
      </c>
      <c r="K115" s="188" t="s">
        <v>57</v>
      </c>
      <c r="L115" s="134" t="s">
        <v>374</v>
      </c>
    </row>
    <row r="116" spans="2:12" ht="16.5" customHeight="1" thickBot="1" x14ac:dyDescent="0.25">
      <c r="B116" s="47">
        <f t="shared" si="18"/>
        <v>0</v>
      </c>
      <c r="C116" s="47">
        <f t="shared" si="19"/>
        <v>0</v>
      </c>
      <c r="D116" s="47">
        <f t="shared" si="19"/>
        <v>0</v>
      </c>
      <c r="E116" s="47">
        <f t="shared" si="20"/>
        <v>0</v>
      </c>
      <c r="F116" s="47">
        <v>0</v>
      </c>
      <c r="G116" s="47">
        <v>0</v>
      </c>
      <c r="H116" s="47">
        <f t="shared" si="21"/>
        <v>0</v>
      </c>
      <c r="I116" s="47">
        <v>0</v>
      </c>
      <c r="J116" s="47">
        <v>0</v>
      </c>
      <c r="K116" s="188" t="s">
        <v>59</v>
      </c>
      <c r="L116" s="135"/>
    </row>
    <row r="117" spans="2:12" ht="16.5" customHeight="1" thickBot="1" x14ac:dyDescent="0.25">
      <c r="B117" s="47">
        <f t="shared" si="18"/>
        <v>0</v>
      </c>
      <c r="C117" s="47">
        <f t="shared" si="19"/>
        <v>0</v>
      </c>
      <c r="D117" s="47">
        <f t="shared" si="19"/>
        <v>0</v>
      </c>
      <c r="E117" s="47">
        <f t="shared" si="20"/>
        <v>0</v>
      </c>
      <c r="F117" s="47">
        <v>0</v>
      </c>
      <c r="G117" s="47">
        <v>0</v>
      </c>
      <c r="H117" s="47">
        <f t="shared" si="21"/>
        <v>0</v>
      </c>
      <c r="I117" s="47">
        <v>0</v>
      </c>
      <c r="J117" s="47">
        <v>0</v>
      </c>
      <c r="K117" s="188" t="s">
        <v>56</v>
      </c>
      <c r="L117" s="134"/>
    </row>
    <row r="118" spans="2:12" ht="16.5" customHeight="1" thickBot="1" x14ac:dyDescent="0.25">
      <c r="B118" s="47">
        <f t="shared" si="18"/>
        <v>28</v>
      </c>
      <c r="C118" s="47">
        <f t="shared" si="19"/>
        <v>28</v>
      </c>
      <c r="D118" s="47">
        <f t="shared" si="19"/>
        <v>0</v>
      </c>
      <c r="E118" s="47">
        <f t="shared" si="20"/>
        <v>0</v>
      </c>
      <c r="F118" s="47">
        <v>0</v>
      </c>
      <c r="G118" s="47">
        <v>0</v>
      </c>
      <c r="H118" s="47">
        <f t="shared" si="21"/>
        <v>28</v>
      </c>
      <c r="I118" s="47">
        <v>28</v>
      </c>
      <c r="J118" s="47">
        <v>0</v>
      </c>
      <c r="K118" s="188" t="s">
        <v>57</v>
      </c>
      <c r="L118" s="134" t="s">
        <v>255</v>
      </c>
    </row>
    <row r="119" spans="2:12" ht="16.5" customHeight="1" thickBot="1" x14ac:dyDescent="0.25">
      <c r="B119" s="47">
        <f t="shared" si="18"/>
        <v>0</v>
      </c>
      <c r="C119" s="47">
        <f t="shared" si="19"/>
        <v>0</v>
      </c>
      <c r="D119" s="47">
        <f t="shared" si="19"/>
        <v>0</v>
      </c>
      <c r="E119" s="47">
        <f t="shared" si="20"/>
        <v>0</v>
      </c>
      <c r="F119" s="47">
        <v>0</v>
      </c>
      <c r="G119" s="47">
        <v>0</v>
      </c>
      <c r="H119" s="47">
        <f t="shared" si="21"/>
        <v>0</v>
      </c>
      <c r="I119" s="47">
        <v>0</v>
      </c>
      <c r="J119" s="47">
        <v>0</v>
      </c>
      <c r="K119" s="188" t="s">
        <v>59</v>
      </c>
      <c r="L119" s="135"/>
    </row>
    <row r="120" spans="2:12" ht="16.5" customHeight="1" thickBot="1" x14ac:dyDescent="0.25">
      <c r="B120" s="47">
        <f t="shared" si="18"/>
        <v>0</v>
      </c>
      <c r="C120" s="47">
        <f t="shared" si="19"/>
        <v>0</v>
      </c>
      <c r="D120" s="47">
        <f t="shared" si="19"/>
        <v>0</v>
      </c>
      <c r="E120" s="47">
        <f t="shared" si="20"/>
        <v>0</v>
      </c>
      <c r="F120" s="47">
        <v>0</v>
      </c>
      <c r="G120" s="47">
        <v>0</v>
      </c>
      <c r="H120" s="47">
        <f t="shared" si="21"/>
        <v>0</v>
      </c>
      <c r="I120" s="47">
        <v>0</v>
      </c>
      <c r="J120" s="47">
        <v>0</v>
      </c>
      <c r="K120" s="188" t="s">
        <v>56</v>
      </c>
      <c r="L120" s="134"/>
    </row>
    <row r="121" spans="2:12" ht="16.5" customHeight="1" thickBot="1" x14ac:dyDescent="0.25">
      <c r="B121" s="47">
        <f t="shared" si="18"/>
        <v>29</v>
      </c>
      <c r="C121" s="47">
        <f t="shared" si="19"/>
        <v>15</v>
      </c>
      <c r="D121" s="47">
        <f t="shared" si="19"/>
        <v>14</v>
      </c>
      <c r="E121" s="47">
        <f t="shared" si="20"/>
        <v>2</v>
      </c>
      <c r="F121" s="47">
        <v>1</v>
      </c>
      <c r="G121" s="47">
        <v>1</v>
      </c>
      <c r="H121" s="47">
        <f t="shared" si="21"/>
        <v>27</v>
      </c>
      <c r="I121" s="47">
        <v>14</v>
      </c>
      <c r="J121" s="47">
        <v>13</v>
      </c>
      <c r="K121" s="188" t="s">
        <v>57</v>
      </c>
      <c r="L121" s="134" t="s">
        <v>347</v>
      </c>
    </row>
    <row r="122" spans="2:12" ht="16.5" customHeight="1" thickBot="1" x14ac:dyDescent="0.25">
      <c r="B122" s="47">
        <f t="shared" si="18"/>
        <v>0</v>
      </c>
      <c r="C122" s="47">
        <f t="shared" si="19"/>
        <v>0</v>
      </c>
      <c r="D122" s="47">
        <f t="shared" si="19"/>
        <v>0</v>
      </c>
      <c r="E122" s="47">
        <f t="shared" si="20"/>
        <v>0</v>
      </c>
      <c r="F122" s="47">
        <v>0</v>
      </c>
      <c r="G122" s="47">
        <v>0</v>
      </c>
      <c r="H122" s="47">
        <f t="shared" si="21"/>
        <v>0</v>
      </c>
      <c r="I122" s="47">
        <v>0</v>
      </c>
      <c r="J122" s="47">
        <v>0</v>
      </c>
      <c r="K122" s="188" t="s">
        <v>59</v>
      </c>
      <c r="L122" s="135"/>
    </row>
    <row r="123" spans="2:12" ht="16.5" customHeight="1" thickBot="1" x14ac:dyDescent="0.25">
      <c r="B123" s="47">
        <f t="shared" si="18"/>
        <v>37</v>
      </c>
      <c r="C123" s="47">
        <f t="shared" si="19"/>
        <v>9</v>
      </c>
      <c r="D123" s="47">
        <f t="shared" si="19"/>
        <v>28</v>
      </c>
      <c r="E123" s="47">
        <f t="shared" si="20"/>
        <v>23</v>
      </c>
      <c r="F123" s="47">
        <v>1</v>
      </c>
      <c r="G123" s="47">
        <v>22</v>
      </c>
      <c r="H123" s="47">
        <f t="shared" si="21"/>
        <v>14</v>
      </c>
      <c r="I123" s="47">
        <v>8</v>
      </c>
      <c r="J123" s="47">
        <v>6</v>
      </c>
      <c r="K123" s="188" t="s">
        <v>56</v>
      </c>
      <c r="L123" s="134"/>
    </row>
    <row r="124" spans="2:12" ht="16.5" customHeight="1" thickBot="1" x14ac:dyDescent="0.25">
      <c r="B124" s="47">
        <f t="shared" si="18"/>
        <v>90</v>
      </c>
      <c r="C124" s="47">
        <f t="shared" si="19"/>
        <v>42</v>
      </c>
      <c r="D124" s="47">
        <f t="shared" si="19"/>
        <v>48</v>
      </c>
      <c r="E124" s="47">
        <f t="shared" si="20"/>
        <v>26</v>
      </c>
      <c r="F124" s="47">
        <v>2</v>
      </c>
      <c r="G124" s="47">
        <v>24</v>
      </c>
      <c r="H124" s="47">
        <f t="shared" si="21"/>
        <v>64</v>
      </c>
      <c r="I124" s="47">
        <v>40</v>
      </c>
      <c r="J124" s="47">
        <v>24</v>
      </c>
      <c r="K124" s="188" t="s">
        <v>57</v>
      </c>
      <c r="L124" s="134" t="s">
        <v>365</v>
      </c>
    </row>
    <row r="125" spans="2:12" ht="16.5" customHeight="1" thickBot="1" x14ac:dyDescent="0.25">
      <c r="B125" s="47">
        <f t="shared" si="18"/>
        <v>0</v>
      </c>
      <c r="C125" s="47">
        <f t="shared" si="19"/>
        <v>0</v>
      </c>
      <c r="D125" s="47">
        <f t="shared" si="19"/>
        <v>0</v>
      </c>
      <c r="E125" s="47">
        <f t="shared" si="20"/>
        <v>0</v>
      </c>
      <c r="F125" s="47">
        <v>0</v>
      </c>
      <c r="G125" s="47">
        <v>0</v>
      </c>
      <c r="H125" s="47">
        <f t="shared" si="21"/>
        <v>0</v>
      </c>
      <c r="I125" s="47">
        <v>0</v>
      </c>
      <c r="J125" s="47">
        <v>0</v>
      </c>
      <c r="K125" s="188" t="s">
        <v>59</v>
      </c>
      <c r="L125" s="135"/>
    </row>
    <row r="126" spans="2:12" ht="16.5" customHeight="1" thickBot="1" x14ac:dyDescent="0.25">
      <c r="B126" s="47">
        <f t="shared" si="18"/>
        <v>0</v>
      </c>
      <c r="C126" s="47">
        <f t="shared" si="19"/>
        <v>0</v>
      </c>
      <c r="D126" s="47">
        <f t="shared" si="19"/>
        <v>0</v>
      </c>
      <c r="E126" s="47">
        <f t="shared" si="20"/>
        <v>0</v>
      </c>
      <c r="F126" s="47">
        <v>0</v>
      </c>
      <c r="G126" s="47">
        <v>0</v>
      </c>
      <c r="H126" s="47">
        <f t="shared" si="21"/>
        <v>0</v>
      </c>
      <c r="I126" s="47">
        <v>0</v>
      </c>
      <c r="J126" s="47">
        <v>0</v>
      </c>
      <c r="K126" s="188" t="s">
        <v>56</v>
      </c>
      <c r="L126" s="134"/>
    </row>
    <row r="127" spans="2:12" ht="16.5" customHeight="1" thickBot="1" x14ac:dyDescent="0.25">
      <c r="B127" s="47">
        <f t="shared" si="18"/>
        <v>37</v>
      </c>
      <c r="C127" s="47">
        <f t="shared" si="19"/>
        <v>0</v>
      </c>
      <c r="D127" s="47">
        <f t="shared" si="19"/>
        <v>37</v>
      </c>
      <c r="E127" s="47">
        <f t="shared" si="20"/>
        <v>0</v>
      </c>
      <c r="F127" s="47">
        <v>0</v>
      </c>
      <c r="G127" s="47">
        <v>0</v>
      </c>
      <c r="H127" s="47">
        <f t="shared" si="21"/>
        <v>37</v>
      </c>
      <c r="I127" s="47">
        <v>0</v>
      </c>
      <c r="J127" s="47">
        <v>37</v>
      </c>
      <c r="K127" s="188" t="s">
        <v>57</v>
      </c>
      <c r="L127" s="134" t="s">
        <v>380</v>
      </c>
    </row>
    <row r="128" spans="2:12" ht="16.5" customHeight="1" thickBot="1" x14ac:dyDescent="0.25">
      <c r="B128" s="47">
        <f t="shared" si="18"/>
        <v>0</v>
      </c>
      <c r="C128" s="47">
        <f t="shared" si="19"/>
        <v>0</v>
      </c>
      <c r="D128" s="47">
        <f t="shared" si="19"/>
        <v>0</v>
      </c>
      <c r="E128" s="47">
        <f t="shared" si="20"/>
        <v>0</v>
      </c>
      <c r="F128" s="47">
        <v>0</v>
      </c>
      <c r="G128" s="47">
        <v>0</v>
      </c>
      <c r="H128" s="47">
        <f t="shared" si="21"/>
        <v>0</v>
      </c>
      <c r="I128" s="47">
        <v>0</v>
      </c>
      <c r="J128" s="47">
        <v>0</v>
      </c>
      <c r="K128" s="188" t="s">
        <v>59</v>
      </c>
      <c r="L128" s="135"/>
    </row>
    <row r="129" spans="2:12" ht="16.5" customHeight="1" thickBot="1" x14ac:dyDescent="0.25">
      <c r="B129" s="47">
        <f t="shared" si="18"/>
        <v>5</v>
      </c>
      <c r="C129" s="47">
        <f t="shared" si="19"/>
        <v>2</v>
      </c>
      <c r="D129" s="47">
        <f t="shared" si="19"/>
        <v>3</v>
      </c>
      <c r="E129" s="47">
        <f t="shared" si="20"/>
        <v>4</v>
      </c>
      <c r="F129" s="47">
        <v>1</v>
      </c>
      <c r="G129" s="47">
        <v>3</v>
      </c>
      <c r="H129" s="47">
        <f t="shared" si="21"/>
        <v>1</v>
      </c>
      <c r="I129" s="47">
        <v>1</v>
      </c>
      <c r="J129" s="47">
        <v>0</v>
      </c>
      <c r="K129" s="188" t="s">
        <v>56</v>
      </c>
      <c r="L129" s="134"/>
    </row>
    <row r="130" spans="2:12" ht="16.5" customHeight="1" thickBot="1" x14ac:dyDescent="0.25">
      <c r="B130" s="47">
        <f t="shared" si="18"/>
        <v>31</v>
      </c>
      <c r="C130" s="47">
        <f t="shared" si="19"/>
        <v>23</v>
      </c>
      <c r="D130" s="47">
        <f t="shared" si="19"/>
        <v>8</v>
      </c>
      <c r="E130" s="47">
        <f t="shared" si="20"/>
        <v>10</v>
      </c>
      <c r="F130" s="47">
        <v>5</v>
      </c>
      <c r="G130" s="47">
        <v>5</v>
      </c>
      <c r="H130" s="47">
        <f t="shared" si="21"/>
        <v>21</v>
      </c>
      <c r="I130" s="47">
        <v>18</v>
      </c>
      <c r="J130" s="47">
        <v>3</v>
      </c>
      <c r="K130" s="188" t="s">
        <v>57</v>
      </c>
      <c r="L130" s="134" t="s">
        <v>344</v>
      </c>
    </row>
    <row r="131" spans="2:12" ht="16.5" customHeight="1" thickBot="1" x14ac:dyDescent="0.25">
      <c r="B131" s="47">
        <f t="shared" si="18"/>
        <v>12</v>
      </c>
      <c r="C131" s="47">
        <f t="shared" si="19"/>
        <v>6</v>
      </c>
      <c r="D131" s="47">
        <f t="shared" si="19"/>
        <v>6</v>
      </c>
      <c r="E131" s="47">
        <f t="shared" si="20"/>
        <v>1</v>
      </c>
      <c r="F131" s="47">
        <v>1</v>
      </c>
      <c r="G131" s="47">
        <v>0</v>
      </c>
      <c r="H131" s="47">
        <f t="shared" si="21"/>
        <v>11</v>
      </c>
      <c r="I131" s="47">
        <v>5</v>
      </c>
      <c r="J131" s="47">
        <v>6</v>
      </c>
      <c r="K131" s="188" t="s">
        <v>59</v>
      </c>
      <c r="L131" s="135"/>
    </row>
    <row r="132" spans="2:12" ht="16.5" customHeight="1" thickBot="1" x14ac:dyDescent="0.25">
      <c r="B132" s="47">
        <f t="shared" si="18"/>
        <v>0</v>
      </c>
      <c r="C132" s="47">
        <f t="shared" si="19"/>
        <v>0</v>
      </c>
      <c r="D132" s="47">
        <f t="shared" si="19"/>
        <v>0</v>
      </c>
      <c r="E132" s="47">
        <f t="shared" si="20"/>
        <v>0</v>
      </c>
      <c r="F132" s="47">
        <v>0</v>
      </c>
      <c r="G132" s="47">
        <v>0</v>
      </c>
      <c r="H132" s="47">
        <f t="shared" si="21"/>
        <v>0</v>
      </c>
      <c r="I132" s="47">
        <v>0</v>
      </c>
      <c r="J132" s="47">
        <v>0</v>
      </c>
      <c r="K132" s="188" t="s">
        <v>56</v>
      </c>
      <c r="L132" s="134"/>
    </row>
    <row r="133" spans="2:12" ht="16.5" customHeight="1" thickBot="1" x14ac:dyDescent="0.25">
      <c r="B133" s="47">
        <f t="shared" si="18"/>
        <v>21</v>
      </c>
      <c r="C133" s="47">
        <f t="shared" si="19"/>
        <v>21</v>
      </c>
      <c r="D133" s="47">
        <f t="shared" si="19"/>
        <v>0</v>
      </c>
      <c r="E133" s="47">
        <f t="shared" si="20"/>
        <v>0</v>
      </c>
      <c r="F133" s="47">
        <v>0</v>
      </c>
      <c r="G133" s="47">
        <v>0</v>
      </c>
      <c r="H133" s="47">
        <f t="shared" si="21"/>
        <v>21</v>
      </c>
      <c r="I133" s="47">
        <v>21</v>
      </c>
      <c r="J133" s="47">
        <v>0</v>
      </c>
      <c r="K133" s="188" t="s">
        <v>57</v>
      </c>
      <c r="L133" s="134" t="s">
        <v>377</v>
      </c>
    </row>
    <row r="134" spans="2:12" ht="16.5" customHeight="1" thickBot="1" x14ac:dyDescent="0.25">
      <c r="B134" s="47">
        <f t="shared" si="18"/>
        <v>0</v>
      </c>
      <c r="C134" s="47">
        <f t="shared" si="19"/>
        <v>0</v>
      </c>
      <c r="D134" s="47">
        <f t="shared" si="19"/>
        <v>0</v>
      </c>
      <c r="E134" s="47">
        <f t="shared" si="20"/>
        <v>0</v>
      </c>
      <c r="F134" s="47">
        <v>0</v>
      </c>
      <c r="G134" s="47">
        <v>0</v>
      </c>
      <c r="H134" s="47">
        <f t="shared" si="21"/>
        <v>0</v>
      </c>
      <c r="I134" s="47">
        <v>0</v>
      </c>
      <c r="J134" s="47">
        <v>0</v>
      </c>
      <c r="K134" s="188" t="s">
        <v>59</v>
      </c>
      <c r="L134" s="135"/>
    </row>
    <row r="135" spans="2:12" ht="16.5" customHeight="1" thickBot="1" x14ac:dyDescent="0.25">
      <c r="B135" s="47">
        <f t="shared" si="18"/>
        <v>10</v>
      </c>
      <c r="C135" s="47">
        <f t="shared" si="19"/>
        <v>9</v>
      </c>
      <c r="D135" s="47">
        <f t="shared" si="19"/>
        <v>1</v>
      </c>
      <c r="E135" s="47">
        <f t="shared" si="20"/>
        <v>2</v>
      </c>
      <c r="F135" s="47">
        <v>1</v>
      </c>
      <c r="G135" s="47">
        <v>1</v>
      </c>
      <c r="H135" s="47">
        <f t="shared" si="21"/>
        <v>8</v>
      </c>
      <c r="I135" s="47">
        <v>8</v>
      </c>
      <c r="J135" s="47">
        <v>0</v>
      </c>
      <c r="K135" s="188" t="s">
        <v>56</v>
      </c>
      <c r="L135" s="134"/>
    </row>
    <row r="136" spans="2:12" ht="16.5" customHeight="1" thickBot="1" x14ac:dyDescent="0.25">
      <c r="B136" s="47">
        <f t="shared" si="18"/>
        <v>32</v>
      </c>
      <c r="C136" s="47">
        <f t="shared" si="19"/>
        <v>22</v>
      </c>
      <c r="D136" s="47">
        <f t="shared" si="19"/>
        <v>10</v>
      </c>
      <c r="E136" s="47">
        <f t="shared" si="20"/>
        <v>2</v>
      </c>
      <c r="F136" s="47">
        <v>2</v>
      </c>
      <c r="G136" s="47">
        <v>0</v>
      </c>
      <c r="H136" s="47">
        <f t="shared" si="21"/>
        <v>30</v>
      </c>
      <c r="I136" s="47">
        <v>20</v>
      </c>
      <c r="J136" s="47">
        <v>10</v>
      </c>
      <c r="K136" s="188" t="s">
        <v>57</v>
      </c>
      <c r="L136" s="134" t="s">
        <v>379</v>
      </c>
    </row>
    <row r="137" spans="2:12" ht="16.5" customHeight="1" thickBot="1" x14ac:dyDescent="0.25">
      <c r="B137" s="47">
        <f t="shared" si="18"/>
        <v>0</v>
      </c>
      <c r="C137" s="47">
        <f t="shared" si="19"/>
        <v>0</v>
      </c>
      <c r="D137" s="47">
        <f t="shared" si="19"/>
        <v>0</v>
      </c>
      <c r="E137" s="47">
        <f t="shared" si="20"/>
        <v>0</v>
      </c>
      <c r="F137" s="47">
        <v>0</v>
      </c>
      <c r="G137" s="47">
        <v>0</v>
      </c>
      <c r="H137" s="47">
        <f t="shared" si="21"/>
        <v>0</v>
      </c>
      <c r="I137" s="47">
        <v>0</v>
      </c>
      <c r="J137" s="47">
        <v>0</v>
      </c>
      <c r="K137" s="188" t="s">
        <v>59</v>
      </c>
      <c r="L137" s="135"/>
    </row>
    <row r="138" spans="2:12" ht="16.5" customHeight="1" thickBot="1" x14ac:dyDescent="0.25">
      <c r="B138" s="47">
        <f t="shared" si="18"/>
        <v>18</v>
      </c>
      <c r="C138" s="47">
        <f t="shared" si="19"/>
        <v>1</v>
      </c>
      <c r="D138" s="47">
        <f t="shared" si="19"/>
        <v>17</v>
      </c>
      <c r="E138" s="47">
        <f t="shared" si="20"/>
        <v>15</v>
      </c>
      <c r="F138" s="47">
        <v>0</v>
      </c>
      <c r="G138" s="47">
        <v>15</v>
      </c>
      <c r="H138" s="47">
        <f t="shared" si="21"/>
        <v>3</v>
      </c>
      <c r="I138" s="47">
        <v>1</v>
      </c>
      <c r="J138" s="47">
        <v>2</v>
      </c>
      <c r="K138" s="188" t="s">
        <v>56</v>
      </c>
      <c r="L138" s="134"/>
    </row>
    <row r="139" spans="2:12" ht="16.5" customHeight="1" thickBot="1" x14ac:dyDescent="0.25">
      <c r="B139" s="47">
        <f t="shared" si="18"/>
        <v>88</v>
      </c>
      <c r="C139" s="47">
        <f t="shared" si="19"/>
        <v>7</v>
      </c>
      <c r="D139" s="47">
        <f t="shared" si="19"/>
        <v>81</v>
      </c>
      <c r="E139" s="47">
        <f t="shared" si="20"/>
        <v>45</v>
      </c>
      <c r="F139" s="47">
        <v>0</v>
      </c>
      <c r="G139" s="47">
        <v>45</v>
      </c>
      <c r="H139" s="47">
        <f t="shared" si="21"/>
        <v>43</v>
      </c>
      <c r="I139" s="47">
        <v>7</v>
      </c>
      <c r="J139" s="47">
        <v>36</v>
      </c>
      <c r="K139" s="188" t="s">
        <v>57</v>
      </c>
      <c r="L139" s="134" t="s">
        <v>586</v>
      </c>
    </row>
    <row r="140" spans="2:12" ht="16.5" customHeight="1" thickBot="1" x14ac:dyDescent="0.25">
      <c r="B140" s="47">
        <f t="shared" si="18"/>
        <v>0</v>
      </c>
      <c r="C140" s="47">
        <f t="shared" si="19"/>
        <v>0</v>
      </c>
      <c r="D140" s="47">
        <f t="shared" si="19"/>
        <v>0</v>
      </c>
      <c r="E140" s="47">
        <f t="shared" si="20"/>
        <v>0</v>
      </c>
      <c r="F140" s="47">
        <v>0</v>
      </c>
      <c r="G140" s="47">
        <v>0</v>
      </c>
      <c r="H140" s="47">
        <f t="shared" si="21"/>
        <v>0</v>
      </c>
      <c r="I140" s="47">
        <v>0</v>
      </c>
      <c r="J140" s="47">
        <v>0</v>
      </c>
      <c r="K140" s="188" t="s">
        <v>59</v>
      </c>
      <c r="L140" s="135"/>
    </row>
    <row r="141" spans="2:12" ht="16.5" customHeight="1" thickBot="1" x14ac:dyDescent="0.25">
      <c r="B141" s="47">
        <f t="shared" ref="B141:J143" si="22">B96+B99+B102+B105+B108+B111+B114+B117+B120+B123+B126+B129+B132+B135+B138</f>
        <v>244</v>
      </c>
      <c r="C141" s="47">
        <f t="shared" si="22"/>
        <v>96</v>
      </c>
      <c r="D141" s="47">
        <f t="shared" si="22"/>
        <v>148</v>
      </c>
      <c r="E141" s="47">
        <f t="shared" si="22"/>
        <v>96</v>
      </c>
      <c r="F141" s="47">
        <f t="shared" si="22"/>
        <v>12</v>
      </c>
      <c r="G141" s="47">
        <f t="shared" si="22"/>
        <v>84</v>
      </c>
      <c r="H141" s="47">
        <f t="shared" si="22"/>
        <v>148</v>
      </c>
      <c r="I141" s="47">
        <f t="shared" si="22"/>
        <v>84</v>
      </c>
      <c r="J141" s="47">
        <f>J96+J99+J102+J105+J108+J111+J114+J117+J120+J123+J126+J129+J132+J135+J138</f>
        <v>64</v>
      </c>
      <c r="K141" s="188" t="s">
        <v>243</v>
      </c>
      <c r="L141" s="131"/>
    </row>
    <row r="142" spans="2:12" ht="16.5" customHeight="1" thickBot="1" x14ac:dyDescent="0.25">
      <c r="B142" s="47">
        <f t="shared" si="22"/>
        <v>1774</v>
      </c>
      <c r="C142" s="47">
        <f t="shared" si="22"/>
        <v>733</v>
      </c>
      <c r="D142" s="47">
        <f t="shared" si="22"/>
        <v>1041</v>
      </c>
      <c r="E142" s="47">
        <f t="shared" si="22"/>
        <v>296</v>
      </c>
      <c r="F142" s="47">
        <f t="shared" si="22"/>
        <v>43</v>
      </c>
      <c r="G142" s="47">
        <f t="shared" si="22"/>
        <v>253</v>
      </c>
      <c r="H142" s="47">
        <f t="shared" si="22"/>
        <v>1478</v>
      </c>
      <c r="I142" s="47">
        <f t="shared" si="22"/>
        <v>690</v>
      </c>
      <c r="J142" s="47">
        <f t="shared" si="22"/>
        <v>788</v>
      </c>
      <c r="K142" s="188" t="s">
        <v>57</v>
      </c>
      <c r="L142" s="132" t="s">
        <v>244</v>
      </c>
    </row>
    <row r="143" spans="2:12" ht="16.5" customHeight="1" thickBot="1" x14ac:dyDescent="0.25">
      <c r="B143" s="47">
        <f t="shared" si="22"/>
        <v>12</v>
      </c>
      <c r="C143" s="47">
        <f t="shared" si="22"/>
        <v>6</v>
      </c>
      <c r="D143" s="47">
        <f t="shared" si="22"/>
        <v>6</v>
      </c>
      <c r="E143" s="47">
        <f t="shared" si="22"/>
        <v>1</v>
      </c>
      <c r="F143" s="47">
        <f t="shared" si="22"/>
        <v>1</v>
      </c>
      <c r="G143" s="47">
        <f t="shared" si="22"/>
        <v>0</v>
      </c>
      <c r="H143" s="47">
        <f t="shared" si="22"/>
        <v>11</v>
      </c>
      <c r="I143" s="47">
        <f t="shared" si="22"/>
        <v>5</v>
      </c>
      <c r="J143" s="47">
        <f t="shared" si="22"/>
        <v>6</v>
      </c>
      <c r="K143" s="188" t="s">
        <v>59</v>
      </c>
      <c r="L143" s="133"/>
    </row>
    <row r="144" spans="2:12" ht="16.5" customHeight="1" thickBot="1" x14ac:dyDescent="0.25">
      <c r="B144" s="47">
        <f t="shared" ref="B144:I144" si="23">SUM(B141:B143)</f>
        <v>2030</v>
      </c>
      <c r="C144" s="47">
        <f t="shared" si="23"/>
        <v>835</v>
      </c>
      <c r="D144" s="47">
        <f t="shared" si="23"/>
        <v>1195</v>
      </c>
      <c r="E144" s="47">
        <f t="shared" si="23"/>
        <v>393</v>
      </c>
      <c r="F144" s="47">
        <f t="shared" si="23"/>
        <v>56</v>
      </c>
      <c r="G144" s="47">
        <f t="shared" si="23"/>
        <v>337</v>
      </c>
      <c r="H144" s="47">
        <f t="shared" si="23"/>
        <v>1637</v>
      </c>
      <c r="I144" s="47">
        <f t="shared" si="23"/>
        <v>779</v>
      </c>
      <c r="J144" s="47">
        <f>SUM(J141:J143)</f>
        <v>858</v>
      </c>
      <c r="K144" s="500" t="s">
        <v>245</v>
      </c>
      <c r="L144" s="500"/>
    </row>
    <row r="145" spans="2:12" ht="16.5" customHeight="1" thickBot="1" x14ac:dyDescent="0.25">
      <c r="B145" s="476" t="s">
        <v>4</v>
      </c>
      <c r="C145" s="476"/>
      <c r="D145" s="476"/>
      <c r="E145" s="476" t="s">
        <v>145</v>
      </c>
      <c r="F145" s="476"/>
      <c r="G145" s="476"/>
      <c r="H145" s="476" t="s">
        <v>146</v>
      </c>
      <c r="I145" s="476"/>
      <c r="J145" s="476"/>
      <c r="K145" s="479" t="s">
        <v>66</v>
      </c>
      <c r="L145" s="479"/>
    </row>
    <row r="146" spans="2:12" ht="16.5" customHeight="1" thickBot="1" x14ac:dyDescent="0.25">
      <c r="B146" s="185" t="s">
        <v>227</v>
      </c>
      <c r="C146" s="185" t="s">
        <v>10</v>
      </c>
      <c r="D146" s="185" t="s">
        <v>9</v>
      </c>
      <c r="E146" s="185" t="s">
        <v>227</v>
      </c>
      <c r="F146" s="185" t="s">
        <v>10</v>
      </c>
      <c r="G146" s="185" t="s">
        <v>9</v>
      </c>
      <c r="H146" s="185" t="s">
        <v>227</v>
      </c>
      <c r="I146" s="185" t="s">
        <v>10</v>
      </c>
      <c r="J146" s="185" t="s">
        <v>9</v>
      </c>
      <c r="K146" s="480" t="s">
        <v>73</v>
      </c>
      <c r="L146" s="480"/>
    </row>
    <row r="147" spans="2:12" ht="16.5" customHeight="1" thickBot="1" x14ac:dyDescent="0.25">
      <c r="B147" s="47">
        <f>D147+C147</f>
        <v>0</v>
      </c>
      <c r="C147" s="47">
        <f>I147+F147</f>
        <v>0</v>
      </c>
      <c r="D147" s="47">
        <f>J147+G147</f>
        <v>0</v>
      </c>
      <c r="E147" s="47">
        <f>G147+F147</f>
        <v>0</v>
      </c>
      <c r="F147" s="47">
        <v>0</v>
      </c>
      <c r="G147" s="47">
        <v>0</v>
      </c>
      <c r="H147" s="47">
        <f>J147+I147</f>
        <v>0</v>
      </c>
      <c r="I147" s="47">
        <v>0</v>
      </c>
      <c r="J147" s="47">
        <v>0</v>
      </c>
      <c r="K147" s="188" t="s">
        <v>56</v>
      </c>
      <c r="L147" s="134"/>
    </row>
    <row r="148" spans="2:12" ht="16.5" customHeight="1" thickBot="1" x14ac:dyDescent="0.25">
      <c r="B148" s="47">
        <f t="shared" ref="B148:B191" si="24">D148+C148</f>
        <v>122</v>
      </c>
      <c r="C148" s="47">
        <f t="shared" ref="C148:D182" si="25">I148+F148</f>
        <v>68</v>
      </c>
      <c r="D148" s="47">
        <f t="shared" si="25"/>
        <v>54</v>
      </c>
      <c r="E148" s="47">
        <f t="shared" ref="E148:E191" si="26">G148+F148</f>
        <v>10</v>
      </c>
      <c r="F148" s="47">
        <v>5</v>
      </c>
      <c r="G148" s="47">
        <v>5</v>
      </c>
      <c r="H148" s="47">
        <f t="shared" ref="H148:H191" si="27">J148+I148</f>
        <v>112</v>
      </c>
      <c r="I148" s="47">
        <v>63</v>
      </c>
      <c r="J148" s="47">
        <v>49</v>
      </c>
      <c r="K148" s="188" t="s">
        <v>57</v>
      </c>
      <c r="L148" s="134" t="s">
        <v>402</v>
      </c>
    </row>
    <row r="149" spans="2:12" ht="16.5" customHeight="1" thickBot="1" x14ac:dyDescent="0.25">
      <c r="B149" s="47">
        <f t="shared" si="24"/>
        <v>0</v>
      </c>
      <c r="C149" s="47">
        <f t="shared" si="25"/>
        <v>0</v>
      </c>
      <c r="D149" s="47">
        <f t="shared" si="25"/>
        <v>0</v>
      </c>
      <c r="E149" s="47">
        <f t="shared" si="26"/>
        <v>0</v>
      </c>
      <c r="F149" s="47">
        <v>0</v>
      </c>
      <c r="G149" s="47">
        <v>0</v>
      </c>
      <c r="H149" s="47">
        <f t="shared" si="27"/>
        <v>0</v>
      </c>
      <c r="I149" s="47">
        <v>0</v>
      </c>
      <c r="J149" s="47">
        <v>0</v>
      </c>
      <c r="K149" s="188" t="s">
        <v>59</v>
      </c>
      <c r="L149" s="135"/>
    </row>
    <row r="150" spans="2:12" ht="16.5" customHeight="1" thickBot="1" x14ac:dyDescent="0.25">
      <c r="B150" s="47">
        <f t="shared" si="24"/>
        <v>5</v>
      </c>
      <c r="C150" s="47">
        <f t="shared" si="25"/>
        <v>1</v>
      </c>
      <c r="D150" s="47">
        <f t="shared" si="25"/>
        <v>4</v>
      </c>
      <c r="E150" s="47">
        <f t="shared" si="26"/>
        <v>0</v>
      </c>
      <c r="F150" s="47">
        <v>0</v>
      </c>
      <c r="G150" s="47">
        <v>0</v>
      </c>
      <c r="H150" s="47">
        <f t="shared" si="27"/>
        <v>5</v>
      </c>
      <c r="I150" s="47">
        <v>1</v>
      </c>
      <c r="J150" s="47">
        <v>4</v>
      </c>
      <c r="K150" s="188" t="s">
        <v>56</v>
      </c>
      <c r="L150" s="134"/>
    </row>
    <row r="151" spans="2:12" ht="16.5" customHeight="1" thickBot="1" x14ac:dyDescent="0.25">
      <c r="B151" s="47">
        <f t="shared" si="24"/>
        <v>49</v>
      </c>
      <c r="C151" s="47">
        <f t="shared" si="25"/>
        <v>22</v>
      </c>
      <c r="D151" s="47">
        <f t="shared" si="25"/>
        <v>27</v>
      </c>
      <c r="E151" s="47">
        <f t="shared" si="26"/>
        <v>3</v>
      </c>
      <c r="F151" s="47">
        <v>1</v>
      </c>
      <c r="G151" s="47">
        <v>2</v>
      </c>
      <c r="H151" s="47">
        <f t="shared" si="27"/>
        <v>46</v>
      </c>
      <c r="I151" s="47">
        <v>21</v>
      </c>
      <c r="J151" s="47">
        <v>25</v>
      </c>
      <c r="K151" s="188" t="s">
        <v>57</v>
      </c>
      <c r="L151" s="134" t="s">
        <v>403</v>
      </c>
    </row>
    <row r="152" spans="2:12" ht="16.5" customHeight="1" thickBot="1" x14ac:dyDescent="0.25">
      <c r="B152" s="47">
        <f t="shared" si="24"/>
        <v>0</v>
      </c>
      <c r="C152" s="47">
        <f t="shared" si="25"/>
        <v>0</v>
      </c>
      <c r="D152" s="47">
        <f t="shared" si="25"/>
        <v>0</v>
      </c>
      <c r="E152" s="47">
        <f t="shared" si="26"/>
        <v>0</v>
      </c>
      <c r="F152" s="47">
        <v>0</v>
      </c>
      <c r="G152" s="47">
        <v>0</v>
      </c>
      <c r="H152" s="47">
        <f t="shared" si="27"/>
        <v>0</v>
      </c>
      <c r="I152" s="47">
        <v>0</v>
      </c>
      <c r="J152" s="47">
        <v>0</v>
      </c>
      <c r="K152" s="188" t="s">
        <v>59</v>
      </c>
      <c r="L152" s="135"/>
    </row>
    <row r="153" spans="2:12" ht="16.5" customHeight="1" thickBot="1" x14ac:dyDescent="0.25">
      <c r="B153" s="47">
        <f t="shared" si="24"/>
        <v>5</v>
      </c>
      <c r="C153" s="47">
        <f t="shared" si="25"/>
        <v>3</v>
      </c>
      <c r="D153" s="47">
        <f t="shared" si="25"/>
        <v>2</v>
      </c>
      <c r="E153" s="47">
        <f t="shared" si="26"/>
        <v>1</v>
      </c>
      <c r="F153" s="47">
        <v>0</v>
      </c>
      <c r="G153" s="47">
        <v>1</v>
      </c>
      <c r="H153" s="47">
        <f t="shared" si="27"/>
        <v>4</v>
      </c>
      <c r="I153" s="47">
        <v>3</v>
      </c>
      <c r="J153" s="47">
        <v>1</v>
      </c>
      <c r="K153" s="188" t="s">
        <v>56</v>
      </c>
      <c r="L153" s="134"/>
    </row>
    <row r="154" spans="2:12" ht="16.5" customHeight="1" thickBot="1" x14ac:dyDescent="0.25">
      <c r="B154" s="47">
        <f t="shared" si="24"/>
        <v>95</v>
      </c>
      <c r="C154" s="47">
        <f t="shared" si="25"/>
        <v>82</v>
      </c>
      <c r="D154" s="47">
        <f t="shared" si="25"/>
        <v>13</v>
      </c>
      <c r="E154" s="47">
        <f t="shared" si="26"/>
        <v>15</v>
      </c>
      <c r="F154" s="47">
        <v>13</v>
      </c>
      <c r="G154" s="47">
        <v>2</v>
      </c>
      <c r="H154" s="47">
        <f t="shared" si="27"/>
        <v>80</v>
      </c>
      <c r="I154" s="47">
        <v>69</v>
      </c>
      <c r="J154" s="47">
        <v>11</v>
      </c>
      <c r="K154" s="188" t="s">
        <v>57</v>
      </c>
      <c r="L154" s="134" t="s">
        <v>367</v>
      </c>
    </row>
    <row r="155" spans="2:12" ht="16.5" customHeight="1" thickBot="1" x14ac:dyDescent="0.25">
      <c r="B155" s="47">
        <f t="shared" si="24"/>
        <v>0</v>
      </c>
      <c r="C155" s="47">
        <f t="shared" si="25"/>
        <v>0</v>
      </c>
      <c r="D155" s="47">
        <f t="shared" si="25"/>
        <v>0</v>
      </c>
      <c r="E155" s="47">
        <f t="shared" si="26"/>
        <v>0</v>
      </c>
      <c r="F155" s="47">
        <v>0</v>
      </c>
      <c r="G155" s="47">
        <v>0</v>
      </c>
      <c r="H155" s="47">
        <f t="shared" si="27"/>
        <v>0</v>
      </c>
      <c r="I155" s="47">
        <v>0</v>
      </c>
      <c r="J155" s="47">
        <v>0</v>
      </c>
      <c r="K155" s="188" t="s">
        <v>59</v>
      </c>
      <c r="L155" s="135"/>
    </row>
    <row r="156" spans="2:12" ht="16.5" customHeight="1" thickBot="1" x14ac:dyDescent="0.25">
      <c r="B156" s="47">
        <f t="shared" si="24"/>
        <v>0</v>
      </c>
      <c r="C156" s="47">
        <f t="shared" si="25"/>
        <v>0</v>
      </c>
      <c r="D156" s="47">
        <f t="shared" si="25"/>
        <v>0</v>
      </c>
      <c r="E156" s="47">
        <f t="shared" si="26"/>
        <v>0</v>
      </c>
      <c r="F156" s="47">
        <v>0</v>
      </c>
      <c r="G156" s="47">
        <v>0</v>
      </c>
      <c r="H156" s="47">
        <f t="shared" si="27"/>
        <v>0</v>
      </c>
      <c r="I156" s="47">
        <v>0</v>
      </c>
      <c r="J156" s="47">
        <v>0</v>
      </c>
      <c r="K156" s="188" t="s">
        <v>56</v>
      </c>
      <c r="L156" s="134"/>
    </row>
    <row r="157" spans="2:12" ht="16.5" customHeight="1" thickBot="1" x14ac:dyDescent="0.25">
      <c r="B157" s="47">
        <f t="shared" si="24"/>
        <v>12</v>
      </c>
      <c r="C157" s="47">
        <f t="shared" si="25"/>
        <v>9</v>
      </c>
      <c r="D157" s="47">
        <f t="shared" si="25"/>
        <v>3</v>
      </c>
      <c r="E157" s="47">
        <f t="shared" si="26"/>
        <v>2</v>
      </c>
      <c r="F157" s="47">
        <v>1</v>
      </c>
      <c r="G157" s="47">
        <v>1</v>
      </c>
      <c r="H157" s="47">
        <f t="shared" si="27"/>
        <v>10</v>
      </c>
      <c r="I157" s="47">
        <v>8</v>
      </c>
      <c r="J157" s="47">
        <v>2</v>
      </c>
      <c r="K157" s="188" t="s">
        <v>57</v>
      </c>
      <c r="L157" s="134" t="s">
        <v>587</v>
      </c>
    </row>
    <row r="158" spans="2:12" ht="16.5" customHeight="1" thickBot="1" x14ac:dyDescent="0.25">
      <c r="B158" s="47">
        <f t="shared" si="24"/>
        <v>0</v>
      </c>
      <c r="C158" s="47">
        <f t="shared" si="25"/>
        <v>0</v>
      </c>
      <c r="D158" s="47">
        <f t="shared" si="25"/>
        <v>0</v>
      </c>
      <c r="E158" s="47">
        <f t="shared" si="26"/>
        <v>0</v>
      </c>
      <c r="F158" s="47">
        <v>0</v>
      </c>
      <c r="G158" s="47">
        <v>0</v>
      </c>
      <c r="H158" s="47">
        <f t="shared" si="27"/>
        <v>0</v>
      </c>
      <c r="I158" s="47">
        <v>0</v>
      </c>
      <c r="J158" s="47">
        <v>0</v>
      </c>
      <c r="K158" s="188" t="s">
        <v>59</v>
      </c>
      <c r="L158" s="135"/>
    </row>
    <row r="159" spans="2:12" ht="16.5" customHeight="1" thickBot="1" x14ac:dyDescent="0.25">
      <c r="B159" s="47">
        <f t="shared" si="24"/>
        <v>1</v>
      </c>
      <c r="C159" s="47">
        <f t="shared" si="25"/>
        <v>0</v>
      </c>
      <c r="D159" s="47">
        <f t="shared" si="25"/>
        <v>1</v>
      </c>
      <c r="E159" s="47">
        <f t="shared" si="26"/>
        <v>0</v>
      </c>
      <c r="F159" s="47">
        <v>0</v>
      </c>
      <c r="G159" s="47">
        <v>0</v>
      </c>
      <c r="H159" s="47">
        <f t="shared" si="27"/>
        <v>1</v>
      </c>
      <c r="I159" s="47">
        <v>0</v>
      </c>
      <c r="J159" s="47">
        <v>1</v>
      </c>
      <c r="K159" s="188" t="s">
        <v>56</v>
      </c>
      <c r="L159" s="134"/>
    </row>
    <row r="160" spans="2:12" ht="16.5" customHeight="1" thickBot="1" x14ac:dyDescent="0.25">
      <c r="B160" s="47">
        <f t="shared" si="24"/>
        <v>47</v>
      </c>
      <c r="C160" s="47">
        <f t="shared" si="25"/>
        <v>0</v>
      </c>
      <c r="D160" s="47">
        <f t="shared" si="25"/>
        <v>47</v>
      </c>
      <c r="E160" s="47">
        <f t="shared" si="26"/>
        <v>9</v>
      </c>
      <c r="F160" s="47">
        <v>0</v>
      </c>
      <c r="G160" s="47">
        <v>9</v>
      </c>
      <c r="H160" s="47">
        <f t="shared" si="27"/>
        <v>38</v>
      </c>
      <c r="I160" s="47">
        <v>0</v>
      </c>
      <c r="J160" s="47">
        <v>38</v>
      </c>
      <c r="K160" s="188" t="s">
        <v>57</v>
      </c>
      <c r="L160" s="134" t="s">
        <v>588</v>
      </c>
    </row>
    <row r="161" spans="2:12" ht="16.5" customHeight="1" thickBot="1" x14ac:dyDescent="0.25">
      <c r="B161" s="47">
        <f t="shared" si="24"/>
        <v>0</v>
      </c>
      <c r="C161" s="47">
        <f t="shared" si="25"/>
        <v>0</v>
      </c>
      <c r="D161" s="47">
        <f t="shared" si="25"/>
        <v>0</v>
      </c>
      <c r="E161" s="47">
        <f t="shared" si="26"/>
        <v>0</v>
      </c>
      <c r="F161" s="47">
        <v>0</v>
      </c>
      <c r="G161" s="47">
        <v>0</v>
      </c>
      <c r="H161" s="47">
        <f t="shared" si="27"/>
        <v>0</v>
      </c>
      <c r="I161" s="47">
        <v>0</v>
      </c>
      <c r="J161" s="47">
        <v>0</v>
      </c>
      <c r="K161" s="188" t="s">
        <v>59</v>
      </c>
      <c r="L161" s="135"/>
    </row>
    <row r="162" spans="2:12" ht="16.5" customHeight="1" thickBot="1" x14ac:dyDescent="0.25">
      <c r="B162" s="47">
        <f t="shared" si="24"/>
        <v>0</v>
      </c>
      <c r="C162" s="47">
        <f t="shared" si="25"/>
        <v>0</v>
      </c>
      <c r="D162" s="47">
        <f t="shared" si="25"/>
        <v>0</v>
      </c>
      <c r="E162" s="47">
        <f t="shared" si="26"/>
        <v>0</v>
      </c>
      <c r="F162" s="47">
        <v>0</v>
      </c>
      <c r="G162" s="47">
        <v>0</v>
      </c>
      <c r="H162" s="47">
        <f t="shared" si="27"/>
        <v>0</v>
      </c>
      <c r="I162" s="47">
        <v>0</v>
      </c>
      <c r="J162" s="47">
        <v>0</v>
      </c>
      <c r="K162" s="188" t="s">
        <v>56</v>
      </c>
      <c r="L162" s="134"/>
    </row>
    <row r="163" spans="2:12" ht="16.5" customHeight="1" thickBot="1" x14ac:dyDescent="0.25">
      <c r="B163" s="47">
        <f t="shared" si="24"/>
        <v>2</v>
      </c>
      <c r="C163" s="47">
        <f t="shared" si="25"/>
        <v>0</v>
      </c>
      <c r="D163" s="47">
        <f t="shared" si="25"/>
        <v>2</v>
      </c>
      <c r="E163" s="47">
        <f t="shared" si="26"/>
        <v>0</v>
      </c>
      <c r="F163" s="47">
        <v>0</v>
      </c>
      <c r="G163" s="47">
        <v>0</v>
      </c>
      <c r="H163" s="47">
        <f t="shared" si="27"/>
        <v>2</v>
      </c>
      <c r="I163" s="47">
        <v>0</v>
      </c>
      <c r="J163" s="47">
        <v>2</v>
      </c>
      <c r="K163" s="188" t="s">
        <v>57</v>
      </c>
      <c r="L163" s="134" t="s">
        <v>405</v>
      </c>
    </row>
    <row r="164" spans="2:12" ht="16.5" customHeight="1" thickBot="1" x14ac:dyDescent="0.25">
      <c r="B164" s="47">
        <f t="shared" si="24"/>
        <v>0</v>
      </c>
      <c r="C164" s="47">
        <f t="shared" si="25"/>
        <v>0</v>
      </c>
      <c r="D164" s="47">
        <f t="shared" si="25"/>
        <v>0</v>
      </c>
      <c r="E164" s="47">
        <f t="shared" si="26"/>
        <v>0</v>
      </c>
      <c r="F164" s="47">
        <v>0</v>
      </c>
      <c r="G164" s="47">
        <v>0</v>
      </c>
      <c r="H164" s="47">
        <f t="shared" si="27"/>
        <v>0</v>
      </c>
      <c r="I164" s="47">
        <v>0</v>
      </c>
      <c r="J164" s="47">
        <v>0</v>
      </c>
      <c r="K164" s="188" t="s">
        <v>59</v>
      </c>
      <c r="L164" s="135"/>
    </row>
    <row r="165" spans="2:12" ht="16.5" customHeight="1" thickBot="1" x14ac:dyDescent="0.25">
      <c r="B165" s="47">
        <f t="shared" si="24"/>
        <v>0</v>
      </c>
      <c r="C165" s="47">
        <f t="shared" si="25"/>
        <v>0</v>
      </c>
      <c r="D165" s="47">
        <f t="shared" si="25"/>
        <v>0</v>
      </c>
      <c r="E165" s="47">
        <f t="shared" si="26"/>
        <v>0</v>
      </c>
      <c r="F165" s="47">
        <v>0</v>
      </c>
      <c r="G165" s="47">
        <v>0</v>
      </c>
      <c r="H165" s="47">
        <f t="shared" si="27"/>
        <v>0</v>
      </c>
      <c r="I165" s="47">
        <v>0</v>
      </c>
      <c r="J165" s="47">
        <v>0</v>
      </c>
      <c r="K165" s="188" t="s">
        <v>56</v>
      </c>
      <c r="L165" s="134"/>
    </row>
    <row r="166" spans="2:12" ht="16.5" customHeight="1" thickBot="1" x14ac:dyDescent="0.25">
      <c r="B166" s="47">
        <f t="shared" si="24"/>
        <v>5</v>
      </c>
      <c r="C166" s="47">
        <f t="shared" si="25"/>
        <v>5</v>
      </c>
      <c r="D166" s="47">
        <f t="shared" si="25"/>
        <v>0</v>
      </c>
      <c r="E166" s="47">
        <f t="shared" si="26"/>
        <v>2</v>
      </c>
      <c r="F166" s="47">
        <v>2</v>
      </c>
      <c r="G166" s="47">
        <v>0</v>
      </c>
      <c r="H166" s="47">
        <f t="shared" si="27"/>
        <v>3</v>
      </c>
      <c r="I166" s="47">
        <v>3</v>
      </c>
      <c r="J166" s="47">
        <v>0</v>
      </c>
      <c r="K166" s="188" t="s">
        <v>57</v>
      </c>
      <c r="L166" s="134" t="s">
        <v>417</v>
      </c>
    </row>
    <row r="167" spans="2:12" ht="16.5" customHeight="1" thickBot="1" x14ac:dyDescent="0.25">
      <c r="B167" s="47">
        <f t="shared" si="24"/>
        <v>0</v>
      </c>
      <c r="C167" s="47">
        <f t="shared" si="25"/>
        <v>0</v>
      </c>
      <c r="D167" s="47">
        <f t="shared" si="25"/>
        <v>0</v>
      </c>
      <c r="E167" s="47">
        <f t="shared" si="26"/>
        <v>0</v>
      </c>
      <c r="F167" s="47">
        <v>0</v>
      </c>
      <c r="G167" s="47">
        <v>0</v>
      </c>
      <c r="H167" s="47">
        <f t="shared" si="27"/>
        <v>0</v>
      </c>
      <c r="I167" s="47">
        <v>0</v>
      </c>
      <c r="J167" s="47">
        <v>0</v>
      </c>
      <c r="K167" s="188" t="s">
        <v>59</v>
      </c>
      <c r="L167" s="135"/>
    </row>
    <row r="168" spans="2:12" ht="16.5" customHeight="1" thickBot="1" x14ac:dyDescent="0.25">
      <c r="B168" s="47">
        <f t="shared" si="24"/>
        <v>0</v>
      </c>
      <c r="C168" s="47">
        <f t="shared" si="25"/>
        <v>0</v>
      </c>
      <c r="D168" s="47">
        <f t="shared" si="25"/>
        <v>0</v>
      </c>
      <c r="E168" s="47">
        <f t="shared" si="26"/>
        <v>0</v>
      </c>
      <c r="F168" s="47">
        <v>0</v>
      </c>
      <c r="G168" s="47">
        <v>0</v>
      </c>
      <c r="H168" s="47">
        <f t="shared" si="27"/>
        <v>0</v>
      </c>
      <c r="I168" s="47">
        <v>0</v>
      </c>
      <c r="J168" s="47">
        <v>0</v>
      </c>
      <c r="K168" s="188" t="s">
        <v>56</v>
      </c>
      <c r="L168" s="134"/>
    </row>
    <row r="169" spans="2:12" ht="16.5" customHeight="1" thickBot="1" x14ac:dyDescent="0.25">
      <c r="B169" s="47">
        <f t="shared" si="24"/>
        <v>3</v>
      </c>
      <c r="C169" s="47">
        <f t="shared" si="25"/>
        <v>3</v>
      </c>
      <c r="D169" s="47">
        <f t="shared" si="25"/>
        <v>0</v>
      </c>
      <c r="E169" s="47">
        <f t="shared" si="26"/>
        <v>1</v>
      </c>
      <c r="F169" s="47">
        <v>1</v>
      </c>
      <c r="G169" s="47">
        <v>0</v>
      </c>
      <c r="H169" s="47">
        <f t="shared" si="27"/>
        <v>2</v>
      </c>
      <c r="I169" s="47">
        <v>2</v>
      </c>
      <c r="J169" s="47">
        <v>0</v>
      </c>
      <c r="K169" s="188" t="s">
        <v>57</v>
      </c>
      <c r="L169" s="134" t="s">
        <v>406</v>
      </c>
    </row>
    <row r="170" spans="2:12" ht="16.5" customHeight="1" thickBot="1" x14ac:dyDescent="0.25">
      <c r="B170" s="47">
        <f t="shared" si="24"/>
        <v>0</v>
      </c>
      <c r="C170" s="47">
        <f t="shared" si="25"/>
        <v>0</v>
      </c>
      <c r="D170" s="47">
        <f t="shared" si="25"/>
        <v>0</v>
      </c>
      <c r="E170" s="47">
        <f t="shared" si="26"/>
        <v>0</v>
      </c>
      <c r="F170" s="47">
        <v>0</v>
      </c>
      <c r="G170" s="47">
        <v>0</v>
      </c>
      <c r="H170" s="47">
        <f t="shared" si="27"/>
        <v>0</v>
      </c>
      <c r="I170" s="47">
        <v>0</v>
      </c>
      <c r="J170" s="47">
        <v>0</v>
      </c>
      <c r="K170" s="188" t="s">
        <v>59</v>
      </c>
      <c r="L170" s="135"/>
    </row>
    <row r="171" spans="2:12" ht="16.5" customHeight="1" thickBot="1" x14ac:dyDescent="0.25">
      <c r="B171" s="47">
        <f t="shared" si="24"/>
        <v>1</v>
      </c>
      <c r="C171" s="47">
        <f t="shared" si="25"/>
        <v>0</v>
      </c>
      <c r="D171" s="47">
        <f t="shared" si="25"/>
        <v>1</v>
      </c>
      <c r="E171" s="47">
        <f t="shared" si="26"/>
        <v>0</v>
      </c>
      <c r="F171" s="47">
        <v>0</v>
      </c>
      <c r="G171" s="47">
        <v>0</v>
      </c>
      <c r="H171" s="47">
        <f t="shared" si="27"/>
        <v>1</v>
      </c>
      <c r="I171" s="47">
        <v>0</v>
      </c>
      <c r="J171" s="47">
        <v>1</v>
      </c>
      <c r="K171" s="188" t="s">
        <v>56</v>
      </c>
      <c r="L171" s="134"/>
    </row>
    <row r="172" spans="2:12" ht="16.5" customHeight="1" thickBot="1" x14ac:dyDescent="0.25">
      <c r="B172" s="47">
        <f t="shared" si="24"/>
        <v>4</v>
      </c>
      <c r="C172" s="47">
        <f t="shared" si="25"/>
        <v>0</v>
      </c>
      <c r="D172" s="47">
        <f t="shared" si="25"/>
        <v>4</v>
      </c>
      <c r="E172" s="47">
        <f t="shared" si="26"/>
        <v>1</v>
      </c>
      <c r="F172" s="47">
        <v>0</v>
      </c>
      <c r="G172" s="47">
        <v>1</v>
      </c>
      <c r="H172" s="47">
        <f t="shared" si="27"/>
        <v>3</v>
      </c>
      <c r="I172" s="47">
        <v>0</v>
      </c>
      <c r="J172" s="47">
        <v>3</v>
      </c>
      <c r="K172" s="188" t="s">
        <v>57</v>
      </c>
      <c r="L172" s="134" t="s">
        <v>589</v>
      </c>
    </row>
    <row r="173" spans="2:12" ht="16.5" customHeight="1" thickBot="1" x14ac:dyDescent="0.25">
      <c r="B173" s="47">
        <f t="shared" si="24"/>
        <v>0</v>
      </c>
      <c r="C173" s="47">
        <f t="shared" si="25"/>
        <v>0</v>
      </c>
      <c r="D173" s="47">
        <f t="shared" si="25"/>
        <v>0</v>
      </c>
      <c r="E173" s="47">
        <f t="shared" si="26"/>
        <v>0</v>
      </c>
      <c r="F173" s="47">
        <v>0</v>
      </c>
      <c r="G173" s="47">
        <v>0</v>
      </c>
      <c r="H173" s="47">
        <f t="shared" si="27"/>
        <v>0</v>
      </c>
      <c r="I173" s="47">
        <v>0</v>
      </c>
      <c r="J173" s="47">
        <v>0</v>
      </c>
      <c r="K173" s="188" t="s">
        <v>59</v>
      </c>
      <c r="L173" s="135"/>
    </row>
    <row r="174" spans="2:12" ht="16.5" customHeight="1" thickBot="1" x14ac:dyDescent="0.25">
      <c r="B174" s="47">
        <f t="shared" si="24"/>
        <v>0</v>
      </c>
      <c r="C174" s="47">
        <f t="shared" si="25"/>
        <v>0</v>
      </c>
      <c r="D174" s="47">
        <f t="shared" si="25"/>
        <v>0</v>
      </c>
      <c r="E174" s="47">
        <f t="shared" si="26"/>
        <v>0</v>
      </c>
      <c r="F174" s="47">
        <v>0</v>
      </c>
      <c r="G174" s="47">
        <v>0</v>
      </c>
      <c r="H174" s="47">
        <f t="shared" si="27"/>
        <v>0</v>
      </c>
      <c r="I174" s="47">
        <v>0</v>
      </c>
      <c r="J174" s="47">
        <v>0</v>
      </c>
      <c r="K174" s="188" t="s">
        <v>56</v>
      </c>
      <c r="L174" s="134"/>
    </row>
    <row r="175" spans="2:12" ht="16.5" customHeight="1" thickBot="1" x14ac:dyDescent="0.25">
      <c r="B175" s="47">
        <f t="shared" si="24"/>
        <v>1</v>
      </c>
      <c r="C175" s="47">
        <f t="shared" si="25"/>
        <v>0</v>
      </c>
      <c r="D175" s="47">
        <f t="shared" si="25"/>
        <v>1</v>
      </c>
      <c r="E175" s="47">
        <f t="shared" si="26"/>
        <v>1</v>
      </c>
      <c r="F175" s="47">
        <v>0</v>
      </c>
      <c r="G175" s="47">
        <v>1</v>
      </c>
      <c r="H175" s="47">
        <f t="shared" si="27"/>
        <v>0</v>
      </c>
      <c r="I175" s="47">
        <v>0</v>
      </c>
      <c r="J175" s="47">
        <v>0</v>
      </c>
      <c r="K175" s="188" t="s">
        <v>57</v>
      </c>
      <c r="L175" s="134" t="s">
        <v>590</v>
      </c>
    </row>
    <row r="176" spans="2:12" ht="16.5" customHeight="1" thickBot="1" x14ac:dyDescent="0.25">
      <c r="B176" s="47">
        <f t="shared" si="24"/>
        <v>0</v>
      </c>
      <c r="C176" s="47">
        <f t="shared" si="25"/>
        <v>0</v>
      </c>
      <c r="D176" s="47">
        <f t="shared" si="25"/>
        <v>0</v>
      </c>
      <c r="E176" s="47">
        <f t="shared" si="26"/>
        <v>0</v>
      </c>
      <c r="F176" s="47">
        <v>0</v>
      </c>
      <c r="G176" s="47">
        <v>0</v>
      </c>
      <c r="H176" s="47">
        <f t="shared" si="27"/>
        <v>0</v>
      </c>
      <c r="I176" s="47">
        <v>0</v>
      </c>
      <c r="J176" s="47">
        <v>0</v>
      </c>
      <c r="K176" s="188" t="s">
        <v>59</v>
      </c>
      <c r="L176" s="135"/>
    </row>
    <row r="177" spans="2:12" ht="16.5" customHeight="1" thickBot="1" x14ac:dyDescent="0.25">
      <c r="B177" s="47">
        <f t="shared" si="24"/>
        <v>2</v>
      </c>
      <c r="C177" s="47">
        <f t="shared" si="25"/>
        <v>0</v>
      </c>
      <c r="D177" s="47">
        <f t="shared" si="25"/>
        <v>2</v>
      </c>
      <c r="E177" s="47">
        <f t="shared" si="26"/>
        <v>0</v>
      </c>
      <c r="F177" s="47">
        <v>0</v>
      </c>
      <c r="G177" s="47">
        <v>0</v>
      </c>
      <c r="H177" s="47">
        <f t="shared" si="27"/>
        <v>2</v>
      </c>
      <c r="I177" s="47">
        <v>0</v>
      </c>
      <c r="J177" s="47">
        <v>2</v>
      </c>
      <c r="K177" s="188" t="s">
        <v>56</v>
      </c>
      <c r="L177" s="134"/>
    </row>
    <row r="178" spans="2:12" ht="16.5" customHeight="1" thickBot="1" x14ac:dyDescent="0.25">
      <c r="B178" s="47">
        <f t="shared" si="24"/>
        <v>4</v>
      </c>
      <c r="C178" s="47">
        <f t="shared" si="25"/>
        <v>0</v>
      </c>
      <c r="D178" s="47">
        <f t="shared" si="25"/>
        <v>4</v>
      </c>
      <c r="E178" s="47">
        <f t="shared" si="26"/>
        <v>0</v>
      </c>
      <c r="F178" s="47">
        <v>0</v>
      </c>
      <c r="G178" s="47">
        <v>0</v>
      </c>
      <c r="H178" s="47">
        <f t="shared" si="27"/>
        <v>4</v>
      </c>
      <c r="I178" s="47">
        <v>0</v>
      </c>
      <c r="J178" s="47">
        <v>4</v>
      </c>
      <c r="K178" s="188" t="s">
        <v>57</v>
      </c>
      <c r="L178" s="134" t="s">
        <v>407</v>
      </c>
    </row>
    <row r="179" spans="2:12" ht="16.5" customHeight="1" thickBot="1" x14ac:dyDescent="0.25">
      <c r="B179" s="47">
        <f t="shared" si="24"/>
        <v>0</v>
      </c>
      <c r="C179" s="47">
        <f t="shared" si="25"/>
        <v>0</v>
      </c>
      <c r="D179" s="47">
        <f t="shared" si="25"/>
        <v>0</v>
      </c>
      <c r="E179" s="47">
        <f t="shared" si="26"/>
        <v>0</v>
      </c>
      <c r="F179" s="47">
        <v>0</v>
      </c>
      <c r="G179" s="47">
        <v>0</v>
      </c>
      <c r="H179" s="47">
        <f t="shared" si="27"/>
        <v>0</v>
      </c>
      <c r="I179" s="47">
        <v>0</v>
      </c>
      <c r="J179" s="47">
        <v>0</v>
      </c>
      <c r="K179" s="188" t="s">
        <v>59</v>
      </c>
      <c r="L179" s="135"/>
    </row>
    <row r="180" spans="2:12" ht="16.5" customHeight="1" thickBot="1" x14ac:dyDescent="0.25">
      <c r="B180" s="47">
        <f t="shared" si="24"/>
        <v>0</v>
      </c>
      <c r="C180" s="47">
        <f t="shared" si="25"/>
        <v>0</v>
      </c>
      <c r="D180" s="47">
        <f t="shared" si="25"/>
        <v>0</v>
      </c>
      <c r="E180" s="47">
        <f t="shared" si="26"/>
        <v>0</v>
      </c>
      <c r="F180" s="47">
        <v>0</v>
      </c>
      <c r="G180" s="47">
        <v>0</v>
      </c>
      <c r="H180" s="47">
        <f t="shared" si="27"/>
        <v>0</v>
      </c>
      <c r="I180" s="47">
        <v>0</v>
      </c>
      <c r="J180" s="47">
        <v>0</v>
      </c>
      <c r="K180" s="188" t="s">
        <v>56</v>
      </c>
      <c r="L180" s="134"/>
    </row>
    <row r="181" spans="2:12" ht="16.5" customHeight="1" thickBot="1" x14ac:dyDescent="0.25">
      <c r="B181" s="47">
        <f t="shared" si="24"/>
        <v>52</v>
      </c>
      <c r="C181" s="47">
        <f t="shared" si="25"/>
        <v>52</v>
      </c>
      <c r="D181" s="47">
        <f t="shared" si="25"/>
        <v>0</v>
      </c>
      <c r="E181" s="47">
        <f t="shared" si="26"/>
        <v>4</v>
      </c>
      <c r="F181" s="47">
        <v>4</v>
      </c>
      <c r="G181" s="47">
        <v>0</v>
      </c>
      <c r="H181" s="47">
        <f t="shared" si="27"/>
        <v>48</v>
      </c>
      <c r="I181" s="47">
        <v>48</v>
      </c>
      <c r="J181" s="47">
        <v>0</v>
      </c>
      <c r="K181" s="188" t="s">
        <v>57</v>
      </c>
      <c r="L181" s="134" t="s">
        <v>408</v>
      </c>
    </row>
    <row r="182" spans="2:12" ht="16.5" customHeight="1" thickBot="1" x14ac:dyDescent="0.25">
      <c r="B182" s="47">
        <f t="shared" si="24"/>
        <v>0</v>
      </c>
      <c r="C182" s="47">
        <f t="shared" si="25"/>
        <v>0</v>
      </c>
      <c r="D182" s="47">
        <f t="shared" si="25"/>
        <v>0</v>
      </c>
      <c r="E182" s="47">
        <f t="shared" si="26"/>
        <v>0</v>
      </c>
      <c r="F182" s="47">
        <v>0</v>
      </c>
      <c r="G182" s="47">
        <v>0</v>
      </c>
      <c r="H182" s="47">
        <f t="shared" si="27"/>
        <v>0</v>
      </c>
      <c r="I182" s="47">
        <v>0</v>
      </c>
      <c r="J182" s="47">
        <v>0</v>
      </c>
      <c r="K182" s="188" t="s">
        <v>59</v>
      </c>
      <c r="L182" s="135"/>
    </row>
    <row r="183" spans="2:12" ht="16.5" customHeight="1" thickBot="1" x14ac:dyDescent="0.25">
      <c r="B183" s="47">
        <f t="shared" si="24"/>
        <v>0</v>
      </c>
      <c r="C183" s="47">
        <f t="shared" ref="C183:D194" si="28">I183+F183</f>
        <v>0</v>
      </c>
      <c r="D183" s="47">
        <f t="shared" si="28"/>
        <v>0</v>
      </c>
      <c r="E183" s="47">
        <f t="shared" si="26"/>
        <v>0</v>
      </c>
      <c r="F183" s="47">
        <v>0</v>
      </c>
      <c r="G183" s="47">
        <v>0</v>
      </c>
      <c r="H183" s="47">
        <f t="shared" si="27"/>
        <v>0</v>
      </c>
      <c r="I183" s="47">
        <v>0</v>
      </c>
      <c r="J183" s="47">
        <v>0</v>
      </c>
      <c r="K183" s="188" t="s">
        <v>56</v>
      </c>
      <c r="L183" s="134"/>
    </row>
    <row r="184" spans="2:12" ht="16.5" customHeight="1" thickBot="1" x14ac:dyDescent="0.25">
      <c r="B184" s="47">
        <f t="shared" si="24"/>
        <v>0</v>
      </c>
      <c r="C184" s="47">
        <f t="shared" si="28"/>
        <v>0</v>
      </c>
      <c r="D184" s="47">
        <f t="shared" si="28"/>
        <v>0</v>
      </c>
      <c r="E184" s="47">
        <f t="shared" si="26"/>
        <v>0</v>
      </c>
      <c r="F184" s="47">
        <v>0</v>
      </c>
      <c r="G184" s="47">
        <v>0</v>
      </c>
      <c r="H184" s="47">
        <f t="shared" si="27"/>
        <v>0</v>
      </c>
      <c r="I184" s="47">
        <v>0</v>
      </c>
      <c r="J184" s="47">
        <v>0</v>
      </c>
      <c r="K184" s="188" t="s">
        <v>57</v>
      </c>
      <c r="L184" s="134" t="s">
        <v>591</v>
      </c>
    </row>
    <row r="185" spans="2:12" ht="16.5" customHeight="1" thickBot="1" x14ac:dyDescent="0.25">
      <c r="B185" s="47">
        <f t="shared" si="24"/>
        <v>259</v>
      </c>
      <c r="C185" s="47">
        <f t="shared" si="28"/>
        <v>120</v>
      </c>
      <c r="D185" s="47">
        <f t="shared" si="28"/>
        <v>139</v>
      </c>
      <c r="E185" s="47">
        <f t="shared" si="26"/>
        <v>2</v>
      </c>
      <c r="F185" s="47">
        <v>2</v>
      </c>
      <c r="G185" s="47">
        <v>0</v>
      </c>
      <c r="H185" s="47">
        <f t="shared" si="27"/>
        <v>257</v>
      </c>
      <c r="I185" s="47">
        <v>118</v>
      </c>
      <c r="J185" s="47">
        <v>139</v>
      </c>
      <c r="K185" s="188" t="s">
        <v>59</v>
      </c>
      <c r="L185" s="135"/>
    </row>
    <row r="186" spans="2:12" ht="16.5" customHeight="1" thickBot="1" x14ac:dyDescent="0.25">
      <c r="B186" s="47">
        <f t="shared" si="24"/>
        <v>0</v>
      </c>
      <c r="C186" s="47">
        <f t="shared" si="28"/>
        <v>0</v>
      </c>
      <c r="D186" s="47">
        <f t="shared" si="28"/>
        <v>0</v>
      </c>
      <c r="E186" s="47">
        <f t="shared" si="26"/>
        <v>0</v>
      </c>
      <c r="F186" s="47">
        <v>0</v>
      </c>
      <c r="G186" s="47">
        <v>0</v>
      </c>
      <c r="H186" s="47">
        <f t="shared" si="27"/>
        <v>0</v>
      </c>
      <c r="I186" s="47">
        <v>0</v>
      </c>
      <c r="J186" s="47">
        <v>0</v>
      </c>
      <c r="K186" s="188" t="s">
        <v>56</v>
      </c>
      <c r="L186" s="134"/>
    </row>
    <row r="187" spans="2:12" ht="16.5" customHeight="1" thickBot="1" x14ac:dyDescent="0.25">
      <c r="B187" s="47">
        <f t="shared" si="24"/>
        <v>193</v>
      </c>
      <c r="C187" s="47">
        <f t="shared" si="28"/>
        <v>28</v>
      </c>
      <c r="D187" s="47">
        <f t="shared" si="28"/>
        <v>165</v>
      </c>
      <c r="E187" s="47">
        <f t="shared" si="26"/>
        <v>4</v>
      </c>
      <c r="F187" s="47">
        <v>3</v>
      </c>
      <c r="G187" s="47">
        <v>1</v>
      </c>
      <c r="H187" s="47">
        <f t="shared" si="27"/>
        <v>189</v>
      </c>
      <c r="I187" s="47">
        <v>25</v>
      </c>
      <c r="J187" s="47">
        <v>164</v>
      </c>
      <c r="K187" s="188" t="s">
        <v>57</v>
      </c>
      <c r="L187" s="134" t="s">
        <v>592</v>
      </c>
    </row>
    <row r="188" spans="2:12" ht="16.5" customHeight="1" thickBot="1" x14ac:dyDescent="0.25">
      <c r="B188" s="47">
        <f t="shared" si="24"/>
        <v>0</v>
      </c>
      <c r="C188" s="47">
        <f t="shared" si="28"/>
        <v>0</v>
      </c>
      <c r="D188" s="47">
        <f t="shared" si="28"/>
        <v>0</v>
      </c>
      <c r="E188" s="47">
        <f t="shared" si="26"/>
        <v>0</v>
      </c>
      <c r="F188" s="47">
        <v>0</v>
      </c>
      <c r="G188" s="47">
        <v>0</v>
      </c>
      <c r="H188" s="47">
        <f t="shared" si="27"/>
        <v>0</v>
      </c>
      <c r="I188" s="47">
        <v>0</v>
      </c>
      <c r="J188" s="47">
        <v>0</v>
      </c>
      <c r="K188" s="188" t="s">
        <v>59</v>
      </c>
      <c r="L188" s="135"/>
    </row>
    <row r="189" spans="2:12" ht="16.5" customHeight="1" thickBot="1" x14ac:dyDescent="0.25">
      <c r="B189" s="47">
        <f t="shared" si="24"/>
        <v>0</v>
      </c>
      <c r="C189" s="47">
        <f t="shared" si="28"/>
        <v>0</v>
      </c>
      <c r="D189" s="47">
        <f t="shared" si="28"/>
        <v>0</v>
      </c>
      <c r="E189" s="47">
        <f t="shared" si="26"/>
        <v>0</v>
      </c>
      <c r="F189" s="47">
        <v>0</v>
      </c>
      <c r="G189" s="47">
        <v>0</v>
      </c>
      <c r="H189" s="47">
        <f t="shared" si="27"/>
        <v>0</v>
      </c>
      <c r="I189" s="47">
        <v>0</v>
      </c>
      <c r="J189" s="47">
        <v>0</v>
      </c>
      <c r="K189" s="188" t="s">
        <v>56</v>
      </c>
      <c r="L189" s="134"/>
    </row>
    <row r="190" spans="2:12" ht="16.5" customHeight="1" thickBot="1" x14ac:dyDescent="0.25">
      <c r="B190" s="47">
        <f t="shared" si="24"/>
        <v>27</v>
      </c>
      <c r="C190" s="47">
        <f t="shared" si="28"/>
        <v>14</v>
      </c>
      <c r="D190" s="47">
        <f t="shared" si="28"/>
        <v>13</v>
      </c>
      <c r="E190" s="47">
        <f t="shared" si="26"/>
        <v>3</v>
      </c>
      <c r="F190" s="47">
        <v>2</v>
      </c>
      <c r="G190" s="47">
        <v>1</v>
      </c>
      <c r="H190" s="47">
        <f t="shared" si="27"/>
        <v>24</v>
      </c>
      <c r="I190" s="47">
        <v>12</v>
      </c>
      <c r="J190" s="47">
        <v>12</v>
      </c>
      <c r="K190" s="188" t="s">
        <v>57</v>
      </c>
      <c r="L190" s="134" t="s">
        <v>593</v>
      </c>
    </row>
    <row r="191" spans="2:12" ht="16.5" customHeight="1" thickBot="1" x14ac:dyDescent="0.25">
      <c r="B191" s="47">
        <f t="shared" si="24"/>
        <v>0</v>
      </c>
      <c r="C191" s="47">
        <f t="shared" si="28"/>
        <v>0</v>
      </c>
      <c r="D191" s="47">
        <f t="shared" si="28"/>
        <v>0</v>
      </c>
      <c r="E191" s="47">
        <f t="shared" si="26"/>
        <v>0</v>
      </c>
      <c r="F191" s="47">
        <v>0</v>
      </c>
      <c r="G191" s="47">
        <v>0</v>
      </c>
      <c r="H191" s="47">
        <f t="shared" si="27"/>
        <v>0</v>
      </c>
      <c r="I191" s="47">
        <v>0</v>
      </c>
      <c r="J191" s="47">
        <v>0</v>
      </c>
      <c r="K191" s="188" t="s">
        <v>59</v>
      </c>
      <c r="L191" s="135"/>
    </row>
    <row r="192" spans="2:12" ht="16.5" customHeight="1" thickBot="1" x14ac:dyDescent="0.25">
      <c r="B192" s="47">
        <f>D192+C192</f>
        <v>0</v>
      </c>
      <c r="C192" s="47">
        <f t="shared" si="28"/>
        <v>0</v>
      </c>
      <c r="D192" s="47">
        <f t="shared" si="28"/>
        <v>0</v>
      </c>
      <c r="E192" s="47">
        <f>G192+F192</f>
        <v>0</v>
      </c>
      <c r="F192" s="47">
        <v>0</v>
      </c>
      <c r="G192" s="47">
        <v>0</v>
      </c>
      <c r="H192" s="47">
        <f>J192+I192</f>
        <v>0</v>
      </c>
      <c r="I192" s="47">
        <v>0</v>
      </c>
      <c r="J192" s="47">
        <v>0</v>
      </c>
      <c r="K192" s="188" t="s">
        <v>56</v>
      </c>
      <c r="L192" s="134"/>
    </row>
    <row r="193" spans="2:12" ht="16.5" customHeight="1" thickBot="1" x14ac:dyDescent="0.25">
      <c r="B193" s="47">
        <f>D193+C193</f>
        <v>0</v>
      </c>
      <c r="C193" s="47">
        <f t="shared" si="28"/>
        <v>0</v>
      </c>
      <c r="D193" s="47">
        <f t="shared" si="28"/>
        <v>0</v>
      </c>
      <c r="E193" s="47">
        <f>G193+F193</f>
        <v>0</v>
      </c>
      <c r="F193" s="47">
        <v>0</v>
      </c>
      <c r="G193" s="47">
        <v>0</v>
      </c>
      <c r="H193" s="47">
        <f>J193+I193</f>
        <v>0</v>
      </c>
      <c r="I193" s="47">
        <v>0</v>
      </c>
      <c r="J193" s="47">
        <v>0</v>
      </c>
      <c r="K193" s="188" t="s">
        <v>57</v>
      </c>
      <c r="L193" s="134" t="s">
        <v>594</v>
      </c>
    </row>
    <row r="194" spans="2:12" ht="16.5" customHeight="1" thickBot="1" x14ac:dyDescent="0.25">
      <c r="B194" s="47">
        <f>D194+C194</f>
        <v>142</v>
      </c>
      <c r="C194" s="47">
        <f t="shared" si="28"/>
        <v>75</v>
      </c>
      <c r="D194" s="47">
        <f t="shared" si="28"/>
        <v>67</v>
      </c>
      <c r="E194" s="47">
        <f>G194+F194</f>
        <v>1</v>
      </c>
      <c r="F194" s="47">
        <v>0</v>
      </c>
      <c r="G194" s="47">
        <v>1</v>
      </c>
      <c r="H194" s="47">
        <f>J194+I194</f>
        <v>141</v>
      </c>
      <c r="I194" s="47">
        <v>75</v>
      </c>
      <c r="J194" s="47">
        <v>66</v>
      </c>
      <c r="K194" s="188" t="s">
        <v>59</v>
      </c>
      <c r="L194" s="134"/>
    </row>
    <row r="195" spans="2:12" ht="16.5" customHeight="1" thickBot="1" x14ac:dyDescent="0.25">
      <c r="B195" s="47">
        <f t="shared" ref="B195:I197" si="29">B147+B150+B153+B156+B159+B162+B165+B168+B171+B174+B177+B180+B183+B186+B189+B192</f>
        <v>14</v>
      </c>
      <c r="C195" s="47">
        <f t="shared" si="29"/>
        <v>4</v>
      </c>
      <c r="D195" s="47">
        <f t="shared" si="29"/>
        <v>10</v>
      </c>
      <c r="E195" s="47">
        <f t="shared" si="29"/>
        <v>1</v>
      </c>
      <c r="F195" s="47">
        <f t="shared" si="29"/>
        <v>0</v>
      </c>
      <c r="G195" s="47">
        <f t="shared" si="29"/>
        <v>1</v>
      </c>
      <c r="H195" s="47">
        <f t="shared" si="29"/>
        <v>13</v>
      </c>
      <c r="I195" s="47">
        <f t="shared" si="29"/>
        <v>4</v>
      </c>
      <c r="J195" s="47">
        <f>J147+J150+J153+J156+J159+J162+J165+J168+J171+J174+J177+J180+J183+J186+J189+J192</f>
        <v>9</v>
      </c>
      <c r="K195" s="188" t="s">
        <v>243</v>
      </c>
      <c r="L195" s="131"/>
    </row>
    <row r="196" spans="2:12" ht="16.5" customHeight="1" thickBot="1" x14ac:dyDescent="0.25">
      <c r="B196" s="47">
        <f t="shared" si="29"/>
        <v>616</v>
      </c>
      <c r="C196" s="47">
        <f t="shared" si="29"/>
        <v>283</v>
      </c>
      <c r="D196" s="47">
        <f t="shared" si="29"/>
        <v>333</v>
      </c>
      <c r="E196" s="47">
        <f t="shared" si="29"/>
        <v>55</v>
      </c>
      <c r="F196" s="47">
        <f t="shared" si="29"/>
        <v>32</v>
      </c>
      <c r="G196" s="47">
        <f t="shared" si="29"/>
        <v>23</v>
      </c>
      <c r="H196" s="47">
        <f t="shared" si="29"/>
        <v>561</v>
      </c>
      <c r="I196" s="47">
        <f t="shared" si="29"/>
        <v>251</v>
      </c>
      <c r="J196" s="47">
        <f>J148+J151+J154+J157+J160+J163+J166+J169+J172+J175+J178+J181+J184+J187+J190+J193</f>
        <v>310</v>
      </c>
      <c r="K196" s="188" t="s">
        <v>57</v>
      </c>
      <c r="L196" s="132" t="s">
        <v>244</v>
      </c>
    </row>
    <row r="197" spans="2:12" ht="16.5" customHeight="1" thickBot="1" x14ac:dyDescent="0.25">
      <c r="B197" s="47">
        <f t="shared" si="29"/>
        <v>401</v>
      </c>
      <c r="C197" s="47">
        <f t="shared" si="29"/>
        <v>195</v>
      </c>
      <c r="D197" s="47">
        <f t="shared" si="29"/>
        <v>206</v>
      </c>
      <c r="E197" s="47">
        <f t="shared" si="29"/>
        <v>3</v>
      </c>
      <c r="F197" s="47">
        <f t="shared" si="29"/>
        <v>2</v>
      </c>
      <c r="G197" s="47">
        <f t="shared" si="29"/>
        <v>1</v>
      </c>
      <c r="H197" s="47">
        <f t="shared" si="29"/>
        <v>398</v>
      </c>
      <c r="I197" s="47">
        <f t="shared" si="29"/>
        <v>193</v>
      </c>
      <c r="J197" s="47">
        <f>J149+J152+J155+J158+J161+J164+J167+J170+J173+J176+J179+J182+J185+J188+J191+J194</f>
        <v>205</v>
      </c>
      <c r="K197" s="188" t="s">
        <v>59</v>
      </c>
      <c r="L197" s="133"/>
    </row>
    <row r="198" spans="2:12" ht="16.5" customHeight="1" thickBot="1" x14ac:dyDescent="0.25">
      <c r="B198" s="47">
        <f t="shared" ref="B198:I198" si="30">SUM(B195:B197)</f>
        <v>1031</v>
      </c>
      <c r="C198" s="47">
        <f t="shared" si="30"/>
        <v>482</v>
      </c>
      <c r="D198" s="47">
        <f t="shared" si="30"/>
        <v>549</v>
      </c>
      <c r="E198" s="47">
        <f t="shared" si="30"/>
        <v>59</v>
      </c>
      <c r="F198" s="47">
        <f t="shared" si="30"/>
        <v>34</v>
      </c>
      <c r="G198" s="47">
        <f t="shared" si="30"/>
        <v>25</v>
      </c>
      <c r="H198" s="47">
        <f t="shared" si="30"/>
        <v>972</v>
      </c>
      <c r="I198" s="47">
        <f t="shared" si="30"/>
        <v>448</v>
      </c>
      <c r="J198" s="47">
        <f>SUM(J195:J197)</f>
        <v>524</v>
      </c>
      <c r="K198" s="500" t="s">
        <v>245</v>
      </c>
      <c r="L198" s="500"/>
    </row>
    <row r="199" spans="2:12" ht="16.5" customHeight="1" thickBot="1" x14ac:dyDescent="0.25">
      <c r="B199" s="476" t="s">
        <v>4</v>
      </c>
      <c r="C199" s="476"/>
      <c r="D199" s="476"/>
      <c r="E199" s="476" t="s">
        <v>145</v>
      </c>
      <c r="F199" s="476"/>
      <c r="G199" s="476"/>
      <c r="H199" s="476" t="s">
        <v>146</v>
      </c>
      <c r="I199" s="476"/>
      <c r="J199" s="476"/>
      <c r="K199" s="479" t="s">
        <v>66</v>
      </c>
      <c r="L199" s="479"/>
    </row>
    <row r="200" spans="2:12" ht="16.5" customHeight="1" thickBot="1" x14ac:dyDescent="0.25">
      <c r="B200" s="185" t="s">
        <v>227</v>
      </c>
      <c r="C200" s="185" t="s">
        <v>10</v>
      </c>
      <c r="D200" s="185" t="s">
        <v>9</v>
      </c>
      <c r="E200" s="185" t="s">
        <v>227</v>
      </c>
      <c r="F200" s="185" t="s">
        <v>10</v>
      </c>
      <c r="G200" s="185" t="s">
        <v>9</v>
      </c>
      <c r="H200" s="185" t="s">
        <v>227</v>
      </c>
      <c r="I200" s="185" t="s">
        <v>10</v>
      </c>
      <c r="J200" s="185" t="s">
        <v>9</v>
      </c>
      <c r="K200" s="480" t="s">
        <v>90</v>
      </c>
      <c r="L200" s="480"/>
    </row>
    <row r="201" spans="2:12" ht="16.5" customHeight="1" thickBot="1" x14ac:dyDescent="0.25">
      <c r="B201" s="47">
        <v>3</v>
      </c>
      <c r="C201" s="47">
        <v>0</v>
      </c>
      <c r="D201" s="47">
        <v>3</v>
      </c>
      <c r="E201" s="47">
        <v>3</v>
      </c>
      <c r="F201" s="47">
        <v>0</v>
      </c>
      <c r="G201" s="47">
        <v>3</v>
      </c>
      <c r="H201" s="47">
        <v>0</v>
      </c>
      <c r="I201" s="47">
        <v>0</v>
      </c>
      <c r="J201" s="47">
        <v>0</v>
      </c>
      <c r="K201" s="188" t="s">
        <v>56</v>
      </c>
      <c r="L201" s="134"/>
    </row>
    <row r="202" spans="2:12" ht="16.5" customHeight="1" thickBot="1" x14ac:dyDescent="0.25">
      <c r="B202" s="47">
        <v>23</v>
      </c>
      <c r="C202" s="47">
        <v>0</v>
      </c>
      <c r="D202" s="47">
        <v>23</v>
      </c>
      <c r="E202" s="47">
        <v>18</v>
      </c>
      <c r="F202" s="47">
        <v>0</v>
      </c>
      <c r="G202" s="47">
        <v>18</v>
      </c>
      <c r="H202" s="47">
        <v>5</v>
      </c>
      <c r="I202" s="47">
        <v>0</v>
      </c>
      <c r="J202" s="47">
        <v>5</v>
      </c>
      <c r="K202" s="188" t="s">
        <v>57</v>
      </c>
      <c r="L202" s="134" t="s">
        <v>420</v>
      </c>
    </row>
    <row r="203" spans="2:12" ht="16.5" customHeight="1" thickBot="1" x14ac:dyDescent="0.25">
      <c r="B203" s="47">
        <v>0</v>
      </c>
      <c r="C203" s="47">
        <v>0</v>
      </c>
      <c r="D203" s="47">
        <v>0</v>
      </c>
      <c r="E203" s="47">
        <v>0</v>
      </c>
      <c r="F203" s="47">
        <v>0</v>
      </c>
      <c r="G203" s="47">
        <v>0</v>
      </c>
      <c r="H203" s="47">
        <v>0</v>
      </c>
      <c r="I203" s="47">
        <v>0</v>
      </c>
      <c r="J203" s="47">
        <v>0</v>
      </c>
      <c r="K203" s="188" t="s">
        <v>59</v>
      </c>
      <c r="L203" s="135"/>
    </row>
    <row r="204" spans="2:12" ht="16.5" customHeight="1" thickBot="1" x14ac:dyDescent="0.25">
      <c r="B204" s="47">
        <v>0</v>
      </c>
      <c r="C204" s="47">
        <v>0</v>
      </c>
      <c r="D204" s="47">
        <v>0</v>
      </c>
      <c r="E204" s="47">
        <v>0</v>
      </c>
      <c r="F204" s="47">
        <v>0</v>
      </c>
      <c r="G204" s="47">
        <v>0</v>
      </c>
      <c r="H204" s="47">
        <v>0</v>
      </c>
      <c r="I204" s="47">
        <v>0</v>
      </c>
      <c r="J204" s="47">
        <v>0</v>
      </c>
      <c r="K204" s="188" t="s">
        <v>56</v>
      </c>
      <c r="L204" s="134"/>
    </row>
    <row r="205" spans="2:12" ht="16.5" customHeight="1" thickBot="1" x14ac:dyDescent="0.25">
      <c r="B205" s="47">
        <v>12</v>
      </c>
      <c r="C205" s="47">
        <v>0</v>
      </c>
      <c r="D205" s="47">
        <v>12</v>
      </c>
      <c r="E205" s="47">
        <v>4</v>
      </c>
      <c r="F205" s="47">
        <v>0</v>
      </c>
      <c r="G205" s="47">
        <v>4</v>
      </c>
      <c r="H205" s="47">
        <v>8</v>
      </c>
      <c r="I205" s="47">
        <v>0</v>
      </c>
      <c r="J205" s="47">
        <v>8</v>
      </c>
      <c r="K205" s="188" t="s">
        <v>57</v>
      </c>
      <c r="L205" s="134" t="s">
        <v>422</v>
      </c>
    </row>
    <row r="206" spans="2:12" ht="16.5" customHeight="1" thickBot="1" x14ac:dyDescent="0.25">
      <c r="B206" s="47">
        <v>0</v>
      </c>
      <c r="C206" s="47">
        <v>0</v>
      </c>
      <c r="D206" s="47">
        <v>0</v>
      </c>
      <c r="E206" s="47">
        <v>0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188" t="s">
        <v>59</v>
      </c>
      <c r="L206" s="135"/>
    </row>
    <row r="207" spans="2:12" ht="16.5" customHeight="1" thickBot="1" x14ac:dyDescent="0.25">
      <c r="B207" s="47">
        <v>2</v>
      </c>
      <c r="C207" s="47">
        <v>0</v>
      </c>
      <c r="D207" s="47">
        <v>2</v>
      </c>
      <c r="E207" s="47">
        <v>2</v>
      </c>
      <c r="F207" s="47">
        <v>0</v>
      </c>
      <c r="G207" s="47">
        <v>2</v>
      </c>
      <c r="H207" s="47">
        <v>0</v>
      </c>
      <c r="I207" s="47">
        <v>0</v>
      </c>
      <c r="J207" s="47">
        <v>0</v>
      </c>
      <c r="K207" s="188" t="s">
        <v>56</v>
      </c>
      <c r="L207" s="134"/>
    </row>
    <row r="208" spans="2:12" ht="16.5" customHeight="1" thickBot="1" x14ac:dyDescent="0.25">
      <c r="B208" s="47">
        <v>22</v>
      </c>
      <c r="C208" s="47">
        <v>0</v>
      </c>
      <c r="D208" s="47">
        <v>22</v>
      </c>
      <c r="E208" s="47">
        <v>21</v>
      </c>
      <c r="F208" s="47">
        <v>0</v>
      </c>
      <c r="G208" s="47">
        <v>21</v>
      </c>
      <c r="H208" s="47">
        <v>1</v>
      </c>
      <c r="I208" s="47">
        <v>0</v>
      </c>
      <c r="J208" s="47">
        <v>1</v>
      </c>
      <c r="K208" s="188" t="s">
        <v>57</v>
      </c>
      <c r="L208" s="134" t="s">
        <v>423</v>
      </c>
    </row>
    <row r="209" spans="2:12" ht="16.5" customHeight="1" thickBot="1" x14ac:dyDescent="0.25">
      <c r="B209" s="47">
        <v>0</v>
      </c>
      <c r="C209" s="47">
        <v>0</v>
      </c>
      <c r="D209" s="47">
        <v>0</v>
      </c>
      <c r="E209" s="47">
        <v>0</v>
      </c>
      <c r="F209" s="47">
        <v>0</v>
      </c>
      <c r="G209" s="47">
        <v>0</v>
      </c>
      <c r="H209" s="47">
        <v>0</v>
      </c>
      <c r="I209" s="47">
        <v>0</v>
      </c>
      <c r="J209" s="47">
        <v>0</v>
      </c>
      <c r="K209" s="188" t="s">
        <v>59</v>
      </c>
      <c r="L209" s="135"/>
    </row>
    <row r="210" spans="2:12" ht="16.5" customHeight="1" thickBot="1" x14ac:dyDescent="0.25">
      <c r="B210" s="47">
        <v>4</v>
      </c>
      <c r="C210" s="47">
        <v>0</v>
      </c>
      <c r="D210" s="47">
        <v>4</v>
      </c>
      <c r="E210" s="47">
        <v>4</v>
      </c>
      <c r="F210" s="47">
        <v>0</v>
      </c>
      <c r="G210" s="47">
        <v>4</v>
      </c>
      <c r="H210" s="47">
        <v>0</v>
      </c>
      <c r="I210" s="47">
        <v>0</v>
      </c>
      <c r="J210" s="47">
        <v>0</v>
      </c>
      <c r="K210" s="188" t="s">
        <v>56</v>
      </c>
      <c r="L210" s="134"/>
    </row>
    <row r="211" spans="2:12" ht="16.5" customHeight="1" thickBot="1" x14ac:dyDescent="0.25">
      <c r="B211" s="47">
        <v>16</v>
      </c>
      <c r="C211" s="47">
        <v>0</v>
      </c>
      <c r="D211" s="47">
        <v>16</v>
      </c>
      <c r="E211" s="47">
        <v>11</v>
      </c>
      <c r="F211" s="47">
        <v>0</v>
      </c>
      <c r="G211" s="47">
        <v>11</v>
      </c>
      <c r="H211" s="47">
        <v>5</v>
      </c>
      <c r="I211" s="47">
        <v>0</v>
      </c>
      <c r="J211" s="47">
        <v>5</v>
      </c>
      <c r="K211" s="188" t="s">
        <v>57</v>
      </c>
      <c r="L211" s="134" t="s">
        <v>367</v>
      </c>
    </row>
    <row r="212" spans="2:12" ht="16.5" customHeight="1" thickBot="1" x14ac:dyDescent="0.25">
      <c r="B212" s="47">
        <v>0</v>
      </c>
      <c r="C212" s="47">
        <v>0</v>
      </c>
      <c r="D212" s="47">
        <v>0</v>
      </c>
      <c r="E212" s="47">
        <v>0</v>
      </c>
      <c r="F212" s="47">
        <v>0</v>
      </c>
      <c r="G212" s="47">
        <v>0</v>
      </c>
      <c r="H212" s="47">
        <v>0</v>
      </c>
      <c r="I212" s="47">
        <v>0</v>
      </c>
      <c r="J212" s="47">
        <v>0</v>
      </c>
      <c r="K212" s="188" t="s">
        <v>59</v>
      </c>
      <c r="L212" s="135"/>
    </row>
    <row r="213" spans="2:12" ht="16.5" customHeight="1" thickBot="1" x14ac:dyDescent="0.25">
      <c r="B213" s="47">
        <v>0</v>
      </c>
      <c r="C213" s="47">
        <v>0</v>
      </c>
      <c r="D213" s="47">
        <v>0</v>
      </c>
      <c r="E213" s="47">
        <v>0</v>
      </c>
      <c r="F213" s="47">
        <v>0</v>
      </c>
      <c r="G213" s="47">
        <v>0</v>
      </c>
      <c r="H213" s="47">
        <v>0</v>
      </c>
      <c r="I213" s="47">
        <v>0</v>
      </c>
      <c r="J213" s="47">
        <v>0</v>
      </c>
      <c r="K213" s="188" t="s">
        <v>56</v>
      </c>
      <c r="L213" s="134"/>
    </row>
    <row r="214" spans="2:12" ht="16.5" customHeight="1" thickBot="1" x14ac:dyDescent="0.25">
      <c r="B214" s="47">
        <v>5</v>
      </c>
      <c r="C214" s="47">
        <v>0</v>
      </c>
      <c r="D214" s="47">
        <v>5</v>
      </c>
      <c r="E214" s="47">
        <v>3</v>
      </c>
      <c r="F214" s="47">
        <v>0</v>
      </c>
      <c r="G214" s="47">
        <v>3</v>
      </c>
      <c r="H214" s="47">
        <v>2</v>
      </c>
      <c r="I214" s="47">
        <v>0</v>
      </c>
      <c r="J214" s="47">
        <v>2</v>
      </c>
      <c r="K214" s="188" t="s">
        <v>57</v>
      </c>
      <c r="L214" s="134" t="s">
        <v>405</v>
      </c>
    </row>
    <row r="215" spans="2:12" ht="16.5" customHeight="1" thickBot="1" x14ac:dyDescent="0.25">
      <c r="B215" s="47">
        <v>0</v>
      </c>
      <c r="C215" s="47">
        <v>0</v>
      </c>
      <c r="D215" s="47">
        <v>0</v>
      </c>
      <c r="E215" s="47">
        <v>0</v>
      </c>
      <c r="F215" s="47">
        <v>0</v>
      </c>
      <c r="G215" s="47">
        <v>0</v>
      </c>
      <c r="H215" s="47">
        <v>0</v>
      </c>
      <c r="I215" s="47">
        <v>0</v>
      </c>
      <c r="J215" s="47">
        <v>0</v>
      </c>
      <c r="K215" s="188" t="s">
        <v>59</v>
      </c>
      <c r="L215" s="135"/>
    </row>
    <row r="216" spans="2:12" ht="16.5" customHeight="1" thickBot="1" x14ac:dyDescent="0.25">
      <c r="B216" s="47">
        <v>0</v>
      </c>
      <c r="C216" s="47">
        <v>0</v>
      </c>
      <c r="D216" s="47">
        <v>0</v>
      </c>
      <c r="E216" s="47">
        <v>0</v>
      </c>
      <c r="F216" s="47">
        <v>0</v>
      </c>
      <c r="G216" s="47">
        <v>0</v>
      </c>
      <c r="H216" s="47">
        <v>0</v>
      </c>
      <c r="I216" s="47">
        <v>0</v>
      </c>
      <c r="J216" s="47">
        <v>0</v>
      </c>
      <c r="K216" s="188" t="s">
        <v>56</v>
      </c>
      <c r="L216" s="134"/>
    </row>
    <row r="217" spans="2:12" ht="16.5" customHeight="1" thickBot="1" x14ac:dyDescent="0.25">
      <c r="B217" s="47">
        <v>65</v>
      </c>
      <c r="C217" s="47">
        <v>0</v>
      </c>
      <c r="D217" s="47">
        <v>65</v>
      </c>
      <c r="E217" s="47">
        <v>56</v>
      </c>
      <c r="F217" s="47">
        <v>0</v>
      </c>
      <c r="G217" s="47">
        <v>56</v>
      </c>
      <c r="H217" s="47">
        <v>9</v>
      </c>
      <c r="I217" s="47">
        <v>0</v>
      </c>
      <c r="J217" s="47">
        <v>9</v>
      </c>
      <c r="K217" s="188" t="s">
        <v>57</v>
      </c>
      <c r="L217" s="134" t="s">
        <v>424</v>
      </c>
    </row>
    <row r="218" spans="2:12" ht="16.5" customHeight="1" thickBot="1" x14ac:dyDescent="0.25">
      <c r="B218" s="47">
        <v>0</v>
      </c>
      <c r="C218" s="47">
        <v>0</v>
      </c>
      <c r="D218" s="47">
        <v>0</v>
      </c>
      <c r="E218" s="47">
        <v>0</v>
      </c>
      <c r="F218" s="47">
        <v>0</v>
      </c>
      <c r="G218" s="47">
        <v>0</v>
      </c>
      <c r="H218" s="47">
        <v>0</v>
      </c>
      <c r="I218" s="47">
        <v>0</v>
      </c>
      <c r="J218" s="47">
        <v>0</v>
      </c>
      <c r="K218" s="188" t="s">
        <v>59</v>
      </c>
      <c r="L218" s="135"/>
    </row>
    <row r="219" spans="2:12" ht="16.5" customHeight="1" thickBot="1" x14ac:dyDescent="0.25">
      <c r="B219" s="47">
        <v>9</v>
      </c>
      <c r="C219" s="47">
        <v>0</v>
      </c>
      <c r="D219" s="47">
        <v>9</v>
      </c>
      <c r="E219" s="47">
        <v>9</v>
      </c>
      <c r="F219" s="47">
        <v>0</v>
      </c>
      <c r="G219" s="47">
        <v>9</v>
      </c>
      <c r="H219" s="47">
        <v>0</v>
      </c>
      <c r="I219" s="47">
        <v>0</v>
      </c>
      <c r="J219" s="47">
        <v>0</v>
      </c>
      <c r="K219" s="188" t="s">
        <v>243</v>
      </c>
      <c r="L219" s="131"/>
    </row>
    <row r="220" spans="2:12" ht="16.5" customHeight="1" thickBot="1" x14ac:dyDescent="0.25">
      <c r="B220" s="47">
        <v>143</v>
      </c>
      <c r="C220" s="47">
        <v>0</v>
      </c>
      <c r="D220" s="47">
        <v>143</v>
      </c>
      <c r="E220" s="47">
        <v>113</v>
      </c>
      <c r="F220" s="47">
        <v>0</v>
      </c>
      <c r="G220" s="47">
        <v>113</v>
      </c>
      <c r="H220" s="47">
        <v>30</v>
      </c>
      <c r="I220" s="47">
        <v>0</v>
      </c>
      <c r="J220" s="47">
        <v>30</v>
      </c>
      <c r="K220" s="188" t="s">
        <v>57</v>
      </c>
      <c r="L220" s="132" t="s">
        <v>244</v>
      </c>
    </row>
    <row r="221" spans="2:12" ht="16.5" customHeight="1" thickBot="1" x14ac:dyDescent="0.25">
      <c r="B221" s="47">
        <v>0</v>
      </c>
      <c r="C221" s="47">
        <v>0</v>
      </c>
      <c r="D221" s="47">
        <v>0</v>
      </c>
      <c r="E221" s="47">
        <v>0</v>
      </c>
      <c r="F221" s="47">
        <v>0</v>
      </c>
      <c r="G221" s="47">
        <v>0</v>
      </c>
      <c r="H221" s="47">
        <v>0</v>
      </c>
      <c r="I221" s="47">
        <v>0</v>
      </c>
      <c r="J221" s="47">
        <v>0</v>
      </c>
      <c r="K221" s="188" t="s">
        <v>59</v>
      </c>
      <c r="L221" s="133"/>
    </row>
    <row r="222" spans="2:12" ht="16.5" customHeight="1" thickBot="1" x14ac:dyDescent="0.25">
      <c r="B222" s="47">
        <v>152</v>
      </c>
      <c r="C222" s="47">
        <v>0</v>
      </c>
      <c r="D222" s="47">
        <v>152</v>
      </c>
      <c r="E222" s="47">
        <v>122</v>
      </c>
      <c r="F222" s="47">
        <v>0</v>
      </c>
      <c r="G222" s="47">
        <v>122</v>
      </c>
      <c r="H222" s="47">
        <v>30</v>
      </c>
      <c r="I222" s="47">
        <v>0</v>
      </c>
      <c r="J222" s="47">
        <v>30</v>
      </c>
      <c r="K222" s="500" t="s">
        <v>245</v>
      </c>
      <c r="L222" s="500"/>
    </row>
    <row r="223" spans="2:12" ht="16.5" customHeight="1" thickBot="1" x14ac:dyDescent="0.25">
      <c r="B223" s="476" t="s">
        <v>4</v>
      </c>
      <c r="C223" s="476"/>
      <c r="D223" s="476"/>
      <c r="E223" s="476" t="s">
        <v>145</v>
      </c>
      <c r="F223" s="476"/>
      <c r="G223" s="476"/>
      <c r="H223" s="476" t="s">
        <v>146</v>
      </c>
      <c r="I223" s="476"/>
      <c r="J223" s="476"/>
      <c r="K223" s="479" t="s">
        <v>66</v>
      </c>
      <c r="L223" s="479"/>
    </row>
    <row r="224" spans="2:12" ht="16.5" customHeight="1" thickBot="1" x14ac:dyDescent="0.25">
      <c r="B224" s="185" t="s">
        <v>227</v>
      </c>
      <c r="C224" s="185" t="s">
        <v>10</v>
      </c>
      <c r="D224" s="185" t="s">
        <v>9</v>
      </c>
      <c r="E224" s="185" t="s">
        <v>227</v>
      </c>
      <c r="F224" s="185" t="s">
        <v>10</v>
      </c>
      <c r="G224" s="185" t="s">
        <v>9</v>
      </c>
      <c r="H224" s="185" t="s">
        <v>227</v>
      </c>
      <c r="I224" s="185" t="s">
        <v>10</v>
      </c>
      <c r="J224" s="185" t="s">
        <v>9</v>
      </c>
      <c r="K224" s="480" t="s">
        <v>74</v>
      </c>
      <c r="L224" s="480"/>
    </row>
    <row r="225" spans="2:12" ht="16.5" customHeight="1" thickBot="1" x14ac:dyDescent="0.25">
      <c r="B225" s="47">
        <f>SUM(C225:D225)</f>
        <v>0</v>
      </c>
      <c r="C225" s="47">
        <f>I225+F225</f>
        <v>0</v>
      </c>
      <c r="D225" s="47">
        <f>J225+G225</f>
        <v>0</v>
      </c>
      <c r="E225" s="47">
        <f>SUM(F225:G225)</f>
        <v>0</v>
      </c>
      <c r="F225" s="47">
        <v>0</v>
      </c>
      <c r="G225" s="47">
        <v>0</v>
      </c>
      <c r="H225" s="47">
        <f>SUM(I225:J225)</f>
        <v>0</v>
      </c>
      <c r="I225" s="47">
        <v>0</v>
      </c>
      <c r="J225" s="47">
        <v>0</v>
      </c>
      <c r="K225" s="188" t="s">
        <v>56</v>
      </c>
      <c r="L225" s="134"/>
    </row>
    <row r="226" spans="2:12" ht="16.5" customHeight="1" thickBot="1" x14ac:dyDescent="0.25">
      <c r="B226" s="47">
        <f t="shared" ref="B226:B251" si="31">SUM(C226:D226)</f>
        <v>23</v>
      </c>
      <c r="C226" s="47">
        <f t="shared" ref="C226:D251" si="32">I226+F226</f>
        <v>0</v>
      </c>
      <c r="D226" s="47">
        <f t="shared" si="32"/>
        <v>23</v>
      </c>
      <c r="E226" s="47">
        <f t="shared" ref="E226:E251" si="33">SUM(F226:G226)</f>
        <v>0</v>
      </c>
      <c r="F226" s="47">
        <v>0</v>
      </c>
      <c r="G226" s="47">
        <v>0</v>
      </c>
      <c r="H226" s="47">
        <f t="shared" ref="H226:H251" si="34">SUM(I226:J226)</f>
        <v>23</v>
      </c>
      <c r="I226" s="47">
        <v>0</v>
      </c>
      <c r="J226" s="47">
        <v>23</v>
      </c>
      <c r="K226" s="188" t="s">
        <v>57</v>
      </c>
      <c r="L226" s="134" t="s">
        <v>426</v>
      </c>
    </row>
    <row r="227" spans="2:12" ht="16.5" customHeight="1" thickBot="1" x14ac:dyDescent="0.25">
      <c r="B227" s="47">
        <f t="shared" si="31"/>
        <v>0</v>
      </c>
      <c r="C227" s="47">
        <f t="shared" si="32"/>
        <v>0</v>
      </c>
      <c r="D227" s="47">
        <f t="shared" si="32"/>
        <v>0</v>
      </c>
      <c r="E227" s="47">
        <f t="shared" si="33"/>
        <v>0</v>
      </c>
      <c r="F227" s="47">
        <v>0</v>
      </c>
      <c r="G227" s="47">
        <v>0</v>
      </c>
      <c r="H227" s="47">
        <f t="shared" si="34"/>
        <v>0</v>
      </c>
      <c r="I227" s="47">
        <v>0</v>
      </c>
      <c r="J227" s="47">
        <v>0</v>
      </c>
      <c r="K227" s="188" t="s">
        <v>59</v>
      </c>
      <c r="L227" s="135"/>
    </row>
    <row r="228" spans="2:12" ht="16.5" customHeight="1" thickBot="1" x14ac:dyDescent="0.25">
      <c r="B228" s="47">
        <f t="shared" si="31"/>
        <v>0</v>
      </c>
      <c r="C228" s="47">
        <f t="shared" si="32"/>
        <v>0</v>
      </c>
      <c r="D228" s="47">
        <f t="shared" si="32"/>
        <v>0</v>
      </c>
      <c r="E228" s="47">
        <f t="shared" si="33"/>
        <v>0</v>
      </c>
      <c r="F228" s="47">
        <v>0</v>
      </c>
      <c r="G228" s="47">
        <v>0</v>
      </c>
      <c r="H228" s="47">
        <f t="shared" si="34"/>
        <v>0</v>
      </c>
      <c r="I228" s="47">
        <v>0</v>
      </c>
      <c r="J228" s="47">
        <v>0</v>
      </c>
      <c r="K228" s="188" t="s">
        <v>56</v>
      </c>
      <c r="L228" s="134"/>
    </row>
    <row r="229" spans="2:12" ht="16.5" customHeight="1" thickBot="1" x14ac:dyDescent="0.25">
      <c r="B229" s="47">
        <f t="shared" si="31"/>
        <v>12</v>
      </c>
      <c r="C229" s="47">
        <f t="shared" si="32"/>
        <v>0</v>
      </c>
      <c r="D229" s="47">
        <f t="shared" si="32"/>
        <v>12</v>
      </c>
      <c r="E229" s="47">
        <f t="shared" si="33"/>
        <v>0</v>
      </c>
      <c r="F229" s="47">
        <v>0</v>
      </c>
      <c r="G229" s="47">
        <v>0</v>
      </c>
      <c r="H229" s="47">
        <f t="shared" si="34"/>
        <v>12</v>
      </c>
      <c r="I229" s="47">
        <v>0</v>
      </c>
      <c r="J229" s="47">
        <v>12</v>
      </c>
      <c r="K229" s="188" t="s">
        <v>57</v>
      </c>
      <c r="L229" s="134" t="s">
        <v>427</v>
      </c>
    </row>
    <row r="230" spans="2:12" ht="16.5" customHeight="1" thickBot="1" x14ac:dyDescent="0.25">
      <c r="B230" s="47">
        <f t="shared" si="31"/>
        <v>0</v>
      </c>
      <c r="C230" s="47">
        <f t="shared" si="32"/>
        <v>0</v>
      </c>
      <c r="D230" s="47">
        <f t="shared" si="32"/>
        <v>0</v>
      </c>
      <c r="E230" s="47">
        <f t="shared" si="33"/>
        <v>0</v>
      </c>
      <c r="F230" s="47">
        <v>0</v>
      </c>
      <c r="G230" s="47">
        <v>0</v>
      </c>
      <c r="H230" s="47">
        <f t="shared" si="34"/>
        <v>0</v>
      </c>
      <c r="I230" s="47">
        <v>0</v>
      </c>
      <c r="J230" s="47">
        <v>0</v>
      </c>
      <c r="K230" s="188" t="s">
        <v>59</v>
      </c>
      <c r="L230" s="135"/>
    </row>
    <row r="231" spans="2:12" ht="16.5" customHeight="1" thickBot="1" x14ac:dyDescent="0.25">
      <c r="B231" s="47">
        <f t="shared" si="31"/>
        <v>0</v>
      </c>
      <c r="C231" s="47">
        <f t="shared" si="32"/>
        <v>0</v>
      </c>
      <c r="D231" s="47">
        <f t="shared" si="32"/>
        <v>0</v>
      </c>
      <c r="E231" s="47">
        <f t="shared" si="33"/>
        <v>0</v>
      </c>
      <c r="F231" s="47">
        <v>0</v>
      </c>
      <c r="G231" s="47">
        <v>0</v>
      </c>
      <c r="H231" s="47">
        <f t="shared" si="34"/>
        <v>0</v>
      </c>
      <c r="I231" s="47">
        <v>0</v>
      </c>
      <c r="J231" s="47">
        <v>0</v>
      </c>
      <c r="K231" s="188" t="s">
        <v>56</v>
      </c>
      <c r="L231" s="134"/>
    </row>
    <row r="232" spans="2:12" ht="16.5" customHeight="1" thickBot="1" x14ac:dyDescent="0.25">
      <c r="B232" s="47">
        <f t="shared" si="31"/>
        <v>52</v>
      </c>
      <c r="C232" s="47">
        <f t="shared" si="32"/>
        <v>20</v>
      </c>
      <c r="D232" s="47">
        <f t="shared" si="32"/>
        <v>32</v>
      </c>
      <c r="E232" s="47">
        <f t="shared" si="33"/>
        <v>0</v>
      </c>
      <c r="F232" s="47">
        <v>0</v>
      </c>
      <c r="G232" s="47">
        <v>0</v>
      </c>
      <c r="H232" s="47">
        <f t="shared" si="34"/>
        <v>52</v>
      </c>
      <c r="I232" s="47">
        <v>20</v>
      </c>
      <c r="J232" s="47">
        <v>32</v>
      </c>
      <c r="K232" s="188" t="s">
        <v>57</v>
      </c>
      <c r="L232" s="134" t="s">
        <v>429</v>
      </c>
    </row>
    <row r="233" spans="2:12" ht="16.5" customHeight="1" thickBot="1" x14ac:dyDescent="0.25">
      <c r="B233" s="47">
        <f t="shared" si="31"/>
        <v>0</v>
      </c>
      <c r="C233" s="47">
        <f t="shared" si="32"/>
        <v>0</v>
      </c>
      <c r="D233" s="47">
        <f t="shared" si="32"/>
        <v>0</v>
      </c>
      <c r="E233" s="47">
        <f t="shared" si="33"/>
        <v>0</v>
      </c>
      <c r="F233" s="47">
        <v>0</v>
      </c>
      <c r="G233" s="47">
        <v>0</v>
      </c>
      <c r="H233" s="47">
        <f t="shared" si="34"/>
        <v>0</v>
      </c>
      <c r="I233" s="47">
        <v>0</v>
      </c>
      <c r="J233" s="47">
        <v>0</v>
      </c>
      <c r="K233" s="188" t="s">
        <v>59</v>
      </c>
      <c r="L233" s="135"/>
    </row>
    <row r="234" spans="2:12" ht="16.5" customHeight="1" thickBot="1" x14ac:dyDescent="0.25">
      <c r="B234" s="47">
        <f t="shared" si="31"/>
        <v>0</v>
      </c>
      <c r="C234" s="47">
        <f t="shared" si="32"/>
        <v>0</v>
      </c>
      <c r="D234" s="47">
        <f t="shared" si="32"/>
        <v>0</v>
      </c>
      <c r="E234" s="47">
        <f t="shared" si="33"/>
        <v>0</v>
      </c>
      <c r="F234" s="47">
        <v>0</v>
      </c>
      <c r="G234" s="47">
        <v>0</v>
      </c>
      <c r="H234" s="47">
        <f t="shared" si="34"/>
        <v>0</v>
      </c>
      <c r="I234" s="47">
        <v>0</v>
      </c>
      <c r="J234" s="47">
        <v>0</v>
      </c>
      <c r="K234" s="188" t="s">
        <v>56</v>
      </c>
      <c r="L234" s="134"/>
    </row>
    <row r="235" spans="2:12" ht="16.5" customHeight="1" thickBot="1" x14ac:dyDescent="0.25">
      <c r="B235" s="47">
        <f t="shared" si="31"/>
        <v>31</v>
      </c>
      <c r="C235" s="47">
        <f t="shared" si="32"/>
        <v>25</v>
      </c>
      <c r="D235" s="47">
        <f t="shared" si="32"/>
        <v>6</v>
      </c>
      <c r="E235" s="47">
        <f t="shared" si="33"/>
        <v>0</v>
      </c>
      <c r="F235" s="47">
        <v>0</v>
      </c>
      <c r="G235" s="47">
        <v>0</v>
      </c>
      <c r="H235" s="47">
        <f t="shared" si="34"/>
        <v>31</v>
      </c>
      <c r="I235" s="47">
        <v>25</v>
      </c>
      <c r="J235" s="47">
        <v>6</v>
      </c>
      <c r="K235" s="188" t="s">
        <v>57</v>
      </c>
      <c r="L235" s="134" t="s">
        <v>432</v>
      </c>
    </row>
    <row r="236" spans="2:12" ht="16.5" customHeight="1" thickBot="1" x14ac:dyDescent="0.25">
      <c r="B236" s="47">
        <f t="shared" si="31"/>
        <v>0</v>
      </c>
      <c r="C236" s="47">
        <f t="shared" si="32"/>
        <v>0</v>
      </c>
      <c r="D236" s="47">
        <f t="shared" si="32"/>
        <v>0</v>
      </c>
      <c r="E236" s="47">
        <f t="shared" si="33"/>
        <v>0</v>
      </c>
      <c r="F236" s="47">
        <v>0</v>
      </c>
      <c r="G236" s="47">
        <v>0</v>
      </c>
      <c r="H236" s="47">
        <f t="shared" si="34"/>
        <v>0</v>
      </c>
      <c r="I236" s="47">
        <v>0</v>
      </c>
      <c r="J236" s="47">
        <v>0</v>
      </c>
      <c r="K236" s="188" t="s">
        <v>59</v>
      </c>
      <c r="L236" s="135"/>
    </row>
    <row r="237" spans="2:12" ht="16.5" customHeight="1" thickBot="1" x14ac:dyDescent="0.25">
      <c r="B237" s="47">
        <f t="shared" si="31"/>
        <v>0</v>
      </c>
      <c r="C237" s="47">
        <f t="shared" si="32"/>
        <v>0</v>
      </c>
      <c r="D237" s="47">
        <f t="shared" si="32"/>
        <v>0</v>
      </c>
      <c r="E237" s="47">
        <f t="shared" si="33"/>
        <v>0</v>
      </c>
      <c r="F237" s="47">
        <v>0</v>
      </c>
      <c r="G237" s="47">
        <v>0</v>
      </c>
      <c r="H237" s="47">
        <f t="shared" si="34"/>
        <v>0</v>
      </c>
      <c r="I237" s="47">
        <v>0</v>
      </c>
      <c r="J237" s="47">
        <v>0</v>
      </c>
      <c r="K237" s="188" t="s">
        <v>56</v>
      </c>
      <c r="L237" s="134"/>
    </row>
    <row r="238" spans="2:12" ht="16.5" customHeight="1" thickBot="1" x14ac:dyDescent="0.25">
      <c r="B238" s="47">
        <f t="shared" si="31"/>
        <v>17</v>
      </c>
      <c r="C238" s="47">
        <f t="shared" si="32"/>
        <v>0</v>
      </c>
      <c r="D238" s="47">
        <f t="shared" si="32"/>
        <v>17</v>
      </c>
      <c r="E238" s="47">
        <f t="shared" si="33"/>
        <v>0</v>
      </c>
      <c r="F238" s="47">
        <v>0</v>
      </c>
      <c r="G238" s="47">
        <v>0</v>
      </c>
      <c r="H238" s="47">
        <f t="shared" si="34"/>
        <v>17</v>
      </c>
      <c r="I238" s="47">
        <v>0</v>
      </c>
      <c r="J238" s="47">
        <v>17</v>
      </c>
      <c r="K238" s="188" t="s">
        <v>57</v>
      </c>
      <c r="L238" s="134" t="s">
        <v>434</v>
      </c>
    </row>
    <row r="239" spans="2:12" ht="16.5" customHeight="1" thickBot="1" x14ac:dyDescent="0.25">
      <c r="B239" s="47">
        <f t="shared" si="31"/>
        <v>0</v>
      </c>
      <c r="C239" s="47">
        <f t="shared" si="32"/>
        <v>0</v>
      </c>
      <c r="D239" s="47">
        <f t="shared" si="32"/>
        <v>0</v>
      </c>
      <c r="E239" s="47">
        <f t="shared" si="33"/>
        <v>0</v>
      </c>
      <c r="F239" s="47">
        <v>0</v>
      </c>
      <c r="G239" s="47">
        <v>0</v>
      </c>
      <c r="H239" s="47">
        <f t="shared" si="34"/>
        <v>0</v>
      </c>
      <c r="I239" s="47">
        <v>0</v>
      </c>
      <c r="J239" s="47">
        <v>0</v>
      </c>
      <c r="K239" s="188" t="s">
        <v>59</v>
      </c>
      <c r="L239" s="135"/>
    </row>
    <row r="240" spans="2:12" ht="16.5" customHeight="1" thickBot="1" x14ac:dyDescent="0.25">
      <c r="B240" s="47">
        <f t="shared" si="31"/>
        <v>14</v>
      </c>
      <c r="C240" s="47">
        <f t="shared" si="32"/>
        <v>14</v>
      </c>
      <c r="D240" s="47">
        <f t="shared" si="32"/>
        <v>0</v>
      </c>
      <c r="E240" s="47">
        <f t="shared" si="33"/>
        <v>0</v>
      </c>
      <c r="F240" s="47">
        <v>0</v>
      </c>
      <c r="G240" s="47">
        <v>0</v>
      </c>
      <c r="H240" s="47">
        <f t="shared" si="34"/>
        <v>14</v>
      </c>
      <c r="I240" s="47">
        <v>14</v>
      </c>
      <c r="J240" s="47">
        <v>0</v>
      </c>
      <c r="K240" s="188" t="s">
        <v>56</v>
      </c>
      <c r="L240" s="134"/>
    </row>
    <row r="241" spans="2:12" ht="16.5" customHeight="1" thickBot="1" x14ac:dyDescent="0.25">
      <c r="B241" s="47">
        <f t="shared" si="31"/>
        <v>3</v>
      </c>
      <c r="C241" s="47">
        <f t="shared" si="32"/>
        <v>0</v>
      </c>
      <c r="D241" s="47">
        <f t="shared" si="32"/>
        <v>3</v>
      </c>
      <c r="E241" s="47">
        <f t="shared" si="33"/>
        <v>0</v>
      </c>
      <c r="F241" s="47">
        <v>0</v>
      </c>
      <c r="G241" s="47">
        <v>0</v>
      </c>
      <c r="H241" s="47">
        <f t="shared" si="34"/>
        <v>3</v>
      </c>
      <c r="I241" s="47">
        <v>0</v>
      </c>
      <c r="J241" s="47">
        <v>3</v>
      </c>
      <c r="K241" s="188" t="s">
        <v>57</v>
      </c>
      <c r="L241" s="134" t="s">
        <v>435</v>
      </c>
    </row>
    <row r="242" spans="2:12" ht="16.5" customHeight="1" thickBot="1" x14ac:dyDescent="0.25">
      <c r="B242" s="47">
        <f t="shared" si="31"/>
        <v>0</v>
      </c>
      <c r="C242" s="47">
        <f t="shared" si="32"/>
        <v>0</v>
      </c>
      <c r="D242" s="47">
        <f t="shared" si="32"/>
        <v>0</v>
      </c>
      <c r="E242" s="47">
        <f t="shared" si="33"/>
        <v>0</v>
      </c>
      <c r="F242" s="47">
        <v>0</v>
      </c>
      <c r="G242" s="47">
        <v>0</v>
      </c>
      <c r="H242" s="47">
        <f t="shared" si="34"/>
        <v>0</v>
      </c>
      <c r="I242" s="47">
        <v>0</v>
      </c>
      <c r="J242" s="47">
        <v>0</v>
      </c>
      <c r="K242" s="188" t="s">
        <v>59</v>
      </c>
      <c r="L242" s="135"/>
    </row>
    <row r="243" spans="2:12" ht="16.5" customHeight="1" thickBot="1" x14ac:dyDescent="0.25">
      <c r="B243" s="47">
        <f t="shared" si="31"/>
        <v>0</v>
      </c>
      <c r="C243" s="47">
        <f t="shared" si="32"/>
        <v>0</v>
      </c>
      <c r="D243" s="47">
        <f t="shared" si="32"/>
        <v>0</v>
      </c>
      <c r="E243" s="47">
        <f t="shared" si="33"/>
        <v>0</v>
      </c>
      <c r="F243" s="47">
        <v>0</v>
      </c>
      <c r="G243" s="47">
        <v>0</v>
      </c>
      <c r="H243" s="47">
        <f t="shared" si="34"/>
        <v>0</v>
      </c>
      <c r="I243" s="47">
        <v>0</v>
      </c>
      <c r="J243" s="47">
        <v>0</v>
      </c>
      <c r="K243" s="188" t="s">
        <v>56</v>
      </c>
      <c r="L243" s="134"/>
    </row>
    <row r="244" spans="2:12" ht="16.5" customHeight="1" thickBot="1" x14ac:dyDescent="0.25">
      <c r="B244" s="47">
        <f t="shared" si="31"/>
        <v>9</v>
      </c>
      <c r="C244" s="47">
        <f t="shared" si="32"/>
        <v>9</v>
      </c>
      <c r="D244" s="47">
        <f t="shared" si="32"/>
        <v>0</v>
      </c>
      <c r="E244" s="47">
        <f t="shared" si="33"/>
        <v>0</v>
      </c>
      <c r="F244" s="47">
        <v>0</v>
      </c>
      <c r="G244" s="47">
        <v>0</v>
      </c>
      <c r="H244" s="47">
        <f t="shared" si="34"/>
        <v>9</v>
      </c>
      <c r="I244" s="47">
        <v>9</v>
      </c>
      <c r="J244" s="47">
        <v>0</v>
      </c>
      <c r="K244" s="188" t="s">
        <v>57</v>
      </c>
      <c r="L244" s="134" t="s">
        <v>437</v>
      </c>
    </row>
    <row r="245" spans="2:12" ht="16.5" customHeight="1" thickBot="1" x14ac:dyDescent="0.25">
      <c r="B245" s="47">
        <f t="shared" si="31"/>
        <v>0</v>
      </c>
      <c r="C245" s="47">
        <f t="shared" si="32"/>
        <v>0</v>
      </c>
      <c r="D245" s="47">
        <f t="shared" si="32"/>
        <v>0</v>
      </c>
      <c r="E245" s="47">
        <f t="shared" si="33"/>
        <v>0</v>
      </c>
      <c r="F245" s="47">
        <v>0</v>
      </c>
      <c r="G245" s="47">
        <v>0</v>
      </c>
      <c r="H245" s="47">
        <f t="shared" si="34"/>
        <v>0</v>
      </c>
      <c r="I245" s="47">
        <v>0</v>
      </c>
      <c r="J245" s="47">
        <v>0</v>
      </c>
      <c r="K245" s="188" t="s">
        <v>59</v>
      </c>
      <c r="L245" s="135"/>
    </row>
    <row r="246" spans="2:12" ht="16.5" customHeight="1" thickBot="1" x14ac:dyDescent="0.25">
      <c r="B246" s="47">
        <f t="shared" si="31"/>
        <v>0</v>
      </c>
      <c r="C246" s="47">
        <f t="shared" si="32"/>
        <v>0</v>
      </c>
      <c r="D246" s="47">
        <f t="shared" si="32"/>
        <v>0</v>
      </c>
      <c r="E246" s="47">
        <f t="shared" si="33"/>
        <v>0</v>
      </c>
      <c r="F246" s="47">
        <v>0</v>
      </c>
      <c r="G246" s="47">
        <v>0</v>
      </c>
      <c r="H246" s="47">
        <f t="shared" si="34"/>
        <v>0</v>
      </c>
      <c r="I246" s="47">
        <v>0</v>
      </c>
      <c r="J246" s="47">
        <v>0</v>
      </c>
      <c r="K246" s="188" t="s">
        <v>56</v>
      </c>
      <c r="L246" s="134"/>
    </row>
    <row r="247" spans="2:12" ht="16.5" customHeight="1" thickBot="1" x14ac:dyDescent="0.25">
      <c r="B247" s="47">
        <f t="shared" si="31"/>
        <v>27</v>
      </c>
      <c r="C247" s="47">
        <f t="shared" si="32"/>
        <v>27</v>
      </c>
      <c r="D247" s="47">
        <f t="shared" si="32"/>
        <v>0</v>
      </c>
      <c r="E247" s="47">
        <f t="shared" si="33"/>
        <v>0</v>
      </c>
      <c r="F247" s="47">
        <v>0</v>
      </c>
      <c r="G247" s="47">
        <v>0</v>
      </c>
      <c r="H247" s="47">
        <f t="shared" si="34"/>
        <v>27</v>
      </c>
      <c r="I247" s="47">
        <v>27</v>
      </c>
      <c r="J247" s="47">
        <v>0</v>
      </c>
      <c r="K247" s="188" t="s">
        <v>57</v>
      </c>
      <c r="L247" s="134" t="s">
        <v>438</v>
      </c>
    </row>
    <row r="248" spans="2:12" ht="16.5" customHeight="1" thickBot="1" x14ac:dyDescent="0.25">
      <c r="B248" s="47">
        <f t="shared" si="31"/>
        <v>22</v>
      </c>
      <c r="C248" s="47">
        <f t="shared" si="32"/>
        <v>22</v>
      </c>
      <c r="D248" s="47">
        <f t="shared" si="32"/>
        <v>0</v>
      </c>
      <c r="E248" s="47">
        <f t="shared" si="33"/>
        <v>0</v>
      </c>
      <c r="F248" s="47">
        <v>0</v>
      </c>
      <c r="G248" s="47">
        <v>0</v>
      </c>
      <c r="H248" s="47">
        <f t="shared" si="34"/>
        <v>22</v>
      </c>
      <c r="I248" s="47">
        <v>22</v>
      </c>
      <c r="J248" s="47">
        <v>0</v>
      </c>
      <c r="K248" s="188" t="s">
        <v>59</v>
      </c>
      <c r="L248" s="135"/>
    </row>
    <row r="249" spans="2:12" ht="16.5" customHeight="1" thickBot="1" x14ac:dyDescent="0.25">
      <c r="B249" s="47">
        <f t="shared" si="31"/>
        <v>0</v>
      </c>
      <c r="C249" s="47">
        <f t="shared" si="32"/>
        <v>0</v>
      </c>
      <c r="D249" s="47">
        <f t="shared" si="32"/>
        <v>0</v>
      </c>
      <c r="E249" s="47">
        <f t="shared" si="33"/>
        <v>0</v>
      </c>
      <c r="F249" s="47">
        <v>0</v>
      </c>
      <c r="G249" s="47">
        <v>0</v>
      </c>
      <c r="H249" s="47">
        <f t="shared" si="34"/>
        <v>0</v>
      </c>
      <c r="I249" s="47">
        <v>0</v>
      </c>
      <c r="J249" s="47">
        <v>0</v>
      </c>
      <c r="K249" s="188" t="s">
        <v>56</v>
      </c>
      <c r="L249" s="134"/>
    </row>
    <row r="250" spans="2:12" ht="16.5" customHeight="1" thickBot="1" x14ac:dyDescent="0.25">
      <c r="B250" s="47">
        <f t="shared" si="31"/>
        <v>22</v>
      </c>
      <c r="C250" s="47">
        <f t="shared" si="32"/>
        <v>22</v>
      </c>
      <c r="D250" s="47">
        <f t="shared" si="32"/>
        <v>0</v>
      </c>
      <c r="E250" s="47">
        <f t="shared" si="33"/>
        <v>0</v>
      </c>
      <c r="F250" s="47">
        <v>0</v>
      </c>
      <c r="G250" s="47">
        <v>0</v>
      </c>
      <c r="H250" s="47">
        <f t="shared" si="34"/>
        <v>22</v>
      </c>
      <c r="I250" s="47">
        <v>22</v>
      </c>
      <c r="J250" s="47">
        <v>0</v>
      </c>
      <c r="K250" s="188" t="s">
        <v>57</v>
      </c>
      <c r="L250" s="134" t="s">
        <v>595</v>
      </c>
    </row>
    <row r="251" spans="2:12" ht="16.5" customHeight="1" thickBot="1" x14ac:dyDescent="0.25">
      <c r="B251" s="47">
        <f t="shared" si="31"/>
        <v>0</v>
      </c>
      <c r="C251" s="47">
        <f t="shared" si="32"/>
        <v>0</v>
      </c>
      <c r="D251" s="47">
        <f t="shared" si="32"/>
        <v>0</v>
      </c>
      <c r="E251" s="47">
        <f t="shared" si="33"/>
        <v>0</v>
      </c>
      <c r="F251" s="47">
        <v>0</v>
      </c>
      <c r="G251" s="47">
        <v>0</v>
      </c>
      <c r="H251" s="47">
        <f t="shared" si="34"/>
        <v>0</v>
      </c>
      <c r="I251" s="47">
        <v>0</v>
      </c>
      <c r="J251" s="47">
        <v>0</v>
      </c>
      <c r="K251" s="188" t="s">
        <v>59</v>
      </c>
      <c r="L251" s="135"/>
    </row>
    <row r="252" spans="2:12" ht="16.5" customHeight="1" thickBot="1" x14ac:dyDescent="0.25">
      <c r="B252" s="47">
        <f t="shared" ref="B252:J254" si="35">B225+B228+B231+B234+B237+B240+B243+B246+B249</f>
        <v>14</v>
      </c>
      <c r="C252" s="47">
        <f t="shared" si="35"/>
        <v>14</v>
      </c>
      <c r="D252" s="47">
        <f t="shared" si="35"/>
        <v>0</v>
      </c>
      <c r="E252" s="47">
        <f t="shared" si="35"/>
        <v>0</v>
      </c>
      <c r="F252" s="47">
        <f t="shared" si="35"/>
        <v>0</v>
      </c>
      <c r="G252" s="47">
        <f t="shared" si="35"/>
        <v>0</v>
      </c>
      <c r="H252" s="47">
        <f t="shared" si="35"/>
        <v>14</v>
      </c>
      <c r="I252" s="47">
        <f t="shared" si="35"/>
        <v>14</v>
      </c>
      <c r="J252" s="47">
        <f>J225+J228+J231+J234+J237+J240+J243+J246+J249</f>
        <v>0</v>
      </c>
      <c r="K252" s="188" t="s">
        <v>243</v>
      </c>
      <c r="L252" s="131"/>
    </row>
    <row r="253" spans="2:12" ht="16.5" customHeight="1" thickBot="1" x14ac:dyDescent="0.25">
      <c r="B253" s="47">
        <f t="shared" si="35"/>
        <v>196</v>
      </c>
      <c r="C253" s="47">
        <f t="shared" si="35"/>
        <v>103</v>
      </c>
      <c r="D253" s="47">
        <f t="shared" si="35"/>
        <v>93</v>
      </c>
      <c r="E253" s="47">
        <f t="shared" si="35"/>
        <v>0</v>
      </c>
      <c r="F253" s="47">
        <f t="shared" si="35"/>
        <v>0</v>
      </c>
      <c r="G253" s="47">
        <f t="shared" si="35"/>
        <v>0</v>
      </c>
      <c r="H253" s="47">
        <f t="shared" si="35"/>
        <v>196</v>
      </c>
      <c r="I253" s="47">
        <f t="shared" si="35"/>
        <v>103</v>
      </c>
      <c r="J253" s="47">
        <f t="shared" si="35"/>
        <v>93</v>
      </c>
      <c r="K253" s="188" t="s">
        <v>57</v>
      </c>
      <c r="L253" s="132" t="s">
        <v>244</v>
      </c>
    </row>
    <row r="254" spans="2:12" ht="16.5" customHeight="1" thickBot="1" x14ac:dyDescent="0.25">
      <c r="B254" s="47">
        <f t="shared" si="35"/>
        <v>22</v>
      </c>
      <c r="C254" s="47">
        <f t="shared" si="35"/>
        <v>22</v>
      </c>
      <c r="D254" s="47">
        <f t="shared" si="35"/>
        <v>0</v>
      </c>
      <c r="E254" s="47">
        <f t="shared" si="35"/>
        <v>0</v>
      </c>
      <c r="F254" s="47">
        <f t="shared" si="35"/>
        <v>0</v>
      </c>
      <c r="G254" s="47">
        <f t="shared" si="35"/>
        <v>0</v>
      </c>
      <c r="H254" s="47">
        <f t="shared" si="35"/>
        <v>22</v>
      </c>
      <c r="I254" s="47">
        <f t="shared" si="35"/>
        <v>22</v>
      </c>
      <c r="J254" s="47">
        <f t="shared" si="35"/>
        <v>0</v>
      </c>
      <c r="K254" s="188" t="s">
        <v>59</v>
      </c>
      <c r="L254" s="133"/>
    </row>
    <row r="255" spans="2:12" ht="16.5" customHeight="1" thickBot="1" x14ac:dyDescent="0.25">
      <c r="B255" s="47">
        <f t="shared" ref="B255:I255" si="36">SUM(B252:B254)</f>
        <v>232</v>
      </c>
      <c r="C255" s="47">
        <f t="shared" si="36"/>
        <v>139</v>
      </c>
      <c r="D255" s="47">
        <f t="shared" si="36"/>
        <v>93</v>
      </c>
      <c r="E255" s="47">
        <f t="shared" si="36"/>
        <v>0</v>
      </c>
      <c r="F255" s="47">
        <f t="shared" si="36"/>
        <v>0</v>
      </c>
      <c r="G255" s="47">
        <f t="shared" si="36"/>
        <v>0</v>
      </c>
      <c r="H255" s="47">
        <f t="shared" si="36"/>
        <v>232</v>
      </c>
      <c r="I255" s="47">
        <f t="shared" si="36"/>
        <v>139</v>
      </c>
      <c r="J255" s="47">
        <f>SUM(J252:J254)</f>
        <v>93</v>
      </c>
      <c r="K255" s="500" t="s">
        <v>245</v>
      </c>
      <c r="L255" s="500"/>
    </row>
    <row r="256" spans="2:12" ht="16.5" customHeight="1" thickBot="1" x14ac:dyDescent="0.25">
      <c r="B256" s="476" t="s">
        <v>4</v>
      </c>
      <c r="C256" s="476"/>
      <c r="D256" s="476"/>
      <c r="E256" s="476" t="s">
        <v>145</v>
      </c>
      <c r="F256" s="476"/>
      <c r="G256" s="476"/>
      <c r="H256" s="476" t="s">
        <v>146</v>
      </c>
      <c r="I256" s="476"/>
      <c r="J256" s="476"/>
      <c r="K256" s="479" t="s">
        <v>66</v>
      </c>
      <c r="L256" s="479"/>
    </row>
    <row r="257" spans="2:12" ht="16.5" customHeight="1" thickBot="1" x14ac:dyDescent="0.25">
      <c r="B257" s="185" t="s">
        <v>227</v>
      </c>
      <c r="C257" s="185" t="s">
        <v>10</v>
      </c>
      <c r="D257" s="185" t="s">
        <v>9</v>
      </c>
      <c r="E257" s="185" t="s">
        <v>227</v>
      </c>
      <c r="F257" s="185" t="s">
        <v>10</v>
      </c>
      <c r="G257" s="185" t="s">
        <v>9</v>
      </c>
      <c r="H257" s="185" t="s">
        <v>227</v>
      </c>
      <c r="I257" s="185" t="s">
        <v>10</v>
      </c>
      <c r="J257" s="185" t="s">
        <v>9</v>
      </c>
      <c r="K257" s="480" t="s">
        <v>75</v>
      </c>
      <c r="L257" s="480"/>
    </row>
    <row r="258" spans="2:12" ht="16.5" customHeight="1" thickBot="1" x14ac:dyDescent="0.25">
      <c r="B258" s="47">
        <f>SUM(C258:D258)</f>
        <v>0</v>
      </c>
      <c r="C258" s="47">
        <f>I258+F258</f>
        <v>0</v>
      </c>
      <c r="D258" s="47">
        <f>J258+G258</f>
        <v>0</v>
      </c>
      <c r="E258" s="47">
        <f>SUM(F258:G258)</f>
        <v>0</v>
      </c>
      <c r="F258" s="47">
        <v>0</v>
      </c>
      <c r="G258" s="47">
        <v>0</v>
      </c>
      <c r="H258" s="47">
        <f>SUM(I258:J258)</f>
        <v>0</v>
      </c>
      <c r="I258" s="47">
        <v>0</v>
      </c>
      <c r="J258" s="47">
        <v>0</v>
      </c>
      <c r="K258" s="188" t="s">
        <v>56</v>
      </c>
      <c r="L258" s="134"/>
    </row>
    <row r="259" spans="2:12" ht="16.5" customHeight="1" thickBot="1" x14ac:dyDescent="0.25">
      <c r="B259" s="47">
        <f t="shared" ref="B259:B272" si="37">SUM(C259:D259)</f>
        <v>54</v>
      </c>
      <c r="C259" s="47">
        <f t="shared" ref="C259:D272" si="38">I259+F259</f>
        <v>36</v>
      </c>
      <c r="D259" s="47">
        <f t="shared" si="38"/>
        <v>18</v>
      </c>
      <c r="E259" s="47">
        <f t="shared" ref="E259:E272" si="39">SUM(F259:G259)</f>
        <v>0</v>
      </c>
      <c r="F259" s="47">
        <v>0</v>
      </c>
      <c r="G259" s="47">
        <v>0</v>
      </c>
      <c r="H259" s="47">
        <f t="shared" ref="H259:H272" si="40">SUM(I259:J259)</f>
        <v>54</v>
      </c>
      <c r="I259" s="47">
        <v>36</v>
      </c>
      <c r="J259" s="47">
        <f>28-10</f>
        <v>18</v>
      </c>
      <c r="K259" s="188" t="s">
        <v>57</v>
      </c>
      <c r="L259" s="134" t="s">
        <v>376</v>
      </c>
    </row>
    <row r="260" spans="2:12" ht="16.5" customHeight="1" thickBot="1" x14ac:dyDescent="0.25">
      <c r="B260" s="47">
        <f t="shared" si="37"/>
        <v>130</v>
      </c>
      <c r="C260" s="47">
        <f t="shared" si="38"/>
        <v>62</v>
      </c>
      <c r="D260" s="47">
        <f t="shared" si="38"/>
        <v>68</v>
      </c>
      <c r="E260" s="47">
        <f t="shared" si="39"/>
        <v>0</v>
      </c>
      <c r="F260" s="47">
        <v>0</v>
      </c>
      <c r="G260" s="47">
        <v>0</v>
      </c>
      <c r="H260" s="47">
        <f t="shared" si="40"/>
        <v>130</v>
      </c>
      <c r="I260" s="47">
        <v>62</v>
      </c>
      <c r="J260" s="47">
        <f>288-150-70</f>
        <v>68</v>
      </c>
      <c r="K260" s="188" t="s">
        <v>59</v>
      </c>
      <c r="L260" s="135"/>
    </row>
    <row r="261" spans="2:12" ht="16.5" customHeight="1" thickBot="1" x14ac:dyDescent="0.25">
      <c r="B261" s="47">
        <f t="shared" si="37"/>
        <v>0</v>
      </c>
      <c r="C261" s="47">
        <f t="shared" si="38"/>
        <v>0</v>
      </c>
      <c r="D261" s="47">
        <f t="shared" si="38"/>
        <v>0</v>
      </c>
      <c r="E261" s="47">
        <f t="shared" si="39"/>
        <v>0</v>
      </c>
      <c r="F261" s="47">
        <v>0</v>
      </c>
      <c r="G261" s="47">
        <v>0</v>
      </c>
      <c r="H261" s="47">
        <f t="shared" si="40"/>
        <v>0</v>
      </c>
      <c r="I261" s="47">
        <v>0</v>
      </c>
      <c r="J261" s="47">
        <v>0</v>
      </c>
      <c r="K261" s="188" t="s">
        <v>56</v>
      </c>
      <c r="L261" s="134"/>
    </row>
    <row r="262" spans="2:12" ht="16.5" customHeight="1" thickBot="1" x14ac:dyDescent="0.25">
      <c r="B262" s="47">
        <f t="shared" si="37"/>
        <v>7</v>
      </c>
      <c r="C262" s="47">
        <f t="shared" si="38"/>
        <v>3</v>
      </c>
      <c r="D262" s="47">
        <f t="shared" si="38"/>
        <v>4</v>
      </c>
      <c r="E262" s="47">
        <f t="shared" si="39"/>
        <v>0</v>
      </c>
      <c r="F262" s="47">
        <v>0</v>
      </c>
      <c r="G262" s="47">
        <v>0</v>
      </c>
      <c r="H262" s="47">
        <f t="shared" si="40"/>
        <v>7</v>
      </c>
      <c r="I262" s="47">
        <v>3</v>
      </c>
      <c r="J262" s="47">
        <v>4</v>
      </c>
      <c r="K262" s="188" t="s">
        <v>57</v>
      </c>
      <c r="L262" s="134" t="s">
        <v>596</v>
      </c>
    </row>
    <row r="263" spans="2:12" ht="16.5" customHeight="1" thickBot="1" x14ac:dyDescent="0.25">
      <c r="B263" s="47">
        <f t="shared" si="37"/>
        <v>0</v>
      </c>
      <c r="C263" s="47">
        <f t="shared" si="38"/>
        <v>0</v>
      </c>
      <c r="D263" s="47">
        <f t="shared" si="38"/>
        <v>0</v>
      </c>
      <c r="E263" s="47">
        <f t="shared" si="39"/>
        <v>0</v>
      </c>
      <c r="F263" s="47">
        <v>0</v>
      </c>
      <c r="G263" s="47">
        <v>0</v>
      </c>
      <c r="H263" s="47">
        <f t="shared" si="40"/>
        <v>0</v>
      </c>
      <c r="I263" s="47">
        <f>0*I$22</f>
        <v>0</v>
      </c>
      <c r="J263" s="47">
        <f>0*J$22</f>
        <v>0</v>
      </c>
      <c r="K263" s="188" t="s">
        <v>59</v>
      </c>
      <c r="L263" s="135"/>
    </row>
    <row r="264" spans="2:12" ht="16.5" customHeight="1" thickBot="1" x14ac:dyDescent="0.25">
      <c r="B264" s="47">
        <f t="shared" si="37"/>
        <v>0</v>
      </c>
      <c r="C264" s="47">
        <f t="shared" si="38"/>
        <v>0</v>
      </c>
      <c r="D264" s="47">
        <f t="shared" si="38"/>
        <v>0</v>
      </c>
      <c r="E264" s="47">
        <f t="shared" si="39"/>
        <v>0</v>
      </c>
      <c r="F264" s="47">
        <v>0</v>
      </c>
      <c r="G264" s="47">
        <v>0</v>
      </c>
      <c r="H264" s="47">
        <f t="shared" si="40"/>
        <v>0</v>
      </c>
      <c r="I264" s="47">
        <v>0</v>
      </c>
      <c r="J264" s="47">
        <v>0</v>
      </c>
      <c r="K264" s="188" t="s">
        <v>56</v>
      </c>
      <c r="L264" s="134"/>
    </row>
    <row r="265" spans="2:12" ht="16.5" customHeight="1" thickBot="1" x14ac:dyDescent="0.25">
      <c r="B265" s="47">
        <f t="shared" si="37"/>
        <v>0</v>
      </c>
      <c r="C265" s="47">
        <f t="shared" si="38"/>
        <v>0</v>
      </c>
      <c r="D265" s="47">
        <f t="shared" si="38"/>
        <v>0</v>
      </c>
      <c r="E265" s="47">
        <f t="shared" si="39"/>
        <v>0</v>
      </c>
      <c r="F265" s="47">
        <v>0</v>
      </c>
      <c r="G265" s="47">
        <v>0</v>
      </c>
      <c r="H265" s="47">
        <f t="shared" si="40"/>
        <v>0</v>
      </c>
      <c r="I265" s="47">
        <f>0*I$21</f>
        <v>0</v>
      </c>
      <c r="J265" s="47">
        <f>0*J$21</f>
        <v>0</v>
      </c>
      <c r="K265" s="188" t="s">
        <v>57</v>
      </c>
      <c r="L265" s="134" t="s">
        <v>597</v>
      </c>
    </row>
    <row r="266" spans="2:12" ht="16.5" customHeight="1" thickBot="1" x14ac:dyDescent="0.25">
      <c r="B266" s="47">
        <f t="shared" si="37"/>
        <v>29</v>
      </c>
      <c r="C266" s="47">
        <f t="shared" si="38"/>
        <v>29</v>
      </c>
      <c r="D266" s="47">
        <f t="shared" si="38"/>
        <v>0</v>
      </c>
      <c r="E266" s="47">
        <f t="shared" si="39"/>
        <v>0</v>
      </c>
      <c r="F266" s="47">
        <v>0</v>
      </c>
      <c r="G266" s="47">
        <v>0</v>
      </c>
      <c r="H266" s="47">
        <f t="shared" si="40"/>
        <v>29</v>
      </c>
      <c r="I266" s="47">
        <v>29</v>
      </c>
      <c r="J266" s="47">
        <f>0*J$22</f>
        <v>0</v>
      </c>
      <c r="K266" s="188" t="s">
        <v>59</v>
      </c>
      <c r="L266" s="135"/>
    </row>
    <row r="267" spans="2:12" ht="16.5" customHeight="1" thickBot="1" x14ac:dyDescent="0.25">
      <c r="B267" s="47">
        <f t="shared" si="37"/>
        <v>0</v>
      </c>
      <c r="C267" s="47">
        <f t="shared" si="38"/>
        <v>0</v>
      </c>
      <c r="D267" s="47">
        <f t="shared" si="38"/>
        <v>0</v>
      </c>
      <c r="E267" s="47">
        <f t="shared" si="39"/>
        <v>0</v>
      </c>
      <c r="F267" s="47">
        <v>0</v>
      </c>
      <c r="G267" s="47">
        <v>0</v>
      </c>
      <c r="H267" s="47">
        <f t="shared" si="40"/>
        <v>0</v>
      </c>
      <c r="I267" s="47">
        <v>0</v>
      </c>
      <c r="J267" s="47">
        <v>0</v>
      </c>
      <c r="K267" s="188" t="s">
        <v>56</v>
      </c>
      <c r="L267" s="134"/>
    </row>
    <row r="268" spans="2:12" ht="16.5" customHeight="1" thickBot="1" x14ac:dyDescent="0.25">
      <c r="B268" s="47">
        <f t="shared" si="37"/>
        <v>17</v>
      </c>
      <c r="C268" s="47">
        <f t="shared" si="38"/>
        <v>9</v>
      </c>
      <c r="D268" s="47">
        <f t="shared" si="38"/>
        <v>8</v>
      </c>
      <c r="E268" s="47">
        <f t="shared" si="39"/>
        <v>0</v>
      </c>
      <c r="F268" s="47">
        <v>0</v>
      </c>
      <c r="G268" s="47">
        <v>0</v>
      </c>
      <c r="H268" s="47">
        <f t="shared" si="40"/>
        <v>17</v>
      </c>
      <c r="I268" s="47">
        <v>9</v>
      </c>
      <c r="J268" s="47">
        <f>14-6</f>
        <v>8</v>
      </c>
      <c r="K268" s="188" t="s">
        <v>57</v>
      </c>
      <c r="L268" s="134" t="s">
        <v>453</v>
      </c>
    </row>
    <row r="269" spans="2:12" ht="16.5" customHeight="1" thickBot="1" x14ac:dyDescent="0.25">
      <c r="B269" s="47">
        <f t="shared" si="37"/>
        <v>0</v>
      </c>
      <c r="C269" s="47">
        <f t="shared" si="38"/>
        <v>0</v>
      </c>
      <c r="D269" s="47">
        <f t="shared" si="38"/>
        <v>0</v>
      </c>
      <c r="E269" s="47">
        <f t="shared" si="39"/>
        <v>0</v>
      </c>
      <c r="F269" s="47">
        <v>0</v>
      </c>
      <c r="G269" s="47">
        <v>0</v>
      </c>
      <c r="H269" s="47">
        <f t="shared" si="40"/>
        <v>0</v>
      </c>
      <c r="I269" s="47">
        <v>0</v>
      </c>
      <c r="J269" s="47">
        <f>0*J$22</f>
        <v>0</v>
      </c>
      <c r="K269" s="188" t="s">
        <v>59</v>
      </c>
      <c r="L269" s="135"/>
    </row>
    <row r="270" spans="2:12" ht="16.5" customHeight="1" thickBot="1" x14ac:dyDescent="0.25">
      <c r="B270" s="47">
        <f t="shared" si="37"/>
        <v>0</v>
      </c>
      <c r="C270" s="47">
        <f t="shared" si="38"/>
        <v>0</v>
      </c>
      <c r="D270" s="47">
        <f t="shared" si="38"/>
        <v>0</v>
      </c>
      <c r="E270" s="47">
        <f t="shared" si="39"/>
        <v>0</v>
      </c>
      <c r="F270" s="47">
        <v>0</v>
      </c>
      <c r="G270" s="47">
        <v>0</v>
      </c>
      <c r="H270" s="47">
        <f t="shared" si="40"/>
        <v>0</v>
      </c>
      <c r="I270" s="47">
        <v>0</v>
      </c>
      <c r="J270" s="47">
        <v>0</v>
      </c>
      <c r="K270" s="188" t="s">
        <v>56</v>
      </c>
      <c r="L270" s="134"/>
    </row>
    <row r="271" spans="2:12" ht="16.5" customHeight="1" thickBot="1" x14ac:dyDescent="0.25">
      <c r="B271" s="47">
        <f t="shared" si="37"/>
        <v>19</v>
      </c>
      <c r="C271" s="47">
        <f t="shared" si="38"/>
        <v>13</v>
      </c>
      <c r="D271" s="47">
        <f t="shared" si="38"/>
        <v>6</v>
      </c>
      <c r="E271" s="47">
        <f t="shared" si="39"/>
        <v>0</v>
      </c>
      <c r="F271" s="47">
        <v>0</v>
      </c>
      <c r="G271" s="47">
        <v>0</v>
      </c>
      <c r="H271" s="47">
        <f t="shared" si="40"/>
        <v>19</v>
      </c>
      <c r="I271" s="47">
        <v>13</v>
      </c>
      <c r="J271" s="47">
        <v>6</v>
      </c>
      <c r="K271" s="188" t="s">
        <v>57</v>
      </c>
      <c r="L271" s="134" t="s">
        <v>367</v>
      </c>
    </row>
    <row r="272" spans="2:12" ht="16.5" customHeight="1" thickBot="1" x14ac:dyDescent="0.25">
      <c r="B272" s="47">
        <f t="shared" si="37"/>
        <v>0</v>
      </c>
      <c r="C272" s="47">
        <f t="shared" si="38"/>
        <v>0</v>
      </c>
      <c r="D272" s="47">
        <f t="shared" si="38"/>
        <v>0</v>
      </c>
      <c r="E272" s="47">
        <f t="shared" si="39"/>
        <v>0</v>
      </c>
      <c r="F272" s="47">
        <v>0</v>
      </c>
      <c r="G272" s="47">
        <v>0</v>
      </c>
      <c r="H272" s="47">
        <f t="shared" si="40"/>
        <v>0</v>
      </c>
      <c r="I272" s="47">
        <v>0</v>
      </c>
      <c r="J272" s="47">
        <f>0*J$22</f>
        <v>0</v>
      </c>
      <c r="K272" s="188" t="s">
        <v>59</v>
      </c>
      <c r="L272" s="135"/>
    </row>
    <row r="273" spans="2:12" ht="16.5" customHeight="1" thickBot="1" x14ac:dyDescent="0.25">
      <c r="B273" s="47">
        <f t="shared" ref="B273:J275" si="41">B258+B261+B264+B267+B270</f>
        <v>0</v>
      </c>
      <c r="C273" s="47">
        <f t="shared" si="41"/>
        <v>0</v>
      </c>
      <c r="D273" s="47">
        <f t="shared" si="41"/>
        <v>0</v>
      </c>
      <c r="E273" s="47">
        <f t="shared" si="41"/>
        <v>0</v>
      </c>
      <c r="F273" s="47">
        <f t="shared" si="41"/>
        <v>0</v>
      </c>
      <c r="G273" s="47">
        <f t="shared" si="41"/>
        <v>0</v>
      </c>
      <c r="H273" s="47">
        <f t="shared" si="41"/>
        <v>0</v>
      </c>
      <c r="I273" s="47">
        <f t="shared" si="41"/>
        <v>0</v>
      </c>
      <c r="J273" s="47">
        <f>J258+J261+J264+J267+J270</f>
        <v>0</v>
      </c>
      <c r="K273" s="188" t="s">
        <v>243</v>
      </c>
      <c r="L273" s="131"/>
    </row>
    <row r="274" spans="2:12" ht="16.5" customHeight="1" thickBot="1" x14ac:dyDescent="0.25">
      <c r="B274" s="47">
        <f t="shared" si="41"/>
        <v>97</v>
      </c>
      <c r="C274" s="47">
        <f t="shared" si="41"/>
        <v>61</v>
      </c>
      <c r="D274" s="47">
        <f t="shared" si="41"/>
        <v>36</v>
      </c>
      <c r="E274" s="47">
        <f t="shared" si="41"/>
        <v>0</v>
      </c>
      <c r="F274" s="47">
        <f t="shared" si="41"/>
        <v>0</v>
      </c>
      <c r="G274" s="47">
        <f t="shared" si="41"/>
        <v>0</v>
      </c>
      <c r="H274" s="47">
        <f t="shared" si="41"/>
        <v>97</v>
      </c>
      <c r="I274" s="47">
        <f t="shared" si="41"/>
        <v>61</v>
      </c>
      <c r="J274" s="47">
        <f t="shared" si="41"/>
        <v>36</v>
      </c>
      <c r="K274" s="188" t="s">
        <v>57</v>
      </c>
      <c r="L274" s="132" t="s">
        <v>244</v>
      </c>
    </row>
    <row r="275" spans="2:12" ht="16.5" customHeight="1" thickBot="1" x14ac:dyDescent="0.25">
      <c r="B275" s="47">
        <f t="shared" si="41"/>
        <v>159</v>
      </c>
      <c r="C275" s="47">
        <f t="shared" si="41"/>
        <v>91</v>
      </c>
      <c r="D275" s="47">
        <f t="shared" si="41"/>
        <v>68</v>
      </c>
      <c r="E275" s="47">
        <f t="shared" si="41"/>
        <v>0</v>
      </c>
      <c r="F275" s="47">
        <f t="shared" si="41"/>
        <v>0</v>
      </c>
      <c r="G275" s="47">
        <f t="shared" si="41"/>
        <v>0</v>
      </c>
      <c r="H275" s="47">
        <f t="shared" si="41"/>
        <v>159</v>
      </c>
      <c r="I275" s="47">
        <f t="shared" si="41"/>
        <v>91</v>
      </c>
      <c r="J275" s="47">
        <f t="shared" si="41"/>
        <v>68</v>
      </c>
      <c r="K275" s="188" t="s">
        <v>59</v>
      </c>
      <c r="L275" s="133"/>
    </row>
    <row r="276" spans="2:12" ht="16.5" customHeight="1" thickBot="1" x14ac:dyDescent="0.25">
      <c r="B276" s="47">
        <f t="shared" ref="B276:I276" si="42">SUM(B273:B275)</f>
        <v>256</v>
      </c>
      <c r="C276" s="47">
        <f t="shared" si="42"/>
        <v>152</v>
      </c>
      <c r="D276" s="47">
        <f t="shared" si="42"/>
        <v>104</v>
      </c>
      <c r="E276" s="47">
        <f t="shared" si="42"/>
        <v>0</v>
      </c>
      <c r="F276" s="47">
        <f t="shared" si="42"/>
        <v>0</v>
      </c>
      <c r="G276" s="47">
        <f t="shared" si="42"/>
        <v>0</v>
      </c>
      <c r="H276" s="47">
        <f t="shared" si="42"/>
        <v>256</v>
      </c>
      <c r="I276" s="47">
        <f t="shared" si="42"/>
        <v>152</v>
      </c>
      <c r="J276" s="47">
        <f>SUM(J273:J275)</f>
        <v>104</v>
      </c>
      <c r="K276" s="500" t="s">
        <v>245</v>
      </c>
      <c r="L276" s="500"/>
    </row>
    <row r="277" spans="2:12" ht="16.5" customHeight="1" thickBot="1" x14ac:dyDescent="0.25">
      <c r="B277" s="476" t="s">
        <v>4</v>
      </c>
      <c r="C277" s="476"/>
      <c r="D277" s="476"/>
      <c r="E277" s="476" t="s">
        <v>145</v>
      </c>
      <c r="F277" s="476"/>
      <c r="G277" s="476"/>
      <c r="H277" s="476" t="s">
        <v>146</v>
      </c>
      <c r="I277" s="476"/>
      <c r="J277" s="476"/>
      <c r="K277" s="479" t="s">
        <v>66</v>
      </c>
      <c r="L277" s="479"/>
    </row>
    <row r="278" spans="2:12" ht="16.5" customHeight="1" thickBot="1" x14ac:dyDescent="0.25">
      <c r="B278" s="185" t="s">
        <v>227</v>
      </c>
      <c r="C278" s="185" t="s">
        <v>10</v>
      </c>
      <c r="D278" s="185" t="s">
        <v>9</v>
      </c>
      <c r="E278" s="185" t="s">
        <v>227</v>
      </c>
      <c r="F278" s="185" t="s">
        <v>10</v>
      </c>
      <c r="G278" s="185" t="s">
        <v>9</v>
      </c>
      <c r="H278" s="185" t="s">
        <v>227</v>
      </c>
      <c r="I278" s="185" t="s">
        <v>10</v>
      </c>
      <c r="J278" s="185" t="s">
        <v>9</v>
      </c>
      <c r="K278" s="480" t="s">
        <v>100</v>
      </c>
      <c r="L278" s="480"/>
    </row>
    <row r="279" spans="2:12" ht="16.5" customHeight="1" thickBot="1" x14ac:dyDescent="0.25">
      <c r="B279" s="47">
        <f>SUM(C279:D279)</f>
        <v>2</v>
      </c>
      <c r="C279" s="47">
        <f>I279+F279</f>
        <v>0</v>
      </c>
      <c r="D279" s="47">
        <f>J279+G279</f>
        <v>2</v>
      </c>
      <c r="E279" s="47">
        <f>SUM(F279:G279)</f>
        <v>0</v>
      </c>
      <c r="F279" s="47">
        <v>0</v>
      </c>
      <c r="G279" s="47">
        <v>0</v>
      </c>
      <c r="H279" s="47">
        <f>SUM(I279:J279)</f>
        <v>2</v>
      </c>
      <c r="I279" s="47">
        <v>0</v>
      </c>
      <c r="J279" s="47">
        <v>2</v>
      </c>
      <c r="K279" s="188" t="s">
        <v>56</v>
      </c>
      <c r="L279" s="134"/>
    </row>
    <row r="280" spans="2:12" ht="16.5" customHeight="1" thickBot="1" x14ac:dyDescent="0.25">
      <c r="B280" s="47">
        <f t="shared" ref="B280:B293" si="43">SUM(C280:D280)</f>
        <v>56</v>
      </c>
      <c r="C280" s="47">
        <f t="shared" ref="C280:D293" si="44">I280+F280</f>
        <v>0</v>
      </c>
      <c r="D280" s="47">
        <f t="shared" si="44"/>
        <v>56</v>
      </c>
      <c r="E280" s="47">
        <f t="shared" ref="E280:E293" si="45">SUM(F280:G280)</f>
        <v>0</v>
      </c>
      <c r="F280" s="47">
        <v>0</v>
      </c>
      <c r="G280" s="47">
        <v>0</v>
      </c>
      <c r="H280" s="47">
        <f t="shared" ref="H280:H293" si="46">SUM(I280:J280)</f>
        <v>56</v>
      </c>
      <c r="I280" s="47">
        <v>0</v>
      </c>
      <c r="J280" s="47">
        <v>56</v>
      </c>
      <c r="K280" s="188" t="s">
        <v>57</v>
      </c>
      <c r="L280" s="134" t="s">
        <v>453</v>
      </c>
    </row>
    <row r="281" spans="2:12" ht="16.5" customHeight="1" thickBot="1" x14ac:dyDescent="0.25">
      <c r="B281" s="47">
        <f t="shared" si="43"/>
        <v>0</v>
      </c>
      <c r="C281" s="47">
        <f t="shared" si="44"/>
        <v>0</v>
      </c>
      <c r="D281" s="47">
        <f t="shared" si="44"/>
        <v>0</v>
      </c>
      <c r="E281" s="47">
        <f t="shared" si="45"/>
        <v>0</v>
      </c>
      <c r="F281" s="47">
        <v>0</v>
      </c>
      <c r="G281" s="47">
        <v>0</v>
      </c>
      <c r="H281" s="47">
        <f t="shared" si="46"/>
        <v>0</v>
      </c>
      <c r="I281" s="47">
        <v>0</v>
      </c>
      <c r="J281" s="47">
        <v>0</v>
      </c>
      <c r="K281" s="188" t="s">
        <v>59</v>
      </c>
      <c r="L281" s="135"/>
    </row>
    <row r="282" spans="2:12" ht="16.5" customHeight="1" thickBot="1" x14ac:dyDescent="0.25">
      <c r="B282" s="47">
        <f t="shared" si="43"/>
        <v>2</v>
      </c>
      <c r="C282" s="47">
        <f t="shared" si="44"/>
        <v>0</v>
      </c>
      <c r="D282" s="47">
        <f t="shared" si="44"/>
        <v>2</v>
      </c>
      <c r="E282" s="47">
        <f t="shared" si="45"/>
        <v>0</v>
      </c>
      <c r="F282" s="47">
        <v>0</v>
      </c>
      <c r="G282" s="47">
        <v>0</v>
      </c>
      <c r="H282" s="47">
        <f t="shared" si="46"/>
        <v>2</v>
      </c>
      <c r="I282" s="47">
        <v>0</v>
      </c>
      <c r="J282" s="47">
        <v>2</v>
      </c>
      <c r="K282" s="188" t="s">
        <v>56</v>
      </c>
      <c r="L282" s="134"/>
    </row>
    <row r="283" spans="2:12" ht="16.5" customHeight="1" thickBot="1" x14ac:dyDescent="0.25">
      <c r="B283" s="47">
        <f t="shared" si="43"/>
        <v>124</v>
      </c>
      <c r="C283" s="47">
        <f t="shared" si="44"/>
        <v>66</v>
      </c>
      <c r="D283" s="47">
        <f t="shared" si="44"/>
        <v>58</v>
      </c>
      <c r="E283" s="47">
        <f t="shared" si="45"/>
        <v>0</v>
      </c>
      <c r="F283" s="47">
        <v>0</v>
      </c>
      <c r="G283" s="47">
        <v>0</v>
      </c>
      <c r="H283" s="47">
        <f t="shared" si="46"/>
        <v>124</v>
      </c>
      <c r="I283" s="47">
        <v>66</v>
      </c>
      <c r="J283" s="47">
        <v>58</v>
      </c>
      <c r="K283" s="188" t="s">
        <v>57</v>
      </c>
      <c r="L283" s="134" t="s">
        <v>470</v>
      </c>
    </row>
    <row r="284" spans="2:12" ht="16.5" customHeight="1" thickBot="1" x14ac:dyDescent="0.25">
      <c r="B284" s="47">
        <f t="shared" si="43"/>
        <v>0</v>
      </c>
      <c r="C284" s="47">
        <f t="shared" si="44"/>
        <v>0</v>
      </c>
      <c r="D284" s="47">
        <f t="shared" si="44"/>
        <v>0</v>
      </c>
      <c r="E284" s="47">
        <f t="shared" si="45"/>
        <v>0</v>
      </c>
      <c r="F284" s="47">
        <v>0</v>
      </c>
      <c r="G284" s="47">
        <v>0</v>
      </c>
      <c r="H284" s="47">
        <f t="shared" si="46"/>
        <v>0</v>
      </c>
      <c r="I284" s="47">
        <v>0</v>
      </c>
      <c r="J284" s="47">
        <v>0</v>
      </c>
      <c r="K284" s="188" t="s">
        <v>59</v>
      </c>
      <c r="L284" s="135"/>
    </row>
    <row r="285" spans="2:12" ht="16.5" customHeight="1" thickBot="1" x14ac:dyDescent="0.25">
      <c r="B285" s="47">
        <f t="shared" si="43"/>
        <v>1</v>
      </c>
      <c r="C285" s="47">
        <f t="shared" si="44"/>
        <v>0</v>
      </c>
      <c r="D285" s="47">
        <f t="shared" si="44"/>
        <v>1</v>
      </c>
      <c r="E285" s="47">
        <f t="shared" si="45"/>
        <v>0</v>
      </c>
      <c r="F285" s="47">
        <v>0</v>
      </c>
      <c r="G285" s="47">
        <v>0</v>
      </c>
      <c r="H285" s="47">
        <f t="shared" si="46"/>
        <v>1</v>
      </c>
      <c r="I285" s="47">
        <v>0</v>
      </c>
      <c r="J285" s="47">
        <v>1</v>
      </c>
      <c r="K285" s="188" t="s">
        <v>56</v>
      </c>
      <c r="L285" s="134"/>
    </row>
    <row r="286" spans="2:12" ht="16.5" customHeight="1" thickBot="1" x14ac:dyDescent="0.25">
      <c r="B286" s="47">
        <f t="shared" si="43"/>
        <v>2</v>
      </c>
      <c r="C286" s="47">
        <f t="shared" si="44"/>
        <v>0</v>
      </c>
      <c r="D286" s="47">
        <f t="shared" si="44"/>
        <v>2</v>
      </c>
      <c r="E286" s="47">
        <f t="shared" si="45"/>
        <v>0</v>
      </c>
      <c r="F286" s="47">
        <v>0</v>
      </c>
      <c r="G286" s="47">
        <v>0</v>
      </c>
      <c r="H286" s="47">
        <f t="shared" si="46"/>
        <v>2</v>
      </c>
      <c r="I286" s="47">
        <v>0</v>
      </c>
      <c r="J286" s="47">
        <v>2</v>
      </c>
      <c r="K286" s="188" t="s">
        <v>57</v>
      </c>
      <c r="L286" s="134" t="s">
        <v>471</v>
      </c>
    </row>
    <row r="287" spans="2:12" ht="16.5" customHeight="1" thickBot="1" x14ac:dyDescent="0.25">
      <c r="B287" s="47">
        <f t="shared" si="43"/>
        <v>0</v>
      </c>
      <c r="C287" s="47">
        <f t="shared" si="44"/>
        <v>0</v>
      </c>
      <c r="D287" s="47">
        <f t="shared" si="44"/>
        <v>0</v>
      </c>
      <c r="E287" s="47">
        <f t="shared" si="45"/>
        <v>0</v>
      </c>
      <c r="F287" s="47">
        <v>0</v>
      </c>
      <c r="G287" s="47">
        <v>0</v>
      </c>
      <c r="H287" s="47">
        <f t="shared" si="46"/>
        <v>0</v>
      </c>
      <c r="I287" s="47">
        <v>0</v>
      </c>
      <c r="J287" s="47">
        <v>0</v>
      </c>
      <c r="K287" s="188" t="s">
        <v>59</v>
      </c>
      <c r="L287" s="135"/>
    </row>
    <row r="288" spans="2:12" ht="16.5" customHeight="1" thickBot="1" x14ac:dyDescent="0.25">
      <c r="B288" s="47">
        <f t="shared" si="43"/>
        <v>0</v>
      </c>
      <c r="C288" s="47">
        <f t="shared" si="44"/>
        <v>0</v>
      </c>
      <c r="D288" s="47">
        <f t="shared" si="44"/>
        <v>0</v>
      </c>
      <c r="E288" s="47">
        <f t="shared" si="45"/>
        <v>0</v>
      </c>
      <c r="F288" s="47">
        <v>0</v>
      </c>
      <c r="G288" s="47">
        <v>0</v>
      </c>
      <c r="H288" s="47">
        <f t="shared" si="46"/>
        <v>0</v>
      </c>
      <c r="I288" s="47">
        <v>0</v>
      </c>
      <c r="J288" s="47">
        <v>0</v>
      </c>
      <c r="K288" s="188" t="s">
        <v>56</v>
      </c>
      <c r="L288" s="134"/>
    </row>
    <row r="289" spans="2:12" ht="16.5" customHeight="1" thickBot="1" x14ac:dyDescent="0.25">
      <c r="B289" s="47">
        <f t="shared" si="43"/>
        <v>17</v>
      </c>
      <c r="C289" s="47">
        <f t="shared" si="44"/>
        <v>0</v>
      </c>
      <c r="D289" s="47">
        <f t="shared" si="44"/>
        <v>17</v>
      </c>
      <c r="E289" s="47">
        <f t="shared" si="45"/>
        <v>0</v>
      </c>
      <c r="F289" s="47">
        <v>0</v>
      </c>
      <c r="G289" s="47">
        <v>0</v>
      </c>
      <c r="H289" s="47">
        <f t="shared" si="46"/>
        <v>17</v>
      </c>
      <c r="I289" s="47">
        <v>0</v>
      </c>
      <c r="J289" s="47">
        <v>17</v>
      </c>
      <c r="K289" s="188" t="s">
        <v>57</v>
      </c>
      <c r="L289" s="134" t="s">
        <v>472</v>
      </c>
    </row>
    <row r="290" spans="2:12" ht="16.5" customHeight="1" thickBot="1" x14ac:dyDescent="0.25">
      <c r="B290" s="47">
        <f t="shared" si="43"/>
        <v>0</v>
      </c>
      <c r="C290" s="47">
        <f t="shared" si="44"/>
        <v>0</v>
      </c>
      <c r="D290" s="47">
        <f t="shared" si="44"/>
        <v>0</v>
      </c>
      <c r="E290" s="47">
        <f t="shared" si="45"/>
        <v>0</v>
      </c>
      <c r="F290" s="47">
        <v>0</v>
      </c>
      <c r="G290" s="47">
        <v>0</v>
      </c>
      <c r="H290" s="47">
        <f t="shared" si="46"/>
        <v>0</v>
      </c>
      <c r="I290" s="47">
        <v>0</v>
      </c>
      <c r="J290" s="47">
        <v>0</v>
      </c>
      <c r="K290" s="188" t="s">
        <v>59</v>
      </c>
      <c r="L290" s="135"/>
    </row>
    <row r="291" spans="2:12" ht="16.5" customHeight="1" thickBot="1" x14ac:dyDescent="0.25">
      <c r="B291" s="47">
        <f t="shared" si="43"/>
        <v>2</v>
      </c>
      <c r="C291" s="47">
        <f t="shared" si="44"/>
        <v>0</v>
      </c>
      <c r="D291" s="47">
        <f t="shared" si="44"/>
        <v>2</v>
      </c>
      <c r="E291" s="47">
        <f t="shared" si="45"/>
        <v>0</v>
      </c>
      <c r="F291" s="47">
        <v>0</v>
      </c>
      <c r="G291" s="47">
        <v>0</v>
      </c>
      <c r="H291" s="47">
        <f t="shared" si="46"/>
        <v>2</v>
      </c>
      <c r="I291" s="47">
        <v>0</v>
      </c>
      <c r="J291" s="47">
        <v>2</v>
      </c>
      <c r="K291" s="188" t="s">
        <v>56</v>
      </c>
      <c r="L291" s="134"/>
    </row>
    <row r="292" spans="2:12" ht="16.5" customHeight="1" thickBot="1" x14ac:dyDescent="0.25">
      <c r="B292" s="47">
        <f t="shared" si="43"/>
        <v>11</v>
      </c>
      <c r="C292" s="47">
        <f t="shared" si="44"/>
        <v>6</v>
      </c>
      <c r="D292" s="47">
        <f t="shared" si="44"/>
        <v>5</v>
      </c>
      <c r="E292" s="47">
        <f t="shared" si="45"/>
        <v>0</v>
      </c>
      <c r="F292" s="47">
        <v>0</v>
      </c>
      <c r="G292" s="47">
        <v>0</v>
      </c>
      <c r="H292" s="47">
        <f t="shared" si="46"/>
        <v>11</v>
      </c>
      <c r="I292" s="47">
        <v>6</v>
      </c>
      <c r="J292" s="47">
        <v>5</v>
      </c>
      <c r="K292" s="188" t="s">
        <v>57</v>
      </c>
      <c r="L292" s="134" t="s">
        <v>367</v>
      </c>
    </row>
    <row r="293" spans="2:12" ht="16.5" customHeight="1" thickBot="1" x14ac:dyDescent="0.25">
      <c r="B293" s="47">
        <f t="shared" si="43"/>
        <v>0</v>
      </c>
      <c r="C293" s="47">
        <f t="shared" si="44"/>
        <v>0</v>
      </c>
      <c r="D293" s="47">
        <f t="shared" si="44"/>
        <v>0</v>
      </c>
      <c r="E293" s="47">
        <f t="shared" si="45"/>
        <v>0</v>
      </c>
      <c r="F293" s="47">
        <v>0</v>
      </c>
      <c r="G293" s="47">
        <v>0</v>
      </c>
      <c r="H293" s="47">
        <f t="shared" si="46"/>
        <v>0</v>
      </c>
      <c r="I293" s="47">
        <v>0</v>
      </c>
      <c r="J293" s="47">
        <v>0</v>
      </c>
      <c r="K293" s="188" t="s">
        <v>59</v>
      </c>
      <c r="L293" s="135"/>
    </row>
    <row r="294" spans="2:12" ht="16.5" customHeight="1" thickBot="1" x14ac:dyDescent="0.25">
      <c r="B294" s="47">
        <f t="shared" ref="B294:J296" si="47">B279+B282+B285+B288+B291</f>
        <v>7</v>
      </c>
      <c r="C294" s="47">
        <f t="shared" si="47"/>
        <v>0</v>
      </c>
      <c r="D294" s="47">
        <f t="shared" si="47"/>
        <v>7</v>
      </c>
      <c r="E294" s="47">
        <f t="shared" si="47"/>
        <v>0</v>
      </c>
      <c r="F294" s="47">
        <f t="shared" si="47"/>
        <v>0</v>
      </c>
      <c r="G294" s="47">
        <f t="shared" si="47"/>
        <v>0</v>
      </c>
      <c r="H294" s="47">
        <f t="shared" si="47"/>
        <v>7</v>
      </c>
      <c r="I294" s="47">
        <f t="shared" si="47"/>
        <v>0</v>
      </c>
      <c r="J294" s="47">
        <f>J279+J282+J285+J288+J291</f>
        <v>7</v>
      </c>
      <c r="K294" s="188" t="s">
        <v>243</v>
      </c>
      <c r="L294" s="131"/>
    </row>
    <row r="295" spans="2:12" ht="16.5" customHeight="1" thickBot="1" x14ac:dyDescent="0.25">
      <c r="B295" s="47">
        <f t="shared" si="47"/>
        <v>210</v>
      </c>
      <c r="C295" s="47">
        <f t="shared" si="47"/>
        <v>72</v>
      </c>
      <c r="D295" s="47">
        <f t="shared" si="47"/>
        <v>138</v>
      </c>
      <c r="E295" s="47">
        <f t="shared" si="47"/>
        <v>0</v>
      </c>
      <c r="F295" s="47">
        <f t="shared" si="47"/>
        <v>0</v>
      </c>
      <c r="G295" s="47">
        <f t="shared" si="47"/>
        <v>0</v>
      </c>
      <c r="H295" s="47">
        <f t="shared" si="47"/>
        <v>210</v>
      </c>
      <c r="I295" s="47">
        <f t="shared" si="47"/>
        <v>72</v>
      </c>
      <c r="J295" s="47">
        <f t="shared" si="47"/>
        <v>138</v>
      </c>
      <c r="K295" s="188" t="s">
        <v>57</v>
      </c>
      <c r="L295" s="132" t="s">
        <v>244</v>
      </c>
    </row>
    <row r="296" spans="2:12" ht="16.5" customHeight="1" thickBot="1" x14ac:dyDescent="0.25">
      <c r="B296" s="47">
        <f t="shared" si="47"/>
        <v>0</v>
      </c>
      <c r="C296" s="47">
        <f t="shared" si="47"/>
        <v>0</v>
      </c>
      <c r="D296" s="47">
        <f t="shared" si="47"/>
        <v>0</v>
      </c>
      <c r="E296" s="47">
        <f t="shared" si="47"/>
        <v>0</v>
      </c>
      <c r="F296" s="47">
        <f t="shared" si="47"/>
        <v>0</v>
      </c>
      <c r="G296" s="47">
        <f t="shared" si="47"/>
        <v>0</v>
      </c>
      <c r="H296" s="47">
        <f t="shared" si="47"/>
        <v>0</v>
      </c>
      <c r="I296" s="47">
        <f t="shared" si="47"/>
        <v>0</v>
      </c>
      <c r="J296" s="47">
        <f t="shared" si="47"/>
        <v>0</v>
      </c>
      <c r="K296" s="188" t="s">
        <v>59</v>
      </c>
      <c r="L296" s="133"/>
    </row>
    <row r="297" spans="2:12" ht="16.5" customHeight="1" thickBot="1" x14ac:dyDescent="0.25">
      <c r="B297" s="47">
        <f t="shared" ref="B297:I297" si="48">SUM(B294:B296)</f>
        <v>217</v>
      </c>
      <c r="C297" s="47">
        <f t="shared" si="48"/>
        <v>72</v>
      </c>
      <c r="D297" s="47">
        <f t="shared" si="48"/>
        <v>145</v>
      </c>
      <c r="E297" s="47">
        <f t="shared" si="48"/>
        <v>0</v>
      </c>
      <c r="F297" s="47">
        <f t="shared" si="48"/>
        <v>0</v>
      </c>
      <c r="G297" s="47">
        <f t="shared" si="48"/>
        <v>0</v>
      </c>
      <c r="H297" s="47">
        <f t="shared" si="48"/>
        <v>217</v>
      </c>
      <c r="I297" s="47">
        <f t="shared" si="48"/>
        <v>72</v>
      </c>
      <c r="J297" s="47">
        <f>SUM(J294:J296)</f>
        <v>145</v>
      </c>
      <c r="K297" s="500" t="s">
        <v>245</v>
      </c>
      <c r="L297" s="500"/>
    </row>
    <row r="298" spans="2:12" ht="16.5" customHeight="1" thickBot="1" x14ac:dyDescent="0.25">
      <c r="B298" s="476" t="s">
        <v>4</v>
      </c>
      <c r="C298" s="476"/>
      <c r="D298" s="476"/>
      <c r="E298" s="476" t="s">
        <v>145</v>
      </c>
      <c r="F298" s="476"/>
      <c r="G298" s="476"/>
      <c r="H298" s="476" t="s">
        <v>146</v>
      </c>
      <c r="I298" s="476"/>
      <c r="J298" s="476"/>
      <c r="K298" s="479" t="s">
        <v>66</v>
      </c>
      <c r="L298" s="479"/>
    </row>
    <row r="299" spans="2:12" ht="16.5" customHeight="1" thickBot="1" x14ac:dyDescent="0.25">
      <c r="B299" s="185" t="s">
        <v>227</v>
      </c>
      <c r="C299" s="185" t="s">
        <v>10</v>
      </c>
      <c r="D299" s="185" t="s">
        <v>9</v>
      </c>
      <c r="E299" s="185" t="s">
        <v>227</v>
      </c>
      <c r="F299" s="185" t="s">
        <v>10</v>
      </c>
      <c r="G299" s="185" t="s">
        <v>9</v>
      </c>
      <c r="H299" s="185" t="s">
        <v>227</v>
      </c>
      <c r="I299" s="185" t="s">
        <v>10</v>
      </c>
      <c r="J299" s="185" t="s">
        <v>9</v>
      </c>
      <c r="K299" s="480" t="s">
        <v>598</v>
      </c>
      <c r="L299" s="480"/>
    </row>
    <row r="300" spans="2:12" ht="16.5" customHeight="1" thickBot="1" x14ac:dyDescent="0.25">
      <c r="B300" s="47">
        <f>SUM(C300:D300)</f>
        <v>0</v>
      </c>
      <c r="C300" s="47">
        <f>I300+F300</f>
        <v>0</v>
      </c>
      <c r="D300" s="47">
        <f>J300+G300</f>
        <v>0</v>
      </c>
      <c r="E300" s="47">
        <f>SUM(F300:G300)</f>
        <v>0</v>
      </c>
      <c r="F300" s="47">
        <v>0</v>
      </c>
      <c r="G300" s="47">
        <v>0</v>
      </c>
      <c r="H300" s="47">
        <f>SUM(I300:J300)</f>
        <v>0</v>
      </c>
      <c r="I300" s="47">
        <v>0</v>
      </c>
      <c r="J300" s="47">
        <v>0</v>
      </c>
      <c r="K300" s="188" t="s">
        <v>56</v>
      </c>
      <c r="L300" s="134"/>
    </row>
    <row r="301" spans="2:12" ht="16.5" customHeight="1" thickBot="1" x14ac:dyDescent="0.25">
      <c r="B301" s="47">
        <f t="shared" ref="B301:B314" si="49">SUM(C301:D301)</f>
        <v>0</v>
      </c>
      <c r="C301" s="47">
        <f t="shared" ref="C301:D314" si="50">I301+F301</f>
        <v>0</v>
      </c>
      <c r="D301" s="47">
        <f t="shared" si="50"/>
        <v>0</v>
      </c>
      <c r="E301" s="47">
        <f t="shared" ref="E301:E314" si="51">SUM(F301:G301)</f>
        <v>0</v>
      </c>
      <c r="F301" s="47">
        <v>0</v>
      </c>
      <c r="G301" s="47">
        <v>0</v>
      </c>
      <c r="H301" s="47">
        <f t="shared" ref="H301:H314" si="52">SUM(I301:J301)</f>
        <v>0</v>
      </c>
      <c r="I301" s="47">
        <v>0</v>
      </c>
      <c r="J301" s="47">
        <v>0</v>
      </c>
      <c r="K301" s="188" t="s">
        <v>57</v>
      </c>
      <c r="L301" s="134" t="s">
        <v>599</v>
      </c>
    </row>
    <row r="302" spans="2:12" ht="16.5" customHeight="1" thickBot="1" x14ac:dyDescent="0.25">
      <c r="B302" s="47">
        <f t="shared" si="49"/>
        <v>28</v>
      </c>
      <c r="C302" s="47">
        <f t="shared" si="50"/>
        <v>0</v>
      </c>
      <c r="D302" s="47">
        <f t="shared" si="50"/>
        <v>28</v>
      </c>
      <c r="E302" s="47">
        <f t="shared" si="51"/>
        <v>0</v>
      </c>
      <c r="F302" s="47">
        <v>0</v>
      </c>
      <c r="G302" s="47">
        <v>0</v>
      </c>
      <c r="H302" s="47">
        <f t="shared" si="52"/>
        <v>28</v>
      </c>
      <c r="I302" s="47">
        <v>0</v>
      </c>
      <c r="J302" s="47">
        <v>28</v>
      </c>
      <c r="K302" s="188" t="s">
        <v>59</v>
      </c>
      <c r="L302" s="135"/>
    </row>
    <row r="303" spans="2:12" ht="16.5" customHeight="1" thickBot="1" x14ac:dyDescent="0.25">
      <c r="B303" s="47">
        <f t="shared" si="49"/>
        <v>0</v>
      </c>
      <c r="C303" s="47">
        <f t="shared" si="50"/>
        <v>0</v>
      </c>
      <c r="D303" s="47">
        <f t="shared" si="50"/>
        <v>0</v>
      </c>
      <c r="E303" s="47">
        <f t="shared" si="51"/>
        <v>0</v>
      </c>
      <c r="F303" s="47">
        <v>0</v>
      </c>
      <c r="G303" s="47">
        <v>0</v>
      </c>
      <c r="H303" s="47">
        <f t="shared" si="52"/>
        <v>0</v>
      </c>
      <c r="I303" s="47">
        <v>0</v>
      </c>
      <c r="J303" s="47">
        <v>0</v>
      </c>
      <c r="K303" s="188" t="s">
        <v>56</v>
      </c>
      <c r="L303" s="134"/>
    </row>
    <row r="304" spans="2:12" ht="16.5" customHeight="1" thickBot="1" x14ac:dyDescent="0.25">
      <c r="B304" s="47">
        <f t="shared" si="49"/>
        <v>0</v>
      </c>
      <c r="C304" s="47">
        <f t="shared" si="50"/>
        <v>0</v>
      </c>
      <c r="D304" s="47">
        <f t="shared" si="50"/>
        <v>0</v>
      </c>
      <c r="E304" s="47">
        <f t="shared" si="51"/>
        <v>0</v>
      </c>
      <c r="F304" s="47">
        <v>0</v>
      </c>
      <c r="G304" s="47">
        <v>0</v>
      </c>
      <c r="H304" s="47">
        <f t="shared" si="52"/>
        <v>0</v>
      </c>
      <c r="I304" s="47">
        <v>0</v>
      </c>
      <c r="J304" s="47">
        <v>0</v>
      </c>
      <c r="K304" s="188" t="s">
        <v>57</v>
      </c>
      <c r="L304" s="134" t="s">
        <v>189</v>
      </c>
    </row>
    <row r="305" spans="2:12" ht="16.5" customHeight="1" thickBot="1" x14ac:dyDescent="0.25">
      <c r="B305" s="47">
        <f t="shared" si="49"/>
        <v>10</v>
      </c>
      <c r="C305" s="47">
        <f t="shared" si="50"/>
        <v>0</v>
      </c>
      <c r="D305" s="47">
        <f t="shared" si="50"/>
        <v>10</v>
      </c>
      <c r="E305" s="47">
        <f t="shared" si="51"/>
        <v>0</v>
      </c>
      <c r="F305" s="47">
        <v>0</v>
      </c>
      <c r="G305" s="47">
        <v>0</v>
      </c>
      <c r="H305" s="47">
        <f t="shared" si="52"/>
        <v>10</v>
      </c>
      <c r="I305" s="47">
        <v>0</v>
      </c>
      <c r="J305" s="47">
        <v>10</v>
      </c>
      <c r="K305" s="188" t="s">
        <v>59</v>
      </c>
      <c r="L305" s="135"/>
    </row>
    <row r="306" spans="2:12" ht="16.5" customHeight="1" thickBot="1" x14ac:dyDescent="0.25">
      <c r="B306" s="47">
        <f t="shared" si="49"/>
        <v>0</v>
      </c>
      <c r="C306" s="47">
        <f t="shared" si="50"/>
        <v>0</v>
      </c>
      <c r="D306" s="47">
        <f t="shared" si="50"/>
        <v>0</v>
      </c>
      <c r="E306" s="47">
        <f t="shared" si="51"/>
        <v>0</v>
      </c>
      <c r="F306" s="47">
        <v>0</v>
      </c>
      <c r="G306" s="47">
        <v>0</v>
      </c>
      <c r="H306" s="47">
        <f t="shared" si="52"/>
        <v>0</v>
      </c>
      <c r="I306" s="47">
        <v>0</v>
      </c>
      <c r="J306" s="47">
        <v>0</v>
      </c>
      <c r="K306" s="188" t="s">
        <v>56</v>
      </c>
      <c r="L306" s="134"/>
    </row>
    <row r="307" spans="2:12" ht="16.5" customHeight="1" thickBot="1" x14ac:dyDescent="0.25">
      <c r="B307" s="47">
        <f t="shared" si="49"/>
        <v>4</v>
      </c>
      <c r="C307" s="47">
        <f t="shared" si="50"/>
        <v>4</v>
      </c>
      <c r="D307" s="47">
        <f t="shared" si="50"/>
        <v>0</v>
      </c>
      <c r="E307" s="47">
        <f t="shared" si="51"/>
        <v>1</v>
      </c>
      <c r="F307" s="47">
        <v>1</v>
      </c>
      <c r="G307" s="47">
        <v>0</v>
      </c>
      <c r="H307" s="47">
        <f t="shared" si="52"/>
        <v>3</v>
      </c>
      <c r="I307" s="47">
        <v>3</v>
      </c>
      <c r="J307" s="47">
        <v>0</v>
      </c>
      <c r="K307" s="188" t="s">
        <v>57</v>
      </c>
      <c r="L307" s="134" t="s">
        <v>495</v>
      </c>
    </row>
    <row r="308" spans="2:12" ht="16.5" customHeight="1" thickBot="1" x14ac:dyDescent="0.25">
      <c r="B308" s="47">
        <f t="shared" si="49"/>
        <v>0</v>
      </c>
      <c r="C308" s="47">
        <f t="shared" si="50"/>
        <v>0</v>
      </c>
      <c r="D308" s="47">
        <f t="shared" si="50"/>
        <v>0</v>
      </c>
      <c r="E308" s="47">
        <f t="shared" si="51"/>
        <v>0</v>
      </c>
      <c r="F308" s="47">
        <v>0</v>
      </c>
      <c r="G308" s="47">
        <v>0</v>
      </c>
      <c r="H308" s="47">
        <f t="shared" si="52"/>
        <v>0</v>
      </c>
      <c r="I308" s="47">
        <v>0</v>
      </c>
      <c r="J308" s="47">
        <v>0</v>
      </c>
      <c r="K308" s="188" t="s">
        <v>59</v>
      </c>
      <c r="L308" s="135"/>
    </row>
    <row r="309" spans="2:12" ht="16.5" customHeight="1" thickBot="1" x14ac:dyDescent="0.25">
      <c r="B309" s="47">
        <f t="shared" si="49"/>
        <v>10</v>
      </c>
      <c r="C309" s="47">
        <f t="shared" si="50"/>
        <v>10</v>
      </c>
      <c r="D309" s="47">
        <f t="shared" si="50"/>
        <v>0</v>
      </c>
      <c r="E309" s="47">
        <f t="shared" si="51"/>
        <v>0</v>
      </c>
      <c r="F309" s="47">
        <v>0</v>
      </c>
      <c r="G309" s="47">
        <v>0</v>
      </c>
      <c r="H309" s="47">
        <f t="shared" si="52"/>
        <v>10</v>
      </c>
      <c r="I309" s="47">
        <v>10</v>
      </c>
      <c r="J309" s="47">
        <v>0</v>
      </c>
      <c r="K309" s="188" t="s">
        <v>56</v>
      </c>
      <c r="L309" s="134"/>
    </row>
    <row r="310" spans="2:12" ht="16.5" customHeight="1" thickBot="1" x14ac:dyDescent="0.25">
      <c r="B310" s="47">
        <f t="shared" si="49"/>
        <v>141</v>
      </c>
      <c r="C310" s="47">
        <f t="shared" si="50"/>
        <v>122</v>
      </c>
      <c r="D310" s="47">
        <f t="shared" si="50"/>
        <v>19</v>
      </c>
      <c r="E310" s="47">
        <f t="shared" si="51"/>
        <v>3</v>
      </c>
      <c r="F310" s="47">
        <v>1</v>
      </c>
      <c r="G310" s="47">
        <v>2</v>
      </c>
      <c r="H310" s="47">
        <f t="shared" si="52"/>
        <v>138</v>
      </c>
      <c r="I310" s="47">
        <v>121</v>
      </c>
      <c r="J310" s="47">
        <v>17</v>
      </c>
      <c r="K310" s="188" t="s">
        <v>57</v>
      </c>
      <c r="L310" s="134" t="s">
        <v>600</v>
      </c>
    </row>
    <row r="311" spans="2:12" ht="16.5" customHeight="1" thickBot="1" x14ac:dyDescent="0.25">
      <c r="B311" s="47">
        <f t="shared" si="49"/>
        <v>0</v>
      </c>
      <c r="C311" s="47">
        <f t="shared" si="50"/>
        <v>0</v>
      </c>
      <c r="D311" s="47">
        <f t="shared" si="50"/>
        <v>0</v>
      </c>
      <c r="E311" s="47">
        <f t="shared" si="51"/>
        <v>0</v>
      </c>
      <c r="F311" s="47">
        <v>0</v>
      </c>
      <c r="G311" s="47">
        <v>0</v>
      </c>
      <c r="H311" s="47">
        <f t="shared" si="52"/>
        <v>0</v>
      </c>
      <c r="I311" s="47">
        <v>0</v>
      </c>
      <c r="J311" s="47">
        <v>0</v>
      </c>
      <c r="K311" s="188" t="s">
        <v>59</v>
      </c>
      <c r="L311" s="135"/>
    </row>
    <row r="312" spans="2:12" ht="16.5" customHeight="1" thickBot="1" x14ac:dyDescent="0.25">
      <c r="B312" s="47">
        <f t="shared" si="49"/>
        <v>0</v>
      </c>
      <c r="C312" s="47">
        <f t="shared" si="50"/>
        <v>0</v>
      </c>
      <c r="D312" s="47">
        <f t="shared" si="50"/>
        <v>0</v>
      </c>
      <c r="E312" s="47">
        <f t="shared" si="51"/>
        <v>0</v>
      </c>
      <c r="F312" s="47">
        <v>0</v>
      </c>
      <c r="G312" s="47">
        <v>0</v>
      </c>
      <c r="H312" s="47">
        <f t="shared" si="52"/>
        <v>0</v>
      </c>
      <c r="I312" s="47">
        <v>0</v>
      </c>
      <c r="J312" s="47">
        <v>0</v>
      </c>
      <c r="K312" s="188" t="s">
        <v>56</v>
      </c>
      <c r="L312" s="134"/>
    </row>
    <row r="313" spans="2:12" ht="16.5" customHeight="1" thickBot="1" x14ac:dyDescent="0.25">
      <c r="B313" s="47">
        <f t="shared" si="49"/>
        <v>145</v>
      </c>
      <c r="C313" s="47">
        <f t="shared" si="50"/>
        <v>121</v>
      </c>
      <c r="D313" s="47">
        <f t="shared" si="50"/>
        <v>24</v>
      </c>
      <c r="E313" s="47">
        <f t="shared" si="51"/>
        <v>0</v>
      </c>
      <c r="F313" s="47">
        <v>0</v>
      </c>
      <c r="G313" s="47">
        <v>0</v>
      </c>
      <c r="H313" s="47">
        <f t="shared" si="52"/>
        <v>145</v>
      </c>
      <c r="I313" s="47">
        <v>121</v>
      </c>
      <c r="J313" s="47">
        <v>24</v>
      </c>
      <c r="K313" s="188" t="s">
        <v>57</v>
      </c>
      <c r="L313" s="134" t="s">
        <v>367</v>
      </c>
    </row>
    <row r="314" spans="2:12" ht="16.5" customHeight="1" thickBot="1" x14ac:dyDescent="0.25">
      <c r="B314" s="47">
        <f t="shared" si="49"/>
        <v>0</v>
      </c>
      <c r="C314" s="47">
        <f t="shared" si="50"/>
        <v>0</v>
      </c>
      <c r="D314" s="47">
        <f t="shared" si="50"/>
        <v>0</v>
      </c>
      <c r="E314" s="47">
        <f t="shared" si="51"/>
        <v>0</v>
      </c>
      <c r="F314" s="47">
        <v>0</v>
      </c>
      <c r="G314" s="47">
        <v>0</v>
      </c>
      <c r="H314" s="47">
        <f t="shared" si="52"/>
        <v>0</v>
      </c>
      <c r="I314" s="47">
        <v>0</v>
      </c>
      <c r="J314" s="47">
        <v>0</v>
      </c>
      <c r="K314" s="188" t="s">
        <v>59</v>
      </c>
      <c r="L314" s="135"/>
    </row>
    <row r="315" spans="2:12" ht="16.5" customHeight="1" thickBot="1" x14ac:dyDescent="0.25">
      <c r="B315" s="47">
        <f t="shared" ref="B315:J317" si="53">B300+B303+B306+B309+B312</f>
        <v>10</v>
      </c>
      <c r="C315" s="47">
        <f t="shared" si="53"/>
        <v>10</v>
      </c>
      <c r="D315" s="47">
        <f t="shared" si="53"/>
        <v>0</v>
      </c>
      <c r="E315" s="47">
        <f t="shared" si="53"/>
        <v>0</v>
      </c>
      <c r="F315" s="47">
        <f t="shared" si="53"/>
        <v>0</v>
      </c>
      <c r="G315" s="47">
        <f t="shared" si="53"/>
        <v>0</v>
      </c>
      <c r="H315" s="47">
        <f t="shared" si="53"/>
        <v>10</v>
      </c>
      <c r="I315" s="47">
        <f t="shared" si="53"/>
        <v>10</v>
      </c>
      <c r="J315" s="47">
        <f>J300+J303+J306+J309+J312</f>
        <v>0</v>
      </c>
      <c r="K315" s="188" t="s">
        <v>243</v>
      </c>
      <c r="L315" s="131"/>
    </row>
    <row r="316" spans="2:12" ht="16.5" customHeight="1" thickBot="1" x14ac:dyDescent="0.25">
      <c r="B316" s="47">
        <f t="shared" si="53"/>
        <v>290</v>
      </c>
      <c r="C316" s="47">
        <f t="shared" si="53"/>
        <v>247</v>
      </c>
      <c r="D316" s="47">
        <f t="shared" si="53"/>
        <v>43</v>
      </c>
      <c r="E316" s="47">
        <f t="shared" si="53"/>
        <v>4</v>
      </c>
      <c r="F316" s="47">
        <f t="shared" si="53"/>
        <v>2</v>
      </c>
      <c r="G316" s="47">
        <f t="shared" si="53"/>
        <v>2</v>
      </c>
      <c r="H316" s="47">
        <f t="shared" si="53"/>
        <v>286</v>
      </c>
      <c r="I316" s="47">
        <f t="shared" si="53"/>
        <v>245</v>
      </c>
      <c r="J316" s="47">
        <f t="shared" si="53"/>
        <v>41</v>
      </c>
      <c r="K316" s="188" t="s">
        <v>57</v>
      </c>
      <c r="L316" s="132" t="s">
        <v>244</v>
      </c>
    </row>
    <row r="317" spans="2:12" ht="16.5" customHeight="1" thickBot="1" x14ac:dyDescent="0.25">
      <c r="B317" s="47">
        <f t="shared" si="53"/>
        <v>38</v>
      </c>
      <c r="C317" s="47">
        <f t="shared" si="53"/>
        <v>0</v>
      </c>
      <c r="D317" s="47">
        <f t="shared" si="53"/>
        <v>38</v>
      </c>
      <c r="E317" s="47">
        <f t="shared" si="53"/>
        <v>0</v>
      </c>
      <c r="F317" s="47">
        <f t="shared" si="53"/>
        <v>0</v>
      </c>
      <c r="G317" s="47">
        <f t="shared" si="53"/>
        <v>0</v>
      </c>
      <c r="H317" s="47">
        <f t="shared" si="53"/>
        <v>38</v>
      </c>
      <c r="I317" s="47">
        <f t="shared" si="53"/>
        <v>0</v>
      </c>
      <c r="J317" s="47">
        <f t="shared" si="53"/>
        <v>38</v>
      </c>
      <c r="K317" s="188" t="s">
        <v>59</v>
      </c>
      <c r="L317" s="133"/>
    </row>
    <row r="318" spans="2:12" ht="16.5" customHeight="1" thickBot="1" x14ac:dyDescent="0.25">
      <c r="B318" s="47">
        <f t="shared" ref="B318:I318" si="54">SUM(B315:B317)</f>
        <v>338</v>
      </c>
      <c r="C318" s="47">
        <f t="shared" si="54"/>
        <v>257</v>
      </c>
      <c r="D318" s="47">
        <f t="shared" si="54"/>
        <v>81</v>
      </c>
      <c r="E318" s="47">
        <f t="shared" si="54"/>
        <v>4</v>
      </c>
      <c r="F318" s="47">
        <f t="shared" si="54"/>
        <v>2</v>
      </c>
      <c r="G318" s="47">
        <f t="shared" si="54"/>
        <v>2</v>
      </c>
      <c r="H318" s="47">
        <f t="shared" si="54"/>
        <v>334</v>
      </c>
      <c r="I318" s="47">
        <f t="shared" si="54"/>
        <v>255</v>
      </c>
      <c r="J318" s="47">
        <f>SUM(J315:J317)</f>
        <v>79</v>
      </c>
      <c r="K318" s="500" t="s">
        <v>245</v>
      </c>
      <c r="L318" s="500"/>
    </row>
    <row r="319" spans="2:12" ht="16.5" customHeight="1" thickBot="1" x14ac:dyDescent="0.25">
      <c r="B319" s="476" t="s">
        <v>4</v>
      </c>
      <c r="C319" s="476"/>
      <c r="D319" s="476"/>
      <c r="E319" s="476" t="s">
        <v>145</v>
      </c>
      <c r="F319" s="476"/>
      <c r="G319" s="476"/>
      <c r="H319" s="476" t="s">
        <v>146</v>
      </c>
      <c r="I319" s="476"/>
      <c r="J319" s="476"/>
      <c r="K319" s="479" t="s">
        <v>66</v>
      </c>
      <c r="L319" s="479"/>
    </row>
    <row r="320" spans="2:12" ht="16.5" customHeight="1" thickBot="1" x14ac:dyDescent="0.25">
      <c r="B320" s="185" t="s">
        <v>227</v>
      </c>
      <c r="C320" s="185" t="s">
        <v>10</v>
      </c>
      <c r="D320" s="185" t="s">
        <v>9</v>
      </c>
      <c r="E320" s="185" t="s">
        <v>227</v>
      </c>
      <c r="F320" s="185" t="s">
        <v>10</v>
      </c>
      <c r="G320" s="185" t="s">
        <v>9</v>
      </c>
      <c r="H320" s="185" t="s">
        <v>227</v>
      </c>
      <c r="I320" s="185" t="s">
        <v>10</v>
      </c>
      <c r="J320" s="185" t="s">
        <v>9</v>
      </c>
      <c r="K320" s="480" t="s">
        <v>77</v>
      </c>
      <c r="L320" s="480"/>
    </row>
    <row r="321" spans="2:12" ht="16.5" customHeight="1" thickBot="1" x14ac:dyDescent="0.25">
      <c r="B321" s="47">
        <f>SUM(C321:D321)</f>
        <v>0</v>
      </c>
      <c r="C321" s="47">
        <f>I321+F321</f>
        <v>0</v>
      </c>
      <c r="D321" s="47">
        <f>J321+G321</f>
        <v>0</v>
      </c>
      <c r="E321" s="47">
        <f>SUM(F321:G321)</f>
        <v>0</v>
      </c>
      <c r="F321" s="47">
        <v>0</v>
      </c>
      <c r="G321" s="47">
        <v>0</v>
      </c>
      <c r="H321" s="47">
        <f>SUM(I321:J321)</f>
        <v>0</v>
      </c>
      <c r="I321" s="47">
        <v>0</v>
      </c>
      <c r="J321" s="47">
        <v>0</v>
      </c>
      <c r="K321" s="188" t="s">
        <v>56</v>
      </c>
      <c r="L321" s="134"/>
    </row>
    <row r="322" spans="2:12" ht="16.5" customHeight="1" thickBot="1" x14ac:dyDescent="0.25">
      <c r="B322" s="47">
        <f t="shared" ref="B322:B332" si="55">SUM(C322:D322)</f>
        <v>31</v>
      </c>
      <c r="C322" s="47">
        <f t="shared" ref="C322:D332" si="56">I322+F322</f>
        <v>9</v>
      </c>
      <c r="D322" s="47">
        <f t="shared" si="56"/>
        <v>22</v>
      </c>
      <c r="E322" s="47">
        <f t="shared" ref="E322:E332" si="57">SUM(F322:G322)</f>
        <v>0</v>
      </c>
      <c r="F322" s="47">
        <v>0</v>
      </c>
      <c r="G322" s="47">
        <v>0</v>
      </c>
      <c r="H322" s="47">
        <f t="shared" ref="H322:H332" si="58">SUM(I322:J322)</f>
        <v>31</v>
      </c>
      <c r="I322" s="47">
        <v>9</v>
      </c>
      <c r="J322" s="47">
        <v>22</v>
      </c>
      <c r="K322" s="188" t="s">
        <v>57</v>
      </c>
      <c r="L322" s="134" t="s">
        <v>496</v>
      </c>
    </row>
    <row r="323" spans="2:12" ht="16.5" customHeight="1" thickBot="1" x14ac:dyDescent="0.25">
      <c r="B323" s="47">
        <f t="shared" si="55"/>
        <v>37</v>
      </c>
      <c r="C323" s="47">
        <f t="shared" si="56"/>
        <v>18</v>
      </c>
      <c r="D323" s="47">
        <f t="shared" si="56"/>
        <v>19</v>
      </c>
      <c r="E323" s="47">
        <f t="shared" si="57"/>
        <v>1</v>
      </c>
      <c r="F323" s="47">
        <v>1</v>
      </c>
      <c r="G323" s="47">
        <v>0</v>
      </c>
      <c r="H323" s="47">
        <f t="shared" si="58"/>
        <v>36</v>
      </c>
      <c r="I323" s="47">
        <v>17</v>
      </c>
      <c r="J323" s="47">
        <v>19</v>
      </c>
      <c r="K323" s="188" t="s">
        <v>59</v>
      </c>
      <c r="L323" s="135"/>
    </row>
    <row r="324" spans="2:12" ht="16.5" customHeight="1" thickBot="1" x14ac:dyDescent="0.25">
      <c r="B324" s="47">
        <f t="shared" si="55"/>
        <v>0</v>
      </c>
      <c r="C324" s="47">
        <f t="shared" si="56"/>
        <v>0</v>
      </c>
      <c r="D324" s="47">
        <f t="shared" si="56"/>
        <v>0</v>
      </c>
      <c r="E324" s="47">
        <f t="shared" si="57"/>
        <v>0</v>
      </c>
      <c r="F324" s="47">
        <v>0</v>
      </c>
      <c r="G324" s="47">
        <v>0</v>
      </c>
      <c r="H324" s="47">
        <f t="shared" si="58"/>
        <v>0</v>
      </c>
      <c r="I324" s="47">
        <v>0</v>
      </c>
      <c r="J324" s="47">
        <v>0</v>
      </c>
      <c r="K324" s="188" t="s">
        <v>56</v>
      </c>
      <c r="L324" s="134"/>
    </row>
    <row r="325" spans="2:12" ht="16.5" customHeight="1" thickBot="1" x14ac:dyDescent="0.25">
      <c r="B325" s="47">
        <f t="shared" si="55"/>
        <v>50</v>
      </c>
      <c r="C325" s="47">
        <f t="shared" si="56"/>
        <v>13</v>
      </c>
      <c r="D325" s="47">
        <f t="shared" si="56"/>
        <v>37</v>
      </c>
      <c r="E325" s="47">
        <f t="shared" si="57"/>
        <v>2</v>
      </c>
      <c r="F325" s="47">
        <v>2</v>
      </c>
      <c r="G325" s="47">
        <v>0</v>
      </c>
      <c r="H325" s="47">
        <f t="shared" si="58"/>
        <v>48</v>
      </c>
      <c r="I325" s="47">
        <v>11</v>
      </c>
      <c r="J325" s="47">
        <v>37</v>
      </c>
      <c r="K325" s="188" t="s">
        <v>57</v>
      </c>
      <c r="L325" s="134" t="s">
        <v>367</v>
      </c>
    </row>
    <row r="326" spans="2:12" ht="16.5" customHeight="1" thickBot="1" x14ac:dyDescent="0.25">
      <c r="B326" s="47">
        <f t="shared" si="55"/>
        <v>0</v>
      </c>
      <c r="C326" s="47">
        <f t="shared" si="56"/>
        <v>0</v>
      </c>
      <c r="D326" s="47">
        <f t="shared" si="56"/>
        <v>0</v>
      </c>
      <c r="E326" s="47">
        <f t="shared" si="57"/>
        <v>0</v>
      </c>
      <c r="F326" s="47">
        <v>0</v>
      </c>
      <c r="G326" s="47">
        <v>0</v>
      </c>
      <c r="H326" s="47">
        <f t="shared" si="58"/>
        <v>0</v>
      </c>
      <c r="I326" s="47">
        <v>0</v>
      </c>
      <c r="J326" s="47">
        <v>0</v>
      </c>
      <c r="K326" s="188" t="s">
        <v>59</v>
      </c>
      <c r="L326" s="135"/>
    </row>
    <row r="327" spans="2:12" ht="16.5" customHeight="1" thickBot="1" x14ac:dyDescent="0.25">
      <c r="B327" s="47">
        <f t="shared" si="55"/>
        <v>0</v>
      </c>
      <c r="C327" s="47">
        <f t="shared" si="56"/>
        <v>0</v>
      </c>
      <c r="D327" s="47">
        <f t="shared" si="56"/>
        <v>0</v>
      </c>
      <c r="E327" s="47">
        <f t="shared" si="57"/>
        <v>0</v>
      </c>
      <c r="F327" s="47">
        <v>0</v>
      </c>
      <c r="G327" s="47">
        <v>0</v>
      </c>
      <c r="H327" s="47">
        <f t="shared" si="58"/>
        <v>0</v>
      </c>
      <c r="I327" s="47">
        <v>0</v>
      </c>
      <c r="J327" s="47">
        <v>0</v>
      </c>
      <c r="K327" s="188" t="s">
        <v>56</v>
      </c>
      <c r="L327" s="134"/>
    </row>
    <row r="328" spans="2:12" ht="16.5" customHeight="1" thickBot="1" x14ac:dyDescent="0.25">
      <c r="B328" s="47">
        <f t="shared" si="55"/>
        <v>40</v>
      </c>
      <c r="C328" s="47">
        <f t="shared" si="56"/>
        <v>6</v>
      </c>
      <c r="D328" s="47">
        <f t="shared" si="56"/>
        <v>34</v>
      </c>
      <c r="E328" s="47">
        <f t="shared" si="57"/>
        <v>0</v>
      </c>
      <c r="F328" s="47">
        <v>0</v>
      </c>
      <c r="G328" s="47">
        <v>0</v>
      </c>
      <c r="H328" s="47">
        <f t="shared" si="58"/>
        <v>40</v>
      </c>
      <c r="I328" s="47">
        <v>6</v>
      </c>
      <c r="J328" s="47">
        <v>34</v>
      </c>
      <c r="K328" s="188" t="s">
        <v>57</v>
      </c>
      <c r="L328" s="134" t="s">
        <v>371</v>
      </c>
    </row>
    <row r="329" spans="2:12" ht="16.5" customHeight="1" thickBot="1" x14ac:dyDescent="0.25">
      <c r="B329" s="47">
        <f t="shared" si="55"/>
        <v>0</v>
      </c>
      <c r="C329" s="47">
        <f t="shared" si="56"/>
        <v>0</v>
      </c>
      <c r="D329" s="47">
        <f t="shared" si="56"/>
        <v>0</v>
      </c>
      <c r="E329" s="47">
        <f t="shared" si="57"/>
        <v>0</v>
      </c>
      <c r="F329" s="47">
        <v>0</v>
      </c>
      <c r="G329" s="47">
        <v>0</v>
      </c>
      <c r="H329" s="47">
        <f t="shared" si="58"/>
        <v>0</v>
      </c>
      <c r="I329" s="47">
        <v>0</v>
      </c>
      <c r="J329" s="47">
        <v>0</v>
      </c>
      <c r="K329" s="188" t="s">
        <v>59</v>
      </c>
      <c r="L329" s="135"/>
    </row>
    <row r="330" spans="2:12" ht="16.5" customHeight="1" thickBot="1" x14ac:dyDescent="0.25">
      <c r="B330" s="47">
        <f t="shared" si="55"/>
        <v>0</v>
      </c>
      <c r="C330" s="47">
        <f t="shared" si="56"/>
        <v>0</v>
      </c>
      <c r="D330" s="47">
        <f t="shared" si="56"/>
        <v>0</v>
      </c>
      <c r="E330" s="47">
        <f t="shared" si="57"/>
        <v>0</v>
      </c>
      <c r="F330" s="47">
        <v>0</v>
      </c>
      <c r="G330" s="47">
        <v>0</v>
      </c>
      <c r="H330" s="47">
        <f t="shared" si="58"/>
        <v>0</v>
      </c>
      <c r="I330" s="47">
        <v>0</v>
      </c>
      <c r="J330" s="47">
        <v>0</v>
      </c>
      <c r="K330" s="188" t="s">
        <v>56</v>
      </c>
      <c r="L330" s="134"/>
    </row>
    <row r="331" spans="2:12" ht="16.5" customHeight="1" thickBot="1" x14ac:dyDescent="0.25">
      <c r="B331" s="47">
        <f t="shared" si="55"/>
        <v>0</v>
      </c>
      <c r="C331" s="47">
        <f t="shared" si="56"/>
        <v>0</v>
      </c>
      <c r="D331" s="47">
        <f t="shared" si="56"/>
        <v>0</v>
      </c>
      <c r="E331" s="47">
        <f t="shared" si="57"/>
        <v>0</v>
      </c>
      <c r="F331" s="47">
        <v>0</v>
      </c>
      <c r="G331" s="47">
        <v>0</v>
      </c>
      <c r="H331" s="47">
        <f t="shared" si="58"/>
        <v>0</v>
      </c>
      <c r="I331" s="47">
        <v>0</v>
      </c>
      <c r="J331" s="47">
        <v>0</v>
      </c>
      <c r="K331" s="188" t="s">
        <v>57</v>
      </c>
      <c r="L331" s="134" t="s">
        <v>601</v>
      </c>
    </row>
    <row r="332" spans="2:12" ht="16.5" customHeight="1" thickBot="1" x14ac:dyDescent="0.25">
      <c r="B332" s="47">
        <f t="shared" si="55"/>
        <v>14</v>
      </c>
      <c r="C332" s="47">
        <f t="shared" si="56"/>
        <v>14</v>
      </c>
      <c r="D332" s="47">
        <f t="shared" si="56"/>
        <v>0</v>
      </c>
      <c r="E332" s="47">
        <f t="shared" si="57"/>
        <v>0</v>
      </c>
      <c r="F332" s="47">
        <v>0</v>
      </c>
      <c r="G332" s="47">
        <v>0</v>
      </c>
      <c r="H332" s="47">
        <f t="shared" si="58"/>
        <v>14</v>
      </c>
      <c r="I332" s="47">
        <v>14</v>
      </c>
      <c r="J332" s="47">
        <v>0</v>
      </c>
      <c r="K332" s="188" t="s">
        <v>59</v>
      </c>
      <c r="L332" s="135"/>
    </row>
    <row r="333" spans="2:12" ht="16.5" customHeight="1" thickBot="1" x14ac:dyDescent="0.25">
      <c r="B333" s="47">
        <f t="shared" ref="B333:J335" si="59">B321+B324+B327+B330</f>
        <v>0</v>
      </c>
      <c r="C333" s="47">
        <f t="shared" si="59"/>
        <v>0</v>
      </c>
      <c r="D333" s="47">
        <f t="shared" si="59"/>
        <v>0</v>
      </c>
      <c r="E333" s="47">
        <f t="shared" si="59"/>
        <v>0</v>
      </c>
      <c r="F333" s="47">
        <f t="shared" si="59"/>
        <v>0</v>
      </c>
      <c r="G333" s="47">
        <f t="shared" si="59"/>
        <v>0</v>
      </c>
      <c r="H333" s="47">
        <f t="shared" si="59"/>
        <v>0</v>
      </c>
      <c r="I333" s="47">
        <f t="shared" si="59"/>
        <v>0</v>
      </c>
      <c r="J333" s="47">
        <f>J321+J324+J327+J330</f>
        <v>0</v>
      </c>
      <c r="K333" s="188" t="s">
        <v>243</v>
      </c>
      <c r="L333" s="131"/>
    </row>
    <row r="334" spans="2:12" ht="16.5" customHeight="1" thickBot="1" x14ac:dyDescent="0.25">
      <c r="B334" s="47">
        <f t="shared" si="59"/>
        <v>121</v>
      </c>
      <c r="C334" s="47">
        <f t="shared" si="59"/>
        <v>28</v>
      </c>
      <c r="D334" s="47">
        <f t="shared" si="59"/>
        <v>93</v>
      </c>
      <c r="E334" s="47">
        <f t="shared" si="59"/>
        <v>2</v>
      </c>
      <c r="F334" s="47">
        <f t="shared" si="59"/>
        <v>2</v>
      </c>
      <c r="G334" s="47">
        <f t="shared" si="59"/>
        <v>0</v>
      </c>
      <c r="H334" s="47">
        <f t="shared" si="59"/>
        <v>119</v>
      </c>
      <c r="I334" s="47">
        <f t="shared" si="59"/>
        <v>26</v>
      </c>
      <c r="J334" s="47">
        <f t="shared" si="59"/>
        <v>93</v>
      </c>
      <c r="K334" s="188" t="s">
        <v>57</v>
      </c>
      <c r="L334" s="132" t="s">
        <v>244</v>
      </c>
    </row>
    <row r="335" spans="2:12" ht="16.5" customHeight="1" thickBot="1" x14ac:dyDescent="0.25">
      <c r="B335" s="47">
        <f t="shared" si="59"/>
        <v>51</v>
      </c>
      <c r="C335" s="47">
        <f t="shared" si="59"/>
        <v>32</v>
      </c>
      <c r="D335" s="47">
        <f t="shared" si="59"/>
        <v>19</v>
      </c>
      <c r="E335" s="47">
        <f t="shared" si="59"/>
        <v>1</v>
      </c>
      <c r="F335" s="47">
        <f t="shared" si="59"/>
        <v>1</v>
      </c>
      <c r="G335" s="47">
        <f t="shared" si="59"/>
        <v>0</v>
      </c>
      <c r="H335" s="47">
        <f t="shared" si="59"/>
        <v>50</v>
      </c>
      <c r="I335" s="47">
        <f t="shared" si="59"/>
        <v>31</v>
      </c>
      <c r="J335" s="47">
        <f t="shared" si="59"/>
        <v>19</v>
      </c>
      <c r="K335" s="188" t="s">
        <v>59</v>
      </c>
      <c r="L335" s="133"/>
    </row>
    <row r="336" spans="2:12" ht="16.5" customHeight="1" thickBot="1" x14ac:dyDescent="0.25">
      <c r="B336" s="47">
        <f t="shared" ref="B336:I336" si="60">SUM(B333:B335)</f>
        <v>172</v>
      </c>
      <c r="C336" s="47">
        <f t="shared" si="60"/>
        <v>60</v>
      </c>
      <c r="D336" s="47">
        <f t="shared" si="60"/>
        <v>112</v>
      </c>
      <c r="E336" s="47">
        <f t="shared" si="60"/>
        <v>3</v>
      </c>
      <c r="F336" s="47">
        <f t="shared" si="60"/>
        <v>3</v>
      </c>
      <c r="G336" s="47">
        <f t="shared" si="60"/>
        <v>0</v>
      </c>
      <c r="H336" s="47">
        <f t="shared" si="60"/>
        <v>169</v>
      </c>
      <c r="I336" s="47">
        <f t="shared" si="60"/>
        <v>57</v>
      </c>
      <c r="J336" s="47">
        <f>SUM(J333:J335)</f>
        <v>112</v>
      </c>
      <c r="K336" s="500" t="s">
        <v>245</v>
      </c>
      <c r="L336" s="500"/>
    </row>
    <row r="337" spans="2:12" ht="16.5" customHeight="1" thickBot="1" x14ac:dyDescent="0.25">
      <c r="B337" s="476" t="s">
        <v>4</v>
      </c>
      <c r="C337" s="476"/>
      <c r="D337" s="476"/>
      <c r="E337" s="476" t="s">
        <v>145</v>
      </c>
      <c r="F337" s="476"/>
      <c r="G337" s="476"/>
      <c r="H337" s="476" t="s">
        <v>146</v>
      </c>
      <c r="I337" s="476"/>
      <c r="J337" s="476"/>
      <c r="K337" s="479" t="s">
        <v>66</v>
      </c>
      <c r="L337" s="479"/>
    </row>
    <row r="338" spans="2:12" ht="16.5" customHeight="1" thickBot="1" x14ac:dyDescent="0.25">
      <c r="B338" s="185" t="s">
        <v>227</v>
      </c>
      <c r="C338" s="185" t="s">
        <v>10</v>
      </c>
      <c r="D338" s="185" t="s">
        <v>9</v>
      </c>
      <c r="E338" s="185" t="s">
        <v>227</v>
      </c>
      <c r="F338" s="185" t="s">
        <v>10</v>
      </c>
      <c r="G338" s="185" t="s">
        <v>9</v>
      </c>
      <c r="H338" s="185" t="s">
        <v>227</v>
      </c>
      <c r="I338" s="185" t="s">
        <v>10</v>
      </c>
      <c r="J338" s="185" t="s">
        <v>9</v>
      </c>
      <c r="K338" s="480" t="s">
        <v>117</v>
      </c>
      <c r="L338" s="480"/>
    </row>
    <row r="339" spans="2:12" ht="16.5" customHeight="1" thickBot="1" x14ac:dyDescent="0.25">
      <c r="B339" s="47">
        <f>SUM(C339:D339)</f>
        <v>0</v>
      </c>
      <c r="C339" s="47">
        <f>I339+F339</f>
        <v>0</v>
      </c>
      <c r="D339" s="47">
        <f>J339+G339</f>
        <v>0</v>
      </c>
      <c r="E339" s="47">
        <f>SUM(F339:G339)</f>
        <v>0</v>
      </c>
      <c r="F339" s="47">
        <v>0</v>
      </c>
      <c r="G339" s="47">
        <v>0</v>
      </c>
      <c r="H339" s="47">
        <f>SUM(I339:J339)</f>
        <v>0</v>
      </c>
      <c r="I339" s="47">
        <v>0</v>
      </c>
      <c r="J339" s="47">
        <v>0</v>
      </c>
      <c r="K339" s="188" t="s">
        <v>56</v>
      </c>
      <c r="L339" s="134"/>
    </row>
    <row r="340" spans="2:12" ht="16.5" customHeight="1" thickBot="1" x14ac:dyDescent="0.25">
      <c r="B340" s="47">
        <f t="shared" ref="B340:B341" si="61">SUM(C340:D340)</f>
        <v>70</v>
      </c>
      <c r="C340" s="47">
        <f t="shared" ref="C340:D341" si="62">I340+F340</f>
        <v>30</v>
      </c>
      <c r="D340" s="47">
        <f t="shared" si="62"/>
        <v>40</v>
      </c>
      <c r="E340" s="47">
        <f t="shared" ref="E340:E341" si="63">SUM(F340:G340)</f>
        <v>0</v>
      </c>
      <c r="F340" s="47">
        <v>0</v>
      </c>
      <c r="G340" s="47">
        <v>0</v>
      </c>
      <c r="H340" s="47">
        <f t="shared" ref="H340:H341" si="64">SUM(I340:J340)</f>
        <v>70</v>
      </c>
      <c r="I340" s="47">
        <v>30</v>
      </c>
      <c r="J340" s="47">
        <v>40</v>
      </c>
      <c r="K340" s="188" t="s">
        <v>57</v>
      </c>
      <c r="L340" s="134" t="s">
        <v>496</v>
      </c>
    </row>
    <row r="341" spans="2:12" ht="16.5" customHeight="1" thickBot="1" x14ac:dyDescent="0.25">
      <c r="B341" s="47">
        <f t="shared" si="61"/>
        <v>0</v>
      </c>
      <c r="C341" s="47">
        <f t="shared" si="62"/>
        <v>0</v>
      </c>
      <c r="D341" s="47">
        <f t="shared" si="62"/>
        <v>0</v>
      </c>
      <c r="E341" s="47">
        <f t="shared" si="63"/>
        <v>0</v>
      </c>
      <c r="F341" s="47">
        <v>0</v>
      </c>
      <c r="G341" s="47">
        <v>0</v>
      </c>
      <c r="H341" s="47">
        <f t="shared" si="64"/>
        <v>0</v>
      </c>
      <c r="I341" s="47">
        <v>0</v>
      </c>
      <c r="J341" s="47">
        <v>0</v>
      </c>
      <c r="K341" s="188" t="s">
        <v>59</v>
      </c>
      <c r="L341" s="135"/>
    </row>
    <row r="342" spans="2:12" ht="16.5" customHeight="1" thickBot="1" x14ac:dyDescent="0.25">
      <c r="B342" s="47">
        <f t="shared" ref="B342:J344" si="65">B339</f>
        <v>0</v>
      </c>
      <c r="C342" s="47">
        <f t="shared" si="65"/>
        <v>0</v>
      </c>
      <c r="D342" s="47">
        <f t="shared" si="65"/>
        <v>0</v>
      </c>
      <c r="E342" s="47">
        <f t="shared" si="65"/>
        <v>0</v>
      </c>
      <c r="F342" s="47">
        <f t="shared" si="65"/>
        <v>0</v>
      </c>
      <c r="G342" s="47">
        <f t="shared" si="65"/>
        <v>0</v>
      </c>
      <c r="H342" s="47">
        <f t="shared" si="65"/>
        <v>0</v>
      </c>
      <c r="I342" s="47">
        <f t="shared" si="65"/>
        <v>0</v>
      </c>
      <c r="J342" s="47">
        <f>J339</f>
        <v>0</v>
      </c>
      <c r="K342" s="188" t="s">
        <v>243</v>
      </c>
      <c r="L342" s="131"/>
    </row>
    <row r="343" spans="2:12" ht="16.5" customHeight="1" thickBot="1" x14ac:dyDescent="0.25">
      <c r="B343" s="47">
        <f t="shared" si="65"/>
        <v>70</v>
      </c>
      <c r="C343" s="47">
        <f t="shared" si="65"/>
        <v>30</v>
      </c>
      <c r="D343" s="47">
        <f t="shared" si="65"/>
        <v>40</v>
      </c>
      <c r="E343" s="47">
        <f t="shared" si="65"/>
        <v>0</v>
      </c>
      <c r="F343" s="47">
        <f t="shared" si="65"/>
        <v>0</v>
      </c>
      <c r="G343" s="47">
        <f t="shared" si="65"/>
        <v>0</v>
      </c>
      <c r="H343" s="47">
        <f t="shared" si="65"/>
        <v>70</v>
      </c>
      <c r="I343" s="47">
        <f t="shared" si="65"/>
        <v>30</v>
      </c>
      <c r="J343" s="47">
        <f t="shared" si="65"/>
        <v>40</v>
      </c>
      <c r="K343" s="188" t="s">
        <v>57</v>
      </c>
      <c r="L343" s="132" t="s">
        <v>244</v>
      </c>
    </row>
    <row r="344" spans="2:12" ht="16.5" customHeight="1" thickBot="1" x14ac:dyDescent="0.25">
      <c r="B344" s="47">
        <f t="shared" si="65"/>
        <v>0</v>
      </c>
      <c r="C344" s="47">
        <f t="shared" si="65"/>
        <v>0</v>
      </c>
      <c r="D344" s="47">
        <f t="shared" si="65"/>
        <v>0</v>
      </c>
      <c r="E344" s="47">
        <f t="shared" si="65"/>
        <v>0</v>
      </c>
      <c r="F344" s="47">
        <f t="shared" si="65"/>
        <v>0</v>
      </c>
      <c r="G344" s="47">
        <f t="shared" si="65"/>
        <v>0</v>
      </c>
      <c r="H344" s="47">
        <f t="shared" si="65"/>
        <v>0</v>
      </c>
      <c r="I344" s="47">
        <f t="shared" si="65"/>
        <v>0</v>
      </c>
      <c r="J344" s="47">
        <f t="shared" si="65"/>
        <v>0</v>
      </c>
      <c r="K344" s="188" t="s">
        <v>59</v>
      </c>
      <c r="L344" s="133"/>
    </row>
    <row r="345" spans="2:12" ht="16.5" customHeight="1" thickBot="1" x14ac:dyDescent="0.25">
      <c r="B345" s="47">
        <f t="shared" ref="B345:I345" si="66">SUM(B342:B344)</f>
        <v>70</v>
      </c>
      <c r="C345" s="47">
        <f t="shared" si="66"/>
        <v>30</v>
      </c>
      <c r="D345" s="47">
        <f t="shared" si="66"/>
        <v>40</v>
      </c>
      <c r="E345" s="47">
        <f t="shared" si="66"/>
        <v>0</v>
      </c>
      <c r="F345" s="47">
        <f t="shared" si="66"/>
        <v>0</v>
      </c>
      <c r="G345" s="47">
        <f t="shared" si="66"/>
        <v>0</v>
      </c>
      <c r="H345" s="47">
        <f t="shared" si="66"/>
        <v>70</v>
      </c>
      <c r="I345" s="47">
        <f t="shared" si="66"/>
        <v>30</v>
      </c>
      <c r="J345" s="47">
        <f>SUM(J342:J344)</f>
        <v>40</v>
      </c>
      <c r="K345" s="500" t="s">
        <v>245</v>
      </c>
      <c r="L345" s="500"/>
    </row>
    <row r="346" spans="2:12" ht="16.5" customHeight="1" thickBot="1" x14ac:dyDescent="0.25">
      <c r="B346" s="476" t="s">
        <v>4</v>
      </c>
      <c r="C346" s="476"/>
      <c r="D346" s="476"/>
      <c r="E346" s="476" t="s">
        <v>145</v>
      </c>
      <c r="F346" s="476"/>
      <c r="G346" s="476"/>
      <c r="H346" s="476" t="s">
        <v>146</v>
      </c>
      <c r="I346" s="476"/>
      <c r="J346" s="476"/>
      <c r="K346" s="479" t="s">
        <v>66</v>
      </c>
      <c r="L346" s="479"/>
    </row>
    <row r="347" spans="2:12" ht="16.5" customHeight="1" thickBot="1" x14ac:dyDescent="0.25">
      <c r="B347" s="185" t="s">
        <v>227</v>
      </c>
      <c r="C347" s="185" t="s">
        <v>10</v>
      </c>
      <c r="D347" s="185" t="s">
        <v>9</v>
      </c>
      <c r="E347" s="185" t="s">
        <v>227</v>
      </c>
      <c r="F347" s="185" t="s">
        <v>10</v>
      </c>
      <c r="G347" s="185" t="s">
        <v>9</v>
      </c>
      <c r="H347" s="185" t="s">
        <v>227</v>
      </c>
      <c r="I347" s="185" t="s">
        <v>10</v>
      </c>
      <c r="J347" s="185" t="s">
        <v>9</v>
      </c>
      <c r="K347" s="480" t="s">
        <v>148</v>
      </c>
      <c r="L347" s="480"/>
    </row>
    <row r="348" spans="2:12" ht="16.5" customHeight="1" thickBot="1" x14ac:dyDescent="0.25">
      <c r="B348" s="47">
        <f>SUM(C348:D348)</f>
        <v>0</v>
      </c>
      <c r="C348" s="47">
        <f>I348+F348</f>
        <v>0</v>
      </c>
      <c r="D348" s="47">
        <f>J348+G348</f>
        <v>0</v>
      </c>
      <c r="E348" s="47">
        <f>SUM(F348:G348)</f>
        <v>0</v>
      </c>
      <c r="F348" s="47">
        <v>0</v>
      </c>
      <c r="G348" s="47">
        <v>0</v>
      </c>
      <c r="H348" s="47">
        <f>SUM(I348:J348)</f>
        <v>0</v>
      </c>
      <c r="I348" s="47">
        <v>0</v>
      </c>
      <c r="J348" s="47">
        <v>0</v>
      </c>
      <c r="K348" s="188" t="s">
        <v>56</v>
      </c>
      <c r="L348" s="134"/>
    </row>
    <row r="349" spans="2:12" ht="16.5" customHeight="1" thickBot="1" x14ac:dyDescent="0.25">
      <c r="B349" s="47">
        <f t="shared" ref="B349:B353" si="67">SUM(C349:D349)</f>
        <v>38</v>
      </c>
      <c r="C349" s="47">
        <f t="shared" ref="C349:D353" si="68">I349+F349</f>
        <v>18</v>
      </c>
      <c r="D349" s="47">
        <f t="shared" si="68"/>
        <v>20</v>
      </c>
      <c r="E349" s="47">
        <f t="shared" ref="E349:E353" si="69">SUM(F349:G349)</f>
        <v>0</v>
      </c>
      <c r="F349" s="47">
        <v>0</v>
      </c>
      <c r="G349" s="47">
        <v>0</v>
      </c>
      <c r="H349" s="47">
        <f t="shared" ref="H349:H353" si="70">SUM(I349:J349)</f>
        <v>38</v>
      </c>
      <c r="I349" s="47">
        <v>18</v>
      </c>
      <c r="J349" s="47">
        <v>20</v>
      </c>
      <c r="K349" s="188" t="s">
        <v>57</v>
      </c>
      <c r="L349" s="134" t="s">
        <v>602</v>
      </c>
    </row>
    <row r="350" spans="2:12" ht="16.5" customHeight="1" thickBot="1" x14ac:dyDescent="0.25">
      <c r="B350" s="47">
        <f t="shared" si="67"/>
        <v>0</v>
      </c>
      <c r="C350" s="47">
        <f t="shared" si="68"/>
        <v>0</v>
      </c>
      <c r="D350" s="47">
        <f t="shared" si="68"/>
        <v>0</v>
      </c>
      <c r="E350" s="47">
        <f t="shared" si="69"/>
        <v>0</v>
      </c>
      <c r="F350" s="47">
        <v>0</v>
      </c>
      <c r="G350" s="47">
        <v>0</v>
      </c>
      <c r="H350" s="47">
        <f t="shared" si="70"/>
        <v>0</v>
      </c>
      <c r="I350" s="47">
        <v>0</v>
      </c>
      <c r="J350" s="47">
        <v>0</v>
      </c>
      <c r="K350" s="188" t="s">
        <v>59</v>
      </c>
      <c r="L350" s="135"/>
    </row>
    <row r="351" spans="2:12" ht="16.5" customHeight="1" thickBot="1" x14ac:dyDescent="0.25">
      <c r="B351" s="47">
        <f t="shared" si="67"/>
        <v>0</v>
      </c>
      <c r="C351" s="47">
        <f t="shared" si="68"/>
        <v>0</v>
      </c>
      <c r="D351" s="47">
        <f t="shared" si="68"/>
        <v>0</v>
      </c>
      <c r="E351" s="47">
        <f t="shared" si="69"/>
        <v>0</v>
      </c>
      <c r="F351" s="47">
        <v>0</v>
      </c>
      <c r="G351" s="47">
        <v>0</v>
      </c>
      <c r="H351" s="47">
        <f t="shared" si="70"/>
        <v>0</v>
      </c>
      <c r="I351" s="47">
        <v>0</v>
      </c>
      <c r="J351" s="47">
        <v>0</v>
      </c>
      <c r="K351" s="188" t="s">
        <v>56</v>
      </c>
      <c r="L351" s="134"/>
    </row>
    <row r="352" spans="2:12" ht="16.5" customHeight="1" thickBot="1" x14ac:dyDescent="0.25">
      <c r="B352" s="47">
        <f t="shared" si="67"/>
        <v>18</v>
      </c>
      <c r="C352" s="47">
        <f t="shared" si="68"/>
        <v>8</v>
      </c>
      <c r="D352" s="47">
        <f t="shared" si="68"/>
        <v>10</v>
      </c>
      <c r="E352" s="47">
        <f t="shared" si="69"/>
        <v>0</v>
      </c>
      <c r="F352" s="47">
        <v>0</v>
      </c>
      <c r="G352" s="47">
        <v>0</v>
      </c>
      <c r="H352" s="47">
        <f t="shared" si="70"/>
        <v>18</v>
      </c>
      <c r="I352" s="47">
        <v>8</v>
      </c>
      <c r="J352" s="47">
        <v>10</v>
      </c>
      <c r="K352" s="188" t="s">
        <v>57</v>
      </c>
      <c r="L352" s="134" t="s">
        <v>603</v>
      </c>
    </row>
    <row r="353" spans="2:12" ht="16.5" customHeight="1" thickBot="1" x14ac:dyDescent="0.25">
      <c r="B353" s="47">
        <f t="shared" si="67"/>
        <v>0</v>
      </c>
      <c r="C353" s="47">
        <f t="shared" si="68"/>
        <v>0</v>
      </c>
      <c r="D353" s="47">
        <f t="shared" si="68"/>
        <v>0</v>
      </c>
      <c r="E353" s="47">
        <f t="shared" si="69"/>
        <v>0</v>
      </c>
      <c r="F353" s="47">
        <v>0</v>
      </c>
      <c r="G353" s="47">
        <v>0</v>
      </c>
      <c r="H353" s="47">
        <f t="shared" si="70"/>
        <v>0</v>
      </c>
      <c r="I353" s="47">
        <v>0</v>
      </c>
      <c r="J353" s="47">
        <v>0</v>
      </c>
      <c r="K353" s="188" t="s">
        <v>59</v>
      </c>
      <c r="L353" s="135"/>
    </row>
    <row r="354" spans="2:12" ht="16.5" customHeight="1" thickBot="1" x14ac:dyDescent="0.25">
      <c r="B354" s="47">
        <f t="shared" ref="B354:J356" si="71">B348+B351</f>
        <v>0</v>
      </c>
      <c r="C354" s="47">
        <f t="shared" si="71"/>
        <v>0</v>
      </c>
      <c r="D354" s="47">
        <f t="shared" si="71"/>
        <v>0</v>
      </c>
      <c r="E354" s="47">
        <f t="shared" si="71"/>
        <v>0</v>
      </c>
      <c r="F354" s="47">
        <f t="shared" si="71"/>
        <v>0</v>
      </c>
      <c r="G354" s="47">
        <f t="shared" si="71"/>
        <v>0</v>
      </c>
      <c r="H354" s="47">
        <f t="shared" si="71"/>
        <v>0</v>
      </c>
      <c r="I354" s="47">
        <f t="shared" si="71"/>
        <v>0</v>
      </c>
      <c r="J354" s="47">
        <f>J348+J351</f>
        <v>0</v>
      </c>
      <c r="K354" s="188" t="s">
        <v>243</v>
      </c>
      <c r="L354" s="131"/>
    </row>
    <row r="355" spans="2:12" ht="16.5" customHeight="1" thickBot="1" x14ac:dyDescent="0.25">
      <c r="B355" s="47">
        <f t="shared" si="71"/>
        <v>56</v>
      </c>
      <c r="C355" s="47">
        <f t="shared" si="71"/>
        <v>26</v>
      </c>
      <c r="D355" s="47">
        <f t="shared" si="71"/>
        <v>30</v>
      </c>
      <c r="E355" s="47">
        <f t="shared" si="71"/>
        <v>0</v>
      </c>
      <c r="F355" s="47">
        <f t="shared" si="71"/>
        <v>0</v>
      </c>
      <c r="G355" s="47">
        <f t="shared" si="71"/>
        <v>0</v>
      </c>
      <c r="H355" s="47">
        <f t="shared" si="71"/>
        <v>56</v>
      </c>
      <c r="I355" s="47">
        <f t="shared" si="71"/>
        <v>26</v>
      </c>
      <c r="J355" s="47">
        <f t="shared" si="71"/>
        <v>30</v>
      </c>
      <c r="K355" s="188" t="s">
        <v>57</v>
      </c>
      <c r="L355" s="132" t="s">
        <v>244</v>
      </c>
    </row>
    <row r="356" spans="2:12" ht="16.5" customHeight="1" thickBot="1" x14ac:dyDescent="0.25">
      <c r="B356" s="47">
        <f t="shared" si="71"/>
        <v>0</v>
      </c>
      <c r="C356" s="47">
        <f t="shared" si="71"/>
        <v>0</v>
      </c>
      <c r="D356" s="47">
        <f t="shared" si="71"/>
        <v>0</v>
      </c>
      <c r="E356" s="47">
        <f t="shared" si="71"/>
        <v>0</v>
      </c>
      <c r="F356" s="47">
        <f t="shared" si="71"/>
        <v>0</v>
      </c>
      <c r="G356" s="47">
        <f t="shared" si="71"/>
        <v>0</v>
      </c>
      <c r="H356" s="47">
        <f t="shared" si="71"/>
        <v>0</v>
      </c>
      <c r="I356" s="47">
        <f t="shared" si="71"/>
        <v>0</v>
      </c>
      <c r="J356" s="47">
        <f t="shared" si="71"/>
        <v>0</v>
      </c>
      <c r="K356" s="188" t="s">
        <v>59</v>
      </c>
      <c r="L356" s="133"/>
    </row>
    <row r="357" spans="2:12" ht="16.5" customHeight="1" thickBot="1" x14ac:dyDescent="0.25">
      <c r="B357" s="47">
        <f t="shared" ref="B357:I357" si="72">SUM(B354:B356)</f>
        <v>56</v>
      </c>
      <c r="C357" s="47">
        <f t="shared" si="72"/>
        <v>26</v>
      </c>
      <c r="D357" s="47">
        <f t="shared" si="72"/>
        <v>30</v>
      </c>
      <c r="E357" s="47">
        <f t="shared" si="72"/>
        <v>0</v>
      </c>
      <c r="F357" s="47">
        <f t="shared" si="72"/>
        <v>0</v>
      </c>
      <c r="G357" s="47">
        <f t="shared" si="72"/>
        <v>0</v>
      </c>
      <c r="H357" s="47">
        <f t="shared" si="72"/>
        <v>56</v>
      </c>
      <c r="I357" s="47">
        <f t="shared" si="72"/>
        <v>26</v>
      </c>
      <c r="J357" s="47">
        <f>SUM(J354:J356)</f>
        <v>30</v>
      </c>
      <c r="K357" s="500" t="s">
        <v>245</v>
      </c>
      <c r="L357" s="500"/>
    </row>
    <row r="358" spans="2:12" ht="16.5" customHeight="1" thickBot="1" x14ac:dyDescent="0.25">
      <c r="B358" s="476" t="s">
        <v>4</v>
      </c>
      <c r="C358" s="476"/>
      <c r="D358" s="476"/>
      <c r="E358" s="476" t="s">
        <v>145</v>
      </c>
      <c r="F358" s="476"/>
      <c r="G358" s="476"/>
      <c r="H358" s="476" t="s">
        <v>146</v>
      </c>
      <c r="I358" s="476"/>
      <c r="J358" s="476"/>
      <c r="K358" s="479" t="s">
        <v>66</v>
      </c>
      <c r="L358" s="479"/>
    </row>
    <row r="359" spans="2:12" ht="16.5" customHeight="1" thickBot="1" x14ac:dyDescent="0.25">
      <c r="B359" s="185" t="s">
        <v>227</v>
      </c>
      <c r="C359" s="185" t="s">
        <v>10</v>
      </c>
      <c r="D359" s="185" t="s">
        <v>9</v>
      </c>
      <c r="E359" s="185" t="s">
        <v>227</v>
      </c>
      <c r="F359" s="185" t="s">
        <v>10</v>
      </c>
      <c r="G359" s="185" t="s">
        <v>9</v>
      </c>
      <c r="H359" s="185" t="s">
        <v>227</v>
      </c>
      <c r="I359" s="185" t="s">
        <v>10</v>
      </c>
      <c r="J359" s="185" t="s">
        <v>9</v>
      </c>
      <c r="K359" s="480" t="s">
        <v>155</v>
      </c>
      <c r="L359" s="480"/>
    </row>
    <row r="360" spans="2:12" ht="16.5" customHeight="1" thickBot="1" x14ac:dyDescent="0.25">
      <c r="B360" s="47">
        <f t="shared" ref="B360:B365" si="73">D360+C360</f>
        <v>0</v>
      </c>
      <c r="C360" s="47">
        <f t="shared" ref="C360:D365" si="74">I360+F360</f>
        <v>0</v>
      </c>
      <c r="D360" s="47">
        <f t="shared" si="74"/>
        <v>0</v>
      </c>
      <c r="E360" s="47">
        <f>G360+F360</f>
        <v>0</v>
      </c>
      <c r="F360" s="47">
        <v>0</v>
      </c>
      <c r="G360" s="47">
        <v>0</v>
      </c>
      <c r="H360" s="47">
        <f>J360+I360</f>
        <v>0</v>
      </c>
      <c r="I360" s="47">
        <v>0</v>
      </c>
      <c r="J360" s="47">
        <v>0</v>
      </c>
      <c r="K360" s="188" t="s">
        <v>56</v>
      </c>
      <c r="L360" s="134"/>
    </row>
    <row r="361" spans="2:12" ht="16.5" customHeight="1" thickBot="1" x14ac:dyDescent="0.25">
      <c r="B361" s="47">
        <f t="shared" si="73"/>
        <v>60</v>
      </c>
      <c r="C361" s="47">
        <f t="shared" si="74"/>
        <v>29</v>
      </c>
      <c r="D361" s="47">
        <f t="shared" si="74"/>
        <v>31</v>
      </c>
      <c r="E361" s="47">
        <f t="shared" ref="E361:E365" si="75">G361+F361</f>
        <v>0</v>
      </c>
      <c r="F361" s="47">
        <v>0</v>
      </c>
      <c r="G361" s="47">
        <v>0</v>
      </c>
      <c r="H361" s="47">
        <f t="shared" ref="H361:H365" si="76">J361+I361</f>
        <v>60</v>
      </c>
      <c r="I361" s="47">
        <v>29</v>
      </c>
      <c r="J361" s="47">
        <v>31</v>
      </c>
      <c r="K361" s="188" t="s">
        <v>57</v>
      </c>
      <c r="L361" s="134" t="s">
        <v>127</v>
      </c>
    </row>
    <row r="362" spans="2:12" ht="16.5" customHeight="1" thickBot="1" x14ac:dyDescent="0.25">
      <c r="B362" s="47">
        <f t="shared" si="73"/>
        <v>0</v>
      </c>
      <c r="C362" s="47">
        <f t="shared" si="74"/>
        <v>0</v>
      </c>
      <c r="D362" s="47">
        <f t="shared" si="74"/>
        <v>0</v>
      </c>
      <c r="E362" s="47">
        <f t="shared" si="75"/>
        <v>0</v>
      </c>
      <c r="F362" s="47">
        <v>0</v>
      </c>
      <c r="G362" s="47">
        <v>0</v>
      </c>
      <c r="H362" s="47">
        <f t="shared" si="76"/>
        <v>0</v>
      </c>
      <c r="I362" s="47">
        <v>0</v>
      </c>
      <c r="J362" s="47">
        <v>0</v>
      </c>
      <c r="K362" s="188" t="s">
        <v>59</v>
      </c>
      <c r="L362" s="135"/>
    </row>
    <row r="363" spans="2:12" ht="16.5" customHeight="1" thickBot="1" x14ac:dyDescent="0.25">
      <c r="B363" s="47">
        <f t="shared" si="73"/>
        <v>0</v>
      </c>
      <c r="C363" s="47">
        <f t="shared" si="74"/>
        <v>0</v>
      </c>
      <c r="D363" s="47">
        <f t="shared" si="74"/>
        <v>0</v>
      </c>
      <c r="E363" s="47">
        <f t="shared" si="75"/>
        <v>0</v>
      </c>
      <c r="F363" s="47">
        <v>0</v>
      </c>
      <c r="G363" s="47">
        <v>0</v>
      </c>
      <c r="H363" s="47">
        <f t="shared" si="76"/>
        <v>0</v>
      </c>
      <c r="I363" s="47">
        <v>0</v>
      </c>
      <c r="J363" s="47">
        <v>0</v>
      </c>
      <c r="K363" s="188" t="s">
        <v>56</v>
      </c>
      <c r="L363" s="134"/>
    </row>
    <row r="364" spans="2:12" ht="16.5" customHeight="1" thickBot="1" x14ac:dyDescent="0.25">
      <c r="B364" s="47">
        <f t="shared" si="73"/>
        <v>0</v>
      </c>
      <c r="C364" s="47">
        <f t="shared" si="74"/>
        <v>0</v>
      </c>
      <c r="D364" s="47">
        <f t="shared" si="74"/>
        <v>0</v>
      </c>
      <c r="E364" s="47">
        <f t="shared" si="75"/>
        <v>0</v>
      </c>
      <c r="F364" s="47">
        <v>0</v>
      </c>
      <c r="G364" s="47">
        <v>0</v>
      </c>
      <c r="H364" s="47">
        <f t="shared" si="76"/>
        <v>0</v>
      </c>
      <c r="I364" s="47">
        <v>0</v>
      </c>
      <c r="J364" s="47">
        <v>0</v>
      </c>
      <c r="K364" s="188" t="s">
        <v>57</v>
      </c>
      <c r="L364" s="134" t="s">
        <v>128</v>
      </c>
    </row>
    <row r="365" spans="2:12" ht="16.5" customHeight="1" thickBot="1" x14ac:dyDescent="0.25">
      <c r="B365" s="47">
        <f t="shared" si="73"/>
        <v>224</v>
      </c>
      <c r="C365" s="47">
        <f t="shared" si="74"/>
        <v>113</v>
      </c>
      <c r="D365" s="47">
        <f t="shared" si="74"/>
        <v>111</v>
      </c>
      <c r="E365" s="47">
        <f t="shared" si="75"/>
        <v>11</v>
      </c>
      <c r="F365" s="47">
        <v>8</v>
      </c>
      <c r="G365" s="47">
        <v>3</v>
      </c>
      <c r="H365" s="47">
        <f t="shared" si="76"/>
        <v>213</v>
      </c>
      <c r="I365" s="47">
        <v>105</v>
      </c>
      <c r="J365" s="47">
        <v>108</v>
      </c>
      <c r="K365" s="188" t="s">
        <v>59</v>
      </c>
      <c r="L365" s="135"/>
    </row>
    <row r="366" spans="2:12" ht="16.5" customHeight="1" thickBot="1" x14ac:dyDescent="0.25">
      <c r="B366" s="47">
        <f t="shared" ref="B366:I368" si="77">B360+B363</f>
        <v>0</v>
      </c>
      <c r="C366" s="47">
        <f t="shared" si="77"/>
        <v>0</v>
      </c>
      <c r="D366" s="47">
        <f t="shared" si="77"/>
        <v>0</v>
      </c>
      <c r="E366" s="47">
        <f t="shared" si="77"/>
        <v>0</v>
      </c>
      <c r="F366" s="47">
        <f t="shared" si="77"/>
        <v>0</v>
      </c>
      <c r="G366" s="47">
        <f t="shared" si="77"/>
        <v>0</v>
      </c>
      <c r="H366" s="47">
        <f t="shared" si="77"/>
        <v>0</v>
      </c>
      <c r="I366" s="47">
        <f t="shared" si="77"/>
        <v>0</v>
      </c>
      <c r="J366" s="47">
        <f>J360+J363</f>
        <v>0</v>
      </c>
      <c r="K366" s="188" t="s">
        <v>243</v>
      </c>
      <c r="L366" s="131"/>
    </row>
    <row r="367" spans="2:12" ht="16.5" customHeight="1" thickBot="1" x14ac:dyDescent="0.25">
      <c r="B367" s="47">
        <f t="shared" si="77"/>
        <v>60</v>
      </c>
      <c r="C367" s="47">
        <f t="shared" si="77"/>
        <v>29</v>
      </c>
      <c r="D367" s="47">
        <f t="shared" si="77"/>
        <v>31</v>
      </c>
      <c r="E367" s="47">
        <f t="shared" si="77"/>
        <v>0</v>
      </c>
      <c r="F367" s="47">
        <f t="shared" si="77"/>
        <v>0</v>
      </c>
      <c r="G367" s="47">
        <f t="shared" si="77"/>
        <v>0</v>
      </c>
      <c r="H367" s="47">
        <f t="shared" si="77"/>
        <v>60</v>
      </c>
      <c r="I367" s="47">
        <f t="shared" si="77"/>
        <v>29</v>
      </c>
      <c r="J367" s="47">
        <f>J361+J364</f>
        <v>31</v>
      </c>
      <c r="K367" s="188" t="s">
        <v>57</v>
      </c>
      <c r="L367" s="132" t="s">
        <v>244</v>
      </c>
    </row>
    <row r="368" spans="2:12" ht="16.5" customHeight="1" thickBot="1" x14ac:dyDescent="0.25">
      <c r="B368" s="47">
        <f t="shared" si="77"/>
        <v>224</v>
      </c>
      <c r="C368" s="47">
        <f t="shared" si="77"/>
        <v>113</v>
      </c>
      <c r="D368" s="47">
        <f t="shared" si="77"/>
        <v>111</v>
      </c>
      <c r="E368" s="47">
        <f t="shared" si="77"/>
        <v>11</v>
      </c>
      <c r="F368" s="47">
        <f t="shared" si="77"/>
        <v>8</v>
      </c>
      <c r="G368" s="47">
        <f t="shared" si="77"/>
        <v>3</v>
      </c>
      <c r="H368" s="47">
        <f t="shared" si="77"/>
        <v>213</v>
      </c>
      <c r="I368" s="47">
        <f t="shared" si="77"/>
        <v>105</v>
      </c>
      <c r="J368" s="47">
        <f>J362+J365</f>
        <v>108</v>
      </c>
      <c r="K368" s="188" t="s">
        <v>59</v>
      </c>
      <c r="L368" s="133"/>
    </row>
    <row r="369" spans="2:12" ht="16.5" customHeight="1" thickBot="1" x14ac:dyDescent="0.25">
      <c r="B369" s="47">
        <f t="shared" ref="B369:I369" si="78">B366+B367+B368</f>
        <v>284</v>
      </c>
      <c r="C369" s="47">
        <f t="shared" si="78"/>
        <v>142</v>
      </c>
      <c r="D369" s="47">
        <f t="shared" si="78"/>
        <v>142</v>
      </c>
      <c r="E369" s="47">
        <f t="shared" si="78"/>
        <v>11</v>
      </c>
      <c r="F369" s="47">
        <f t="shared" si="78"/>
        <v>8</v>
      </c>
      <c r="G369" s="47">
        <f t="shared" si="78"/>
        <v>3</v>
      </c>
      <c r="H369" s="47">
        <f t="shared" si="78"/>
        <v>273</v>
      </c>
      <c r="I369" s="47">
        <f t="shared" si="78"/>
        <v>134</v>
      </c>
      <c r="J369" s="47">
        <f>J366+J367+J368</f>
        <v>139</v>
      </c>
      <c r="K369" s="500" t="s">
        <v>245</v>
      </c>
      <c r="L369" s="500"/>
    </row>
    <row r="370" spans="2:12" ht="16.5" customHeight="1" thickBot="1" x14ac:dyDescent="0.25">
      <c r="B370" s="476" t="s">
        <v>4</v>
      </c>
      <c r="C370" s="476"/>
      <c r="D370" s="476"/>
      <c r="E370" s="476" t="s">
        <v>145</v>
      </c>
      <c r="F370" s="476"/>
      <c r="G370" s="476"/>
      <c r="H370" s="476" t="s">
        <v>146</v>
      </c>
      <c r="I370" s="476"/>
      <c r="J370" s="476"/>
      <c r="K370" s="479" t="s">
        <v>66</v>
      </c>
      <c r="L370" s="479"/>
    </row>
    <row r="371" spans="2:12" ht="16.5" customHeight="1" thickBot="1" x14ac:dyDescent="0.25">
      <c r="B371" s="185" t="s">
        <v>227</v>
      </c>
      <c r="C371" s="185" t="s">
        <v>10</v>
      </c>
      <c r="D371" s="185" t="s">
        <v>9</v>
      </c>
      <c r="E371" s="185" t="s">
        <v>227</v>
      </c>
      <c r="F371" s="185" t="s">
        <v>10</v>
      </c>
      <c r="G371" s="185" t="s">
        <v>9</v>
      </c>
      <c r="H371" s="185" t="s">
        <v>227</v>
      </c>
      <c r="I371" s="185" t="s">
        <v>10</v>
      </c>
      <c r="J371" s="185" t="s">
        <v>9</v>
      </c>
      <c r="K371" s="480" t="s">
        <v>153</v>
      </c>
      <c r="L371" s="480"/>
    </row>
    <row r="372" spans="2:12" ht="16.5" customHeight="1" thickBot="1" x14ac:dyDescent="0.25">
      <c r="B372" s="47">
        <f>SUM(C372:D372)</f>
        <v>0</v>
      </c>
      <c r="C372" s="47">
        <f>I372+F372</f>
        <v>0</v>
      </c>
      <c r="D372" s="47">
        <f>J372+G372</f>
        <v>0</v>
      </c>
      <c r="E372" s="47">
        <f>SUM(F372:G372)</f>
        <v>0</v>
      </c>
      <c r="F372" s="47">
        <v>0</v>
      </c>
      <c r="G372" s="47">
        <v>0</v>
      </c>
      <c r="H372" s="47">
        <f>SUM(I372:J372)</f>
        <v>0</v>
      </c>
      <c r="I372" s="47">
        <v>0</v>
      </c>
      <c r="J372" s="47">
        <v>0</v>
      </c>
      <c r="K372" s="188" t="s">
        <v>56</v>
      </c>
      <c r="L372" s="248"/>
    </row>
    <row r="373" spans="2:12" ht="16.5" customHeight="1" thickBot="1" x14ac:dyDescent="0.25">
      <c r="B373" s="47">
        <f t="shared" ref="B373:B377" si="79">SUM(C373:D373)</f>
        <v>0</v>
      </c>
      <c r="C373" s="47">
        <f t="shared" ref="C373:D377" si="80">I373+F373</f>
        <v>0</v>
      </c>
      <c r="D373" s="47">
        <f t="shared" si="80"/>
        <v>0</v>
      </c>
      <c r="E373" s="47">
        <f t="shared" ref="E373:E377" si="81">SUM(F373:G373)</f>
        <v>0</v>
      </c>
      <c r="F373" s="47">
        <v>0</v>
      </c>
      <c r="G373" s="47">
        <v>0</v>
      </c>
      <c r="H373" s="47">
        <f t="shared" ref="H373:H377" si="82">SUM(I373:J373)</f>
        <v>0</v>
      </c>
      <c r="I373" s="47">
        <v>0</v>
      </c>
      <c r="J373" s="47">
        <v>0</v>
      </c>
      <c r="K373" s="188" t="s">
        <v>57</v>
      </c>
      <c r="L373" s="248" t="s">
        <v>153</v>
      </c>
    </row>
    <row r="374" spans="2:12" ht="16.5" customHeight="1" thickBot="1" x14ac:dyDescent="0.25">
      <c r="B374" s="47">
        <f t="shared" si="79"/>
        <v>270</v>
      </c>
      <c r="C374" s="47">
        <f t="shared" si="80"/>
        <v>0</v>
      </c>
      <c r="D374" s="47">
        <f t="shared" si="80"/>
        <v>270</v>
      </c>
      <c r="E374" s="47">
        <f t="shared" si="81"/>
        <v>0</v>
      </c>
      <c r="F374" s="47">
        <v>0</v>
      </c>
      <c r="G374" s="47">
        <v>0</v>
      </c>
      <c r="H374" s="47">
        <f t="shared" si="82"/>
        <v>270</v>
      </c>
      <c r="I374" s="47">
        <v>0</v>
      </c>
      <c r="J374" s="47">
        <v>270</v>
      </c>
      <c r="K374" s="188" t="s">
        <v>59</v>
      </c>
      <c r="L374" s="255"/>
    </row>
    <row r="375" spans="2:12" ht="16.5" customHeight="1" thickBot="1" x14ac:dyDescent="0.25">
      <c r="B375" s="47">
        <f t="shared" si="79"/>
        <v>0</v>
      </c>
      <c r="C375" s="47">
        <f t="shared" si="80"/>
        <v>0</v>
      </c>
      <c r="D375" s="47">
        <f t="shared" si="80"/>
        <v>0</v>
      </c>
      <c r="E375" s="47">
        <f t="shared" si="81"/>
        <v>0</v>
      </c>
      <c r="F375" s="47">
        <f t="shared" ref="F375:J377" si="83">F372</f>
        <v>0</v>
      </c>
      <c r="G375" s="47">
        <f t="shared" si="83"/>
        <v>0</v>
      </c>
      <c r="H375" s="47">
        <f t="shared" si="82"/>
        <v>0</v>
      </c>
      <c r="I375" s="47">
        <f t="shared" si="83"/>
        <v>0</v>
      </c>
      <c r="J375" s="47">
        <f>J372</f>
        <v>0</v>
      </c>
      <c r="K375" s="188" t="s">
        <v>243</v>
      </c>
      <c r="L375" s="250"/>
    </row>
    <row r="376" spans="2:12" ht="16.5" customHeight="1" thickBot="1" x14ac:dyDescent="0.25">
      <c r="B376" s="47">
        <f t="shared" si="79"/>
        <v>0</v>
      </c>
      <c r="C376" s="47">
        <f t="shared" si="80"/>
        <v>0</v>
      </c>
      <c r="D376" s="47">
        <f t="shared" si="80"/>
        <v>0</v>
      </c>
      <c r="E376" s="47">
        <f t="shared" si="81"/>
        <v>0</v>
      </c>
      <c r="F376" s="47">
        <f t="shared" si="83"/>
        <v>0</v>
      </c>
      <c r="G376" s="47">
        <f t="shared" si="83"/>
        <v>0</v>
      </c>
      <c r="H376" s="47">
        <f t="shared" si="82"/>
        <v>0</v>
      </c>
      <c r="I376" s="47">
        <f t="shared" si="83"/>
        <v>0</v>
      </c>
      <c r="J376" s="47">
        <f t="shared" si="83"/>
        <v>0</v>
      </c>
      <c r="K376" s="188" t="s">
        <v>57</v>
      </c>
      <c r="L376" s="251" t="s">
        <v>244</v>
      </c>
    </row>
    <row r="377" spans="2:12" ht="16.5" customHeight="1" thickBot="1" x14ac:dyDescent="0.25">
      <c r="B377" s="47">
        <f t="shared" si="79"/>
        <v>270</v>
      </c>
      <c r="C377" s="47">
        <f t="shared" si="80"/>
        <v>0</v>
      </c>
      <c r="D377" s="47">
        <f t="shared" si="80"/>
        <v>270</v>
      </c>
      <c r="E377" s="47">
        <f t="shared" si="81"/>
        <v>0</v>
      </c>
      <c r="F377" s="47">
        <f t="shared" si="83"/>
        <v>0</v>
      </c>
      <c r="G377" s="47">
        <f t="shared" si="83"/>
        <v>0</v>
      </c>
      <c r="H377" s="47">
        <f t="shared" si="82"/>
        <v>270</v>
      </c>
      <c r="I377" s="47">
        <f t="shared" si="83"/>
        <v>0</v>
      </c>
      <c r="J377" s="47">
        <f t="shared" si="83"/>
        <v>270</v>
      </c>
      <c r="K377" s="188" t="s">
        <v>59</v>
      </c>
      <c r="L377" s="187"/>
    </row>
    <row r="378" spans="2:12" ht="16.5" customHeight="1" thickBot="1" x14ac:dyDescent="0.25">
      <c r="B378" s="47">
        <f t="shared" ref="B378:I378" si="84">SUM(B375:B377)</f>
        <v>270</v>
      </c>
      <c r="C378" s="47">
        <f t="shared" si="84"/>
        <v>0</v>
      </c>
      <c r="D378" s="47">
        <f t="shared" si="84"/>
        <v>270</v>
      </c>
      <c r="E378" s="47">
        <f t="shared" si="84"/>
        <v>0</v>
      </c>
      <c r="F378" s="47">
        <f t="shared" si="84"/>
        <v>0</v>
      </c>
      <c r="G378" s="47">
        <f t="shared" si="84"/>
        <v>0</v>
      </c>
      <c r="H378" s="47">
        <f t="shared" si="84"/>
        <v>270</v>
      </c>
      <c r="I378" s="47">
        <f t="shared" si="84"/>
        <v>0</v>
      </c>
      <c r="J378" s="47">
        <f>SUM(J375:J377)</f>
        <v>270</v>
      </c>
      <c r="K378" s="500" t="s">
        <v>245</v>
      </c>
      <c r="L378" s="500"/>
    </row>
  </sheetData>
  <mergeCells count="91">
    <mergeCell ref="K371:L371"/>
    <mergeCell ref="K378:L378"/>
    <mergeCell ref="K359:L359"/>
    <mergeCell ref="K369:L369"/>
    <mergeCell ref="B370:D370"/>
    <mergeCell ref="E370:G370"/>
    <mergeCell ref="H370:J370"/>
    <mergeCell ref="K370:L370"/>
    <mergeCell ref="K347:L347"/>
    <mergeCell ref="K357:L357"/>
    <mergeCell ref="B358:D358"/>
    <mergeCell ref="E358:G358"/>
    <mergeCell ref="H358:J358"/>
    <mergeCell ref="K358:L358"/>
    <mergeCell ref="K338:L338"/>
    <mergeCell ref="K345:L345"/>
    <mergeCell ref="B346:D346"/>
    <mergeCell ref="E346:G346"/>
    <mergeCell ref="H346:J346"/>
    <mergeCell ref="K346:L346"/>
    <mergeCell ref="K320:L320"/>
    <mergeCell ref="K336:L336"/>
    <mergeCell ref="B337:D337"/>
    <mergeCell ref="E337:G337"/>
    <mergeCell ref="H337:J337"/>
    <mergeCell ref="K337:L337"/>
    <mergeCell ref="K299:L299"/>
    <mergeCell ref="K318:L318"/>
    <mergeCell ref="B319:D319"/>
    <mergeCell ref="E319:G319"/>
    <mergeCell ref="H319:J319"/>
    <mergeCell ref="K319:L319"/>
    <mergeCell ref="K278:L278"/>
    <mergeCell ref="K297:L297"/>
    <mergeCell ref="B298:D298"/>
    <mergeCell ref="E298:G298"/>
    <mergeCell ref="H298:J298"/>
    <mergeCell ref="K298:L298"/>
    <mergeCell ref="K257:L257"/>
    <mergeCell ref="K276:L276"/>
    <mergeCell ref="B277:D277"/>
    <mergeCell ref="E277:G277"/>
    <mergeCell ref="H277:J277"/>
    <mergeCell ref="K277:L277"/>
    <mergeCell ref="K224:L224"/>
    <mergeCell ref="K255:L255"/>
    <mergeCell ref="B256:D256"/>
    <mergeCell ref="E256:G256"/>
    <mergeCell ref="H256:J256"/>
    <mergeCell ref="K256:L256"/>
    <mergeCell ref="K200:L200"/>
    <mergeCell ref="K222:L222"/>
    <mergeCell ref="B223:D223"/>
    <mergeCell ref="E223:G223"/>
    <mergeCell ref="H223:J223"/>
    <mergeCell ref="K223:L223"/>
    <mergeCell ref="K146:L146"/>
    <mergeCell ref="K198:L198"/>
    <mergeCell ref="B199:D199"/>
    <mergeCell ref="E199:G199"/>
    <mergeCell ref="H199:J199"/>
    <mergeCell ref="K199:L199"/>
    <mergeCell ref="K95:L95"/>
    <mergeCell ref="K144:L144"/>
    <mergeCell ref="B145:D145"/>
    <mergeCell ref="E145:G145"/>
    <mergeCell ref="H145:J145"/>
    <mergeCell ref="K145:L145"/>
    <mergeCell ref="K59:L59"/>
    <mergeCell ref="K93:L93"/>
    <mergeCell ref="B94:D94"/>
    <mergeCell ref="E94:G94"/>
    <mergeCell ref="H94:J94"/>
    <mergeCell ref="K94:L94"/>
    <mergeCell ref="K38:L38"/>
    <mergeCell ref="K57:L57"/>
    <mergeCell ref="B58:D58"/>
    <mergeCell ref="E58:G58"/>
    <mergeCell ref="H58:J58"/>
    <mergeCell ref="K58:L58"/>
    <mergeCell ref="K36:L36"/>
    <mergeCell ref="B37:D37"/>
    <mergeCell ref="E37:G37"/>
    <mergeCell ref="H37:J37"/>
    <mergeCell ref="K37:L37"/>
    <mergeCell ref="K5:L5"/>
    <mergeCell ref="B2:L2"/>
    <mergeCell ref="B4:D4"/>
    <mergeCell ref="E4:G4"/>
    <mergeCell ref="H4:J4"/>
    <mergeCell ref="K4:L4"/>
  </mergeCells>
  <pageMargins left="1.54" right="0.4" top="0.25" bottom="0.96" header="0.25" footer="0.25"/>
  <pageSetup paperSize="9" scale="83" orientation="landscape" r:id="rId1"/>
  <headerFooter alignWithMargins="0"/>
  <rowBreaks count="6" manualBreakCount="6">
    <brk id="57" min="1" max="11" man="1"/>
    <brk id="144" min="1" max="11" man="1"/>
    <brk id="198" min="1" max="11" man="1"/>
    <brk id="222" min="1" max="11" man="1"/>
    <brk id="318" min="1" max="11" man="1"/>
    <brk id="345" min="1" max="11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N30"/>
  <sheetViews>
    <sheetView showGridLines="0" workbookViewId="0">
      <selection activeCell="B14" sqref="B14"/>
    </sheetView>
  </sheetViews>
  <sheetFormatPr defaultRowHeight="18" customHeight="1" x14ac:dyDescent="0.2"/>
  <cols>
    <col min="1" max="2" width="9" style="2"/>
    <col min="3" max="11" width="9.625" style="2" customWidth="1"/>
    <col min="12" max="12" width="40.875" style="90" customWidth="1"/>
    <col min="13" max="13" width="8.25" style="2" customWidth="1"/>
    <col min="14" max="258" width="9" style="2"/>
    <col min="259" max="267" width="9.625" style="2" customWidth="1"/>
    <col min="268" max="268" width="35.75" style="2" customWidth="1"/>
    <col min="269" max="269" width="8.25" style="2" customWidth="1"/>
    <col min="270" max="514" width="9" style="2"/>
    <col min="515" max="523" width="9.625" style="2" customWidth="1"/>
    <col min="524" max="524" width="35.75" style="2" customWidth="1"/>
    <col min="525" max="525" width="8.25" style="2" customWidth="1"/>
    <col min="526" max="770" width="9" style="2"/>
    <col min="771" max="779" width="9.625" style="2" customWidth="1"/>
    <col min="780" max="780" width="35.75" style="2" customWidth="1"/>
    <col min="781" max="781" width="8.25" style="2" customWidth="1"/>
    <col min="782" max="1026" width="9" style="2"/>
    <col min="1027" max="1035" width="9.625" style="2" customWidth="1"/>
    <col min="1036" max="1036" width="35.75" style="2" customWidth="1"/>
    <col min="1037" max="1037" width="8.25" style="2" customWidth="1"/>
    <col min="1038" max="1282" width="9" style="2"/>
    <col min="1283" max="1291" width="9.625" style="2" customWidth="1"/>
    <col min="1292" max="1292" width="35.75" style="2" customWidth="1"/>
    <col min="1293" max="1293" width="8.25" style="2" customWidth="1"/>
    <col min="1294" max="1538" width="9" style="2"/>
    <col min="1539" max="1547" width="9.625" style="2" customWidth="1"/>
    <col min="1548" max="1548" width="35.75" style="2" customWidth="1"/>
    <col min="1549" max="1549" width="8.25" style="2" customWidth="1"/>
    <col min="1550" max="1794" width="9" style="2"/>
    <col min="1795" max="1803" width="9.625" style="2" customWidth="1"/>
    <col min="1804" max="1804" width="35.75" style="2" customWidth="1"/>
    <col min="1805" max="1805" width="8.25" style="2" customWidth="1"/>
    <col min="1806" max="2050" width="9" style="2"/>
    <col min="2051" max="2059" width="9.625" style="2" customWidth="1"/>
    <col min="2060" max="2060" width="35.75" style="2" customWidth="1"/>
    <col min="2061" max="2061" width="8.25" style="2" customWidth="1"/>
    <col min="2062" max="2306" width="9" style="2"/>
    <col min="2307" max="2315" width="9.625" style="2" customWidth="1"/>
    <col min="2316" max="2316" width="35.75" style="2" customWidth="1"/>
    <col min="2317" max="2317" width="8.25" style="2" customWidth="1"/>
    <col min="2318" max="2562" width="9" style="2"/>
    <col min="2563" max="2571" width="9.625" style="2" customWidth="1"/>
    <col min="2572" max="2572" width="35.75" style="2" customWidth="1"/>
    <col min="2573" max="2573" width="8.25" style="2" customWidth="1"/>
    <col min="2574" max="2818" width="9" style="2"/>
    <col min="2819" max="2827" width="9.625" style="2" customWidth="1"/>
    <col min="2828" max="2828" width="35.75" style="2" customWidth="1"/>
    <col min="2829" max="2829" width="8.25" style="2" customWidth="1"/>
    <col min="2830" max="3074" width="9" style="2"/>
    <col min="3075" max="3083" width="9.625" style="2" customWidth="1"/>
    <col min="3084" max="3084" width="35.75" style="2" customWidth="1"/>
    <col min="3085" max="3085" width="8.25" style="2" customWidth="1"/>
    <col min="3086" max="3330" width="9" style="2"/>
    <col min="3331" max="3339" width="9.625" style="2" customWidth="1"/>
    <col min="3340" max="3340" width="35.75" style="2" customWidth="1"/>
    <col min="3341" max="3341" width="8.25" style="2" customWidth="1"/>
    <col min="3342" max="3586" width="9" style="2"/>
    <col min="3587" max="3595" width="9.625" style="2" customWidth="1"/>
    <col min="3596" max="3596" width="35.75" style="2" customWidth="1"/>
    <col min="3597" max="3597" width="8.25" style="2" customWidth="1"/>
    <col min="3598" max="3842" width="9" style="2"/>
    <col min="3843" max="3851" width="9.625" style="2" customWidth="1"/>
    <col min="3852" max="3852" width="35.75" style="2" customWidth="1"/>
    <col min="3853" max="3853" width="8.25" style="2" customWidth="1"/>
    <col min="3854" max="4098" width="9" style="2"/>
    <col min="4099" max="4107" width="9.625" style="2" customWidth="1"/>
    <col min="4108" max="4108" width="35.75" style="2" customWidth="1"/>
    <col min="4109" max="4109" width="8.25" style="2" customWidth="1"/>
    <col min="4110" max="4354" width="9" style="2"/>
    <col min="4355" max="4363" width="9.625" style="2" customWidth="1"/>
    <col min="4364" max="4364" width="35.75" style="2" customWidth="1"/>
    <col min="4365" max="4365" width="8.25" style="2" customWidth="1"/>
    <col min="4366" max="4610" width="9" style="2"/>
    <col min="4611" max="4619" width="9.625" style="2" customWidth="1"/>
    <col min="4620" max="4620" width="35.75" style="2" customWidth="1"/>
    <col min="4621" max="4621" width="8.25" style="2" customWidth="1"/>
    <col min="4622" max="4866" width="9" style="2"/>
    <col min="4867" max="4875" width="9.625" style="2" customWidth="1"/>
    <col min="4876" max="4876" width="35.75" style="2" customWidth="1"/>
    <col min="4877" max="4877" width="8.25" style="2" customWidth="1"/>
    <col min="4878" max="5122" width="9" style="2"/>
    <col min="5123" max="5131" width="9.625" style="2" customWidth="1"/>
    <col min="5132" max="5132" width="35.75" style="2" customWidth="1"/>
    <col min="5133" max="5133" width="8.25" style="2" customWidth="1"/>
    <col min="5134" max="5378" width="9" style="2"/>
    <col min="5379" max="5387" width="9.625" style="2" customWidth="1"/>
    <col min="5388" max="5388" width="35.75" style="2" customWidth="1"/>
    <col min="5389" max="5389" width="8.25" style="2" customWidth="1"/>
    <col min="5390" max="5634" width="9" style="2"/>
    <col min="5635" max="5643" width="9.625" style="2" customWidth="1"/>
    <col min="5644" max="5644" width="35.75" style="2" customWidth="1"/>
    <col min="5645" max="5645" width="8.25" style="2" customWidth="1"/>
    <col min="5646" max="5890" width="9" style="2"/>
    <col min="5891" max="5899" width="9.625" style="2" customWidth="1"/>
    <col min="5900" max="5900" width="35.75" style="2" customWidth="1"/>
    <col min="5901" max="5901" width="8.25" style="2" customWidth="1"/>
    <col min="5902" max="6146" width="9" style="2"/>
    <col min="6147" max="6155" width="9.625" style="2" customWidth="1"/>
    <col min="6156" max="6156" width="35.75" style="2" customWidth="1"/>
    <col min="6157" max="6157" width="8.25" style="2" customWidth="1"/>
    <col min="6158" max="6402" width="9" style="2"/>
    <col min="6403" max="6411" width="9.625" style="2" customWidth="1"/>
    <col min="6412" max="6412" width="35.75" style="2" customWidth="1"/>
    <col min="6413" max="6413" width="8.25" style="2" customWidth="1"/>
    <col min="6414" max="6658" width="9" style="2"/>
    <col min="6659" max="6667" width="9.625" style="2" customWidth="1"/>
    <col min="6668" max="6668" width="35.75" style="2" customWidth="1"/>
    <col min="6669" max="6669" width="8.25" style="2" customWidth="1"/>
    <col min="6670" max="6914" width="9" style="2"/>
    <col min="6915" max="6923" width="9.625" style="2" customWidth="1"/>
    <col min="6924" max="6924" width="35.75" style="2" customWidth="1"/>
    <col min="6925" max="6925" width="8.25" style="2" customWidth="1"/>
    <col min="6926" max="7170" width="9" style="2"/>
    <col min="7171" max="7179" width="9.625" style="2" customWidth="1"/>
    <col min="7180" max="7180" width="35.75" style="2" customWidth="1"/>
    <col min="7181" max="7181" width="8.25" style="2" customWidth="1"/>
    <col min="7182" max="7426" width="9" style="2"/>
    <col min="7427" max="7435" width="9.625" style="2" customWidth="1"/>
    <col min="7436" max="7436" width="35.75" style="2" customWidth="1"/>
    <col min="7437" max="7437" width="8.25" style="2" customWidth="1"/>
    <col min="7438" max="7682" width="9" style="2"/>
    <col min="7683" max="7691" width="9.625" style="2" customWidth="1"/>
    <col min="7692" max="7692" width="35.75" style="2" customWidth="1"/>
    <col min="7693" max="7693" width="8.25" style="2" customWidth="1"/>
    <col min="7694" max="7938" width="9" style="2"/>
    <col min="7939" max="7947" width="9.625" style="2" customWidth="1"/>
    <col min="7948" max="7948" width="35.75" style="2" customWidth="1"/>
    <col min="7949" max="7949" width="8.25" style="2" customWidth="1"/>
    <col min="7950" max="8194" width="9" style="2"/>
    <col min="8195" max="8203" width="9.625" style="2" customWidth="1"/>
    <col min="8204" max="8204" width="35.75" style="2" customWidth="1"/>
    <col min="8205" max="8205" width="8.25" style="2" customWidth="1"/>
    <col min="8206" max="8450" width="9" style="2"/>
    <col min="8451" max="8459" width="9.625" style="2" customWidth="1"/>
    <col min="8460" max="8460" width="35.75" style="2" customWidth="1"/>
    <col min="8461" max="8461" width="8.25" style="2" customWidth="1"/>
    <col min="8462" max="8706" width="9" style="2"/>
    <col min="8707" max="8715" width="9.625" style="2" customWidth="1"/>
    <col min="8716" max="8716" width="35.75" style="2" customWidth="1"/>
    <col min="8717" max="8717" width="8.25" style="2" customWidth="1"/>
    <col min="8718" max="8962" width="9" style="2"/>
    <col min="8963" max="8971" width="9.625" style="2" customWidth="1"/>
    <col min="8972" max="8972" width="35.75" style="2" customWidth="1"/>
    <col min="8973" max="8973" width="8.25" style="2" customWidth="1"/>
    <col min="8974" max="9218" width="9" style="2"/>
    <col min="9219" max="9227" width="9.625" style="2" customWidth="1"/>
    <col min="9228" max="9228" width="35.75" style="2" customWidth="1"/>
    <col min="9229" max="9229" width="8.25" style="2" customWidth="1"/>
    <col min="9230" max="9474" width="9" style="2"/>
    <col min="9475" max="9483" width="9.625" style="2" customWidth="1"/>
    <col min="9484" max="9484" width="35.75" style="2" customWidth="1"/>
    <col min="9485" max="9485" width="8.25" style="2" customWidth="1"/>
    <col min="9486" max="9730" width="9" style="2"/>
    <col min="9731" max="9739" width="9.625" style="2" customWidth="1"/>
    <col min="9740" max="9740" width="35.75" style="2" customWidth="1"/>
    <col min="9741" max="9741" width="8.25" style="2" customWidth="1"/>
    <col min="9742" max="9986" width="9" style="2"/>
    <col min="9987" max="9995" width="9.625" style="2" customWidth="1"/>
    <col min="9996" max="9996" width="35.75" style="2" customWidth="1"/>
    <col min="9997" max="9997" width="8.25" style="2" customWidth="1"/>
    <col min="9998" max="10242" width="9" style="2"/>
    <col min="10243" max="10251" width="9.625" style="2" customWidth="1"/>
    <col min="10252" max="10252" width="35.75" style="2" customWidth="1"/>
    <col min="10253" max="10253" width="8.25" style="2" customWidth="1"/>
    <col min="10254" max="10498" width="9" style="2"/>
    <col min="10499" max="10507" width="9.625" style="2" customWidth="1"/>
    <col min="10508" max="10508" width="35.75" style="2" customWidth="1"/>
    <col min="10509" max="10509" width="8.25" style="2" customWidth="1"/>
    <col min="10510" max="10754" width="9" style="2"/>
    <col min="10755" max="10763" width="9.625" style="2" customWidth="1"/>
    <col min="10764" max="10764" width="35.75" style="2" customWidth="1"/>
    <col min="10765" max="10765" width="8.25" style="2" customWidth="1"/>
    <col min="10766" max="11010" width="9" style="2"/>
    <col min="11011" max="11019" width="9.625" style="2" customWidth="1"/>
    <col min="11020" max="11020" width="35.75" style="2" customWidth="1"/>
    <col min="11021" max="11021" width="8.25" style="2" customWidth="1"/>
    <col min="11022" max="11266" width="9" style="2"/>
    <col min="11267" max="11275" width="9.625" style="2" customWidth="1"/>
    <col min="11276" max="11276" width="35.75" style="2" customWidth="1"/>
    <col min="11277" max="11277" width="8.25" style="2" customWidth="1"/>
    <col min="11278" max="11522" width="9" style="2"/>
    <col min="11523" max="11531" width="9.625" style="2" customWidth="1"/>
    <col min="11532" max="11532" width="35.75" style="2" customWidth="1"/>
    <col min="11533" max="11533" width="8.25" style="2" customWidth="1"/>
    <col min="11534" max="11778" width="9" style="2"/>
    <col min="11779" max="11787" width="9.625" style="2" customWidth="1"/>
    <col min="11788" max="11788" width="35.75" style="2" customWidth="1"/>
    <col min="11789" max="11789" width="8.25" style="2" customWidth="1"/>
    <col min="11790" max="12034" width="9" style="2"/>
    <col min="12035" max="12043" width="9.625" style="2" customWidth="1"/>
    <col min="12044" max="12044" width="35.75" style="2" customWidth="1"/>
    <col min="12045" max="12045" width="8.25" style="2" customWidth="1"/>
    <col min="12046" max="12290" width="9" style="2"/>
    <col min="12291" max="12299" width="9.625" style="2" customWidth="1"/>
    <col min="12300" max="12300" width="35.75" style="2" customWidth="1"/>
    <col min="12301" max="12301" width="8.25" style="2" customWidth="1"/>
    <col min="12302" max="12546" width="9" style="2"/>
    <col min="12547" max="12555" width="9.625" style="2" customWidth="1"/>
    <col min="12556" max="12556" width="35.75" style="2" customWidth="1"/>
    <col min="12557" max="12557" width="8.25" style="2" customWidth="1"/>
    <col min="12558" max="12802" width="9" style="2"/>
    <col min="12803" max="12811" width="9.625" style="2" customWidth="1"/>
    <col min="12812" max="12812" width="35.75" style="2" customWidth="1"/>
    <col min="12813" max="12813" width="8.25" style="2" customWidth="1"/>
    <col min="12814" max="13058" width="9" style="2"/>
    <col min="13059" max="13067" width="9.625" style="2" customWidth="1"/>
    <col min="13068" max="13068" width="35.75" style="2" customWidth="1"/>
    <col min="13069" max="13069" width="8.25" style="2" customWidth="1"/>
    <col min="13070" max="13314" width="9" style="2"/>
    <col min="13315" max="13323" width="9.625" style="2" customWidth="1"/>
    <col min="13324" max="13324" width="35.75" style="2" customWidth="1"/>
    <col min="13325" max="13325" width="8.25" style="2" customWidth="1"/>
    <col min="13326" max="13570" width="9" style="2"/>
    <col min="13571" max="13579" width="9.625" style="2" customWidth="1"/>
    <col min="13580" max="13580" width="35.75" style="2" customWidth="1"/>
    <col min="13581" max="13581" width="8.25" style="2" customWidth="1"/>
    <col min="13582" max="13826" width="9" style="2"/>
    <col min="13827" max="13835" width="9.625" style="2" customWidth="1"/>
    <col min="13836" max="13836" width="35.75" style="2" customWidth="1"/>
    <col min="13837" max="13837" width="8.25" style="2" customWidth="1"/>
    <col min="13838" max="14082" width="9" style="2"/>
    <col min="14083" max="14091" width="9.625" style="2" customWidth="1"/>
    <col min="14092" max="14092" width="35.75" style="2" customWidth="1"/>
    <col min="14093" max="14093" width="8.25" style="2" customWidth="1"/>
    <col min="14094" max="14338" width="9" style="2"/>
    <col min="14339" max="14347" width="9.625" style="2" customWidth="1"/>
    <col min="14348" max="14348" width="35.75" style="2" customWidth="1"/>
    <col min="14349" max="14349" width="8.25" style="2" customWidth="1"/>
    <col min="14350" max="14594" width="9" style="2"/>
    <col min="14595" max="14603" width="9.625" style="2" customWidth="1"/>
    <col min="14604" max="14604" width="35.75" style="2" customWidth="1"/>
    <col min="14605" max="14605" width="8.25" style="2" customWidth="1"/>
    <col min="14606" max="14850" width="9" style="2"/>
    <col min="14851" max="14859" width="9.625" style="2" customWidth="1"/>
    <col min="14860" max="14860" width="35.75" style="2" customWidth="1"/>
    <col min="14861" max="14861" width="8.25" style="2" customWidth="1"/>
    <col min="14862" max="15106" width="9" style="2"/>
    <col min="15107" max="15115" width="9.625" style="2" customWidth="1"/>
    <col min="15116" max="15116" width="35.75" style="2" customWidth="1"/>
    <col min="15117" max="15117" width="8.25" style="2" customWidth="1"/>
    <col min="15118" max="15362" width="9" style="2"/>
    <col min="15363" max="15371" width="9.625" style="2" customWidth="1"/>
    <col min="15372" max="15372" width="35.75" style="2" customWidth="1"/>
    <col min="15373" max="15373" width="8.25" style="2" customWidth="1"/>
    <col min="15374" max="15618" width="9" style="2"/>
    <col min="15619" max="15627" width="9.625" style="2" customWidth="1"/>
    <col min="15628" max="15628" width="35.75" style="2" customWidth="1"/>
    <col min="15629" max="15629" width="8.25" style="2" customWidth="1"/>
    <col min="15630" max="15874" width="9" style="2"/>
    <col min="15875" max="15883" width="9.625" style="2" customWidth="1"/>
    <col min="15884" max="15884" width="35.75" style="2" customWidth="1"/>
    <col min="15885" max="15885" width="8.25" style="2" customWidth="1"/>
    <col min="15886" max="16130" width="9" style="2"/>
    <col min="16131" max="16139" width="9.625" style="2" customWidth="1"/>
    <col min="16140" max="16140" width="35.75" style="2" customWidth="1"/>
    <col min="16141" max="16141" width="8.25" style="2" customWidth="1"/>
    <col min="16142" max="16384" width="9" style="2"/>
  </cols>
  <sheetData>
    <row r="1" spans="3:14" ht="18" customHeight="1" x14ac:dyDescent="0.2">
      <c r="C1" s="501" t="s">
        <v>604</v>
      </c>
      <c r="D1" s="501"/>
      <c r="E1" s="501"/>
      <c r="F1" s="501"/>
      <c r="G1" s="501"/>
      <c r="H1" s="501"/>
      <c r="I1" s="501"/>
      <c r="J1" s="501"/>
      <c r="K1" s="501"/>
      <c r="L1" s="501"/>
      <c r="M1" s="1"/>
    </row>
    <row r="2" spans="3:14" ht="18" customHeight="1" thickBot="1" x14ac:dyDescent="0.25">
      <c r="C2" s="502" t="s">
        <v>605</v>
      </c>
      <c r="D2" s="502"/>
      <c r="E2" s="502"/>
      <c r="F2" s="502"/>
      <c r="G2" s="502"/>
      <c r="H2" s="502"/>
      <c r="I2" s="502"/>
      <c r="J2" s="502"/>
      <c r="K2" s="502"/>
      <c r="L2" s="502"/>
      <c r="M2" s="1"/>
    </row>
    <row r="3" spans="3:14" ht="18" customHeight="1" thickBot="1" x14ac:dyDescent="0.25">
      <c r="C3" s="503" t="s">
        <v>4</v>
      </c>
      <c r="D3" s="503"/>
      <c r="E3" s="503"/>
      <c r="F3" s="503" t="s">
        <v>145</v>
      </c>
      <c r="G3" s="503"/>
      <c r="H3" s="503"/>
      <c r="I3" s="503" t="s">
        <v>146</v>
      </c>
      <c r="J3" s="503"/>
      <c r="K3" s="503"/>
      <c r="L3" s="504" t="s">
        <v>66</v>
      </c>
      <c r="M3" s="1"/>
    </row>
    <row r="4" spans="3:14" ht="18" customHeight="1" thickBot="1" x14ac:dyDescent="0.25">
      <c r="C4" s="84" t="s">
        <v>227</v>
      </c>
      <c r="D4" s="84" t="s">
        <v>10</v>
      </c>
      <c r="E4" s="84" t="s">
        <v>9</v>
      </c>
      <c r="F4" s="84" t="s">
        <v>227</v>
      </c>
      <c r="G4" s="84" t="s">
        <v>10</v>
      </c>
      <c r="H4" s="84" t="s">
        <v>9</v>
      </c>
      <c r="I4" s="84" t="s">
        <v>227</v>
      </c>
      <c r="J4" s="84" t="s">
        <v>10</v>
      </c>
      <c r="K4" s="84" t="s">
        <v>9</v>
      </c>
      <c r="L4" s="505"/>
      <c r="M4" s="1"/>
    </row>
    <row r="5" spans="3:14" ht="18" customHeight="1" thickBot="1" x14ac:dyDescent="0.25">
      <c r="C5" s="85">
        <f>SUM(D5:E5)</f>
        <v>3383</v>
      </c>
      <c r="D5" s="85">
        <f>J5+G5</f>
        <v>753</v>
      </c>
      <c r="E5" s="85">
        <f>K5+H5</f>
        <v>2630</v>
      </c>
      <c r="F5" s="85">
        <f>SUM(G5:H5)</f>
        <v>381</v>
      </c>
      <c r="G5" s="85">
        <v>67</v>
      </c>
      <c r="H5" s="85">
        <v>314</v>
      </c>
      <c r="I5" s="85">
        <f>SUM(J5:K5)</f>
        <v>3002</v>
      </c>
      <c r="J5" s="85">
        <v>686</v>
      </c>
      <c r="K5" s="85">
        <v>2316</v>
      </c>
      <c r="L5" s="86" t="s">
        <v>68</v>
      </c>
    </row>
    <row r="6" spans="3:14" ht="18" customHeight="1" thickBot="1" x14ac:dyDescent="0.25">
      <c r="C6" s="85">
        <f t="shared" ref="C6:C28" si="0">SUM(D6:E6)</f>
        <v>804</v>
      </c>
      <c r="D6" s="85">
        <f t="shared" ref="D6:E28" si="1">J6+G6</f>
        <v>0</v>
      </c>
      <c r="E6" s="85">
        <f t="shared" si="1"/>
        <v>804</v>
      </c>
      <c r="F6" s="85">
        <f t="shared" ref="F6:F28" si="2">SUM(G6:H6)</f>
        <v>804</v>
      </c>
      <c r="G6" s="85">
        <v>0</v>
      </c>
      <c r="H6" s="85">
        <v>804</v>
      </c>
      <c r="I6" s="85">
        <f t="shared" ref="I6:I28" si="3">SUM(J6:K6)</f>
        <v>0</v>
      </c>
      <c r="J6" s="85">
        <v>0</v>
      </c>
      <c r="K6" s="85">
        <v>0</v>
      </c>
      <c r="L6" s="86" t="s">
        <v>147</v>
      </c>
      <c r="M6" s="1"/>
      <c r="N6" s="1"/>
    </row>
    <row r="7" spans="3:14" ht="18" customHeight="1" thickBot="1" x14ac:dyDescent="0.25">
      <c r="C7" s="85">
        <f t="shared" si="0"/>
        <v>1310</v>
      </c>
      <c r="D7" s="85">
        <f t="shared" si="1"/>
        <v>70</v>
      </c>
      <c r="E7" s="85">
        <f t="shared" si="1"/>
        <v>1240</v>
      </c>
      <c r="F7" s="85">
        <f t="shared" si="2"/>
        <v>672</v>
      </c>
      <c r="G7" s="85">
        <v>1</v>
      </c>
      <c r="H7" s="85">
        <v>671</v>
      </c>
      <c r="I7" s="85">
        <f t="shared" si="3"/>
        <v>638</v>
      </c>
      <c r="J7" s="85">
        <v>69</v>
      </c>
      <c r="K7" s="85">
        <v>569</v>
      </c>
      <c r="L7" s="86" t="s">
        <v>70</v>
      </c>
      <c r="M7" s="1"/>
    </row>
    <row r="8" spans="3:14" ht="18" customHeight="1" thickBot="1" x14ac:dyDescent="0.25">
      <c r="C8" s="85">
        <f t="shared" si="0"/>
        <v>11175</v>
      </c>
      <c r="D8" s="85">
        <f t="shared" si="1"/>
        <v>3866</v>
      </c>
      <c r="E8" s="85">
        <f t="shared" si="1"/>
        <v>7309</v>
      </c>
      <c r="F8" s="85">
        <f t="shared" si="2"/>
        <v>589</v>
      </c>
      <c r="G8" s="85">
        <v>203</v>
      </c>
      <c r="H8" s="85">
        <v>386</v>
      </c>
      <c r="I8" s="85">
        <f t="shared" si="3"/>
        <v>10586</v>
      </c>
      <c r="J8" s="85">
        <v>3663</v>
      </c>
      <c r="K8" s="85">
        <v>6923</v>
      </c>
      <c r="L8" s="86" t="s">
        <v>72</v>
      </c>
      <c r="M8" s="1"/>
    </row>
    <row r="9" spans="3:14" ht="18" customHeight="1" thickBot="1" x14ac:dyDescent="0.25">
      <c r="C9" s="85">
        <f t="shared" si="0"/>
        <v>1802</v>
      </c>
      <c r="D9" s="85">
        <f t="shared" si="1"/>
        <v>480</v>
      </c>
      <c r="E9" s="85">
        <f t="shared" si="1"/>
        <v>1322</v>
      </c>
      <c r="F9" s="85">
        <f t="shared" si="2"/>
        <v>57</v>
      </c>
      <c r="G9" s="85">
        <v>28</v>
      </c>
      <c r="H9" s="85">
        <v>29</v>
      </c>
      <c r="I9" s="85">
        <f t="shared" si="3"/>
        <v>1745</v>
      </c>
      <c r="J9" s="85">
        <v>452</v>
      </c>
      <c r="K9" s="85">
        <v>1293</v>
      </c>
      <c r="L9" s="86" t="s">
        <v>73</v>
      </c>
      <c r="M9" s="1"/>
    </row>
    <row r="10" spans="3:14" ht="18" customHeight="1" thickBot="1" x14ac:dyDescent="0.25">
      <c r="C10" s="85">
        <f t="shared" si="0"/>
        <v>1665</v>
      </c>
      <c r="D10" s="85">
        <f t="shared" si="1"/>
        <v>0</v>
      </c>
      <c r="E10" s="85">
        <f t="shared" si="1"/>
        <v>1665</v>
      </c>
      <c r="F10" s="85">
        <f t="shared" si="2"/>
        <v>97</v>
      </c>
      <c r="G10" s="85">
        <v>0</v>
      </c>
      <c r="H10" s="85">
        <v>97</v>
      </c>
      <c r="I10" s="85">
        <f t="shared" si="3"/>
        <v>1568</v>
      </c>
      <c r="J10" s="85">
        <v>0</v>
      </c>
      <c r="K10" s="85">
        <v>1568</v>
      </c>
      <c r="L10" s="86" t="s">
        <v>90</v>
      </c>
      <c r="M10" s="1"/>
    </row>
    <row r="11" spans="3:14" ht="18" customHeight="1" thickBot="1" x14ac:dyDescent="0.25">
      <c r="C11" s="85">
        <f t="shared" si="0"/>
        <v>5785</v>
      </c>
      <c r="D11" s="85">
        <f t="shared" si="1"/>
        <v>4372</v>
      </c>
      <c r="E11" s="85">
        <f t="shared" si="1"/>
        <v>1413</v>
      </c>
      <c r="F11" s="85">
        <f t="shared" si="2"/>
        <v>37</v>
      </c>
      <c r="G11" s="85">
        <v>28</v>
      </c>
      <c r="H11" s="85">
        <v>9</v>
      </c>
      <c r="I11" s="85">
        <f t="shared" si="3"/>
        <v>5748</v>
      </c>
      <c r="J11" s="85">
        <v>4344</v>
      </c>
      <c r="K11" s="85">
        <v>1404</v>
      </c>
      <c r="L11" s="86" t="s">
        <v>74</v>
      </c>
      <c r="M11" s="1"/>
    </row>
    <row r="12" spans="3:14" ht="18" customHeight="1" thickBot="1" x14ac:dyDescent="0.25">
      <c r="C12" s="85">
        <f t="shared" si="0"/>
        <v>4973</v>
      </c>
      <c r="D12" s="85">
        <f t="shared" si="1"/>
        <v>2491</v>
      </c>
      <c r="E12" s="85">
        <f t="shared" si="1"/>
        <v>2482</v>
      </c>
      <c r="F12" s="85">
        <f t="shared" si="2"/>
        <v>5</v>
      </c>
      <c r="G12" s="85">
        <v>1</v>
      </c>
      <c r="H12" s="85">
        <v>4</v>
      </c>
      <c r="I12" s="85">
        <f t="shared" si="3"/>
        <v>4968</v>
      </c>
      <c r="J12" s="85">
        <v>2490</v>
      </c>
      <c r="K12" s="85">
        <v>2478</v>
      </c>
      <c r="L12" s="86" t="s">
        <v>75</v>
      </c>
      <c r="M12" s="1"/>
    </row>
    <row r="13" spans="3:14" ht="18" customHeight="1" thickBot="1" x14ac:dyDescent="0.25">
      <c r="C13" s="85">
        <f t="shared" si="0"/>
        <v>1477</v>
      </c>
      <c r="D13" s="85">
        <f t="shared" si="1"/>
        <v>286</v>
      </c>
      <c r="E13" s="85">
        <f t="shared" si="1"/>
        <v>1191</v>
      </c>
      <c r="F13" s="85">
        <f t="shared" si="2"/>
        <v>0</v>
      </c>
      <c r="G13" s="85">
        <v>0</v>
      </c>
      <c r="H13" s="85">
        <v>0</v>
      </c>
      <c r="I13" s="85">
        <f t="shared" si="3"/>
        <v>1477</v>
      </c>
      <c r="J13" s="85">
        <v>286</v>
      </c>
      <c r="K13" s="85">
        <v>1191</v>
      </c>
      <c r="L13" s="86" t="s">
        <v>100</v>
      </c>
      <c r="M13" s="1"/>
    </row>
    <row r="14" spans="3:14" ht="18" customHeight="1" thickBot="1" x14ac:dyDescent="0.25">
      <c r="C14" s="85">
        <f t="shared" si="0"/>
        <v>3057</v>
      </c>
      <c r="D14" s="85">
        <f t="shared" si="1"/>
        <v>1842</v>
      </c>
      <c r="E14" s="85">
        <f t="shared" si="1"/>
        <v>1215</v>
      </c>
      <c r="F14" s="85">
        <f t="shared" si="2"/>
        <v>55</v>
      </c>
      <c r="G14" s="85">
        <v>36</v>
      </c>
      <c r="H14" s="85">
        <v>19</v>
      </c>
      <c r="I14" s="85">
        <f t="shared" si="3"/>
        <v>3002</v>
      </c>
      <c r="J14" s="85">
        <v>1806</v>
      </c>
      <c r="K14" s="85">
        <v>1196</v>
      </c>
      <c r="L14" s="86" t="s">
        <v>76</v>
      </c>
      <c r="M14" s="1"/>
    </row>
    <row r="15" spans="3:14" ht="18" customHeight="1" thickBot="1" x14ac:dyDescent="0.25">
      <c r="C15" s="85">
        <f t="shared" si="0"/>
        <v>1926</v>
      </c>
      <c r="D15" s="85">
        <f t="shared" si="1"/>
        <v>990</v>
      </c>
      <c r="E15" s="85">
        <f t="shared" si="1"/>
        <v>936</v>
      </c>
      <c r="F15" s="85">
        <f t="shared" si="2"/>
        <v>4</v>
      </c>
      <c r="G15" s="85">
        <v>1</v>
      </c>
      <c r="H15" s="85">
        <v>3</v>
      </c>
      <c r="I15" s="85">
        <f t="shared" si="3"/>
        <v>1922</v>
      </c>
      <c r="J15" s="85">
        <v>989</v>
      </c>
      <c r="K15" s="85">
        <v>933</v>
      </c>
      <c r="L15" s="86" t="s">
        <v>77</v>
      </c>
      <c r="M15" s="1"/>
    </row>
    <row r="16" spans="3:14" ht="18" customHeight="1" thickBot="1" x14ac:dyDescent="0.25">
      <c r="C16" s="85">
        <f t="shared" si="0"/>
        <v>2918</v>
      </c>
      <c r="D16" s="85">
        <f t="shared" si="1"/>
        <v>1237</v>
      </c>
      <c r="E16" s="85">
        <f t="shared" si="1"/>
        <v>1681</v>
      </c>
      <c r="F16" s="85">
        <f t="shared" si="2"/>
        <v>6</v>
      </c>
      <c r="G16" s="85">
        <v>2</v>
      </c>
      <c r="H16" s="85">
        <v>4</v>
      </c>
      <c r="I16" s="85">
        <f t="shared" si="3"/>
        <v>2912</v>
      </c>
      <c r="J16" s="85">
        <v>1235</v>
      </c>
      <c r="K16" s="85">
        <v>1677</v>
      </c>
      <c r="L16" s="86" t="s">
        <v>106</v>
      </c>
      <c r="M16" s="1"/>
    </row>
    <row r="17" spans="3:13" ht="18" customHeight="1" thickBot="1" x14ac:dyDescent="0.25">
      <c r="C17" s="85">
        <f t="shared" si="0"/>
        <v>1139</v>
      </c>
      <c r="D17" s="85">
        <f t="shared" si="1"/>
        <v>666</v>
      </c>
      <c r="E17" s="85">
        <f t="shared" si="1"/>
        <v>473</v>
      </c>
      <c r="F17" s="85">
        <f t="shared" si="2"/>
        <v>0</v>
      </c>
      <c r="G17" s="85">
        <v>0</v>
      </c>
      <c r="H17" s="85">
        <v>0</v>
      </c>
      <c r="I17" s="85">
        <f t="shared" si="3"/>
        <v>1139</v>
      </c>
      <c r="J17" s="85">
        <v>666</v>
      </c>
      <c r="K17" s="85">
        <v>473</v>
      </c>
      <c r="L17" s="86" t="s">
        <v>109</v>
      </c>
      <c r="M17" s="1"/>
    </row>
    <row r="18" spans="3:13" ht="18" customHeight="1" thickBot="1" x14ac:dyDescent="0.25">
      <c r="C18" s="85">
        <f t="shared" si="0"/>
        <v>1742</v>
      </c>
      <c r="D18" s="85">
        <f t="shared" si="1"/>
        <v>898</v>
      </c>
      <c r="E18" s="85">
        <f t="shared" si="1"/>
        <v>844</v>
      </c>
      <c r="F18" s="85">
        <f t="shared" si="2"/>
        <v>0</v>
      </c>
      <c r="G18" s="85">
        <v>0</v>
      </c>
      <c r="H18" s="85">
        <v>0</v>
      </c>
      <c r="I18" s="85">
        <f t="shared" si="3"/>
        <v>1742</v>
      </c>
      <c r="J18" s="85">
        <v>898</v>
      </c>
      <c r="K18" s="85">
        <v>844</v>
      </c>
      <c r="L18" s="86" t="s">
        <v>111</v>
      </c>
      <c r="M18" s="1"/>
    </row>
    <row r="19" spans="3:13" ht="18" customHeight="1" thickBot="1" x14ac:dyDescent="0.25">
      <c r="C19" s="85">
        <f t="shared" si="0"/>
        <v>2070</v>
      </c>
      <c r="D19" s="85">
        <f t="shared" si="1"/>
        <v>1352</v>
      </c>
      <c r="E19" s="85">
        <f t="shared" si="1"/>
        <v>718</v>
      </c>
      <c r="F19" s="85">
        <f t="shared" si="2"/>
        <v>0</v>
      </c>
      <c r="G19" s="85">
        <v>0</v>
      </c>
      <c r="H19" s="85">
        <v>0</v>
      </c>
      <c r="I19" s="85">
        <f t="shared" si="3"/>
        <v>2070</v>
      </c>
      <c r="J19" s="85">
        <v>1352</v>
      </c>
      <c r="K19" s="85">
        <v>718</v>
      </c>
      <c r="L19" s="86" t="s">
        <v>115</v>
      </c>
      <c r="M19" s="1"/>
    </row>
    <row r="20" spans="3:13" ht="18" customHeight="1" thickBot="1" x14ac:dyDescent="0.25">
      <c r="C20" s="85">
        <f t="shared" si="0"/>
        <v>1625</v>
      </c>
      <c r="D20" s="85">
        <f t="shared" si="1"/>
        <v>308</v>
      </c>
      <c r="E20" s="85">
        <f t="shared" si="1"/>
        <v>1317</v>
      </c>
      <c r="F20" s="85">
        <f t="shared" si="2"/>
        <v>0</v>
      </c>
      <c r="G20" s="85">
        <v>0</v>
      </c>
      <c r="H20" s="85">
        <v>0</v>
      </c>
      <c r="I20" s="85">
        <f t="shared" si="3"/>
        <v>1625</v>
      </c>
      <c r="J20" s="85">
        <v>308</v>
      </c>
      <c r="K20" s="85">
        <v>1317</v>
      </c>
      <c r="L20" s="86" t="s">
        <v>117</v>
      </c>
      <c r="M20" s="1"/>
    </row>
    <row r="21" spans="3:13" ht="18" customHeight="1" thickBot="1" x14ac:dyDescent="0.25">
      <c r="C21" s="85">
        <f t="shared" si="0"/>
        <v>1323</v>
      </c>
      <c r="D21" s="85">
        <f t="shared" si="1"/>
        <v>991</v>
      </c>
      <c r="E21" s="85">
        <f t="shared" si="1"/>
        <v>332</v>
      </c>
      <c r="F21" s="85">
        <f t="shared" si="2"/>
        <v>8</v>
      </c>
      <c r="G21" s="85">
        <v>5</v>
      </c>
      <c r="H21" s="85">
        <v>3</v>
      </c>
      <c r="I21" s="85">
        <f t="shared" si="3"/>
        <v>1315</v>
      </c>
      <c r="J21" s="85">
        <v>986</v>
      </c>
      <c r="K21" s="85">
        <v>329</v>
      </c>
      <c r="L21" s="86" t="s">
        <v>119</v>
      </c>
      <c r="M21" s="1"/>
    </row>
    <row r="22" spans="3:13" ht="18" customHeight="1" thickBot="1" x14ac:dyDescent="0.25">
      <c r="C22" s="85">
        <f t="shared" si="0"/>
        <v>2171</v>
      </c>
      <c r="D22" s="85">
        <f t="shared" si="1"/>
        <v>2171</v>
      </c>
      <c r="E22" s="85">
        <f t="shared" si="1"/>
        <v>0</v>
      </c>
      <c r="F22" s="85">
        <f t="shared" si="2"/>
        <v>0</v>
      </c>
      <c r="G22" s="85">
        <v>0</v>
      </c>
      <c r="H22" s="85">
        <v>0</v>
      </c>
      <c r="I22" s="85">
        <f t="shared" si="3"/>
        <v>2171</v>
      </c>
      <c r="J22" s="85">
        <v>2171</v>
      </c>
      <c r="K22" s="85">
        <v>0</v>
      </c>
      <c r="L22" s="86" t="s">
        <v>121</v>
      </c>
      <c r="M22" s="1"/>
    </row>
    <row r="23" spans="3:13" ht="18" customHeight="1" thickBot="1" x14ac:dyDescent="0.25">
      <c r="C23" s="85">
        <f t="shared" si="0"/>
        <v>743</v>
      </c>
      <c r="D23" s="85">
        <f t="shared" si="1"/>
        <v>473</v>
      </c>
      <c r="E23" s="85">
        <f t="shared" si="1"/>
        <v>270</v>
      </c>
      <c r="F23" s="85">
        <f t="shared" si="2"/>
        <v>0</v>
      </c>
      <c r="G23" s="85">
        <v>0</v>
      </c>
      <c r="H23" s="85">
        <v>0</v>
      </c>
      <c r="I23" s="85">
        <f t="shared" si="3"/>
        <v>743</v>
      </c>
      <c r="J23" s="85">
        <v>473</v>
      </c>
      <c r="K23" s="85">
        <v>270</v>
      </c>
      <c r="L23" s="86" t="s">
        <v>123</v>
      </c>
      <c r="M23" s="1"/>
    </row>
    <row r="24" spans="3:13" ht="18" customHeight="1" thickBot="1" x14ac:dyDescent="0.25">
      <c r="C24" s="85">
        <f t="shared" si="0"/>
        <v>68990</v>
      </c>
      <c r="D24" s="85">
        <f t="shared" si="1"/>
        <v>3218</v>
      </c>
      <c r="E24" s="85">
        <f t="shared" si="1"/>
        <v>65772</v>
      </c>
      <c r="F24" s="85">
        <f t="shared" si="2"/>
        <v>0</v>
      </c>
      <c r="G24" s="85">
        <v>0</v>
      </c>
      <c r="H24" s="85">
        <v>0</v>
      </c>
      <c r="I24" s="85">
        <f t="shared" si="3"/>
        <v>68990</v>
      </c>
      <c r="J24" s="85">
        <v>3218</v>
      </c>
      <c r="K24" s="85">
        <v>65772</v>
      </c>
      <c r="L24" s="86" t="s">
        <v>151</v>
      </c>
      <c r="M24" s="1"/>
    </row>
    <row r="25" spans="3:13" ht="18" customHeight="1" thickBot="1" x14ac:dyDescent="0.25">
      <c r="C25" s="85">
        <f t="shared" si="0"/>
        <v>211</v>
      </c>
      <c r="D25" s="85">
        <f t="shared" si="1"/>
        <v>93</v>
      </c>
      <c r="E25" s="85">
        <f t="shared" si="1"/>
        <v>118</v>
      </c>
      <c r="F25" s="85">
        <f t="shared" si="2"/>
        <v>0</v>
      </c>
      <c r="G25" s="85">
        <v>0</v>
      </c>
      <c r="H25" s="85">
        <v>0</v>
      </c>
      <c r="I25" s="85">
        <f t="shared" si="3"/>
        <v>211</v>
      </c>
      <c r="J25" s="85">
        <v>93</v>
      </c>
      <c r="K25" s="85">
        <v>118</v>
      </c>
      <c r="L25" s="86" t="s">
        <v>152</v>
      </c>
      <c r="M25" s="1"/>
    </row>
    <row r="26" spans="3:13" ht="18" customHeight="1" thickBot="1" x14ac:dyDescent="0.25">
      <c r="C26" s="85">
        <f t="shared" si="0"/>
        <v>4366</v>
      </c>
      <c r="D26" s="85">
        <f t="shared" si="1"/>
        <v>0</v>
      </c>
      <c r="E26" s="85">
        <f t="shared" si="1"/>
        <v>4366</v>
      </c>
      <c r="F26" s="85">
        <f t="shared" si="2"/>
        <v>16</v>
      </c>
      <c r="G26" s="85">
        <v>0</v>
      </c>
      <c r="H26" s="85">
        <v>16</v>
      </c>
      <c r="I26" s="85">
        <f t="shared" si="3"/>
        <v>4350</v>
      </c>
      <c r="J26" s="85">
        <v>0</v>
      </c>
      <c r="K26" s="85">
        <v>4350</v>
      </c>
      <c r="L26" s="86" t="s">
        <v>228</v>
      </c>
      <c r="M26" s="1"/>
    </row>
    <row r="27" spans="3:13" ht="18" customHeight="1" thickBot="1" x14ac:dyDescent="0.25">
      <c r="C27" s="85">
        <f t="shared" si="0"/>
        <v>2443</v>
      </c>
      <c r="D27" s="85">
        <f t="shared" si="1"/>
        <v>324</v>
      </c>
      <c r="E27" s="85">
        <f t="shared" si="1"/>
        <v>2119</v>
      </c>
      <c r="F27" s="85">
        <f t="shared" si="2"/>
        <v>0</v>
      </c>
      <c r="G27" s="85">
        <v>0</v>
      </c>
      <c r="H27" s="85">
        <v>0</v>
      </c>
      <c r="I27" s="85">
        <f t="shared" si="3"/>
        <v>2443</v>
      </c>
      <c r="J27" s="85">
        <v>324</v>
      </c>
      <c r="K27" s="85">
        <v>2119</v>
      </c>
      <c r="L27" s="86" t="s">
        <v>153</v>
      </c>
      <c r="M27" s="1"/>
    </row>
    <row r="28" spans="3:13" ht="18" customHeight="1" thickBot="1" x14ac:dyDescent="0.25">
      <c r="C28" s="85">
        <f t="shared" si="0"/>
        <v>287</v>
      </c>
      <c r="D28" s="85">
        <f t="shared" si="1"/>
        <v>158</v>
      </c>
      <c r="E28" s="85">
        <f t="shared" si="1"/>
        <v>129</v>
      </c>
      <c r="F28" s="85">
        <f t="shared" si="2"/>
        <v>0</v>
      </c>
      <c r="G28" s="85">
        <v>0</v>
      </c>
      <c r="H28" s="85">
        <v>0</v>
      </c>
      <c r="I28" s="85">
        <f t="shared" si="3"/>
        <v>287</v>
      </c>
      <c r="J28" s="85">
        <v>158</v>
      </c>
      <c r="K28" s="85">
        <v>129</v>
      </c>
      <c r="L28" s="86" t="s">
        <v>155</v>
      </c>
      <c r="M28" s="1"/>
    </row>
    <row r="29" spans="3:13" ht="18" customHeight="1" thickBot="1" x14ac:dyDescent="0.25">
      <c r="C29" s="85">
        <f t="shared" ref="C29:J29" si="4">SUM(C5:C28)</f>
        <v>127385</v>
      </c>
      <c r="D29" s="85">
        <f t="shared" si="4"/>
        <v>27039</v>
      </c>
      <c r="E29" s="85">
        <f t="shared" si="4"/>
        <v>100346</v>
      </c>
      <c r="F29" s="85">
        <f t="shared" si="4"/>
        <v>2731</v>
      </c>
      <c r="G29" s="85">
        <f t="shared" si="4"/>
        <v>372</v>
      </c>
      <c r="H29" s="85">
        <f t="shared" si="4"/>
        <v>2359</v>
      </c>
      <c r="I29" s="85">
        <f t="shared" si="4"/>
        <v>124654</v>
      </c>
      <c r="J29" s="85">
        <f t="shared" si="4"/>
        <v>26667</v>
      </c>
      <c r="K29" s="85">
        <f>SUM(K5:K28)</f>
        <v>97987</v>
      </c>
      <c r="L29" s="87" t="s">
        <v>188</v>
      </c>
      <c r="M29" s="1"/>
    </row>
    <row r="30" spans="3:13" ht="18" customHeight="1" x14ac:dyDescent="0.2">
      <c r="C30" s="88"/>
      <c r="D30" s="88"/>
      <c r="E30" s="88"/>
      <c r="F30" s="88"/>
      <c r="G30" s="88"/>
      <c r="H30" s="88"/>
      <c r="I30" s="88"/>
      <c r="J30" s="88"/>
      <c r="K30" s="88"/>
      <c r="L30" s="89"/>
    </row>
  </sheetData>
  <mergeCells count="6">
    <mergeCell ref="C1:L1"/>
    <mergeCell ref="C2:L2"/>
    <mergeCell ref="C3:E3"/>
    <mergeCell ref="F3:H3"/>
    <mergeCell ref="I3:K3"/>
    <mergeCell ref="L3:L4"/>
  </mergeCells>
  <pageMargins left="0.4" right="0.4" top="0.25" bottom="0.25" header="0.25" footer="0.25"/>
  <pageSetup paperSize="9" orientation="landscape" horizontalDpi="300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T28"/>
  <sheetViews>
    <sheetView showGridLines="0" topLeftCell="A4" zoomScaleSheetLayoutView="100" workbookViewId="0">
      <selection activeCell="D24" sqref="D24"/>
    </sheetView>
  </sheetViews>
  <sheetFormatPr defaultRowHeight="12.75" x14ac:dyDescent="0.2"/>
  <cols>
    <col min="1" max="2" width="9" style="2"/>
    <col min="3" max="11" width="9.625" style="2" customWidth="1"/>
    <col min="12" max="12" width="27.375" style="2" customWidth="1"/>
    <col min="13" max="13" width="11.25" style="2" customWidth="1"/>
    <col min="14" max="258" width="9" style="2"/>
    <col min="259" max="267" width="9.625" style="2" customWidth="1"/>
    <col min="268" max="268" width="27.375" style="2" customWidth="1"/>
    <col min="269" max="269" width="11.25" style="2" customWidth="1"/>
    <col min="270" max="514" width="9" style="2"/>
    <col min="515" max="523" width="9.625" style="2" customWidth="1"/>
    <col min="524" max="524" width="27.375" style="2" customWidth="1"/>
    <col min="525" max="525" width="11.25" style="2" customWidth="1"/>
    <col min="526" max="770" width="9" style="2"/>
    <col min="771" max="779" width="9.625" style="2" customWidth="1"/>
    <col min="780" max="780" width="27.375" style="2" customWidth="1"/>
    <col min="781" max="781" width="11.25" style="2" customWidth="1"/>
    <col min="782" max="1026" width="9" style="2"/>
    <col min="1027" max="1035" width="9.625" style="2" customWidth="1"/>
    <col min="1036" max="1036" width="27.375" style="2" customWidth="1"/>
    <col min="1037" max="1037" width="11.25" style="2" customWidth="1"/>
    <col min="1038" max="1282" width="9" style="2"/>
    <col min="1283" max="1291" width="9.625" style="2" customWidth="1"/>
    <col min="1292" max="1292" width="27.375" style="2" customWidth="1"/>
    <col min="1293" max="1293" width="11.25" style="2" customWidth="1"/>
    <col min="1294" max="1538" width="9" style="2"/>
    <col min="1539" max="1547" width="9.625" style="2" customWidth="1"/>
    <col min="1548" max="1548" width="27.375" style="2" customWidth="1"/>
    <col min="1549" max="1549" width="11.25" style="2" customWidth="1"/>
    <col min="1550" max="1794" width="9" style="2"/>
    <col min="1795" max="1803" width="9.625" style="2" customWidth="1"/>
    <col min="1804" max="1804" width="27.375" style="2" customWidth="1"/>
    <col min="1805" max="1805" width="11.25" style="2" customWidth="1"/>
    <col min="1806" max="2050" width="9" style="2"/>
    <col min="2051" max="2059" width="9.625" style="2" customWidth="1"/>
    <col min="2060" max="2060" width="27.375" style="2" customWidth="1"/>
    <col min="2061" max="2061" width="11.25" style="2" customWidth="1"/>
    <col min="2062" max="2306" width="9" style="2"/>
    <col min="2307" max="2315" width="9.625" style="2" customWidth="1"/>
    <col min="2316" max="2316" width="27.375" style="2" customWidth="1"/>
    <col min="2317" max="2317" width="11.25" style="2" customWidth="1"/>
    <col min="2318" max="2562" width="9" style="2"/>
    <col min="2563" max="2571" width="9.625" style="2" customWidth="1"/>
    <col min="2572" max="2572" width="27.375" style="2" customWidth="1"/>
    <col min="2573" max="2573" width="11.25" style="2" customWidth="1"/>
    <col min="2574" max="2818" width="9" style="2"/>
    <col min="2819" max="2827" width="9.625" style="2" customWidth="1"/>
    <col min="2828" max="2828" width="27.375" style="2" customWidth="1"/>
    <col min="2829" max="2829" width="11.25" style="2" customWidth="1"/>
    <col min="2830" max="3074" width="9" style="2"/>
    <col min="3075" max="3083" width="9.625" style="2" customWidth="1"/>
    <col min="3084" max="3084" width="27.375" style="2" customWidth="1"/>
    <col min="3085" max="3085" width="11.25" style="2" customWidth="1"/>
    <col min="3086" max="3330" width="9" style="2"/>
    <col min="3331" max="3339" width="9.625" style="2" customWidth="1"/>
    <col min="3340" max="3340" width="27.375" style="2" customWidth="1"/>
    <col min="3341" max="3341" width="11.25" style="2" customWidth="1"/>
    <col min="3342" max="3586" width="9" style="2"/>
    <col min="3587" max="3595" width="9.625" style="2" customWidth="1"/>
    <col min="3596" max="3596" width="27.375" style="2" customWidth="1"/>
    <col min="3597" max="3597" width="11.25" style="2" customWidth="1"/>
    <col min="3598" max="3842" width="9" style="2"/>
    <col min="3843" max="3851" width="9.625" style="2" customWidth="1"/>
    <col min="3852" max="3852" width="27.375" style="2" customWidth="1"/>
    <col min="3853" max="3853" width="11.25" style="2" customWidth="1"/>
    <col min="3854" max="4098" width="9" style="2"/>
    <col min="4099" max="4107" width="9.625" style="2" customWidth="1"/>
    <col min="4108" max="4108" width="27.375" style="2" customWidth="1"/>
    <col min="4109" max="4109" width="11.25" style="2" customWidth="1"/>
    <col min="4110" max="4354" width="9" style="2"/>
    <col min="4355" max="4363" width="9.625" style="2" customWidth="1"/>
    <col min="4364" max="4364" width="27.375" style="2" customWidth="1"/>
    <col min="4365" max="4365" width="11.25" style="2" customWidth="1"/>
    <col min="4366" max="4610" width="9" style="2"/>
    <col min="4611" max="4619" width="9.625" style="2" customWidth="1"/>
    <col min="4620" max="4620" width="27.375" style="2" customWidth="1"/>
    <col min="4621" max="4621" width="11.25" style="2" customWidth="1"/>
    <col min="4622" max="4866" width="9" style="2"/>
    <col min="4867" max="4875" width="9.625" style="2" customWidth="1"/>
    <col min="4876" max="4876" width="27.375" style="2" customWidth="1"/>
    <col min="4877" max="4877" width="11.25" style="2" customWidth="1"/>
    <col min="4878" max="5122" width="9" style="2"/>
    <col min="5123" max="5131" width="9.625" style="2" customWidth="1"/>
    <col min="5132" max="5132" width="27.375" style="2" customWidth="1"/>
    <col min="5133" max="5133" width="11.25" style="2" customWidth="1"/>
    <col min="5134" max="5378" width="9" style="2"/>
    <col min="5379" max="5387" width="9.625" style="2" customWidth="1"/>
    <col min="5388" max="5388" width="27.375" style="2" customWidth="1"/>
    <col min="5389" max="5389" width="11.25" style="2" customWidth="1"/>
    <col min="5390" max="5634" width="9" style="2"/>
    <col min="5635" max="5643" width="9.625" style="2" customWidth="1"/>
    <col min="5644" max="5644" width="27.375" style="2" customWidth="1"/>
    <col min="5645" max="5645" width="11.25" style="2" customWidth="1"/>
    <col min="5646" max="5890" width="9" style="2"/>
    <col min="5891" max="5899" width="9.625" style="2" customWidth="1"/>
    <col min="5900" max="5900" width="27.375" style="2" customWidth="1"/>
    <col min="5901" max="5901" width="11.25" style="2" customWidth="1"/>
    <col min="5902" max="6146" width="9" style="2"/>
    <col min="6147" max="6155" width="9.625" style="2" customWidth="1"/>
    <col min="6156" max="6156" width="27.375" style="2" customWidth="1"/>
    <col min="6157" max="6157" width="11.25" style="2" customWidth="1"/>
    <col min="6158" max="6402" width="9" style="2"/>
    <col min="6403" max="6411" width="9.625" style="2" customWidth="1"/>
    <col min="6412" max="6412" width="27.375" style="2" customWidth="1"/>
    <col min="6413" max="6413" width="11.25" style="2" customWidth="1"/>
    <col min="6414" max="6658" width="9" style="2"/>
    <col min="6659" max="6667" width="9.625" style="2" customWidth="1"/>
    <col min="6668" max="6668" width="27.375" style="2" customWidth="1"/>
    <col min="6669" max="6669" width="11.25" style="2" customWidth="1"/>
    <col min="6670" max="6914" width="9" style="2"/>
    <col min="6915" max="6923" width="9.625" style="2" customWidth="1"/>
    <col min="6924" max="6924" width="27.375" style="2" customWidth="1"/>
    <col min="6925" max="6925" width="11.25" style="2" customWidth="1"/>
    <col min="6926" max="7170" width="9" style="2"/>
    <col min="7171" max="7179" width="9.625" style="2" customWidth="1"/>
    <col min="7180" max="7180" width="27.375" style="2" customWidth="1"/>
    <col min="7181" max="7181" width="11.25" style="2" customWidth="1"/>
    <col min="7182" max="7426" width="9" style="2"/>
    <col min="7427" max="7435" width="9.625" style="2" customWidth="1"/>
    <col min="7436" max="7436" width="27.375" style="2" customWidth="1"/>
    <col min="7437" max="7437" width="11.25" style="2" customWidth="1"/>
    <col min="7438" max="7682" width="9" style="2"/>
    <col min="7683" max="7691" width="9.625" style="2" customWidth="1"/>
    <col min="7692" max="7692" width="27.375" style="2" customWidth="1"/>
    <col min="7693" max="7693" width="11.25" style="2" customWidth="1"/>
    <col min="7694" max="7938" width="9" style="2"/>
    <col min="7939" max="7947" width="9.625" style="2" customWidth="1"/>
    <col min="7948" max="7948" width="27.375" style="2" customWidth="1"/>
    <col min="7949" max="7949" width="11.25" style="2" customWidth="1"/>
    <col min="7950" max="8194" width="9" style="2"/>
    <col min="8195" max="8203" width="9.625" style="2" customWidth="1"/>
    <col min="8204" max="8204" width="27.375" style="2" customWidth="1"/>
    <col min="8205" max="8205" width="11.25" style="2" customWidth="1"/>
    <col min="8206" max="8450" width="9" style="2"/>
    <col min="8451" max="8459" width="9.625" style="2" customWidth="1"/>
    <col min="8460" max="8460" width="27.375" style="2" customWidth="1"/>
    <col min="8461" max="8461" width="11.25" style="2" customWidth="1"/>
    <col min="8462" max="8706" width="9" style="2"/>
    <col min="8707" max="8715" width="9.625" style="2" customWidth="1"/>
    <col min="8716" max="8716" width="27.375" style="2" customWidth="1"/>
    <col min="8717" max="8717" width="11.25" style="2" customWidth="1"/>
    <col min="8718" max="8962" width="9" style="2"/>
    <col min="8963" max="8971" width="9.625" style="2" customWidth="1"/>
    <col min="8972" max="8972" width="27.375" style="2" customWidth="1"/>
    <col min="8973" max="8973" width="11.25" style="2" customWidth="1"/>
    <col min="8974" max="9218" width="9" style="2"/>
    <col min="9219" max="9227" width="9.625" style="2" customWidth="1"/>
    <col min="9228" max="9228" width="27.375" style="2" customWidth="1"/>
    <col min="9229" max="9229" width="11.25" style="2" customWidth="1"/>
    <col min="9230" max="9474" width="9" style="2"/>
    <col min="9475" max="9483" width="9.625" style="2" customWidth="1"/>
    <col min="9484" max="9484" width="27.375" style="2" customWidth="1"/>
    <col min="9485" max="9485" width="11.25" style="2" customWidth="1"/>
    <col min="9486" max="9730" width="9" style="2"/>
    <col min="9731" max="9739" width="9.625" style="2" customWidth="1"/>
    <col min="9740" max="9740" width="27.375" style="2" customWidth="1"/>
    <col min="9741" max="9741" width="11.25" style="2" customWidth="1"/>
    <col min="9742" max="9986" width="9" style="2"/>
    <col min="9987" max="9995" width="9.625" style="2" customWidth="1"/>
    <col min="9996" max="9996" width="27.375" style="2" customWidth="1"/>
    <col min="9997" max="9997" width="11.25" style="2" customWidth="1"/>
    <col min="9998" max="10242" width="9" style="2"/>
    <col min="10243" max="10251" width="9.625" style="2" customWidth="1"/>
    <col min="10252" max="10252" width="27.375" style="2" customWidth="1"/>
    <col min="10253" max="10253" width="11.25" style="2" customWidth="1"/>
    <col min="10254" max="10498" width="9" style="2"/>
    <col min="10499" max="10507" width="9.625" style="2" customWidth="1"/>
    <col min="10508" max="10508" width="27.375" style="2" customWidth="1"/>
    <col min="10509" max="10509" width="11.25" style="2" customWidth="1"/>
    <col min="10510" max="10754" width="9" style="2"/>
    <col min="10755" max="10763" width="9.625" style="2" customWidth="1"/>
    <col min="10764" max="10764" width="27.375" style="2" customWidth="1"/>
    <col min="10765" max="10765" width="11.25" style="2" customWidth="1"/>
    <col min="10766" max="11010" width="9" style="2"/>
    <col min="11011" max="11019" width="9.625" style="2" customWidth="1"/>
    <col min="11020" max="11020" width="27.375" style="2" customWidth="1"/>
    <col min="11021" max="11021" width="11.25" style="2" customWidth="1"/>
    <col min="11022" max="11266" width="9" style="2"/>
    <col min="11267" max="11275" width="9.625" style="2" customWidth="1"/>
    <col min="11276" max="11276" width="27.375" style="2" customWidth="1"/>
    <col min="11277" max="11277" width="11.25" style="2" customWidth="1"/>
    <col min="11278" max="11522" width="9" style="2"/>
    <col min="11523" max="11531" width="9.625" style="2" customWidth="1"/>
    <col min="11532" max="11532" width="27.375" style="2" customWidth="1"/>
    <col min="11533" max="11533" width="11.25" style="2" customWidth="1"/>
    <col min="11534" max="11778" width="9" style="2"/>
    <col min="11779" max="11787" width="9.625" style="2" customWidth="1"/>
    <col min="11788" max="11788" width="27.375" style="2" customWidth="1"/>
    <col min="11789" max="11789" width="11.25" style="2" customWidth="1"/>
    <col min="11790" max="12034" width="9" style="2"/>
    <col min="12035" max="12043" width="9.625" style="2" customWidth="1"/>
    <col min="12044" max="12044" width="27.375" style="2" customWidth="1"/>
    <col min="12045" max="12045" width="11.25" style="2" customWidth="1"/>
    <col min="12046" max="12290" width="9" style="2"/>
    <col min="12291" max="12299" width="9.625" style="2" customWidth="1"/>
    <col min="12300" max="12300" width="27.375" style="2" customWidth="1"/>
    <col min="12301" max="12301" width="11.25" style="2" customWidth="1"/>
    <col min="12302" max="12546" width="9" style="2"/>
    <col min="12547" max="12555" width="9.625" style="2" customWidth="1"/>
    <col min="12556" max="12556" width="27.375" style="2" customWidth="1"/>
    <col min="12557" max="12557" width="11.25" style="2" customWidth="1"/>
    <col min="12558" max="12802" width="9" style="2"/>
    <col min="12803" max="12811" width="9.625" style="2" customWidth="1"/>
    <col min="12812" max="12812" width="27.375" style="2" customWidth="1"/>
    <col min="12813" max="12813" width="11.25" style="2" customWidth="1"/>
    <col min="12814" max="13058" width="9" style="2"/>
    <col min="13059" max="13067" width="9.625" style="2" customWidth="1"/>
    <col min="13068" max="13068" width="27.375" style="2" customWidth="1"/>
    <col min="13069" max="13069" width="11.25" style="2" customWidth="1"/>
    <col min="13070" max="13314" width="9" style="2"/>
    <col min="13315" max="13323" width="9.625" style="2" customWidth="1"/>
    <col min="13324" max="13324" width="27.375" style="2" customWidth="1"/>
    <col min="13325" max="13325" width="11.25" style="2" customWidth="1"/>
    <col min="13326" max="13570" width="9" style="2"/>
    <col min="13571" max="13579" width="9.625" style="2" customWidth="1"/>
    <col min="13580" max="13580" width="27.375" style="2" customWidth="1"/>
    <col min="13581" max="13581" width="11.25" style="2" customWidth="1"/>
    <col min="13582" max="13826" width="9" style="2"/>
    <col min="13827" max="13835" width="9.625" style="2" customWidth="1"/>
    <col min="13836" max="13836" width="27.375" style="2" customWidth="1"/>
    <col min="13837" max="13837" width="11.25" style="2" customWidth="1"/>
    <col min="13838" max="14082" width="9" style="2"/>
    <col min="14083" max="14091" width="9.625" style="2" customWidth="1"/>
    <col min="14092" max="14092" width="27.375" style="2" customWidth="1"/>
    <col min="14093" max="14093" width="11.25" style="2" customWidth="1"/>
    <col min="14094" max="14338" width="9" style="2"/>
    <col min="14339" max="14347" width="9.625" style="2" customWidth="1"/>
    <col min="14348" max="14348" width="27.375" style="2" customWidth="1"/>
    <col min="14349" max="14349" width="11.25" style="2" customWidth="1"/>
    <col min="14350" max="14594" width="9" style="2"/>
    <col min="14595" max="14603" width="9.625" style="2" customWidth="1"/>
    <col min="14604" max="14604" width="27.375" style="2" customWidth="1"/>
    <col min="14605" max="14605" width="11.25" style="2" customWidth="1"/>
    <col min="14606" max="14850" width="9" style="2"/>
    <col min="14851" max="14859" width="9.625" style="2" customWidth="1"/>
    <col min="14860" max="14860" width="27.375" style="2" customWidth="1"/>
    <col min="14861" max="14861" width="11.25" style="2" customWidth="1"/>
    <col min="14862" max="15106" width="9" style="2"/>
    <col min="15107" max="15115" width="9.625" style="2" customWidth="1"/>
    <col min="15116" max="15116" width="27.375" style="2" customWidth="1"/>
    <col min="15117" max="15117" width="11.25" style="2" customWidth="1"/>
    <col min="15118" max="15362" width="9" style="2"/>
    <col min="15363" max="15371" width="9.625" style="2" customWidth="1"/>
    <col min="15372" max="15372" width="27.375" style="2" customWidth="1"/>
    <col min="15373" max="15373" width="11.25" style="2" customWidth="1"/>
    <col min="15374" max="15618" width="9" style="2"/>
    <col min="15619" max="15627" width="9.625" style="2" customWidth="1"/>
    <col min="15628" max="15628" width="27.375" style="2" customWidth="1"/>
    <col min="15629" max="15629" width="11.25" style="2" customWidth="1"/>
    <col min="15630" max="15874" width="9" style="2"/>
    <col min="15875" max="15883" width="9.625" style="2" customWidth="1"/>
    <col min="15884" max="15884" width="27.375" style="2" customWidth="1"/>
    <col min="15885" max="15885" width="11.25" style="2" customWidth="1"/>
    <col min="15886" max="16130" width="9" style="2"/>
    <col min="16131" max="16139" width="9.625" style="2" customWidth="1"/>
    <col min="16140" max="16140" width="27.375" style="2" customWidth="1"/>
    <col min="16141" max="16141" width="11.25" style="2" customWidth="1"/>
    <col min="16142" max="16384" width="9" style="2"/>
  </cols>
  <sheetData>
    <row r="1" spans="3:20" ht="20.100000000000001" customHeight="1" x14ac:dyDescent="0.2">
      <c r="C1" s="506" t="s">
        <v>606</v>
      </c>
      <c r="D1" s="506"/>
      <c r="E1" s="506"/>
      <c r="F1" s="506"/>
      <c r="G1" s="506"/>
      <c r="H1" s="506"/>
      <c r="I1" s="506"/>
      <c r="J1" s="506"/>
      <c r="K1" s="506"/>
      <c r="L1" s="506"/>
      <c r="M1" s="1"/>
    </row>
    <row r="2" spans="3:20" ht="20.100000000000001" customHeight="1" thickBot="1" x14ac:dyDescent="0.25">
      <c r="C2" s="507" t="s">
        <v>607</v>
      </c>
      <c r="D2" s="507"/>
      <c r="E2" s="507"/>
      <c r="F2" s="507"/>
      <c r="G2" s="507"/>
      <c r="H2" s="507"/>
      <c r="I2" s="507"/>
      <c r="J2" s="507"/>
      <c r="K2" s="507"/>
      <c r="L2" s="507"/>
      <c r="M2" s="1"/>
    </row>
    <row r="3" spans="3:20" ht="13.5" thickBot="1" x14ac:dyDescent="0.25">
      <c r="C3" s="508" t="s">
        <v>4</v>
      </c>
      <c r="D3" s="508"/>
      <c r="E3" s="508"/>
      <c r="F3" s="508" t="s">
        <v>145</v>
      </c>
      <c r="G3" s="508"/>
      <c r="H3" s="508"/>
      <c r="I3" s="508" t="s">
        <v>146</v>
      </c>
      <c r="J3" s="508"/>
      <c r="K3" s="508"/>
      <c r="L3" s="91"/>
      <c r="M3" s="1"/>
    </row>
    <row r="4" spans="3:20" ht="13.5" thickBot="1" x14ac:dyDescent="0.25">
      <c r="C4" s="92" t="s">
        <v>227</v>
      </c>
      <c r="D4" s="92" t="s">
        <v>10</v>
      </c>
      <c r="E4" s="92" t="s">
        <v>9</v>
      </c>
      <c r="F4" s="92" t="s">
        <v>227</v>
      </c>
      <c r="G4" s="92" t="s">
        <v>10</v>
      </c>
      <c r="H4" s="92" t="s">
        <v>9</v>
      </c>
      <c r="I4" s="92" t="s">
        <v>227</v>
      </c>
      <c r="J4" s="92" t="s">
        <v>10</v>
      </c>
      <c r="K4" s="92" t="s">
        <v>9</v>
      </c>
      <c r="L4" s="93" t="s">
        <v>240</v>
      </c>
      <c r="M4" s="1"/>
    </row>
    <row r="5" spans="3:20" ht="13.5" thickBot="1" x14ac:dyDescent="0.25">
      <c r="C5" s="94">
        <f>SUM(D5:E5)</f>
        <v>7307</v>
      </c>
      <c r="D5" s="94">
        <f>J5+G5</f>
        <v>1247</v>
      </c>
      <c r="E5" s="94">
        <f>K5+H5</f>
        <v>6060</v>
      </c>
      <c r="F5" s="94">
        <f>SUM(G5:H5)</f>
        <v>61</v>
      </c>
      <c r="G5" s="94">
        <v>23</v>
      </c>
      <c r="H5" s="94">
        <v>38</v>
      </c>
      <c r="I5" s="94">
        <f>SUM(J5:K5)</f>
        <v>7246</v>
      </c>
      <c r="J5" s="94">
        <v>1224</v>
      </c>
      <c r="K5" s="94">
        <v>6022</v>
      </c>
      <c r="L5" s="95" t="s">
        <v>161</v>
      </c>
      <c r="M5" s="1"/>
      <c r="S5" s="96"/>
    </row>
    <row r="6" spans="3:20" ht="13.5" thickBot="1" x14ac:dyDescent="0.25">
      <c r="C6" s="94">
        <f t="shared" ref="C6:C27" si="0">SUM(D6:E6)</f>
        <v>8183</v>
      </c>
      <c r="D6" s="94">
        <f t="shared" ref="D6:E27" si="1">J6+G6</f>
        <v>0</v>
      </c>
      <c r="E6" s="94">
        <f t="shared" si="1"/>
        <v>8183</v>
      </c>
      <c r="F6" s="94">
        <f t="shared" ref="F6:F27" si="2">SUM(G6:H6)</f>
        <v>95</v>
      </c>
      <c r="G6" s="94">
        <v>0</v>
      </c>
      <c r="H6" s="94">
        <v>95</v>
      </c>
      <c r="I6" s="94">
        <f t="shared" ref="I6:I27" si="3">SUM(J6:K6)</f>
        <v>8088</v>
      </c>
      <c r="J6" s="94">
        <v>0</v>
      </c>
      <c r="K6" s="94">
        <v>8088</v>
      </c>
      <c r="L6" s="95" t="s">
        <v>162</v>
      </c>
      <c r="M6" s="1"/>
      <c r="S6" s="96"/>
    </row>
    <row r="7" spans="3:20" ht="13.5" thickBot="1" x14ac:dyDescent="0.25">
      <c r="C7" s="94">
        <f t="shared" si="0"/>
        <v>352</v>
      </c>
      <c r="D7" s="94">
        <f t="shared" si="1"/>
        <v>0</v>
      </c>
      <c r="E7" s="94">
        <f t="shared" si="1"/>
        <v>352</v>
      </c>
      <c r="F7" s="94">
        <f t="shared" si="2"/>
        <v>208</v>
      </c>
      <c r="G7" s="94">
        <v>0</v>
      </c>
      <c r="H7" s="94">
        <v>208</v>
      </c>
      <c r="I7" s="94">
        <f t="shared" si="3"/>
        <v>144</v>
      </c>
      <c r="J7" s="94">
        <v>0</v>
      </c>
      <c r="K7" s="94">
        <v>144</v>
      </c>
      <c r="L7" s="95" t="s">
        <v>163</v>
      </c>
      <c r="M7" s="1"/>
      <c r="S7" s="97"/>
      <c r="T7" s="98"/>
    </row>
    <row r="8" spans="3:20" ht="13.5" thickBot="1" x14ac:dyDescent="0.25">
      <c r="C8" s="94">
        <f t="shared" si="0"/>
        <v>5421</v>
      </c>
      <c r="D8" s="94">
        <f t="shared" si="1"/>
        <v>1095</v>
      </c>
      <c r="E8" s="94">
        <f t="shared" si="1"/>
        <v>4326</v>
      </c>
      <c r="F8" s="94">
        <f t="shared" si="2"/>
        <v>65</v>
      </c>
      <c r="G8" s="94">
        <v>9</v>
      </c>
      <c r="H8" s="94">
        <v>56</v>
      </c>
      <c r="I8" s="94">
        <f t="shared" si="3"/>
        <v>5356</v>
      </c>
      <c r="J8" s="94">
        <v>1086</v>
      </c>
      <c r="K8" s="94">
        <v>4270</v>
      </c>
      <c r="L8" s="95" t="s">
        <v>164</v>
      </c>
      <c r="M8" s="1"/>
      <c r="S8" s="99"/>
      <c r="T8" s="98"/>
    </row>
    <row r="9" spans="3:20" ht="13.5" thickBot="1" x14ac:dyDescent="0.25">
      <c r="C9" s="94">
        <f t="shared" si="0"/>
        <v>2217</v>
      </c>
      <c r="D9" s="94">
        <f t="shared" si="1"/>
        <v>167</v>
      </c>
      <c r="E9" s="94">
        <f t="shared" si="1"/>
        <v>2050</v>
      </c>
      <c r="F9" s="94">
        <f t="shared" si="2"/>
        <v>36</v>
      </c>
      <c r="G9" s="94">
        <v>0</v>
      </c>
      <c r="H9" s="94">
        <v>36</v>
      </c>
      <c r="I9" s="94">
        <f t="shared" si="3"/>
        <v>2181</v>
      </c>
      <c r="J9" s="94">
        <v>167</v>
      </c>
      <c r="K9" s="94">
        <v>2014</v>
      </c>
      <c r="L9" s="95" t="s">
        <v>165</v>
      </c>
      <c r="M9" s="1"/>
      <c r="S9" s="97"/>
      <c r="T9" s="98"/>
    </row>
    <row r="10" spans="3:20" ht="13.5" thickBot="1" x14ac:dyDescent="0.25">
      <c r="C10" s="94">
        <f t="shared" si="0"/>
        <v>9302</v>
      </c>
      <c r="D10" s="94">
        <f t="shared" si="1"/>
        <v>2080</v>
      </c>
      <c r="E10" s="94">
        <f t="shared" si="1"/>
        <v>7222</v>
      </c>
      <c r="F10" s="94">
        <f t="shared" si="2"/>
        <v>511</v>
      </c>
      <c r="G10" s="94">
        <v>62</v>
      </c>
      <c r="H10" s="94">
        <v>449</v>
      </c>
      <c r="I10" s="94">
        <f t="shared" si="3"/>
        <v>8791</v>
      </c>
      <c r="J10" s="94">
        <v>2018</v>
      </c>
      <c r="K10" s="94">
        <v>6773</v>
      </c>
      <c r="L10" s="95" t="s">
        <v>166</v>
      </c>
      <c r="M10" s="1"/>
      <c r="S10" s="97"/>
      <c r="T10" s="98"/>
    </row>
    <row r="11" spans="3:20" ht="13.5" thickBot="1" x14ac:dyDescent="0.25">
      <c r="C11" s="94">
        <f t="shared" si="0"/>
        <v>3318</v>
      </c>
      <c r="D11" s="94">
        <f t="shared" si="1"/>
        <v>1795</v>
      </c>
      <c r="E11" s="94">
        <f t="shared" si="1"/>
        <v>1523</v>
      </c>
      <c r="F11" s="94">
        <f t="shared" si="2"/>
        <v>65</v>
      </c>
      <c r="G11" s="94">
        <v>42</v>
      </c>
      <c r="H11" s="94">
        <v>23</v>
      </c>
      <c r="I11" s="94">
        <f t="shared" si="3"/>
        <v>3253</v>
      </c>
      <c r="J11" s="94">
        <v>1753</v>
      </c>
      <c r="K11" s="94">
        <v>1500</v>
      </c>
      <c r="L11" s="95" t="s">
        <v>167</v>
      </c>
      <c r="M11" s="1"/>
      <c r="S11" s="99"/>
      <c r="T11" s="98"/>
    </row>
    <row r="12" spans="3:20" ht="13.5" thickBot="1" x14ac:dyDescent="0.25">
      <c r="C12" s="94">
        <f t="shared" si="0"/>
        <v>770</v>
      </c>
      <c r="D12" s="94">
        <f t="shared" si="1"/>
        <v>177</v>
      </c>
      <c r="E12" s="94">
        <f t="shared" si="1"/>
        <v>593</v>
      </c>
      <c r="F12" s="94">
        <f t="shared" si="2"/>
        <v>15</v>
      </c>
      <c r="G12" s="94">
        <v>5</v>
      </c>
      <c r="H12" s="94">
        <v>10</v>
      </c>
      <c r="I12" s="94">
        <f t="shared" si="3"/>
        <v>755</v>
      </c>
      <c r="J12" s="94">
        <v>172</v>
      </c>
      <c r="K12" s="94">
        <v>583</v>
      </c>
      <c r="L12" s="95" t="s">
        <v>168</v>
      </c>
      <c r="M12" s="1"/>
      <c r="S12" s="97"/>
      <c r="T12" s="98"/>
    </row>
    <row r="13" spans="3:20" ht="13.5" thickBot="1" x14ac:dyDescent="0.25">
      <c r="C13" s="94">
        <f t="shared" si="0"/>
        <v>29439</v>
      </c>
      <c r="D13" s="94">
        <f t="shared" si="1"/>
        <v>3807</v>
      </c>
      <c r="E13" s="94">
        <f t="shared" si="1"/>
        <v>25632</v>
      </c>
      <c r="F13" s="94">
        <f t="shared" si="2"/>
        <v>830</v>
      </c>
      <c r="G13" s="94">
        <v>14</v>
      </c>
      <c r="H13" s="94">
        <v>816</v>
      </c>
      <c r="I13" s="94">
        <f t="shared" si="3"/>
        <v>28609</v>
      </c>
      <c r="J13" s="94">
        <v>3793</v>
      </c>
      <c r="K13" s="94">
        <v>24816</v>
      </c>
      <c r="L13" s="95" t="s">
        <v>169</v>
      </c>
      <c r="M13" s="1"/>
      <c r="S13" s="98"/>
      <c r="T13" s="98"/>
    </row>
    <row r="14" spans="3:20" ht="13.5" thickBot="1" x14ac:dyDescent="0.25">
      <c r="C14" s="94">
        <f t="shared" si="0"/>
        <v>271</v>
      </c>
      <c r="D14" s="94">
        <f t="shared" si="1"/>
        <v>0</v>
      </c>
      <c r="E14" s="94">
        <f t="shared" si="1"/>
        <v>271</v>
      </c>
      <c r="F14" s="94">
        <f t="shared" si="2"/>
        <v>3</v>
      </c>
      <c r="G14" s="94">
        <v>0</v>
      </c>
      <c r="H14" s="94">
        <v>3</v>
      </c>
      <c r="I14" s="94">
        <f t="shared" si="3"/>
        <v>268</v>
      </c>
      <c r="J14" s="94">
        <v>0</v>
      </c>
      <c r="K14" s="94">
        <v>268</v>
      </c>
      <c r="L14" s="95" t="s">
        <v>170</v>
      </c>
      <c r="M14" s="1"/>
      <c r="S14" s="98"/>
      <c r="T14" s="98"/>
    </row>
    <row r="15" spans="3:20" ht="13.5" thickBot="1" x14ac:dyDescent="0.25">
      <c r="C15" s="94">
        <f t="shared" si="0"/>
        <v>2190</v>
      </c>
      <c r="D15" s="94">
        <f t="shared" si="1"/>
        <v>1390</v>
      </c>
      <c r="E15" s="94">
        <f t="shared" si="1"/>
        <v>800</v>
      </c>
      <c r="F15" s="94">
        <f t="shared" si="2"/>
        <v>2</v>
      </c>
      <c r="G15" s="94">
        <v>2</v>
      </c>
      <c r="H15" s="94">
        <v>0</v>
      </c>
      <c r="I15" s="94">
        <f t="shared" si="3"/>
        <v>2188</v>
      </c>
      <c r="J15" s="94">
        <v>1388</v>
      </c>
      <c r="K15" s="94">
        <v>800</v>
      </c>
      <c r="L15" s="95" t="s">
        <v>171</v>
      </c>
      <c r="M15" s="1"/>
      <c r="S15" s="98"/>
      <c r="T15" s="98"/>
    </row>
    <row r="16" spans="3:20" ht="13.5" thickBot="1" x14ac:dyDescent="0.25">
      <c r="C16" s="94">
        <f t="shared" si="0"/>
        <v>1332</v>
      </c>
      <c r="D16" s="94">
        <f t="shared" si="1"/>
        <v>327</v>
      </c>
      <c r="E16" s="94">
        <f t="shared" si="1"/>
        <v>1005</v>
      </c>
      <c r="F16" s="94">
        <f t="shared" si="2"/>
        <v>9</v>
      </c>
      <c r="G16" s="94">
        <v>0</v>
      </c>
      <c r="H16" s="94">
        <v>9</v>
      </c>
      <c r="I16" s="94">
        <f t="shared" si="3"/>
        <v>1323</v>
      </c>
      <c r="J16" s="94">
        <v>327</v>
      </c>
      <c r="K16" s="94">
        <v>996</v>
      </c>
      <c r="L16" s="95" t="s">
        <v>172</v>
      </c>
      <c r="M16" s="1"/>
      <c r="S16" s="98"/>
      <c r="T16" s="98"/>
    </row>
    <row r="17" spans="3:13" ht="13.5" thickBot="1" x14ac:dyDescent="0.25">
      <c r="C17" s="94">
        <f t="shared" si="0"/>
        <v>120</v>
      </c>
      <c r="D17" s="94">
        <f t="shared" si="1"/>
        <v>96</v>
      </c>
      <c r="E17" s="94">
        <f t="shared" si="1"/>
        <v>24</v>
      </c>
      <c r="F17" s="94">
        <f t="shared" si="2"/>
        <v>0</v>
      </c>
      <c r="G17" s="94">
        <v>0</v>
      </c>
      <c r="H17" s="94">
        <v>0</v>
      </c>
      <c r="I17" s="94">
        <f t="shared" si="3"/>
        <v>120</v>
      </c>
      <c r="J17" s="94">
        <v>96</v>
      </c>
      <c r="K17" s="94">
        <v>24</v>
      </c>
      <c r="L17" s="95" t="s">
        <v>173</v>
      </c>
      <c r="M17" s="1"/>
    </row>
    <row r="18" spans="3:13" ht="13.5" thickBot="1" x14ac:dyDescent="0.25">
      <c r="C18" s="94">
        <f t="shared" si="0"/>
        <v>23329</v>
      </c>
      <c r="D18" s="94">
        <f t="shared" si="1"/>
        <v>9336</v>
      </c>
      <c r="E18" s="94">
        <f t="shared" si="1"/>
        <v>13993</v>
      </c>
      <c r="F18" s="94">
        <f t="shared" si="2"/>
        <v>350</v>
      </c>
      <c r="G18" s="94">
        <v>43</v>
      </c>
      <c r="H18" s="94">
        <v>307</v>
      </c>
      <c r="I18" s="94">
        <f t="shared" si="3"/>
        <v>22979</v>
      </c>
      <c r="J18" s="94">
        <v>9293</v>
      </c>
      <c r="K18" s="94">
        <v>13686</v>
      </c>
      <c r="L18" s="95" t="s">
        <v>174</v>
      </c>
      <c r="M18" s="1"/>
    </row>
    <row r="19" spans="3:13" ht="13.5" thickBot="1" x14ac:dyDescent="0.25">
      <c r="C19" s="94">
        <f t="shared" si="0"/>
        <v>15528</v>
      </c>
      <c r="D19" s="94">
        <f t="shared" si="1"/>
        <v>1027</v>
      </c>
      <c r="E19" s="94">
        <f t="shared" si="1"/>
        <v>14501</v>
      </c>
      <c r="F19" s="94">
        <f t="shared" si="2"/>
        <v>203</v>
      </c>
      <c r="G19" s="94">
        <v>0</v>
      </c>
      <c r="H19" s="94">
        <v>203</v>
      </c>
      <c r="I19" s="94">
        <f t="shared" si="3"/>
        <v>15325</v>
      </c>
      <c r="J19" s="94">
        <v>1027</v>
      </c>
      <c r="K19" s="94">
        <v>14298</v>
      </c>
      <c r="L19" s="95" t="s">
        <v>175</v>
      </c>
      <c r="M19" s="1"/>
    </row>
    <row r="20" spans="3:13" ht="13.5" thickBot="1" x14ac:dyDescent="0.25">
      <c r="C20" s="94">
        <f t="shared" si="0"/>
        <v>1165</v>
      </c>
      <c r="D20" s="94">
        <f t="shared" si="1"/>
        <v>184</v>
      </c>
      <c r="E20" s="94">
        <f t="shared" si="1"/>
        <v>981</v>
      </c>
      <c r="F20" s="94">
        <f t="shared" si="2"/>
        <v>6</v>
      </c>
      <c r="G20" s="94">
        <v>2</v>
      </c>
      <c r="H20" s="94">
        <v>4</v>
      </c>
      <c r="I20" s="94">
        <f t="shared" si="3"/>
        <v>1159</v>
      </c>
      <c r="J20" s="94">
        <v>182</v>
      </c>
      <c r="K20" s="94">
        <v>977</v>
      </c>
      <c r="L20" s="95" t="s">
        <v>176</v>
      </c>
      <c r="M20" s="1"/>
    </row>
    <row r="21" spans="3:13" ht="13.5" thickBot="1" x14ac:dyDescent="0.25">
      <c r="C21" s="94">
        <f t="shared" si="0"/>
        <v>3124</v>
      </c>
      <c r="D21" s="94">
        <f t="shared" si="1"/>
        <v>0</v>
      </c>
      <c r="E21" s="94">
        <f t="shared" si="1"/>
        <v>3124</v>
      </c>
      <c r="F21" s="94">
        <f t="shared" si="2"/>
        <v>48</v>
      </c>
      <c r="G21" s="94">
        <v>0</v>
      </c>
      <c r="H21" s="94">
        <v>48</v>
      </c>
      <c r="I21" s="94">
        <f t="shared" si="3"/>
        <v>3076</v>
      </c>
      <c r="J21" s="94">
        <v>0</v>
      </c>
      <c r="K21" s="94">
        <v>3076</v>
      </c>
      <c r="L21" s="95" t="s">
        <v>177</v>
      </c>
      <c r="M21" s="1"/>
    </row>
    <row r="22" spans="3:13" ht="13.5" thickBot="1" x14ac:dyDescent="0.25">
      <c r="C22" s="94">
        <f t="shared" si="0"/>
        <v>41</v>
      </c>
      <c r="D22" s="94">
        <f t="shared" si="1"/>
        <v>0</v>
      </c>
      <c r="E22" s="94">
        <f t="shared" si="1"/>
        <v>41</v>
      </c>
      <c r="F22" s="94">
        <f t="shared" si="2"/>
        <v>2</v>
      </c>
      <c r="G22" s="94">
        <v>0</v>
      </c>
      <c r="H22" s="94">
        <v>2</v>
      </c>
      <c r="I22" s="94">
        <f t="shared" si="3"/>
        <v>39</v>
      </c>
      <c r="J22" s="94">
        <v>0</v>
      </c>
      <c r="K22" s="94">
        <v>39</v>
      </c>
      <c r="L22" s="95" t="s">
        <v>178</v>
      </c>
      <c r="M22" s="1"/>
    </row>
    <row r="23" spans="3:13" ht="13.5" thickBot="1" x14ac:dyDescent="0.25">
      <c r="C23" s="94">
        <f t="shared" si="0"/>
        <v>12827</v>
      </c>
      <c r="D23" s="94">
        <f t="shared" si="1"/>
        <v>4190</v>
      </c>
      <c r="E23" s="94">
        <f t="shared" si="1"/>
        <v>8637</v>
      </c>
      <c r="F23" s="94">
        <f t="shared" si="2"/>
        <v>212</v>
      </c>
      <c r="G23" s="94">
        <v>169</v>
      </c>
      <c r="H23" s="94">
        <v>43</v>
      </c>
      <c r="I23" s="94">
        <f t="shared" si="3"/>
        <v>12615</v>
      </c>
      <c r="J23" s="94">
        <v>4021</v>
      </c>
      <c r="K23" s="94">
        <v>8594</v>
      </c>
      <c r="L23" s="95" t="s">
        <v>180</v>
      </c>
      <c r="M23" s="1"/>
    </row>
    <row r="24" spans="3:13" ht="13.5" thickBot="1" x14ac:dyDescent="0.25">
      <c r="C24" s="94">
        <f t="shared" si="0"/>
        <v>509</v>
      </c>
      <c r="D24" s="94">
        <f t="shared" si="1"/>
        <v>0</v>
      </c>
      <c r="E24" s="94">
        <f t="shared" si="1"/>
        <v>509</v>
      </c>
      <c r="F24" s="94">
        <f t="shared" si="2"/>
        <v>9</v>
      </c>
      <c r="G24" s="94">
        <v>0</v>
      </c>
      <c r="H24" s="94">
        <v>9</v>
      </c>
      <c r="I24" s="94">
        <f t="shared" si="3"/>
        <v>500</v>
      </c>
      <c r="J24" s="94">
        <v>0</v>
      </c>
      <c r="K24" s="94">
        <v>500</v>
      </c>
      <c r="L24" s="95" t="s">
        <v>181</v>
      </c>
      <c r="M24" s="1"/>
    </row>
    <row r="25" spans="3:13" ht="13.5" thickBot="1" x14ac:dyDescent="0.25">
      <c r="C25" s="94">
        <f t="shared" si="0"/>
        <v>121</v>
      </c>
      <c r="D25" s="94">
        <f t="shared" si="1"/>
        <v>121</v>
      </c>
      <c r="E25" s="94">
        <f t="shared" si="1"/>
        <v>0</v>
      </c>
      <c r="F25" s="94">
        <f t="shared" si="2"/>
        <v>1</v>
      </c>
      <c r="G25" s="94">
        <v>1</v>
      </c>
      <c r="H25" s="94">
        <v>0</v>
      </c>
      <c r="I25" s="94">
        <f t="shared" si="3"/>
        <v>120</v>
      </c>
      <c r="J25" s="94">
        <v>120</v>
      </c>
      <c r="K25" s="94">
        <v>0</v>
      </c>
      <c r="L25" s="95" t="s">
        <v>182</v>
      </c>
      <c r="M25" s="1"/>
    </row>
    <row r="26" spans="3:13" ht="13.5" thickBot="1" x14ac:dyDescent="0.25">
      <c r="C26" s="94">
        <f t="shared" si="0"/>
        <v>393</v>
      </c>
      <c r="D26" s="94">
        <f t="shared" si="1"/>
        <v>0</v>
      </c>
      <c r="E26" s="94">
        <f t="shared" si="1"/>
        <v>393</v>
      </c>
      <c r="F26" s="94">
        <f t="shared" si="2"/>
        <v>0</v>
      </c>
      <c r="G26" s="94">
        <v>0</v>
      </c>
      <c r="H26" s="94">
        <v>0</v>
      </c>
      <c r="I26" s="94">
        <f t="shared" si="3"/>
        <v>393</v>
      </c>
      <c r="J26" s="94">
        <v>0</v>
      </c>
      <c r="K26" s="94">
        <v>393</v>
      </c>
      <c r="L26" s="95" t="s">
        <v>183</v>
      </c>
      <c r="M26" s="1"/>
    </row>
    <row r="27" spans="3:13" ht="13.5" thickBot="1" x14ac:dyDescent="0.25">
      <c r="C27" s="94">
        <f t="shared" si="0"/>
        <v>126</v>
      </c>
      <c r="D27" s="94">
        <f t="shared" si="1"/>
        <v>0</v>
      </c>
      <c r="E27" s="94">
        <f t="shared" si="1"/>
        <v>126</v>
      </c>
      <c r="F27" s="94">
        <f t="shared" si="2"/>
        <v>0</v>
      </c>
      <c r="G27" s="94">
        <v>0</v>
      </c>
      <c r="H27" s="94">
        <v>0</v>
      </c>
      <c r="I27" s="94">
        <f t="shared" si="3"/>
        <v>126</v>
      </c>
      <c r="J27" s="94">
        <v>0</v>
      </c>
      <c r="K27" s="94">
        <v>126</v>
      </c>
      <c r="L27" s="95" t="s">
        <v>53</v>
      </c>
      <c r="M27" s="1"/>
    </row>
    <row r="28" spans="3:13" ht="13.5" thickBot="1" x14ac:dyDescent="0.25">
      <c r="C28" s="94">
        <f t="shared" ref="C28:J28" si="4">SUM(C5:C27)</f>
        <v>127385</v>
      </c>
      <c r="D28" s="94">
        <f t="shared" si="4"/>
        <v>27039</v>
      </c>
      <c r="E28" s="94">
        <f t="shared" si="4"/>
        <v>100346</v>
      </c>
      <c r="F28" s="94">
        <f t="shared" si="4"/>
        <v>2731</v>
      </c>
      <c r="G28" s="94">
        <f t="shared" si="4"/>
        <v>372</v>
      </c>
      <c r="H28" s="94">
        <f t="shared" si="4"/>
        <v>2359</v>
      </c>
      <c r="I28" s="94">
        <f t="shared" si="4"/>
        <v>124654</v>
      </c>
      <c r="J28" s="94">
        <f t="shared" si="4"/>
        <v>26667</v>
      </c>
      <c r="K28" s="94">
        <f>SUM(K5:K27)</f>
        <v>97987</v>
      </c>
      <c r="L28" s="93" t="s">
        <v>188</v>
      </c>
      <c r="M28" s="1"/>
    </row>
  </sheetData>
  <mergeCells count="5">
    <mergeCell ref="C1:L1"/>
    <mergeCell ref="C2:L2"/>
    <mergeCell ref="C3:E3"/>
    <mergeCell ref="F3:H3"/>
    <mergeCell ref="I3:K3"/>
  </mergeCells>
  <pageMargins left="0.4" right="0.4" top="0.25" bottom="0.25" header="0.25" footer="0.25"/>
  <pageSetup paperSize="9" orientation="landscape" r:id="rId1"/>
  <headerFooter alignWithMargins="0"/>
  <colBreaks count="1" manualBreakCount="1">
    <brk id="12" max="27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P84"/>
  <sheetViews>
    <sheetView showGridLines="0" topLeftCell="A49" zoomScaleSheetLayoutView="90" workbookViewId="0">
      <selection activeCell="B14" sqref="B14"/>
    </sheetView>
  </sheetViews>
  <sheetFormatPr defaultRowHeight="12.75" customHeight="1" x14ac:dyDescent="0.2"/>
  <cols>
    <col min="1" max="2" width="9" style="2"/>
    <col min="3" max="11" width="9.625" style="2" customWidth="1"/>
    <col min="12" max="12" width="5.75" style="2" bestFit="1" customWidth="1"/>
    <col min="13" max="13" width="33.625" style="2" customWidth="1"/>
    <col min="14" max="14" width="23.25" style="2" customWidth="1"/>
    <col min="15" max="15" width="9" style="2"/>
    <col min="16" max="16" width="9" style="100"/>
    <col min="17" max="258" width="9" style="2"/>
    <col min="259" max="267" width="9.625" style="2" customWidth="1"/>
    <col min="268" max="268" width="5.75" style="2" bestFit="1" customWidth="1"/>
    <col min="269" max="269" width="33.625" style="2" customWidth="1"/>
    <col min="270" max="270" width="2" style="2" customWidth="1"/>
    <col min="271" max="514" width="9" style="2"/>
    <col min="515" max="523" width="9.625" style="2" customWidth="1"/>
    <col min="524" max="524" width="5.75" style="2" bestFit="1" customWidth="1"/>
    <col min="525" max="525" width="33.625" style="2" customWidth="1"/>
    <col min="526" max="526" width="2" style="2" customWidth="1"/>
    <col min="527" max="770" width="9" style="2"/>
    <col min="771" max="779" width="9.625" style="2" customWidth="1"/>
    <col min="780" max="780" width="5.75" style="2" bestFit="1" customWidth="1"/>
    <col min="781" max="781" width="33.625" style="2" customWidth="1"/>
    <col min="782" max="782" width="2" style="2" customWidth="1"/>
    <col min="783" max="1026" width="9" style="2"/>
    <col min="1027" max="1035" width="9.625" style="2" customWidth="1"/>
    <col min="1036" max="1036" width="5.75" style="2" bestFit="1" customWidth="1"/>
    <col min="1037" max="1037" width="33.625" style="2" customWidth="1"/>
    <col min="1038" max="1038" width="2" style="2" customWidth="1"/>
    <col min="1039" max="1282" width="9" style="2"/>
    <col min="1283" max="1291" width="9.625" style="2" customWidth="1"/>
    <col min="1292" max="1292" width="5.75" style="2" bestFit="1" customWidth="1"/>
    <col min="1293" max="1293" width="33.625" style="2" customWidth="1"/>
    <col min="1294" max="1294" width="2" style="2" customWidth="1"/>
    <col min="1295" max="1538" width="9" style="2"/>
    <col min="1539" max="1547" width="9.625" style="2" customWidth="1"/>
    <col min="1548" max="1548" width="5.75" style="2" bestFit="1" customWidth="1"/>
    <col min="1549" max="1549" width="33.625" style="2" customWidth="1"/>
    <col min="1550" max="1550" width="2" style="2" customWidth="1"/>
    <col min="1551" max="1794" width="9" style="2"/>
    <col min="1795" max="1803" width="9.625" style="2" customWidth="1"/>
    <col min="1804" max="1804" width="5.75" style="2" bestFit="1" customWidth="1"/>
    <col min="1805" max="1805" width="33.625" style="2" customWidth="1"/>
    <col min="1806" max="1806" width="2" style="2" customWidth="1"/>
    <col min="1807" max="2050" width="9" style="2"/>
    <col min="2051" max="2059" width="9.625" style="2" customWidth="1"/>
    <col min="2060" max="2060" width="5.75" style="2" bestFit="1" customWidth="1"/>
    <col min="2061" max="2061" width="33.625" style="2" customWidth="1"/>
    <col min="2062" max="2062" width="2" style="2" customWidth="1"/>
    <col min="2063" max="2306" width="9" style="2"/>
    <col min="2307" max="2315" width="9.625" style="2" customWidth="1"/>
    <col min="2316" max="2316" width="5.75" style="2" bestFit="1" customWidth="1"/>
    <col min="2317" max="2317" width="33.625" style="2" customWidth="1"/>
    <col min="2318" max="2318" width="2" style="2" customWidth="1"/>
    <col min="2319" max="2562" width="9" style="2"/>
    <col min="2563" max="2571" width="9.625" style="2" customWidth="1"/>
    <col min="2572" max="2572" width="5.75" style="2" bestFit="1" customWidth="1"/>
    <col min="2573" max="2573" width="33.625" style="2" customWidth="1"/>
    <col min="2574" max="2574" width="2" style="2" customWidth="1"/>
    <col min="2575" max="2818" width="9" style="2"/>
    <col min="2819" max="2827" width="9.625" style="2" customWidth="1"/>
    <col min="2828" max="2828" width="5.75" style="2" bestFit="1" customWidth="1"/>
    <col min="2829" max="2829" width="33.625" style="2" customWidth="1"/>
    <col min="2830" max="2830" width="2" style="2" customWidth="1"/>
    <col min="2831" max="3074" width="9" style="2"/>
    <col min="3075" max="3083" width="9.625" style="2" customWidth="1"/>
    <col min="3084" max="3084" width="5.75" style="2" bestFit="1" customWidth="1"/>
    <col min="3085" max="3085" width="33.625" style="2" customWidth="1"/>
    <col min="3086" max="3086" width="2" style="2" customWidth="1"/>
    <col min="3087" max="3330" width="9" style="2"/>
    <col min="3331" max="3339" width="9.625" style="2" customWidth="1"/>
    <col min="3340" max="3340" width="5.75" style="2" bestFit="1" customWidth="1"/>
    <col min="3341" max="3341" width="33.625" style="2" customWidth="1"/>
    <col min="3342" max="3342" width="2" style="2" customWidth="1"/>
    <col min="3343" max="3586" width="9" style="2"/>
    <col min="3587" max="3595" width="9.625" style="2" customWidth="1"/>
    <col min="3596" max="3596" width="5.75" style="2" bestFit="1" customWidth="1"/>
    <col min="3597" max="3597" width="33.625" style="2" customWidth="1"/>
    <col min="3598" max="3598" width="2" style="2" customWidth="1"/>
    <col min="3599" max="3842" width="9" style="2"/>
    <col min="3843" max="3851" width="9.625" style="2" customWidth="1"/>
    <col min="3852" max="3852" width="5.75" style="2" bestFit="1" customWidth="1"/>
    <col min="3853" max="3853" width="33.625" style="2" customWidth="1"/>
    <col min="3854" max="3854" width="2" style="2" customWidth="1"/>
    <col min="3855" max="4098" width="9" style="2"/>
    <col min="4099" max="4107" width="9.625" style="2" customWidth="1"/>
    <col min="4108" max="4108" width="5.75" style="2" bestFit="1" customWidth="1"/>
    <col min="4109" max="4109" width="33.625" style="2" customWidth="1"/>
    <col min="4110" max="4110" width="2" style="2" customWidth="1"/>
    <col min="4111" max="4354" width="9" style="2"/>
    <col min="4355" max="4363" width="9.625" style="2" customWidth="1"/>
    <col min="4364" max="4364" width="5.75" style="2" bestFit="1" customWidth="1"/>
    <col min="4365" max="4365" width="33.625" style="2" customWidth="1"/>
    <col min="4366" max="4366" width="2" style="2" customWidth="1"/>
    <col min="4367" max="4610" width="9" style="2"/>
    <col min="4611" max="4619" width="9.625" style="2" customWidth="1"/>
    <col min="4620" max="4620" width="5.75" style="2" bestFit="1" customWidth="1"/>
    <col min="4621" max="4621" width="33.625" style="2" customWidth="1"/>
    <col min="4622" max="4622" width="2" style="2" customWidth="1"/>
    <col min="4623" max="4866" width="9" style="2"/>
    <col min="4867" max="4875" width="9.625" style="2" customWidth="1"/>
    <col min="4876" max="4876" width="5.75" style="2" bestFit="1" customWidth="1"/>
    <col min="4877" max="4877" width="33.625" style="2" customWidth="1"/>
    <col min="4878" max="4878" width="2" style="2" customWidth="1"/>
    <col min="4879" max="5122" width="9" style="2"/>
    <col min="5123" max="5131" width="9.625" style="2" customWidth="1"/>
    <col min="5132" max="5132" width="5.75" style="2" bestFit="1" customWidth="1"/>
    <col min="5133" max="5133" width="33.625" style="2" customWidth="1"/>
    <col min="5134" max="5134" width="2" style="2" customWidth="1"/>
    <col min="5135" max="5378" width="9" style="2"/>
    <col min="5379" max="5387" width="9.625" style="2" customWidth="1"/>
    <col min="5388" max="5388" width="5.75" style="2" bestFit="1" customWidth="1"/>
    <col min="5389" max="5389" width="33.625" style="2" customWidth="1"/>
    <col min="5390" max="5390" width="2" style="2" customWidth="1"/>
    <col min="5391" max="5634" width="9" style="2"/>
    <col min="5635" max="5643" width="9.625" style="2" customWidth="1"/>
    <col min="5644" max="5644" width="5.75" style="2" bestFit="1" customWidth="1"/>
    <col min="5645" max="5645" width="33.625" style="2" customWidth="1"/>
    <col min="5646" max="5646" width="2" style="2" customWidth="1"/>
    <col min="5647" max="5890" width="9" style="2"/>
    <col min="5891" max="5899" width="9.625" style="2" customWidth="1"/>
    <col min="5900" max="5900" width="5.75" style="2" bestFit="1" customWidth="1"/>
    <col min="5901" max="5901" width="33.625" style="2" customWidth="1"/>
    <col min="5902" max="5902" width="2" style="2" customWidth="1"/>
    <col min="5903" max="6146" width="9" style="2"/>
    <col min="6147" max="6155" width="9.625" style="2" customWidth="1"/>
    <col min="6156" max="6156" width="5.75" style="2" bestFit="1" customWidth="1"/>
    <col min="6157" max="6157" width="33.625" style="2" customWidth="1"/>
    <col min="6158" max="6158" width="2" style="2" customWidth="1"/>
    <col min="6159" max="6402" width="9" style="2"/>
    <col min="6403" max="6411" width="9.625" style="2" customWidth="1"/>
    <col min="6412" max="6412" width="5.75" style="2" bestFit="1" customWidth="1"/>
    <col min="6413" max="6413" width="33.625" style="2" customWidth="1"/>
    <col min="6414" max="6414" width="2" style="2" customWidth="1"/>
    <col min="6415" max="6658" width="9" style="2"/>
    <col min="6659" max="6667" width="9.625" style="2" customWidth="1"/>
    <col min="6668" max="6668" width="5.75" style="2" bestFit="1" customWidth="1"/>
    <col min="6669" max="6669" width="33.625" style="2" customWidth="1"/>
    <col min="6670" max="6670" width="2" style="2" customWidth="1"/>
    <col min="6671" max="6914" width="9" style="2"/>
    <col min="6915" max="6923" width="9.625" style="2" customWidth="1"/>
    <col min="6924" max="6924" width="5.75" style="2" bestFit="1" customWidth="1"/>
    <col min="6925" max="6925" width="33.625" style="2" customWidth="1"/>
    <col min="6926" max="6926" width="2" style="2" customWidth="1"/>
    <col min="6927" max="7170" width="9" style="2"/>
    <col min="7171" max="7179" width="9.625" style="2" customWidth="1"/>
    <col min="7180" max="7180" width="5.75" style="2" bestFit="1" customWidth="1"/>
    <col min="7181" max="7181" width="33.625" style="2" customWidth="1"/>
    <col min="7182" max="7182" width="2" style="2" customWidth="1"/>
    <col min="7183" max="7426" width="9" style="2"/>
    <col min="7427" max="7435" width="9.625" style="2" customWidth="1"/>
    <col min="7436" max="7436" width="5.75" style="2" bestFit="1" customWidth="1"/>
    <col min="7437" max="7437" width="33.625" style="2" customWidth="1"/>
    <col min="7438" max="7438" width="2" style="2" customWidth="1"/>
    <col min="7439" max="7682" width="9" style="2"/>
    <col min="7683" max="7691" width="9.625" style="2" customWidth="1"/>
    <col min="7692" max="7692" width="5.75" style="2" bestFit="1" customWidth="1"/>
    <col min="7693" max="7693" width="33.625" style="2" customWidth="1"/>
    <col min="7694" max="7694" width="2" style="2" customWidth="1"/>
    <col min="7695" max="7938" width="9" style="2"/>
    <col min="7939" max="7947" width="9.625" style="2" customWidth="1"/>
    <col min="7948" max="7948" width="5.75" style="2" bestFit="1" customWidth="1"/>
    <col min="7949" max="7949" width="33.625" style="2" customWidth="1"/>
    <col min="7950" max="7950" width="2" style="2" customWidth="1"/>
    <col min="7951" max="8194" width="9" style="2"/>
    <col min="8195" max="8203" width="9.625" style="2" customWidth="1"/>
    <col min="8204" max="8204" width="5.75" style="2" bestFit="1" customWidth="1"/>
    <col min="8205" max="8205" width="33.625" style="2" customWidth="1"/>
    <col min="8206" max="8206" width="2" style="2" customWidth="1"/>
    <col min="8207" max="8450" width="9" style="2"/>
    <col min="8451" max="8459" width="9.625" style="2" customWidth="1"/>
    <col min="8460" max="8460" width="5.75" style="2" bestFit="1" customWidth="1"/>
    <col min="8461" max="8461" width="33.625" style="2" customWidth="1"/>
    <col min="8462" max="8462" width="2" style="2" customWidth="1"/>
    <col min="8463" max="8706" width="9" style="2"/>
    <col min="8707" max="8715" width="9.625" style="2" customWidth="1"/>
    <col min="8716" max="8716" width="5.75" style="2" bestFit="1" customWidth="1"/>
    <col min="8717" max="8717" width="33.625" style="2" customWidth="1"/>
    <col min="8718" max="8718" width="2" style="2" customWidth="1"/>
    <col min="8719" max="8962" width="9" style="2"/>
    <col min="8963" max="8971" width="9.625" style="2" customWidth="1"/>
    <col min="8972" max="8972" width="5.75" style="2" bestFit="1" customWidth="1"/>
    <col min="8973" max="8973" width="33.625" style="2" customWidth="1"/>
    <col min="8974" max="8974" width="2" style="2" customWidth="1"/>
    <col min="8975" max="9218" width="9" style="2"/>
    <col min="9219" max="9227" width="9.625" style="2" customWidth="1"/>
    <col min="9228" max="9228" width="5.75" style="2" bestFit="1" customWidth="1"/>
    <col min="9229" max="9229" width="33.625" style="2" customWidth="1"/>
    <col min="9230" max="9230" width="2" style="2" customWidth="1"/>
    <col min="9231" max="9474" width="9" style="2"/>
    <col min="9475" max="9483" width="9.625" style="2" customWidth="1"/>
    <col min="9484" max="9484" width="5.75" style="2" bestFit="1" customWidth="1"/>
    <col min="9485" max="9485" width="33.625" style="2" customWidth="1"/>
    <col min="9486" max="9486" width="2" style="2" customWidth="1"/>
    <col min="9487" max="9730" width="9" style="2"/>
    <col min="9731" max="9739" width="9.625" style="2" customWidth="1"/>
    <col min="9740" max="9740" width="5.75" style="2" bestFit="1" customWidth="1"/>
    <col min="9741" max="9741" width="33.625" style="2" customWidth="1"/>
    <col min="9742" max="9742" width="2" style="2" customWidth="1"/>
    <col min="9743" max="9986" width="9" style="2"/>
    <col min="9987" max="9995" width="9.625" style="2" customWidth="1"/>
    <col min="9996" max="9996" width="5.75" style="2" bestFit="1" customWidth="1"/>
    <col min="9997" max="9997" width="33.625" style="2" customWidth="1"/>
    <col min="9998" max="9998" width="2" style="2" customWidth="1"/>
    <col min="9999" max="10242" width="9" style="2"/>
    <col min="10243" max="10251" width="9.625" style="2" customWidth="1"/>
    <col min="10252" max="10252" width="5.75" style="2" bestFit="1" customWidth="1"/>
    <col min="10253" max="10253" width="33.625" style="2" customWidth="1"/>
    <col min="10254" max="10254" width="2" style="2" customWidth="1"/>
    <col min="10255" max="10498" width="9" style="2"/>
    <col min="10499" max="10507" width="9.625" style="2" customWidth="1"/>
    <col min="10508" max="10508" width="5.75" style="2" bestFit="1" customWidth="1"/>
    <col min="10509" max="10509" width="33.625" style="2" customWidth="1"/>
    <col min="10510" max="10510" width="2" style="2" customWidth="1"/>
    <col min="10511" max="10754" width="9" style="2"/>
    <col min="10755" max="10763" width="9.625" style="2" customWidth="1"/>
    <col min="10764" max="10764" width="5.75" style="2" bestFit="1" customWidth="1"/>
    <col min="10765" max="10765" width="33.625" style="2" customWidth="1"/>
    <col min="10766" max="10766" width="2" style="2" customWidth="1"/>
    <col min="10767" max="11010" width="9" style="2"/>
    <col min="11011" max="11019" width="9.625" style="2" customWidth="1"/>
    <col min="11020" max="11020" width="5.75" style="2" bestFit="1" customWidth="1"/>
    <col min="11021" max="11021" width="33.625" style="2" customWidth="1"/>
    <col min="11022" max="11022" width="2" style="2" customWidth="1"/>
    <col min="11023" max="11266" width="9" style="2"/>
    <col min="11267" max="11275" width="9.625" style="2" customWidth="1"/>
    <col min="11276" max="11276" width="5.75" style="2" bestFit="1" customWidth="1"/>
    <col min="11277" max="11277" width="33.625" style="2" customWidth="1"/>
    <col min="11278" max="11278" width="2" style="2" customWidth="1"/>
    <col min="11279" max="11522" width="9" style="2"/>
    <col min="11523" max="11531" width="9.625" style="2" customWidth="1"/>
    <col min="11532" max="11532" width="5.75" style="2" bestFit="1" customWidth="1"/>
    <col min="11533" max="11533" width="33.625" style="2" customWidth="1"/>
    <col min="11534" max="11534" width="2" style="2" customWidth="1"/>
    <col min="11535" max="11778" width="9" style="2"/>
    <col min="11779" max="11787" width="9.625" style="2" customWidth="1"/>
    <col min="11788" max="11788" width="5.75" style="2" bestFit="1" customWidth="1"/>
    <col min="11789" max="11789" width="33.625" style="2" customWidth="1"/>
    <col min="11790" max="11790" width="2" style="2" customWidth="1"/>
    <col min="11791" max="12034" width="9" style="2"/>
    <col min="12035" max="12043" width="9.625" style="2" customWidth="1"/>
    <col min="12044" max="12044" width="5.75" style="2" bestFit="1" customWidth="1"/>
    <col min="12045" max="12045" width="33.625" style="2" customWidth="1"/>
    <col min="12046" max="12046" width="2" style="2" customWidth="1"/>
    <col min="12047" max="12290" width="9" style="2"/>
    <col min="12291" max="12299" width="9.625" style="2" customWidth="1"/>
    <col min="12300" max="12300" width="5.75" style="2" bestFit="1" customWidth="1"/>
    <col min="12301" max="12301" width="33.625" style="2" customWidth="1"/>
    <col min="12302" max="12302" width="2" style="2" customWidth="1"/>
    <col min="12303" max="12546" width="9" style="2"/>
    <col min="12547" max="12555" width="9.625" style="2" customWidth="1"/>
    <col min="12556" max="12556" width="5.75" style="2" bestFit="1" customWidth="1"/>
    <col min="12557" max="12557" width="33.625" style="2" customWidth="1"/>
    <col min="12558" max="12558" width="2" style="2" customWidth="1"/>
    <col min="12559" max="12802" width="9" style="2"/>
    <col min="12803" max="12811" width="9.625" style="2" customWidth="1"/>
    <col min="12812" max="12812" width="5.75" style="2" bestFit="1" customWidth="1"/>
    <col min="12813" max="12813" width="33.625" style="2" customWidth="1"/>
    <col min="12814" max="12814" width="2" style="2" customWidth="1"/>
    <col min="12815" max="13058" width="9" style="2"/>
    <col min="13059" max="13067" width="9.625" style="2" customWidth="1"/>
    <col min="13068" max="13068" width="5.75" style="2" bestFit="1" customWidth="1"/>
    <col min="13069" max="13069" width="33.625" style="2" customWidth="1"/>
    <col min="13070" max="13070" width="2" style="2" customWidth="1"/>
    <col min="13071" max="13314" width="9" style="2"/>
    <col min="13315" max="13323" width="9.625" style="2" customWidth="1"/>
    <col min="13324" max="13324" width="5.75" style="2" bestFit="1" customWidth="1"/>
    <col min="13325" max="13325" width="33.625" style="2" customWidth="1"/>
    <col min="13326" max="13326" width="2" style="2" customWidth="1"/>
    <col min="13327" max="13570" width="9" style="2"/>
    <col min="13571" max="13579" width="9.625" style="2" customWidth="1"/>
    <col min="13580" max="13580" width="5.75" style="2" bestFit="1" customWidth="1"/>
    <col min="13581" max="13581" width="33.625" style="2" customWidth="1"/>
    <col min="13582" max="13582" width="2" style="2" customWidth="1"/>
    <col min="13583" max="13826" width="9" style="2"/>
    <col min="13827" max="13835" width="9.625" style="2" customWidth="1"/>
    <col min="13836" max="13836" width="5.75" style="2" bestFit="1" customWidth="1"/>
    <col min="13837" max="13837" width="33.625" style="2" customWidth="1"/>
    <col min="13838" max="13838" width="2" style="2" customWidth="1"/>
    <col min="13839" max="14082" width="9" style="2"/>
    <col min="14083" max="14091" width="9.625" style="2" customWidth="1"/>
    <col min="14092" max="14092" width="5.75" style="2" bestFit="1" customWidth="1"/>
    <col min="14093" max="14093" width="33.625" style="2" customWidth="1"/>
    <col min="14094" max="14094" width="2" style="2" customWidth="1"/>
    <col min="14095" max="14338" width="9" style="2"/>
    <col min="14339" max="14347" width="9.625" style="2" customWidth="1"/>
    <col min="14348" max="14348" width="5.75" style="2" bestFit="1" customWidth="1"/>
    <col min="14349" max="14349" width="33.625" style="2" customWidth="1"/>
    <col min="14350" max="14350" width="2" style="2" customWidth="1"/>
    <col min="14351" max="14594" width="9" style="2"/>
    <col min="14595" max="14603" width="9.625" style="2" customWidth="1"/>
    <col min="14604" max="14604" width="5.75" style="2" bestFit="1" customWidth="1"/>
    <col min="14605" max="14605" width="33.625" style="2" customWidth="1"/>
    <col min="14606" max="14606" width="2" style="2" customWidth="1"/>
    <col min="14607" max="14850" width="9" style="2"/>
    <col min="14851" max="14859" width="9.625" style="2" customWidth="1"/>
    <col min="14860" max="14860" width="5.75" style="2" bestFit="1" customWidth="1"/>
    <col min="14861" max="14861" width="33.625" style="2" customWidth="1"/>
    <col min="14862" max="14862" width="2" style="2" customWidth="1"/>
    <col min="14863" max="15106" width="9" style="2"/>
    <col min="15107" max="15115" width="9.625" style="2" customWidth="1"/>
    <col min="15116" max="15116" width="5.75" style="2" bestFit="1" customWidth="1"/>
    <col min="15117" max="15117" width="33.625" style="2" customWidth="1"/>
    <col min="15118" max="15118" width="2" style="2" customWidth="1"/>
    <col min="15119" max="15362" width="9" style="2"/>
    <col min="15363" max="15371" width="9.625" style="2" customWidth="1"/>
    <col min="15372" max="15372" width="5.75" style="2" bestFit="1" customWidth="1"/>
    <col min="15373" max="15373" width="33.625" style="2" customWidth="1"/>
    <col min="15374" max="15374" width="2" style="2" customWidth="1"/>
    <col min="15375" max="15618" width="9" style="2"/>
    <col min="15619" max="15627" width="9.625" style="2" customWidth="1"/>
    <col min="15628" max="15628" width="5.75" style="2" bestFit="1" customWidth="1"/>
    <col min="15629" max="15629" width="33.625" style="2" customWidth="1"/>
    <col min="15630" max="15630" width="2" style="2" customWidth="1"/>
    <col min="15631" max="15874" width="9" style="2"/>
    <col min="15875" max="15883" width="9.625" style="2" customWidth="1"/>
    <col min="15884" max="15884" width="5.75" style="2" bestFit="1" customWidth="1"/>
    <col min="15885" max="15885" width="33.625" style="2" customWidth="1"/>
    <col min="15886" max="15886" width="2" style="2" customWidth="1"/>
    <col min="15887" max="16130" width="9" style="2"/>
    <col min="16131" max="16139" width="9.625" style="2" customWidth="1"/>
    <col min="16140" max="16140" width="5.75" style="2" bestFit="1" customWidth="1"/>
    <col min="16141" max="16141" width="33.625" style="2" customWidth="1"/>
    <col min="16142" max="16142" width="2" style="2" customWidth="1"/>
    <col min="16143" max="16384" width="9" style="2"/>
  </cols>
  <sheetData>
    <row r="1" spans="3:16" ht="12.75" customHeight="1" x14ac:dyDescent="0.2">
      <c r="C1" s="406" t="s">
        <v>608</v>
      </c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1"/>
    </row>
    <row r="2" spans="3:16" ht="12.75" customHeight="1" thickBot="1" x14ac:dyDescent="0.25">
      <c r="C2" s="425" t="s">
        <v>609</v>
      </c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1"/>
    </row>
    <row r="3" spans="3:16" ht="12.75" customHeight="1" thickBot="1" x14ac:dyDescent="0.25">
      <c r="C3" s="426" t="s">
        <v>4</v>
      </c>
      <c r="D3" s="426"/>
      <c r="E3" s="426"/>
      <c r="F3" s="426" t="s">
        <v>145</v>
      </c>
      <c r="G3" s="426"/>
      <c r="H3" s="426"/>
      <c r="I3" s="426" t="s">
        <v>146</v>
      </c>
      <c r="J3" s="426"/>
      <c r="K3" s="426"/>
      <c r="L3" s="512" t="s">
        <v>66</v>
      </c>
      <c r="M3" s="513"/>
      <c r="N3" s="1"/>
    </row>
    <row r="4" spans="3:16" ht="12.75" customHeight="1" thickBot="1" x14ac:dyDescent="0.25">
      <c r="C4" s="39" t="s">
        <v>227</v>
      </c>
      <c r="D4" s="39" t="s">
        <v>10</v>
      </c>
      <c r="E4" s="39" t="s">
        <v>9</v>
      </c>
      <c r="F4" s="39" t="s">
        <v>227</v>
      </c>
      <c r="G4" s="39" t="s">
        <v>10</v>
      </c>
      <c r="H4" s="39" t="s">
        <v>9</v>
      </c>
      <c r="I4" s="39" t="s">
        <v>227</v>
      </c>
      <c r="J4" s="39" t="s">
        <v>10</v>
      </c>
      <c r="K4" s="39" t="s">
        <v>9</v>
      </c>
      <c r="L4" s="514"/>
      <c r="M4" s="515"/>
      <c r="N4" s="1"/>
    </row>
    <row r="5" spans="3:16" ht="12.75" customHeight="1" thickBot="1" x14ac:dyDescent="0.25">
      <c r="C5" s="101">
        <f>SUM(D5:E5)</f>
        <v>45482</v>
      </c>
      <c r="D5" s="101">
        <f>J5+G5</f>
        <v>24984</v>
      </c>
      <c r="E5" s="101">
        <f>K5+H5</f>
        <v>20498</v>
      </c>
      <c r="F5" s="101">
        <f>SUM(G5:H5)</f>
        <v>824</v>
      </c>
      <c r="G5" s="101">
        <v>513</v>
      </c>
      <c r="H5" s="101">
        <v>311</v>
      </c>
      <c r="I5" s="101">
        <f>SUM(J5:K5)</f>
        <v>44658</v>
      </c>
      <c r="J5" s="101">
        <v>24471</v>
      </c>
      <c r="K5" s="101">
        <v>20187</v>
      </c>
      <c r="L5" s="7" t="s">
        <v>233</v>
      </c>
      <c r="M5" s="509" t="s">
        <v>68</v>
      </c>
      <c r="N5" s="1"/>
      <c r="P5" s="102"/>
    </row>
    <row r="6" spans="3:16" ht="12.75" customHeight="1" thickBot="1" x14ac:dyDescent="0.25">
      <c r="C6" s="101">
        <f t="shared" ref="C6:C69" si="0">SUM(D6:E6)</f>
        <v>2118</v>
      </c>
      <c r="D6" s="101">
        <f t="shared" ref="D6:E69" si="1">J6+G6</f>
        <v>2118</v>
      </c>
      <c r="E6" s="101">
        <f t="shared" si="1"/>
        <v>0</v>
      </c>
      <c r="F6" s="101">
        <f t="shared" ref="F6:F69" si="2">SUM(G6:H6)</f>
        <v>0</v>
      </c>
      <c r="G6" s="101">
        <v>0</v>
      </c>
      <c r="H6" s="101">
        <v>0</v>
      </c>
      <c r="I6" s="101">
        <f t="shared" ref="I6:I69" si="3">SUM(J6:K6)</f>
        <v>2118</v>
      </c>
      <c r="J6" s="101">
        <v>2118</v>
      </c>
      <c r="K6" s="101">
        <v>0</v>
      </c>
      <c r="L6" s="7" t="s">
        <v>234</v>
      </c>
      <c r="M6" s="510"/>
      <c r="N6" s="1"/>
      <c r="O6" s="103"/>
      <c r="P6" s="102"/>
    </row>
    <row r="7" spans="3:16" ht="12.75" customHeight="1" thickBot="1" x14ac:dyDescent="0.25">
      <c r="C7" s="101">
        <f t="shared" ref="C7:J7" si="4">SUM(C5:C6)</f>
        <v>47600</v>
      </c>
      <c r="D7" s="101">
        <f t="shared" si="4"/>
        <v>27102</v>
      </c>
      <c r="E7" s="101">
        <f t="shared" si="4"/>
        <v>20498</v>
      </c>
      <c r="F7" s="101">
        <f t="shared" si="4"/>
        <v>824</v>
      </c>
      <c r="G7" s="101">
        <f t="shared" si="4"/>
        <v>513</v>
      </c>
      <c r="H7" s="101">
        <f t="shared" si="4"/>
        <v>311</v>
      </c>
      <c r="I7" s="101">
        <f t="shared" si="4"/>
        <v>46776</v>
      </c>
      <c r="J7" s="101">
        <f t="shared" si="4"/>
        <v>26589</v>
      </c>
      <c r="K7" s="101">
        <f>SUM(K5:K6)</f>
        <v>20187</v>
      </c>
      <c r="L7" s="7" t="s">
        <v>12</v>
      </c>
      <c r="M7" s="511"/>
      <c r="N7" s="1"/>
      <c r="O7" s="103"/>
      <c r="P7" s="102"/>
    </row>
    <row r="8" spans="3:16" ht="12.75" customHeight="1" thickBot="1" x14ac:dyDescent="0.25">
      <c r="C8" s="101">
        <f t="shared" si="0"/>
        <v>5683</v>
      </c>
      <c r="D8" s="101">
        <f t="shared" si="1"/>
        <v>0</v>
      </c>
      <c r="E8" s="101">
        <f t="shared" si="1"/>
        <v>5683</v>
      </c>
      <c r="F8" s="101">
        <f t="shared" si="2"/>
        <v>2036</v>
      </c>
      <c r="G8" s="101">
        <v>0</v>
      </c>
      <c r="H8" s="101">
        <v>2036</v>
      </c>
      <c r="I8" s="101">
        <f t="shared" si="3"/>
        <v>3647</v>
      </c>
      <c r="J8" s="101">
        <v>0</v>
      </c>
      <c r="K8" s="101">
        <v>3647</v>
      </c>
      <c r="L8" s="7" t="s">
        <v>233</v>
      </c>
      <c r="M8" s="509" t="s">
        <v>147</v>
      </c>
      <c r="N8" s="1"/>
      <c r="O8" s="103"/>
      <c r="P8" s="102"/>
    </row>
    <row r="9" spans="3:16" ht="12.75" customHeight="1" thickBot="1" x14ac:dyDescent="0.25">
      <c r="C9" s="101">
        <f t="shared" si="0"/>
        <v>1164</v>
      </c>
      <c r="D9" s="101">
        <f t="shared" si="1"/>
        <v>0</v>
      </c>
      <c r="E9" s="101">
        <f t="shared" si="1"/>
        <v>1164</v>
      </c>
      <c r="F9" s="101">
        <f t="shared" si="2"/>
        <v>145</v>
      </c>
      <c r="G9" s="101">
        <v>0</v>
      </c>
      <c r="H9" s="101">
        <v>145</v>
      </c>
      <c r="I9" s="101">
        <f t="shared" si="3"/>
        <v>1019</v>
      </c>
      <c r="J9" s="101">
        <v>0</v>
      </c>
      <c r="K9" s="101">
        <v>1019</v>
      </c>
      <c r="L9" s="7" t="s">
        <v>234</v>
      </c>
      <c r="M9" s="510"/>
      <c r="N9" s="1"/>
      <c r="P9" s="102"/>
    </row>
    <row r="10" spans="3:16" ht="12.75" customHeight="1" thickBot="1" x14ac:dyDescent="0.25">
      <c r="C10" s="101">
        <f t="shared" ref="C10:J10" si="5">SUM(C8:C9)</f>
        <v>6847</v>
      </c>
      <c r="D10" s="101">
        <f t="shared" si="5"/>
        <v>0</v>
      </c>
      <c r="E10" s="101">
        <f t="shared" si="5"/>
        <v>6847</v>
      </c>
      <c r="F10" s="101">
        <f t="shared" si="5"/>
        <v>2181</v>
      </c>
      <c r="G10" s="101">
        <f t="shared" si="5"/>
        <v>0</v>
      </c>
      <c r="H10" s="101">
        <f t="shared" si="5"/>
        <v>2181</v>
      </c>
      <c r="I10" s="101">
        <f t="shared" si="5"/>
        <v>4666</v>
      </c>
      <c r="J10" s="101">
        <f t="shared" si="5"/>
        <v>0</v>
      </c>
      <c r="K10" s="101">
        <f>SUM(K8:K9)</f>
        <v>4666</v>
      </c>
      <c r="L10" s="7" t="s">
        <v>12</v>
      </c>
      <c r="M10" s="511"/>
      <c r="N10" s="1"/>
      <c r="O10" s="103"/>
      <c r="P10" s="103"/>
    </row>
    <row r="11" spans="3:16" ht="12.75" customHeight="1" thickBot="1" x14ac:dyDescent="0.25">
      <c r="C11" s="101">
        <f t="shared" si="0"/>
        <v>28576</v>
      </c>
      <c r="D11" s="101">
        <f t="shared" si="1"/>
        <v>12036</v>
      </c>
      <c r="E11" s="101">
        <f t="shared" si="1"/>
        <v>16540</v>
      </c>
      <c r="F11" s="101">
        <f t="shared" si="2"/>
        <v>792</v>
      </c>
      <c r="G11" s="101">
        <v>188</v>
      </c>
      <c r="H11" s="101">
        <v>604</v>
      </c>
      <c r="I11" s="101">
        <f t="shared" si="3"/>
        <v>27784</v>
      </c>
      <c r="J11" s="101">
        <v>11848</v>
      </c>
      <c r="K11" s="101">
        <v>15936</v>
      </c>
      <c r="L11" s="7" t="s">
        <v>233</v>
      </c>
      <c r="M11" s="509" t="s">
        <v>70</v>
      </c>
      <c r="N11" s="1"/>
      <c r="O11" s="103"/>
      <c r="P11" s="102"/>
    </row>
    <row r="12" spans="3:16" ht="12.75" customHeight="1" thickBot="1" x14ac:dyDescent="0.25">
      <c r="C12" s="101">
        <f t="shared" si="0"/>
        <v>4962</v>
      </c>
      <c r="D12" s="101">
        <f t="shared" si="1"/>
        <v>1687</v>
      </c>
      <c r="E12" s="101">
        <f t="shared" si="1"/>
        <v>3275</v>
      </c>
      <c r="F12" s="101">
        <f t="shared" si="2"/>
        <v>13</v>
      </c>
      <c r="G12" s="101">
        <v>8</v>
      </c>
      <c r="H12" s="101">
        <v>5</v>
      </c>
      <c r="I12" s="101">
        <f t="shared" si="3"/>
        <v>4949</v>
      </c>
      <c r="J12" s="101">
        <v>1679</v>
      </c>
      <c r="K12" s="101">
        <v>3270</v>
      </c>
      <c r="L12" s="7" t="s">
        <v>234</v>
      </c>
      <c r="M12" s="510"/>
      <c r="N12" s="1"/>
      <c r="P12" s="102"/>
    </row>
    <row r="13" spans="3:16" ht="12.75" customHeight="1" thickBot="1" x14ac:dyDescent="0.25">
      <c r="C13" s="101">
        <f t="shared" ref="C13:J13" si="6">SUM(C11:C12)</f>
        <v>33538</v>
      </c>
      <c r="D13" s="101">
        <f t="shared" si="6"/>
        <v>13723</v>
      </c>
      <c r="E13" s="101">
        <f t="shared" si="6"/>
        <v>19815</v>
      </c>
      <c r="F13" s="101">
        <f t="shared" si="6"/>
        <v>805</v>
      </c>
      <c r="G13" s="101">
        <f t="shared" si="6"/>
        <v>196</v>
      </c>
      <c r="H13" s="101">
        <f t="shared" si="6"/>
        <v>609</v>
      </c>
      <c r="I13" s="101">
        <f t="shared" si="6"/>
        <v>32733</v>
      </c>
      <c r="J13" s="101">
        <f t="shared" si="6"/>
        <v>13527</v>
      </c>
      <c r="K13" s="101">
        <f>SUM(K11:K12)</f>
        <v>19206</v>
      </c>
      <c r="L13" s="7" t="s">
        <v>12</v>
      </c>
      <c r="M13" s="511"/>
      <c r="N13" s="1"/>
      <c r="O13" s="103"/>
      <c r="P13" s="103"/>
    </row>
    <row r="14" spans="3:16" ht="12.75" customHeight="1" thickBot="1" x14ac:dyDescent="0.25">
      <c r="C14" s="101">
        <f t="shared" si="0"/>
        <v>60449</v>
      </c>
      <c r="D14" s="101">
        <f t="shared" si="1"/>
        <v>24646</v>
      </c>
      <c r="E14" s="101">
        <f t="shared" si="1"/>
        <v>35803</v>
      </c>
      <c r="F14" s="101">
        <f t="shared" si="2"/>
        <v>1219</v>
      </c>
      <c r="G14" s="101">
        <v>527</v>
      </c>
      <c r="H14" s="101">
        <v>692</v>
      </c>
      <c r="I14" s="101">
        <f t="shared" si="3"/>
        <v>59230</v>
      </c>
      <c r="J14" s="101">
        <v>24119</v>
      </c>
      <c r="K14" s="101">
        <v>35111</v>
      </c>
      <c r="L14" s="7" t="s">
        <v>233</v>
      </c>
      <c r="M14" s="509" t="s">
        <v>72</v>
      </c>
      <c r="N14" s="1"/>
      <c r="O14" s="103"/>
      <c r="P14" s="102"/>
    </row>
    <row r="15" spans="3:16" ht="12.75" customHeight="1" thickBot="1" x14ac:dyDescent="0.25">
      <c r="C15" s="101">
        <f t="shared" si="0"/>
        <v>0</v>
      </c>
      <c r="D15" s="101">
        <f t="shared" si="1"/>
        <v>0</v>
      </c>
      <c r="E15" s="101">
        <f t="shared" si="1"/>
        <v>0</v>
      </c>
      <c r="F15" s="101">
        <f t="shared" si="2"/>
        <v>0</v>
      </c>
      <c r="G15" s="101">
        <v>0</v>
      </c>
      <c r="H15" s="101">
        <v>0</v>
      </c>
      <c r="I15" s="101">
        <f t="shared" si="3"/>
        <v>0</v>
      </c>
      <c r="J15" s="101">
        <v>0</v>
      </c>
      <c r="K15" s="101">
        <v>0</v>
      </c>
      <c r="L15" s="7" t="s">
        <v>234</v>
      </c>
      <c r="M15" s="510"/>
      <c r="N15" s="1"/>
      <c r="P15" s="102"/>
    </row>
    <row r="16" spans="3:16" ht="12.75" customHeight="1" thickBot="1" x14ac:dyDescent="0.25">
      <c r="C16" s="101">
        <f t="shared" ref="C16:J16" si="7">SUM(C14:C15)</f>
        <v>60449</v>
      </c>
      <c r="D16" s="101">
        <f t="shared" si="7"/>
        <v>24646</v>
      </c>
      <c r="E16" s="101">
        <f t="shared" si="7"/>
        <v>35803</v>
      </c>
      <c r="F16" s="101">
        <f t="shared" si="7"/>
        <v>1219</v>
      </c>
      <c r="G16" s="101">
        <f t="shared" si="7"/>
        <v>527</v>
      </c>
      <c r="H16" s="101">
        <f t="shared" si="7"/>
        <v>692</v>
      </c>
      <c r="I16" s="101">
        <f t="shared" si="7"/>
        <v>59230</v>
      </c>
      <c r="J16" s="101">
        <f t="shared" si="7"/>
        <v>24119</v>
      </c>
      <c r="K16" s="101">
        <f>SUM(K14:K15)</f>
        <v>35111</v>
      </c>
      <c r="L16" s="7" t="s">
        <v>12</v>
      </c>
      <c r="M16" s="511"/>
      <c r="N16" s="1"/>
      <c r="O16" s="103"/>
      <c r="P16" s="103"/>
    </row>
    <row r="17" spans="3:16" ht="12.75" customHeight="1" thickBot="1" x14ac:dyDescent="0.25">
      <c r="C17" s="101">
        <f t="shared" si="0"/>
        <v>48857</v>
      </c>
      <c r="D17" s="101">
        <f t="shared" si="1"/>
        <v>29777</v>
      </c>
      <c r="E17" s="101">
        <f t="shared" si="1"/>
        <v>19080</v>
      </c>
      <c r="F17" s="101">
        <f t="shared" si="2"/>
        <v>1392</v>
      </c>
      <c r="G17" s="101">
        <v>816</v>
      </c>
      <c r="H17" s="101">
        <v>576</v>
      </c>
      <c r="I17" s="101">
        <f t="shared" si="3"/>
        <v>47465</v>
      </c>
      <c r="J17" s="101">
        <v>28961</v>
      </c>
      <c r="K17" s="101">
        <v>18504</v>
      </c>
      <c r="L17" s="7" t="s">
        <v>233</v>
      </c>
      <c r="M17" s="509" t="s">
        <v>73</v>
      </c>
      <c r="N17" s="1"/>
      <c r="O17" s="103"/>
      <c r="P17" s="102"/>
    </row>
    <row r="18" spans="3:16" ht="12.75" customHeight="1" thickBot="1" x14ac:dyDescent="0.25">
      <c r="C18" s="101">
        <f t="shared" si="0"/>
        <v>33302</v>
      </c>
      <c r="D18" s="101">
        <f t="shared" si="1"/>
        <v>11162</v>
      </c>
      <c r="E18" s="101">
        <f t="shared" si="1"/>
        <v>22140</v>
      </c>
      <c r="F18" s="101">
        <f t="shared" si="2"/>
        <v>1330</v>
      </c>
      <c r="G18" s="101">
        <v>942</v>
      </c>
      <c r="H18" s="101">
        <v>388</v>
      </c>
      <c r="I18" s="101">
        <f t="shared" si="3"/>
        <v>31972</v>
      </c>
      <c r="J18" s="101">
        <v>10220</v>
      </c>
      <c r="K18" s="101">
        <v>21752</v>
      </c>
      <c r="L18" s="7" t="s">
        <v>234</v>
      </c>
      <c r="M18" s="510"/>
      <c r="N18" s="1"/>
      <c r="P18" s="102"/>
    </row>
    <row r="19" spans="3:16" ht="12.75" customHeight="1" thickBot="1" x14ac:dyDescent="0.25">
      <c r="C19" s="101">
        <f t="shared" ref="C19:J19" si="8">SUM(C17:C18)</f>
        <v>82159</v>
      </c>
      <c r="D19" s="101">
        <f t="shared" si="8"/>
        <v>40939</v>
      </c>
      <c r="E19" s="101">
        <f t="shared" si="8"/>
        <v>41220</v>
      </c>
      <c r="F19" s="101">
        <f t="shared" si="8"/>
        <v>2722</v>
      </c>
      <c r="G19" s="101">
        <f t="shared" si="8"/>
        <v>1758</v>
      </c>
      <c r="H19" s="101">
        <f t="shared" si="8"/>
        <v>964</v>
      </c>
      <c r="I19" s="101">
        <f t="shared" si="8"/>
        <v>79437</v>
      </c>
      <c r="J19" s="101">
        <f t="shared" si="8"/>
        <v>39181</v>
      </c>
      <c r="K19" s="101">
        <f>SUM(K17:K18)</f>
        <v>40256</v>
      </c>
      <c r="L19" s="7" t="s">
        <v>12</v>
      </c>
      <c r="M19" s="511"/>
      <c r="N19" s="1"/>
      <c r="O19" s="103"/>
      <c r="P19" s="103"/>
    </row>
    <row r="20" spans="3:16" ht="12.75" customHeight="1" thickBot="1" x14ac:dyDescent="0.25">
      <c r="C20" s="101">
        <f t="shared" si="0"/>
        <v>7069</v>
      </c>
      <c r="D20" s="101">
        <f t="shared" si="1"/>
        <v>0</v>
      </c>
      <c r="E20" s="101">
        <f t="shared" si="1"/>
        <v>7069</v>
      </c>
      <c r="F20" s="101">
        <f t="shared" si="2"/>
        <v>430</v>
      </c>
      <c r="G20" s="101">
        <v>0</v>
      </c>
      <c r="H20" s="101">
        <v>430</v>
      </c>
      <c r="I20" s="101">
        <f t="shared" si="3"/>
        <v>6639</v>
      </c>
      <c r="J20" s="101">
        <v>0</v>
      </c>
      <c r="K20" s="101">
        <v>6639</v>
      </c>
      <c r="L20" s="7" t="s">
        <v>233</v>
      </c>
      <c r="M20" s="509" t="s">
        <v>90</v>
      </c>
      <c r="N20" s="1"/>
      <c r="O20" s="103"/>
      <c r="P20" s="102"/>
    </row>
    <row r="21" spans="3:16" ht="12.75" customHeight="1" thickBot="1" x14ac:dyDescent="0.25">
      <c r="C21" s="101">
        <f t="shared" si="0"/>
        <v>0</v>
      </c>
      <c r="D21" s="101">
        <f t="shared" si="1"/>
        <v>0</v>
      </c>
      <c r="E21" s="101">
        <f t="shared" si="1"/>
        <v>0</v>
      </c>
      <c r="F21" s="101">
        <f t="shared" si="2"/>
        <v>0</v>
      </c>
      <c r="G21" s="101">
        <v>0</v>
      </c>
      <c r="H21" s="101">
        <v>0</v>
      </c>
      <c r="I21" s="101">
        <f t="shared" si="3"/>
        <v>0</v>
      </c>
      <c r="J21" s="101">
        <v>0</v>
      </c>
      <c r="K21" s="101">
        <v>0</v>
      </c>
      <c r="L21" s="7" t="s">
        <v>234</v>
      </c>
      <c r="M21" s="510"/>
      <c r="N21" s="1"/>
      <c r="P21" s="102"/>
    </row>
    <row r="22" spans="3:16" ht="12.75" customHeight="1" thickBot="1" x14ac:dyDescent="0.25">
      <c r="C22" s="101">
        <f t="shared" ref="C22:J22" si="9">SUM(C20:C21)</f>
        <v>7069</v>
      </c>
      <c r="D22" s="101">
        <f t="shared" si="9"/>
        <v>0</v>
      </c>
      <c r="E22" s="101">
        <f t="shared" si="9"/>
        <v>7069</v>
      </c>
      <c r="F22" s="101">
        <f t="shared" si="9"/>
        <v>430</v>
      </c>
      <c r="G22" s="101">
        <f t="shared" si="9"/>
        <v>0</v>
      </c>
      <c r="H22" s="101">
        <f t="shared" si="9"/>
        <v>430</v>
      </c>
      <c r="I22" s="101">
        <f t="shared" si="9"/>
        <v>6639</v>
      </c>
      <c r="J22" s="101">
        <f t="shared" si="9"/>
        <v>0</v>
      </c>
      <c r="K22" s="101">
        <f>SUM(K20:K21)</f>
        <v>6639</v>
      </c>
      <c r="L22" s="7" t="s">
        <v>12</v>
      </c>
      <c r="M22" s="511"/>
      <c r="N22" s="1"/>
      <c r="O22" s="103"/>
      <c r="P22" s="103"/>
    </row>
    <row r="23" spans="3:16" ht="12.75" customHeight="1" thickBot="1" x14ac:dyDescent="0.25">
      <c r="C23" s="101">
        <f t="shared" si="0"/>
        <v>43587</v>
      </c>
      <c r="D23" s="101">
        <f t="shared" si="1"/>
        <v>33268</v>
      </c>
      <c r="E23" s="101">
        <f t="shared" si="1"/>
        <v>10319</v>
      </c>
      <c r="F23" s="101">
        <f t="shared" si="2"/>
        <v>226</v>
      </c>
      <c r="G23" s="101">
        <v>126</v>
      </c>
      <c r="H23" s="101">
        <v>100</v>
      </c>
      <c r="I23" s="101">
        <f t="shared" si="3"/>
        <v>43361</v>
      </c>
      <c r="J23" s="101">
        <v>33142</v>
      </c>
      <c r="K23" s="101">
        <v>10219</v>
      </c>
      <c r="L23" s="7" t="s">
        <v>233</v>
      </c>
      <c r="M23" s="509" t="s">
        <v>74</v>
      </c>
      <c r="N23" s="1"/>
      <c r="O23" s="103"/>
      <c r="P23" s="102"/>
    </row>
    <row r="24" spans="3:16" ht="12.75" customHeight="1" thickBot="1" x14ac:dyDescent="0.25">
      <c r="C24" s="101">
        <f t="shared" si="0"/>
        <v>8530</v>
      </c>
      <c r="D24" s="101">
        <f t="shared" si="1"/>
        <v>8530</v>
      </c>
      <c r="E24" s="101">
        <f t="shared" si="1"/>
        <v>0</v>
      </c>
      <c r="F24" s="101">
        <f t="shared" si="2"/>
        <v>27</v>
      </c>
      <c r="G24" s="101">
        <v>27</v>
      </c>
      <c r="H24" s="101">
        <v>0</v>
      </c>
      <c r="I24" s="101">
        <f t="shared" si="3"/>
        <v>8503</v>
      </c>
      <c r="J24" s="101">
        <v>8503</v>
      </c>
      <c r="K24" s="101">
        <v>0</v>
      </c>
      <c r="L24" s="7" t="s">
        <v>234</v>
      </c>
      <c r="M24" s="510"/>
      <c r="N24" s="1"/>
      <c r="P24" s="102"/>
    </row>
    <row r="25" spans="3:16" ht="12.75" customHeight="1" thickBot="1" x14ac:dyDescent="0.25">
      <c r="C25" s="101">
        <f t="shared" ref="C25:J25" si="10">SUM(C23:C24)</f>
        <v>52117</v>
      </c>
      <c r="D25" s="101">
        <f t="shared" si="10"/>
        <v>41798</v>
      </c>
      <c r="E25" s="101">
        <f t="shared" si="10"/>
        <v>10319</v>
      </c>
      <c r="F25" s="101">
        <f t="shared" si="10"/>
        <v>253</v>
      </c>
      <c r="G25" s="101">
        <f t="shared" si="10"/>
        <v>153</v>
      </c>
      <c r="H25" s="101">
        <f t="shared" si="10"/>
        <v>100</v>
      </c>
      <c r="I25" s="101">
        <f t="shared" si="10"/>
        <v>51864</v>
      </c>
      <c r="J25" s="101">
        <f t="shared" si="10"/>
        <v>41645</v>
      </c>
      <c r="K25" s="101">
        <f>SUM(K23:K24)</f>
        <v>10219</v>
      </c>
      <c r="L25" s="7" t="s">
        <v>12</v>
      </c>
      <c r="M25" s="511"/>
      <c r="N25" s="1"/>
      <c r="O25" s="103"/>
      <c r="P25" s="103"/>
    </row>
    <row r="26" spans="3:16" ht="12.75" customHeight="1" thickBot="1" x14ac:dyDescent="0.25">
      <c r="C26" s="101">
        <f t="shared" si="0"/>
        <v>40956</v>
      </c>
      <c r="D26" s="101">
        <f t="shared" si="1"/>
        <v>29290</v>
      </c>
      <c r="E26" s="101">
        <f t="shared" si="1"/>
        <v>11666</v>
      </c>
      <c r="F26" s="101">
        <f t="shared" si="2"/>
        <v>106</v>
      </c>
      <c r="G26" s="101">
        <v>11</v>
      </c>
      <c r="H26" s="101">
        <v>95</v>
      </c>
      <c r="I26" s="101">
        <f t="shared" si="3"/>
        <v>40850</v>
      </c>
      <c r="J26" s="101">
        <v>29279</v>
      </c>
      <c r="K26" s="101">
        <v>11571</v>
      </c>
      <c r="L26" s="7" t="s">
        <v>233</v>
      </c>
      <c r="M26" s="509" t="s">
        <v>75</v>
      </c>
      <c r="N26" s="1"/>
      <c r="O26" s="103"/>
      <c r="P26" s="102"/>
    </row>
    <row r="27" spans="3:16" ht="12.75" customHeight="1" thickBot="1" x14ac:dyDescent="0.25">
      <c r="C27" s="101">
        <f t="shared" si="0"/>
        <v>8120</v>
      </c>
      <c r="D27" s="101">
        <f t="shared" si="1"/>
        <v>8120</v>
      </c>
      <c r="E27" s="101">
        <f t="shared" si="1"/>
        <v>0</v>
      </c>
      <c r="F27" s="101">
        <f t="shared" si="2"/>
        <v>0</v>
      </c>
      <c r="G27" s="101">
        <v>0</v>
      </c>
      <c r="H27" s="101">
        <v>0</v>
      </c>
      <c r="I27" s="101">
        <f t="shared" si="3"/>
        <v>8120</v>
      </c>
      <c r="J27" s="101">
        <v>8120</v>
      </c>
      <c r="K27" s="101">
        <v>0</v>
      </c>
      <c r="L27" s="7" t="s">
        <v>234</v>
      </c>
      <c r="M27" s="510"/>
      <c r="N27" s="1"/>
      <c r="P27" s="102"/>
    </row>
    <row r="28" spans="3:16" ht="12.75" customHeight="1" thickBot="1" x14ac:dyDescent="0.25">
      <c r="C28" s="101">
        <f t="shared" ref="C28:J28" si="11">SUM(C26:C27)</f>
        <v>49076</v>
      </c>
      <c r="D28" s="101">
        <f t="shared" si="11"/>
        <v>37410</v>
      </c>
      <c r="E28" s="101">
        <f t="shared" si="11"/>
        <v>11666</v>
      </c>
      <c r="F28" s="101">
        <f t="shared" si="11"/>
        <v>106</v>
      </c>
      <c r="G28" s="101">
        <f t="shared" si="11"/>
        <v>11</v>
      </c>
      <c r="H28" s="101">
        <f t="shared" si="11"/>
        <v>95</v>
      </c>
      <c r="I28" s="101">
        <f t="shared" si="11"/>
        <v>48970</v>
      </c>
      <c r="J28" s="101">
        <f t="shared" si="11"/>
        <v>37399</v>
      </c>
      <c r="K28" s="101">
        <f>SUM(K26:K27)</f>
        <v>11571</v>
      </c>
      <c r="L28" s="7" t="s">
        <v>12</v>
      </c>
      <c r="M28" s="511"/>
      <c r="N28" s="1"/>
      <c r="O28" s="103"/>
      <c r="P28" s="103"/>
    </row>
    <row r="29" spans="3:16" ht="12.75" customHeight="1" thickBot="1" x14ac:dyDescent="0.25">
      <c r="C29" s="101">
        <f t="shared" si="0"/>
        <v>36658</v>
      </c>
      <c r="D29" s="101">
        <f t="shared" si="1"/>
        <v>21044</v>
      </c>
      <c r="E29" s="101">
        <f t="shared" si="1"/>
        <v>15614</v>
      </c>
      <c r="F29" s="101">
        <f t="shared" si="2"/>
        <v>143</v>
      </c>
      <c r="G29" s="101">
        <v>51</v>
      </c>
      <c r="H29" s="101">
        <v>92</v>
      </c>
      <c r="I29" s="101">
        <f t="shared" si="3"/>
        <v>36515</v>
      </c>
      <c r="J29" s="101">
        <v>20993</v>
      </c>
      <c r="K29" s="101">
        <v>15522</v>
      </c>
      <c r="L29" s="7" t="s">
        <v>233</v>
      </c>
      <c r="M29" s="509" t="s">
        <v>100</v>
      </c>
      <c r="N29" s="1"/>
      <c r="O29" s="103"/>
      <c r="P29" s="102"/>
    </row>
    <row r="30" spans="3:16" ht="12.75" customHeight="1" thickBot="1" x14ac:dyDescent="0.25">
      <c r="C30" s="101">
        <f t="shared" si="0"/>
        <v>2241</v>
      </c>
      <c r="D30" s="101">
        <f t="shared" si="1"/>
        <v>2224</v>
      </c>
      <c r="E30" s="101">
        <f t="shared" si="1"/>
        <v>17</v>
      </c>
      <c r="F30" s="101">
        <f t="shared" si="2"/>
        <v>0</v>
      </c>
      <c r="G30" s="101">
        <v>0</v>
      </c>
      <c r="H30" s="101">
        <v>0</v>
      </c>
      <c r="I30" s="101">
        <f t="shared" si="3"/>
        <v>2241</v>
      </c>
      <c r="J30" s="101">
        <v>2224</v>
      </c>
      <c r="K30" s="101">
        <v>17</v>
      </c>
      <c r="L30" s="7" t="s">
        <v>234</v>
      </c>
      <c r="M30" s="510"/>
      <c r="N30" s="1"/>
      <c r="P30" s="102"/>
    </row>
    <row r="31" spans="3:16" ht="12.75" customHeight="1" thickBot="1" x14ac:dyDescent="0.25">
      <c r="C31" s="101">
        <f t="shared" ref="C31:J31" si="12">SUM(C29:C30)</f>
        <v>38899</v>
      </c>
      <c r="D31" s="101">
        <f t="shared" si="12"/>
        <v>23268</v>
      </c>
      <c r="E31" s="101">
        <f t="shared" si="12"/>
        <v>15631</v>
      </c>
      <c r="F31" s="101">
        <f t="shared" si="12"/>
        <v>143</v>
      </c>
      <c r="G31" s="101">
        <f t="shared" si="12"/>
        <v>51</v>
      </c>
      <c r="H31" s="101">
        <f t="shared" si="12"/>
        <v>92</v>
      </c>
      <c r="I31" s="101">
        <f t="shared" si="12"/>
        <v>38756</v>
      </c>
      <c r="J31" s="101">
        <f t="shared" si="12"/>
        <v>23217</v>
      </c>
      <c r="K31" s="101">
        <f>SUM(K29:K30)</f>
        <v>15539</v>
      </c>
      <c r="L31" s="7" t="s">
        <v>12</v>
      </c>
      <c r="M31" s="511"/>
      <c r="N31" s="1"/>
      <c r="O31" s="103"/>
      <c r="P31" s="103"/>
    </row>
    <row r="32" spans="3:16" ht="12.75" customHeight="1" thickBot="1" x14ac:dyDescent="0.25">
      <c r="C32" s="101">
        <f t="shared" si="0"/>
        <v>31466</v>
      </c>
      <c r="D32" s="101">
        <f t="shared" si="1"/>
        <v>23106</v>
      </c>
      <c r="E32" s="101">
        <f t="shared" si="1"/>
        <v>8360</v>
      </c>
      <c r="F32" s="101">
        <f t="shared" si="2"/>
        <v>244</v>
      </c>
      <c r="G32" s="101">
        <v>181</v>
      </c>
      <c r="H32" s="101">
        <v>63</v>
      </c>
      <c r="I32" s="101">
        <f t="shared" si="3"/>
        <v>31222</v>
      </c>
      <c r="J32" s="101">
        <v>22925</v>
      </c>
      <c r="K32" s="101">
        <v>8297</v>
      </c>
      <c r="L32" s="7" t="s">
        <v>233</v>
      </c>
      <c r="M32" s="509" t="s">
        <v>76</v>
      </c>
      <c r="N32" s="1"/>
      <c r="O32" s="103"/>
      <c r="P32" s="102"/>
    </row>
    <row r="33" spans="3:16" ht="12.75" customHeight="1" thickBot="1" x14ac:dyDescent="0.25">
      <c r="C33" s="101">
        <f t="shared" si="0"/>
        <v>9422</v>
      </c>
      <c r="D33" s="101">
        <f t="shared" si="1"/>
        <v>7257</v>
      </c>
      <c r="E33" s="101">
        <f t="shared" si="1"/>
        <v>2165</v>
      </c>
      <c r="F33" s="101">
        <f t="shared" si="2"/>
        <v>104</v>
      </c>
      <c r="G33" s="101">
        <v>78</v>
      </c>
      <c r="H33" s="101">
        <v>26</v>
      </c>
      <c r="I33" s="101">
        <f t="shared" si="3"/>
        <v>9318</v>
      </c>
      <c r="J33" s="101">
        <v>7179</v>
      </c>
      <c r="K33" s="101">
        <v>2139</v>
      </c>
      <c r="L33" s="7" t="s">
        <v>234</v>
      </c>
      <c r="M33" s="510"/>
      <c r="N33" s="1"/>
      <c r="P33" s="102"/>
    </row>
    <row r="34" spans="3:16" ht="12.75" customHeight="1" thickBot="1" x14ac:dyDescent="0.25">
      <c r="C34" s="101">
        <f t="shared" ref="C34:J34" si="13">SUM(C32:C33)</f>
        <v>40888</v>
      </c>
      <c r="D34" s="101">
        <f t="shared" si="13"/>
        <v>30363</v>
      </c>
      <c r="E34" s="101">
        <f t="shared" si="13"/>
        <v>10525</v>
      </c>
      <c r="F34" s="101">
        <f t="shared" si="13"/>
        <v>348</v>
      </c>
      <c r="G34" s="101">
        <f t="shared" si="13"/>
        <v>259</v>
      </c>
      <c r="H34" s="101">
        <f t="shared" si="13"/>
        <v>89</v>
      </c>
      <c r="I34" s="101">
        <f t="shared" si="13"/>
        <v>40540</v>
      </c>
      <c r="J34" s="101">
        <f t="shared" si="13"/>
        <v>30104</v>
      </c>
      <c r="K34" s="101">
        <f>SUM(K32:K33)</f>
        <v>10436</v>
      </c>
      <c r="L34" s="7" t="s">
        <v>12</v>
      </c>
      <c r="M34" s="511"/>
      <c r="N34" s="1"/>
      <c r="O34" s="103"/>
      <c r="P34" s="103"/>
    </row>
    <row r="35" spans="3:16" ht="12.75" customHeight="1" thickBot="1" x14ac:dyDescent="0.25">
      <c r="C35" s="101">
        <f t="shared" si="0"/>
        <v>25231</v>
      </c>
      <c r="D35" s="101">
        <f t="shared" si="1"/>
        <v>16365</v>
      </c>
      <c r="E35" s="101">
        <f t="shared" si="1"/>
        <v>8866</v>
      </c>
      <c r="F35" s="101">
        <f t="shared" si="2"/>
        <v>509</v>
      </c>
      <c r="G35" s="101">
        <v>325</v>
      </c>
      <c r="H35" s="101">
        <v>184</v>
      </c>
      <c r="I35" s="101">
        <f t="shared" si="3"/>
        <v>24722</v>
      </c>
      <c r="J35" s="101">
        <v>16040</v>
      </c>
      <c r="K35" s="101">
        <v>8682</v>
      </c>
      <c r="L35" s="7" t="s">
        <v>233</v>
      </c>
      <c r="M35" s="509" t="s">
        <v>77</v>
      </c>
      <c r="N35" s="1"/>
      <c r="O35" s="103"/>
      <c r="P35" s="102"/>
    </row>
    <row r="36" spans="3:16" ht="12.75" customHeight="1" thickBot="1" x14ac:dyDescent="0.25">
      <c r="C36" s="101">
        <f t="shared" si="0"/>
        <v>1763</v>
      </c>
      <c r="D36" s="101">
        <f t="shared" si="1"/>
        <v>1759</v>
      </c>
      <c r="E36" s="101">
        <f t="shared" si="1"/>
        <v>4</v>
      </c>
      <c r="F36" s="101">
        <f t="shared" si="2"/>
        <v>4</v>
      </c>
      <c r="G36" s="101">
        <v>0</v>
      </c>
      <c r="H36" s="101">
        <v>4</v>
      </c>
      <c r="I36" s="101">
        <f t="shared" si="3"/>
        <v>1759</v>
      </c>
      <c r="J36" s="101">
        <v>1759</v>
      </c>
      <c r="K36" s="101">
        <v>0</v>
      </c>
      <c r="L36" s="7" t="s">
        <v>234</v>
      </c>
      <c r="M36" s="510"/>
      <c r="N36" s="1"/>
      <c r="P36" s="102"/>
    </row>
    <row r="37" spans="3:16" ht="12.75" customHeight="1" thickBot="1" x14ac:dyDescent="0.25">
      <c r="C37" s="101">
        <f t="shared" ref="C37:J37" si="14">SUM(C35:C36)</f>
        <v>26994</v>
      </c>
      <c r="D37" s="101">
        <f t="shared" si="14"/>
        <v>18124</v>
      </c>
      <c r="E37" s="101">
        <f t="shared" si="14"/>
        <v>8870</v>
      </c>
      <c r="F37" s="101">
        <f t="shared" si="14"/>
        <v>513</v>
      </c>
      <c r="G37" s="101">
        <f t="shared" si="14"/>
        <v>325</v>
      </c>
      <c r="H37" s="101">
        <f t="shared" si="14"/>
        <v>188</v>
      </c>
      <c r="I37" s="101">
        <f t="shared" si="14"/>
        <v>26481</v>
      </c>
      <c r="J37" s="101">
        <f t="shared" si="14"/>
        <v>17799</v>
      </c>
      <c r="K37" s="101">
        <f>SUM(K35:K36)</f>
        <v>8682</v>
      </c>
      <c r="L37" s="7" t="s">
        <v>12</v>
      </c>
      <c r="M37" s="511"/>
      <c r="N37" s="1"/>
      <c r="O37" s="103"/>
      <c r="P37" s="103"/>
    </row>
    <row r="38" spans="3:16" ht="12.75" customHeight="1" thickBot="1" x14ac:dyDescent="0.25">
      <c r="C38" s="101">
        <f t="shared" si="0"/>
        <v>1315</v>
      </c>
      <c r="D38" s="101">
        <f t="shared" si="1"/>
        <v>790</v>
      </c>
      <c r="E38" s="101">
        <f t="shared" si="1"/>
        <v>525</v>
      </c>
      <c r="F38" s="101">
        <f t="shared" si="2"/>
        <v>0</v>
      </c>
      <c r="G38" s="101">
        <v>0</v>
      </c>
      <c r="H38" s="101">
        <v>0</v>
      </c>
      <c r="I38" s="101">
        <f t="shared" si="3"/>
        <v>1315</v>
      </c>
      <c r="J38" s="101">
        <v>790</v>
      </c>
      <c r="K38" s="101">
        <v>525</v>
      </c>
      <c r="L38" s="7" t="s">
        <v>233</v>
      </c>
      <c r="M38" s="509" t="s">
        <v>148</v>
      </c>
      <c r="N38" s="1"/>
      <c r="O38" s="103"/>
      <c r="P38" s="102"/>
    </row>
    <row r="39" spans="3:16" ht="12.75" customHeight="1" thickBot="1" x14ac:dyDescent="0.25">
      <c r="C39" s="101">
        <f t="shared" si="0"/>
        <v>0</v>
      </c>
      <c r="D39" s="101">
        <f t="shared" si="1"/>
        <v>0</v>
      </c>
      <c r="E39" s="101">
        <f t="shared" si="1"/>
        <v>0</v>
      </c>
      <c r="F39" s="101">
        <f t="shared" si="2"/>
        <v>0</v>
      </c>
      <c r="G39" s="101">
        <v>0</v>
      </c>
      <c r="H39" s="101">
        <v>0</v>
      </c>
      <c r="I39" s="101">
        <f t="shared" si="3"/>
        <v>0</v>
      </c>
      <c r="J39" s="101">
        <v>0</v>
      </c>
      <c r="K39" s="101">
        <v>0</v>
      </c>
      <c r="L39" s="7" t="s">
        <v>234</v>
      </c>
      <c r="M39" s="510"/>
      <c r="N39" s="1"/>
      <c r="P39" s="102"/>
    </row>
    <row r="40" spans="3:16" ht="12.75" customHeight="1" thickBot="1" x14ac:dyDescent="0.25">
      <c r="C40" s="101">
        <f t="shared" ref="C40:J40" si="15">SUM(C38:C39)</f>
        <v>1315</v>
      </c>
      <c r="D40" s="101">
        <f t="shared" si="15"/>
        <v>790</v>
      </c>
      <c r="E40" s="101">
        <f t="shared" si="15"/>
        <v>525</v>
      </c>
      <c r="F40" s="101">
        <f t="shared" si="15"/>
        <v>0</v>
      </c>
      <c r="G40" s="101">
        <f t="shared" si="15"/>
        <v>0</v>
      </c>
      <c r="H40" s="101">
        <f t="shared" si="15"/>
        <v>0</v>
      </c>
      <c r="I40" s="101">
        <f t="shared" si="15"/>
        <v>1315</v>
      </c>
      <c r="J40" s="101">
        <f t="shared" si="15"/>
        <v>790</v>
      </c>
      <c r="K40" s="101">
        <f>SUM(K38:K39)</f>
        <v>525</v>
      </c>
      <c r="L40" s="7" t="s">
        <v>12</v>
      </c>
      <c r="M40" s="511"/>
      <c r="N40" s="1"/>
      <c r="O40" s="103"/>
      <c r="P40" s="103"/>
    </row>
    <row r="41" spans="3:16" ht="12.75" customHeight="1" thickBot="1" x14ac:dyDescent="0.25">
      <c r="C41" s="101">
        <f t="shared" si="0"/>
        <v>18359</v>
      </c>
      <c r="D41" s="101">
        <f t="shared" si="1"/>
        <v>12199</v>
      </c>
      <c r="E41" s="101">
        <f t="shared" si="1"/>
        <v>6160</v>
      </c>
      <c r="F41" s="101">
        <f t="shared" si="2"/>
        <v>95</v>
      </c>
      <c r="G41" s="101">
        <v>95</v>
      </c>
      <c r="H41" s="101">
        <v>0</v>
      </c>
      <c r="I41" s="101">
        <f t="shared" si="3"/>
        <v>18264</v>
      </c>
      <c r="J41" s="101">
        <v>12104</v>
      </c>
      <c r="K41" s="101">
        <v>6160</v>
      </c>
      <c r="L41" s="7" t="s">
        <v>233</v>
      </c>
      <c r="M41" s="509" t="s">
        <v>106</v>
      </c>
      <c r="N41" s="1"/>
      <c r="O41" s="103"/>
      <c r="P41" s="102"/>
    </row>
    <row r="42" spans="3:16" ht="12.75" customHeight="1" thickBot="1" x14ac:dyDescent="0.25">
      <c r="C42" s="101">
        <f t="shared" si="0"/>
        <v>5370</v>
      </c>
      <c r="D42" s="101">
        <f t="shared" si="1"/>
        <v>5370</v>
      </c>
      <c r="E42" s="101">
        <f t="shared" si="1"/>
        <v>0</v>
      </c>
      <c r="F42" s="101">
        <f t="shared" si="2"/>
        <v>23</v>
      </c>
      <c r="G42" s="101">
        <v>23</v>
      </c>
      <c r="H42" s="101">
        <v>0</v>
      </c>
      <c r="I42" s="101">
        <f t="shared" si="3"/>
        <v>5347</v>
      </c>
      <c r="J42" s="101">
        <v>5347</v>
      </c>
      <c r="K42" s="101">
        <v>0</v>
      </c>
      <c r="L42" s="7" t="s">
        <v>234</v>
      </c>
      <c r="M42" s="510"/>
      <c r="N42" s="1"/>
      <c r="P42" s="102"/>
    </row>
    <row r="43" spans="3:16" ht="12.75" customHeight="1" thickBot="1" x14ac:dyDescent="0.25">
      <c r="C43" s="101">
        <f t="shared" ref="C43:J43" si="16">SUM(C41:C42)</f>
        <v>23729</v>
      </c>
      <c r="D43" s="101">
        <f t="shared" si="16"/>
        <v>17569</v>
      </c>
      <c r="E43" s="101">
        <f t="shared" si="16"/>
        <v>6160</v>
      </c>
      <c r="F43" s="101">
        <f t="shared" si="16"/>
        <v>118</v>
      </c>
      <c r="G43" s="101">
        <f t="shared" si="16"/>
        <v>118</v>
      </c>
      <c r="H43" s="101">
        <f t="shared" si="16"/>
        <v>0</v>
      </c>
      <c r="I43" s="101">
        <f t="shared" si="16"/>
        <v>23611</v>
      </c>
      <c r="J43" s="101">
        <f t="shared" si="16"/>
        <v>17451</v>
      </c>
      <c r="K43" s="101">
        <f>SUM(K41:K42)</f>
        <v>6160</v>
      </c>
      <c r="L43" s="7" t="s">
        <v>12</v>
      </c>
      <c r="M43" s="511"/>
      <c r="N43" s="1"/>
      <c r="O43" s="103"/>
      <c r="P43" s="103"/>
    </row>
    <row r="44" spans="3:16" ht="12.75" customHeight="1" thickBot="1" x14ac:dyDescent="0.25">
      <c r="C44" s="101">
        <f t="shared" si="0"/>
        <v>15214</v>
      </c>
      <c r="D44" s="101">
        <f t="shared" si="1"/>
        <v>10379</v>
      </c>
      <c r="E44" s="101">
        <f t="shared" si="1"/>
        <v>4835</v>
      </c>
      <c r="F44" s="101">
        <f t="shared" si="2"/>
        <v>53</v>
      </c>
      <c r="G44" s="101">
        <v>4</v>
      </c>
      <c r="H44" s="101">
        <v>49</v>
      </c>
      <c r="I44" s="101">
        <f t="shared" si="3"/>
        <v>15161</v>
      </c>
      <c r="J44" s="101">
        <v>10375</v>
      </c>
      <c r="K44" s="101">
        <v>4786</v>
      </c>
      <c r="L44" s="7" t="s">
        <v>233</v>
      </c>
      <c r="M44" s="509" t="s">
        <v>109</v>
      </c>
      <c r="N44" s="1"/>
      <c r="O44" s="103"/>
      <c r="P44" s="102"/>
    </row>
    <row r="45" spans="3:16" ht="12.75" customHeight="1" thickBot="1" x14ac:dyDescent="0.25">
      <c r="C45" s="101">
        <f t="shared" si="0"/>
        <v>1124</v>
      </c>
      <c r="D45" s="101">
        <f t="shared" si="1"/>
        <v>1124</v>
      </c>
      <c r="E45" s="101">
        <f t="shared" si="1"/>
        <v>0</v>
      </c>
      <c r="F45" s="101">
        <f t="shared" si="2"/>
        <v>0</v>
      </c>
      <c r="G45" s="101">
        <v>0</v>
      </c>
      <c r="H45" s="101">
        <v>0</v>
      </c>
      <c r="I45" s="101">
        <f t="shared" si="3"/>
        <v>1124</v>
      </c>
      <c r="J45" s="101">
        <v>1124</v>
      </c>
      <c r="K45" s="101">
        <v>0</v>
      </c>
      <c r="L45" s="7" t="s">
        <v>234</v>
      </c>
      <c r="M45" s="510"/>
      <c r="N45" s="1"/>
      <c r="P45" s="102"/>
    </row>
    <row r="46" spans="3:16" ht="12.75" customHeight="1" thickBot="1" x14ac:dyDescent="0.25">
      <c r="C46" s="101">
        <f t="shared" ref="C46:J46" si="17">SUM(C44:C45)</f>
        <v>16338</v>
      </c>
      <c r="D46" s="101">
        <f t="shared" si="17"/>
        <v>11503</v>
      </c>
      <c r="E46" s="101">
        <f t="shared" si="17"/>
        <v>4835</v>
      </c>
      <c r="F46" s="101">
        <f t="shared" si="17"/>
        <v>53</v>
      </c>
      <c r="G46" s="101">
        <f t="shared" si="17"/>
        <v>4</v>
      </c>
      <c r="H46" s="101">
        <f t="shared" si="17"/>
        <v>49</v>
      </c>
      <c r="I46" s="101">
        <f t="shared" si="17"/>
        <v>16285</v>
      </c>
      <c r="J46" s="101">
        <f t="shared" si="17"/>
        <v>11499</v>
      </c>
      <c r="K46" s="101">
        <f>SUM(K44:K45)</f>
        <v>4786</v>
      </c>
      <c r="L46" s="7" t="s">
        <v>12</v>
      </c>
      <c r="M46" s="511"/>
      <c r="N46" s="1"/>
      <c r="O46" s="103"/>
      <c r="P46" s="103"/>
    </row>
    <row r="47" spans="3:16" ht="12.75" customHeight="1" thickBot="1" x14ac:dyDescent="0.25">
      <c r="C47" s="101">
        <f t="shared" si="0"/>
        <v>12434</v>
      </c>
      <c r="D47" s="101">
        <f t="shared" si="1"/>
        <v>7403</v>
      </c>
      <c r="E47" s="101">
        <f t="shared" si="1"/>
        <v>5031</v>
      </c>
      <c r="F47" s="101">
        <f t="shared" si="2"/>
        <v>15</v>
      </c>
      <c r="G47" s="101">
        <v>15</v>
      </c>
      <c r="H47" s="101">
        <v>0</v>
      </c>
      <c r="I47" s="101">
        <f t="shared" si="3"/>
        <v>12419</v>
      </c>
      <c r="J47" s="101">
        <v>7388</v>
      </c>
      <c r="K47" s="101">
        <v>5031</v>
      </c>
      <c r="L47" s="7" t="s">
        <v>233</v>
      </c>
      <c r="M47" s="509" t="s">
        <v>111</v>
      </c>
      <c r="N47" s="1"/>
      <c r="O47" s="103"/>
      <c r="P47" s="102"/>
    </row>
    <row r="48" spans="3:16" ht="12.75" customHeight="1" thickBot="1" x14ac:dyDescent="0.25">
      <c r="C48" s="101">
        <f t="shared" si="0"/>
        <v>1443</v>
      </c>
      <c r="D48" s="101">
        <f t="shared" si="1"/>
        <v>912</v>
      </c>
      <c r="E48" s="101">
        <f t="shared" si="1"/>
        <v>531</v>
      </c>
      <c r="F48" s="101">
        <f t="shared" si="2"/>
        <v>0</v>
      </c>
      <c r="G48" s="101">
        <v>0</v>
      </c>
      <c r="H48" s="101">
        <v>0</v>
      </c>
      <c r="I48" s="101">
        <f t="shared" si="3"/>
        <v>1443</v>
      </c>
      <c r="J48" s="101">
        <v>912</v>
      </c>
      <c r="K48" s="101">
        <v>531</v>
      </c>
      <c r="L48" s="7" t="s">
        <v>234</v>
      </c>
      <c r="M48" s="510"/>
      <c r="N48" s="1"/>
      <c r="P48" s="102"/>
    </row>
    <row r="49" spans="3:16" ht="12.75" customHeight="1" thickBot="1" x14ac:dyDescent="0.25">
      <c r="C49" s="101">
        <f t="shared" ref="C49:J49" si="18">SUM(C47:C48)</f>
        <v>13877</v>
      </c>
      <c r="D49" s="101">
        <f t="shared" si="18"/>
        <v>8315</v>
      </c>
      <c r="E49" s="101">
        <f t="shared" si="18"/>
        <v>5562</v>
      </c>
      <c r="F49" s="101">
        <f t="shared" si="18"/>
        <v>15</v>
      </c>
      <c r="G49" s="101">
        <f t="shared" si="18"/>
        <v>15</v>
      </c>
      <c r="H49" s="101">
        <f t="shared" si="18"/>
        <v>0</v>
      </c>
      <c r="I49" s="101">
        <f t="shared" si="18"/>
        <v>13862</v>
      </c>
      <c r="J49" s="101">
        <f t="shared" si="18"/>
        <v>8300</v>
      </c>
      <c r="K49" s="101">
        <f>SUM(K47:K48)</f>
        <v>5562</v>
      </c>
      <c r="L49" s="7" t="s">
        <v>12</v>
      </c>
      <c r="M49" s="511"/>
      <c r="N49" s="1"/>
      <c r="O49" s="103"/>
      <c r="P49" s="103"/>
    </row>
    <row r="50" spans="3:16" ht="12.75" customHeight="1" thickBot="1" x14ac:dyDescent="0.25">
      <c r="C50" s="101">
        <f t="shared" si="0"/>
        <v>10772</v>
      </c>
      <c r="D50" s="101">
        <f t="shared" si="1"/>
        <v>7716</v>
      </c>
      <c r="E50" s="101">
        <f t="shared" si="1"/>
        <v>3056</v>
      </c>
      <c r="F50" s="101">
        <f t="shared" si="2"/>
        <v>0</v>
      </c>
      <c r="G50" s="101">
        <v>0</v>
      </c>
      <c r="H50" s="101">
        <v>0</v>
      </c>
      <c r="I50" s="101">
        <f t="shared" si="3"/>
        <v>10772</v>
      </c>
      <c r="J50" s="101">
        <v>7716</v>
      </c>
      <c r="K50" s="101">
        <v>3056</v>
      </c>
      <c r="L50" s="7" t="s">
        <v>233</v>
      </c>
      <c r="M50" s="509" t="s">
        <v>115</v>
      </c>
      <c r="N50" s="1"/>
      <c r="O50" s="103"/>
      <c r="P50" s="102"/>
    </row>
    <row r="51" spans="3:16" ht="12.75" customHeight="1" thickBot="1" x14ac:dyDescent="0.25">
      <c r="C51" s="101">
        <f t="shared" si="0"/>
        <v>1323</v>
      </c>
      <c r="D51" s="101">
        <f t="shared" si="1"/>
        <v>1323</v>
      </c>
      <c r="E51" s="101">
        <f t="shared" si="1"/>
        <v>0</v>
      </c>
      <c r="F51" s="101">
        <f t="shared" si="2"/>
        <v>0</v>
      </c>
      <c r="G51" s="101">
        <v>0</v>
      </c>
      <c r="H51" s="101">
        <v>0</v>
      </c>
      <c r="I51" s="101">
        <f t="shared" si="3"/>
        <v>1323</v>
      </c>
      <c r="J51" s="101">
        <v>1323</v>
      </c>
      <c r="K51" s="101">
        <v>0</v>
      </c>
      <c r="L51" s="7" t="s">
        <v>234</v>
      </c>
      <c r="M51" s="510"/>
      <c r="N51" s="1"/>
      <c r="P51" s="102"/>
    </row>
    <row r="52" spans="3:16" ht="12.75" customHeight="1" thickBot="1" x14ac:dyDescent="0.25">
      <c r="C52" s="101">
        <f t="shared" ref="C52:J52" si="19">SUM(C50:C51)</f>
        <v>12095</v>
      </c>
      <c r="D52" s="101">
        <f t="shared" si="19"/>
        <v>9039</v>
      </c>
      <c r="E52" s="101">
        <f t="shared" si="19"/>
        <v>3056</v>
      </c>
      <c r="F52" s="101">
        <f t="shared" si="19"/>
        <v>0</v>
      </c>
      <c r="G52" s="101">
        <f t="shared" si="19"/>
        <v>0</v>
      </c>
      <c r="H52" s="101">
        <f t="shared" si="19"/>
        <v>0</v>
      </c>
      <c r="I52" s="101">
        <f t="shared" si="19"/>
        <v>12095</v>
      </c>
      <c r="J52" s="101">
        <f t="shared" si="19"/>
        <v>9039</v>
      </c>
      <c r="K52" s="101">
        <f>SUM(K50:K51)</f>
        <v>3056</v>
      </c>
      <c r="L52" s="7" t="s">
        <v>12</v>
      </c>
      <c r="M52" s="511"/>
      <c r="N52" s="1"/>
      <c r="O52" s="103"/>
      <c r="P52" s="103"/>
    </row>
    <row r="53" spans="3:16" ht="12.75" customHeight="1" thickBot="1" x14ac:dyDescent="0.25">
      <c r="C53" s="101">
        <f t="shared" si="0"/>
        <v>12163</v>
      </c>
      <c r="D53" s="101">
        <f t="shared" si="1"/>
        <v>8644</v>
      </c>
      <c r="E53" s="101">
        <f t="shared" si="1"/>
        <v>3519</v>
      </c>
      <c r="F53" s="101">
        <f t="shared" si="2"/>
        <v>5</v>
      </c>
      <c r="G53" s="101">
        <v>5</v>
      </c>
      <c r="H53" s="101">
        <v>0</v>
      </c>
      <c r="I53" s="101">
        <f t="shared" si="3"/>
        <v>12158</v>
      </c>
      <c r="J53" s="101">
        <v>8639</v>
      </c>
      <c r="K53" s="101">
        <v>3519</v>
      </c>
      <c r="L53" s="7" t="s">
        <v>233</v>
      </c>
      <c r="M53" s="509" t="s">
        <v>117</v>
      </c>
      <c r="N53" s="1"/>
      <c r="O53" s="103"/>
      <c r="P53" s="102"/>
    </row>
    <row r="54" spans="3:16" ht="12.75" customHeight="1" thickBot="1" x14ac:dyDescent="0.25">
      <c r="C54" s="101">
        <f t="shared" si="0"/>
        <v>393</v>
      </c>
      <c r="D54" s="101">
        <f t="shared" si="1"/>
        <v>393</v>
      </c>
      <c r="E54" s="101">
        <f t="shared" si="1"/>
        <v>0</v>
      </c>
      <c r="F54" s="101">
        <f t="shared" si="2"/>
        <v>0</v>
      </c>
      <c r="G54" s="101">
        <v>0</v>
      </c>
      <c r="H54" s="101">
        <v>0</v>
      </c>
      <c r="I54" s="101">
        <f t="shared" si="3"/>
        <v>393</v>
      </c>
      <c r="J54" s="101">
        <v>393</v>
      </c>
      <c r="K54" s="101">
        <v>0</v>
      </c>
      <c r="L54" s="7" t="s">
        <v>234</v>
      </c>
      <c r="M54" s="510"/>
      <c r="N54" s="1"/>
      <c r="P54" s="102"/>
    </row>
    <row r="55" spans="3:16" ht="12.75" customHeight="1" thickBot="1" x14ac:dyDescent="0.25">
      <c r="C55" s="101">
        <f t="shared" ref="C55:J55" si="20">SUM(C53:C54)</f>
        <v>12556</v>
      </c>
      <c r="D55" s="101">
        <f t="shared" si="20"/>
        <v>9037</v>
      </c>
      <c r="E55" s="101">
        <f t="shared" si="20"/>
        <v>3519</v>
      </c>
      <c r="F55" s="101">
        <f t="shared" si="20"/>
        <v>5</v>
      </c>
      <c r="G55" s="101">
        <f t="shared" si="20"/>
        <v>5</v>
      </c>
      <c r="H55" s="101">
        <f t="shared" si="20"/>
        <v>0</v>
      </c>
      <c r="I55" s="101">
        <f t="shared" si="20"/>
        <v>12551</v>
      </c>
      <c r="J55" s="101">
        <f t="shared" si="20"/>
        <v>9032</v>
      </c>
      <c r="K55" s="101">
        <f>SUM(K53:K54)</f>
        <v>3519</v>
      </c>
      <c r="L55" s="7" t="s">
        <v>12</v>
      </c>
      <c r="M55" s="511"/>
      <c r="N55" s="1"/>
      <c r="O55" s="103"/>
      <c r="P55" s="103"/>
    </row>
    <row r="56" spans="3:16" ht="12.75" customHeight="1" thickBot="1" x14ac:dyDescent="0.25">
      <c r="C56" s="101">
        <f t="shared" si="0"/>
        <v>6986</v>
      </c>
      <c r="D56" s="101">
        <f t="shared" si="1"/>
        <v>5976</v>
      </c>
      <c r="E56" s="101">
        <f t="shared" si="1"/>
        <v>1010</v>
      </c>
      <c r="F56" s="101">
        <f t="shared" si="2"/>
        <v>27</v>
      </c>
      <c r="G56" s="101">
        <v>25</v>
      </c>
      <c r="H56" s="101">
        <v>2</v>
      </c>
      <c r="I56" s="101">
        <f t="shared" si="3"/>
        <v>6959</v>
      </c>
      <c r="J56" s="101">
        <v>5951</v>
      </c>
      <c r="K56" s="101">
        <v>1008</v>
      </c>
      <c r="L56" s="7" t="s">
        <v>233</v>
      </c>
      <c r="M56" s="509" t="s">
        <v>119</v>
      </c>
      <c r="N56" s="1"/>
      <c r="O56" s="103"/>
      <c r="P56" s="102"/>
    </row>
    <row r="57" spans="3:16" ht="12.75" customHeight="1" thickBot="1" x14ac:dyDescent="0.25">
      <c r="C57" s="101">
        <f t="shared" si="0"/>
        <v>486</v>
      </c>
      <c r="D57" s="101">
        <f t="shared" si="1"/>
        <v>486</v>
      </c>
      <c r="E57" s="101">
        <f t="shared" si="1"/>
        <v>0</v>
      </c>
      <c r="F57" s="101">
        <f t="shared" si="2"/>
        <v>6</v>
      </c>
      <c r="G57" s="101">
        <v>6</v>
      </c>
      <c r="H57" s="101">
        <v>0</v>
      </c>
      <c r="I57" s="101">
        <f t="shared" si="3"/>
        <v>480</v>
      </c>
      <c r="J57" s="101">
        <v>480</v>
      </c>
      <c r="K57" s="101">
        <v>0</v>
      </c>
      <c r="L57" s="7" t="s">
        <v>234</v>
      </c>
      <c r="M57" s="510"/>
      <c r="N57" s="1"/>
      <c r="P57" s="102"/>
    </row>
    <row r="58" spans="3:16" ht="12.75" customHeight="1" thickBot="1" x14ac:dyDescent="0.25">
      <c r="C58" s="101">
        <f t="shared" ref="C58:J58" si="21">SUM(C56:C57)</f>
        <v>7472</v>
      </c>
      <c r="D58" s="101">
        <f t="shared" si="21"/>
        <v>6462</v>
      </c>
      <c r="E58" s="101">
        <f t="shared" si="21"/>
        <v>1010</v>
      </c>
      <c r="F58" s="101">
        <f t="shared" si="21"/>
        <v>33</v>
      </c>
      <c r="G58" s="101">
        <f t="shared" si="21"/>
        <v>31</v>
      </c>
      <c r="H58" s="101">
        <f t="shared" si="21"/>
        <v>2</v>
      </c>
      <c r="I58" s="101">
        <f t="shared" si="21"/>
        <v>7439</v>
      </c>
      <c r="J58" s="101">
        <f t="shared" si="21"/>
        <v>6431</v>
      </c>
      <c r="K58" s="101">
        <f>SUM(K56:K57)</f>
        <v>1008</v>
      </c>
      <c r="L58" s="7" t="s">
        <v>12</v>
      </c>
      <c r="M58" s="511"/>
      <c r="N58" s="1"/>
      <c r="O58" s="103"/>
      <c r="P58" s="103"/>
    </row>
    <row r="59" spans="3:16" ht="12.75" customHeight="1" thickBot="1" x14ac:dyDescent="0.25">
      <c r="C59" s="101">
        <f t="shared" si="0"/>
        <v>35811</v>
      </c>
      <c r="D59" s="101">
        <f t="shared" si="1"/>
        <v>35811</v>
      </c>
      <c r="E59" s="101">
        <f t="shared" si="1"/>
        <v>0</v>
      </c>
      <c r="F59" s="101">
        <f t="shared" si="2"/>
        <v>332</v>
      </c>
      <c r="G59" s="101">
        <v>332</v>
      </c>
      <c r="H59" s="101">
        <v>0</v>
      </c>
      <c r="I59" s="101">
        <f t="shared" si="3"/>
        <v>35479</v>
      </c>
      <c r="J59" s="101">
        <v>35479</v>
      </c>
      <c r="K59" s="101">
        <v>0</v>
      </c>
      <c r="L59" s="7" t="s">
        <v>233</v>
      </c>
      <c r="M59" s="509" t="s">
        <v>121</v>
      </c>
      <c r="N59" s="1"/>
      <c r="O59" s="103"/>
      <c r="P59" s="102"/>
    </row>
    <row r="60" spans="3:16" ht="12.75" customHeight="1" thickBot="1" x14ac:dyDescent="0.25">
      <c r="C60" s="101">
        <f t="shared" si="0"/>
        <v>6726</v>
      </c>
      <c r="D60" s="101">
        <f t="shared" si="1"/>
        <v>6726</v>
      </c>
      <c r="E60" s="101">
        <f t="shared" si="1"/>
        <v>0</v>
      </c>
      <c r="F60" s="101">
        <f t="shared" si="2"/>
        <v>10</v>
      </c>
      <c r="G60" s="101">
        <v>10</v>
      </c>
      <c r="H60" s="101">
        <v>0</v>
      </c>
      <c r="I60" s="101">
        <f t="shared" si="3"/>
        <v>6716</v>
      </c>
      <c r="J60" s="101">
        <v>6716</v>
      </c>
      <c r="K60" s="101">
        <v>0</v>
      </c>
      <c r="L60" s="7" t="s">
        <v>234</v>
      </c>
      <c r="M60" s="510"/>
      <c r="N60" s="1"/>
      <c r="P60" s="102"/>
    </row>
    <row r="61" spans="3:16" ht="12.75" customHeight="1" thickBot="1" x14ac:dyDescent="0.25">
      <c r="C61" s="101">
        <f t="shared" ref="C61:J61" si="22">SUM(C59:C60)</f>
        <v>42537</v>
      </c>
      <c r="D61" s="101">
        <f t="shared" si="22"/>
        <v>42537</v>
      </c>
      <c r="E61" s="101">
        <f t="shared" si="22"/>
        <v>0</v>
      </c>
      <c r="F61" s="101">
        <f t="shared" si="22"/>
        <v>342</v>
      </c>
      <c r="G61" s="101">
        <f t="shared" si="22"/>
        <v>342</v>
      </c>
      <c r="H61" s="101">
        <f t="shared" si="22"/>
        <v>0</v>
      </c>
      <c r="I61" s="101">
        <f t="shared" si="22"/>
        <v>42195</v>
      </c>
      <c r="J61" s="101">
        <f t="shared" si="22"/>
        <v>42195</v>
      </c>
      <c r="K61" s="101">
        <f>SUM(K59:K60)</f>
        <v>0</v>
      </c>
      <c r="L61" s="7" t="s">
        <v>12</v>
      </c>
      <c r="M61" s="511"/>
      <c r="N61" s="1"/>
      <c r="O61" s="103"/>
      <c r="P61" s="103"/>
    </row>
    <row r="62" spans="3:16" ht="12.75" customHeight="1" thickBot="1" x14ac:dyDescent="0.25">
      <c r="C62" s="101">
        <f t="shared" si="0"/>
        <v>6268</v>
      </c>
      <c r="D62" s="101">
        <f t="shared" si="1"/>
        <v>4096</v>
      </c>
      <c r="E62" s="101">
        <f t="shared" si="1"/>
        <v>2172</v>
      </c>
      <c r="F62" s="101">
        <f t="shared" si="2"/>
        <v>0</v>
      </c>
      <c r="G62" s="101">
        <v>0</v>
      </c>
      <c r="H62" s="101">
        <v>0</v>
      </c>
      <c r="I62" s="101">
        <f t="shared" si="3"/>
        <v>6268</v>
      </c>
      <c r="J62" s="101">
        <v>4096</v>
      </c>
      <c r="K62" s="101">
        <v>2172</v>
      </c>
      <c r="L62" s="7" t="s">
        <v>233</v>
      </c>
      <c r="M62" s="509" t="s">
        <v>123</v>
      </c>
      <c r="N62" s="1"/>
      <c r="O62" s="103"/>
      <c r="P62" s="102"/>
    </row>
    <row r="63" spans="3:16" ht="12.75" customHeight="1" thickBot="1" x14ac:dyDescent="0.25">
      <c r="C63" s="101">
        <f t="shared" si="0"/>
        <v>468</v>
      </c>
      <c r="D63" s="101">
        <f t="shared" si="1"/>
        <v>468</v>
      </c>
      <c r="E63" s="101">
        <f t="shared" si="1"/>
        <v>0</v>
      </c>
      <c r="F63" s="101">
        <f t="shared" si="2"/>
        <v>0</v>
      </c>
      <c r="G63" s="101">
        <v>0</v>
      </c>
      <c r="H63" s="101">
        <v>0</v>
      </c>
      <c r="I63" s="101">
        <f t="shared" si="3"/>
        <v>468</v>
      </c>
      <c r="J63" s="101">
        <v>468</v>
      </c>
      <c r="K63" s="101">
        <v>0</v>
      </c>
      <c r="L63" s="7" t="s">
        <v>234</v>
      </c>
      <c r="M63" s="510"/>
      <c r="N63" s="1"/>
      <c r="P63" s="102"/>
    </row>
    <row r="64" spans="3:16" ht="12.75" customHeight="1" thickBot="1" x14ac:dyDescent="0.25">
      <c r="C64" s="101">
        <f t="shared" ref="C64:J64" si="23">SUM(C62:C63)</f>
        <v>6736</v>
      </c>
      <c r="D64" s="101">
        <f t="shared" si="23"/>
        <v>4564</v>
      </c>
      <c r="E64" s="101">
        <f t="shared" si="23"/>
        <v>2172</v>
      </c>
      <c r="F64" s="101">
        <f t="shared" si="23"/>
        <v>0</v>
      </c>
      <c r="G64" s="101">
        <f t="shared" si="23"/>
        <v>0</v>
      </c>
      <c r="H64" s="101">
        <f t="shared" si="23"/>
        <v>0</v>
      </c>
      <c r="I64" s="101">
        <f t="shared" si="23"/>
        <v>6736</v>
      </c>
      <c r="J64" s="101">
        <f t="shared" si="23"/>
        <v>4564</v>
      </c>
      <c r="K64" s="101">
        <f>SUM(K62:K63)</f>
        <v>2172</v>
      </c>
      <c r="L64" s="7" t="s">
        <v>12</v>
      </c>
      <c r="M64" s="511"/>
      <c r="N64" s="1"/>
      <c r="O64" s="103"/>
      <c r="P64" s="103"/>
    </row>
    <row r="65" spans="3:16" ht="12.75" customHeight="1" thickBot="1" x14ac:dyDescent="0.25">
      <c r="C65" s="101">
        <f t="shared" si="0"/>
        <v>1352</v>
      </c>
      <c r="D65" s="101">
        <f t="shared" si="1"/>
        <v>0</v>
      </c>
      <c r="E65" s="101">
        <f t="shared" si="1"/>
        <v>1352</v>
      </c>
      <c r="F65" s="101">
        <f t="shared" si="2"/>
        <v>0</v>
      </c>
      <c r="G65" s="101">
        <v>0</v>
      </c>
      <c r="H65" s="101">
        <v>0</v>
      </c>
      <c r="I65" s="101">
        <f t="shared" si="3"/>
        <v>1352</v>
      </c>
      <c r="J65" s="101">
        <v>0</v>
      </c>
      <c r="K65" s="101">
        <v>1352</v>
      </c>
      <c r="L65" s="7" t="s">
        <v>233</v>
      </c>
      <c r="M65" s="509" t="s">
        <v>151</v>
      </c>
      <c r="N65" s="1"/>
      <c r="O65" s="103"/>
      <c r="P65" s="102"/>
    </row>
    <row r="66" spans="3:16" ht="12.75" customHeight="1" thickBot="1" x14ac:dyDescent="0.25">
      <c r="C66" s="101">
        <f t="shared" si="0"/>
        <v>0</v>
      </c>
      <c r="D66" s="101">
        <f t="shared" si="1"/>
        <v>0</v>
      </c>
      <c r="E66" s="101">
        <f t="shared" si="1"/>
        <v>0</v>
      </c>
      <c r="F66" s="101">
        <f t="shared" si="2"/>
        <v>0</v>
      </c>
      <c r="G66" s="101">
        <v>0</v>
      </c>
      <c r="H66" s="101">
        <v>0</v>
      </c>
      <c r="I66" s="101">
        <f t="shared" si="3"/>
        <v>0</v>
      </c>
      <c r="J66" s="101">
        <v>0</v>
      </c>
      <c r="K66" s="101">
        <v>0</v>
      </c>
      <c r="L66" s="7" t="s">
        <v>234</v>
      </c>
      <c r="M66" s="510"/>
      <c r="N66" s="1"/>
      <c r="P66" s="102"/>
    </row>
    <row r="67" spans="3:16" ht="12.75" customHeight="1" thickBot="1" x14ac:dyDescent="0.25">
      <c r="C67" s="101">
        <f t="shared" ref="C67:J67" si="24">SUM(C65:C66)</f>
        <v>1352</v>
      </c>
      <c r="D67" s="101">
        <f t="shared" si="24"/>
        <v>0</v>
      </c>
      <c r="E67" s="101">
        <f t="shared" si="24"/>
        <v>1352</v>
      </c>
      <c r="F67" s="101">
        <f t="shared" si="24"/>
        <v>0</v>
      </c>
      <c r="G67" s="101">
        <f t="shared" si="24"/>
        <v>0</v>
      </c>
      <c r="H67" s="101">
        <f t="shared" si="24"/>
        <v>0</v>
      </c>
      <c r="I67" s="101">
        <f t="shared" si="24"/>
        <v>1352</v>
      </c>
      <c r="J67" s="101">
        <f t="shared" si="24"/>
        <v>0</v>
      </c>
      <c r="K67" s="101">
        <f>SUM(K65:K66)</f>
        <v>1352</v>
      </c>
      <c r="L67" s="7" t="s">
        <v>12</v>
      </c>
      <c r="M67" s="511"/>
      <c r="N67" s="1"/>
      <c r="O67" s="103"/>
      <c r="P67" s="103"/>
    </row>
    <row r="68" spans="3:16" ht="12.75" customHeight="1" thickBot="1" x14ac:dyDescent="0.25">
      <c r="C68" s="101">
        <f t="shared" si="0"/>
        <v>133</v>
      </c>
      <c r="D68" s="101">
        <f t="shared" si="1"/>
        <v>63</v>
      </c>
      <c r="E68" s="101">
        <f t="shared" si="1"/>
        <v>70</v>
      </c>
      <c r="F68" s="101">
        <f t="shared" si="2"/>
        <v>0</v>
      </c>
      <c r="G68" s="101">
        <v>0</v>
      </c>
      <c r="H68" s="101">
        <v>0</v>
      </c>
      <c r="I68" s="101">
        <f t="shared" si="3"/>
        <v>133</v>
      </c>
      <c r="J68" s="101">
        <v>63</v>
      </c>
      <c r="K68" s="101">
        <v>70</v>
      </c>
      <c r="L68" s="7" t="s">
        <v>233</v>
      </c>
      <c r="M68" s="509" t="s">
        <v>152</v>
      </c>
      <c r="N68" s="1"/>
      <c r="O68" s="103"/>
      <c r="P68" s="102"/>
    </row>
    <row r="69" spans="3:16" ht="12.75" customHeight="1" thickBot="1" x14ac:dyDescent="0.25">
      <c r="C69" s="101">
        <f t="shared" si="0"/>
        <v>0</v>
      </c>
      <c r="D69" s="101">
        <f t="shared" si="1"/>
        <v>0</v>
      </c>
      <c r="E69" s="101">
        <f t="shared" si="1"/>
        <v>0</v>
      </c>
      <c r="F69" s="101">
        <f t="shared" si="2"/>
        <v>0</v>
      </c>
      <c r="G69" s="101">
        <v>0</v>
      </c>
      <c r="H69" s="101">
        <v>0</v>
      </c>
      <c r="I69" s="101">
        <f t="shared" si="3"/>
        <v>0</v>
      </c>
      <c r="J69" s="101">
        <v>0</v>
      </c>
      <c r="K69" s="101">
        <v>0</v>
      </c>
      <c r="L69" s="7" t="s">
        <v>234</v>
      </c>
      <c r="M69" s="510"/>
      <c r="N69" s="1"/>
      <c r="P69" s="102"/>
    </row>
    <row r="70" spans="3:16" ht="12.75" customHeight="1" thickBot="1" x14ac:dyDescent="0.25">
      <c r="C70" s="101">
        <f t="shared" ref="C70:J70" si="25">SUM(C68:C69)</f>
        <v>133</v>
      </c>
      <c r="D70" s="101">
        <f t="shared" si="25"/>
        <v>63</v>
      </c>
      <c r="E70" s="101">
        <f t="shared" si="25"/>
        <v>70</v>
      </c>
      <c r="F70" s="101">
        <f t="shared" si="25"/>
        <v>0</v>
      </c>
      <c r="G70" s="101">
        <f t="shared" si="25"/>
        <v>0</v>
      </c>
      <c r="H70" s="101">
        <f t="shared" si="25"/>
        <v>0</v>
      </c>
      <c r="I70" s="101">
        <f t="shared" si="25"/>
        <v>133</v>
      </c>
      <c r="J70" s="101">
        <f t="shared" si="25"/>
        <v>63</v>
      </c>
      <c r="K70" s="101">
        <f>SUM(K68:K69)</f>
        <v>70</v>
      </c>
      <c r="L70" s="7" t="s">
        <v>12</v>
      </c>
      <c r="M70" s="511"/>
      <c r="N70" s="1"/>
      <c r="O70" s="103"/>
      <c r="P70" s="103"/>
    </row>
    <row r="71" spans="3:16" ht="12.75" customHeight="1" thickBot="1" x14ac:dyDescent="0.25">
      <c r="C71" s="101">
        <f t="shared" ref="C71:C75" si="26">SUM(D71:E71)</f>
        <v>4598</v>
      </c>
      <c r="D71" s="101">
        <f t="shared" ref="D71:E75" si="27">J71+G71</f>
        <v>1740</v>
      </c>
      <c r="E71" s="101">
        <f t="shared" si="27"/>
        <v>2858</v>
      </c>
      <c r="F71" s="101">
        <f t="shared" ref="F71:F75" si="28">SUM(G71:H71)</f>
        <v>27</v>
      </c>
      <c r="G71" s="101">
        <v>18</v>
      </c>
      <c r="H71" s="101">
        <v>9</v>
      </c>
      <c r="I71" s="101">
        <f t="shared" ref="I71:I75" si="29">SUM(J71:K71)</f>
        <v>4571</v>
      </c>
      <c r="J71" s="101">
        <v>1722</v>
      </c>
      <c r="K71" s="101">
        <v>2849</v>
      </c>
      <c r="L71" s="7" t="s">
        <v>233</v>
      </c>
      <c r="M71" s="509" t="s">
        <v>228</v>
      </c>
      <c r="N71" s="1"/>
      <c r="O71" s="103"/>
      <c r="P71" s="102"/>
    </row>
    <row r="72" spans="3:16" ht="12.75" customHeight="1" thickBot="1" x14ac:dyDescent="0.25">
      <c r="C72" s="101">
        <f t="shared" si="26"/>
        <v>0</v>
      </c>
      <c r="D72" s="101">
        <f t="shared" si="27"/>
        <v>0</v>
      </c>
      <c r="E72" s="101">
        <f t="shared" si="27"/>
        <v>0</v>
      </c>
      <c r="F72" s="101">
        <f t="shared" si="28"/>
        <v>0</v>
      </c>
      <c r="G72" s="101">
        <v>0</v>
      </c>
      <c r="H72" s="101">
        <v>0</v>
      </c>
      <c r="I72" s="101">
        <f t="shared" si="29"/>
        <v>0</v>
      </c>
      <c r="J72" s="101">
        <v>0</v>
      </c>
      <c r="K72" s="101">
        <v>0</v>
      </c>
      <c r="L72" s="7" t="s">
        <v>234</v>
      </c>
      <c r="M72" s="510"/>
      <c r="N72" s="1"/>
      <c r="P72" s="102"/>
    </row>
    <row r="73" spans="3:16" ht="12.75" customHeight="1" thickBot="1" x14ac:dyDescent="0.25">
      <c r="C73" s="101">
        <f t="shared" ref="C73:J73" si="30">SUM(C71:C72)</f>
        <v>4598</v>
      </c>
      <c r="D73" s="101">
        <f t="shared" si="30"/>
        <v>1740</v>
      </c>
      <c r="E73" s="101">
        <f t="shared" si="30"/>
        <v>2858</v>
      </c>
      <c r="F73" s="101">
        <f t="shared" si="30"/>
        <v>27</v>
      </c>
      <c r="G73" s="101">
        <f t="shared" si="30"/>
        <v>18</v>
      </c>
      <c r="H73" s="101">
        <f t="shared" si="30"/>
        <v>9</v>
      </c>
      <c r="I73" s="101">
        <f t="shared" si="30"/>
        <v>4571</v>
      </c>
      <c r="J73" s="101">
        <f t="shared" si="30"/>
        <v>1722</v>
      </c>
      <c r="K73" s="101">
        <f>SUM(K71:K72)</f>
        <v>2849</v>
      </c>
      <c r="L73" s="7" t="s">
        <v>12</v>
      </c>
      <c r="M73" s="511"/>
      <c r="N73" s="1"/>
      <c r="O73" s="103"/>
      <c r="P73" s="103"/>
    </row>
    <row r="74" spans="3:16" ht="12.75" customHeight="1" thickBot="1" x14ac:dyDescent="0.25">
      <c r="C74" s="101">
        <f t="shared" si="26"/>
        <v>25730</v>
      </c>
      <c r="D74" s="101">
        <f t="shared" si="27"/>
        <v>12635</v>
      </c>
      <c r="E74" s="101">
        <f t="shared" si="27"/>
        <v>13095</v>
      </c>
      <c r="F74" s="101">
        <f t="shared" si="28"/>
        <v>5195</v>
      </c>
      <c r="G74" s="101">
        <v>2769</v>
      </c>
      <c r="H74" s="101">
        <v>2426</v>
      </c>
      <c r="I74" s="101">
        <f t="shared" si="29"/>
        <v>20535</v>
      </c>
      <c r="J74" s="101">
        <v>9866</v>
      </c>
      <c r="K74" s="101">
        <v>10669</v>
      </c>
      <c r="L74" s="7" t="s">
        <v>233</v>
      </c>
      <c r="M74" s="509" t="s">
        <v>155</v>
      </c>
      <c r="N74" s="1"/>
      <c r="O74" s="103"/>
      <c r="P74" s="102"/>
    </row>
    <row r="75" spans="3:16" ht="12.75" customHeight="1" thickBot="1" x14ac:dyDescent="0.25">
      <c r="C75" s="101">
        <f t="shared" si="26"/>
        <v>0</v>
      </c>
      <c r="D75" s="101">
        <f t="shared" si="27"/>
        <v>0</v>
      </c>
      <c r="E75" s="101">
        <f t="shared" si="27"/>
        <v>0</v>
      </c>
      <c r="F75" s="101">
        <f t="shared" si="28"/>
        <v>0</v>
      </c>
      <c r="G75" s="101">
        <v>0</v>
      </c>
      <c r="H75" s="101">
        <v>0</v>
      </c>
      <c r="I75" s="101">
        <f t="shared" si="29"/>
        <v>0</v>
      </c>
      <c r="J75" s="101">
        <v>0</v>
      </c>
      <c r="K75" s="101">
        <v>0</v>
      </c>
      <c r="L75" s="7" t="s">
        <v>234</v>
      </c>
      <c r="M75" s="510"/>
      <c r="N75" s="1"/>
      <c r="P75" s="102"/>
    </row>
    <row r="76" spans="3:16" ht="12.75" customHeight="1" thickBot="1" x14ac:dyDescent="0.25">
      <c r="C76" s="101">
        <f t="shared" ref="C76" si="31">SUM(C74:C75)</f>
        <v>25730</v>
      </c>
      <c r="D76" s="101">
        <f t="shared" ref="D76:J76" si="32">SUM(D74:D75)</f>
        <v>12635</v>
      </c>
      <c r="E76" s="101">
        <f t="shared" si="32"/>
        <v>13095</v>
      </c>
      <c r="F76" s="101">
        <f t="shared" si="32"/>
        <v>5195</v>
      </c>
      <c r="G76" s="101">
        <f t="shared" si="32"/>
        <v>2769</v>
      </c>
      <c r="H76" s="101">
        <f t="shared" si="32"/>
        <v>2426</v>
      </c>
      <c r="I76" s="101">
        <f t="shared" si="32"/>
        <v>20535</v>
      </c>
      <c r="J76" s="101">
        <f t="shared" si="32"/>
        <v>9866</v>
      </c>
      <c r="K76" s="101">
        <f>SUM(K74:K75)</f>
        <v>10669</v>
      </c>
      <c r="L76" s="7" t="s">
        <v>12</v>
      </c>
      <c r="M76" s="511"/>
      <c r="N76" s="1"/>
      <c r="O76" s="103"/>
      <c r="P76" s="103"/>
    </row>
    <row r="77" spans="3:16" ht="12.75" customHeight="1" thickBot="1" x14ac:dyDescent="0.25">
      <c r="C77" s="101">
        <f t="shared" ref="C77:K79" si="33">C5+C8+C11+C14+C17+C20+C26+C23+C29+C32+C35+C38+C41+C44+C47+C50+C53+C56+C59+C62+C65+C68+C71+C74</f>
        <v>525149</v>
      </c>
      <c r="D77" s="101">
        <f t="shared" si="33"/>
        <v>321968</v>
      </c>
      <c r="E77" s="101">
        <f t="shared" si="33"/>
        <v>203181</v>
      </c>
      <c r="F77" s="101">
        <f t="shared" si="33"/>
        <v>13670</v>
      </c>
      <c r="G77" s="101">
        <f t="shared" si="33"/>
        <v>6001</v>
      </c>
      <c r="H77" s="101">
        <f t="shared" si="33"/>
        <v>7669</v>
      </c>
      <c r="I77" s="101">
        <f t="shared" si="33"/>
        <v>511479</v>
      </c>
      <c r="J77" s="101">
        <f t="shared" si="33"/>
        <v>315967</v>
      </c>
      <c r="K77" s="101">
        <f>K5+K8+K11+K14+K17+K20+K26+K23+K29+K32+K35+K38+K41+K44+K47+K50+K53+K56+K59+K62+K65+K68+K71+K74</f>
        <v>195512</v>
      </c>
      <c r="L77" s="7" t="s">
        <v>236</v>
      </c>
      <c r="M77" s="516" t="s">
        <v>188</v>
      </c>
      <c r="N77" s="1"/>
      <c r="O77" s="103"/>
      <c r="P77" s="102"/>
    </row>
    <row r="78" spans="3:16" ht="12.75" customHeight="1" thickBot="1" x14ac:dyDescent="0.25">
      <c r="C78" s="101">
        <f t="shared" si="33"/>
        <v>88955</v>
      </c>
      <c r="D78" s="101">
        <f t="shared" si="33"/>
        <v>59659</v>
      </c>
      <c r="E78" s="101">
        <f t="shared" si="33"/>
        <v>29296</v>
      </c>
      <c r="F78" s="101">
        <f t="shared" si="33"/>
        <v>1662</v>
      </c>
      <c r="G78" s="101">
        <f t="shared" si="33"/>
        <v>1094</v>
      </c>
      <c r="H78" s="101">
        <f t="shared" si="33"/>
        <v>568</v>
      </c>
      <c r="I78" s="101">
        <f t="shared" si="33"/>
        <v>87293</v>
      </c>
      <c r="J78" s="101">
        <f t="shared" si="33"/>
        <v>58565</v>
      </c>
      <c r="K78" s="101">
        <f t="shared" si="33"/>
        <v>28728</v>
      </c>
      <c r="L78" s="7" t="s">
        <v>237</v>
      </c>
      <c r="M78" s="517"/>
      <c r="N78" s="1"/>
      <c r="O78" s="103"/>
      <c r="P78" s="102"/>
    </row>
    <row r="79" spans="3:16" ht="12.75" customHeight="1" thickBot="1" x14ac:dyDescent="0.25">
      <c r="C79" s="101">
        <f t="shared" si="33"/>
        <v>614104</v>
      </c>
      <c r="D79" s="101">
        <f t="shared" si="33"/>
        <v>381627</v>
      </c>
      <c r="E79" s="101">
        <f t="shared" si="33"/>
        <v>232477</v>
      </c>
      <c r="F79" s="101">
        <f t="shared" si="33"/>
        <v>15332</v>
      </c>
      <c r="G79" s="101">
        <f t="shared" si="33"/>
        <v>7095</v>
      </c>
      <c r="H79" s="101">
        <f t="shared" si="33"/>
        <v>8237</v>
      </c>
      <c r="I79" s="101">
        <f t="shared" si="33"/>
        <v>598772</v>
      </c>
      <c r="J79" s="101">
        <f t="shared" si="33"/>
        <v>374532</v>
      </c>
      <c r="K79" s="101">
        <f t="shared" si="33"/>
        <v>224240</v>
      </c>
      <c r="L79" s="7" t="s">
        <v>12</v>
      </c>
      <c r="M79" s="518"/>
      <c r="N79" s="1"/>
      <c r="O79" s="103"/>
      <c r="P79" s="102"/>
    </row>
    <row r="80" spans="3:16" ht="12.75" customHeight="1" x14ac:dyDescent="0.2">
      <c r="D80" s="11"/>
    </row>
    <row r="81" spans="3:11" ht="12.75" customHeight="1" x14ac:dyDescent="0.2">
      <c r="C81" s="11"/>
      <c r="D81" s="11"/>
      <c r="E81" s="11"/>
      <c r="F81" s="11"/>
      <c r="G81" s="11"/>
      <c r="H81" s="11"/>
      <c r="I81" s="11"/>
      <c r="J81" s="11"/>
      <c r="K81" s="11"/>
    </row>
    <row r="82" spans="3:11" ht="12.75" customHeight="1" x14ac:dyDescent="0.2">
      <c r="C82" s="11"/>
      <c r="D82" s="11"/>
      <c r="E82" s="11"/>
      <c r="F82" s="11"/>
      <c r="G82" s="11"/>
      <c r="H82" s="11"/>
      <c r="I82" s="11"/>
      <c r="J82" s="11"/>
      <c r="K82" s="11"/>
    </row>
    <row r="84" spans="3:11" ht="12.75" customHeight="1" x14ac:dyDescent="0.2">
      <c r="C84" s="11"/>
      <c r="D84" s="11"/>
      <c r="E84" s="11"/>
      <c r="F84" s="11"/>
      <c r="G84" s="11"/>
      <c r="H84" s="11"/>
      <c r="I84" s="11"/>
      <c r="J84" s="11"/>
      <c r="K84" s="11"/>
    </row>
  </sheetData>
  <autoFilter ref="C3:M79">
    <filterColumn colId="0" showButton="0"/>
    <filterColumn colId="1" showButton="0"/>
    <filterColumn colId="3" showButton="0"/>
    <filterColumn colId="4" showButton="0"/>
    <filterColumn colId="6" showButton="0"/>
    <filterColumn colId="7" showButton="0"/>
    <filterColumn colId="9" showButton="0"/>
  </autoFilter>
  <mergeCells count="31">
    <mergeCell ref="M77:M79"/>
    <mergeCell ref="M59:M61"/>
    <mergeCell ref="M62:M64"/>
    <mergeCell ref="M65:M67"/>
    <mergeCell ref="M68:M70"/>
    <mergeCell ref="M71:M73"/>
    <mergeCell ref="M74:M76"/>
    <mergeCell ref="M56:M58"/>
    <mergeCell ref="M23:M25"/>
    <mergeCell ref="M26:M28"/>
    <mergeCell ref="M29:M31"/>
    <mergeCell ref="M32:M34"/>
    <mergeCell ref="M35:M37"/>
    <mergeCell ref="M38:M40"/>
    <mergeCell ref="M41:M43"/>
    <mergeCell ref="M44:M46"/>
    <mergeCell ref="M47:M49"/>
    <mergeCell ref="M50:M52"/>
    <mergeCell ref="M53:M55"/>
    <mergeCell ref="M20:M22"/>
    <mergeCell ref="C1:M1"/>
    <mergeCell ref="C2:M2"/>
    <mergeCell ref="C3:E3"/>
    <mergeCell ref="F3:H3"/>
    <mergeCell ref="I3:K3"/>
    <mergeCell ref="L3:M4"/>
    <mergeCell ref="M5:M7"/>
    <mergeCell ref="M8:M10"/>
    <mergeCell ref="M11:M13"/>
    <mergeCell ref="M14:M16"/>
    <mergeCell ref="M17:M19"/>
  </mergeCells>
  <pageMargins left="0.39370078740157483" right="0.39370078740157483" top="0.23622047244094491" bottom="0.23622047244094491" header="0.23622047244094491" footer="0.23622047244094491"/>
  <pageSetup paperSize="9" orientation="landscape" r:id="rId1"/>
  <headerFooter alignWithMargins="0"/>
  <rowBreaks count="1" manualBreakCount="1">
    <brk id="43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O73"/>
  <sheetViews>
    <sheetView showGridLines="0" zoomScaleSheetLayoutView="100" workbookViewId="0">
      <selection activeCell="P13" sqref="P13"/>
    </sheetView>
  </sheetViews>
  <sheetFormatPr defaultRowHeight="12.75" customHeight="1" x14ac:dyDescent="0.2"/>
  <cols>
    <col min="1" max="2" width="9" style="2"/>
    <col min="3" max="12" width="9.625" style="2" customWidth="1"/>
    <col min="13" max="13" width="27.375" style="105" customWidth="1"/>
    <col min="14" max="14" width="4.875" style="2" customWidth="1"/>
    <col min="15" max="257" width="9" style="2"/>
    <col min="258" max="267" width="9.625" style="2" customWidth="1"/>
    <col min="268" max="268" width="27.375" style="2" customWidth="1"/>
    <col min="269" max="269" width="4.875" style="2" customWidth="1"/>
    <col min="270" max="513" width="9" style="2"/>
    <col min="514" max="523" width="9.625" style="2" customWidth="1"/>
    <col min="524" max="524" width="27.375" style="2" customWidth="1"/>
    <col min="525" max="525" width="4.875" style="2" customWidth="1"/>
    <col min="526" max="769" width="9" style="2"/>
    <col min="770" max="779" width="9.625" style="2" customWidth="1"/>
    <col min="780" max="780" width="27.375" style="2" customWidth="1"/>
    <col min="781" max="781" width="4.875" style="2" customWidth="1"/>
    <col min="782" max="1025" width="9" style="2"/>
    <col min="1026" max="1035" width="9.625" style="2" customWidth="1"/>
    <col min="1036" max="1036" width="27.375" style="2" customWidth="1"/>
    <col min="1037" max="1037" width="4.875" style="2" customWidth="1"/>
    <col min="1038" max="1281" width="9" style="2"/>
    <col min="1282" max="1291" width="9.625" style="2" customWidth="1"/>
    <col min="1292" max="1292" width="27.375" style="2" customWidth="1"/>
    <col min="1293" max="1293" width="4.875" style="2" customWidth="1"/>
    <col min="1294" max="1537" width="9" style="2"/>
    <col min="1538" max="1547" width="9.625" style="2" customWidth="1"/>
    <col min="1548" max="1548" width="27.375" style="2" customWidth="1"/>
    <col min="1549" max="1549" width="4.875" style="2" customWidth="1"/>
    <col min="1550" max="1793" width="9" style="2"/>
    <col min="1794" max="1803" width="9.625" style="2" customWidth="1"/>
    <col min="1804" max="1804" width="27.375" style="2" customWidth="1"/>
    <col min="1805" max="1805" width="4.875" style="2" customWidth="1"/>
    <col min="1806" max="2049" width="9" style="2"/>
    <col min="2050" max="2059" width="9.625" style="2" customWidth="1"/>
    <col min="2060" max="2060" width="27.375" style="2" customWidth="1"/>
    <col min="2061" max="2061" width="4.875" style="2" customWidth="1"/>
    <col min="2062" max="2305" width="9" style="2"/>
    <col min="2306" max="2315" width="9.625" style="2" customWidth="1"/>
    <col min="2316" max="2316" width="27.375" style="2" customWidth="1"/>
    <col min="2317" max="2317" width="4.875" style="2" customWidth="1"/>
    <col min="2318" max="2561" width="9" style="2"/>
    <col min="2562" max="2571" width="9.625" style="2" customWidth="1"/>
    <col min="2572" max="2572" width="27.375" style="2" customWidth="1"/>
    <col min="2573" max="2573" width="4.875" style="2" customWidth="1"/>
    <col min="2574" max="2817" width="9" style="2"/>
    <col min="2818" max="2827" width="9.625" style="2" customWidth="1"/>
    <col min="2828" max="2828" width="27.375" style="2" customWidth="1"/>
    <col min="2829" max="2829" width="4.875" style="2" customWidth="1"/>
    <col min="2830" max="3073" width="9" style="2"/>
    <col min="3074" max="3083" width="9.625" style="2" customWidth="1"/>
    <col min="3084" max="3084" width="27.375" style="2" customWidth="1"/>
    <col min="3085" max="3085" width="4.875" style="2" customWidth="1"/>
    <col min="3086" max="3329" width="9" style="2"/>
    <col min="3330" max="3339" width="9.625" style="2" customWidth="1"/>
    <col min="3340" max="3340" width="27.375" style="2" customWidth="1"/>
    <col min="3341" max="3341" width="4.875" style="2" customWidth="1"/>
    <col min="3342" max="3585" width="9" style="2"/>
    <col min="3586" max="3595" width="9.625" style="2" customWidth="1"/>
    <col min="3596" max="3596" width="27.375" style="2" customWidth="1"/>
    <col min="3597" max="3597" width="4.875" style="2" customWidth="1"/>
    <col min="3598" max="3841" width="9" style="2"/>
    <col min="3842" max="3851" width="9.625" style="2" customWidth="1"/>
    <col min="3852" max="3852" width="27.375" style="2" customWidth="1"/>
    <col min="3853" max="3853" width="4.875" style="2" customWidth="1"/>
    <col min="3854" max="4097" width="9" style="2"/>
    <col min="4098" max="4107" width="9.625" style="2" customWidth="1"/>
    <col min="4108" max="4108" width="27.375" style="2" customWidth="1"/>
    <col min="4109" max="4109" width="4.875" style="2" customWidth="1"/>
    <col min="4110" max="4353" width="9" style="2"/>
    <col min="4354" max="4363" width="9.625" style="2" customWidth="1"/>
    <col min="4364" max="4364" width="27.375" style="2" customWidth="1"/>
    <col min="4365" max="4365" width="4.875" style="2" customWidth="1"/>
    <col min="4366" max="4609" width="9" style="2"/>
    <col min="4610" max="4619" width="9.625" style="2" customWidth="1"/>
    <col min="4620" max="4620" width="27.375" style="2" customWidth="1"/>
    <col min="4621" max="4621" width="4.875" style="2" customWidth="1"/>
    <col min="4622" max="4865" width="9" style="2"/>
    <col min="4866" max="4875" width="9.625" style="2" customWidth="1"/>
    <col min="4876" max="4876" width="27.375" style="2" customWidth="1"/>
    <col min="4877" max="4877" width="4.875" style="2" customWidth="1"/>
    <col min="4878" max="5121" width="9" style="2"/>
    <col min="5122" max="5131" width="9.625" style="2" customWidth="1"/>
    <col min="5132" max="5132" width="27.375" style="2" customWidth="1"/>
    <col min="5133" max="5133" width="4.875" style="2" customWidth="1"/>
    <col min="5134" max="5377" width="9" style="2"/>
    <col min="5378" max="5387" width="9.625" style="2" customWidth="1"/>
    <col min="5388" max="5388" width="27.375" style="2" customWidth="1"/>
    <col min="5389" max="5389" width="4.875" style="2" customWidth="1"/>
    <col min="5390" max="5633" width="9" style="2"/>
    <col min="5634" max="5643" width="9.625" style="2" customWidth="1"/>
    <col min="5644" max="5644" width="27.375" style="2" customWidth="1"/>
    <col min="5645" max="5645" width="4.875" style="2" customWidth="1"/>
    <col min="5646" max="5889" width="9" style="2"/>
    <col min="5890" max="5899" width="9.625" style="2" customWidth="1"/>
    <col min="5900" max="5900" width="27.375" style="2" customWidth="1"/>
    <col min="5901" max="5901" width="4.875" style="2" customWidth="1"/>
    <col min="5902" max="6145" width="9" style="2"/>
    <col min="6146" max="6155" width="9.625" style="2" customWidth="1"/>
    <col min="6156" max="6156" width="27.375" style="2" customWidth="1"/>
    <col min="6157" max="6157" width="4.875" style="2" customWidth="1"/>
    <col min="6158" max="6401" width="9" style="2"/>
    <col min="6402" max="6411" width="9.625" style="2" customWidth="1"/>
    <col min="6412" max="6412" width="27.375" style="2" customWidth="1"/>
    <col min="6413" max="6413" width="4.875" style="2" customWidth="1"/>
    <col min="6414" max="6657" width="9" style="2"/>
    <col min="6658" max="6667" width="9.625" style="2" customWidth="1"/>
    <col min="6668" max="6668" width="27.375" style="2" customWidth="1"/>
    <col min="6669" max="6669" width="4.875" style="2" customWidth="1"/>
    <col min="6670" max="6913" width="9" style="2"/>
    <col min="6914" max="6923" width="9.625" style="2" customWidth="1"/>
    <col min="6924" max="6924" width="27.375" style="2" customWidth="1"/>
    <col min="6925" max="6925" width="4.875" style="2" customWidth="1"/>
    <col min="6926" max="7169" width="9" style="2"/>
    <col min="7170" max="7179" width="9.625" style="2" customWidth="1"/>
    <col min="7180" max="7180" width="27.375" style="2" customWidth="1"/>
    <col min="7181" max="7181" width="4.875" style="2" customWidth="1"/>
    <col min="7182" max="7425" width="9" style="2"/>
    <col min="7426" max="7435" width="9.625" style="2" customWidth="1"/>
    <col min="7436" max="7436" width="27.375" style="2" customWidth="1"/>
    <col min="7437" max="7437" width="4.875" style="2" customWidth="1"/>
    <col min="7438" max="7681" width="9" style="2"/>
    <col min="7682" max="7691" width="9.625" style="2" customWidth="1"/>
    <col min="7692" max="7692" width="27.375" style="2" customWidth="1"/>
    <col min="7693" max="7693" width="4.875" style="2" customWidth="1"/>
    <col min="7694" max="7937" width="9" style="2"/>
    <col min="7938" max="7947" width="9.625" style="2" customWidth="1"/>
    <col min="7948" max="7948" width="27.375" style="2" customWidth="1"/>
    <col min="7949" max="7949" width="4.875" style="2" customWidth="1"/>
    <col min="7950" max="8193" width="9" style="2"/>
    <col min="8194" max="8203" width="9.625" style="2" customWidth="1"/>
    <col min="8204" max="8204" width="27.375" style="2" customWidth="1"/>
    <col min="8205" max="8205" width="4.875" style="2" customWidth="1"/>
    <col min="8206" max="8449" width="9" style="2"/>
    <col min="8450" max="8459" width="9.625" style="2" customWidth="1"/>
    <col min="8460" max="8460" width="27.375" style="2" customWidth="1"/>
    <col min="8461" max="8461" width="4.875" style="2" customWidth="1"/>
    <col min="8462" max="8705" width="9" style="2"/>
    <col min="8706" max="8715" width="9.625" style="2" customWidth="1"/>
    <col min="8716" max="8716" width="27.375" style="2" customWidth="1"/>
    <col min="8717" max="8717" width="4.875" style="2" customWidth="1"/>
    <col min="8718" max="8961" width="9" style="2"/>
    <col min="8962" max="8971" width="9.625" style="2" customWidth="1"/>
    <col min="8972" max="8972" width="27.375" style="2" customWidth="1"/>
    <col min="8973" max="8973" width="4.875" style="2" customWidth="1"/>
    <col min="8974" max="9217" width="9" style="2"/>
    <col min="9218" max="9227" width="9.625" style="2" customWidth="1"/>
    <col min="9228" max="9228" width="27.375" style="2" customWidth="1"/>
    <col min="9229" max="9229" width="4.875" style="2" customWidth="1"/>
    <col min="9230" max="9473" width="9" style="2"/>
    <col min="9474" max="9483" width="9.625" style="2" customWidth="1"/>
    <col min="9484" max="9484" width="27.375" style="2" customWidth="1"/>
    <col min="9485" max="9485" width="4.875" style="2" customWidth="1"/>
    <col min="9486" max="9729" width="9" style="2"/>
    <col min="9730" max="9739" width="9.625" style="2" customWidth="1"/>
    <col min="9740" max="9740" width="27.375" style="2" customWidth="1"/>
    <col min="9741" max="9741" width="4.875" style="2" customWidth="1"/>
    <col min="9742" max="9985" width="9" style="2"/>
    <col min="9986" max="9995" width="9.625" style="2" customWidth="1"/>
    <col min="9996" max="9996" width="27.375" style="2" customWidth="1"/>
    <col min="9997" max="9997" width="4.875" style="2" customWidth="1"/>
    <col min="9998" max="10241" width="9" style="2"/>
    <col min="10242" max="10251" width="9.625" style="2" customWidth="1"/>
    <col min="10252" max="10252" width="27.375" style="2" customWidth="1"/>
    <col min="10253" max="10253" width="4.875" style="2" customWidth="1"/>
    <col min="10254" max="10497" width="9" style="2"/>
    <col min="10498" max="10507" width="9.625" style="2" customWidth="1"/>
    <col min="10508" max="10508" width="27.375" style="2" customWidth="1"/>
    <col min="10509" max="10509" width="4.875" style="2" customWidth="1"/>
    <col min="10510" max="10753" width="9" style="2"/>
    <col min="10754" max="10763" width="9.625" style="2" customWidth="1"/>
    <col min="10764" max="10764" width="27.375" style="2" customWidth="1"/>
    <col min="10765" max="10765" width="4.875" style="2" customWidth="1"/>
    <col min="10766" max="11009" width="9" style="2"/>
    <col min="11010" max="11019" width="9.625" style="2" customWidth="1"/>
    <col min="11020" max="11020" width="27.375" style="2" customWidth="1"/>
    <col min="11021" max="11021" width="4.875" style="2" customWidth="1"/>
    <col min="11022" max="11265" width="9" style="2"/>
    <col min="11266" max="11275" width="9.625" style="2" customWidth="1"/>
    <col min="11276" max="11276" width="27.375" style="2" customWidth="1"/>
    <col min="11277" max="11277" width="4.875" style="2" customWidth="1"/>
    <col min="11278" max="11521" width="9" style="2"/>
    <col min="11522" max="11531" width="9.625" style="2" customWidth="1"/>
    <col min="11532" max="11532" width="27.375" style="2" customWidth="1"/>
    <col min="11533" max="11533" width="4.875" style="2" customWidth="1"/>
    <col min="11534" max="11777" width="9" style="2"/>
    <col min="11778" max="11787" width="9.625" style="2" customWidth="1"/>
    <col min="11788" max="11788" width="27.375" style="2" customWidth="1"/>
    <col min="11789" max="11789" width="4.875" style="2" customWidth="1"/>
    <col min="11790" max="12033" width="9" style="2"/>
    <col min="12034" max="12043" width="9.625" style="2" customWidth="1"/>
    <col min="12044" max="12044" width="27.375" style="2" customWidth="1"/>
    <col min="12045" max="12045" width="4.875" style="2" customWidth="1"/>
    <col min="12046" max="12289" width="9" style="2"/>
    <col min="12290" max="12299" width="9.625" style="2" customWidth="1"/>
    <col min="12300" max="12300" width="27.375" style="2" customWidth="1"/>
    <col min="12301" max="12301" width="4.875" style="2" customWidth="1"/>
    <col min="12302" max="12545" width="9" style="2"/>
    <col min="12546" max="12555" width="9.625" style="2" customWidth="1"/>
    <col min="12556" max="12556" width="27.375" style="2" customWidth="1"/>
    <col min="12557" max="12557" width="4.875" style="2" customWidth="1"/>
    <col min="12558" max="12801" width="9" style="2"/>
    <col min="12802" max="12811" width="9.625" style="2" customWidth="1"/>
    <col min="12812" max="12812" width="27.375" style="2" customWidth="1"/>
    <col min="12813" max="12813" width="4.875" style="2" customWidth="1"/>
    <col min="12814" max="13057" width="9" style="2"/>
    <col min="13058" max="13067" width="9.625" style="2" customWidth="1"/>
    <col min="13068" max="13068" width="27.375" style="2" customWidth="1"/>
    <col min="13069" max="13069" width="4.875" style="2" customWidth="1"/>
    <col min="13070" max="13313" width="9" style="2"/>
    <col min="13314" max="13323" width="9.625" style="2" customWidth="1"/>
    <col min="13324" max="13324" width="27.375" style="2" customWidth="1"/>
    <col min="13325" max="13325" width="4.875" style="2" customWidth="1"/>
    <col min="13326" max="13569" width="9" style="2"/>
    <col min="13570" max="13579" width="9.625" style="2" customWidth="1"/>
    <col min="13580" max="13580" width="27.375" style="2" customWidth="1"/>
    <col min="13581" max="13581" width="4.875" style="2" customWidth="1"/>
    <col min="13582" max="13825" width="9" style="2"/>
    <col min="13826" max="13835" width="9.625" style="2" customWidth="1"/>
    <col min="13836" max="13836" width="27.375" style="2" customWidth="1"/>
    <col min="13837" max="13837" width="4.875" style="2" customWidth="1"/>
    <col min="13838" max="14081" width="9" style="2"/>
    <col min="14082" max="14091" width="9.625" style="2" customWidth="1"/>
    <col min="14092" max="14092" width="27.375" style="2" customWidth="1"/>
    <col min="14093" max="14093" width="4.875" style="2" customWidth="1"/>
    <col min="14094" max="14337" width="9" style="2"/>
    <col min="14338" max="14347" width="9.625" style="2" customWidth="1"/>
    <col min="14348" max="14348" width="27.375" style="2" customWidth="1"/>
    <col min="14349" max="14349" width="4.875" style="2" customWidth="1"/>
    <col min="14350" max="14593" width="9" style="2"/>
    <col min="14594" max="14603" width="9.625" style="2" customWidth="1"/>
    <col min="14604" max="14604" width="27.375" style="2" customWidth="1"/>
    <col min="14605" max="14605" width="4.875" style="2" customWidth="1"/>
    <col min="14606" max="14849" width="9" style="2"/>
    <col min="14850" max="14859" width="9.625" style="2" customWidth="1"/>
    <col min="14860" max="14860" width="27.375" style="2" customWidth="1"/>
    <col min="14861" max="14861" width="4.875" style="2" customWidth="1"/>
    <col min="14862" max="15105" width="9" style="2"/>
    <col min="15106" max="15115" width="9.625" style="2" customWidth="1"/>
    <col min="15116" max="15116" width="27.375" style="2" customWidth="1"/>
    <col min="15117" max="15117" width="4.875" style="2" customWidth="1"/>
    <col min="15118" max="15361" width="9" style="2"/>
    <col min="15362" max="15371" width="9.625" style="2" customWidth="1"/>
    <col min="15372" max="15372" width="27.375" style="2" customWidth="1"/>
    <col min="15373" max="15373" width="4.875" style="2" customWidth="1"/>
    <col min="15374" max="15617" width="9" style="2"/>
    <col min="15618" max="15627" width="9.625" style="2" customWidth="1"/>
    <col min="15628" max="15628" width="27.375" style="2" customWidth="1"/>
    <col min="15629" max="15629" width="4.875" style="2" customWidth="1"/>
    <col min="15630" max="15873" width="9" style="2"/>
    <col min="15874" max="15883" width="9.625" style="2" customWidth="1"/>
    <col min="15884" max="15884" width="27.375" style="2" customWidth="1"/>
    <col min="15885" max="15885" width="4.875" style="2" customWidth="1"/>
    <col min="15886" max="16129" width="9" style="2"/>
    <col min="16130" max="16139" width="9.625" style="2" customWidth="1"/>
    <col min="16140" max="16140" width="27.375" style="2" customWidth="1"/>
    <col min="16141" max="16141" width="4.875" style="2" customWidth="1"/>
    <col min="16142" max="16384" width="9" style="2"/>
  </cols>
  <sheetData>
    <row r="1" spans="3:15" ht="12.75" customHeight="1" x14ac:dyDescent="0.2">
      <c r="C1" s="506" t="s">
        <v>610</v>
      </c>
      <c r="D1" s="506"/>
      <c r="E1" s="506"/>
      <c r="F1" s="506"/>
      <c r="G1" s="506"/>
      <c r="H1" s="506"/>
      <c r="I1" s="506"/>
      <c r="J1" s="506"/>
      <c r="K1" s="506"/>
      <c r="L1" s="506"/>
      <c r="M1" s="506"/>
      <c r="N1" s="1"/>
    </row>
    <row r="2" spans="3:15" ht="12.75" customHeight="1" thickBot="1" x14ac:dyDescent="0.25">
      <c r="C2" s="507" t="s">
        <v>611</v>
      </c>
      <c r="D2" s="507"/>
      <c r="E2" s="507"/>
      <c r="F2" s="507"/>
      <c r="G2" s="507"/>
      <c r="H2" s="507"/>
      <c r="I2" s="507"/>
      <c r="J2" s="507"/>
      <c r="K2" s="507"/>
      <c r="L2" s="507"/>
      <c r="M2" s="507"/>
      <c r="N2" s="1"/>
    </row>
    <row r="3" spans="3:15" ht="12.75" customHeight="1" thickBot="1" x14ac:dyDescent="0.25">
      <c r="C3" s="508" t="s">
        <v>4</v>
      </c>
      <c r="D3" s="508"/>
      <c r="E3" s="508"/>
      <c r="F3" s="508" t="s">
        <v>145</v>
      </c>
      <c r="G3" s="508"/>
      <c r="H3" s="508"/>
      <c r="I3" s="508" t="s">
        <v>146</v>
      </c>
      <c r="J3" s="508"/>
      <c r="K3" s="508"/>
      <c r="L3" s="519" t="s">
        <v>240</v>
      </c>
      <c r="M3" s="520"/>
      <c r="N3" s="1"/>
    </row>
    <row r="4" spans="3:15" ht="12.75" customHeight="1" thickBot="1" x14ac:dyDescent="0.25">
      <c r="C4" s="92" t="s">
        <v>227</v>
      </c>
      <c r="D4" s="92" t="s">
        <v>10</v>
      </c>
      <c r="E4" s="92" t="s">
        <v>9</v>
      </c>
      <c r="F4" s="92" t="s">
        <v>227</v>
      </c>
      <c r="G4" s="92" t="s">
        <v>10</v>
      </c>
      <c r="H4" s="92" t="s">
        <v>9</v>
      </c>
      <c r="I4" s="92" t="s">
        <v>227</v>
      </c>
      <c r="J4" s="92" t="s">
        <v>10</v>
      </c>
      <c r="K4" s="92" t="s">
        <v>9</v>
      </c>
      <c r="L4" s="521"/>
      <c r="M4" s="522"/>
      <c r="N4" s="1"/>
    </row>
    <row r="5" spans="3:15" ht="12.75" customHeight="1" thickBot="1" x14ac:dyDescent="0.25">
      <c r="C5" s="94">
        <f>SUM(D5:E5)</f>
        <v>19639</v>
      </c>
      <c r="D5" s="94">
        <f>J5+G5</f>
        <v>7149</v>
      </c>
      <c r="E5" s="94">
        <f>K5+H5</f>
        <v>12490</v>
      </c>
      <c r="F5" s="94">
        <f>SUM(G5:H5)</f>
        <v>621</v>
      </c>
      <c r="G5" s="94">
        <v>265</v>
      </c>
      <c r="H5" s="94">
        <v>356</v>
      </c>
      <c r="I5" s="94">
        <f>SUM(J5:K5)</f>
        <v>19018</v>
      </c>
      <c r="J5" s="94">
        <v>6884</v>
      </c>
      <c r="K5" s="94">
        <v>12134</v>
      </c>
      <c r="L5" s="104" t="s">
        <v>233</v>
      </c>
      <c r="M5" s="526" t="s">
        <v>161</v>
      </c>
      <c r="N5" s="1"/>
      <c r="O5" s="103"/>
    </row>
    <row r="6" spans="3:15" ht="12.75" customHeight="1" thickBot="1" x14ac:dyDescent="0.25">
      <c r="C6" s="94">
        <f t="shared" ref="C6" si="0">SUM(D6:E6)</f>
        <v>185</v>
      </c>
      <c r="D6" s="94">
        <f t="shared" ref="D6:E6" si="1">J6+G6</f>
        <v>185</v>
      </c>
      <c r="E6" s="94">
        <f t="shared" si="1"/>
        <v>0</v>
      </c>
      <c r="F6" s="94">
        <f t="shared" ref="F6" si="2">SUM(G6:H6)</f>
        <v>2</v>
      </c>
      <c r="G6" s="94">
        <v>2</v>
      </c>
      <c r="H6" s="94">
        <v>0</v>
      </c>
      <c r="I6" s="94">
        <f t="shared" ref="I6" si="3">SUM(J6:K6)</f>
        <v>183</v>
      </c>
      <c r="J6" s="94">
        <v>183</v>
      </c>
      <c r="K6" s="94">
        <v>0</v>
      </c>
      <c r="L6" s="104" t="s">
        <v>234</v>
      </c>
      <c r="M6" s="527"/>
      <c r="N6" s="1"/>
    </row>
    <row r="7" spans="3:15" ht="12.75" customHeight="1" thickBot="1" x14ac:dyDescent="0.25">
      <c r="C7" s="94">
        <f t="shared" ref="C7:J7" si="4">SUM(C5:C6)</f>
        <v>19824</v>
      </c>
      <c r="D7" s="94">
        <f t="shared" si="4"/>
        <v>7334</v>
      </c>
      <c r="E7" s="94">
        <f t="shared" si="4"/>
        <v>12490</v>
      </c>
      <c r="F7" s="94">
        <f t="shared" si="4"/>
        <v>623</v>
      </c>
      <c r="G7" s="94">
        <f t="shared" si="4"/>
        <v>267</v>
      </c>
      <c r="H7" s="94">
        <f t="shared" si="4"/>
        <v>356</v>
      </c>
      <c r="I7" s="94">
        <f t="shared" si="4"/>
        <v>19201</v>
      </c>
      <c r="J7" s="94">
        <f t="shared" si="4"/>
        <v>7067</v>
      </c>
      <c r="K7" s="94">
        <f>SUM(K5:K6)</f>
        <v>12134</v>
      </c>
      <c r="L7" s="104" t="s">
        <v>12</v>
      </c>
      <c r="M7" s="528"/>
      <c r="N7" s="1"/>
      <c r="O7" s="103"/>
    </row>
    <row r="8" spans="3:15" ht="12.75" customHeight="1" thickBot="1" x14ac:dyDescent="0.25">
      <c r="C8" s="94">
        <f t="shared" ref="C8:C9" si="5">SUM(D8:E8)</f>
        <v>42631</v>
      </c>
      <c r="D8" s="94">
        <f t="shared" ref="D8:E9" si="6">J8+G8</f>
        <v>21462</v>
      </c>
      <c r="E8" s="94">
        <f t="shared" si="6"/>
        <v>21169</v>
      </c>
      <c r="F8" s="94">
        <f t="shared" ref="F8:F9" si="7">SUM(G8:H8)</f>
        <v>2993</v>
      </c>
      <c r="G8" s="94">
        <v>131</v>
      </c>
      <c r="H8" s="94">
        <v>2862</v>
      </c>
      <c r="I8" s="94">
        <f t="shared" ref="I8:I9" si="8">SUM(J8:K8)</f>
        <v>39638</v>
      </c>
      <c r="J8" s="94">
        <v>21331</v>
      </c>
      <c r="K8" s="94">
        <v>18307</v>
      </c>
      <c r="L8" s="104" t="s">
        <v>233</v>
      </c>
      <c r="M8" s="526" t="s">
        <v>162</v>
      </c>
      <c r="N8" s="1"/>
      <c r="O8" s="103"/>
    </row>
    <row r="9" spans="3:15" ht="12.75" customHeight="1" thickBot="1" x14ac:dyDescent="0.25">
      <c r="C9" s="94">
        <f t="shared" si="5"/>
        <v>14952</v>
      </c>
      <c r="D9" s="94">
        <f t="shared" si="6"/>
        <v>12103</v>
      </c>
      <c r="E9" s="94">
        <f t="shared" si="6"/>
        <v>2849</v>
      </c>
      <c r="F9" s="94">
        <f t="shared" si="7"/>
        <v>67</v>
      </c>
      <c r="G9" s="94">
        <v>18</v>
      </c>
      <c r="H9" s="94">
        <v>49</v>
      </c>
      <c r="I9" s="94">
        <f t="shared" si="8"/>
        <v>14885</v>
      </c>
      <c r="J9" s="94">
        <v>12085</v>
      </c>
      <c r="K9" s="94">
        <v>2800</v>
      </c>
      <c r="L9" s="104" t="s">
        <v>234</v>
      </c>
      <c r="M9" s="527"/>
      <c r="N9" s="1"/>
    </row>
    <row r="10" spans="3:15" ht="12.75" customHeight="1" thickBot="1" x14ac:dyDescent="0.25">
      <c r="C10" s="94">
        <f t="shared" ref="C10:J10" si="9">SUM(C8:C9)</f>
        <v>57583</v>
      </c>
      <c r="D10" s="94">
        <f t="shared" si="9"/>
        <v>33565</v>
      </c>
      <c r="E10" s="94">
        <f t="shared" si="9"/>
        <v>24018</v>
      </c>
      <c r="F10" s="94">
        <f t="shared" si="9"/>
        <v>3060</v>
      </c>
      <c r="G10" s="94">
        <f t="shared" si="9"/>
        <v>149</v>
      </c>
      <c r="H10" s="94">
        <f t="shared" si="9"/>
        <v>2911</v>
      </c>
      <c r="I10" s="94">
        <f t="shared" si="9"/>
        <v>54523</v>
      </c>
      <c r="J10" s="94">
        <f t="shared" si="9"/>
        <v>33416</v>
      </c>
      <c r="K10" s="94">
        <f>SUM(K8:K9)</f>
        <v>21107</v>
      </c>
      <c r="L10" s="104" t="s">
        <v>12</v>
      </c>
      <c r="M10" s="528"/>
      <c r="N10" s="1"/>
      <c r="O10" s="103"/>
    </row>
    <row r="11" spans="3:15" ht="12.75" customHeight="1" thickBot="1" x14ac:dyDescent="0.25">
      <c r="C11" s="94">
        <f t="shared" ref="C11:C12" si="10">SUM(D11:E11)</f>
        <v>11093</v>
      </c>
      <c r="D11" s="94">
        <f t="shared" ref="D11:E12" si="11">J11+G11</f>
        <v>4753</v>
      </c>
      <c r="E11" s="94">
        <f t="shared" si="11"/>
        <v>6340</v>
      </c>
      <c r="F11" s="94">
        <f t="shared" ref="F11:F12" si="12">SUM(G11:H11)</f>
        <v>17</v>
      </c>
      <c r="G11" s="94">
        <v>11</v>
      </c>
      <c r="H11" s="94">
        <v>6</v>
      </c>
      <c r="I11" s="94">
        <f t="shared" ref="I11:I12" si="13">SUM(J11:K11)</f>
        <v>11076</v>
      </c>
      <c r="J11" s="94">
        <v>4742</v>
      </c>
      <c r="K11" s="94">
        <v>6334</v>
      </c>
      <c r="L11" s="104" t="s">
        <v>233</v>
      </c>
      <c r="M11" s="526" t="s">
        <v>163</v>
      </c>
      <c r="N11" s="1"/>
      <c r="O11" s="103"/>
    </row>
    <row r="12" spans="3:15" ht="12.75" customHeight="1" thickBot="1" x14ac:dyDescent="0.25">
      <c r="C12" s="94">
        <f t="shared" si="10"/>
        <v>1577</v>
      </c>
      <c r="D12" s="94">
        <f t="shared" si="11"/>
        <v>1577</v>
      </c>
      <c r="E12" s="94">
        <f t="shared" si="11"/>
        <v>0</v>
      </c>
      <c r="F12" s="94">
        <f t="shared" si="12"/>
        <v>0</v>
      </c>
      <c r="G12" s="94">
        <v>0</v>
      </c>
      <c r="H12" s="94">
        <v>0</v>
      </c>
      <c r="I12" s="94">
        <f t="shared" si="13"/>
        <v>1577</v>
      </c>
      <c r="J12" s="94">
        <v>1577</v>
      </c>
      <c r="K12" s="94">
        <v>0</v>
      </c>
      <c r="L12" s="104" t="s">
        <v>234</v>
      </c>
      <c r="M12" s="527"/>
      <c r="N12" s="1"/>
    </row>
    <row r="13" spans="3:15" ht="12.75" customHeight="1" thickBot="1" x14ac:dyDescent="0.25">
      <c r="C13" s="94">
        <f t="shared" ref="C13:J13" si="14">SUM(C11:C12)</f>
        <v>12670</v>
      </c>
      <c r="D13" s="94">
        <f t="shared" si="14"/>
        <v>6330</v>
      </c>
      <c r="E13" s="94">
        <f t="shared" si="14"/>
        <v>6340</v>
      </c>
      <c r="F13" s="94">
        <f t="shared" si="14"/>
        <v>17</v>
      </c>
      <c r="G13" s="94">
        <f t="shared" si="14"/>
        <v>11</v>
      </c>
      <c r="H13" s="94">
        <f t="shared" si="14"/>
        <v>6</v>
      </c>
      <c r="I13" s="94">
        <f t="shared" si="14"/>
        <v>12653</v>
      </c>
      <c r="J13" s="94">
        <f t="shared" si="14"/>
        <v>6319</v>
      </c>
      <c r="K13" s="94">
        <f>SUM(K11:K12)</f>
        <v>6334</v>
      </c>
      <c r="L13" s="104" t="s">
        <v>12</v>
      </c>
      <c r="M13" s="528"/>
      <c r="N13" s="1"/>
      <c r="O13" s="103"/>
    </row>
    <row r="14" spans="3:15" ht="12.75" customHeight="1" thickBot="1" x14ac:dyDescent="0.25">
      <c r="C14" s="94">
        <f t="shared" ref="C14:C15" si="15">SUM(D14:E14)</f>
        <v>68532</v>
      </c>
      <c r="D14" s="94">
        <f t="shared" ref="D14:E15" si="16">J14+G14</f>
        <v>53744</v>
      </c>
      <c r="E14" s="94">
        <f t="shared" si="16"/>
        <v>14788</v>
      </c>
      <c r="F14" s="94">
        <f t="shared" ref="F14:F15" si="17">SUM(G14:H14)</f>
        <v>822</v>
      </c>
      <c r="G14" s="94">
        <v>414</v>
      </c>
      <c r="H14" s="94">
        <v>408</v>
      </c>
      <c r="I14" s="94">
        <f t="shared" ref="I14:I15" si="18">SUM(J14:K14)</f>
        <v>67710</v>
      </c>
      <c r="J14" s="94">
        <v>53330</v>
      </c>
      <c r="K14" s="94">
        <v>14380</v>
      </c>
      <c r="L14" s="104" t="s">
        <v>233</v>
      </c>
      <c r="M14" s="526" t="s">
        <v>164</v>
      </c>
      <c r="N14" s="1"/>
      <c r="O14" s="103"/>
    </row>
    <row r="15" spans="3:15" ht="12.75" customHeight="1" thickBot="1" x14ac:dyDescent="0.25">
      <c r="C15" s="94">
        <f t="shared" si="15"/>
        <v>15591</v>
      </c>
      <c r="D15" s="94">
        <f t="shared" si="16"/>
        <v>13891</v>
      </c>
      <c r="E15" s="94">
        <f t="shared" si="16"/>
        <v>1700</v>
      </c>
      <c r="F15" s="94">
        <f t="shared" si="17"/>
        <v>29</v>
      </c>
      <c r="G15" s="94">
        <v>29</v>
      </c>
      <c r="H15" s="94">
        <v>0</v>
      </c>
      <c r="I15" s="94">
        <f t="shared" si="18"/>
        <v>15562</v>
      </c>
      <c r="J15" s="94">
        <v>13862</v>
      </c>
      <c r="K15" s="94">
        <v>1700</v>
      </c>
      <c r="L15" s="104" t="s">
        <v>234</v>
      </c>
      <c r="M15" s="527"/>
      <c r="N15" s="1"/>
    </row>
    <row r="16" spans="3:15" ht="12.75" customHeight="1" thickBot="1" x14ac:dyDescent="0.25">
      <c r="C16" s="94">
        <f t="shared" ref="C16:J16" si="19">SUM(C14:C15)</f>
        <v>84123</v>
      </c>
      <c r="D16" s="94">
        <f t="shared" si="19"/>
        <v>67635</v>
      </c>
      <c r="E16" s="94">
        <f t="shared" si="19"/>
        <v>16488</v>
      </c>
      <c r="F16" s="94">
        <f t="shared" si="19"/>
        <v>851</v>
      </c>
      <c r="G16" s="94">
        <f t="shared" si="19"/>
        <v>443</v>
      </c>
      <c r="H16" s="94">
        <f t="shared" si="19"/>
        <v>408</v>
      </c>
      <c r="I16" s="94">
        <f t="shared" si="19"/>
        <v>83272</v>
      </c>
      <c r="J16" s="94">
        <f t="shared" si="19"/>
        <v>67192</v>
      </c>
      <c r="K16" s="94">
        <f>SUM(K14:K15)</f>
        <v>16080</v>
      </c>
      <c r="L16" s="104" t="s">
        <v>12</v>
      </c>
      <c r="M16" s="528"/>
      <c r="N16" s="1"/>
      <c r="O16" s="103"/>
    </row>
    <row r="17" spans="3:15" ht="12.75" customHeight="1" thickBot="1" x14ac:dyDescent="0.25">
      <c r="C17" s="94">
        <f t="shared" ref="C17:C18" si="20">SUM(D17:E17)</f>
        <v>1884</v>
      </c>
      <c r="D17" s="94">
        <f t="shared" ref="D17:E18" si="21">J17+G17</f>
        <v>1395</v>
      </c>
      <c r="E17" s="94">
        <f t="shared" si="21"/>
        <v>489</v>
      </c>
      <c r="F17" s="94">
        <f t="shared" ref="F17:F18" si="22">SUM(G17:H17)</f>
        <v>308</v>
      </c>
      <c r="G17" s="94">
        <v>301</v>
      </c>
      <c r="H17" s="94">
        <v>7</v>
      </c>
      <c r="I17" s="94">
        <f t="shared" ref="I17:I18" si="23">SUM(J17:K17)</f>
        <v>1576</v>
      </c>
      <c r="J17" s="94">
        <v>1094</v>
      </c>
      <c r="K17" s="94">
        <v>482</v>
      </c>
      <c r="L17" s="104" t="s">
        <v>233</v>
      </c>
      <c r="M17" s="526" t="s">
        <v>165</v>
      </c>
      <c r="N17" s="1"/>
      <c r="O17" s="103"/>
    </row>
    <row r="18" spans="3:15" ht="12.75" customHeight="1" thickBot="1" x14ac:dyDescent="0.25">
      <c r="C18" s="94">
        <f t="shared" si="20"/>
        <v>0</v>
      </c>
      <c r="D18" s="94">
        <f t="shared" si="21"/>
        <v>0</v>
      </c>
      <c r="E18" s="94">
        <f t="shared" si="21"/>
        <v>0</v>
      </c>
      <c r="F18" s="94">
        <f t="shared" si="22"/>
        <v>0</v>
      </c>
      <c r="G18" s="94">
        <v>0</v>
      </c>
      <c r="H18" s="94">
        <v>0</v>
      </c>
      <c r="I18" s="94">
        <f t="shared" si="23"/>
        <v>0</v>
      </c>
      <c r="J18" s="94">
        <v>0</v>
      </c>
      <c r="K18" s="94">
        <v>0</v>
      </c>
      <c r="L18" s="104" t="s">
        <v>234</v>
      </c>
      <c r="M18" s="527"/>
      <c r="N18" s="1"/>
    </row>
    <row r="19" spans="3:15" ht="12.75" customHeight="1" thickBot="1" x14ac:dyDescent="0.25">
      <c r="C19" s="94">
        <f t="shared" ref="C19:J19" si="24">SUM(C17:C18)</f>
        <v>1884</v>
      </c>
      <c r="D19" s="94">
        <f t="shared" si="24"/>
        <v>1395</v>
      </c>
      <c r="E19" s="94">
        <f t="shared" si="24"/>
        <v>489</v>
      </c>
      <c r="F19" s="94">
        <f t="shared" si="24"/>
        <v>308</v>
      </c>
      <c r="G19" s="94">
        <f t="shared" si="24"/>
        <v>301</v>
      </c>
      <c r="H19" s="94">
        <f t="shared" si="24"/>
        <v>7</v>
      </c>
      <c r="I19" s="94">
        <f t="shared" si="24"/>
        <v>1576</v>
      </c>
      <c r="J19" s="94">
        <f t="shared" si="24"/>
        <v>1094</v>
      </c>
      <c r="K19" s="94">
        <f>SUM(K17:K18)</f>
        <v>482</v>
      </c>
      <c r="L19" s="104" t="s">
        <v>12</v>
      </c>
      <c r="M19" s="528"/>
      <c r="N19" s="1"/>
      <c r="O19" s="103"/>
    </row>
    <row r="20" spans="3:15" ht="12.75" customHeight="1" thickBot="1" x14ac:dyDescent="0.25">
      <c r="C20" s="94">
        <f t="shared" ref="C20:C21" si="25">SUM(D20:E20)</f>
        <v>105747</v>
      </c>
      <c r="D20" s="94">
        <f t="shared" ref="D20:E21" si="26">J20+G20</f>
        <v>74266</v>
      </c>
      <c r="E20" s="94">
        <f t="shared" si="26"/>
        <v>31481</v>
      </c>
      <c r="F20" s="94">
        <f t="shared" ref="F20:F21" si="27">SUM(G20:H20)</f>
        <v>991</v>
      </c>
      <c r="G20" s="94">
        <v>738</v>
      </c>
      <c r="H20" s="94">
        <v>253</v>
      </c>
      <c r="I20" s="94">
        <f t="shared" ref="I20:I21" si="28">SUM(J20:K20)</f>
        <v>104756</v>
      </c>
      <c r="J20" s="94">
        <v>73528</v>
      </c>
      <c r="K20" s="94">
        <v>31228</v>
      </c>
      <c r="L20" s="104" t="s">
        <v>233</v>
      </c>
      <c r="M20" s="526" t="s">
        <v>166</v>
      </c>
      <c r="N20" s="1"/>
      <c r="O20" s="103"/>
    </row>
    <row r="21" spans="3:15" ht="12.75" customHeight="1" thickBot="1" x14ac:dyDescent="0.25">
      <c r="C21" s="94">
        <f t="shared" si="25"/>
        <v>30376</v>
      </c>
      <c r="D21" s="94">
        <f t="shared" si="26"/>
        <v>20801</v>
      </c>
      <c r="E21" s="94">
        <f t="shared" si="26"/>
        <v>9575</v>
      </c>
      <c r="F21" s="94">
        <f t="shared" si="27"/>
        <v>585</v>
      </c>
      <c r="G21" s="94">
        <v>485</v>
      </c>
      <c r="H21" s="94">
        <v>100</v>
      </c>
      <c r="I21" s="94">
        <f t="shared" si="28"/>
        <v>29791</v>
      </c>
      <c r="J21" s="94">
        <v>20316</v>
      </c>
      <c r="K21" s="94">
        <v>9475</v>
      </c>
      <c r="L21" s="104" t="s">
        <v>234</v>
      </c>
      <c r="M21" s="527"/>
      <c r="N21" s="1"/>
    </row>
    <row r="22" spans="3:15" ht="12.75" customHeight="1" thickBot="1" x14ac:dyDescent="0.25">
      <c r="C22" s="94">
        <f t="shared" ref="C22:J22" si="29">SUM(C20:C21)</f>
        <v>136123</v>
      </c>
      <c r="D22" s="94">
        <f t="shared" si="29"/>
        <v>95067</v>
      </c>
      <c r="E22" s="94">
        <f t="shared" si="29"/>
        <v>41056</v>
      </c>
      <c r="F22" s="94">
        <f t="shared" si="29"/>
        <v>1576</v>
      </c>
      <c r="G22" s="94">
        <f t="shared" si="29"/>
        <v>1223</v>
      </c>
      <c r="H22" s="94">
        <f t="shared" si="29"/>
        <v>353</v>
      </c>
      <c r="I22" s="94">
        <f t="shared" si="29"/>
        <v>134547</v>
      </c>
      <c r="J22" s="94">
        <f t="shared" si="29"/>
        <v>93844</v>
      </c>
      <c r="K22" s="94">
        <f>SUM(K20:K21)</f>
        <v>40703</v>
      </c>
      <c r="L22" s="104" t="s">
        <v>12</v>
      </c>
      <c r="M22" s="528"/>
      <c r="N22" s="1"/>
      <c r="O22" s="103"/>
    </row>
    <row r="23" spans="3:15" ht="12.75" customHeight="1" thickBot="1" x14ac:dyDescent="0.25">
      <c r="C23" s="94">
        <f t="shared" ref="C23:C24" si="30">SUM(D23:E23)</f>
        <v>32704</v>
      </c>
      <c r="D23" s="94">
        <f t="shared" ref="D23:E24" si="31">J23+G23</f>
        <v>29456</v>
      </c>
      <c r="E23" s="94">
        <f t="shared" si="31"/>
        <v>3248</v>
      </c>
      <c r="F23" s="94">
        <f t="shared" ref="F23:F24" si="32">SUM(G23:H23)</f>
        <v>134</v>
      </c>
      <c r="G23" s="94">
        <v>101</v>
      </c>
      <c r="H23" s="94">
        <v>33</v>
      </c>
      <c r="I23" s="94">
        <f t="shared" ref="I23:I24" si="33">SUM(J23:K23)</f>
        <v>32570</v>
      </c>
      <c r="J23" s="94">
        <v>29355</v>
      </c>
      <c r="K23" s="94">
        <v>3215</v>
      </c>
      <c r="L23" s="104" t="s">
        <v>233</v>
      </c>
      <c r="M23" s="526" t="s">
        <v>167</v>
      </c>
      <c r="N23" s="1"/>
      <c r="O23" s="103"/>
    </row>
    <row r="24" spans="3:15" ht="12.75" customHeight="1" thickBot="1" x14ac:dyDescent="0.25">
      <c r="C24" s="94">
        <f t="shared" si="30"/>
        <v>2224</v>
      </c>
      <c r="D24" s="94">
        <f t="shared" si="31"/>
        <v>2224</v>
      </c>
      <c r="E24" s="94">
        <f t="shared" si="31"/>
        <v>0</v>
      </c>
      <c r="F24" s="94">
        <f t="shared" si="32"/>
        <v>4</v>
      </c>
      <c r="G24" s="94">
        <v>4</v>
      </c>
      <c r="H24" s="94">
        <v>0</v>
      </c>
      <c r="I24" s="94">
        <f t="shared" si="33"/>
        <v>2220</v>
      </c>
      <c r="J24" s="94">
        <v>2220</v>
      </c>
      <c r="K24" s="94">
        <v>0</v>
      </c>
      <c r="L24" s="104" t="s">
        <v>234</v>
      </c>
      <c r="M24" s="527"/>
      <c r="N24" s="1"/>
    </row>
    <row r="25" spans="3:15" ht="12.75" customHeight="1" thickBot="1" x14ac:dyDescent="0.25">
      <c r="C25" s="94">
        <f t="shared" ref="C25:J25" si="34">SUM(C23:C24)</f>
        <v>34928</v>
      </c>
      <c r="D25" s="94">
        <f t="shared" si="34"/>
        <v>31680</v>
      </c>
      <c r="E25" s="94">
        <f t="shared" si="34"/>
        <v>3248</v>
      </c>
      <c r="F25" s="94">
        <f t="shared" si="34"/>
        <v>138</v>
      </c>
      <c r="G25" s="94">
        <f t="shared" si="34"/>
        <v>105</v>
      </c>
      <c r="H25" s="94">
        <f t="shared" si="34"/>
        <v>33</v>
      </c>
      <c r="I25" s="94">
        <f t="shared" si="34"/>
        <v>34790</v>
      </c>
      <c r="J25" s="94">
        <f t="shared" si="34"/>
        <v>31575</v>
      </c>
      <c r="K25" s="94">
        <f>SUM(K23:K24)</f>
        <v>3215</v>
      </c>
      <c r="L25" s="104" t="s">
        <v>12</v>
      </c>
      <c r="M25" s="528"/>
      <c r="N25" s="1"/>
      <c r="O25" s="103"/>
    </row>
    <row r="26" spans="3:15" ht="12.75" customHeight="1" thickBot="1" x14ac:dyDescent="0.25">
      <c r="C26" s="94">
        <f t="shared" ref="C26:C27" si="35">SUM(D26:E26)</f>
        <v>11710</v>
      </c>
      <c r="D26" s="94">
        <f t="shared" ref="D26:E27" si="36">J26+G26</f>
        <v>6365</v>
      </c>
      <c r="E26" s="94">
        <f t="shared" si="36"/>
        <v>5345</v>
      </c>
      <c r="F26" s="94">
        <f t="shared" ref="F26:F27" si="37">SUM(G26:H26)</f>
        <v>601</v>
      </c>
      <c r="G26" s="94">
        <v>184</v>
      </c>
      <c r="H26" s="94">
        <v>417</v>
      </c>
      <c r="I26" s="94">
        <f t="shared" ref="I26:I27" si="38">SUM(J26:K26)</f>
        <v>11109</v>
      </c>
      <c r="J26" s="94">
        <v>6181</v>
      </c>
      <c r="K26" s="94">
        <v>4928</v>
      </c>
      <c r="L26" s="104" t="s">
        <v>233</v>
      </c>
      <c r="M26" s="526" t="s">
        <v>168</v>
      </c>
      <c r="N26" s="1"/>
      <c r="O26" s="103"/>
    </row>
    <row r="27" spans="3:15" ht="12.75" customHeight="1" thickBot="1" x14ac:dyDescent="0.25">
      <c r="C27" s="94">
        <f t="shared" si="35"/>
        <v>3705</v>
      </c>
      <c r="D27" s="94">
        <f t="shared" si="36"/>
        <v>2251</v>
      </c>
      <c r="E27" s="94">
        <f t="shared" si="36"/>
        <v>1454</v>
      </c>
      <c r="F27" s="94">
        <f t="shared" si="37"/>
        <v>7</v>
      </c>
      <c r="G27" s="94">
        <v>3</v>
      </c>
      <c r="H27" s="94">
        <v>4</v>
      </c>
      <c r="I27" s="94">
        <f t="shared" si="38"/>
        <v>3698</v>
      </c>
      <c r="J27" s="94">
        <v>2248</v>
      </c>
      <c r="K27" s="94">
        <v>1450</v>
      </c>
      <c r="L27" s="104" t="s">
        <v>234</v>
      </c>
      <c r="M27" s="527"/>
      <c r="N27" s="1"/>
    </row>
    <row r="28" spans="3:15" ht="12.75" customHeight="1" thickBot="1" x14ac:dyDescent="0.25">
      <c r="C28" s="94">
        <f t="shared" ref="C28:J28" si="39">SUM(C26:C27)</f>
        <v>15415</v>
      </c>
      <c r="D28" s="94">
        <f t="shared" si="39"/>
        <v>8616</v>
      </c>
      <c r="E28" s="94">
        <f t="shared" si="39"/>
        <v>6799</v>
      </c>
      <c r="F28" s="94">
        <f t="shared" si="39"/>
        <v>608</v>
      </c>
      <c r="G28" s="94">
        <f t="shared" si="39"/>
        <v>187</v>
      </c>
      <c r="H28" s="94">
        <f t="shared" si="39"/>
        <v>421</v>
      </c>
      <c r="I28" s="94">
        <f t="shared" si="39"/>
        <v>14807</v>
      </c>
      <c r="J28" s="94">
        <f t="shared" si="39"/>
        <v>8429</v>
      </c>
      <c r="K28" s="94">
        <f>SUM(K26:K27)</f>
        <v>6378</v>
      </c>
      <c r="L28" s="104" t="s">
        <v>12</v>
      </c>
      <c r="M28" s="528"/>
      <c r="N28" s="1"/>
      <c r="O28" s="103"/>
    </row>
    <row r="29" spans="3:15" ht="12.75" customHeight="1" thickBot="1" x14ac:dyDescent="0.25">
      <c r="C29" s="94">
        <f t="shared" ref="C29:C30" si="40">SUM(D29:E29)</f>
        <v>53285</v>
      </c>
      <c r="D29" s="94">
        <f t="shared" ref="D29:E30" si="41">J29+G29</f>
        <v>23448</v>
      </c>
      <c r="E29" s="94">
        <f t="shared" si="41"/>
        <v>29837</v>
      </c>
      <c r="F29" s="94">
        <f t="shared" ref="F29:F30" si="42">SUM(G29:H29)</f>
        <v>1874</v>
      </c>
      <c r="G29" s="94">
        <v>996</v>
      </c>
      <c r="H29" s="94">
        <v>878</v>
      </c>
      <c r="I29" s="94">
        <f t="shared" ref="I29:I30" si="43">SUM(J29:K29)</f>
        <v>51411</v>
      </c>
      <c r="J29" s="94">
        <v>22452</v>
      </c>
      <c r="K29" s="94">
        <v>28959</v>
      </c>
      <c r="L29" s="104" t="s">
        <v>233</v>
      </c>
      <c r="M29" s="526" t="s">
        <v>169</v>
      </c>
      <c r="N29" s="1"/>
      <c r="O29" s="103"/>
    </row>
    <row r="30" spans="3:15" ht="12.75" customHeight="1" thickBot="1" x14ac:dyDescent="0.25">
      <c r="C30" s="94">
        <f t="shared" si="40"/>
        <v>18973</v>
      </c>
      <c r="D30" s="94">
        <f t="shared" si="41"/>
        <v>6087</v>
      </c>
      <c r="E30" s="94">
        <f t="shared" si="41"/>
        <v>12886</v>
      </c>
      <c r="F30" s="94">
        <f t="shared" si="42"/>
        <v>968</v>
      </c>
      <c r="G30" s="94">
        <v>553</v>
      </c>
      <c r="H30" s="94">
        <v>415</v>
      </c>
      <c r="I30" s="94">
        <f t="shared" si="43"/>
        <v>18005</v>
      </c>
      <c r="J30" s="94">
        <v>5534</v>
      </c>
      <c r="K30" s="94">
        <v>12471</v>
      </c>
      <c r="L30" s="104" t="s">
        <v>234</v>
      </c>
      <c r="M30" s="527"/>
      <c r="N30" s="1"/>
    </row>
    <row r="31" spans="3:15" ht="12.75" customHeight="1" thickBot="1" x14ac:dyDescent="0.25">
      <c r="C31" s="94">
        <f t="shared" ref="C31:J31" si="44">SUM(C29:C30)</f>
        <v>72258</v>
      </c>
      <c r="D31" s="94">
        <f t="shared" si="44"/>
        <v>29535</v>
      </c>
      <c r="E31" s="94">
        <f t="shared" si="44"/>
        <v>42723</v>
      </c>
      <c r="F31" s="94">
        <f t="shared" si="44"/>
        <v>2842</v>
      </c>
      <c r="G31" s="94">
        <f t="shared" si="44"/>
        <v>1549</v>
      </c>
      <c r="H31" s="94">
        <f t="shared" si="44"/>
        <v>1293</v>
      </c>
      <c r="I31" s="94">
        <f t="shared" si="44"/>
        <v>69416</v>
      </c>
      <c r="J31" s="94">
        <f t="shared" si="44"/>
        <v>27986</v>
      </c>
      <c r="K31" s="94">
        <f>SUM(K29:K30)</f>
        <v>41430</v>
      </c>
      <c r="L31" s="104" t="s">
        <v>12</v>
      </c>
      <c r="M31" s="528"/>
      <c r="N31" s="1"/>
      <c r="O31" s="103"/>
    </row>
    <row r="32" spans="3:15" ht="12.75" customHeight="1" thickBot="1" x14ac:dyDescent="0.25">
      <c r="C32" s="94">
        <f t="shared" ref="C32:C33" si="45">SUM(D32:E32)</f>
        <v>712</v>
      </c>
      <c r="D32" s="94">
        <f t="shared" ref="D32:E33" si="46">J32+G32</f>
        <v>712</v>
      </c>
      <c r="E32" s="94">
        <f t="shared" si="46"/>
        <v>0</v>
      </c>
      <c r="F32" s="94">
        <f t="shared" ref="F32:F33" si="47">SUM(G32:H32)</f>
        <v>0</v>
      </c>
      <c r="G32" s="94">
        <v>0</v>
      </c>
      <c r="H32" s="94">
        <v>0</v>
      </c>
      <c r="I32" s="94">
        <f t="shared" ref="I32:I33" si="48">SUM(J32:K32)</f>
        <v>712</v>
      </c>
      <c r="J32" s="94">
        <v>712</v>
      </c>
      <c r="K32" s="94">
        <v>0</v>
      </c>
      <c r="L32" s="104" t="s">
        <v>233</v>
      </c>
      <c r="M32" s="526" t="s">
        <v>170</v>
      </c>
      <c r="N32" s="1"/>
      <c r="O32" s="103"/>
    </row>
    <row r="33" spans="3:15" ht="12.75" customHeight="1" thickBot="1" x14ac:dyDescent="0.25">
      <c r="C33" s="94">
        <f t="shared" si="45"/>
        <v>0</v>
      </c>
      <c r="D33" s="94">
        <f t="shared" si="46"/>
        <v>0</v>
      </c>
      <c r="E33" s="94">
        <f t="shared" si="46"/>
        <v>0</v>
      </c>
      <c r="F33" s="94">
        <f t="shared" si="47"/>
        <v>0</v>
      </c>
      <c r="G33" s="94">
        <v>0</v>
      </c>
      <c r="H33" s="94">
        <v>0</v>
      </c>
      <c r="I33" s="94">
        <f t="shared" si="48"/>
        <v>0</v>
      </c>
      <c r="J33" s="94">
        <v>0</v>
      </c>
      <c r="K33" s="94">
        <v>0</v>
      </c>
      <c r="L33" s="104" t="s">
        <v>234</v>
      </c>
      <c r="M33" s="527"/>
      <c r="N33" s="1"/>
    </row>
    <row r="34" spans="3:15" ht="12.75" customHeight="1" thickBot="1" x14ac:dyDescent="0.25">
      <c r="C34" s="94">
        <f t="shared" ref="C34:J34" si="49">SUM(C32:C33)</f>
        <v>712</v>
      </c>
      <c r="D34" s="94">
        <f t="shared" si="49"/>
        <v>712</v>
      </c>
      <c r="E34" s="94">
        <f t="shared" si="49"/>
        <v>0</v>
      </c>
      <c r="F34" s="94">
        <f t="shared" si="49"/>
        <v>0</v>
      </c>
      <c r="G34" s="94">
        <f t="shared" si="49"/>
        <v>0</v>
      </c>
      <c r="H34" s="94">
        <f t="shared" si="49"/>
        <v>0</v>
      </c>
      <c r="I34" s="94">
        <f t="shared" si="49"/>
        <v>712</v>
      </c>
      <c r="J34" s="94">
        <f t="shared" si="49"/>
        <v>712</v>
      </c>
      <c r="K34" s="94">
        <f>SUM(K32:K33)</f>
        <v>0</v>
      </c>
      <c r="L34" s="104" t="s">
        <v>12</v>
      </c>
      <c r="M34" s="528"/>
      <c r="N34" s="1"/>
      <c r="O34" s="103"/>
    </row>
    <row r="35" spans="3:15" ht="12.75" customHeight="1" thickBot="1" x14ac:dyDescent="0.25">
      <c r="C35" s="94">
        <f t="shared" ref="C35:C36" si="50">SUM(D35:E35)</f>
        <v>31541</v>
      </c>
      <c r="D35" s="94">
        <f t="shared" ref="D35:E36" si="51">J35+G35</f>
        <v>20876</v>
      </c>
      <c r="E35" s="94">
        <f t="shared" si="51"/>
        <v>10665</v>
      </c>
      <c r="F35" s="94">
        <f t="shared" ref="F35:F36" si="52">SUM(G35:H35)</f>
        <v>421</v>
      </c>
      <c r="G35" s="94">
        <v>221</v>
      </c>
      <c r="H35" s="94">
        <v>200</v>
      </c>
      <c r="I35" s="94">
        <f t="shared" ref="I35:I36" si="53">SUM(J35:K35)</f>
        <v>31120</v>
      </c>
      <c r="J35" s="94">
        <v>20655</v>
      </c>
      <c r="K35" s="94">
        <v>10465</v>
      </c>
      <c r="L35" s="104" t="s">
        <v>233</v>
      </c>
      <c r="M35" s="526" t="s">
        <v>171</v>
      </c>
      <c r="N35" s="1"/>
      <c r="O35" s="103"/>
    </row>
    <row r="36" spans="3:15" ht="12.75" customHeight="1" thickBot="1" x14ac:dyDescent="0.25">
      <c r="C36" s="94">
        <f t="shared" si="50"/>
        <v>234</v>
      </c>
      <c r="D36" s="94">
        <f t="shared" si="51"/>
        <v>234</v>
      </c>
      <c r="E36" s="94">
        <f t="shared" si="51"/>
        <v>0</v>
      </c>
      <c r="F36" s="94">
        <f t="shared" si="52"/>
        <v>0</v>
      </c>
      <c r="G36" s="94">
        <v>0</v>
      </c>
      <c r="H36" s="94">
        <v>0</v>
      </c>
      <c r="I36" s="94">
        <f t="shared" si="53"/>
        <v>234</v>
      </c>
      <c r="J36" s="94">
        <v>234</v>
      </c>
      <c r="K36" s="94">
        <v>0</v>
      </c>
      <c r="L36" s="104" t="s">
        <v>234</v>
      </c>
      <c r="M36" s="527"/>
      <c r="N36" s="1"/>
    </row>
    <row r="37" spans="3:15" ht="12.75" customHeight="1" thickBot="1" x14ac:dyDescent="0.25">
      <c r="C37" s="94">
        <f t="shared" ref="C37:J37" si="54">SUM(C35:C36)</f>
        <v>31775</v>
      </c>
      <c r="D37" s="94">
        <f t="shared" si="54"/>
        <v>21110</v>
      </c>
      <c r="E37" s="94">
        <f t="shared" si="54"/>
        <v>10665</v>
      </c>
      <c r="F37" s="94">
        <f t="shared" si="54"/>
        <v>421</v>
      </c>
      <c r="G37" s="94">
        <f t="shared" si="54"/>
        <v>221</v>
      </c>
      <c r="H37" s="94">
        <f t="shared" si="54"/>
        <v>200</v>
      </c>
      <c r="I37" s="94">
        <f t="shared" si="54"/>
        <v>31354</v>
      </c>
      <c r="J37" s="94">
        <f t="shared" si="54"/>
        <v>20889</v>
      </c>
      <c r="K37" s="94">
        <f>SUM(K35:K36)</f>
        <v>10465</v>
      </c>
      <c r="L37" s="104" t="s">
        <v>12</v>
      </c>
      <c r="M37" s="528"/>
      <c r="N37" s="1"/>
      <c r="O37" s="103"/>
    </row>
    <row r="38" spans="3:15" ht="12.75" customHeight="1" thickBot="1" x14ac:dyDescent="0.25">
      <c r="C38" s="94">
        <f t="shared" ref="C38:C39" si="55">SUM(D38:E38)</f>
        <v>29108</v>
      </c>
      <c r="D38" s="94">
        <f t="shared" ref="D38:E39" si="56">J38+G38</f>
        <v>20771</v>
      </c>
      <c r="E38" s="94">
        <f t="shared" si="56"/>
        <v>8337</v>
      </c>
      <c r="F38" s="94">
        <f t="shared" ref="F38:F39" si="57">SUM(G38:H38)</f>
        <v>253</v>
      </c>
      <c r="G38" s="94">
        <v>160</v>
      </c>
      <c r="H38" s="94">
        <v>93</v>
      </c>
      <c r="I38" s="94">
        <f t="shared" ref="I38:I39" si="58">SUM(J38:K38)</f>
        <v>28855</v>
      </c>
      <c r="J38" s="94">
        <v>20611</v>
      </c>
      <c r="K38" s="94">
        <v>8244</v>
      </c>
      <c r="L38" s="104" t="s">
        <v>233</v>
      </c>
      <c r="M38" s="526" t="s">
        <v>172</v>
      </c>
      <c r="N38" s="1"/>
      <c r="O38" s="103"/>
    </row>
    <row r="39" spans="3:15" ht="12.75" customHeight="1" thickBot="1" x14ac:dyDescent="0.25">
      <c r="C39" s="94">
        <f t="shared" si="55"/>
        <v>256</v>
      </c>
      <c r="D39" s="94">
        <f t="shared" si="56"/>
        <v>256</v>
      </c>
      <c r="E39" s="94">
        <f t="shared" si="56"/>
        <v>0</v>
      </c>
      <c r="F39" s="94">
        <f t="shared" si="57"/>
        <v>0</v>
      </c>
      <c r="G39" s="94">
        <v>0</v>
      </c>
      <c r="H39" s="94">
        <v>0</v>
      </c>
      <c r="I39" s="94">
        <f t="shared" si="58"/>
        <v>256</v>
      </c>
      <c r="J39" s="94">
        <v>256</v>
      </c>
      <c r="K39" s="94">
        <v>0</v>
      </c>
      <c r="L39" s="104" t="s">
        <v>234</v>
      </c>
      <c r="M39" s="527"/>
      <c r="N39" s="1"/>
    </row>
    <row r="40" spans="3:15" ht="12.75" customHeight="1" thickBot="1" x14ac:dyDescent="0.25">
      <c r="C40" s="94">
        <f t="shared" ref="C40:J40" si="59">SUM(C38:C39)</f>
        <v>29364</v>
      </c>
      <c r="D40" s="94">
        <f t="shared" si="59"/>
        <v>21027</v>
      </c>
      <c r="E40" s="94">
        <f t="shared" si="59"/>
        <v>8337</v>
      </c>
      <c r="F40" s="94">
        <f t="shared" si="59"/>
        <v>253</v>
      </c>
      <c r="G40" s="94">
        <f t="shared" si="59"/>
        <v>160</v>
      </c>
      <c r="H40" s="94">
        <f t="shared" si="59"/>
        <v>93</v>
      </c>
      <c r="I40" s="94">
        <f t="shared" si="59"/>
        <v>29111</v>
      </c>
      <c r="J40" s="94">
        <f t="shared" si="59"/>
        <v>20867</v>
      </c>
      <c r="K40" s="94">
        <f>SUM(K38:K39)</f>
        <v>8244</v>
      </c>
      <c r="L40" s="104" t="s">
        <v>12</v>
      </c>
      <c r="M40" s="528"/>
      <c r="N40" s="1"/>
      <c r="O40" s="103"/>
    </row>
    <row r="41" spans="3:15" ht="12.75" customHeight="1" thickBot="1" x14ac:dyDescent="0.25">
      <c r="C41" s="94">
        <f t="shared" ref="C41:C42" si="60">SUM(D41:E41)</f>
        <v>22332</v>
      </c>
      <c r="D41" s="94">
        <f t="shared" ref="D41:E42" si="61">J41+G41</f>
        <v>18206</v>
      </c>
      <c r="E41" s="94">
        <f t="shared" si="61"/>
        <v>4126</v>
      </c>
      <c r="F41" s="94">
        <f t="shared" ref="F41:F42" si="62">SUM(G41:H41)</f>
        <v>109</v>
      </c>
      <c r="G41" s="94">
        <v>70</v>
      </c>
      <c r="H41" s="94">
        <v>39</v>
      </c>
      <c r="I41" s="94">
        <f t="shared" ref="I41:I42" si="63">SUM(J41:K41)</f>
        <v>22223</v>
      </c>
      <c r="J41" s="94">
        <v>18136</v>
      </c>
      <c r="K41" s="94">
        <v>4087</v>
      </c>
      <c r="L41" s="104" t="s">
        <v>233</v>
      </c>
      <c r="M41" s="526" t="s">
        <v>173</v>
      </c>
      <c r="N41" s="1"/>
      <c r="O41" s="103"/>
    </row>
    <row r="42" spans="3:15" ht="12.75" customHeight="1" thickBot="1" x14ac:dyDescent="0.25">
      <c r="C42" s="94">
        <f t="shared" si="60"/>
        <v>0</v>
      </c>
      <c r="D42" s="94">
        <f t="shared" si="61"/>
        <v>0</v>
      </c>
      <c r="E42" s="94">
        <f t="shared" si="61"/>
        <v>0</v>
      </c>
      <c r="F42" s="94">
        <f t="shared" si="62"/>
        <v>0</v>
      </c>
      <c r="G42" s="94">
        <v>0</v>
      </c>
      <c r="H42" s="94">
        <v>0</v>
      </c>
      <c r="I42" s="94">
        <f t="shared" si="63"/>
        <v>0</v>
      </c>
      <c r="J42" s="94">
        <v>0</v>
      </c>
      <c r="K42" s="94">
        <v>0</v>
      </c>
      <c r="L42" s="104" t="s">
        <v>234</v>
      </c>
      <c r="M42" s="527"/>
      <c r="N42" s="1"/>
    </row>
    <row r="43" spans="3:15" ht="12.75" customHeight="1" thickBot="1" x14ac:dyDescent="0.25">
      <c r="C43" s="94">
        <f t="shared" ref="C43:J43" si="64">SUM(C41:C42)</f>
        <v>22332</v>
      </c>
      <c r="D43" s="94">
        <f t="shared" si="64"/>
        <v>18206</v>
      </c>
      <c r="E43" s="94">
        <f t="shared" si="64"/>
        <v>4126</v>
      </c>
      <c r="F43" s="94">
        <f t="shared" si="64"/>
        <v>109</v>
      </c>
      <c r="G43" s="94">
        <f t="shared" si="64"/>
        <v>70</v>
      </c>
      <c r="H43" s="94">
        <f t="shared" si="64"/>
        <v>39</v>
      </c>
      <c r="I43" s="94">
        <f t="shared" si="64"/>
        <v>22223</v>
      </c>
      <c r="J43" s="94">
        <f t="shared" si="64"/>
        <v>18136</v>
      </c>
      <c r="K43" s="94">
        <f>SUM(K41:K42)</f>
        <v>4087</v>
      </c>
      <c r="L43" s="104" t="s">
        <v>12</v>
      </c>
      <c r="M43" s="528"/>
      <c r="N43" s="1"/>
      <c r="O43" s="103"/>
    </row>
    <row r="44" spans="3:15" ht="12.75" customHeight="1" thickBot="1" x14ac:dyDescent="0.25">
      <c r="C44" s="94">
        <f t="shared" ref="C44:C45" si="65">SUM(D44:E44)</f>
        <v>27089</v>
      </c>
      <c r="D44" s="94">
        <f t="shared" ref="D44:E45" si="66">J44+G44</f>
        <v>12456</v>
      </c>
      <c r="E44" s="94">
        <f t="shared" si="66"/>
        <v>14633</v>
      </c>
      <c r="F44" s="94">
        <f t="shared" ref="F44:F45" si="67">SUM(G44:H44)</f>
        <v>2583</v>
      </c>
      <c r="G44" s="94">
        <v>1443</v>
      </c>
      <c r="H44" s="94">
        <v>1140</v>
      </c>
      <c r="I44" s="94">
        <f t="shared" ref="I44:I45" si="68">SUM(J44:K44)</f>
        <v>24506</v>
      </c>
      <c r="J44" s="94">
        <v>11013</v>
      </c>
      <c r="K44" s="94">
        <v>13493</v>
      </c>
      <c r="L44" s="104" t="s">
        <v>233</v>
      </c>
      <c r="M44" s="526" t="s">
        <v>174</v>
      </c>
      <c r="N44" s="1"/>
      <c r="O44" s="103"/>
    </row>
    <row r="45" spans="3:15" ht="12.75" customHeight="1" thickBot="1" x14ac:dyDescent="0.25">
      <c r="C45" s="94">
        <f t="shared" si="65"/>
        <v>0</v>
      </c>
      <c r="D45" s="94">
        <f t="shared" si="66"/>
        <v>0</v>
      </c>
      <c r="E45" s="94">
        <f t="shared" si="66"/>
        <v>0</v>
      </c>
      <c r="F45" s="94">
        <f t="shared" si="67"/>
        <v>0</v>
      </c>
      <c r="G45" s="94">
        <v>0</v>
      </c>
      <c r="H45" s="94">
        <v>0</v>
      </c>
      <c r="I45" s="94">
        <f t="shared" si="68"/>
        <v>0</v>
      </c>
      <c r="J45" s="94">
        <v>0</v>
      </c>
      <c r="K45" s="94">
        <v>0</v>
      </c>
      <c r="L45" s="104" t="s">
        <v>234</v>
      </c>
      <c r="M45" s="527"/>
      <c r="N45" s="1"/>
    </row>
    <row r="46" spans="3:15" ht="12.75" customHeight="1" thickBot="1" x14ac:dyDescent="0.25">
      <c r="C46" s="94">
        <f t="shared" ref="C46:J46" si="69">SUM(C44:C45)</f>
        <v>27089</v>
      </c>
      <c r="D46" s="94">
        <f t="shared" si="69"/>
        <v>12456</v>
      </c>
      <c r="E46" s="94">
        <f t="shared" si="69"/>
        <v>14633</v>
      </c>
      <c r="F46" s="94">
        <f t="shared" si="69"/>
        <v>2583</v>
      </c>
      <c r="G46" s="94">
        <f t="shared" si="69"/>
        <v>1443</v>
      </c>
      <c r="H46" s="94">
        <f t="shared" si="69"/>
        <v>1140</v>
      </c>
      <c r="I46" s="94">
        <f t="shared" si="69"/>
        <v>24506</v>
      </c>
      <c r="J46" s="94">
        <f t="shared" si="69"/>
        <v>11013</v>
      </c>
      <c r="K46" s="94">
        <f>SUM(K44:K45)</f>
        <v>13493</v>
      </c>
      <c r="L46" s="104" t="s">
        <v>12</v>
      </c>
      <c r="M46" s="528"/>
      <c r="N46" s="1"/>
      <c r="O46" s="103"/>
    </row>
    <row r="47" spans="3:15" ht="12.75" customHeight="1" thickBot="1" x14ac:dyDescent="0.25">
      <c r="C47" s="94">
        <f t="shared" ref="C47:C48" si="70">SUM(D47:E47)</f>
        <v>12593</v>
      </c>
      <c r="D47" s="94">
        <f t="shared" ref="D47:E48" si="71">J47+G47</f>
        <v>743</v>
      </c>
      <c r="E47" s="94">
        <f t="shared" si="71"/>
        <v>11850</v>
      </c>
      <c r="F47" s="94">
        <f t="shared" ref="F47:F48" si="72">SUM(G47:H47)</f>
        <v>648</v>
      </c>
      <c r="G47" s="94">
        <v>12</v>
      </c>
      <c r="H47" s="94">
        <v>636</v>
      </c>
      <c r="I47" s="94">
        <f t="shared" ref="I47:I48" si="73">SUM(J47:K47)</f>
        <v>11945</v>
      </c>
      <c r="J47" s="94">
        <v>731</v>
      </c>
      <c r="K47" s="94">
        <v>11214</v>
      </c>
      <c r="L47" s="104" t="s">
        <v>233</v>
      </c>
      <c r="M47" s="526" t="s">
        <v>175</v>
      </c>
      <c r="N47" s="1"/>
      <c r="O47" s="103"/>
    </row>
    <row r="48" spans="3:15" ht="12.75" customHeight="1" thickBot="1" x14ac:dyDescent="0.25">
      <c r="C48" s="94">
        <f t="shared" si="70"/>
        <v>0</v>
      </c>
      <c r="D48" s="94">
        <f t="shared" si="71"/>
        <v>0</v>
      </c>
      <c r="E48" s="94">
        <f t="shared" si="71"/>
        <v>0</v>
      </c>
      <c r="F48" s="94">
        <f t="shared" si="72"/>
        <v>0</v>
      </c>
      <c r="G48" s="94">
        <v>0</v>
      </c>
      <c r="H48" s="94">
        <v>0</v>
      </c>
      <c r="I48" s="94">
        <f t="shared" si="73"/>
        <v>0</v>
      </c>
      <c r="J48" s="94">
        <v>0</v>
      </c>
      <c r="K48" s="94">
        <v>0</v>
      </c>
      <c r="L48" s="104" t="s">
        <v>234</v>
      </c>
      <c r="M48" s="527"/>
      <c r="N48" s="1"/>
    </row>
    <row r="49" spans="3:15" ht="12.75" customHeight="1" thickBot="1" x14ac:dyDescent="0.25">
      <c r="C49" s="94">
        <f t="shared" ref="C49:J49" si="74">SUM(C47:C48)</f>
        <v>12593</v>
      </c>
      <c r="D49" s="94">
        <f t="shared" si="74"/>
        <v>743</v>
      </c>
      <c r="E49" s="94">
        <f t="shared" si="74"/>
        <v>11850</v>
      </c>
      <c r="F49" s="94">
        <f t="shared" si="74"/>
        <v>648</v>
      </c>
      <c r="G49" s="94">
        <f t="shared" si="74"/>
        <v>12</v>
      </c>
      <c r="H49" s="94">
        <f t="shared" si="74"/>
        <v>636</v>
      </c>
      <c r="I49" s="94">
        <f t="shared" si="74"/>
        <v>11945</v>
      </c>
      <c r="J49" s="94">
        <f t="shared" si="74"/>
        <v>731</v>
      </c>
      <c r="K49" s="94">
        <f>SUM(K47:K48)</f>
        <v>11214</v>
      </c>
      <c r="L49" s="104" t="s">
        <v>12</v>
      </c>
      <c r="M49" s="528"/>
      <c r="N49" s="1"/>
      <c r="O49" s="103"/>
    </row>
    <row r="50" spans="3:15" ht="12.75" customHeight="1" thickBot="1" x14ac:dyDescent="0.25">
      <c r="C50" s="94">
        <f t="shared" ref="C50:C51" si="75">SUM(D50:E50)</f>
        <v>1779</v>
      </c>
      <c r="D50" s="94">
        <f t="shared" ref="D50:E51" si="76">J50+G50</f>
        <v>1575</v>
      </c>
      <c r="E50" s="94">
        <f t="shared" si="76"/>
        <v>204</v>
      </c>
      <c r="F50" s="94">
        <f t="shared" ref="F50:F51" si="77">SUM(G50:H50)</f>
        <v>17</v>
      </c>
      <c r="G50" s="94">
        <v>17</v>
      </c>
      <c r="H50" s="94">
        <v>0</v>
      </c>
      <c r="I50" s="94">
        <f t="shared" ref="I50:I51" si="78">SUM(J50:K50)</f>
        <v>1762</v>
      </c>
      <c r="J50" s="94">
        <v>1558</v>
      </c>
      <c r="K50" s="94">
        <v>204</v>
      </c>
      <c r="L50" s="104" t="s">
        <v>233</v>
      </c>
      <c r="M50" s="526" t="s">
        <v>176</v>
      </c>
      <c r="N50" s="1"/>
      <c r="O50" s="103"/>
    </row>
    <row r="51" spans="3:15" ht="12.75" customHeight="1" thickBot="1" x14ac:dyDescent="0.25">
      <c r="C51" s="94">
        <f t="shared" si="75"/>
        <v>0</v>
      </c>
      <c r="D51" s="94">
        <f t="shared" si="76"/>
        <v>0</v>
      </c>
      <c r="E51" s="94">
        <f t="shared" si="76"/>
        <v>0</v>
      </c>
      <c r="F51" s="94">
        <f t="shared" si="77"/>
        <v>0</v>
      </c>
      <c r="G51" s="94">
        <v>0</v>
      </c>
      <c r="H51" s="94">
        <v>0</v>
      </c>
      <c r="I51" s="94">
        <f t="shared" si="78"/>
        <v>0</v>
      </c>
      <c r="J51" s="94">
        <v>0</v>
      </c>
      <c r="K51" s="94">
        <v>0</v>
      </c>
      <c r="L51" s="104" t="s">
        <v>234</v>
      </c>
      <c r="M51" s="527"/>
      <c r="N51" s="1"/>
    </row>
    <row r="52" spans="3:15" ht="12.75" customHeight="1" thickBot="1" x14ac:dyDescent="0.25">
      <c r="C52" s="94">
        <f t="shared" ref="C52:J52" si="79">SUM(C50:C51)</f>
        <v>1779</v>
      </c>
      <c r="D52" s="94">
        <f t="shared" si="79"/>
        <v>1575</v>
      </c>
      <c r="E52" s="94">
        <f t="shared" si="79"/>
        <v>204</v>
      </c>
      <c r="F52" s="94">
        <f t="shared" si="79"/>
        <v>17</v>
      </c>
      <c r="G52" s="94">
        <f t="shared" si="79"/>
        <v>17</v>
      </c>
      <c r="H52" s="94">
        <f t="shared" si="79"/>
        <v>0</v>
      </c>
      <c r="I52" s="94">
        <f t="shared" si="79"/>
        <v>1762</v>
      </c>
      <c r="J52" s="94">
        <f t="shared" si="79"/>
        <v>1558</v>
      </c>
      <c r="K52" s="94">
        <f>SUM(K50:K51)</f>
        <v>204</v>
      </c>
      <c r="L52" s="104" t="s">
        <v>12</v>
      </c>
      <c r="M52" s="528"/>
      <c r="N52" s="1"/>
      <c r="O52" s="103"/>
    </row>
    <row r="53" spans="3:15" ht="12.75" customHeight="1" thickBot="1" x14ac:dyDescent="0.25">
      <c r="C53" s="94">
        <f t="shared" ref="C53:C54" si="80">SUM(D53:E53)</f>
        <v>6628</v>
      </c>
      <c r="D53" s="94">
        <f t="shared" ref="D53:E54" si="81">J53+G53</f>
        <v>240</v>
      </c>
      <c r="E53" s="94">
        <f t="shared" si="81"/>
        <v>6388</v>
      </c>
      <c r="F53" s="94">
        <f t="shared" ref="F53:F54" si="82">SUM(G53:H53)</f>
        <v>128</v>
      </c>
      <c r="G53" s="94">
        <v>14</v>
      </c>
      <c r="H53" s="94">
        <v>114</v>
      </c>
      <c r="I53" s="94">
        <f t="shared" ref="I53:I54" si="83">SUM(J53:K53)</f>
        <v>6500</v>
      </c>
      <c r="J53" s="94">
        <v>226</v>
      </c>
      <c r="K53" s="94">
        <v>6274</v>
      </c>
      <c r="L53" s="104" t="s">
        <v>233</v>
      </c>
      <c r="M53" s="526" t="s">
        <v>177</v>
      </c>
      <c r="N53" s="1"/>
      <c r="O53" s="103"/>
    </row>
    <row r="54" spans="3:15" ht="12.75" customHeight="1" thickBot="1" x14ac:dyDescent="0.25">
      <c r="C54" s="94">
        <f t="shared" si="80"/>
        <v>0</v>
      </c>
      <c r="D54" s="94">
        <f t="shared" si="81"/>
        <v>0</v>
      </c>
      <c r="E54" s="94">
        <f t="shared" si="81"/>
        <v>0</v>
      </c>
      <c r="F54" s="94">
        <f t="shared" si="82"/>
        <v>0</v>
      </c>
      <c r="G54" s="94">
        <v>0</v>
      </c>
      <c r="H54" s="94">
        <v>0</v>
      </c>
      <c r="I54" s="94">
        <f t="shared" si="83"/>
        <v>0</v>
      </c>
      <c r="J54" s="94">
        <v>0</v>
      </c>
      <c r="K54" s="94">
        <v>0</v>
      </c>
      <c r="L54" s="104" t="s">
        <v>234</v>
      </c>
      <c r="M54" s="527"/>
      <c r="N54" s="1"/>
    </row>
    <row r="55" spans="3:15" ht="12.75" customHeight="1" thickBot="1" x14ac:dyDescent="0.25">
      <c r="C55" s="94">
        <f t="shared" ref="C55:J55" si="84">SUM(C53:C54)</f>
        <v>6628</v>
      </c>
      <c r="D55" s="94">
        <f t="shared" si="84"/>
        <v>240</v>
      </c>
      <c r="E55" s="94">
        <f t="shared" si="84"/>
        <v>6388</v>
      </c>
      <c r="F55" s="94">
        <f t="shared" si="84"/>
        <v>128</v>
      </c>
      <c r="G55" s="94">
        <f t="shared" si="84"/>
        <v>14</v>
      </c>
      <c r="H55" s="94">
        <f t="shared" si="84"/>
        <v>114</v>
      </c>
      <c r="I55" s="94">
        <f t="shared" si="84"/>
        <v>6500</v>
      </c>
      <c r="J55" s="94">
        <f t="shared" si="84"/>
        <v>226</v>
      </c>
      <c r="K55" s="94">
        <f>SUM(K53:K54)</f>
        <v>6274</v>
      </c>
      <c r="L55" s="104" t="s">
        <v>12</v>
      </c>
      <c r="M55" s="528"/>
      <c r="N55" s="1"/>
      <c r="O55" s="103"/>
    </row>
    <row r="56" spans="3:15" ht="12.75" customHeight="1" thickBot="1" x14ac:dyDescent="0.25">
      <c r="C56" s="94">
        <f t="shared" ref="C56:C57" si="85">SUM(D56:E56)</f>
        <v>2880</v>
      </c>
      <c r="D56" s="94">
        <f t="shared" ref="D56:E57" si="86">J56+G56</f>
        <v>20</v>
      </c>
      <c r="E56" s="94">
        <f t="shared" si="86"/>
        <v>2860</v>
      </c>
      <c r="F56" s="94">
        <f t="shared" ref="F56:F57" si="87">SUM(G56:H56)</f>
        <v>53</v>
      </c>
      <c r="G56" s="94">
        <v>20</v>
      </c>
      <c r="H56" s="94">
        <v>33</v>
      </c>
      <c r="I56" s="94">
        <f t="shared" ref="I56:I57" si="88">SUM(J56:K56)</f>
        <v>2827</v>
      </c>
      <c r="J56" s="94">
        <v>0</v>
      </c>
      <c r="K56" s="94">
        <v>2827</v>
      </c>
      <c r="L56" s="104" t="s">
        <v>233</v>
      </c>
      <c r="M56" s="526" t="s">
        <v>178</v>
      </c>
      <c r="N56" s="1"/>
      <c r="O56" s="103"/>
    </row>
    <row r="57" spans="3:15" ht="12.75" customHeight="1" thickBot="1" x14ac:dyDescent="0.25">
      <c r="C57" s="94">
        <f t="shared" si="85"/>
        <v>0</v>
      </c>
      <c r="D57" s="94">
        <f t="shared" si="86"/>
        <v>0</v>
      </c>
      <c r="E57" s="94">
        <f t="shared" si="86"/>
        <v>0</v>
      </c>
      <c r="F57" s="94">
        <f t="shared" si="87"/>
        <v>0</v>
      </c>
      <c r="G57" s="94">
        <v>0</v>
      </c>
      <c r="H57" s="94">
        <v>0</v>
      </c>
      <c r="I57" s="94">
        <f t="shared" si="88"/>
        <v>0</v>
      </c>
      <c r="J57" s="94">
        <v>0</v>
      </c>
      <c r="K57" s="94">
        <v>0</v>
      </c>
      <c r="L57" s="104" t="s">
        <v>234</v>
      </c>
      <c r="M57" s="527"/>
      <c r="N57" s="1"/>
    </row>
    <row r="58" spans="3:15" ht="12.75" customHeight="1" thickBot="1" x14ac:dyDescent="0.25">
      <c r="C58" s="94">
        <f t="shared" ref="C58:J58" si="89">SUM(C56:C57)</f>
        <v>2880</v>
      </c>
      <c r="D58" s="94">
        <f t="shared" si="89"/>
        <v>20</v>
      </c>
      <c r="E58" s="94">
        <f t="shared" si="89"/>
        <v>2860</v>
      </c>
      <c r="F58" s="94">
        <f t="shared" si="89"/>
        <v>53</v>
      </c>
      <c r="G58" s="94">
        <f t="shared" si="89"/>
        <v>20</v>
      </c>
      <c r="H58" s="94">
        <f t="shared" si="89"/>
        <v>33</v>
      </c>
      <c r="I58" s="94">
        <f t="shared" si="89"/>
        <v>2827</v>
      </c>
      <c r="J58" s="94">
        <f t="shared" si="89"/>
        <v>0</v>
      </c>
      <c r="K58" s="94">
        <f>SUM(K56:K57)</f>
        <v>2827</v>
      </c>
      <c r="L58" s="104" t="s">
        <v>12</v>
      </c>
      <c r="M58" s="528"/>
      <c r="N58" s="1"/>
      <c r="O58" s="103"/>
    </row>
    <row r="59" spans="3:15" ht="12.75" customHeight="1" thickBot="1" x14ac:dyDescent="0.25">
      <c r="C59" s="94">
        <f t="shared" ref="C59:C60" si="90">SUM(D59:E59)</f>
        <v>396</v>
      </c>
      <c r="D59" s="94">
        <f t="shared" ref="D59:E60" si="91">J59+G59</f>
        <v>0</v>
      </c>
      <c r="E59" s="94">
        <f t="shared" si="91"/>
        <v>396</v>
      </c>
      <c r="F59" s="94">
        <f t="shared" ref="F59:F60" si="92">SUM(G59:H59)</f>
        <v>8</v>
      </c>
      <c r="G59" s="94">
        <v>0</v>
      </c>
      <c r="H59" s="94">
        <v>8</v>
      </c>
      <c r="I59" s="94">
        <f t="shared" ref="I59:I60" si="93">SUM(J59:K59)</f>
        <v>388</v>
      </c>
      <c r="J59" s="94">
        <v>0</v>
      </c>
      <c r="K59" s="94">
        <v>388</v>
      </c>
      <c r="L59" s="104" t="s">
        <v>233</v>
      </c>
      <c r="M59" s="526" t="s">
        <v>179</v>
      </c>
      <c r="N59" s="1"/>
      <c r="O59" s="103"/>
    </row>
    <row r="60" spans="3:15" ht="12.75" customHeight="1" thickBot="1" x14ac:dyDescent="0.25">
      <c r="C60" s="94">
        <f t="shared" si="90"/>
        <v>0</v>
      </c>
      <c r="D60" s="94">
        <f t="shared" si="91"/>
        <v>0</v>
      </c>
      <c r="E60" s="94">
        <f t="shared" si="91"/>
        <v>0</v>
      </c>
      <c r="F60" s="94">
        <f t="shared" si="92"/>
        <v>0</v>
      </c>
      <c r="G60" s="94">
        <v>0</v>
      </c>
      <c r="H60" s="94">
        <v>0</v>
      </c>
      <c r="I60" s="94">
        <f t="shared" si="93"/>
        <v>0</v>
      </c>
      <c r="J60" s="94">
        <v>0</v>
      </c>
      <c r="K60" s="94">
        <v>0</v>
      </c>
      <c r="L60" s="104" t="s">
        <v>234</v>
      </c>
      <c r="M60" s="527"/>
      <c r="N60" s="1"/>
    </row>
    <row r="61" spans="3:15" ht="12.75" customHeight="1" thickBot="1" x14ac:dyDescent="0.25">
      <c r="C61" s="94">
        <f t="shared" ref="C61:J61" si="94">SUM(C59:C60)</f>
        <v>396</v>
      </c>
      <c r="D61" s="94">
        <f t="shared" si="94"/>
        <v>0</v>
      </c>
      <c r="E61" s="94">
        <f t="shared" si="94"/>
        <v>396</v>
      </c>
      <c r="F61" s="94">
        <f t="shared" si="94"/>
        <v>8</v>
      </c>
      <c r="G61" s="94">
        <f t="shared" si="94"/>
        <v>0</v>
      </c>
      <c r="H61" s="94">
        <f t="shared" si="94"/>
        <v>8</v>
      </c>
      <c r="I61" s="94">
        <f t="shared" si="94"/>
        <v>388</v>
      </c>
      <c r="J61" s="94">
        <f t="shared" si="94"/>
        <v>0</v>
      </c>
      <c r="K61" s="94">
        <f>SUM(K59:K60)</f>
        <v>388</v>
      </c>
      <c r="L61" s="104" t="s">
        <v>12</v>
      </c>
      <c r="M61" s="528"/>
      <c r="N61" s="1"/>
      <c r="O61" s="103"/>
    </row>
    <row r="62" spans="3:15" ht="12.75" customHeight="1" thickBot="1" x14ac:dyDescent="0.25">
      <c r="C62" s="94">
        <f t="shared" ref="C62:C63" si="95">SUM(D62:E62)</f>
        <v>32612</v>
      </c>
      <c r="D62" s="94">
        <f t="shared" ref="D62:E63" si="96">J62+G62</f>
        <v>17128</v>
      </c>
      <c r="E62" s="94">
        <f t="shared" si="96"/>
        <v>15484</v>
      </c>
      <c r="F62" s="94">
        <f t="shared" ref="F62:F63" si="97">SUM(G62:H62)</f>
        <v>830</v>
      </c>
      <c r="G62" s="94">
        <v>702</v>
      </c>
      <c r="H62" s="94">
        <v>128</v>
      </c>
      <c r="I62" s="94">
        <f t="shared" ref="I62:I63" si="98">SUM(J62:K62)</f>
        <v>31782</v>
      </c>
      <c r="J62" s="94">
        <v>16426</v>
      </c>
      <c r="K62" s="94">
        <v>15356</v>
      </c>
      <c r="L62" s="104" t="s">
        <v>233</v>
      </c>
      <c r="M62" s="526" t="s">
        <v>180</v>
      </c>
      <c r="N62" s="1"/>
      <c r="O62" s="103"/>
    </row>
    <row r="63" spans="3:15" ht="12.75" customHeight="1" thickBot="1" x14ac:dyDescent="0.25">
      <c r="C63" s="94">
        <f t="shared" si="95"/>
        <v>882</v>
      </c>
      <c r="D63" s="94">
        <f t="shared" si="96"/>
        <v>50</v>
      </c>
      <c r="E63" s="94">
        <f t="shared" si="96"/>
        <v>832</v>
      </c>
      <c r="F63" s="94">
        <f t="shared" si="97"/>
        <v>0</v>
      </c>
      <c r="G63" s="94">
        <v>0</v>
      </c>
      <c r="H63" s="94">
        <v>0</v>
      </c>
      <c r="I63" s="94">
        <f t="shared" si="98"/>
        <v>882</v>
      </c>
      <c r="J63" s="94">
        <v>50</v>
      </c>
      <c r="K63" s="94">
        <v>832</v>
      </c>
      <c r="L63" s="104" t="s">
        <v>234</v>
      </c>
      <c r="M63" s="527"/>
      <c r="N63" s="1"/>
    </row>
    <row r="64" spans="3:15" ht="12.75" customHeight="1" thickBot="1" x14ac:dyDescent="0.25">
      <c r="C64" s="94">
        <f t="shared" ref="C64:J64" si="99">SUM(C62:C63)</f>
        <v>33494</v>
      </c>
      <c r="D64" s="94">
        <f t="shared" si="99"/>
        <v>17178</v>
      </c>
      <c r="E64" s="94">
        <f t="shared" si="99"/>
        <v>16316</v>
      </c>
      <c r="F64" s="94">
        <f t="shared" si="99"/>
        <v>830</v>
      </c>
      <c r="G64" s="94">
        <f t="shared" si="99"/>
        <v>702</v>
      </c>
      <c r="H64" s="94">
        <f t="shared" si="99"/>
        <v>128</v>
      </c>
      <c r="I64" s="94">
        <f t="shared" si="99"/>
        <v>32664</v>
      </c>
      <c r="J64" s="94">
        <f t="shared" si="99"/>
        <v>16476</v>
      </c>
      <c r="K64" s="94">
        <f>SUM(K62:K63)</f>
        <v>16188</v>
      </c>
      <c r="L64" s="104" t="s">
        <v>12</v>
      </c>
      <c r="M64" s="528"/>
      <c r="N64" s="1"/>
      <c r="O64" s="103"/>
    </row>
    <row r="65" spans="3:15" ht="12.75" customHeight="1" thickBot="1" x14ac:dyDescent="0.25">
      <c r="C65" s="94">
        <f t="shared" ref="C65:C66" si="100">SUM(D65:E65)</f>
        <v>9152</v>
      </c>
      <c r="D65" s="94">
        <f t="shared" ref="D65:E66" si="101">J65+G65</f>
        <v>6827</v>
      </c>
      <c r="E65" s="94">
        <f t="shared" si="101"/>
        <v>2325</v>
      </c>
      <c r="F65" s="94">
        <f t="shared" ref="F65:F66" si="102">SUM(G65:H65)</f>
        <v>103</v>
      </c>
      <c r="G65" s="94">
        <v>91</v>
      </c>
      <c r="H65" s="94">
        <v>12</v>
      </c>
      <c r="I65" s="94">
        <f t="shared" ref="I65:I66" si="103">SUM(J65:K65)</f>
        <v>9049</v>
      </c>
      <c r="J65" s="94">
        <v>6736</v>
      </c>
      <c r="K65" s="94">
        <v>2313</v>
      </c>
      <c r="L65" s="104" t="s">
        <v>233</v>
      </c>
      <c r="M65" s="526" t="s">
        <v>181</v>
      </c>
      <c r="N65" s="1"/>
      <c r="O65" s="103"/>
    </row>
    <row r="66" spans="3:15" ht="12.75" customHeight="1" thickBot="1" x14ac:dyDescent="0.25">
      <c r="C66" s="94">
        <f t="shared" si="100"/>
        <v>0</v>
      </c>
      <c r="D66" s="94">
        <f t="shared" si="101"/>
        <v>0</v>
      </c>
      <c r="E66" s="94">
        <f t="shared" si="101"/>
        <v>0</v>
      </c>
      <c r="F66" s="94">
        <f t="shared" si="102"/>
        <v>0</v>
      </c>
      <c r="G66" s="94">
        <v>0</v>
      </c>
      <c r="H66" s="94">
        <v>0</v>
      </c>
      <c r="I66" s="94">
        <f t="shared" si="103"/>
        <v>0</v>
      </c>
      <c r="J66" s="94">
        <v>0</v>
      </c>
      <c r="K66" s="94">
        <v>0</v>
      </c>
      <c r="L66" s="104" t="s">
        <v>234</v>
      </c>
      <c r="M66" s="527"/>
      <c r="N66" s="1"/>
    </row>
    <row r="67" spans="3:15" ht="12.75" customHeight="1" thickBot="1" x14ac:dyDescent="0.25">
      <c r="C67" s="94">
        <f t="shared" ref="C67:J67" si="104">SUM(C65:C66)</f>
        <v>9152</v>
      </c>
      <c r="D67" s="94">
        <f t="shared" si="104"/>
        <v>6827</v>
      </c>
      <c r="E67" s="94">
        <f t="shared" si="104"/>
        <v>2325</v>
      </c>
      <c r="F67" s="94">
        <f t="shared" si="104"/>
        <v>103</v>
      </c>
      <c r="G67" s="94">
        <f t="shared" si="104"/>
        <v>91</v>
      </c>
      <c r="H67" s="94">
        <f t="shared" si="104"/>
        <v>12</v>
      </c>
      <c r="I67" s="94">
        <f t="shared" si="104"/>
        <v>9049</v>
      </c>
      <c r="J67" s="94">
        <f t="shared" si="104"/>
        <v>6736</v>
      </c>
      <c r="K67" s="94">
        <f>SUM(K65:K66)</f>
        <v>2313</v>
      </c>
      <c r="L67" s="104" t="s">
        <v>12</v>
      </c>
      <c r="M67" s="528"/>
      <c r="N67" s="1"/>
      <c r="O67" s="103"/>
    </row>
    <row r="68" spans="3:15" ht="12.75" customHeight="1" thickBot="1" x14ac:dyDescent="0.25">
      <c r="C68" s="94">
        <f t="shared" ref="C68:C69" si="105">SUM(D68:E68)</f>
        <v>1102</v>
      </c>
      <c r="D68" s="94">
        <f t="shared" ref="D68:E69" si="106">J68+G68</f>
        <v>376</v>
      </c>
      <c r="E68" s="94">
        <f t="shared" si="106"/>
        <v>726</v>
      </c>
      <c r="F68" s="94">
        <f t="shared" ref="F68:F69" si="107">SUM(G68:H68)</f>
        <v>156</v>
      </c>
      <c r="G68" s="94">
        <v>110</v>
      </c>
      <c r="H68" s="94">
        <v>46</v>
      </c>
      <c r="I68" s="94">
        <f t="shared" ref="I68:I69" si="108">SUM(J68:K68)</f>
        <v>946</v>
      </c>
      <c r="J68" s="94">
        <v>266</v>
      </c>
      <c r="K68" s="94">
        <v>680</v>
      </c>
      <c r="L68" s="104" t="s">
        <v>233</v>
      </c>
      <c r="M68" s="526" t="s">
        <v>53</v>
      </c>
      <c r="N68" s="1"/>
      <c r="O68" s="103"/>
    </row>
    <row r="69" spans="3:15" ht="12.75" customHeight="1" thickBot="1" x14ac:dyDescent="0.25">
      <c r="C69" s="94">
        <f t="shared" si="105"/>
        <v>0</v>
      </c>
      <c r="D69" s="94">
        <f t="shared" si="106"/>
        <v>0</v>
      </c>
      <c r="E69" s="94">
        <f t="shared" si="106"/>
        <v>0</v>
      </c>
      <c r="F69" s="94">
        <f t="shared" si="107"/>
        <v>0</v>
      </c>
      <c r="G69" s="94">
        <v>0</v>
      </c>
      <c r="H69" s="94">
        <v>0</v>
      </c>
      <c r="I69" s="94">
        <f t="shared" si="108"/>
        <v>0</v>
      </c>
      <c r="J69" s="94">
        <v>0</v>
      </c>
      <c r="K69" s="94">
        <v>0</v>
      </c>
      <c r="L69" s="104" t="s">
        <v>234</v>
      </c>
      <c r="M69" s="527"/>
      <c r="N69" s="1"/>
    </row>
    <row r="70" spans="3:15" ht="12.75" customHeight="1" thickBot="1" x14ac:dyDescent="0.25">
      <c r="C70" s="94">
        <f t="shared" ref="C70:J70" si="109">SUM(C68:C69)</f>
        <v>1102</v>
      </c>
      <c r="D70" s="94">
        <f t="shared" si="109"/>
        <v>376</v>
      </c>
      <c r="E70" s="94">
        <f t="shared" si="109"/>
        <v>726</v>
      </c>
      <c r="F70" s="94">
        <f t="shared" si="109"/>
        <v>156</v>
      </c>
      <c r="G70" s="94">
        <f t="shared" si="109"/>
        <v>110</v>
      </c>
      <c r="H70" s="94">
        <f t="shared" si="109"/>
        <v>46</v>
      </c>
      <c r="I70" s="94">
        <f t="shared" si="109"/>
        <v>946</v>
      </c>
      <c r="J70" s="94">
        <f t="shared" si="109"/>
        <v>266</v>
      </c>
      <c r="K70" s="94">
        <f>SUM(K68:K69)</f>
        <v>680</v>
      </c>
      <c r="L70" s="104" t="s">
        <v>12</v>
      </c>
      <c r="M70" s="528"/>
      <c r="N70" s="1"/>
      <c r="O70" s="103"/>
    </row>
    <row r="71" spans="3:15" ht="12.75" customHeight="1" thickBot="1" x14ac:dyDescent="0.25">
      <c r="C71" s="94">
        <f t="shared" ref="C71:K73" si="110">C5+C8+C11+C14+C17+C20+C23+C26+C29+C32+C35+C38+C41+C44+C47+C50+C53+C56+C59+C62+C65+C68</f>
        <v>525149</v>
      </c>
      <c r="D71" s="94">
        <f t="shared" si="110"/>
        <v>321968</v>
      </c>
      <c r="E71" s="94">
        <f t="shared" si="110"/>
        <v>203181</v>
      </c>
      <c r="F71" s="94">
        <f t="shared" si="110"/>
        <v>13670</v>
      </c>
      <c r="G71" s="94">
        <f t="shared" si="110"/>
        <v>6001</v>
      </c>
      <c r="H71" s="94">
        <f t="shared" si="110"/>
        <v>7669</v>
      </c>
      <c r="I71" s="94">
        <f t="shared" si="110"/>
        <v>511479</v>
      </c>
      <c r="J71" s="94">
        <f t="shared" si="110"/>
        <v>315967</v>
      </c>
      <c r="K71" s="94">
        <f>K5+K8+K11+K14+K17+K20+K23+K26+K29+K32+K35+K38+K41+K44+K47+K50+K53+K56+K59+K62+K65+K68</f>
        <v>195512</v>
      </c>
      <c r="L71" s="104" t="s">
        <v>236</v>
      </c>
      <c r="M71" s="523" t="s">
        <v>188</v>
      </c>
      <c r="N71" s="1"/>
      <c r="O71" s="103"/>
    </row>
    <row r="72" spans="3:15" ht="12.75" customHeight="1" thickBot="1" x14ac:dyDescent="0.25">
      <c r="C72" s="94">
        <f t="shared" si="110"/>
        <v>88955</v>
      </c>
      <c r="D72" s="94">
        <f t="shared" si="110"/>
        <v>59659</v>
      </c>
      <c r="E72" s="94">
        <f t="shared" si="110"/>
        <v>29296</v>
      </c>
      <c r="F72" s="94">
        <f t="shared" si="110"/>
        <v>1662</v>
      </c>
      <c r="G72" s="94">
        <f t="shared" si="110"/>
        <v>1094</v>
      </c>
      <c r="H72" s="94">
        <f t="shared" si="110"/>
        <v>568</v>
      </c>
      <c r="I72" s="94">
        <f t="shared" si="110"/>
        <v>87293</v>
      </c>
      <c r="J72" s="94">
        <f t="shared" si="110"/>
        <v>58565</v>
      </c>
      <c r="K72" s="94">
        <f t="shared" si="110"/>
        <v>28728</v>
      </c>
      <c r="L72" s="104" t="s">
        <v>237</v>
      </c>
      <c r="M72" s="524"/>
      <c r="N72" s="1"/>
      <c r="O72" s="103"/>
    </row>
    <row r="73" spans="3:15" ht="12.75" customHeight="1" thickBot="1" x14ac:dyDescent="0.25">
      <c r="C73" s="94">
        <f t="shared" si="110"/>
        <v>614104</v>
      </c>
      <c r="D73" s="94">
        <f t="shared" si="110"/>
        <v>381627</v>
      </c>
      <c r="E73" s="94">
        <f t="shared" si="110"/>
        <v>232477</v>
      </c>
      <c r="F73" s="94">
        <f t="shared" si="110"/>
        <v>15332</v>
      </c>
      <c r="G73" s="94">
        <f t="shared" si="110"/>
        <v>7095</v>
      </c>
      <c r="H73" s="94">
        <f t="shared" si="110"/>
        <v>8237</v>
      </c>
      <c r="I73" s="94">
        <f t="shared" si="110"/>
        <v>598772</v>
      </c>
      <c r="J73" s="94">
        <f t="shared" si="110"/>
        <v>374532</v>
      </c>
      <c r="K73" s="94">
        <f t="shared" si="110"/>
        <v>224240</v>
      </c>
      <c r="L73" s="104" t="s">
        <v>12</v>
      </c>
      <c r="M73" s="525"/>
      <c r="N73" s="1"/>
      <c r="O73" s="103"/>
    </row>
  </sheetData>
  <mergeCells count="29">
    <mergeCell ref="M65:M67"/>
    <mergeCell ref="M68:M70"/>
    <mergeCell ref="M41:M43"/>
    <mergeCell ref="M44:M46"/>
    <mergeCell ref="M47:M49"/>
    <mergeCell ref="M50:M52"/>
    <mergeCell ref="M53:M55"/>
    <mergeCell ref="M71:M73"/>
    <mergeCell ref="M38:M40"/>
    <mergeCell ref="M5:M7"/>
    <mergeCell ref="M8:M10"/>
    <mergeCell ref="M11:M13"/>
    <mergeCell ref="M14:M16"/>
    <mergeCell ref="M17:M19"/>
    <mergeCell ref="M20:M22"/>
    <mergeCell ref="M23:M25"/>
    <mergeCell ref="M26:M28"/>
    <mergeCell ref="M29:M31"/>
    <mergeCell ref="M32:M34"/>
    <mergeCell ref="M35:M37"/>
    <mergeCell ref="M56:M58"/>
    <mergeCell ref="M59:M61"/>
    <mergeCell ref="M62:M64"/>
    <mergeCell ref="C1:M1"/>
    <mergeCell ref="C2:M2"/>
    <mergeCell ref="C3:E3"/>
    <mergeCell ref="F3:H3"/>
    <mergeCell ref="I3:K3"/>
    <mergeCell ref="L3:M4"/>
  </mergeCells>
  <pageMargins left="0.4" right="0.4" top="0.25" bottom="0.25" header="0.25" footer="0.25"/>
  <pageSetup paperSize="9" orientation="landscape" horizontalDpi="300" verticalDpi="300" r:id="rId1"/>
  <headerFooter alignWithMargins="0"/>
  <rowBreaks count="1" manualBreakCount="1">
    <brk id="43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D1:P53"/>
  <sheetViews>
    <sheetView showGridLines="0" topLeftCell="A19" zoomScale="90" zoomScaleNormal="90" zoomScaleSheetLayoutView="89" workbookViewId="0">
      <selection activeCell="J56" sqref="J56"/>
    </sheetView>
  </sheetViews>
  <sheetFormatPr defaultRowHeight="12.75" x14ac:dyDescent="0.2"/>
  <cols>
    <col min="1" max="3" width="9" style="2"/>
    <col min="4" max="12" width="9.625" style="80" customWidth="1"/>
    <col min="13" max="13" width="9.625" style="2" customWidth="1"/>
    <col min="14" max="14" width="34.25" style="2" customWidth="1"/>
    <col min="15" max="15" width="3.625" style="2" customWidth="1"/>
    <col min="16" max="258" width="9" style="2"/>
    <col min="259" max="268" width="9.625" style="2" customWidth="1"/>
    <col min="269" max="269" width="34.25" style="2" customWidth="1"/>
    <col min="270" max="270" width="3.625" style="2" customWidth="1"/>
    <col min="271" max="514" width="9" style="2"/>
    <col min="515" max="524" width="9.625" style="2" customWidth="1"/>
    <col min="525" max="525" width="34.25" style="2" customWidth="1"/>
    <col min="526" max="526" width="3.625" style="2" customWidth="1"/>
    <col min="527" max="770" width="9" style="2"/>
    <col min="771" max="780" width="9.625" style="2" customWidth="1"/>
    <col min="781" max="781" width="34.25" style="2" customWidth="1"/>
    <col min="782" max="782" width="3.625" style="2" customWidth="1"/>
    <col min="783" max="1026" width="9" style="2"/>
    <col min="1027" max="1036" width="9.625" style="2" customWidth="1"/>
    <col min="1037" max="1037" width="34.25" style="2" customWidth="1"/>
    <col min="1038" max="1038" width="3.625" style="2" customWidth="1"/>
    <col min="1039" max="1282" width="9" style="2"/>
    <col min="1283" max="1292" width="9.625" style="2" customWidth="1"/>
    <col min="1293" max="1293" width="34.25" style="2" customWidth="1"/>
    <col min="1294" max="1294" width="3.625" style="2" customWidth="1"/>
    <col min="1295" max="1538" width="9" style="2"/>
    <col min="1539" max="1548" width="9.625" style="2" customWidth="1"/>
    <col min="1549" max="1549" width="34.25" style="2" customWidth="1"/>
    <col min="1550" max="1550" width="3.625" style="2" customWidth="1"/>
    <col min="1551" max="1794" width="9" style="2"/>
    <col min="1795" max="1804" width="9.625" style="2" customWidth="1"/>
    <col min="1805" max="1805" width="34.25" style="2" customWidth="1"/>
    <col min="1806" max="1806" width="3.625" style="2" customWidth="1"/>
    <col min="1807" max="2050" width="9" style="2"/>
    <col min="2051" max="2060" width="9.625" style="2" customWidth="1"/>
    <col min="2061" max="2061" width="34.25" style="2" customWidth="1"/>
    <col min="2062" max="2062" width="3.625" style="2" customWidth="1"/>
    <col min="2063" max="2306" width="9" style="2"/>
    <col min="2307" max="2316" width="9.625" style="2" customWidth="1"/>
    <col min="2317" max="2317" width="34.25" style="2" customWidth="1"/>
    <col min="2318" max="2318" width="3.625" style="2" customWidth="1"/>
    <col min="2319" max="2562" width="9" style="2"/>
    <col min="2563" max="2572" width="9.625" style="2" customWidth="1"/>
    <col min="2573" max="2573" width="34.25" style="2" customWidth="1"/>
    <col min="2574" max="2574" width="3.625" style="2" customWidth="1"/>
    <col min="2575" max="2818" width="9" style="2"/>
    <col min="2819" max="2828" width="9.625" style="2" customWidth="1"/>
    <col min="2829" max="2829" width="34.25" style="2" customWidth="1"/>
    <col min="2830" max="2830" width="3.625" style="2" customWidth="1"/>
    <col min="2831" max="3074" width="9" style="2"/>
    <col min="3075" max="3084" width="9.625" style="2" customWidth="1"/>
    <col min="3085" max="3085" width="34.25" style="2" customWidth="1"/>
    <col min="3086" max="3086" width="3.625" style="2" customWidth="1"/>
    <col min="3087" max="3330" width="9" style="2"/>
    <col min="3331" max="3340" width="9.625" style="2" customWidth="1"/>
    <col min="3341" max="3341" width="34.25" style="2" customWidth="1"/>
    <col min="3342" max="3342" width="3.625" style="2" customWidth="1"/>
    <col min="3343" max="3586" width="9" style="2"/>
    <col min="3587" max="3596" width="9.625" style="2" customWidth="1"/>
    <col min="3597" max="3597" width="34.25" style="2" customWidth="1"/>
    <col min="3598" max="3598" width="3.625" style="2" customWidth="1"/>
    <col min="3599" max="3842" width="9" style="2"/>
    <col min="3843" max="3852" width="9.625" style="2" customWidth="1"/>
    <col min="3853" max="3853" width="34.25" style="2" customWidth="1"/>
    <col min="3854" max="3854" width="3.625" style="2" customWidth="1"/>
    <col min="3855" max="4098" width="9" style="2"/>
    <col min="4099" max="4108" width="9.625" style="2" customWidth="1"/>
    <col min="4109" max="4109" width="34.25" style="2" customWidth="1"/>
    <col min="4110" max="4110" width="3.625" style="2" customWidth="1"/>
    <col min="4111" max="4354" width="9" style="2"/>
    <col min="4355" max="4364" width="9.625" style="2" customWidth="1"/>
    <col min="4365" max="4365" width="34.25" style="2" customWidth="1"/>
    <col min="4366" max="4366" width="3.625" style="2" customWidth="1"/>
    <col min="4367" max="4610" width="9" style="2"/>
    <col min="4611" max="4620" width="9.625" style="2" customWidth="1"/>
    <col min="4621" max="4621" width="34.25" style="2" customWidth="1"/>
    <col min="4622" max="4622" width="3.625" style="2" customWidth="1"/>
    <col min="4623" max="4866" width="9" style="2"/>
    <col min="4867" max="4876" width="9.625" style="2" customWidth="1"/>
    <col min="4877" max="4877" width="34.25" style="2" customWidth="1"/>
    <col min="4878" max="4878" width="3.625" style="2" customWidth="1"/>
    <col min="4879" max="5122" width="9" style="2"/>
    <col min="5123" max="5132" width="9.625" style="2" customWidth="1"/>
    <col min="5133" max="5133" width="34.25" style="2" customWidth="1"/>
    <col min="5134" max="5134" width="3.625" style="2" customWidth="1"/>
    <col min="5135" max="5378" width="9" style="2"/>
    <col min="5379" max="5388" width="9.625" style="2" customWidth="1"/>
    <col min="5389" max="5389" width="34.25" style="2" customWidth="1"/>
    <col min="5390" max="5390" width="3.625" style="2" customWidth="1"/>
    <col min="5391" max="5634" width="9" style="2"/>
    <col min="5635" max="5644" width="9.625" style="2" customWidth="1"/>
    <col min="5645" max="5645" width="34.25" style="2" customWidth="1"/>
    <col min="5646" max="5646" width="3.625" style="2" customWidth="1"/>
    <col min="5647" max="5890" width="9" style="2"/>
    <col min="5891" max="5900" width="9.625" style="2" customWidth="1"/>
    <col min="5901" max="5901" width="34.25" style="2" customWidth="1"/>
    <col min="5902" max="5902" width="3.625" style="2" customWidth="1"/>
    <col min="5903" max="6146" width="9" style="2"/>
    <col min="6147" max="6156" width="9.625" style="2" customWidth="1"/>
    <col min="6157" max="6157" width="34.25" style="2" customWidth="1"/>
    <col min="6158" max="6158" width="3.625" style="2" customWidth="1"/>
    <col min="6159" max="6402" width="9" style="2"/>
    <col min="6403" max="6412" width="9.625" style="2" customWidth="1"/>
    <col min="6413" max="6413" width="34.25" style="2" customWidth="1"/>
    <col min="6414" max="6414" width="3.625" style="2" customWidth="1"/>
    <col min="6415" max="6658" width="9" style="2"/>
    <col min="6659" max="6668" width="9.625" style="2" customWidth="1"/>
    <col min="6669" max="6669" width="34.25" style="2" customWidth="1"/>
    <col min="6670" max="6670" width="3.625" style="2" customWidth="1"/>
    <col min="6671" max="6914" width="9" style="2"/>
    <col min="6915" max="6924" width="9.625" style="2" customWidth="1"/>
    <col min="6925" max="6925" width="34.25" style="2" customWidth="1"/>
    <col min="6926" max="6926" width="3.625" style="2" customWidth="1"/>
    <col min="6927" max="7170" width="9" style="2"/>
    <col min="7171" max="7180" width="9.625" style="2" customWidth="1"/>
    <col min="7181" max="7181" width="34.25" style="2" customWidth="1"/>
    <col min="7182" max="7182" width="3.625" style="2" customWidth="1"/>
    <col min="7183" max="7426" width="9" style="2"/>
    <col min="7427" max="7436" width="9.625" style="2" customWidth="1"/>
    <col min="7437" max="7437" width="34.25" style="2" customWidth="1"/>
    <col min="7438" max="7438" width="3.625" style="2" customWidth="1"/>
    <col min="7439" max="7682" width="9" style="2"/>
    <col min="7683" max="7692" width="9.625" style="2" customWidth="1"/>
    <col min="7693" max="7693" width="34.25" style="2" customWidth="1"/>
    <col min="7694" max="7694" width="3.625" style="2" customWidth="1"/>
    <col min="7695" max="7938" width="9" style="2"/>
    <col min="7939" max="7948" width="9.625" style="2" customWidth="1"/>
    <col min="7949" max="7949" width="34.25" style="2" customWidth="1"/>
    <col min="7950" max="7950" width="3.625" style="2" customWidth="1"/>
    <col min="7951" max="8194" width="9" style="2"/>
    <col min="8195" max="8204" width="9.625" style="2" customWidth="1"/>
    <col min="8205" max="8205" width="34.25" style="2" customWidth="1"/>
    <col min="8206" max="8206" width="3.625" style="2" customWidth="1"/>
    <col min="8207" max="8450" width="9" style="2"/>
    <col min="8451" max="8460" width="9.625" style="2" customWidth="1"/>
    <col min="8461" max="8461" width="34.25" style="2" customWidth="1"/>
    <col min="8462" max="8462" width="3.625" style="2" customWidth="1"/>
    <col min="8463" max="8706" width="9" style="2"/>
    <col min="8707" max="8716" width="9.625" style="2" customWidth="1"/>
    <col min="8717" max="8717" width="34.25" style="2" customWidth="1"/>
    <col min="8718" max="8718" width="3.625" style="2" customWidth="1"/>
    <col min="8719" max="8962" width="9" style="2"/>
    <col min="8963" max="8972" width="9.625" style="2" customWidth="1"/>
    <col min="8973" max="8973" width="34.25" style="2" customWidth="1"/>
    <col min="8974" max="8974" width="3.625" style="2" customWidth="1"/>
    <col min="8975" max="9218" width="9" style="2"/>
    <col min="9219" max="9228" width="9.625" style="2" customWidth="1"/>
    <col min="9229" max="9229" width="34.25" style="2" customWidth="1"/>
    <col min="9230" max="9230" width="3.625" style="2" customWidth="1"/>
    <col min="9231" max="9474" width="9" style="2"/>
    <col min="9475" max="9484" width="9.625" style="2" customWidth="1"/>
    <col min="9485" max="9485" width="34.25" style="2" customWidth="1"/>
    <col min="9486" max="9486" width="3.625" style="2" customWidth="1"/>
    <col min="9487" max="9730" width="9" style="2"/>
    <col min="9731" max="9740" width="9.625" style="2" customWidth="1"/>
    <col min="9741" max="9741" width="34.25" style="2" customWidth="1"/>
    <col min="9742" max="9742" width="3.625" style="2" customWidth="1"/>
    <col min="9743" max="9986" width="9" style="2"/>
    <col min="9987" max="9996" width="9.625" style="2" customWidth="1"/>
    <col min="9997" max="9997" width="34.25" style="2" customWidth="1"/>
    <col min="9998" max="9998" width="3.625" style="2" customWidth="1"/>
    <col min="9999" max="10242" width="9" style="2"/>
    <col min="10243" max="10252" width="9.625" style="2" customWidth="1"/>
    <col min="10253" max="10253" width="34.25" style="2" customWidth="1"/>
    <col min="10254" max="10254" width="3.625" style="2" customWidth="1"/>
    <col min="10255" max="10498" width="9" style="2"/>
    <col min="10499" max="10508" width="9.625" style="2" customWidth="1"/>
    <col min="10509" max="10509" width="34.25" style="2" customWidth="1"/>
    <col min="10510" max="10510" width="3.625" style="2" customWidth="1"/>
    <col min="10511" max="10754" width="9" style="2"/>
    <col min="10755" max="10764" width="9.625" style="2" customWidth="1"/>
    <col min="10765" max="10765" width="34.25" style="2" customWidth="1"/>
    <col min="10766" max="10766" width="3.625" style="2" customWidth="1"/>
    <col min="10767" max="11010" width="9" style="2"/>
    <col min="11011" max="11020" width="9.625" style="2" customWidth="1"/>
    <col min="11021" max="11021" width="34.25" style="2" customWidth="1"/>
    <col min="11022" max="11022" width="3.625" style="2" customWidth="1"/>
    <col min="11023" max="11266" width="9" style="2"/>
    <col min="11267" max="11276" width="9.625" style="2" customWidth="1"/>
    <col min="11277" max="11277" width="34.25" style="2" customWidth="1"/>
    <col min="11278" max="11278" width="3.625" style="2" customWidth="1"/>
    <col min="11279" max="11522" width="9" style="2"/>
    <col min="11523" max="11532" width="9.625" style="2" customWidth="1"/>
    <col min="11533" max="11533" width="34.25" style="2" customWidth="1"/>
    <col min="11534" max="11534" width="3.625" style="2" customWidth="1"/>
    <col min="11535" max="11778" width="9" style="2"/>
    <col min="11779" max="11788" width="9.625" style="2" customWidth="1"/>
    <col min="11789" max="11789" width="34.25" style="2" customWidth="1"/>
    <col min="11790" max="11790" width="3.625" style="2" customWidth="1"/>
    <col min="11791" max="12034" width="9" style="2"/>
    <col min="12035" max="12044" width="9.625" style="2" customWidth="1"/>
    <col min="12045" max="12045" width="34.25" style="2" customWidth="1"/>
    <col min="12046" max="12046" width="3.625" style="2" customWidth="1"/>
    <col min="12047" max="12290" width="9" style="2"/>
    <col min="12291" max="12300" width="9.625" style="2" customWidth="1"/>
    <col min="12301" max="12301" width="34.25" style="2" customWidth="1"/>
    <col min="12302" max="12302" width="3.625" style="2" customWidth="1"/>
    <col min="12303" max="12546" width="9" style="2"/>
    <col min="12547" max="12556" width="9.625" style="2" customWidth="1"/>
    <col min="12557" max="12557" width="34.25" style="2" customWidth="1"/>
    <col min="12558" max="12558" width="3.625" style="2" customWidth="1"/>
    <col min="12559" max="12802" width="9" style="2"/>
    <col min="12803" max="12812" width="9.625" style="2" customWidth="1"/>
    <col min="12813" max="12813" width="34.25" style="2" customWidth="1"/>
    <col min="12814" max="12814" width="3.625" style="2" customWidth="1"/>
    <col min="12815" max="13058" width="9" style="2"/>
    <col min="13059" max="13068" width="9.625" style="2" customWidth="1"/>
    <col min="13069" max="13069" width="34.25" style="2" customWidth="1"/>
    <col min="13070" max="13070" width="3.625" style="2" customWidth="1"/>
    <col min="13071" max="13314" width="9" style="2"/>
    <col min="13315" max="13324" width="9.625" style="2" customWidth="1"/>
    <col min="13325" max="13325" width="34.25" style="2" customWidth="1"/>
    <col min="13326" max="13326" width="3.625" style="2" customWidth="1"/>
    <col min="13327" max="13570" width="9" style="2"/>
    <col min="13571" max="13580" width="9.625" style="2" customWidth="1"/>
    <col min="13581" max="13581" width="34.25" style="2" customWidth="1"/>
    <col min="13582" max="13582" width="3.625" style="2" customWidth="1"/>
    <col min="13583" max="13826" width="9" style="2"/>
    <col min="13827" max="13836" width="9.625" style="2" customWidth="1"/>
    <col min="13837" max="13837" width="34.25" style="2" customWidth="1"/>
    <col min="13838" max="13838" width="3.625" style="2" customWidth="1"/>
    <col min="13839" max="14082" width="9" style="2"/>
    <col min="14083" max="14092" width="9.625" style="2" customWidth="1"/>
    <col min="14093" max="14093" width="34.25" style="2" customWidth="1"/>
    <col min="14094" max="14094" width="3.625" style="2" customWidth="1"/>
    <col min="14095" max="14338" width="9" style="2"/>
    <col min="14339" max="14348" width="9.625" style="2" customWidth="1"/>
    <col min="14349" max="14349" width="34.25" style="2" customWidth="1"/>
    <col min="14350" max="14350" width="3.625" style="2" customWidth="1"/>
    <col min="14351" max="14594" width="9" style="2"/>
    <col min="14595" max="14604" width="9.625" style="2" customWidth="1"/>
    <col min="14605" max="14605" width="34.25" style="2" customWidth="1"/>
    <col min="14606" max="14606" width="3.625" style="2" customWidth="1"/>
    <col min="14607" max="14850" width="9" style="2"/>
    <col min="14851" max="14860" width="9.625" style="2" customWidth="1"/>
    <col min="14861" max="14861" width="34.25" style="2" customWidth="1"/>
    <col min="14862" max="14862" width="3.625" style="2" customWidth="1"/>
    <col min="14863" max="15106" width="9" style="2"/>
    <col min="15107" max="15116" width="9.625" style="2" customWidth="1"/>
    <col min="15117" max="15117" width="34.25" style="2" customWidth="1"/>
    <col min="15118" max="15118" width="3.625" style="2" customWidth="1"/>
    <col min="15119" max="15362" width="9" style="2"/>
    <col min="15363" max="15372" width="9.625" style="2" customWidth="1"/>
    <col min="15373" max="15373" width="34.25" style="2" customWidth="1"/>
    <col min="15374" max="15374" width="3.625" style="2" customWidth="1"/>
    <col min="15375" max="15618" width="9" style="2"/>
    <col min="15619" max="15628" width="9.625" style="2" customWidth="1"/>
    <col min="15629" max="15629" width="34.25" style="2" customWidth="1"/>
    <col min="15630" max="15630" width="3.625" style="2" customWidth="1"/>
    <col min="15631" max="15874" width="9" style="2"/>
    <col min="15875" max="15884" width="9.625" style="2" customWidth="1"/>
    <col min="15885" max="15885" width="34.25" style="2" customWidth="1"/>
    <col min="15886" max="15886" width="3.625" style="2" customWidth="1"/>
    <col min="15887" max="16130" width="9" style="2"/>
    <col min="16131" max="16140" width="9.625" style="2" customWidth="1"/>
    <col min="16141" max="16141" width="34.25" style="2" customWidth="1"/>
    <col min="16142" max="16142" width="3.625" style="2" customWidth="1"/>
    <col min="16143" max="16384" width="9" style="2"/>
  </cols>
  <sheetData>
    <row r="1" spans="4:16" ht="20.100000000000001" customHeight="1" x14ac:dyDescent="0.2">
      <c r="D1" s="501" t="s">
        <v>612</v>
      </c>
      <c r="E1" s="501"/>
      <c r="F1" s="501"/>
      <c r="G1" s="501"/>
      <c r="H1" s="501"/>
      <c r="I1" s="501"/>
      <c r="J1" s="501"/>
      <c r="K1" s="501"/>
      <c r="L1" s="501"/>
      <c r="M1" s="501"/>
      <c r="N1" s="501"/>
      <c r="O1" s="1"/>
    </row>
    <row r="2" spans="4:16" ht="20.100000000000001" customHeight="1" thickBot="1" x14ac:dyDescent="0.25">
      <c r="D2" s="502" t="s">
        <v>613</v>
      </c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1"/>
    </row>
    <row r="3" spans="4:16" ht="18" customHeight="1" thickBot="1" x14ac:dyDescent="0.25">
      <c r="D3" s="531" t="s">
        <v>4</v>
      </c>
      <c r="E3" s="531"/>
      <c r="F3" s="531"/>
      <c r="G3" s="531" t="s">
        <v>145</v>
      </c>
      <c r="H3" s="531"/>
      <c r="I3" s="531"/>
      <c r="J3" s="531" t="s">
        <v>146</v>
      </c>
      <c r="K3" s="531"/>
      <c r="L3" s="531"/>
      <c r="M3" s="532"/>
      <c r="N3" s="532"/>
      <c r="O3" s="1"/>
    </row>
    <row r="4" spans="4:16" ht="13.5" thickBot="1" x14ac:dyDescent="0.25">
      <c r="D4" s="106" t="s">
        <v>227</v>
      </c>
      <c r="E4" s="106" t="s">
        <v>10</v>
      </c>
      <c r="F4" s="106" t="s">
        <v>9</v>
      </c>
      <c r="G4" s="106" t="s">
        <v>227</v>
      </c>
      <c r="H4" s="106" t="s">
        <v>10</v>
      </c>
      <c r="I4" s="106" t="s">
        <v>9</v>
      </c>
      <c r="J4" s="106" t="s">
        <v>227</v>
      </c>
      <c r="K4" s="106" t="s">
        <v>10</v>
      </c>
      <c r="L4" s="106" t="s">
        <v>9</v>
      </c>
      <c r="M4" s="529" t="s">
        <v>66</v>
      </c>
      <c r="N4" s="529"/>
      <c r="O4" s="1"/>
    </row>
    <row r="5" spans="4:16" ht="13.5" thickBot="1" x14ac:dyDescent="0.25">
      <c r="D5" s="77">
        <f>SUM(E5:F5)</f>
        <v>516</v>
      </c>
      <c r="E5" s="77">
        <f>K5+H5</f>
        <v>273</v>
      </c>
      <c r="F5" s="77">
        <f>L5+I5</f>
        <v>243</v>
      </c>
      <c r="G5" s="77">
        <f>SUM(H5:I5)</f>
        <v>40</v>
      </c>
      <c r="H5" s="77">
        <v>8</v>
      </c>
      <c r="I5" s="77">
        <v>32</v>
      </c>
      <c r="J5" s="77">
        <f>SUM(K5:L5)</f>
        <v>476</v>
      </c>
      <c r="K5" s="77">
        <v>265</v>
      </c>
      <c r="L5" s="77">
        <v>211</v>
      </c>
      <c r="M5" s="107" t="s">
        <v>56</v>
      </c>
      <c r="N5" s="108"/>
      <c r="O5" s="1"/>
      <c r="P5" s="11"/>
    </row>
    <row r="6" spans="4:16" ht="13.5" thickBot="1" x14ac:dyDescent="0.25">
      <c r="D6" s="77">
        <f t="shared" ref="D6:D49" si="0">SUM(E6:F6)</f>
        <v>1162</v>
      </c>
      <c r="E6" s="77">
        <f t="shared" ref="E6:F49" si="1">K6+H6</f>
        <v>566</v>
      </c>
      <c r="F6" s="77">
        <f t="shared" si="1"/>
        <v>596</v>
      </c>
      <c r="G6" s="77">
        <f t="shared" ref="G6:G49" si="2">SUM(H6:I6)</f>
        <v>109</v>
      </c>
      <c r="H6" s="77">
        <v>31</v>
      </c>
      <c r="I6" s="77">
        <v>78</v>
      </c>
      <c r="J6" s="77">
        <f t="shared" ref="J6:J49" si="3">SUM(K6:L6)</f>
        <v>1053</v>
      </c>
      <c r="K6" s="77">
        <v>535</v>
      </c>
      <c r="L6" s="77">
        <v>518</v>
      </c>
      <c r="M6" s="107" t="s">
        <v>57</v>
      </c>
      <c r="N6" s="108" t="s">
        <v>68</v>
      </c>
      <c r="O6" s="1"/>
      <c r="P6" s="11"/>
    </row>
    <row r="7" spans="4:16" ht="13.5" thickBot="1" x14ac:dyDescent="0.25">
      <c r="D7" s="77">
        <f t="shared" si="0"/>
        <v>540</v>
      </c>
      <c r="E7" s="77">
        <f t="shared" si="1"/>
        <v>121</v>
      </c>
      <c r="F7" s="77">
        <f t="shared" si="1"/>
        <v>419</v>
      </c>
      <c r="G7" s="77">
        <f t="shared" si="2"/>
        <v>12</v>
      </c>
      <c r="H7" s="77">
        <v>1</v>
      </c>
      <c r="I7" s="77">
        <v>11</v>
      </c>
      <c r="J7" s="77">
        <f t="shared" si="3"/>
        <v>528</v>
      </c>
      <c r="K7" s="77">
        <v>120</v>
      </c>
      <c r="L7" s="77">
        <v>408</v>
      </c>
      <c r="M7" s="107" t="s">
        <v>59</v>
      </c>
      <c r="N7" s="109"/>
      <c r="O7" s="1"/>
    </row>
    <row r="8" spans="4:16" ht="13.5" thickBot="1" x14ac:dyDescent="0.25">
      <c r="D8" s="110">
        <f t="shared" si="0"/>
        <v>310</v>
      </c>
      <c r="E8" s="77">
        <f t="shared" si="1"/>
        <v>0</v>
      </c>
      <c r="F8" s="77">
        <f t="shared" si="1"/>
        <v>310</v>
      </c>
      <c r="G8" s="110">
        <f t="shared" si="2"/>
        <v>179</v>
      </c>
      <c r="H8" s="110">
        <v>0</v>
      </c>
      <c r="I8" s="110">
        <v>179</v>
      </c>
      <c r="J8" s="77">
        <f t="shared" si="3"/>
        <v>131</v>
      </c>
      <c r="K8" s="110">
        <v>0</v>
      </c>
      <c r="L8" s="110">
        <v>131</v>
      </c>
      <c r="M8" s="107" t="s">
        <v>56</v>
      </c>
      <c r="N8" s="108"/>
      <c r="O8" s="1"/>
    </row>
    <row r="9" spans="4:16" ht="13.5" thickBot="1" x14ac:dyDescent="0.25">
      <c r="D9" s="110">
        <f t="shared" si="0"/>
        <v>344</v>
      </c>
      <c r="E9" s="77">
        <f t="shared" si="1"/>
        <v>0</v>
      </c>
      <c r="F9" s="77">
        <f t="shared" si="1"/>
        <v>344</v>
      </c>
      <c r="G9" s="110">
        <f t="shared" si="2"/>
        <v>200</v>
      </c>
      <c r="H9" s="110">
        <v>0</v>
      </c>
      <c r="I9" s="110">
        <v>200</v>
      </c>
      <c r="J9" s="77">
        <f t="shared" si="3"/>
        <v>144</v>
      </c>
      <c r="K9" s="110">
        <v>0</v>
      </c>
      <c r="L9" s="110">
        <v>144</v>
      </c>
      <c r="M9" s="107" t="s">
        <v>57</v>
      </c>
      <c r="N9" s="108" t="s">
        <v>147</v>
      </c>
      <c r="O9" s="1"/>
      <c r="P9" s="11"/>
    </row>
    <row r="10" spans="4:16" ht="13.5" thickBot="1" x14ac:dyDescent="0.25">
      <c r="D10" s="110">
        <f t="shared" si="0"/>
        <v>117</v>
      </c>
      <c r="E10" s="77">
        <f t="shared" si="1"/>
        <v>0</v>
      </c>
      <c r="F10" s="77">
        <f t="shared" si="1"/>
        <v>117</v>
      </c>
      <c r="G10" s="110">
        <f t="shared" si="2"/>
        <v>78</v>
      </c>
      <c r="H10" s="110">
        <v>0</v>
      </c>
      <c r="I10" s="110">
        <v>78</v>
      </c>
      <c r="J10" s="77">
        <f t="shared" si="3"/>
        <v>39</v>
      </c>
      <c r="K10" s="110">
        <v>0</v>
      </c>
      <c r="L10" s="110">
        <v>39</v>
      </c>
      <c r="M10" s="107" t="s">
        <v>59</v>
      </c>
      <c r="N10" s="109"/>
      <c r="O10" s="1"/>
      <c r="P10" s="11"/>
    </row>
    <row r="11" spans="4:16" ht="13.5" thickBot="1" x14ac:dyDescent="0.25">
      <c r="D11" s="110">
        <f t="shared" si="0"/>
        <v>339</v>
      </c>
      <c r="E11" s="77">
        <f t="shared" si="1"/>
        <v>76</v>
      </c>
      <c r="F11" s="77">
        <f t="shared" si="1"/>
        <v>263</v>
      </c>
      <c r="G11" s="110">
        <f t="shared" si="2"/>
        <v>5</v>
      </c>
      <c r="H11" s="110">
        <v>1</v>
      </c>
      <c r="I11" s="110">
        <v>4</v>
      </c>
      <c r="J11" s="77">
        <f t="shared" si="3"/>
        <v>334</v>
      </c>
      <c r="K11" s="110">
        <v>75</v>
      </c>
      <c r="L11" s="110">
        <v>259</v>
      </c>
      <c r="M11" s="107" t="s">
        <v>56</v>
      </c>
      <c r="N11" s="108"/>
      <c r="O11" s="1"/>
    </row>
    <row r="12" spans="4:16" ht="13.5" thickBot="1" x14ac:dyDescent="0.25">
      <c r="D12" s="110">
        <f t="shared" si="0"/>
        <v>2334</v>
      </c>
      <c r="E12" s="77">
        <f t="shared" si="1"/>
        <v>744</v>
      </c>
      <c r="F12" s="77">
        <f t="shared" si="1"/>
        <v>1590</v>
      </c>
      <c r="G12" s="110">
        <f t="shared" si="2"/>
        <v>21</v>
      </c>
      <c r="H12" s="110">
        <v>3</v>
      </c>
      <c r="I12" s="110">
        <v>18</v>
      </c>
      <c r="J12" s="77">
        <f t="shared" si="3"/>
        <v>2313</v>
      </c>
      <c r="K12" s="110">
        <v>741</v>
      </c>
      <c r="L12" s="110">
        <v>1572</v>
      </c>
      <c r="M12" s="107" t="s">
        <v>57</v>
      </c>
      <c r="N12" s="108" t="s">
        <v>70</v>
      </c>
      <c r="O12" s="1"/>
    </row>
    <row r="13" spans="4:16" ht="13.5" thickBot="1" x14ac:dyDescent="0.25">
      <c r="D13" s="110">
        <f t="shared" si="0"/>
        <v>0</v>
      </c>
      <c r="E13" s="77">
        <f t="shared" si="1"/>
        <v>0</v>
      </c>
      <c r="F13" s="77">
        <f t="shared" si="1"/>
        <v>0</v>
      </c>
      <c r="G13" s="110">
        <f t="shared" si="2"/>
        <v>0</v>
      </c>
      <c r="H13" s="110">
        <v>0</v>
      </c>
      <c r="I13" s="110">
        <v>0</v>
      </c>
      <c r="J13" s="77">
        <f t="shared" si="3"/>
        <v>0</v>
      </c>
      <c r="K13" s="110">
        <v>0</v>
      </c>
      <c r="L13" s="110">
        <v>0</v>
      </c>
      <c r="M13" s="107" t="s">
        <v>59</v>
      </c>
      <c r="N13" s="109"/>
      <c r="O13" s="1"/>
    </row>
    <row r="14" spans="4:16" ht="13.5" thickBot="1" x14ac:dyDescent="0.25">
      <c r="D14" s="110">
        <f t="shared" si="0"/>
        <v>777</v>
      </c>
      <c r="E14" s="77">
        <f t="shared" si="1"/>
        <v>290</v>
      </c>
      <c r="F14" s="77">
        <f t="shared" si="1"/>
        <v>487</v>
      </c>
      <c r="G14" s="110">
        <f t="shared" si="2"/>
        <v>147</v>
      </c>
      <c r="H14" s="110">
        <v>24</v>
      </c>
      <c r="I14" s="110">
        <v>123</v>
      </c>
      <c r="J14" s="77">
        <f t="shared" si="3"/>
        <v>630</v>
      </c>
      <c r="K14" s="110">
        <v>266</v>
      </c>
      <c r="L14" s="110">
        <v>364</v>
      </c>
      <c r="M14" s="107" t="s">
        <v>56</v>
      </c>
      <c r="N14" s="108"/>
      <c r="O14" s="1"/>
    </row>
    <row r="15" spans="4:16" ht="13.5" thickBot="1" x14ac:dyDescent="0.25">
      <c r="D15" s="110">
        <f t="shared" si="0"/>
        <v>3812</v>
      </c>
      <c r="E15" s="77">
        <f t="shared" si="1"/>
        <v>1334</v>
      </c>
      <c r="F15" s="77">
        <f t="shared" si="1"/>
        <v>2478</v>
      </c>
      <c r="G15" s="110">
        <f t="shared" si="2"/>
        <v>466</v>
      </c>
      <c r="H15" s="110">
        <v>112</v>
      </c>
      <c r="I15" s="110">
        <v>354</v>
      </c>
      <c r="J15" s="77">
        <f t="shared" si="3"/>
        <v>3346</v>
      </c>
      <c r="K15" s="110">
        <v>1222</v>
      </c>
      <c r="L15" s="110">
        <v>2124</v>
      </c>
      <c r="M15" s="107" t="s">
        <v>57</v>
      </c>
      <c r="N15" s="108" t="s">
        <v>72</v>
      </c>
      <c r="O15" s="1"/>
    </row>
    <row r="16" spans="4:16" ht="13.5" thickBot="1" x14ac:dyDescent="0.25">
      <c r="D16" s="110">
        <f t="shared" si="0"/>
        <v>19</v>
      </c>
      <c r="E16" s="77">
        <f t="shared" si="1"/>
        <v>8</v>
      </c>
      <c r="F16" s="77">
        <f t="shared" si="1"/>
        <v>11</v>
      </c>
      <c r="G16" s="110">
        <f t="shared" si="2"/>
        <v>1</v>
      </c>
      <c r="H16" s="110">
        <v>1</v>
      </c>
      <c r="I16" s="110">
        <v>0</v>
      </c>
      <c r="J16" s="77">
        <f t="shared" si="3"/>
        <v>18</v>
      </c>
      <c r="K16" s="110">
        <v>7</v>
      </c>
      <c r="L16" s="110">
        <v>11</v>
      </c>
      <c r="M16" s="107" t="s">
        <v>59</v>
      </c>
      <c r="N16" s="109"/>
      <c r="O16" s="1"/>
    </row>
    <row r="17" spans="4:15" ht="13.5" thickBot="1" x14ac:dyDescent="0.25">
      <c r="D17" s="110">
        <f t="shared" si="0"/>
        <v>139</v>
      </c>
      <c r="E17" s="77">
        <f t="shared" si="1"/>
        <v>66</v>
      </c>
      <c r="F17" s="77">
        <f t="shared" si="1"/>
        <v>73</v>
      </c>
      <c r="G17" s="110">
        <f t="shared" si="2"/>
        <v>10</v>
      </c>
      <c r="H17" s="110">
        <v>0</v>
      </c>
      <c r="I17" s="110">
        <v>10</v>
      </c>
      <c r="J17" s="77">
        <f t="shared" si="3"/>
        <v>129</v>
      </c>
      <c r="K17" s="110">
        <v>66</v>
      </c>
      <c r="L17" s="110">
        <v>63</v>
      </c>
      <c r="M17" s="107" t="s">
        <v>56</v>
      </c>
      <c r="N17" s="108"/>
      <c r="O17" s="1"/>
    </row>
    <row r="18" spans="4:15" ht="13.5" thickBot="1" x14ac:dyDescent="0.25">
      <c r="D18" s="110">
        <f t="shared" si="0"/>
        <v>1353</v>
      </c>
      <c r="E18" s="77">
        <f t="shared" si="1"/>
        <v>708</v>
      </c>
      <c r="F18" s="77">
        <f t="shared" si="1"/>
        <v>645</v>
      </c>
      <c r="G18" s="110">
        <f t="shared" si="2"/>
        <v>153</v>
      </c>
      <c r="H18" s="110">
        <v>65</v>
      </c>
      <c r="I18" s="110">
        <v>88</v>
      </c>
      <c r="J18" s="77">
        <f t="shared" si="3"/>
        <v>1200</v>
      </c>
      <c r="K18" s="110">
        <v>643</v>
      </c>
      <c r="L18" s="110">
        <v>557</v>
      </c>
      <c r="M18" s="107" t="s">
        <v>57</v>
      </c>
      <c r="N18" s="108" t="s">
        <v>73</v>
      </c>
      <c r="O18" s="1"/>
    </row>
    <row r="19" spans="4:15" ht="13.5" thickBot="1" x14ac:dyDescent="0.25">
      <c r="D19" s="110">
        <f t="shared" si="0"/>
        <v>654</v>
      </c>
      <c r="E19" s="77">
        <f t="shared" si="1"/>
        <v>269</v>
      </c>
      <c r="F19" s="77">
        <f t="shared" si="1"/>
        <v>385</v>
      </c>
      <c r="G19" s="110">
        <f t="shared" si="2"/>
        <v>10</v>
      </c>
      <c r="H19" s="110">
        <v>7</v>
      </c>
      <c r="I19" s="110">
        <v>3</v>
      </c>
      <c r="J19" s="77">
        <f t="shared" si="3"/>
        <v>644</v>
      </c>
      <c r="K19" s="110">
        <v>262</v>
      </c>
      <c r="L19" s="110">
        <v>382</v>
      </c>
      <c r="M19" s="107" t="s">
        <v>59</v>
      </c>
      <c r="N19" s="109"/>
      <c r="O19" s="1"/>
    </row>
    <row r="20" spans="4:15" ht="13.5" thickBot="1" x14ac:dyDescent="0.25">
      <c r="D20" s="110">
        <f t="shared" si="0"/>
        <v>100</v>
      </c>
      <c r="E20" s="77">
        <f t="shared" si="1"/>
        <v>0</v>
      </c>
      <c r="F20" s="77">
        <f t="shared" si="1"/>
        <v>100</v>
      </c>
      <c r="G20" s="110">
        <f t="shared" si="2"/>
        <v>73</v>
      </c>
      <c r="H20" s="110">
        <v>0</v>
      </c>
      <c r="I20" s="110">
        <v>73</v>
      </c>
      <c r="J20" s="77">
        <f t="shared" si="3"/>
        <v>27</v>
      </c>
      <c r="K20" s="110">
        <v>0</v>
      </c>
      <c r="L20" s="110">
        <v>27</v>
      </c>
      <c r="M20" s="107" t="s">
        <v>56</v>
      </c>
      <c r="N20" s="108"/>
      <c r="O20" s="1"/>
    </row>
    <row r="21" spans="4:15" ht="13.5" thickBot="1" x14ac:dyDescent="0.25">
      <c r="D21" s="110">
        <f t="shared" si="0"/>
        <v>707</v>
      </c>
      <c r="E21" s="77">
        <f t="shared" si="1"/>
        <v>0</v>
      </c>
      <c r="F21" s="77">
        <f t="shared" si="1"/>
        <v>707</v>
      </c>
      <c r="G21" s="110">
        <f t="shared" si="2"/>
        <v>304</v>
      </c>
      <c r="H21" s="110">
        <v>0</v>
      </c>
      <c r="I21" s="110">
        <v>304</v>
      </c>
      <c r="J21" s="77">
        <f t="shared" si="3"/>
        <v>403</v>
      </c>
      <c r="K21" s="110">
        <v>0</v>
      </c>
      <c r="L21" s="110">
        <v>403</v>
      </c>
      <c r="M21" s="107" t="s">
        <v>57</v>
      </c>
      <c r="N21" s="108" t="s">
        <v>90</v>
      </c>
      <c r="O21" s="1"/>
    </row>
    <row r="22" spans="4:15" ht="13.5" thickBot="1" x14ac:dyDescent="0.25">
      <c r="D22" s="110">
        <f t="shared" si="0"/>
        <v>0</v>
      </c>
      <c r="E22" s="77">
        <f t="shared" si="1"/>
        <v>0</v>
      </c>
      <c r="F22" s="77">
        <f t="shared" si="1"/>
        <v>0</v>
      </c>
      <c r="G22" s="110">
        <f t="shared" si="2"/>
        <v>0</v>
      </c>
      <c r="H22" s="110">
        <v>0</v>
      </c>
      <c r="I22" s="110">
        <v>0</v>
      </c>
      <c r="J22" s="77">
        <f t="shared" si="3"/>
        <v>0</v>
      </c>
      <c r="K22" s="110">
        <v>0</v>
      </c>
      <c r="L22" s="110">
        <v>0</v>
      </c>
      <c r="M22" s="107" t="s">
        <v>59</v>
      </c>
      <c r="N22" s="109"/>
      <c r="O22" s="1"/>
    </row>
    <row r="23" spans="4:15" ht="13.5" thickBot="1" x14ac:dyDescent="0.25">
      <c r="D23" s="110">
        <f t="shared" si="0"/>
        <v>75</v>
      </c>
      <c r="E23" s="77">
        <f t="shared" si="1"/>
        <v>72</v>
      </c>
      <c r="F23" s="77">
        <f t="shared" si="1"/>
        <v>3</v>
      </c>
      <c r="G23" s="110">
        <f t="shared" si="2"/>
        <v>0</v>
      </c>
      <c r="H23" s="110">
        <v>0</v>
      </c>
      <c r="I23" s="110">
        <v>0</v>
      </c>
      <c r="J23" s="77">
        <f t="shared" si="3"/>
        <v>75</v>
      </c>
      <c r="K23" s="110">
        <v>72</v>
      </c>
      <c r="L23" s="110">
        <v>3</v>
      </c>
      <c r="M23" s="107" t="s">
        <v>56</v>
      </c>
      <c r="N23" s="108"/>
      <c r="O23" s="1"/>
    </row>
    <row r="24" spans="4:15" ht="13.5" thickBot="1" x14ac:dyDescent="0.25">
      <c r="D24" s="110">
        <f t="shared" si="0"/>
        <v>338</v>
      </c>
      <c r="E24" s="77">
        <f t="shared" si="1"/>
        <v>174</v>
      </c>
      <c r="F24" s="77">
        <f t="shared" si="1"/>
        <v>164</v>
      </c>
      <c r="G24" s="110">
        <f t="shared" si="2"/>
        <v>0</v>
      </c>
      <c r="H24" s="110">
        <v>0</v>
      </c>
      <c r="I24" s="110">
        <v>0</v>
      </c>
      <c r="J24" s="77">
        <f t="shared" si="3"/>
        <v>338</v>
      </c>
      <c r="K24" s="110">
        <v>174</v>
      </c>
      <c r="L24" s="110">
        <v>164</v>
      </c>
      <c r="M24" s="107" t="s">
        <v>57</v>
      </c>
      <c r="N24" s="108" t="s">
        <v>74</v>
      </c>
      <c r="O24" s="1"/>
    </row>
    <row r="25" spans="4:15" ht="13.5" thickBot="1" x14ac:dyDescent="0.25">
      <c r="D25" s="110">
        <f t="shared" si="0"/>
        <v>73</v>
      </c>
      <c r="E25" s="77">
        <f t="shared" si="1"/>
        <v>73</v>
      </c>
      <c r="F25" s="77">
        <f t="shared" si="1"/>
        <v>0</v>
      </c>
      <c r="G25" s="110">
        <f t="shared" si="2"/>
        <v>0</v>
      </c>
      <c r="H25" s="110">
        <v>0</v>
      </c>
      <c r="I25" s="110">
        <v>0</v>
      </c>
      <c r="J25" s="77">
        <f t="shared" si="3"/>
        <v>73</v>
      </c>
      <c r="K25" s="110">
        <v>73</v>
      </c>
      <c r="L25" s="110">
        <v>0</v>
      </c>
      <c r="M25" s="107" t="s">
        <v>59</v>
      </c>
      <c r="N25" s="109"/>
      <c r="O25" s="1"/>
    </row>
    <row r="26" spans="4:15" ht="13.5" thickBot="1" x14ac:dyDescent="0.25">
      <c r="D26" s="110">
        <f t="shared" si="0"/>
        <v>0</v>
      </c>
      <c r="E26" s="77">
        <f t="shared" si="1"/>
        <v>0</v>
      </c>
      <c r="F26" s="77">
        <f t="shared" si="1"/>
        <v>0</v>
      </c>
      <c r="G26" s="110">
        <f t="shared" si="2"/>
        <v>0</v>
      </c>
      <c r="H26" s="110">
        <v>0</v>
      </c>
      <c r="I26" s="110">
        <v>0</v>
      </c>
      <c r="J26" s="77">
        <f t="shared" si="3"/>
        <v>0</v>
      </c>
      <c r="K26" s="110">
        <v>0</v>
      </c>
      <c r="L26" s="110">
        <v>0</v>
      </c>
      <c r="M26" s="107" t="s">
        <v>56</v>
      </c>
      <c r="N26" s="108"/>
      <c r="O26" s="1"/>
    </row>
    <row r="27" spans="4:15" ht="13.5" thickBot="1" x14ac:dyDescent="0.25">
      <c r="D27" s="110">
        <f t="shared" si="0"/>
        <v>162</v>
      </c>
      <c r="E27" s="77">
        <f t="shared" si="1"/>
        <v>68</v>
      </c>
      <c r="F27" s="77">
        <f t="shared" si="1"/>
        <v>94</v>
      </c>
      <c r="G27" s="110">
        <f t="shared" si="2"/>
        <v>0</v>
      </c>
      <c r="H27" s="110">
        <v>0</v>
      </c>
      <c r="I27" s="110">
        <v>0</v>
      </c>
      <c r="J27" s="77">
        <f t="shared" si="3"/>
        <v>162</v>
      </c>
      <c r="K27" s="110">
        <v>68</v>
      </c>
      <c r="L27" s="110">
        <v>94</v>
      </c>
      <c r="M27" s="107" t="s">
        <v>57</v>
      </c>
      <c r="N27" s="108" t="s">
        <v>75</v>
      </c>
      <c r="O27" s="1"/>
    </row>
    <row r="28" spans="4:15" ht="13.5" thickBot="1" x14ac:dyDescent="0.25">
      <c r="D28" s="110">
        <f t="shared" si="0"/>
        <v>240</v>
      </c>
      <c r="E28" s="77">
        <f t="shared" si="1"/>
        <v>140</v>
      </c>
      <c r="F28" s="77">
        <f t="shared" si="1"/>
        <v>100</v>
      </c>
      <c r="G28" s="110">
        <f t="shared" si="2"/>
        <v>1</v>
      </c>
      <c r="H28" s="110">
        <v>0</v>
      </c>
      <c r="I28" s="110">
        <v>1</v>
      </c>
      <c r="J28" s="77">
        <f t="shared" si="3"/>
        <v>239</v>
      </c>
      <c r="K28" s="110">
        <v>140</v>
      </c>
      <c r="L28" s="110">
        <v>99</v>
      </c>
      <c r="M28" s="107" t="s">
        <v>59</v>
      </c>
      <c r="N28" s="109"/>
      <c r="O28" s="1"/>
    </row>
    <row r="29" spans="4:15" ht="13.5" thickBot="1" x14ac:dyDescent="0.25">
      <c r="D29" s="110">
        <f t="shared" si="0"/>
        <v>8</v>
      </c>
      <c r="E29" s="77">
        <f t="shared" si="1"/>
        <v>0</v>
      </c>
      <c r="F29" s="77">
        <f t="shared" si="1"/>
        <v>8</v>
      </c>
      <c r="G29" s="110">
        <f t="shared" si="2"/>
        <v>0</v>
      </c>
      <c r="H29" s="110">
        <v>0</v>
      </c>
      <c r="I29" s="110">
        <v>0</v>
      </c>
      <c r="J29" s="77">
        <f t="shared" si="3"/>
        <v>8</v>
      </c>
      <c r="K29" s="110">
        <v>0</v>
      </c>
      <c r="L29" s="110">
        <v>8</v>
      </c>
      <c r="M29" s="107" t="s">
        <v>56</v>
      </c>
      <c r="N29" s="108"/>
      <c r="O29" s="1"/>
    </row>
    <row r="30" spans="4:15" ht="13.5" thickBot="1" x14ac:dyDescent="0.25">
      <c r="D30" s="110">
        <f t="shared" si="0"/>
        <v>413</v>
      </c>
      <c r="E30" s="77">
        <f t="shared" si="1"/>
        <v>94</v>
      </c>
      <c r="F30" s="77">
        <f t="shared" si="1"/>
        <v>319</v>
      </c>
      <c r="G30" s="110">
        <f t="shared" si="2"/>
        <v>11</v>
      </c>
      <c r="H30" s="110">
        <v>0</v>
      </c>
      <c r="I30" s="110">
        <v>11</v>
      </c>
      <c r="J30" s="77">
        <f t="shared" si="3"/>
        <v>402</v>
      </c>
      <c r="K30" s="110">
        <v>94</v>
      </c>
      <c r="L30" s="110">
        <v>308</v>
      </c>
      <c r="M30" s="107" t="s">
        <v>57</v>
      </c>
      <c r="N30" s="108" t="s">
        <v>100</v>
      </c>
      <c r="O30" s="1"/>
    </row>
    <row r="31" spans="4:15" ht="13.5" thickBot="1" x14ac:dyDescent="0.25">
      <c r="D31" s="110">
        <f t="shared" si="0"/>
        <v>0</v>
      </c>
      <c r="E31" s="77">
        <f t="shared" si="1"/>
        <v>0</v>
      </c>
      <c r="F31" s="77">
        <f t="shared" si="1"/>
        <v>0</v>
      </c>
      <c r="G31" s="110">
        <f t="shared" si="2"/>
        <v>0</v>
      </c>
      <c r="H31" s="110">
        <v>0</v>
      </c>
      <c r="I31" s="110">
        <v>0</v>
      </c>
      <c r="J31" s="77">
        <f t="shared" si="3"/>
        <v>0</v>
      </c>
      <c r="K31" s="110">
        <v>0</v>
      </c>
      <c r="L31" s="110">
        <v>0</v>
      </c>
      <c r="M31" s="107" t="s">
        <v>59</v>
      </c>
      <c r="N31" s="109"/>
      <c r="O31" s="1"/>
    </row>
    <row r="32" spans="4:15" ht="13.5" thickBot="1" x14ac:dyDescent="0.25">
      <c r="D32" s="110">
        <f t="shared" si="0"/>
        <v>79</v>
      </c>
      <c r="E32" s="77">
        <f t="shared" si="1"/>
        <v>72</v>
      </c>
      <c r="F32" s="77">
        <f t="shared" si="1"/>
        <v>7</v>
      </c>
      <c r="G32" s="110">
        <f t="shared" si="2"/>
        <v>0</v>
      </c>
      <c r="H32" s="110">
        <v>0</v>
      </c>
      <c r="I32" s="110">
        <v>0</v>
      </c>
      <c r="J32" s="77">
        <f t="shared" si="3"/>
        <v>79</v>
      </c>
      <c r="K32" s="110">
        <v>72</v>
      </c>
      <c r="L32" s="110">
        <v>7</v>
      </c>
      <c r="M32" s="107" t="s">
        <v>56</v>
      </c>
      <c r="N32" s="108"/>
      <c r="O32" s="1"/>
    </row>
    <row r="33" spans="4:15" ht="13.5" thickBot="1" x14ac:dyDescent="0.25">
      <c r="D33" s="110">
        <f t="shared" si="0"/>
        <v>330</v>
      </c>
      <c r="E33" s="77">
        <f t="shared" si="1"/>
        <v>285</v>
      </c>
      <c r="F33" s="77">
        <f t="shared" si="1"/>
        <v>45</v>
      </c>
      <c r="G33" s="110">
        <f t="shared" si="2"/>
        <v>4</v>
      </c>
      <c r="H33" s="110">
        <v>2</v>
      </c>
      <c r="I33" s="110">
        <v>2</v>
      </c>
      <c r="J33" s="77">
        <f t="shared" si="3"/>
        <v>326</v>
      </c>
      <c r="K33" s="110">
        <v>283</v>
      </c>
      <c r="L33" s="110">
        <v>43</v>
      </c>
      <c r="M33" s="107" t="s">
        <v>57</v>
      </c>
      <c r="N33" s="108" t="s">
        <v>76</v>
      </c>
      <c r="O33" s="1"/>
    </row>
    <row r="34" spans="4:15" ht="13.5" thickBot="1" x14ac:dyDescent="0.25">
      <c r="D34" s="110">
        <f t="shared" si="0"/>
        <v>48</v>
      </c>
      <c r="E34" s="77">
        <f t="shared" si="1"/>
        <v>0</v>
      </c>
      <c r="F34" s="77">
        <f t="shared" si="1"/>
        <v>48</v>
      </c>
      <c r="G34" s="110">
        <f t="shared" si="2"/>
        <v>0</v>
      </c>
      <c r="H34" s="110">
        <v>0</v>
      </c>
      <c r="I34" s="110">
        <v>0</v>
      </c>
      <c r="J34" s="77">
        <f t="shared" si="3"/>
        <v>48</v>
      </c>
      <c r="K34" s="110">
        <v>0</v>
      </c>
      <c r="L34" s="110">
        <v>48</v>
      </c>
      <c r="M34" s="107" t="s">
        <v>59</v>
      </c>
      <c r="N34" s="109"/>
      <c r="O34" s="1"/>
    </row>
    <row r="35" spans="4:15" ht="13.5" thickBot="1" x14ac:dyDescent="0.25">
      <c r="D35" s="110">
        <f t="shared" si="0"/>
        <v>0</v>
      </c>
      <c r="E35" s="77">
        <f t="shared" si="1"/>
        <v>0</v>
      </c>
      <c r="F35" s="77">
        <f t="shared" si="1"/>
        <v>0</v>
      </c>
      <c r="G35" s="110">
        <f t="shared" si="2"/>
        <v>0</v>
      </c>
      <c r="H35" s="110">
        <v>0</v>
      </c>
      <c r="I35" s="110">
        <v>0</v>
      </c>
      <c r="J35" s="77">
        <f t="shared" si="3"/>
        <v>0</v>
      </c>
      <c r="K35" s="110">
        <v>0</v>
      </c>
      <c r="L35" s="110">
        <v>0</v>
      </c>
      <c r="M35" s="107" t="s">
        <v>56</v>
      </c>
      <c r="N35" s="108"/>
      <c r="O35" s="1"/>
    </row>
    <row r="36" spans="4:15" ht="13.5" thickBot="1" x14ac:dyDescent="0.25">
      <c r="D36" s="110">
        <f t="shared" si="0"/>
        <v>135</v>
      </c>
      <c r="E36" s="77">
        <f t="shared" si="1"/>
        <v>34</v>
      </c>
      <c r="F36" s="77">
        <f t="shared" si="1"/>
        <v>101</v>
      </c>
      <c r="G36" s="110">
        <f t="shared" si="2"/>
        <v>2</v>
      </c>
      <c r="H36" s="110">
        <v>2</v>
      </c>
      <c r="I36" s="110">
        <v>0</v>
      </c>
      <c r="J36" s="77">
        <f t="shared" si="3"/>
        <v>133</v>
      </c>
      <c r="K36" s="110">
        <v>32</v>
      </c>
      <c r="L36" s="110">
        <v>101</v>
      </c>
      <c r="M36" s="107" t="s">
        <v>57</v>
      </c>
      <c r="N36" s="108" t="s">
        <v>77</v>
      </c>
      <c r="O36" s="1"/>
    </row>
    <row r="37" spans="4:15" ht="13.5" thickBot="1" x14ac:dyDescent="0.25">
      <c r="D37" s="110">
        <f t="shared" si="0"/>
        <v>56</v>
      </c>
      <c r="E37" s="77">
        <f t="shared" si="1"/>
        <v>35</v>
      </c>
      <c r="F37" s="77">
        <f t="shared" si="1"/>
        <v>21</v>
      </c>
      <c r="G37" s="110">
        <f t="shared" si="2"/>
        <v>1</v>
      </c>
      <c r="H37" s="110">
        <v>1</v>
      </c>
      <c r="I37" s="110">
        <v>0</v>
      </c>
      <c r="J37" s="77">
        <f t="shared" si="3"/>
        <v>55</v>
      </c>
      <c r="K37" s="110">
        <v>34</v>
      </c>
      <c r="L37" s="110">
        <v>21</v>
      </c>
      <c r="M37" s="107" t="s">
        <v>59</v>
      </c>
      <c r="N37" s="109"/>
      <c r="O37" s="1"/>
    </row>
    <row r="38" spans="4:15" ht="13.5" thickBot="1" x14ac:dyDescent="0.25">
      <c r="D38" s="110">
        <f t="shared" si="0"/>
        <v>0</v>
      </c>
      <c r="E38" s="77">
        <f t="shared" si="1"/>
        <v>0</v>
      </c>
      <c r="F38" s="77">
        <f t="shared" si="1"/>
        <v>0</v>
      </c>
      <c r="G38" s="110">
        <f t="shared" si="2"/>
        <v>0</v>
      </c>
      <c r="H38" s="110">
        <v>0</v>
      </c>
      <c r="I38" s="110">
        <v>0</v>
      </c>
      <c r="J38" s="77">
        <f t="shared" si="3"/>
        <v>0</v>
      </c>
      <c r="K38" s="110">
        <v>0</v>
      </c>
      <c r="L38" s="110">
        <v>0</v>
      </c>
      <c r="M38" s="107" t="s">
        <v>56</v>
      </c>
      <c r="N38" s="108"/>
      <c r="O38" s="1"/>
    </row>
    <row r="39" spans="4:15" ht="13.5" thickBot="1" x14ac:dyDescent="0.25">
      <c r="D39" s="110">
        <f t="shared" si="0"/>
        <v>64</v>
      </c>
      <c r="E39" s="77">
        <f t="shared" si="1"/>
        <v>28</v>
      </c>
      <c r="F39" s="77">
        <f t="shared" si="1"/>
        <v>36</v>
      </c>
      <c r="G39" s="110">
        <f t="shared" si="2"/>
        <v>1</v>
      </c>
      <c r="H39" s="110">
        <v>0</v>
      </c>
      <c r="I39" s="110">
        <v>1</v>
      </c>
      <c r="J39" s="77">
        <f t="shared" si="3"/>
        <v>63</v>
      </c>
      <c r="K39" s="110">
        <v>28</v>
      </c>
      <c r="L39" s="110">
        <v>35</v>
      </c>
      <c r="M39" s="107" t="s">
        <v>57</v>
      </c>
      <c r="N39" s="108" t="s">
        <v>148</v>
      </c>
      <c r="O39" s="1"/>
    </row>
    <row r="40" spans="4:15" ht="13.5" thickBot="1" x14ac:dyDescent="0.25">
      <c r="D40" s="110">
        <f t="shared" si="0"/>
        <v>71</v>
      </c>
      <c r="E40" s="77">
        <f t="shared" si="1"/>
        <v>31</v>
      </c>
      <c r="F40" s="77">
        <f t="shared" si="1"/>
        <v>40</v>
      </c>
      <c r="G40" s="110">
        <f t="shared" si="2"/>
        <v>0</v>
      </c>
      <c r="H40" s="110">
        <v>0</v>
      </c>
      <c r="I40" s="110">
        <v>0</v>
      </c>
      <c r="J40" s="77">
        <f t="shared" si="3"/>
        <v>71</v>
      </c>
      <c r="K40" s="110">
        <v>31</v>
      </c>
      <c r="L40" s="110">
        <v>40</v>
      </c>
      <c r="M40" s="107" t="s">
        <v>59</v>
      </c>
      <c r="N40" s="109"/>
      <c r="O40" s="1"/>
    </row>
    <row r="41" spans="4:15" ht="13.5" thickBot="1" x14ac:dyDescent="0.25">
      <c r="D41" s="110">
        <f t="shared" si="0"/>
        <v>0</v>
      </c>
      <c r="E41" s="77">
        <f t="shared" si="1"/>
        <v>0</v>
      </c>
      <c r="F41" s="77">
        <f t="shared" si="1"/>
        <v>0</v>
      </c>
      <c r="G41" s="110">
        <f t="shared" si="2"/>
        <v>0</v>
      </c>
      <c r="H41" s="110">
        <v>0</v>
      </c>
      <c r="I41" s="110">
        <v>0</v>
      </c>
      <c r="J41" s="77">
        <f t="shared" si="3"/>
        <v>0</v>
      </c>
      <c r="K41" s="110">
        <v>0</v>
      </c>
      <c r="L41" s="110">
        <v>0</v>
      </c>
      <c r="M41" s="107" t="s">
        <v>56</v>
      </c>
      <c r="N41" s="108"/>
      <c r="O41" s="1"/>
    </row>
    <row r="42" spans="4:15" ht="13.5" thickBot="1" x14ac:dyDescent="0.25">
      <c r="D42" s="110">
        <f t="shared" si="0"/>
        <v>70</v>
      </c>
      <c r="E42" s="77">
        <f t="shared" si="1"/>
        <v>30</v>
      </c>
      <c r="F42" s="77">
        <f t="shared" si="1"/>
        <v>40</v>
      </c>
      <c r="G42" s="110">
        <f t="shared" si="2"/>
        <v>0</v>
      </c>
      <c r="H42" s="110">
        <v>0</v>
      </c>
      <c r="I42" s="110">
        <v>0</v>
      </c>
      <c r="J42" s="77">
        <f t="shared" si="3"/>
        <v>70</v>
      </c>
      <c r="K42" s="110">
        <v>30</v>
      </c>
      <c r="L42" s="110">
        <v>40</v>
      </c>
      <c r="M42" s="107" t="s">
        <v>57</v>
      </c>
      <c r="N42" s="108" t="s">
        <v>117</v>
      </c>
      <c r="O42" s="1"/>
    </row>
    <row r="43" spans="4:15" ht="13.5" thickBot="1" x14ac:dyDescent="0.25">
      <c r="D43" s="110">
        <f t="shared" si="0"/>
        <v>0</v>
      </c>
      <c r="E43" s="77">
        <f t="shared" si="1"/>
        <v>0</v>
      </c>
      <c r="F43" s="77">
        <f t="shared" si="1"/>
        <v>0</v>
      </c>
      <c r="G43" s="110">
        <f t="shared" si="2"/>
        <v>0</v>
      </c>
      <c r="H43" s="110">
        <v>0</v>
      </c>
      <c r="I43" s="110">
        <v>0</v>
      </c>
      <c r="J43" s="77">
        <f t="shared" si="3"/>
        <v>0</v>
      </c>
      <c r="K43" s="110">
        <v>0</v>
      </c>
      <c r="L43" s="110">
        <v>0</v>
      </c>
      <c r="M43" s="107" t="s">
        <v>59</v>
      </c>
      <c r="N43" s="109"/>
      <c r="O43" s="1"/>
    </row>
    <row r="44" spans="4:15" ht="13.5" thickBot="1" x14ac:dyDescent="0.25">
      <c r="D44" s="110">
        <f t="shared" si="0"/>
        <v>0</v>
      </c>
      <c r="E44" s="77">
        <f t="shared" si="1"/>
        <v>0</v>
      </c>
      <c r="F44" s="77">
        <f t="shared" si="1"/>
        <v>0</v>
      </c>
      <c r="G44" s="110">
        <f t="shared" si="2"/>
        <v>0</v>
      </c>
      <c r="H44" s="110">
        <v>0</v>
      </c>
      <c r="I44" s="110">
        <v>0</v>
      </c>
      <c r="J44" s="77">
        <f t="shared" si="3"/>
        <v>0</v>
      </c>
      <c r="K44" s="110">
        <v>0</v>
      </c>
      <c r="L44" s="110">
        <v>0</v>
      </c>
      <c r="M44" s="107" t="s">
        <v>56</v>
      </c>
      <c r="N44" s="108"/>
      <c r="O44" s="1"/>
    </row>
    <row r="45" spans="4:15" ht="13.5" thickBot="1" x14ac:dyDescent="0.25">
      <c r="D45" s="110">
        <f t="shared" si="0"/>
        <v>0</v>
      </c>
      <c r="E45" s="77">
        <f t="shared" si="1"/>
        <v>0</v>
      </c>
      <c r="F45" s="77">
        <f t="shared" si="1"/>
        <v>0</v>
      </c>
      <c r="G45" s="110">
        <f t="shared" si="2"/>
        <v>0</v>
      </c>
      <c r="H45" s="110">
        <v>0</v>
      </c>
      <c r="I45" s="110">
        <v>0</v>
      </c>
      <c r="J45" s="77">
        <f t="shared" si="3"/>
        <v>0</v>
      </c>
      <c r="K45" s="110">
        <v>0</v>
      </c>
      <c r="L45" s="110">
        <v>0</v>
      </c>
      <c r="M45" s="107" t="s">
        <v>57</v>
      </c>
      <c r="N45" s="108" t="s">
        <v>153</v>
      </c>
      <c r="O45" s="1"/>
    </row>
    <row r="46" spans="4:15" ht="13.5" thickBot="1" x14ac:dyDescent="0.25">
      <c r="D46" s="110">
        <f t="shared" si="0"/>
        <v>497</v>
      </c>
      <c r="E46" s="77">
        <f t="shared" si="1"/>
        <v>0</v>
      </c>
      <c r="F46" s="77">
        <f t="shared" si="1"/>
        <v>497</v>
      </c>
      <c r="G46" s="110">
        <f t="shared" si="2"/>
        <v>0</v>
      </c>
      <c r="H46" s="110">
        <v>0</v>
      </c>
      <c r="I46" s="110">
        <v>0</v>
      </c>
      <c r="J46" s="77">
        <f t="shared" si="3"/>
        <v>497</v>
      </c>
      <c r="K46" s="110">
        <v>0</v>
      </c>
      <c r="L46" s="110">
        <v>497</v>
      </c>
      <c r="M46" s="107" t="s">
        <v>59</v>
      </c>
      <c r="N46" s="109"/>
      <c r="O46" s="1"/>
    </row>
    <row r="47" spans="4:15" ht="13.5" thickBot="1" x14ac:dyDescent="0.25">
      <c r="D47" s="110">
        <f t="shared" si="0"/>
        <v>0</v>
      </c>
      <c r="E47" s="77">
        <f t="shared" si="1"/>
        <v>0</v>
      </c>
      <c r="F47" s="77">
        <f t="shared" si="1"/>
        <v>0</v>
      </c>
      <c r="G47" s="110">
        <f t="shared" si="2"/>
        <v>0</v>
      </c>
      <c r="H47" s="110">
        <v>0</v>
      </c>
      <c r="I47" s="110">
        <v>0</v>
      </c>
      <c r="J47" s="77">
        <f t="shared" si="3"/>
        <v>0</v>
      </c>
      <c r="K47" s="110">
        <v>0</v>
      </c>
      <c r="L47" s="110">
        <v>0</v>
      </c>
      <c r="M47" s="107" t="s">
        <v>56</v>
      </c>
      <c r="N47" s="108"/>
      <c r="O47" s="1"/>
    </row>
    <row r="48" spans="4:15" ht="13.5" thickBot="1" x14ac:dyDescent="0.25">
      <c r="D48" s="110">
        <f t="shared" si="0"/>
        <v>83</v>
      </c>
      <c r="E48" s="77">
        <f t="shared" si="1"/>
        <v>38</v>
      </c>
      <c r="F48" s="77">
        <f t="shared" si="1"/>
        <v>45</v>
      </c>
      <c r="G48" s="110">
        <f t="shared" si="2"/>
        <v>4</v>
      </c>
      <c r="H48" s="110">
        <v>1</v>
      </c>
      <c r="I48" s="110">
        <v>3</v>
      </c>
      <c r="J48" s="77">
        <f t="shared" si="3"/>
        <v>79</v>
      </c>
      <c r="K48" s="110">
        <v>37</v>
      </c>
      <c r="L48" s="110">
        <v>42</v>
      </c>
      <c r="M48" s="107" t="s">
        <v>57</v>
      </c>
      <c r="N48" s="108" t="s">
        <v>155</v>
      </c>
      <c r="O48" s="1"/>
    </row>
    <row r="49" spans="4:15" ht="13.5" thickBot="1" x14ac:dyDescent="0.25">
      <c r="D49" s="110">
        <f t="shared" si="0"/>
        <v>316</v>
      </c>
      <c r="E49" s="77">
        <f t="shared" si="1"/>
        <v>138</v>
      </c>
      <c r="F49" s="77">
        <f t="shared" si="1"/>
        <v>178</v>
      </c>
      <c r="G49" s="110">
        <f t="shared" si="2"/>
        <v>11</v>
      </c>
      <c r="H49" s="110">
        <v>8</v>
      </c>
      <c r="I49" s="110">
        <v>3</v>
      </c>
      <c r="J49" s="77">
        <f t="shared" si="3"/>
        <v>305</v>
      </c>
      <c r="K49" s="110">
        <v>130</v>
      </c>
      <c r="L49" s="110">
        <v>175</v>
      </c>
      <c r="M49" s="107" t="s">
        <v>59</v>
      </c>
      <c r="N49" s="109"/>
      <c r="O49" s="1"/>
    </row>
    <row r="50" spans="4:15" ht="13.5" thickBot="1" x14ac:dyDescent="0.25">
      <c r="D50" s="110">
        <f t="shared" ref="D50:L52" si="4">D5+D8+D11+D14+D17+D20+D23+D26+D29+D32+D35+D38+D41+D44+D47</f>
        <v>2343</v>
      </c>
      <c r="E50" s="110">
        <f t="shared" si="4"/>
        <v>849</v>
      </c>
      <c r="F50" s="110">
        <f t="shared" si="4"/>
        <v>1494</v>
      </c>
      <c r="G50" s="110">
        <f t="shared" si="4"/>
        <v>454</v>
      </c>
      <c r="H50" s="110">
        <f t="shared" si="4"/>
        <v>33</v>
      </c>
      <c r="I50" s="110">
        <f t="shared" si="4"/>
        <v>421</v>
      </c>
      <c r="J50" s="110">
        <f t="shared" si="4"/>
        <v>1889</v>
      </c>
      <c r="K50" s="110">
        <f t="shared" si="4"/>
        <v>816</v>
      </c>
      <c r="L50" s="110">
        <f>L5+L8+L11+L14+L17+L20+L23+L26+L29+L32+L35+L38+L41+L44+L47</f>
        <v>1073</v>
      </c>
      <c r="M50" s="107" t="s">
        <v>243</v>
      </c>
      <c r="N50" s="111"/>
      <c r="O50" s="1"/>
    </row>
    <row r="51" spans="4:15" ht="13.5" thickBot="1" x14ac:dyDescent="0.25">
      <c r="D51" s="110">
        <f t="shared" si="4"/>
        <v>11307</v>
      </c>
      <c r="E51" s="110">
        <f t="shared" si="4"/>
        <v>4103</v>
      </c>
      <c r="F51" s="110">
        <f t="shared" si="4"/>
        <v>7204</v>
      </c>
      <c r="G51" s="110">
        <f t="shared" si="4"/>
        <v>1275</v>
      </c>
      <c r="H51" s="110">
        <f t="shared" si="4"/>
        <v>216</v>
      </c>
      <c r="I51" s="110">
        <f t="shared" si="4"/>
        <v>1059</v>
      </c>
      <c r="J51" s="110">
        <f t="shared" si="4"/>
        <v>10032</v>
      </c>
      <c r="K51" s="110">
        <f t="shared" si="4"/>
        <v>3887</v>
      </c>
      <c r="L51" s="110">
        <f t="shared" si="4"/>
        <v>6145</v>
      </c>
      <c r="M51" s="107" t="s">
        <v>57</v>
      </c>
      <c r="N51" s="112" t="s">
        <v>244</v>
      </c>
    </row>
    <row r="52" spans="4:15" ht="13.5" thickBot="1" x14ac:dyDescent="0.25">
      <c r="D52" s="110">
        <f t="shared" si="4"/>
        <v>2631</v>
      </c>
      <c r="E52" s="110">
        <f t="shared" si="4"/>
        <v>815</v>
      </c>
      <c r="F52" s="110">
        <f t="shared" si="4"/>
        <v>1816</v>
      </c>
      <c r="G52" s="110">
        <f t="shared" si="4"/>
        <v>114</v>
      </c>
      <c r="H52" s="110">
        <f t="shared" si="4"/>
        <v>18</v>
      </c>
      <c r="I52" s="110">
        <f t="shared" si="4"/>
        <v>96</v>
      </c>
      <c r="J52" s="110">
        <f t="shared" si="4"/>
        <v>2517</v>
      </c>
      <c r="K52" s="110">
        <f t="shared" si="4"/>
        <v>797</v>
      </c>
      <c r="L52" s="110">
        <f t="shared" si="4"/>
        <v>1720</v>
      </c>
      <c r="M52" s="107" t="s">
        <v>59</v>
      </c>
      <c r="N52" s="113"/>
    </row>
    <row r="53" spans="4:15" ht="13.5" thickBot="1" x14ac:dyDescent="0.25">
      <c r="D53" s="110">
        <f t="shared" ref="D53:K53" si="5">SUM(D50:D52)</f>
        <v>16281</v>
      </c>
      <c r="E53" s="110">
        <f t="shared" si="5"/>
        <v>5767</v>
      </c>
      <c r="F53" s="110">
        <f t="shared" si="5"/>
        <v>10514</v>
      </c>
      <c r="G53" s="110">
        <f t="shared" si="5"/>
        <v>1843</v>
      </c>
      <c r="H53" s="110">
        <f t="shared" si="5"/>
        <v>267</v>
      </c>
      <c r="I53" s="110">
        <f t="shared" si="5"/>
        <v>1576</v>
      </c>
      <c r="J53" s="110">
        <f t="shared" si="5"/>
        <v>14438</v>
      </c>
      <c r="K53" s="110">
        <f t="shared" si="5"/>
        <v>5500</v>
      </c>
      <c r="L53" s="110">
        <f>SUM(L50:L52)</f>
        <v>8938</v>
      </c>
      <c r="M53" s="530" t="s">
        <v>245</v>
      </c>
      <c r="N53" s="530"/>
    </row>
  </sheetData>
  <mergeCells count="8">
    <mergeCell ref="M4:N4"/>
    <mergeCell ref="M53:N53"/>
    <mergeCell ref="D1:N1"/>
    <mergeCell ref="D2:N2"/>
    <mergeCell ref="D3:F3"/>
    <mergeCell ref="G3:I3"/>
    <mergeCell ref="J3:L3"/>
    <mergeCell ref="M3:N3"/>
  </mergeCells>
  <pageMargins left="0.4" right="0.4" top="0.25" bottom="0.25" header="0.25" footer="0.25"/>
  <pageSetup paperSize="9" scale="88" orientation="landscape" horizontalDpi="300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D1:O74"/>
  <sheetViews>
    <sheetView showGridLines="0" topLeftCell="A16" zoomScale="90" zoomScaleNormal="90" workbookViewId="0">
      <selection activeCell="A89" sqref="A76:XFD89"/>
    </sheetView>
  </sheetViews>
  <sheetFormatPr defaultRowHeight="12.75" x14ac:dyDescent="0.2"/>
  <cols>
    <col min="1" max="3" width="9" style="2"/>
    <col min="4" max="13" width="9.625" style="2" customWidth="1"/>
    <col min="14" max="14" width="34.25" style="2" customWidth="1"/>
    <col min="15" max="15" width="3.625" style="2" customWidth="1"/>
    <col min="16" max="258" width="9" style="2"/>
    <col min="259" max="268" width="9.625" style="2" customWidth="1"/>
    <col min="269" max="269" width="34.25" style="2" customWidth="1"/>
    <col min="270" max="270" width="3.625" style="2" customWidth="1"/>
    <col min="271" max="514" width="9" style="2"/>
    <col min="515" max="524" width="9.625" style="2" customWidth="1"/>
    <col min="525" max="525" width="34.25" style="2" customWidth="1"/>
    <col min="526" max="526" width="3.625" style="2" customWidth="1"/>
    <col min="527" max="770" width="9" style="2"/>
    <col min="771" max="780" width="9.625" style="2" customWidth="1"/>
    <col min="781" max="781" width="34.25" style="2" customWidth="1"/>
    <col min="782" max="782" width="3.625" style="2" customWidth="1"/>
    <col min="783" max="1026" width="9" style="2"/>
    <col min="1027" max="1036" width="9.625" style="2" customWidth="1"/>
    <col min="1037" max="1037" width="34.25" style="2" customWidth="1"/>
    <col min="1038" max="1038" width="3.625" style="2" customWidth="1"/>
    <col min="1039" max="1282" width="9" style="2"/>
    <col min="1283" max="1292" width="9.625" style="2" customWidth="1"/>
    <col min="1293" max="1293" width="34.25" style="2" customWidth="1"/>
    <col min="1294" max="1294" width="3.625" style="2" customWidth="1"/>
    <col min="1295" max="1538" width="9" style="2"/>
    <col min="1539" max="1548" width="9.625" style="2" customWidth="1"/>
    <col min="1549" max="1549" width="34.25" style="2" customWidth="1"/>
    <col min="1550" max="1550" width="3.625" style="2" customWidth="1"/>
    <col min="1551" max="1794" width="9" style="2"/>
    <col min="1795" max="1804" width="9.625" style="2" customWidth="1"/>
    <col min="1805" max="1805" width="34.25" style="2" customWidth="1"/>
    <col min="1806" max="1806" width="3.625" style="2" customWidth="1"/>
    <col min="1807" max="2050" width="9" style="2"/>
    <col min="2051" max="2060" width="9.625" style="2" customWidth="1"/>
    <col min="2061" max="2061" width="34.25" style="2" customWidth="1"/>
    <col min="2062" max="2062" width="3.625" style="2" customWidth="1"/>
    <col min="2063" max="2306" width="9" style="2"/>
    <col min="2307" max="2316" width="9.625" style="2" customWidth="1"/>
    <col min="2317" max="2317" width="34.25" style="2" customWidth="1"/>
    <col min="2318" max="2318" width="3.625" style="2" customWidth="1"/>
    <col min="2319" max="2562" width="9" style="2"/>
    <col min="2563" max="2572" width="9.625" style="2" customWidth="1"/>
    <col min="2573" max="2573" width="34.25" style="2" customWidth="1"/>
    <col min="2574" max="2574" width="3.625" style="2" customWidth="1"/>
    <col min="2575" max="2818" width="9" style="2"/>
    <col min="2819" max="2828" width="9.625" style="2" customWidth="1"/>
    <col min="2829" max="2829" width="34.25" style="2" customWidth="1"/>
    <col min="2830" max="2830" width="3.625" style="2" customWidth="1"/>
    <col min="2831" max="3074" width="9" style="2"/>
    <col min="3075" max="3084" width="9.625" style="2" customWidth="1"/>
    <col min="3085" max="3085" width="34.25" style="2" customWidth="1"/>
    <col min="3086" max="3086" width="3.625" style="2" customWidth="1"/>
    <col min="3087" max="3330" width="9" style="2"/>
    <col min="3331" max="3340" width="9.625" style="2" customWidth="1"/>
    <col min="3341" max="3341" width="34.25" style="2" customWidth="1"/>
    <col min="3342" max="3342" width="3.625" style="2" customWidth="1"/>
    <col min="3343" max="3586" width="9" style="2"/>
    <col min="3587" max="3596" width="9.625" style="2" customWidth="1"/>
    <col min="3597" max="3597" width="34.25" style="2" customWidth="1"/>
    <col min="3598" max="3598" width="3.625" style="2" customWidth="1"/>
    <col min="3599" max="3842" width="9" style="2"/>
    <col min="3843" max="3852" width="9.625" style="2" customWidth="1"/>
    <col min="3853" max="3853" width="34.25" style="2" customWidth="1"/>
    <col min="3854" max="3854" width="3.625" style="2" customWidth="1"/>
    <col min="3855" max="4098" width="9" style="2"/>
    <col min="4099" max="4108" width="9.625" style="2" customWidth="1"/>
    <col min="4109" max="4109" width="34.25" style="2" customWidth="1"/>
    <col min="4110" max="4110" width="3.625" style="2" customWidth="1"/>
    <col min="4111" max="4354" width="9" style="2"/>
    <col min="4355" max="4364" width="9.625" style="2" customWidth="1"/>
    <col min="4365" max="4365" width="34.25" style="2" customWidth="1"/>
    <col min="4366" max="4366" width="3.625" style="2" customWidth="1"/>
    <col min="4367" max="4610" width="9" style="2"/>
    <col min="4611" max="4620" width="9.625" style="2" customWidth="1"/>
    <col min="4621" max="4621" width="34.25" style="2" customWidth="1"/>
    <col min="4622" max="4622" width="3.625" style="2" customWidth="1"/>
    <col min="4623" max="4866" width="9" style="2"/>
    <col min="4867" max="4876" width="9.625" style="2" customWidth="1"/>
    <col min="4877" max="4877" width="34.25" style="2" customWidth="1"/>
    <col min="4878" max="4878" width="3.625" style="2" customWidth="1"/>
    <col min="4879" max="5122" width="9" style="2"/>
    <col min="5123" max="5132" width="9.625" style="2" customWidth="1"/>
    <col min="5133" max="5133" width="34.25" style="2" customWidth="1"/>
    <col min="5134" max="5134" width="3.625" style="2" customWidth="1"/>
    <col min="5135" max="5378" width="9" style="2"/>
    <col min="5379" max="5388" width="9.625" style="2" customWidth="1"/>
    <col min="5389" max="5389" width="34.25" style="2" customWidth="1"/>
    <col min="5390" max="5390" width="3.625" style="2" customWidth="1"/>
    <col min="5391" max="5634" width="9" style="2"/>
    <col min="5635" max="5644" width="9.625" style="2" customWidth="1"/>
    <col min="5645" max="5645" width="34.25" style="2" customWidth="1"/>
    <col min="5646" max="5646" width="3.625" style="2" customWidth="1"/>
    <col min="5647" max="5890" width="9" style="2"/>
    <col min="5891" max="5900" width="9.625" style="2" customWidth="1"/>
    <col min="5901" max="5901" width="34.25" style="2" customWidth="1"/>
    <col min="5902" max="5902" width="3.625" style="2" customWidth="1"/>
    <col min="5903" max="6146" width="9" style="2"/>
    <col min="6147" max="6156" width="9.625" style="2" customWidth="1"/>
    <col min="6157" max="6157" width="34.25" style="2" customWidth="1"/>
    <col min="6158" max="6158" width="3.625" style="2" customWidth="1"/>
    <col min="6159" max="6402" width="9" style="2"/>
    <col min="6403" max="6412" width="9.625" style="2" customWidth="1"/>
    <col min="6413" max="6413" width="34.25" style="2" customWidth="1"/>
    <col min="6414" max="6414" width="3.625" style="2" customWidth="1"/>
    <col min="6415" max="6658" width="9" style="2"/>
    <col min="6659" max="6668" width="9.625" style="2" customWidth="1"/>
    <col min="6669" max="6669" width="34.25" style="2" customWidth="1"/>
    <col min="6670" max="6670" width="3.625" style="2" customWidth="1"/>
    <col min="6671" max="6914" width="9" style="2"/>
    <col min="6915" max="6924" width="9.625" style="2" customWidth="1"/>
    <col min="6925" max="6925" width="34.25" style="2" customWidth="1"/>
    <col min="6926" max="6926" width="3.625" style="2" customWidth="1"/>
    <col min="6927" max="7170" width="9" style="2"/>
    <col min="7171" max="7180" width="9.625" style="2" customWidth="1"/>
    <col min="7181" max="7181" width="34.25" style="2" customWidth="1"/>
    <col min="7182" max="7182" width="3.625" style="2" customWidth="1"/>
    <col min="7183" max="7426" width="9" style="2"/>
    <col min="7427" max="7436" width="9.625" style="2" customWidth="1"/>
    <col min="7437" max="7437" width="34.25" style="2" customWidth="1"/>
    <col min="7438" max="7438" width="3.625" style="2" customWidth="1"/>
    <col min="7439" max="7682" width="9" style="2"/>
    <col min="7683" max="7692" width="9.625" style="2" customWidth="1"/>
    <col min="7693" max="7693" width="34.25" style="2" customWidth="1"/>
    <col min="7694" max="7694" width="3.625" style="2" customWidth="1"/>
    <col min="7695" max="7938" width="9" style="2"/>
    <col min="7939" max="7948" width="9.625" style="2" customWidth="1"/>
    <col min="7949" max="7949" width="34.25" style="2" customWidth="1"/>
    <col min="7950" max="7950" width="3.625" style="2" customWidth="1"/>
    <col min="7951" max="8194" width="9" style="2"/>
    <col min="8195" max="8204" width="9.625" style="2" customWidth="1"/>
    <col min="8205" max="8205" width="34.25" style="2" customWidth="1"/>
    <col min="8206" max="8206" width="3.625" style="2" customWidth="1"/>
    <col min="8207" max="8450" width="9" style="2"/>
    <col min="8451" max="8460" width="9.625" style="2" customWidth="1"/>
    <col min="8461" max="8461" width="34.25" style="2" customWidth="1"/>
    <col min="8462" max="8462" width="3.625" style="2" customWidth="1"/>
    <col min="8463" max="8706" width="9" style="2"/>
    <col min="8707" max="8716" width="9.625" style="2" customWidth="1"/>
    <col min="8717" max="8717" width="34.25" style="2" customWidth="1"/>
    <col min="8718" max="8718" width="3.625" style="2" customWidth="1"/>
    <col min="8719" max="8962" width="9" style="2"/>
    <col min="8963" max="8972" width="9.625" style="2" customWidth="1"/>
    <col min="8973" max="8973" width="34.25" style="2" customWidth="1"/>
    <col min="8974" max="8974" width="3.625" style="2" customWidth="1"/>
    <col min="8975" max="9218" width="9" style="2"/>
    <col min="9219" max="9228" width="9.625" style="2" customWidth="1"/>
    <col min="9229" max="9229" width="34.25" style="2" customWidth="1"/>
    <col min="9230" max="9230" width="3.625" style="2" customWidth="1"/>
    <col min="9231" max="9474" width="9" style="2"/>
    <col min="9475" max="9484" width="9.625" style="2" customWidth="1"/>
    <col min="9485" max="9485" width="34.25" style="2" customWidth="1"/>
    <col min="9486" max="9486" width="3.625" style="2" customWidth="1"/>
    <col min="9487" max="9730" width="9" style="2"/>
    <col min="9731" max="9740" width="9.625" style="2" customWidth="1"/>
    <col min="9741" max="9741" width="34.25" style="2" customWidth="1"/>
    <col min="9742" max="9742" width="3.625" style="2" customWidth="1"/>
    <col min="9743" max="9986" width="9" style="2"/>
    <col min="9987" max="9996" width="9.625" style="2" customWidth="1"/>
    <col min="9997" max="9997" width="34.25" style="2" customWidth="1"/>
    <col min="9998" max="9998" width="3.625" style="2" customWidth="1"/>
    <col min="9999" max="10242" width="9" style="2"/>
    <col min="10243" max="10252" width="9.625" style="2" customWidth="1"/>
    <col min="10253" max="10253" width="34.25" style="2" customWidth="1"/>
    <col min="10254" max="10254" width="3.625" style="2" customWidth="1"/>
    <col min="10255" max="10498" width="9" style="2"/>
    <col min="10499" max="10508" width="9.625" style="2" customWidth="1"/>
    <col min="10509" max="10509" width="34.25" style="2" customWidth="1"/>
    <col min="10510" max="10510" width="3.625" style="2" customWidth="1"/>
    <col min="10511" max="10754" width="9" style="2"/>
    <col min="10755" max="10764" width="9.625" style="2" customWidth="1"/>
    <col min="10765" max="10765" width="34.25" style="2" customWidth="1"/>
    <col min="10766" max="10766" width="3.625" style="2" customWidth="1"/>
    <col min="10767" max="11010" width="9" style="2"/>
    <col min="11011" max="11020" width="9.625" style="2" customWidth="1"/>
    <col min="11021" max="11021" width="34.25" style="2" customWidth="1"/>
    <col min="11022" max="11022" width="3.625" style="2" customWidth="1"/>
    <col min="11023" max="11266" width="9" style="2"/>
    <col min="11267" max="11276" width="9.625" style="2" customWidth="1"/>
    <col min="11277" max="11277" width="34.25" style="2" customWidth="1"/>
    <col min="11278" max="11278" width="3.625" style="2" customWidth="1"/>
    <col min="11279" max="11522" width="9" style="2"/>
    <col min="11523" max="11532" width="9.625" style="2" customWidth="1"/>
    <col min="11533" max="11533" width="34.25" style="2" customWidth="1"/>
    <col min="11534" max="11534" width="3.625" style="2" customWidth="1"/>
    <col min="11535" max="11778" width="9" style="2"/>
    <col min="11779" max="11788" width="9.625" style="2" customWidth="1"/>
    <col min="11789" max="11789" width="34.25" style="2" customWidth="1"/>
    <col min="11790" max="11790" width="3.625" style="2" customWidth="1"/>
    <col min="11791" max="12034" width="9" style="2"/>
    <col min="12035" max="12044" width="9.625" style="2" customWidth="1"/>
    <col min="12045" max="12045" width="34.25" style="2" customWidth="1"/>
    <col min="12046" max="12046" width="3.625" style="2" customWidth="1"/>
    <col min="12047" max="12290" width="9" style="2"/>
    <col min="12291" max="12300" width="9.625" style="2" customWidth="1"/>
    <col min="12301" max="12301" width="34.25" style="2" customWidth="1"/>
    <col min="12302" max="12302" width="3.625" style="2" customWidth="1"/>
    <col min="12303" max="12546" width="9" style="2"/>
    <col min="12547" max="12556" width="9.625" style="2" customWidth="1"/>
    <col min="12557" max="12557" width="34.25" style="2" customWidth="1"/>
    <col min="12558" max="12558" width="3.625" style="2" customWidth="1"/>
    <col min="12559" max="12802" width="9" style="2"/>
    <col min="12803" max="12812" width="9.625" style="2" customWidth="1"/>
    <col min="12813" max="12813" width="34.25" style="2" customWidth="1"/>
    <col min="12814" max="12814" width="3.625" style="2" customWidth="1"/>
    <col min="12815" max="13058" width="9" style="2"/>
    <col min="13059" max="13068" width="9.625" style="2" customWidth="1"/>
    <col min="13069" max="13069" width="34.25" style="2" customWidth="1"/>
    <col min="13070" max="13070" width="3.625" style="2" customWidth="1"/>
    <col min="13071" max="13314" width="9" style="2"/>
    <col min="13315" max="13324" width="9.625" style="2" customWidth="1"/>
    <col min="13325" max="13325" width="34.25" style="2" customWidth="1"/>
    <col min="13326" max="13326" width="3.625" style="2" customWidth="1"/>
    <col min="13327" max="13570" width="9" style="2"/>
    <col min="13571" max="13580" width="9.625" style="2" customWidth="1"/>
    <col min="13581" max="13581" width="34.25" style="2" customWidth="1"/>
    <col min="13582" max="13582" width="3.625" style="2" customWidth="1"/>
    <col min="13583" max="13826" width="9" style="2"/>
    <col min="13827" max="13836" width="9.625" style="2" customWidth="1"/>
    <col min="13837" max="13837" width="34.25" style="2" customWidth="1"/>
    <col min="13838" max="13838" width="3.625" style="2" customWidth="1"/>
    <col min="13839" max="14082" width="9" style="2"/>
    <col min="14083" max="14092" width="9.625" style="2" customWidth="1"/>
    <col min="14093" max="14093" width="34.25" style="2" customWidth="1"/>
    <col min="14094" max="14094" width="3.625" style="2" customWidth="1"/>
    <col min="14095" max="14338" width="9" style="2"/>
    <col min="14339" max="14348" width="9.625" style="2" customWidth="1"/>
    <col min="14349" max="14349" width="34.25" style="2" customWidth="1"/>
    <col min="14350" max="14350" width="3.625" style="2" customWidth="1"/>
    <col min="14351" max="14594" width="9" style="2"/>
    <col min="14595" max="14604" width="9.625" style="2" customWidth="1"/>
    <col min="14605" max="14605" width="34.25" style="2" customWidth="1"/>
    <col min="14606" max="14606" width="3.625" style="2" customWidth="1"/>
    <col min="14607" max="14850" width="9" style="2"/>
    <col min="14851" max="14860" width="9.625" style="2" customWidth="1"/>
    <col min="14861" max="14861" width="34.25" style="2" customWidth="1"/>
    <col min="14862" max="14862" width="3.625" style="2" customWidth="1"/>
    <col min="14863" max="15106" width="9" style="2"/>
    <col min="15107" max="15116" width="9.625" style="2" customWidth="1"/>
    <col min="15117" max="15117" width="34.25" style="2" customWidth="1"/>
    <col min="15118" max="15118" width="3.625" style="2" customWidth="1"/>
    <col min="15119" max="15362" width="9" style="2"/>
    <col min="15363" max="15372" width="9.625" style="2" customWidth="1"/>
    <col min="15373" max="15373" width="34.25" style="2" customWidth="1"/>
    <col min="15374" max="15374" width="3.625" style="2" customWidth="1"/>
    <col min="15375" max="15618" width="9" style="2"/>
    <col min="15619" max="15628" width="9.625" style="2" customWidth="1"/>
    <col min="15629" max="15629" width="34.25" style="2" customWidth="1"/>
    <col min="15630" max="15630" width="3.625" style="2" customWidth="1"/>
    <col min="15631" max="15874" width="9" style="2"/>
    <col min="15875" max="15884" width="9.625" style="2" customWidth="1"/>
    <col min="15885" max="15885" width="34.25" style="2" customWidth="1"/>
    <col min="15886" max="15886" width="3.625" style="2" customWidth="1"/>
    <col min="15887" max="16130" width="9" style="2"/>
    <col min="16131" max="16140" width="9.625" style="2" customWidth="1"/>
    <col min="16141" max="16141" width="34.25" style="2" customWidth="1"/>
    <col min="16142" max="16142" width="3.625" style="2" customWidth="1"/>
    <col min="16143" max="16384" width="9" style="2"/>
  </cols>
  <sheetData>
    <row r="1" spans="4:15" ht="20.100000000000001" customHeight="1" x14ac:dyDescent="0.2">
      <c r="D1" s="406" t="s">
        <v>614</v>
      </c>
      <c r="E1" s="406"/>
      <c r="F1" s="406"/>
      <c r="G1" s="406"/>
      <c r="H1" s="406"/>
      <c r="I1" s="406"/>
      <c r="J1" s="406"/>
      <c r="K1" s="406"/>
      <c r="L1" s="406"/>
      <c r="M1" s="406"/>
      <c r="N1" s="406"/>
      <c r="O1" s="1"/>
    </row>
    <row r="2" spans="4:15" ht="20.100000000000001" customHeight="1" thickBot="1" x14ac:dyDescent="0.25">
      <c r="D2" s="425" t="s">
        <v>615</v>
      </c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1"/>
    </row>
    <row r="3" spans="4:15" ht="18" customHeight="1" thickBot="1" x14ac:dyDescent="0.25">
      <c r="D3" s="426" t="s">
        <v>4</v>
      </c>
      <c r="E3" s="426"/>
      <c r="F3" s="426"/>
      <c r="G3" s="426" t="s">
        <v>145</v>
      </c>
      <c r="H3" s="426"/>
      <c r="I3" s="426"/>
      <c r="J3" s="426" t="s">
        <v>146</v>
      </c>
      <c r="K3" s="426"/>
      <c r="L3" s="426"/>
      <c r="M3" s="410"/>
      <c r="N3" s="410"/>
      <c r="O3" s="1"/>
    </row>
    <row r="4" spans="4:15" ht="13.5" thickBot="1" x14ac:dyDescent="0.25">
      <c r="D4" s="39" t="s">
        <v>227</v>
      </c>
      <c r="E4" s="39" t="s">
        <v>10</v>
      </c>
      <c r="F4" s="39" t="s">
        <v>9</v>
      </c>
      <c r="G4" s="39" t="s">
        <v>227</v>
      </c>
      <c r="H4" s="39" t="s">
        <v>10</v>
      </c>
      <c r="I4" s="39" t="s">
        <v>9</v>
      </c>
      <c r="J4" s="39" t="s">
        <v>227</v>
      </c>
      <c r="K4" s="39" t="s">
        <v>10</v>
      </c>
      <c r="L4" s="39" t="s">
        <v>9</v>
      </c>
      <c r="M4" s="412" t="s">
        <v>240</v>
      </c>
      <c r="N4" s="412"/>
      <c r="O4" s="1"/>
    </row>
    <row r="5" spans="4:15" ht="13.5" thickBot="1" x14ac:dyDescent="0.25">
      <c r="D5" s="6">
        <f>SUM(E5:F5)</f>
        <v>0</v>
      </c>
      <c r="E5" s="6">
        <f>K5+H5</f>
        <v>0</v>
      </c>
      <c r="F5" s="6">
        <f>L5+I5</f>
        <v>0</v>
      </c>
      <c r="G5" s="6">
        <f>SUM(H5:I5)</f>
        <v>0</v>
      </c>
      <c r="H5" s="6">
        <v>0</v>
      </c>
      <c r="I5" s="6">
        <v>0</v>
      </c>
      <c r="J5" s="6">
        <f>SUM(K5:L5)</f>
        <v>0</v>
      </c>
      <c r="K5" s="6">
        <v>0</v>
      </c>
      <c r="L5" s="6">
        <v>0</v>
      </c>
      <c r="M5" s="7" t="s">
        <v>56</v>
      </c>
      <c r="N5" s="114"/>
      <c r="O5" s="1"/>
    </row>
    <row r="6" spans="4:15" ht="13.5" thickBot="1" x14ac:dyDescent="0.25">
      <c r="D6" s="6">
        <f t="shared" ref="D6:D69" si="0">SUM(E6:F6)</f>
        <v>72</v>
      </c>
      <c r="E6" s="6">
        <f t="shared" ref="E6:F69" si="1">K6+H6</f>
        <v>18</v>
      </c>
      <c r="F6" s="6">
        <f t="shared" si="1"/>
        <v>54</v>
      </c>
      <c r="G6" s="6">
        <f t="shared" ref="G6:G69" si="2">SUM(H6:I6)</f>
        <v>10</v>
      </c>
      <c r="H6" s="6">
        <v>0</v>
      </c>
      <c r="I6" s="6">
        <v>10</v>
      </c>
      <c r="J6" s="6">
        <f t="shared" ref="J6:J69" si="3">SUM(K6:L6)</f>
        <v>62</v>
      </c>
      <c r="K6" s="6">
        <v>18</v>
      </c>
      <c r="L6" s="6">
        <v>44</v>
      </c>
      <c r="M6" s="7" t="s">
        <v>57</v>
      </c>
      <c r="N6" s="114" t="s">
        <v>161</v>
      </c>
      <c r="O6" s="1"/>
    </row>
    <row r="7" spans="4:15" ht="13.5" thickBot="1" x14ac:dyDescent="0.25">
      <c r="D7" s="6">
        <f t="shared" si="0"/>
        <v>0</v>
      </c>
      <c r="E7" s="6">
        <f t="shared" si="1"/>
        <v>0</v>
      </c>
      <c r="F7" s="6">
        <f t="shared" si="1"/>
        <v>0</v>
      </c>
      <c r="G7" s="6">
        <f t="shared" si="2"/>
        <v>0</v>
      </c>
      <c r="H7" s="6">
        <v>0</v>
      </c>
      <c r="I7" s="6">
        <v>0</v>
      </c>
      <c r="J7" s="6">
        <f t="shared" si="3"/>
        <v>0</v>
      </c>
      <c r="K7" s="6">
        <v>0</v>
      </c>
      <c r="L7" s="6">
        <v>0</v>
      </c>
      <c r="M7" s="7" t="s">
        <v>59</v>
      </c>
      <c r="N7" s="115"/>
      <c r="O7" s="1"/>
    </row>
    <row r="8" spans="4:15" ht="13.5" thickBot="1" x14ac:dyDescent="0.25">
      <c r="D8" s="6">
        <f t="shared" si="0"/>
        <v>318</v>
      </c>
      <c r="E8" s="6">
        <f t="shared" si="1"/>
        <v>72</v>
      </c>
      <c r="F8" s="6">
        <f t="shared" si="1"/>
        <v>246</v>
      </c>
      <c r="G8" s="6">
        <f t="shared" si="2"/>
        <v>49</v>
      </c>
      <c r="H8" s="6">
        <v>0</v>
      </c>
      <c r="I8" s="6">
        <v>49</v>
      </c>
      <c r="J8" s="6">
        <f t="shared" si="3"/>
        <v>269</v>
      </c>
      <c r="K8" s="6">
        <v>72</v>
      </c>
      <c r="L8" s="6">
        <v>197</v>
      </c>
      <c r="M8" s="7" t="s">
        <v>56</v>
      </c>
      <c r="N8" s="114"/>
      <c r="O8" s="1"/>
    </row>
    <row r="9" spans="4:15" ht="13.5" thickBot="1" x14ac:dyDescent="0.25">
      <c r="D9" s="6">
        <f t="shared" si="0"/>
        <v>883</v>
      </c>
      <c r="E9" s="6">
        <f t="shared" si="1"/>
        <v>154</v>
      </c>
      <c r="F9" s="6">
        <f t="shared" si="1"/>
        <v>729</v>
      </c>
      <c r="G9" s="6">
        <f t="shared" si="2"/>
        <v>168</v>
      </c>
      <c r="H9" s="6">
        <v>2</v>
      </c>
      <c r="I9" s="6">
        <v>166</v>
      </c>
      <c r="J9" s="6">
        <f t="shared" si="3"/>
        <v>715</v>
      </c>
      <c r="K9" s="6">
        <v>152</v>
      </c>
      <c r="L9" s="6">
        <v>563</v>
      </c>
      <c r="M9" s="7" t="s">
        <v>57</v>
      </c>
      <c r="N9" s="114" t="s">
        <v>162</v>
      </c>
      <c r="O9" s="1"/>
    </row>
    <row r="10" spans="4:15" ht="13.5" thickBot="1" x14ac:dyDescent="0.25">
      <c r="D10" s="6">
        <f t="shared" si="0"/>
        <v>83</v>
      </c>
      <c r="E10" s="6">
        <f t="shared" si="1"/>
        <v>0</v>
      </c>
      <c r="F10" s="6">
        <f t="shared" si="1"/>
        <v>83</v>
      </c>
      <c r="G10" s="6">
        <f t="shared" si="2"/>
        <v>34</v>
      </c>
      <c r="H10" s="6">
        <v>0</v>
      </c>
      <c r="I10" s="6">
        <v>34</v>
      </c>
      <c r="J10" s="6">
        <f t="shared" si="3"/>
        <v>49</v>
      </c>
      <c r="K10" s="6">
        <v>0</v>
      </c>
      <c r="L10" s="6">
        <v>49</v>
      </c>
      <c r="M10" s="7" t="s">
        <v>59</v>
      </c>
      <c r="N10" s="115"/>
      <c r="O10" s="1"/>
    </row>
    <row r="11" spans="4:15" ht="13.5" thickBot="1" x14ac:dyDescent="0.25">
      <c r="D11" s="6">
        <f t="shared" si="0"/>
        <v>0</v>
      </c>
      <c r="E11" s="6">
        <f t="shared" si="1"/>
        <v>0</v>
      </c>
      <c r="F11" s="6">
        <f t="shared" si="1"/>
        <v>0</v>
      </c>
      <c r="G11" s="6">
        <f t="shared" si="2"/>
        <v>0</v>
      </c>
      <c r="H11" s="6">
        <v>0</v>
      </c>
      <c r="I11" s="6">
        <v>0</v>
      </c>
      <c r="J11" s="6">
        <f t="shared" si="3"/>
        <v>0</v>
      </c>
      <c r="K11" s="6">
        <v>0</v>
      </c>
      <c r="L11" s="6">
        <v>0</v>
      </c>
      <c r="M11" s="7" t="s">
        <v>56</v>
      </c>
      <c r="N11" s="114"/>
      <c r="O11" s="1"/>
    </row>
    <row r="12" spans="4:15" ht="13.5" thickBot="1" x14ac:dyDescent="0.25">
      <c r="D12" s="6">
        <f t="shared" si="0"/>
        <v>8</v>
      </c>
      <c r="E12" s="6">
        <f t="shared" si="1"/>
        <v>0</v>
      </c>
      <c r="F12" s="6">
        <f t="shared" si="1"/>
        <v>8</v>
      </c>
      <c r="G12" s="6">
        <f t="shared" si="2"/>
        <v>0</v>
      </c>
      <c r="H12" s="6">
        <v>0</v>
      </c>
      <c r="I12" s="6">
        <v>0</v>
      </c>
      <c r="J12" s="6">
        <f t="shared" si="3"/>
        <v>8</v>
      </c>
      <c r="K12" s="6">
        <v>0</v>
      </c>
      <c r="L12" s="6">
        <v>8</v>
      </c>
      <c r="M12" s="7" t="s">
        <v>57</v>
      </c>
      <c r="N12" s="114" t="s">
        <v>163</v>
      </c>
      <c r="O12" s="1"/>
    </row>
    <row r="13" spans="4:15" ht="13.5" thickBot="1" x14ac:dyDescent="0.25">
      <c r="D13" s="6">
        <f t="shared" si="0"/>
        <v>0</v>
      </c>
      <c r="E13" s="6">
        <f t="shared" si="1"/>
        <v>0</v>
      </c>
      <c r="F13" s="6">
        <f t="shared" si="1"/>
        <v>0</v>
      </c>
      <c r="G13" s="6">
        <f t="shared" si="2"/>
        <v>0</v>
      </c>
      <c r="H13" s="6">
        <v>0</v>
      </c>
      <c r="I13" s="6">
        <v>0</v>
      </c>
      <c r="J13" s="6">
        <f t="shared" si="3"/>
        <v>0</v>
      </c>
      <c r="K13" s="6">
        <v>0</v>
      </c>
      <c r="L13" s="6">
        <v>0</v>
      </c>
      <c r="M13" s="7" t="s">
        <v>59</v>
      </c>
      <c r="N13" s="115"/>
      <c r="O13" s="1"/>
    </row>
    <row r="14" spans="4:15" ht="13.5" thickBot="1" x14ac:dyDescent="0.25">
      <c r="D14" s="6">
        <f t="shared" si="0"/>
        <v>736</v>
      </c>
      <c r="E14" s="6">
        <f t="shared" si="1"/>
        <v>373</v>
      </c>
      <c r="F14" s="6">
        <f t="shared" si="1"/>
        <v>363</v>
      </c>
      <c r="G14" s="6">
        <f t="shared" si="2"/>
        <v>57</v>
      </c>
      <c r="H14" s="6">
        <v>2</v>
      </c>
      <c r="I14" s="6">
        <v>55</v>
      </c>
      <c r="J14" s="6">
        <f t="shared" si="3"/>
        <v>679</v>
      </c>
      <c r="K14" s="6">
        <v>371</v>
      </c>
      <c r="L14" s="6">
        <v>308</v>
      </c>
      <c r="M14" s="7" t="s">
        <v>56</v>
      </c>
      <c r="N14" s="114"/>
      <c r="O14" s="1"/>
    </row>
    <row r="15" spans="4:15" ht="13.5" thickBot="1" x14ac:dyDescent="0.25">
      <c r="D15" s="6">
        <f t="shared" si="0"/>
        <v>3251</v>
      </c>
      <c r="E15" s="6">
        <f t="shared" si="1"/>
        <v>1415</v>
      </c>
      <c r="F15" s="6">
        <f t="shared" si="1"/>
        <v>1836</v>
      </c>
      <c r="G15" s="6">
        <f t="shared" si="2"/>
        <v>111</v>
      </c>
      <c r="H15" s="6">
        <v>26</v>
      </c>
      <c r="I15" s="6">
        <v>85</v>
      </c>
      <c r="J15" s="6">
        <f t="shared" si="3"/>
        <v>3140</v>
      </c>
      <c r="K15" s="6">
        <v>1389</v>
      </c>
      <c r="L15" s="6">
        <v>1751</v>
      </c>
      <c r="M15" s="7" t="s">
        <v>57</v>
      </c>
      <c r="N15" s="114" t="s">
        <v>164</v>
      </c>
      <c r="O15" s="1"/>
    </row>
    <row r="16" spans="4:15" ht="13.5" thickBot="1" x14ac:dyDescent="0.25">
      <c r="D16" s="6">
        <f t="shared" si="0"/>
        <v>1616</v>
      </c>
      <c r="E16" s="6">
        <f t="shared" si="1"/>
        <v>656</v>
      </c>
      <c r="F16" s="6">
        <f t="shared" si="1"/>
        <v>960</v>
      </c>
      <c r="G16" s="6">
        <f t="shared" si="2"/>
        <v>0</v>
      </c>
      <c r="H16" s="6">
        <v>0</v>
      </c>
      <c r="I16" s="6">
        <v>0</v>
      </c>
      <c r="J16" s="6">
        <f t="shared" si="3"/>
        <v>1616</v>
      </c>
      <c r="K16" s="6">
        <v>656</v>
      </c>
      <c r="L16" s="6">
        <v>960</v>
      </c>
      <c r="M16" s="7" t="s">
        <v>59</v>
      </c>
      <c r="N16" s="115"/>
      <c r="O16" s="1"/>
    </row>
    <row r="17" spans="4:15" ht="13.5" thickBot="1" x14ac:dyDescent="0.25">
      <c r="D17" s="6">
        <f t="shared" si="0"/>
        <v>0</v>
      </c>
      <c r="E17" s="6">
        <f t="shared" si="1"/>
        <v>0</v>
      </c>
      <c r="F17" s="6">
        <f t="shared" si="1"/>
        <v>0</v>
      </c>
      <c r="G17" s="6">
        <f t="shared" si="2"/>
        <v>0</v>
      </c>
      <c r="H17" s="6">
        <v>0</v>
      </c>
      <c r="I17" s="6">
        <v>0</v>
      </c>
      <c r="J17" s="6">
        <f t="shared" si="3"/>
        <v>0</v>
      </c>
      <c r="K17" s="6">
        <v>0</v>
      </c>
      <c r="L17" s="6">
        <v>0</v>
      </c>
      <c r="M17" s="7" t="s">
        <v>56</v>
      </c>
      <c r="N17" s="114"/>
      <c r="O17" s="1"/>
    </row>
    <row r="18" spans="4:15" ht="13.5" thickBot="1" x14ac:dyDescent="0.25">
      <c r="D18" s="6">
        <f t="shared" si="0"/>
        <v>57</v>
      </c>
      <c r="E18" s="6">
        <f t="shared" si="1"/>
        <v>14</v>
      </c>
      <c r="F18" s="6">
        <f t="shared" si="1"/>
        <v>43</v>
      </c>
      <c r="G18" s="6">
        <f t="shared" si="2"/>
        <v>3</v>
      </c>
      <c r="H18" s="6">
        <v>2</v>
      </c>
      <c r="I18" s="6">
        <v>1</v>
      </c>
      <c r="J18" s="6">
        <f t="shared" si="3"/>
        <v>54</v>
      </c>
      <c r="K18" s="6">
        <v>12</v>
      </c>
      <c r="L18" s="6">
        <v>42</v>
      </c>
      <c r="M18" s="7" t="s">
        <v>57</v>
      </c>
      <c r="N18" s="114" t="s">
        <v>165</v>
      </c>
      <c r="O18" s="1"/>
    </row>
    <row r="19" spans="4:15" ht="13.5" thickBot="1" x14ac:dyDescent="0.25">
      <c r="D19" s="6">
        <f t="shared" si="0"/>
        <v>0</v>
      </c>
      <c r="E19" s="6">
        <f t="shared" si="1"/>
        <v>0</v>
      </c>
      <c r="F19" s="6">
        <f t="shared" si="1"/>
        <v>0</v>
      </c>
      <c r="G19" s="6">
        <f t="shared" si="2"/>
        <v>0</v>
      </c>
      <c r="H19" s="6">
        <v>0</v>
      </c>
      <c r="I19" s="6">
        <v>0</v>
      </c>
      <c r="J19" s="6">
        <f t="shared" si="3"/>
        <v>0</v>
      </c>
      <c r="K19" s="6">
        <v>0</v>
      </c>
      <c r="L19" s="6">
        <v>0</v>
      </c>
      <c r="M19" s="7" t="s">
        <v>59</v>
      </c>
      <c r="N19" s="115"/>
      <c r="O19" s="1"/>
    </row>
    <row r="20" spans="4:15" ht="13.5" thickBot="1" x14ac:dyDescent="0.25">
      <c r="D20" s="6">
        <f t="shared" si="0"/>
        <v>281</v>
      </c>
      <c r="E20" s="6">
        <f t="shared" si="1"/>
        <v>120</v>
      </c>
      <c r="F20" s="6">
        <f t="shared" si="1"/>
        <v>161</v>
      </c>
      <c r="G20" s="6">
        <f t="shared" si="2"/>
        <v>19</v>
      </c>
      <c r="H20" s="6">
        <v>0</v>
      </c>
      <c r="I20" s="6">
        <v>19</v>
      </c>
      <c r="J20" s="6">
        <f t="shared" si="3"/>
        <v>262</v>
      </c>
      <c r="K20" s="6">
        <v>120</v>
      </c>
      <c r="L20" s="6">
        <v>142</v>
      </c>
      <c r="M20" s="7" t="s">
        <v>56</v>
      </c>
      <c r="N20" s="114"/>
      <c r="O20" s="1"/>
    </row>
    <row r="21" spans="4:15" ht="13.5" thickBot="1" x14ac:dyDescent="0.25">
      <c r="D21" s="6">
        <f t="shared" si="0"/>
        <v>1574</v>
      </c>
      <c r="E21" s="6">
        <f t="shared" si="1"/>
        <v>628</v>
      </c>
      <c r="F21" s="6">
        <f t="shared" si="1"/>
        <v>946</v>
      </c>
      <c r="G21" s="6">
        <f t="shared" si="2"/>
        <v>56</v>
      </c>
      <c r="H21" s="6">
        <v>17</v>
      </c>
      <c r="I21" s="6">
        <v>39</v>
      </c>
      <c r="J21" s="6">
        <f t="shared" si="3"/>
        <v>1518</v>
      </c>
      <c r="K21" s="6">
        <v>611</v>
      </c>
      <c r="L21" s="6">
        <v>907</v>
      </c>
      <c r="M21" s="7" t="s">
        <v>57</v>
      </c>
      <c r="N21" s="114" t="s">
        <v>166</v>
      </c>
      <c r="O21" s="1"/>
    </row>
    <row r="22" spans="4:15" ht="13.5" thickBot="1" x14ac:dyDescent="0.25">
      <c r="D22" s="6">
        <f t="shared" si="0"/>
        <v>226</v>
      </c>
      <c r="E22" s="6">
        <f t="shared" si="1"/>
        <v>0</v>
      </c>
      <c r="F22" s="6">
        <f t="shared" si="1"/>
        <v>226</v>
      </c>
      <c r="G22" s="6">
        <f t="shared" si="2"/>
        <v>45</v>
      </c>
      <c r="H22" s="6">
        <v>0</v>
      </c>
      <c r="I22" s="6">
        <v>45</v>
      </c>
      <c r="J22" s="6">
        <f t="shared" si="3"/>
        <v>181</v>
      </c>
      <c r="K22" s="6">
        <v>0</v>
      </c>
      <c r="L22" s="6">
        <v>181</v>
      </c>
      <c r="M22" s="7" t="s">
        <v>59</v>
      </c>
      <c r="N22" s="115"/>
      <c r="O22" s="1"/>
    </row>
    <row r="23" spans="4:15" ht="13.5" thickBot="1" x14ac:dyDescent="0.25">
      <c r="D23" s="6">
        <f t="shared" si="0"/>
        <v>179</v>
      </c>
      <c r="E23" s="6">
        <f t="shared" si="1"/>
        <v>112.00000000000001</v>
      </c>
      <c r="F23" s="6">
        <f t="shared" si="1"/>
        <v>67</v>
      </c>
      <c r="G23" s="6">
        <f t="shared" si="2"/>
        <v>2</v>
      </c>
      <c r="H23" s="6">
        <v>0</v>
      </c>
      <c r="I23" s="6">
        <v>2</v>
      </c>
      <c r="J23" s="6">
        <f t="shared" si="3"/>
        <v>177</v>
      </c>
      <c r="K23" s="6">
        <v>112.00000000000001</v>
      </c>
      <c r="L23" s="6">
        <v>65</v>
      </c>
      <c r="M23" s="7" t="s">
        <v>56</v>
      </c>
      <c r="N23" s="114"/>
      <c r="O23" s="1"/>
    </row>
    <row r="24" spans="4:15" ht="13.5" thickBot="1" x14ac:dyDescent="0.25">
      <c r="D24" s="6">
        <f t="shared" si="0"/>
        <v>459</v>
      </c>
      <c r="E24" s="6">
        <f t="shared" si="1"/>
        <v>214</v>
      </c>
      <c r="F24" s="6">
        <f t="shared" si="1"/>
        <v>245</v>
      </c>
      <c r="G24" s="6">
        <f t="shared" si="2"/>
        <v>8</v>
      </c>
      <c r="H24" s="6">
        <v>2</v>
      </c>
      <c r="I24" s="6">
        <v>6</v>
      </c>
      <c r="J24" s="6">
        <f t="shared" si="3"/>
        <v>451</v>
      </c>
      <c r="K24" s="6">
        <v>212</v>
      </c>
      <c r="L24" s="6">
        <v>239</v>
      </c>
      <c r="M24" s="7" t="s">
        <v>57</v>
      </c>
      <c r="N24" s="114" t="s">
        <v>167</v>
      </c>
      <c r="O24" s="1"/>
    </row>
    <row r="25" spans="4:15" ht="13.5" thickBot="1" x14ac:dyDescent="0.25">
      <c r="D25" s="6">
        <f t="shared" si="0"/>
        <v>130</v>
      </c>
      <c r="E25" s="6">
        <f t="shared" si="1"/>
        <v>0</v>
      </c>
      <c r="F25" s="6">
        <f t="shared" si="1"/>
        <v>130</v>
      </c>
      <c r="G25" s="6">
        <f t="shared" si="2"/>
        <v>0</v>
      </c>
      <c r="H25" s="6">
        <v>0</v>
      </c>
      <c r="I25" s="6">
        <v>0</v>
      </c>
      <c r="J25" s="6">
        <f t="shared" si="3"/>
        <v>130</v>
      </c>
      <c r="K25" s="6">
        <v>0</v>
      </c>
      <c r="L25" s="6">
        <v>130</v>
      </c>
      <c r="M25" s="7" t="s">
        <v>59</v>
      </c>
      <c r="N25" s="115"/>
      <c r="O25" s="1"/>
    </row>
    <row r="26" spans="4:15" ht="13.5" thickBot="1" x14ac:dyDescent="0.25">
      <c r="D26" s="6">
        <f t="shared" si="0"/>
        <v>106</v>
      </c>
      <c r="E26" s="6">
        <f t="shared" si="1"/>
        <v>8</v>
      </c>
      <c r="F26" s="6">
        <f t="shared" si="1"/>
        <v>98</v>
      </c>
      <c r="G26" s="6">
        <f t="shared" si="2"/>
        <v>13</v>
      </c>
      <c r="H26" s="6">
        <v>0</v>
      </c>
      <c r="I26" s="6">
        <v>13</v>
      </c>
      <c r="J26" s="6">
        <f t="shared" si="3"/>
        <v>93</v>
      </c>
      <c r="K26" s="6">
        <v>8</v>
      </c>
      <c r="L26" s="6">
        <v>85</v>
      </c>
      <c r="M26" s="7" t="s">
        <v>56</v>
      </c>
      <c r="N26" s="114"/>
      <c r="O26" s="1"/>
    </row>
    <row r="27" spans="4:15" ht="13.5" thickBot="1" x14ac:dyDescent="0.25">
      <c r="D27" s="6">
        <f t="shared" si="0"/>
        <v>376</v>
      </c>
      <c r="E27" s="6">
        <f t="shared" si="1"/>
        <v>124</v>
      </c>
      <c r="F27" s="6">
        <f t="shared" si="1"/>
        <v>252</v>
      </c>
      <c r="G27" s="6">
        <f t="shared" si="2"/>
        <v>63</v>
      </c>
      <c r="H27" s="6">
        <v>2</v>
      </c>
      <c r="I27" s="6">
        <v>61</v>
      </c>
      <c r="J27" s="6">
        <f t="shared" si="3"/>
        <v>313</v>
      </c>
      <c r="K27" s="6">
        <v>122</v>
      </c>
      <c r="L27" s="6">
        <v>191</v>
      </c>
      <c r="M27" s="7" t="s">
        <v>57</v>
      </c>
      <c r="N27" s="114" t="s">
        <v>168</v>
      </c>
      <c r="O27" s="1"/>
    </row>
    <row r="28" spans="4:15" ht="13.5" thickBot="1" x14ac:dyDescent="0.25">
      <c r="D28" s="6">
        <f t="shared" si="0"/>
        <v>0</v>
      </c>
      <c r="E28" s="6">
        <f t="shared" si="1"/>
        <v>0</v>
      </c>
      <c r="F28" s="6">
        <f t="shared" si="1"/>
        <v>0</v>
      </c>
      <c r="G28" s="6">
        <f t="shared" si="2"/>
        <v>0</v>
      </c>
      <c r="H28" s="6">
        <v>0</v>
      </c>
      <c r="I28" s="6">
        <v>0</v>
      </c>
      <c r="J28" s="6">
        <f t="shared" si="3"/>
        <v>0</v>
      </c>
      <c r="K28" s="6">
        <v>0</v>
      </c>
      <c r="L28" s="6">
        <v>0</v>
      </c>
      <c r="M28" s="7" t="s">
        <v>59</v>
      </c>
      <c r="N28" s="115"/>
      <c r="O28" s="1"/>
    </row>
    <row r="29" spans="4:15" ht="13.5" thickBot="1" x14ac:dyDescent="0.25">
      <c r="D29" s="6">
        <f t="shared" si="0"/>
        <v>118</v>
      </c>
      <c r="E29" s="6">
        <f t="shared" si="1"/>
        <v>11</v>
      </c>
      <c r="F29" s="6">
        <f t="shared" si="1"/>
        <v>107</v>
      </c>
      <c r="G29" s="6">
        <f t="shared" si="2"/>
        <v>0</v>
      </c>
      <c r="H29" s="6">
        <v>0</v>
      </c>
      <c r="I29" s="6">
        <v>0</v>
      </c>
      <c r="J29" s="6">
        <f t="shared" si="3"/>
        <v>118</v>
      </c>
      <c r="K29" s="6">
        <v>11</v>
      </c>
      <c r="L29" s="6">
        <v>107</v>
      </c>
      <c r="M29" s="7" t="s">
        <v>56</v>
      </c>
      <c r="N29" s="114"/>
      <c r="O29" s="1"/>
    </row>
    <row r="30" spans="4:15" ht="13.5" thickBot="1" x14ac:dyDescent="0.25">
      <c r="D30" s="6">
        <f t="shared" si="0"/>
        <v>1465</v>
      </c>
      <c r="E30" s="6">
        <f t="shared" si="1"/>
        <v>551</v>
      </c>
      <c r="F30" s="6">
        <f t="shared" si="1"/>
        <v>914</v>
      </c>
      <c r="G30" s="6">
        <f t="shared" si="2"/>
        <v>126</v>
      </c>
      <c r="H30" s="6">
        <v>30</v>
      </c>
      <c r="I30" s="6">
        <v>96</v>
      </c>
      <c r="J30" s="6">
        <f t="shared" si="3"/>
        <v>1339</v>
      </c>
      <c r="K30" s="6">
        <v>521</v>
      </c>
      <c r="L30" s="6">
        <v>818</v>
      </c>
      <c r="M30" s="7" t="s">
        <v>57</v>
      </c>
      <c r="N30" s="114" t="s">
        <v>169</v>
      </c>
      <c r="O30" s="1"/>
    </row>
    <row r="31" spans="4:15" ht="13.5" thickBot="1" x14ac:dyDescent="0.25">
      <c r="D31" s="6">
        <f t="shared" si="0"/>
        <v>230</v>
      </c>
      <c r="E31" s="6">
        <f t="shared" si="1"/>
        <v>18</v>
      </c>
      <c r="F31" s="6">
        <f t="shared" si="1"/>
        <v>212</v>
      </c>
      <c r="G31" s="6">
        <f t="shared" si="2"/>
        <v>35</v>
      </c>
      <c r="H31" s="6">
        <v>18</v>
      </c>
      <c r="I31" s="6">
        <v>17</v>
      </c>
      <c r="J31" s="6">
        <f t="shared" si="3"/>
        <v>195</v>
      </c>
      <c r="K31" s="6">
        <v>0</v>
      </c>
      <c r="L31" s="6">
        <v>195</v>
      </c>
      <c r="M31" s="7" t="s">
        <v>59</v>
      </c>
      <c r="N31" s="115"/>
      <c r="O31" s="1"/>
    </row>
    <row r="32" spans="4:15" ht="13.5" thickBot="1" x14ac:dyDescent="0.25">
      <c r="D32" s="6">
        <f t="shared" si="0"/>
        <v>0</v>
      </c>
      <c r="E32" s="6">
        <f t="shared" si="1"/>
        <v>0</v>
      </c>
      <c r="F32" s="6">
        <f t="shared" si="1"/>
        <v>0</v>
      </c>
      <c r="G32" s="6">
        <f t="shared" si="2"/>
        <v>0</v>
      </c>
      <c r="H32" s="6">
        <v>0</v>
      </c>
      <c r="I32" s="6">
        <v>0</v>
      </c>
      <c r="J32" s="6">
        <f t="shared" si="3"/>
        <v>0</v>
      </c>
      <c r="K32" s="6">
        <v>0</v>
      </c>
      <c r="L32" s="6">
        <v>0</v>
      </c>
      <c r="M32" s="7" t="s">
        <v>56</v>
      </c>
      <c r="N32" s="114"/>
      <c r="O32" s="1"/>
    </row>
    <row r="33" spans="4:15" ht="13.5" thickBot="1" x14ac:dyDescent="0.25">
      <c r="D33" s="6">
        <f t="shared" si="0"/>
        <v>0</v>
      </c>
      <c r="E33" s="6">
        <f t="shared" si="1"/>
        <v>0</v>
      </c>
      <c r="F33" s="6">
        <f t="shared" si="1"/>
        <v>0</v>
      </c>
      <c r="G33" s="6">
        <f t="shared" si="2"/>
        <v>0</v>
      </c>
      <c r="H33" s="6">
        <v>0</v>
      </c>
      <c r="I33" s="6">
        <v>0</v>
      </c>
      <c r="J33" s="6">
        <f t="shared" si="3"/>
        <v>0</v>
      </c>
      <c r="K33" s="6">
        <v>0</v>
      </c>
      <c r="L33" s="6">
        <v>0</v>
      </c>
      <c r="M33" s="7" t="s">
        <v>57</v>
      </c>
      <c r="N33" s="114" t="s">
        <v>170</v>
      </c>
      <c r="O33" s="1"/>
    </row>
    <row r="34" spans="4:15" ht="13.5" thickBot="1" x14ac:dyDescent="0.25">
      <c r="D34" s="6">
        <f t="shared" si="0"/>
        <v>198</v>
      </c>
      <c r="E34" s="6">
        <f t="shared" si="1"/>
        <v>0</v>
      </c>
      <c r="F34" s="6">
        <f t="shared" si="1"/>
        <v>198</v>
      </c>
      <c r="G34" s="6">
        <f t="shared" si="2"/>
        <v>0</v>
      </c>
      <c r="H34" s="6">
        <v>0</v>
      </c>
      <c r="I34" s="6">
        <v>0</v>
      </c>
      <c r="J34" s="6">
        <f t="shared" si="3"/>
        <v>198</v>
      </c>
      <c r="K34" s="6">
        <v>0</v>
      </c>
      <c r="L34" s="6">
        <v>198</v>
      </c>
      <c r="M34" s="7" t="s">
        <v>59</v>
      </c>
      <c r="N34" s="115"/>
      <c r="O34" s="1"/>
    </row>
    <row r="35" spans="4:15" ht="13.5" thickBot="1" x14ac:dyDescent="0.25">
      <c r="D35" s="6">
        <f t="shared" si="0"/>
        <v>105</v>
      </c>
      <c r="E35" s="6">
        <f t="shared" si="1"/>
        <v>59</v>
      </c>
      <c r="F35" s="6">
        <f t="shared" si="1"/>
        <v>46</v>
      </c>
      <c r="G35" s="6">
        <f t="shared" si="2"/>
        <v>28</v>
      </c>
      <c r="H35" s="6">
        <v>0</v>
      </c>
      <c r="I35" s="6">
        <v>28</v>
      </c>
      <c r="J35" s="6">
        <f t="shared" si="3"/>
        <v>77</v>
      </c>
      <c r="K35" s="6">
        <v>59</v>
      </c>
      <c r="L35" s="6">
        <v>18</v>
      </c>
      <c r="M35" s="7" t="s">
        <v>56</v>
      </c>
      <c r="N35" s="114"/>
      <c r="O35" s="1"/>
    </row>
    <row r="36" spans="4:15" ht="13.5" thickBot="1" x14ac:dyDescent="0.25">
      <c r="D36" s="6">
        <f t="shared" si="0"/>
        <v>241</v>
      </c>
      <c r="E36" s="6">
        <f t="shared" si="1"/>
        <v>168</v>
      </c>
      <c r="F36" s="6">
        <f t="shared" si="1"/>
        <v>73</v>
      </c>
      <c r="G36" s="6">
        <f t="shared" si="2"/>
        <v>73</v>
      </c>
      <c r="H36" s="6">
        <v>42</v>
      </c>
      <c r="I36" s="6">
        <v>31</v>
      </c>
      <c r="J36" s="6">
        <f t="shared" si="3"/>
        <v>168</v>
      </c>
      <c r="K36" s="6">
        <v>126</v>
      </c>
      <c r="L36" s="6">
        <v>42</v>
      </c>
      <c r="M36" s="7" t="s">
        <v>57</v>
      </c>
      <c r="N36" s="114" t="s">
        <v>171</v>
      </c>
      <c r="O36" s="1"/>
    </row>
    <row r="37" spans="4:15" ht="13.5" thickBot="1" x14ac:dyDescent="0.25">
      <c r="D37" s="6">
        <f t="shared" si="0"/>
        <v>0</v>
      </c>
      <c r="E37" s="6">
        <f t="shared" si="1"/>
        <v>0</v>
      </c>
      <c r="F37" s="6">
        <f t="shared" si="1"/>
        <v>0</v>
      </c>
      <c r="G37" s="6">
        <f t="shared" si="2"/>
        <v>0</v>
      </c>
      <c r="H37" s="6">
        <v>0</v>
      </c>
      <c r="I37" s="6">
        <v>0</v>
      </c>
      <c r="J37" s="6">
        <f t="shared" si="3"/>
        <v>0</v>
      </c>
      <c r="K37" s="6">
        <v>0</v>
      </c>
      <c r="L37" s="6">
        <v>0</v>
      </c>
      <c r="M37" s="7" t="s">
        <v>59</v>
      </c>
      <c r="N37" s="115"/>
      <c r="O37" s="1"/>
    </row>
    <row r="38" spans="4:15" ht="13.5" thickBot="1" x14ac:dyDescent="0.25">
      <c r="D38" s="6">
        <f t="shared" si="0"/>
        <v>48</v>
      </c>
      <c r="E38" s="6">
        <f t="shared" si="1"/>
        <v>0</v>
      </c>
      <c r="F38" s="6">
        <f t="shared" si="1"/>
        <v>48</v>
      </c>
      <c r="G38" s="6">
        <f t="shared" si="2"/>
        <v>20</v>
      </c>
      <c r="H38" s="6">
        <v>0</v>
      </c>
      <c r="I38" s="6">
        <v>20</v>
      </c>
      <c r="J38" s="6">
        <f t="shared" si="3"/>
        <v>28</v>
      </c>
      <c r="K38" s="6">
        <v>0</v>
      </c>
      <c r="L38" s="6">
        <v>28</v>
      </c>
      <c r="M38" s="7" t="s">
        <v>56</v>
      </c>
      <c r="N38" s="114"/>
      <c r="O38" s="1"/>
    </row>
    <row r="39" spans="4:15" ht="13.5" thickBot="1" x14ac:dyDescent="0.25">
      <c r="D39" s="6">
        <f t="shared" si="0"/>
        <v>170</v>
      </c>
      <c r="E39" s="6">
        <f t="shared" si="1"/>
        <v>49</v>
      </c>
      <c r="F39" s="6">
        <f t="shared" si="1"/>
        <v>121</v>
      </c>
      <c r="G39" s="6">
        <f t="shared" si="2"/>
        <v>81</v>
      </c>
      <c r="H39" s="6">
        <v>17</v>
      </c>
      <c r="I39" s="6">
        <v>64</v>
      </c>
      <c r="J39" s="6">
        <f t="shared" si="3"/>
        <v>89</v>
      </c>
      <c r="K39" s="6">
        <v>32</v>
      </c>
      <c r="L39" s="6">
        <v>57</v>
      </c>
      <c r="M39" s="7" t="s">
        <v>57</v>
      </c>
      <c r="N39" s="114" t="s">
        <v>172</v>
      </c>
      <c r="O39" s="1"/>
    </row>
    <row r="40" spans="4:15" ht="13.5" thickBot="1" x14ac:dyDescent="0.25">
      <c r="D40" s="6">
        <f t="shared" si="0"/>
        <v>0</v>
      </c>
      <c r="E40" s="6">
        <f t="shared" si="1"/>
        <v>0</v>
      </c>
      <c r="F40" s="6">
        <f t="shared" si="1"/>
        <v>0</v>
      </c>
      <c r="G40" s="6">
        <f t="shared" si="2"/>
        <v>0</v>
      </c>
      <c r="H40" s="6">
        <v>0</v>
      </c>
      <c r="I40" s="6">
        <v>0</v>
      </c>
      <c r="J40" s="6">
        <f t="shared" si="3"/>
        <v>0</v>
      </c>
      <c r="K40" s="6">
        <v>0</v>
      </c>
      <c r="L40" s="6">
        <v>0</v>
      </c>
      <c r="M40" s="7" t="s">
        <v>59</v>
      </c>
      <c r="N40" s="115"/>
      <c r="O40" s="1"/>
    </row>
    <row r="41" spans="4:15" ht="13.5" thickBot="1" x14ac:dyDescent="0.25">
      <c r="D41" s="6">
        <f t="shared" si="0"/>
        <v>30</v>
      </c>
      <c r="E41" s="6">
        <f t="shared" si="1"/>
        <v>14</v>
      </c>
      <c r="F41" s="6">
        <f t="shared" si="1"/>
        <v>16</v>
      </c>
      <c r="G41" s="6">
        <f t="shared" si="2"/>
        <v>10</v>
      </c>
      <c r="H41" s="6">
        <v>1</v>
      </c>
      <c r="I41" s="6">
        <v>9</v>
      </c>
      <c r="J41" s="6">
        <f t="shared" si="3"/>
        <v>20</v>
      </c>
      <c r="K41" s="6">
        <v>13</v>
      </c>
      <c r="L41" s="6">
        <v>7</v>
      </c>
      <c r="M41" s="7" t="s">
        <v>56</v>
      </c>
      <c r="N41" s="114"/>
      <c r="O41" s="1"/>
    </row>
    <row r="42" spans="4:15" ht="13.5" thickBot="1" x14ac:dyDescent="0.25">
      <c r="D42" s="6">
        <f t="shared" si="0"/>
        <v>90</v>
      </c>
      <c r="E42" s="6">
        <f t="shared" si="1"/>
        <v>51</v>
      </c>
      <c r="F42" s="6">
        <f t="shared" si="1"/>
        <v>39</v>
      </c>
      <c r="G42" s="6">
        <f t="shared" si="2"/>
        <v>53</v>
      </c>
      <c r="H42" s="6">
        <v>20</v>
      </c>
      <c r="I42" s="6">
        <v>33</v>
      </c>
      <c r="J42" s="6">
        <f t="shared" si="3"/>
        <v>37</v>
      </c>
      <c r="K42" s="6">
        <v>31</v>
      </c>
      <c r="L42" s="6">
        <v>6</v>
      </c>
      <c r="M42" s="7" t="s">
        <v>57</v>
      </c>
      <c r="N42" s="114" t="s">
        <v>173</v>
      </c>
      <c r="O42" s="1"/>
    </row>
    <row r="43" spans="4:15" ht="13.5" thickBot="1" x14ac:dyDescent="0.25">
      <c r="D43" s="6">
        <f t="shared" si="0"/>
        <v>0</v>
      </c>
      <c r="E43" s="6">
        <f t="shared" si="1"/>
        <v>0</v>
      </c>
      <c r="F43" s="6">
        <f t="shared" si="1"/>
        <v>0</v>
      </c>
      <c r="G43" s="6">
        <f t="shared" si="2"/>
        <v>0</v>
      </c>
      <c r="H43" s="6">
        <v>0</v>
      </c>
      <c r="I43" s="6">
        <v>0</v>
      </c>
      <c r="J43" s="6">
        <f t="shared" si="3"/>
        <v>0</v>
      </c>
      <c r="K43" s="6">
        <v>0</v>
      </c>
      <c r="L43" s="6">
        <v>0</v>
      </c>
      <c r="M43" s="7" t="s">
        <v>59</v>
      </c>
      <c r="N43" s="115"/>
      <c r="O43" s="1"/>
    </row>
    <row r="44" spans="4:15" ht="13.5" thickBot="1" x14ac:dyDescent="0.25">
      <c r="D44" s="6">
        <f t="shared" si="0"/>
        <v>11</v>
      </c>
      <c r="E44" s="6">
        <f t="shared" si="1"/>
        <v>0</v>
      </c>
      <c r="F44" s="6">
        <f t="shared" si="1"/>
        <v>11</v>
      </c>
      <c r="G44" s="6">
        <f t="shared" si="2"/>
        <v>11</v>
      </c>
      <c r="H44" s="6">
        <v>0</v>
      </c>
      <c r="I44" s="6">
        <v>11</v>
      </c>
      <c r="J44" s="6">
        <f t="shared" si="3"/>
        <v>0</v>
      </c>
      <c r="K44" s="6">
        <v>0</v>
      </c>
      <c r="L44" s="6">
        <v>0</v>
      </c>
      <c r="M44" s="7" t="s">
        <v>56</v>
      </c>
      <c r="N44" s="114"/>
      <c r="O44" s="1"/>
    </row>
    <row r="45" spans="4:15" ht="13.5" thickBot="1" x14ac:dyDescent="0.25">
      <c r="D45" s="6">
        <f t="shared" si="0"/>
        <v>586</v>
      </c>
      <c r="E45" s="6">
        <f t="shared" si="1"/>
        <v>147</v>
      </c>
      <c r="F45" s="6">
        <f t="shared" si="1"/>
        <v>439</v>
      </c>
      <c r="G45" s="6">
        <f t="shared" si="2"/>
        <v>196</v>
      </c>
      <c r="H45" s="6">
        <v>18</v>
      </c>
      <c r="I45" s="6">
        <v>178</v>
      </c>
      <c r="J45" s="6">
        <f t="shared" si="3"/>
        <v>390</v>
      </c>
      <c r="K45" s="6">
        <v>129</v>
      </c>
      <c r="L45" s="6">
        <v>261</v>
      </c>
      <c r="M45" s="7" t="s">
        <v>57</v>
      </c>
      <c r="N45" s="114" t="s">
        <v>174</v>
      </c>
      <c r="O45" s="1"/>
    </row>
    <row r="46" spans="4:15" ht="13.5" thickBot="1" x14ac:dyDescent="0.25">
      <c r="D46" s="6">
        <f t="shared" si="0"/>
        <v>0</v>
      </c>
      <c r="E46" s="6">
        <f t="shared" si="1"/>
        <v>0</v>
      </c>
      <c r="F46" s="6">
        <f t="shared" si="1"/>
        <v>0</v>
      </c>
      <c r="G46" s="6">
        <f t="shared" si="2"/>
        <v>0</v>
      </c>
      <c r="H46" s="6">
        <v>0</v>
      </c>
      <c r="I46" s="6">
        <v>0</v>
      </c>
      <c r="J46" s="6">
        <f t="shared" si="3"/>
        <v>0</v>
      </c>
      <c r="K46" s="6">
        <v>0</v>
      </c>
      <c r="L46" s="6">
        <v>0</v>
      </c>
      <c r="M46" s="7" t="s">
        <v>59</v>
      </c>
      <c r="N46" s="115"/>
      <c r="O46" s="1"/>
    </row>
    <row r="47" spans="4:15" ht="13.5" thickBot="1" x14ac:dyDescent="0.25">
      <c r="D47" s="6">
        <f t="shared" si="0"/>
        <v>124</v>
      </c>
      <c r="E47" s="6">
        <f t="shared" si="1"/>
        <v>0</v>
      </c>
      <c r="F47" s="6">
        <f t="shared" si="1"/>
        <v>124</v>
      </c>
      <c r="G47" s="6">
        <f t="shared" si="2"/>
        <v>74</v>
      </c>
      <c r="H47" s="6">
        <v>0</v>
      </c>
      <c r="I47" s="6">
        <v>74</v>
      </c>
      <c r="J47" s="6">
        <f t="shared" si="3"/>
        <v>50</v>
      </c>
      <c r="K47" s="6">
        <v>0</v>
      </c>
      <c r="L47" s="6">
        <v>50</v>
      </c>
      <c r="M47" s="7" t="s">
        <v>56</v>
      </c>
      <c r="N47" s="114"/>
      <c r="O47" s="1"/>
    </row>
    <row r="48" spans="4:15" ht="13.5" thickBot="1" x14ac:dyDescent="0.25">
      <c r="D48" s="6">
        <f t="shared" si="0"/>
        <v>635</v>
      </c>
      <c r="E48" s="6">
        <f t="shared" si="1"/>
        <v>0</v>
      </c>
      <c r="F48" s="6">
        <f t="shared" si="1"/>
        <v>635</v>
      </c>
      <c r="G48" s="6">
        <f t="shared" si="2"/>
        <v>172</v>
      </c>
      <c r="H48" s="6">
        <v>0</v>
      </c>
      <c r="I48" s="6">
        <v>172</v>
      </c>
      <c r="J48" s="6">
        <f t="shared" si="3"/>
        <v>463</v>
      </c>
      <c r="K48" s="6">
        <v>0</v>
      </c>
      <c r="L48" s="6">
        <v>463</v>
      </c>
      <c r="M48" s="7" t="s">
        <v>57</v>
      </c>
      <c r="N48" s="114" t="s">
        <v>175</v>
      </c>
      <c r="O48" s="1"/>
    </row>
    <row r="49" spans="4:15" ht="13.5" thickBot="1" x14ac:dyDescent="0.25">
      <c r="D49" s="6">
        <f t="shared" si="0"/>
        <v>0</v>
      </c>
      <c r="E49" s="6">
        <f t="shared" si="1"/>
        <v>0</v>
      </c>
      <c r="F49" s="6">
        <f t="shared" si="1"/>
        <v>0</v>
      </c>
      <c r="G49" s="6">
        <f t="shared" si="2"/>
        <v>0</v>
      </c>
      <c r="H49" s="6">
        <v>0</v>
      </c>
      <c r="I49" s="6">
        <v>0</v>
      </c>
      <c r="J49" s="6">
        <f t="shared" si="3"/>
        <v>0</v>
      </c>
      <c r="K49" s="6">
        <v>0</v>
      </c>
      <c r="L49" s="6">
        <v>0</v>
      </c>
      <c r="M49" s="7" t="s">
        <v>59</v>
      </c>
      <c r="N49" s="115"/>
      <c r="O49" s="1"/>
    </row>
    <row r="50" spans="4:15" ht="13.5" thickBot="1" x14ac:dyDescent="0.25">
      <c r="D50" s="6">
        <f t="shared" si="0"/>
        <v>0</v>
      </c>
      <c r="E50" s="6">
        <f t="shared" si="1"/>
        <v>0</v>
      </c>
      <c r="F50" s="6">
        <f t="shared" si="1"/>
        <v>0</v>
      </c>
      <c r="G50" s="6">
        <f t="shared" si="2"/>
        <v>0</v>
      </c>
      <c r="H50" s="6">
        <v>0</v>
      </c>
      <c r="I50" s="6">
        <v>0</v>
      </c>
      <c r="J50" s="6">
        <f t="shared" si="3"/>
        <v>0</v>
      </c>
      <c r="K50" s="6">
        <v>0</v>
      </c>
      <c r="L50" s="6">
        <v>0</v>
      </c>
      <c r="M50" s="7" t="s">
        <v>56</v>
      </c>
      <c r="N50" s="114"/>
      <c r="O50" s="1"/>
    </row>
    <row r="51" spans="4:15" ht="13.5" thickBot="1" x14ac:dyDescent="0.25">
      <c r="D51" s="6">
        <f t="shared" si="0"/>
        <v>37</v>
      </c>
      <c r="E51" s="6">
        <f t="shared" si="1"/>
        <v>31</v>
      </c>
      <c r="F51" s="6">
        <f t="shared" si="1"/>
        <v>6</v>
      </c>
      <c r="G51" s="6">
        <f t="shared" si="2"/>
        <v>6</v>
      </c>
      <c r="H51" s="6">
        <v>6</v>
      </c>
      <c r="I51" s="6">
        <v>0</v>
      </c>
      <c r="J51" s="6">
        <f t="shared" si="3"/>
        <v>31</v>
      </c>
      <c r="K51" s="6">
        <v>25</v>
      </c>
      <c r="L51" s="6">
        <v>6</v>
      </c>
      <c r="M51" s="7" t="s">
        <v>57</v>
      </c>
      <c r="N51" s="114" t="s">
        <v>176</v>
      </c>
      <c r="O51" s="1"/>
    </row>
    <row r="52" spans="4:15" ht="13.5" thickBot="1" x14ac:dyDescent="0.25">
      <c r="D52" s="6">
        <f t="shared" si="0"/>
        <v>0</v>
      </c>
      <c r="E52" s="6">
        <f t="shared" si="1"/>
        <v>0</v>
      </c>
      <c r="F52" s="6">
        <f t="shared" si="1"/>
        <v>0</v>
      </c>
      <c r="G52" s="6">
        <f t="shared" si="2"/>
        <v>0</v>
      </c>
      <c r="H52" s="6">
        <v>0</v>
      </c>
      <c r="I52" s="6">
        <v>0</v>
      </c>
      <c r="J52" s="6">
        <f t="shared" si="3"/>
        <v>0</v>
      </c>
      <c r="K52" s="6">
        <v>0</v>
      </c>
      <c r="L52" s="6">
        <v>0</v>
      </c>
      <c r="M52" s="7" t="s">
        <v>59</v>
      </c>
      <c r="N52" s="115"/>
      <c r="O52" s="1"/>
    </row>
    <row r="53" spans="4:15" ht="13.5" thickBot="1" x14ac:dyDescent="0.25">
      <c r="D53" s="6">
        <f t="shared" si="0"/>
        <v>20</v>
      </c>
      <c r="E53" s="6">
        <f t="shared" si="1"/>
        <v>4</v>
      </c>
      <c r="F53" s="6">
        <f t="shared" si="1"/>
        <v>16</v>
      </c>
      <c r="G53" s="6">
        <f t="shared" si="2"/>
        <v>6</v>
      </c>
      <c r="H53" s="6">
        <v>0</v>
      </c>
      <c r="I53" s="6">
        <v>6</v>
      </c>
      <c r="J53" s="6">
        <f t="shared" si="3"/>
        <v>14</v>
      </c>
      <c r="K53" s="6">
        <v>4</v>
      </c>
      <c r="L53" s="6">
        <v>10</v>
      </c>
      <c r="M53" s="7" t="s">
        <v>56</v>
      </c>
      <c r="N53" s="114"/>
      <c r="O53" s="1"/>
    </row>
    <row r="54" spans="4:15" ht="13.5" thickBot="1" x14ac:dyDescent="0.25">
      <c r="D54" s="6">
        <f t="shared" si="0"/>
        <v>345</v>
      </c>
      <c r="E54" s="6">
        <f t="shared" si="1"/>
        <v>15</v>
      </c>
      <c r="F54" s="6">
        <f t="shared" si="1"/>
        <v>330</v>
      </c>
      <c r="G54" s="6">
        <f t="shared" si="2"/>
        <v>50</v>
      </c>
      <c r="H54" s="6">
        <v>0</v>
      </c>
      <c r="I54" s="6">
        <v>50</v>
      </c>
      <c r="J54" s="6">
        <f t="shared" si="3"/>
        <v>295</v>
      </c>
      <c r="K54" s="6">
        <v>15</v>
      </c>
      <c r="L54" s="6">
        <v>280</v>
      </c>
      <c r="M54" s="7" t="s">
        <v>57</v>
      </c>
      <c r="N54" s="114" t="s">
        <v>177</v>
      </c>
      <c r="O54" s="1"/>
    </row>
    <row r="55" spans="4:15" ht="13.5" thickBot="1" x14ac:dyDescent="0.25">
      <c r="D55" s="6">
        <f t="shared" si="0"/>
        <v>0</v>
      </c>
      <c r="E55" s="6">
        <f t="shared" si="1"/>
        <v>0</v>
      </c>
      <c r="F55" s="6">
        <f t="shared" si="1"/>
        <v>0</v>
      </c>
      <c r="G55" s="6">
        <f t="shared" si="2"/>
        <v>0</v>
      </c>
      <c r="H55" s="6">
        <v>0</v>
      </c>
      <c r="I55" s="6">
        <v>0</v>
      </c>
      <c r="J55" s="6">
        <f t="shared" si="3"/>
        <v>0</v>
      </c>
      <c r="K55" s="6">
        <v>0</v>
      </c>
      <c r="L55" s="6">
        <v>0</v>
      </c>
      <c r="M55" s="7" t="s">
        <v>59</v>
      </c>
      <c r="N55" s="115"/>
      <c r="O55" s="1"/>
    </row>
    <row r="56" spans="4:15" ht="13.5" thickBot="1" x14ac:dyDescent="0.25">
      <c r="D56" s="6">
        <f t="shared" si="0"/>
        <v>18</v>
      </c>
      <c r="E56" s="6">
        <f t="shared" si="1"/>
        <v>0</v>
      </c>
      <c r="F56" s="6">
        <f t="shared" si="1"/>
        <v>18</v>
      </c>
      <c r="G56" s="6">
        <f t="shared" si="2"/>
        <v>3</v>
      </c>
      <c r="H56" s="6">
        <v>0</v>
      </c>
      <c r="I56" s="6">
        <v>3</v>
      </c>
      <c r="J56" s="6">
        <f t="shared" si="3"/>
        <v>15</v>
      </c>
      <c r="K56" s="6">
        <v>0</v>
      </c>
      <c r="L56" s="6">
        <v>15</v>
      </c>
      <c r="M56" s="7" t="s">
        <v>56</v>
      </c>
      <c r="N56" s="114"/>
      <c r="O56" s="1"/>
    </row>
    <row r="57" spans="4:15" ht="13.5" thickBot="1" x14ac:dyDescent="0.25">
      <c r="D57" s="6">
        <f t="shared" si="0"/>
        <v>175</v>
      </c>
      <c r="E57" s="6">
        <f t="shared" si="1"/>
        <v>1</v>
      </c>
      <c r="F57" s="6">
        <f t="shared" si="1"/>
        <v>174</v>
      </c>
      <c r="G57" s="6">
        <f t="shared" si="2"/>
        <v>25</v>
      </c>
      <c r="H57" s="6">
        <v>0</v>
      </c>
      <c r="I57" s="6">
        <v>25</v>
      </c>
      <c r="J57" s="6">
        <f t="shared" si="3"/>
        <v>150</v>
      </c>
      <c r="K57" s="6">
        <v>1</v>
      </c>
      <c r="L57" s="6">
        <v>149</v>
      </c>
      <c r="M57" s="7" t="s">
        <v>57</v>
      </c>
      <c r="N57" s="114" t="s">
        <v>178</v>
      </c>
      <c r="O57" s="1"/>
    </row>
    <row r="58" spans="4:15" ht="13.5" thickBot="1" x14ac:dyDescent="0.25">
      <c r="D58" s="6">
        <f t="shared" si="0"/>
        <v>0</v>
      </c>
      <c r="E58" s="6">
        <f t="shared" si="1"/>
        <v>0</v>
      </c>
      <c r="F58" s="6">
        <f t="shared" si="1"/>
        <v>0</v>
      </c>
      <c r="G58" s="6">
        <f t="shared" si="2"/>
        <v>0</v>
      </c>
      <c r="H58" s="6">
        <v>0</v>
      </c>
      <c r="I58" s="6">
        <v>0</v>
      </c>
      <c r="J58" s="6">
        <f t="shared" si="3"/>
        <v>0</v>
      </c>
      <c r="K58" s="6">
        <v>0</v>
      </c>
      <c r="L58" s="6">
        <v>0</v>
      </c>
      <c r="M58" s="7" t="s">
        <v>59</v>
      </c>
      <c r="N58" s="115"/>
      <c r="O58" s="1"/>
    </row>
    <row r="59" spans="4:15" ht="13.5" thickBot="1" x14ac:dyDescent="0.25">
      <c r="D59" s="6">
        <f t="shared" si="0"/>
        <v>0</v>
      </c>
      <c r="E59" s="6">
        <f t="shared" si="1"/>
        <v>0</v>
      </c>
      <c r="F59" s="6">
        <f t="shared" si="1"/>
        <v>0</v>
      </c>
      <c r="G59" s="6">
        <f t="shared" si="2"/>
        <v>0</v>
      </c>
      <c r="H59" s="6">
        <v>0</v>
      </c>
      <c r="I59" s="6">
        <v>0</v>
      </c>
      <c r="J59" s="6">
        <f t="shared" si="3"/>
        <v>0</v>
      </c>
      <c r="K59" s="6">
        <v>0</v>
      </c>
      <c r="L59" s="6">
        <v>0</v>
      </c>
      <c r="M59" s="7" t="s">
        <v>56</v>
      </c>
      <c r="N59" s="114"/>
      <c r="O59" s="1"/>
    </row>
    <row r="60" spans="4:15" ht="13.5" thickBot="1" x14ac:dyDescent="0.25">
      <c r="D60" s="6">
        <f t="shared" si="0"/>
        <v>27</v>
      </c>
      <c r="E60" s="6">
        <f t="shared" si="1"/>
        <v>0</v>
      </c>
      <c r="F60" s="6">
        <f t="shared" si="1"/>
        <v>27</v>
      </c>
      <c r="G60" s="6">
        <f t="shared" si="2"/>
        <v>0</v>
      </c>
      <c r="H60" s="6">
        <v>0</v>
      </c>
      <c r="I60" s="6">
        <v>0</v>
      </c>
      <c r="J60" s="6">
        <f t="shared" si="3"/>
        <v>27</v>
      </c>
      <c r="K60" s="6">
        <v>0</v>
      </c>
      <c r="L60" s="6">
        <v>27</v>
      </c>
      <c r="M60" s="7" t="s">
        <v>57</v>
      </c>
      <c r="N60" s="114" t="s">
        <v>179</v>
      </c>
      <c r="O60" s="1"/>
    </row>
    <row r="61" spans="4:15" ht="13.5" thickBot="1" x14ac:dyDescent="0.25">
      <c r="D61" s="6">
        <f t="shared" si="0"/>
        <v>0</v>
      </c>
      <c r="E61" s="6">
        <f t="shared" si="1"/>
        <v>0</v>
      </c>
      <c r="F61" s="6">
        <f t="shared" si="1"/>
        <v>0</v>
      </c>
      <c r="G61" s="6">
        <f t="shared" si="2"/>
        <v>0</v>
      </c>
      <c r="H61" s="6">
        <v>0</v>
      </c>
      <c r="I61" s="6">
        <v>0</v>
      </c>
      <c r="J61" s="6">
        <f t="shared" si="3"/>
        <v>0</v>
      </c>
      <c r="K61" s="6">
        <v>0</v>
      </c>
      <c r="L61" s="6">
        <v>0</v>
      </c>
      <c r="M61" s="7" t="s">
        <v>59</v>
      </c>
      <c r="N61" s="115"/>
      <c r="O61" s="1"/>
    </row>
    <row r="62" spans="4:15" ht="13.5" thickBot="1" x14ac:dyDescent="0.25">
      <c r="D62" s="6">
        <f t="shared" si="0"/>
        <v>180</v>
      </c>
      <c r="E62" s="6">
        <f t="shared" si="1"/>
        <v>48</v>
      </c>
      <c r="F62" s="6">
        <f t="shared" si="1"/>
        <v>132</v>
      </c>
      <c r="G62" s="6">
        <f t="shared" si="2"/>
        <v>162</v>
      </c>
      <c r="H62" s="6">
        <v>30</v>
      </c>
      <c r="I62" s="6">
        <v>132</v>
      </c>
      <c r="J62" s="6">
        <f t="shared" si="3"/>
        <v>18</v>
      </c>
      <c r="K62" s="6">
        <v>18</v>
      </c>
      <c r="L62" s="6">
        <v>0</v>
      </c>
      <c r="M62" s="7" t="s">
        <v>56</v>
      </c>
      <c r="N62" s="114"/>
      <c r="O62" s="1"/>
    </row>
    <row r="63" spans="4:15" ht="13.5" thickBot="1" x14ac:dyDescent="0.25">
      <c r="D63" s="6">
        <f t="shared" si="0"/>
        <v>612</v>
      </c>
      <c r="E63" s="6">
        <f t="shared" si="1"/>
        <v>344</v>
      </c>
      <c r="F63" s="6">
        <f t="shared" si="1"/>
        <v>268</v>
      </c>
      <c r="G63" s="6">
        <f t="shared" si="2"/>
        <v>62</v>
      </c>
      <c r="H63" s="6">
        <v>27</v>
      </c>
      <c r="I63" s="6">
        <v>35</v>
      </c>
      <c r="J63" s="6">
        <f t="shared" si="3"/>
        <v>550</v>
      </c>
      <c r="K63" s="6">
        <v>317</v>
      </c>
      <c r="L63" s="6">
        <v>233</v>
      </c>
      <c r="M63" s="7" t="s">
        <v>57</v>
      </c>
      <c r="N63" s="114" t="s">
        <v>180</v>
      </c>
      <c r="O63" s="1"/>
    </row>
    <row r="64" spans="4:15" ht="13.5" thickBot="1" x14ac:dyDescent="0.25">
      <c r="D64" s="6">
        <f t="shared" si="0"/>
        <v>25</v>
      </c>
      <c r="E64" s="6">
        <f t="shared" si="1"/>
        <v>18</v>
      </c>
      <c r="F64" s="6">
        <f t="shared" si="1"/>
        <v>7</v>
      </c>
      <c r="G64" s="6">
        <f t="shared" si="2"/>
        <v>0</v>
      </c>
      <c r="H64" s="6">
        <v>0</v>
      </c>
      <c r="I64" s="6">
        <v>0</v>
      </c>
      <c r="J64" s="6">
        <f t="shared" si="3"/>
        <v>25</v>
      </c>
      <c r="K64" s="6">
        <v>18</v>
      </c>
      <c r="L64" s="6">
        <v>7</v>
      </c>
      <c r="M64" s="7" t="s">
        <v>59</v>
      </c>
      <c r="N64" s="115"/>
      <c r="O64" s="1"/>
    </row>
    <row r="65" spans="4:15" ht="13.5" thickBot="1" x14ac:dyDescent="0.25">
      <c r="D65" s="6">
        <f t="shared" si="0"/>
        <v>44</v>
      </c>
      <c r="E65" s="6">
        <f t="shared" si="1"/>
        <v>26</v>
      </c>
      <c r="F65" s="6">
        <f t="shared" si="1"/>
        <v>18</v>
      </c>
      <c r="G65" s="6">
        <f t="shared" si="2"/>
        <v>0</v>
      </c>
      <c r="H65" s="6">
        <v>0</v>
      </c>
      <c r="I65" s="6">
        <v>0</v>
      </c>
      <c r="J65" s="6">
        <f t="shared" si="3"/>
        <v>44</v>
      </c>
      <c r="K65" s="6">
        <v>26</v>
      </c>
      <c r="L65" s="6">
        <v>18</v>
      </c>
      <c r="M65" s="7" t="s">
        <v>56</v>
      </c>
      <c r="N65" s="114"/>
      <c r="O65" s="1"/>
    </row>
    <row r="66" spans="4:15" ht="13.5" thickBot="1" x14ac:dyDescent="0.25">
      <c r="D66" s="6">
        <f t="shared" si="0"/>
        <v>217</v>
      </c>
      <c r="E66" s="6">
        <f t="shared" si="1"/>
        <v>165</v>
      </c>
      <c r="F66" s="6">
        <f t="shared" si="1"/>
        <v>52</v>
      </c>
      <c r="G66" s="6">
        <f t="shared" si="2"/>
        <v>0</v>
      </c>
      <c r="H66" s="6">
        <v>0</v>
      </c>
      <c r="I66" s="6">
        <v>0</v>
      </c>
      <c r="J66" s="6">
        <f t="shared" si="3"/>
        <v>217</v>
      </c>
      <c r="K66" s="6">
        <v>165</v>
      </c>
      <c r="L66" s="6">
        <v>52</v>
      </c>
      <c r="M66" s="7" t="s">
        <v>57</v>
      </c>
      <c r="N66" s="114" t="s">
        <v>181</v>
      </c>
      <c r="O66" s="1"/>
    </row>
    <row r="67" spans="4:15" ht="13.5" thickBot="1" x14ac:dyDescent="0.25">
      <c r="D67" s="6">
        <f t="shared" si="0"/>
        <v>108</v>
      </c>
      <c r="E67" s="6">
        <f t="shared" si="1"/>
        <v>108</v>
      </c>
      <c r="F67" s="6">
        <f t="shared" si="1"/>
        <v>0</v>
      </c>
      <c r="G67" s="6">
        <f t="shared" si="2"/>
        <v>0</v>
      </c>
      <c r="H67" s="6">
        <v>0</v>
      </c>
      <c r="I67" s="6">
        <v>0</v>
      </c>
      <c r="J67" s="6">
        <f t="shared" si="3"/>
        <v>108</v>
      </c>
      <c r="K67" s="6">
        <v>108</v>
      </c>
      <c r="L67" s="6">
        <v>0</v>
      </c>
      <c r="M67" s="7" t="s">
        <v>59</v>
      </c>
      <c r="N67" s="115"/>
      <c r="O67" s="1"/>
    </row>
    <row r="68" spans="4:15" ht="13.5" thickBot="1" x14ac:dyDescent="0.25">
      <c r="D68" s="6">
        <f t="shared" si="0"/>
        <v>25</v>
      </c>
      <c r="E68" s="6">
        <f t="shared" si="1"/>
        <v>2</v>
      </c>
      <c r="F68" s="6">
        <f t="shared" si="1"/>
        <v>23</v>
      </c>
      <c r="G68" s="6">
        <f t="shared" si="2"/>
        <v>0</v>
      </c>
      <c r="H68" s="6">
        <v>0</v>
      </c>
      <c r="I68" s="6">
        <v>0</v>
      </c>
      <c r="J68" s="6">
        <f t="shared" si="3"/>
        <v>25</v>
      </c>
      <c r="K68" s="6">
        <v>2</v>
      </c>
      <c r="L68" s="6">
        <v>23</v>
      </c>
      <c r="M68" s="7" t="s">
        <v>56</v>
      </c>
      <c r="N68" s="114"/>
      <c r="O68" s="1"/>
    </row>
    <row r="69" spans="4:15" ht="13.5" thickBot="1" x14ac:dyDescent="0.25">
      <c r="D69" s="6">
        <f t="shared" si="0"/>
        <v>27</v>
      </c>
      <c r="E69" s="6">
        <f t="shared" si="1"/>
        <v>14</v>
      </c>
      <c r="F69" s="6">
        <f t="shared" si="1"/>
        <v>13</v>
      </c>
      <c r="G69" s="6">
        <f t="shared" si="2"/>
        <v>12</v>
      </c>
      <c r="H69" s="6">
        <v>5</v>
      </c>
      <c r="I69" s="6">
        <v>7</v>
      </c>
      <c r="J69" s="6">
        <f t="shared" si="3"/>
        <v>15</v>
      </c>
      <c r="K69" s="6">
        <v>9</v>
      </c>
      <c r="L69" s="6">
        <v>6</v>
      </c>
      <c r="M69" s="7" t="s">
        <v>57</v>
      </c>
      <c r="N69" s="114" t="s">
        <v>53</v>
      </c>
      <c r="O69" s="1"/>
    </row>
    <row r="70" spans="4:15" ht="13.5" thickBot="1" x14ac:dyDescent="0.25">
      <c r="D70" s="6">
        <f t="shared" ref="D70" si="4">SUM(E70:F70)</f>
        <v>15</v>
      </c>
      <c r="E70" s="6">
        <f t="shared" ref="E70:F70" si="5">K70+H70</f>
        <v>15</v>
      </c>
      <c r="F70" s="6">
        <f t="shared" si="5"/>
        <v>0</v>
      </c>
      <c r="G70" s="6">
        <f t="shared" ref="G70" si="6">SUM(H70:I70)</f>
        <v>0</v>
      </c>
      <c r="H70" s="6">
        <v>0</v>
      </c>
      <c r="I70" s="6">
        <v>0</v>
      </c>
      <c r="J70" s="6">
        <f t="shared" ref="J70" si="7">SUM(K70:L70)</f>
        <v>15</v>
      </c>
      <c r="K70" s="6">
        <v>15</v>
      </c>
      <c r="L70" s="6">
        <v>0</v>
      </c>
      <c r="M70" s="7" t="s">
        <v>59</v>
      </c>
      <c r="N70" s="115"/>
      <c r="O70" s="1"/>
    </row>
    <row r="71" spans="4:15" ht="13.5" thickBot="1" x14ac:dyDescent="0.25">
      <c r="D71" s="6">
        <f t="shared" ref="D71:K73" si="8">D5+D8+D11+D14+D17+D20+D23+D26+D29+D32+D35+D38+D41+D44+D47+D50+D53+D56+D59+D62+D65+D68</f>
        <v>2343</v>
      </c>
      <c r="E71" s="6">
        <f t="shared" si="8"/>
        <v>849</v>
      </c>
      <c r="F71" s="6">
        <f t="shared" si="8"/>
        <v>1494</v>
      </c>
      <c r="G71" s="6">
        <f t="shared" si="8"/>
        <v>454</v>
      </c>
      <c r="H71" s="6">
        <f t="shared" si="8"/>
        <v>33</v>
      </c>
      <c r="I71" s="6">
        <f t="shared" si="8"/>
        <v>421</v>
      </c>
      <c r="J71" s="6">
        <f t="shared" si="8"/>
        <v>1889</v>
      </c>
      <c r="K71" s="6">
        <f t="shared" si="8"/>
        <v>816</v>
      </c>
      <c r="L71" s="6">
        <f>L5+L8+L11+L14+L17+L20+L23+L26+L29+L32+L35+L38+L41+L44+L47+L50+L53+L56+L59+L62+L65+L68</f>
        <v>1073</v>
      </c>
      <c r="M71" s="7" t="s">
        <v>243</v>
      </c>
      <c r="N71" s="36"/>
      <c r="O71" s="1"/>
    </row>
    <row r="72" spans="4:15" ht="13.5" thickBot="1" x14ac:dyDescent="0.25">
      <c r="D72" s="6">
        <f t="shared" si="8"/>
        <v>11307</v>
      </c>
      <c r="E72" s="6">
        <f t="shared" si="8"/>
        <v>4103</v>
      </c>
      <c r="F72" s="6">
        <f t="shared" si="8"/>
        <v>7204</v>
      </c>
      <c r="G72" s="6">
        <f t="shared" si="8"/>
        <v>1275</v>
      </c>
      <c r="H72" s="6">
        <f t="shared" si="8"/>
        <v>216</v>
      </c>
      <c r="I72" s="6">
        <f t="shared" si="8"/>
        <v>1059</v>
      </c>
      <c r="J72" s="6">
        <f t="shared" si="8"/>
        <v>10032</v>
      </c>
      <c r="K72" s="6">
        <f t="shared" si="8"/>
        <v>3887</v>
      </c>
      <c r="L72" s="6">
        <f>L6+L9+L12+L15+L18+L21+L24+L27+L30+L33+L36+L39+L42+L45+L48+L51+L54+L57+L60+L63+L66+L69</f>
        <v>6145</v>
      </c>
      <c r="M72" s="7" t="s">
        <v>57</v>
      </c>
      <c r="N72" s="37" t="s">
        <v>244</v>
      </c>
      <c r="O72" s="1"/>
    </row>
    <row r="73" spans="4:15" ht="13.5" thickBot="1" x14ac:dyDescent="0.25">
      <c r="D73" s="6">
        <f t="shared" si="8"/>
        <v>2631</v>
      </c>
      <c r="E73" s="6">
        <f>E7+E10+E13+E16+E19+E22+E25+E28+E31+E34+E37+E40+E43+E46+E49+E52+E55+E58+E61+E64+E67+E70</f>
        <v>815</v>
      </c>
      <c r="F73" s="6">
        <f t="shared" si="8"/>
        <v>1816</v>
      </c>
      <c r="G73" s="6">
        <f t="shared" si="8"/>
        <v>114</v>
      </c>
      <c r="H73" s="6">
        <f t="shared" si="8"/>
        <v>18</v>
      </c>
      <c r="I73" s="6">
        <f t="shared" si="8"/>
        <v>96</v>
      </c>
      <c r="J73" s="6">
        <f t="shared" si="8"/>
        <v>2517</v>
      </c>
      <c r="K73" s="6">
        <f t="shared" si="8"/>
        <v>797</v>
      </c>
      <c r="L73" s="6">
        <f>L7+L10+L13+L16+L19+L22+L25+L28+L31+L34+L37+L40+L43+L46+L49+L52+L55+L58+L61+L64+L67+L70</f>
        <v>1720</v>
      </c>
      <c r="M73" s="7" t="s">
        <v>59</v>
      </c>
      <c r="N73" s="38"/>
      <c r="O73" s="1"/>
    </row>
    <row r="74" spans="4:15" ht="13.5" thickBot="1" x14ac:dyDescent="0.25">
      <c r="D74" s="6">
        <f>SUM(D71:D73)</f>
        <v>16281</v>
      </c>
      <c r="E74" s="6">
        <f t="shared" ref="E74:K74" si="9">SUM(E71:E73)</f>
        <v>5767</v>
      </c>
      <c r="F74" s="6">
        <f t="shared" si="9"/>
        <v>10514</v>
      </c>
      <c r="G74" s="6">
        <f t="shared" si="9"/>
        <v>1843</v>
      </c>
      <c r="H74" s="6">
        <f t="shared" si="9"/>
        <v>267</v>
      </c>
      <c r="I74" s="6">
        <f t="shared" si="9"/>
        <v>1576</v>
      </c>
      <c r="J74" s="6">
        <f t="shared" si="9"/>
        <v>14438</v>
      </c>
      <c r="K74" s="6">
        <f t="shared" si="9"/>
        <v>5500</v>
      </c>
      <c r="L74" s="6">
        <f>SUM(L71:L73)</f>
        <v>8938</v>
      </c>
      <c r="M74" s="533" t="s">
        <v>245</v>
      </c>
      <c r="N74" s="533"/>
      <c r="O74" s="1"/>
    </row>
  </sheetData>
  <mergeCells count="8">
    <mergeCell ref="M4:N4"/>
    <mergeCell ref="M74:N74"/>
    <mergeCell ref="D1:N1"/>
    <mergeCell ref="D2:N2"/>
    <mergeCell ref="D3:F3"/>
    <mergeCell ref="G3:I3"/>
    <mergeCell ref="J3:L3"/>
    <mergeCell ref="M3:N3"/>
  </mergeCells>
  <pageMargins left="0.4" right="0.4" top="0.25" bottom="0.25" header="0.25" footer="0.25"/>
  <pageSetup paperSize="9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L212"/>
  <sheetViews>
    <sheetView showGridLines="0" zoomScaleSheetLayoutView="136" workbookViewId="0">
      <selection activeCell="L10" sqref="L10"/>
    </sheetView>
  </sheetViews>
  <sheetFormatPr defaultColWidth="9.125" defaultRowHeight="15.75" customHeight="1" x14ac:dyDescent="0.2"/>
  <cols>
    <col min="1" max="1" width="12.75" style="98" customWidth="1"/>
    <col min="2" max="9" width="10.25" style="236" bestFit="1" customWidth="1"/>
    <col min="10" max="10" width="10.125" style="236" bestFit="1" customWidth="1"/>
    <col min="11" max="11" width="30.375" style="256" customWidth="1"/>
    <col min="12" max="12" width="11" style="2" bestFit="1" customWidth="1"/>
    <col min="13" max="16384" width="9.125" style="2"/>
  </cols>
  <sheetData>
    <row r="2" spans="2:12" ht="15.75" customHeight="1" x14ac:dyDescent="0.2">
      <c r="B2" s="535" t="s">
        <v>616</v>
      </c>
      <c r="C2" s="535"/>
      <c r="D2" s="535"/>
      <c r="E2" s="535"/>
      <c r="F2" s="535"/>
      <c r="G2" s="535"/>
      <c r="H2" s="535"/>
      <c r="I2" s="535"/>
      <c r="J2" s="535"/>
      <c r="K2" s="535"/>
    </row>
    <row r="3" spans="2:12" ht="15.75" customHeight="1" thickBot="1" x14ac:dyDescent="0.25">
      <c r="L3" s="96"/>
    </row>
    <row r="4" spans="2:12" ht="15.75" customHeight="1" thickBot="1" x14ac:dyDescent="0.25">
      <c r="B4" s="534" t="s">
        <v>4</v>
      </c>
      <c r="C4" s="534"/>
      <c r="D4" s="534"/>
      <c r="E4" s="534" t="s">
        <v>145</v>
      </c>
      <c r="F4" s="534"/>
      <c r="G4" s="534"/>
      <c r="H4" s="534" t="s">
        <v>146</v>
      </c>
      <c r="I4" s="534"/>
      <c r="J4" s="534"/>
      <c r="K4" s="257" t="s">
        <v>66</v>
      </c>
      <c r="L4" s="116"/>
    </row>
    <row r="5" spans="2:12" ht="15.75" customHeight="1" thickBot="1" x14ac:dyDescent="0.25">
      <c r="B5" s="186" t="s">
        <v>227</v>
      </c>
      <c r="C5" s="186" t="s">
        <v>10</v>
      </c>
      <c r="D5" s="186" t="s">
        <v>9</v>
      </c>
      <c r="E5" s="186" t="s">
        <v>227</v>
      </c>
      <c r="F5" s="186" t="s">
        <v>10</v>
      </c>
      <c r="G5" s="186" t="s">
        <v>9</v>
      </c>
      <c r="H5" s="186" t="s">
        <v>227</v>
      </c>
      <c r="I5" s="186" t="s">
        <v>10</v>
      </c>
      <c r="J5" s="186" t="s">
        <v>9</v>
      </c>
      <c r="K5" s="117" t="s">
        <v>68</v>
      </c>
      <c r="L5" s="96"/>
    </row>
    <row r="6" spans="2:12" ht="15.75" customHeight="1" thickBot="1" x14ac:dyDescent="0.25">
      <c r="B6" s="118">
        <f>SUM(C6:D6)</f>
        <v>1175</v>
      </c>
      <c r="C6" s="118">
        <f t="shared" ref="C6:D9" si="0">I6+F6</f>
        <v>703</v>
      </c>
      <c r="D6" s="118">
        <f t="shared" si="0"/>
        <v>472</v>
      </c>
      <c r="E6" s="118">
        <f>SUM(F6:G6)</f>
        <v>24</v>
      </c>
      <c r="F6" s="118">
        <v>17</v>
      </c>
      <c r="G6" s="118">
        <v>7</v>
      </c>
      <c r="H6" s="118">
        <f>SUM(I6:J6)</f>
        <v>1151</v>
      </c>
      <c r="I6" s="118">
        <f>986-300</f>
        <v>686</v>
      </c>
      <c r="J6" s="118">
        <f>665-200</f>
        <v>465</v>
      </c>
      <c r="K6" s="119" t="s">
        <v>67</v>
      </c>
    </row>
    <row r="7" spans="2:12" ht="15.75" customHeight="1" thickBot="1" x14ac:dyDescent="0.25">
      <c r="B7" s="118">
        <f>SUM(C7:D7)</f>
        <v>1742</v>
      </c>
      <c r="C7" s="118">
        <f t="shared" si="0"/>
        <v>0</v>
      </c>
      <c r="D7" s="118">
        <f t="shared" si="0"/>
        <v>1742</v>
      </c>
      <c r="E7" s="118">
        <f>SUM(F7:G7)</f>
        <v>31</v>
      </c>
      <c r="F7" s="118">
        <v>0</v>
      </c>
      <c r="G7" s="118">
        <v>31</v>
      </c>
      <c r="H7" s="118">
        <f>SUM(I7:J7)</f>
        <v>1711</v>
      </c>
      <c r="I7" s="118">
        <v>0</v>
      </c>
      <c r="J7" s="118">
        <f>2511-800</f>
        <v>1711</v>
      </c>
      <c r="K7" s="119" t="s">
        <v>80</v>
      </c>
    </row>
    <row r="8" spans="2:12" ht="15.75" customHeight="1" thickBot="1" x14ac:dyDescent="0.25">
      <c r="B8" s="118">
        <f>SUM(C8:D8)</f>
        <v>326</v>
      </c>
      <c r="C8" s="118">
        <f t="shared" si="0"/>
        <v>50</v>
      </c>
      <c r="D8" s="118">
        <f t="shared" si="0"/>
        <v>276</v>
      </c>
      <c r="E8" s="118">
        <f>SUM(F8:G8)</f>
        <v>326</v>
      </c>
      <c r="F8" s="118">
        <v>50</v>
      </c>
      <c r="G8" s="118">
        <v>276</v>
      </c>
      <c r="H8" s="118">
        <f>SUM(I8:J8)</f>
        <v>0</v>
      </c>
      <c r="I8" s="118">
        <v>0</v>
      </c>
      <c r="J8" s="118">
        <v>0</v>
      </c>
      <c r="K8" s="119" t="s">
        <v>249</v>
      </c>
    </row>
    <row r="9" spans="2:12" ht="15.75" customHeight="1" thickBot="1" x14ac:dyDescent="0.25">
      <c r="B9" s="118">
        <f>SUM(C9:D9)</f>
        <v>140</v>
      </c>
      <c r="C9" s="118">
        <f t="shared" si="0"/>
        <v>0</v>
      </c>
      <c r="D9" s="118">
        <f t="shared" si="0"/>
        <v>140</v>
      </c>
      <c r="E9" s="118">
        <f>SUM(F9:G9)</f>
        <v>0</v>
      </c>
      <c r="F9" s="118">
        <v>0</v>
      </c>
      <c r="G9" s="118">
        <v>0</v>
      </c>
      <c r="H9" s="118">
        <f>SUM(I9:J9)</f>
        <v>140</v>
      </c>
      <c r="I9" s="118">
        <v>0</v>
      </c>
      <c r="J9" s="118">
        <v>140</v>
      </c>
      <c r="K9" s="119" t="s">
        <v>250</v>
      </c>
    </row>
    <row r="10" spans="2:12" ht="15.75" customHeight="1" thickBot="1" x14ac:dyDescent="0.25">
      <c r="B10" s="118">
        <f t="shared" ref="B10:J10" si="1">SUM(B6:B9)</f>
        <v>3383</v>
      </c>
      <c r="C10" s="118">
        <f t="shared" si="1"/>
        <v>753</v>
      </c>
      <c r="D10" s="118">
        <f t="shared" si="1"/>
        <v>2630</v>
      </c>
      <c r="E10" s="118">
        <f t="shared" si="1"/>
        <v>381</v>
      </c>
      <c r="F10" s="118">
        <f t="shared" si="1"/>
        <v>67</v>
      </c>
      <c r="G10" s="118">
        <f t="shared" si="1"/>
        <v>314</v>
      </c>
      <c r="H10" s="118">
        <f t="shared" si="1"/>
        <v>3002</v>
      </c>
      <c r="I10" s="118">
        <f t="shared" si="1"/>
        <v>686</v>
      </c>
      <c r="J10" s="118">
        <f t="shared" si="1"/>
        <v>2316</v>
      </c>
      <c r="K10" s="117" t="s">
        <v>188</v>
      </c>
    </row>
    <row r="11" spans="2:12" ht="15.75" customHeight="1" thickBot="1" x14ac:dyDescent="0.25">
      <c r="B11" s="534" t="s">
        <v>4</v>
      </c>
      <c r="C11" s="534"/>
      <c r="D11" s="534"/>
      <c r="E11" s="534" t="s">
        <v>145</v>
      </c>
      <c r="F11" s="534"/>
      <c r="G11" s="534"/>
      <c r="H11" s="534" t="s">
        <v>146</v>
      </c>
      <c r="I11" s="534"/>
      <c r="J11" s="534"/>
      <c r="K11" s="257" t="s">
        <v>66</v>
      </c>
    </row>
    <row r="12" spans="2:12" ht="15.75" customHeight="1" thickBot="1" x14ac:dyDescent="0.25">
      <c r="B12" s="186" t="s">
        <v>227</v>
      </c>
      <c r="C12" s="186" t="s">
        <v>10</v>
      </c>
      <c r="D12" s="186" t="s">
        <v>9</v>
      </c>
      <c r="E12" s="186" t="s">
        <v>227</v>
      </c>
      <c r="F12" s="186" t="s">
        <v>10</v>
      </c>
      <c r="G12" s="186" t="s">
        <v>9</v>
      </c>
      <c r="H12" s="186" t="s">
        <v>227</v>
      </c>
      <c r="I12" s="186" t="s">
        <v>10</v>
      </c>
      <c r="J12" s="186" t="s">
        <v>9</v>
      </c>
      <c r="K12" s="117" t="s">
        <v>147</v>
      </c>
    </row>
    <row r="13" spans="2:12" ht="15.75" customHeight="1" thickBot="1" x14ac:dyDescent="0.25">
      <c r="B13" s="118">
        <f>SUM(C13:D13)</f>
        <v>804</v>
      </c>
      <c r="C13" s="118">
        <f>I13+F13</f>
        <v>0</v>
      </c>
      <c r="D13" s="118">
        <f>J13+G13</f>
        <v>804</v>
      </c>
      <c r="E13" s="118">
        <f>SUM(F13:G13)</f>
        <v>804</v>
      </c>
      <c r="F13" s="118">
        <v>0</v>
      </c>
      <c r="G13" s="118">
        <v>804</v>
      </c>
      <c r="H13" s="118">
        <f>SUM(I13:J13)</f>
        <v>0</v>
      </c>
      <c r="I13" s="118">
        <v>0</v>
      </c>
      <c r="J13" s="118">
        <v>0</v>
      </c>
      <c r="K13" s="119" t="s">
        <v>249</v>
      </c>
    </row>
    <row r="14" spans="2:12" ht="15.75" customHeight="1" thickBot="1" x14ac:dyDescent="0.25">
      <c r="B14" s="118">
        <f>SUM(B13)</f>
        <v>804</v>
      </c>
      <c r="C14" s="118">
        <f>SUM(C13)</f>
        <v>0</v>
      </c>
      <c r="D14" s="118">
        <f>SUM(D13)</f>
        <v>804</v>
      </c>
      <c r="E14" s="118">
        <f>SUM(E13)</f>
        <v>804</v>
      </c>
      <c r="F14" s="118">
        <v>0</v>
      </c>
      <c r="G14" s="118">
        <f>SUM(G13)</f>
        <v>804</v>
      </c>
      <c r="H14" s="118">
        <f>SUM(H13)</f>
        <v>0</v>
      </c>
      <c r="I14" s="118">
        <f>SUM(I13)</f>
        <v>0</v>
      </c>
      <c r="J14" s="118">
        <f>SUM(J13)</f>
        <v>0</v>
      </c>
      <c r="K14" s="117" t="s">
        <v>188</v>
      </c>
    </row>
    <row r="15" spans="2:12" ht="15.75" customHeight="1" thickBot="1" x14ac:dyDescent="0.25">
      <c r="B15" s="536" t="s">
        <v>4</v>
      </c>
      <c r="C15" s="536"/>
      <c r="D15" s="536"/>
      <c r="E15" s="536" t="s">
        <v>145</v>
      </c>
      <c r="F15" s="536"/>
      <c r="G15" s="536"/>
      <c r="H15" s="536" t="s">
        <v>146</v>
      </c>
      <c r="I15" s="536"/>
      <c r="J15" s="536"/>
      <c r="K15" s="258" t="s">
        <v>66</v>
      </c>
    </row>
    <row r="16" spans="2:12" ht="15.75" customHeight="1" thickBot="1" x14ac:dyDescent="0.25">
      <c r="B16" s="259" t="s">
        <v>227</v>
      </c>
      <c r="C16" s="259" t="s">
        <v>10</v>
      </c>
      <c r="D16" s="259" t="s">
        <v>9</v>
      </c>
      <c r="E16" s="259" t="s">
        <v>227</v>
      </c>
      <c r="F16" s="259" t="s">
        <v>10</v>
      </c>
      <c r="G16" s="259" t="s">
        <v>9</v>
      </c>
      <c r="H16" s="259" t="s">
        <v>227</v>
      </c>
      <c r="I16" s="259" t="s">
        <v>10</v>
      </c>
      <c r="J16" s="259" t="s">
        <v>9</v>
      </c>
      <c r="K16" s="260" t="s">
        <v>70</v>
      </c>
    </row>
    <row r="17" spans="2:11" ht="15.75" customHeight="1" thickBot="1" x14ac:dyDescent="0.25">
      <c r="B17" s="261">
        <f t="shared" ref="B17:D20" si="2">H17+E17</f>
        <v>200</v>
      </c>
      <c r="C17" s="261">
        <f t="shared" si="2"/>
        <v>0</v>
      </c>
      <c r="D17" s="261">
        <f t="shared" si="2"/>
        <v>200</v>
      </c>
      <c r="E17" s="261">
        <f>G17+F17</f>
        <v>0</v>
      </c>
      <c r="F17" s="261">
        <v>0</v>
      </c>
      <c r="G17" s="261">
        <v>0</v>
      </c>
      <c r="H17" s="261">
        <f>J17+I17</f>
        <v>200</v>
      </c>
      <c r="I17" s="261">
        <v>0</v>
      </c>
      <c r="J17" s="261">
        <v>200</v>
      </c>
      <c r="K17" s="262" t="s">
        <v>81</v>
      </c>
    </row>
    <row r="18" spans="2:11" ht="15.75" customHeight="1" thickBot="1" x14ac:dyDescent="0.25">
      <c r="B18" s="261">
        <f t="shared" si="2"/>
        <v>670</v>
      </c>
      <c r="C18" s="261">
        <f t="shared" si="2"/>
        <v>0</v>
      </c>
      <c r="D18" s="261">
        <f t="shared" si="2"/>
        <v>670</v>
      </c>
      <c r="E18" s="261">
        <f>G18+F18</f>
        <v>670</v>
      </c>
      <c r="F18" s="261">
        <v>0</v>
      </c>
      <c r="G18" s="261">
        <v>670</v>
      </c>
      <c r="H18" s="261">
        <f>J18+I18</f>
        <v>0</v>
      </c>
      <c r="I18" s="261">
        <v>0</v>
      </c>
      <c r="J18" s="261">
        <v>0</v>
      </c>
      <c r="K18" s="262" t="s">
        <v>252</v>
      </c>
    </row>
    <row r="19" spans="2:11" ht="15.75" customHeight="1" thickBot="1" x14ac:dyDescent="0.25">
      <c r="B19" s="261">
        <f t="shared" si="2"/>
        <v>309</v>
      </c>
      <c r="C19" s="261">
        <f t="shared" si="2"/>
        <v>70</v>
      </c>
      <c r="D19" s="261">
        <f t="shared" si="2"/>
        <v>239</v>
      </c>
      <c r="E19" s="261">
        <f>G19+F19</f>
        <v>2</v>
      </c>
      <c r="F19" s="261">
        <v>1</v>
      </c>
      <c r="G19" s="261">
        <v>1</v>
      </c>
      <c r="H19" s="261">
        <f>J19+I19</f>
        <v>307</v>
      </c>
      <c r="I19" s="261">
        <v>69</v>
      </c>
      <c r="J19" s="261">
        <v>238</v>
      </c>
      <c r="K19" s="262" t="s">
        <v>69</v>
      </c>
    </row>
    <row r="20" spans="2:11" ht="15.75" customHeight="1" thickBot="1" x14ac:dyDescent="0.25">
      <c r="B20" s="261">
        <f t="shared" si="2"/>
        <v>131</v>
      </c>
      <c r="C20" s="261">
        <f t="shared" si="2"/>
        <v>0</v>
      </c>
      <c r="D20" s="261">
        <f t="shared" si="2"/>
        <v>131</v>
      </c>
      <c r="E20" s="261">
        <f>G20+F20</f>
        <v>0</v>
      </c>
      <c r="F20" s="261">
        <v>0</v>
      </c>
      <c r="G20" s="261">
        <v>0</v>
      </c>
      <c r="H20" s="261">
        <f>J20+I20</f>
        <v>131</v>
      </c>
      <c r="I20" s="261">
        <v>0</v>
      </c>
      <c r="J20" s="261">
        <v>131</v>
      </c>
      <c r="K20" s="262" t="s">
        <v>82</v>
      </c>
    </row>
    <row r="21" spans="2:11" ht="15.75" customHeight="1" thickBot="1" x14ac:dyDescent="0.25">
      <c r="B21" s="261">
        <f t="shared" ref="B21:J21" si="3">SUM(B17:B20)</f>
        <v>1310</v>
      </c>
      <c r="C21" s="261">
        <f t="shared" si="3"/>
        <v>70</v>
      </c>
      <c r="D21" s="261">
        <f t="shared" si="3"/>
        <v>1240</v>
      </c>
      <c r="E21" s="261">
        <f t="shared" si="3"/>
        <v>672</v>
      </c>
      <c r="F21" s="261">
        <f t="shared" si="3"/>
        <v>1</v>
      </c>
      <c r="G21" s="261">
        <f t="shared" si="3"/>
        <v>671</v>
      </c>
      <c r="H21" s="261">
        <f t="shared" si="3"/>
        <v>638</v>
      </c>
      <c r="I21" s="261">
        <f t="shared" si="3"/>
        <v>69</v>
      </c>
      <c r="J21" s="261">
        <f t="shared" si="3"/>
        <v>569</v>
      </c>
      <c r="K21" s="260" t="s">
        <v>188</v>
      </c>
    </row>
    <row r="22" spans="2:11" ht="15.75" customHeight="1" thickBot="1" x14ac:dyDescent="0.25">
      <c r="B22" s="536" t="s">
        <v>4</v>
      </c>
      <c r="C22" s="536"/>
      <c r="D22" s="536"/>
      <c r="E22" s="536" t="s">
        <v>145</v>
      </c>
      <c r="F22" s="536"/>
      <c r="G22" s="536"/>
      <c r="H22" s="536" t="s">
        <v>146</v>
      </c>
      <c r="I22" s="536"/>
      <c r="J22" s="536"/>
      <c r="K22" s="258" t="s">
        <v>66</v>
      </c>
    </row>
    <row r="23" spans="2:11" ht="15.75" customHeight="1" thickBot="1" x14ac:dyDescent="0.25">
      <c r="B23" s="259" t="s">
        <v>227</v>
      </c>
      <c r="C23" s="259" t="s">
        <v>10</v>
      </c>
      <c r="D23" s="259" t="s">
        <v>9</v>
      </c>
      <c r="E23" s="259" t="s">
        <v>227</v>
      </c>
      <c r="F23" s="259" t="s">
        <v>10</v>
      </c>
      <c r="G23" s="259" t="s">
        <v>9</v>
      </c>
      <c r="H23" s="259" t="s">
        <v>227</v>
      </c>
      <c r="I23" s="259" t="s">
        <v>10</v>
      </c>
      <c r="J23" s="259" t="s">
        <v>9</v>
      </c>
      <c r="K23" s="260" t="s">
        <v>72</v>
      </c>
    </row>
    <row r="24" spans="2:11" ht="15.75" customHeight="1" thickBot="1" x14ac:dyDescent="0.25">
      <c r="B24" s="261">
        <f t="shared" ref="B24:D35" si="4">H24+E24</f>
        <v>90</v>
      </c>
      <c r="C24" s="261">
        <f t="shared" si="4"/>
        <v>0</v>
      </c>
      <c r="D24" s="261">
        <f t="shared" si="4"/>
        <v>90</v>
      </c>
      <c r="E24" s="261">
        <f t="shared" ref="E24:E35" si="5">G24+F24</f>
        <v>0</v>
      </c>
      <c r="F24" s="261">
        <v>0</v>
      </c>
      <c r="G24" s="261">
        <v>0</v>
      </c>
      <c r="H24" s="261">
        <f t="shared" ref="H24:H35" si="6">J24+I24</f>
        <v>90</v>
      </c>
      <c r="I24" s="261">
        <v>0</v>
      </c>
      <c r="J24" s="261">
        <v>90</v>
      </c>
      <c r="K24" s="262" t="s">
        <v>256</v>
      </c>
    </row>
    <row r="25" spans="2:11" ht="15.75" customHeight="1" thickBot="1" x14ac:dyDescent="0.25">
      <c r="B25" s="261">
        <f t="shared" si="4"/>
        <v>46</v>
      </c>
      <c r="C25" s="261">
        <f t="shared" si="4"/>
        <v>35</v>
      </c>
      <c r="D25" s="261">
        <f t="shared" si="4"/>
        <v>11</v>
      </c>
      <c r="E25" s="261">
        <f t="shared" si="5"/>
        <v>0</v>
      </c>
      <c r="F25" s="261">
        <v>0</v>
      </c>
      <c r="G25" s="261">
        <v>0</v>
      </c>
      <c r="H25" s="261">
        <f t="shared" si="6"/>
        <v>46</v>
      </c>
      <c r="I25" s="261">
        <v>35</v>
      </c>
      <c r="J25" s="261">
        <v>11</v>
      </c>
      <c r="K25" s="262" t="s">
        <v>406</v>
      </c>
    </row>
    <row r="26" spans="2:11" ht="15.75" customHeight="1" thickBot="1" x14ac:dyDescent="0.25">
      <c r="B26" s="261">
        <f t="shared" si="4"/>
        <v>39</v>
      </c>
      <c r="C26" s="261">
        <f t="shared" si="4"/>
        <v>18</v>
      </c>
      <c r="D26" s="261">
        <f t="shared" si="4"/>
        <v>21</v>
      </c>
      <c r="E26" s="261">
        <f t="shared" si="5"/>
        <v>1</v>
      </c>
      <c r="F26" s="261">
        <v>0</v>
      </c>
      <c r="G26" s="261">
        <v>1</v>
      </c>
      <c r="H26" s="261">
        <f t="shared" si="6"/>
        <v>38</v>
      </c>
      <c r="I26" s="261">
        <v>18</v>
      </c>
      <c r="J26" s="261">
        <v>20</v>
      </c>
      <c r="K26" s="262" t="s">
        <v>364</v>
      </c>
    </row>
    <row r="27" spans="2:11" ht="15.75" customHeight="1" thickBot="1" x14ac:dyDescent="0.25">
      <c r="B27" s="261">
        <f t="shared" si="4"/>
        <v>4449</v>
      </c>
      <c r="C27" s="261">
        <f t="shared" si="4"/>
        <v>3449</v>
      </c>
      <c r="D27" s="261">
        <f t="shared" si="4"/>
        <v>1000</v>
      </c>
      <c r="E27" s="261">
        <f t="shared" si="5"/>
        <v>334</v>
      </c>
      <c r="F27" s="261">
        <v>202</v>
      </c>
      <c r="G27" s="261">
        <v>132</v>
      </c>
      <c r="H27" s="261">
        <f t="shared" si="6"/>
        <v>4115</v>
      </c>
      <c r="I27" s="261">
        <v>3247</v>
      </c>
      <c r="J27" s="261">
        <v>868</v>
      </c>
      <c r="K27" s="262" t="s">
        <v>71</v>
      </c>
    </row>
    <row r="28" spans="2:11" ht="15.75" customHeight="1" thickBot="1" x14ac:dyDescent="0.25">
      <c r="B28" s="261">
        <f t="shared" si="4"/>
        <v>2999</v>
      </c>
      <c r="C28" s="261">
        <f t="shared" si="4"/>
        <v>0</v>
      </c>
      <c r="D28" s="261">
        <f t="shared" si="4"/>
        <v>2999</v>
      </c>
      <c r="E28" s="261">
        <f t="shared" si="5"/>
        <v>44</v>
      </c>
      <c r="F28" s="261">
        <v>0</v>
      </c>
      <c r="G28" s="261">
        <v>44</v>
      </c>
      <c r="H28" s="261">
        <f t="shared" si="6"/>
        <v>2955</v>
      </c>
      <c r="I28" s="261">
        <v>0</v>
      </c>
      <c r="J28" s="261">
        <v>2955</v>
      </c>
      <c r="K28" s="262" t="s">
        <v>83</v>
      </c>
    </row>
    <row r="29" spans="2:11" ht="15.75" customHeight="1" thickBot="1" x14ac:dyDescent="0.25">
      <c r="B29" s="261">
        <f t="shared" si="4"/>
        <v>662</v>
      </c>
      <c r="C29" s="261">
        <f t="shared" si="4"/>
        <v>0</v>
      </c>
      <c r="D29" s="261">
        <f t="shared" si="4"/>
        <v>662</v>
      </c>
      <c r="E29" s="261">
        <f t="shared" si="5"/>
        <v>2</v>
      </c>
      <c r="F29" s="261">
        <v>0</v>
      </c>
      <c r="G29" s="261">
        <v>2</v>
      </c>
      <c r="H29" s="261">
        <f t="shared" si="6"/>
        <v>660</v>
      </c>
      <c r="I29" s="261">
        <v>0</v>
      </c>
      <c r="J29" s="261">
        <v>660</v>
      </c>
      <c r="K29" s="262" t="s">
        <v>85</v>
      </c>
    </row>
    <row r="30" spans="2:11" ht="15.75" customHeight="1" thickBot="1" x14ac:dyDescent="0.25">
      <c r="B30" s="261">
        <f t="shared" si="4"/>
        <v>678</v>
      </c>
      <c r="C30" s="261">
        <f t="shared" si="4"/>
        <v>0</v>
      </c>
      <c r="D30" s="261">
        <f t="shared" si="4"/>
        <v>678</v>
      </c>
      <c r="E30" s="261">
        <f t="shared" si="5"/>
        <v>1</v>
      </c>
      <c r="F30" s="261">
        <v>0</v>
      </c>
      <c r="G30" s="261">
        <v>1</v>
      </c>
      <c r="H30" s="261">
        <f t="shared" si="6"/>
        <v>677</v>
      </c>
      <c r="I30" s="261">
        <v>0</v>
      </c>
      <c r="J30" s="261">
        <v>677</v>
      </c>
      <c r="K30" s="262" t="s">
        <v>617</v>
      </c>
    </row>
    <row r="31" spans="2:11" ht="15.75" customHeight="1" thickBot="1" x14ac:dyDescent="0.25">
      <c r="B31" s="261">
        <f t="shared" si="4"/>
        <v>919</v>
      </c>
      <c r="C31" s="261">
        <f t="shared" si="4"/>
        <v>364</v>
      </c>
      <c r="D31" s="261">
        <f t="shared" si="4"/>
        <v>555</v>
      </c>
      <c r="E31" s="261">
        <f t="shared" si="5"/>
        <v>2</v>
      </c>
      <c r="F31" s="261">
        <v>1</v>
      </c>
      <c r="G31" s="261">
        <v>1</v>
      </c>
      <c r="H31" s="261">
        <f t="shared" si="6"/>
        <v>917</v>
      </c>
      <c r="I31" s="261">
        <v>363</v>
      </c>
      <c r="J31" s="261">
        <v>554</v>
      </c>
      <c r="K31" s="262" t="s">
        <v>618</v>
      </c>
    </row>
    <row r="32" spans="2:11" ht="15.75" customHeight="1" thickBot="1" x14ac:dyDescent="0.25">
      <c r="B32" s="261">
        <f t="shared" si="4"/>
        <v>491</v>
      </c>
      <c r="C32" s="261">
        <f t="shared" si="4"/>
        <v>0</v>
      </c>
      <c r="D32" s="261">
        <f t="shared" si="4"/>
        <v>491</v>
      </c>
      <c r="E32" s="261">
        <f t="shared" si="5"/>
        <v>0</v>
      </c>
      <c r="F32" s="261">
        <v>0</v>
      </c>
      <c r="G32" s="261">
        <v>0</v>
      </c>
      <c r="H32" s="261">
        <f t="shared" si="6"/>
        <v>491</v>
      </c>
      <c r="I32" s="261">
        <v>0</v>
      </c>
      <c r="J32" s="261">
        <v>491</v>
      </c>
      <c r="K32" s="262" t="s">
        <v>87</v>
      </c>
    </row>
    <row r="33" spans="2:11" ht="15.75" customHeight="1" thickBot="1" x14ac:dyDescent="0.25">
      <c r="B33" s="261">
        <f t="shared" si="4"/>
        <v>444</v>
      </c>
      <c r="C33" s="261">
        <f t="shared" si="4"/>
        <v>0</v>
      </c>
      <c r="D33" s="261">
        <f t="shared" si="4"/>
        <v>444</v>
      </c>
      <c r="E33" s="261">
        <f t="shared" si="5"/>
        <v>0</v>
      </c>
      <c r="F33" s="261">
        <v>0</v>
      </c>
      <c r="G33" s="261">
        <v>0</v>
      </c>
      <c r="H33" s="261">
        <f t="shared" si="6"/>
        <v>444</v>
      </c>
      <c r="I33" s="261">
        <v>0</v>
      </c>
      <c r="J33" s="261">
        <v>444</v>
      </c>
      <c r="K33" s="262" t="s">
        <v>619</v>
      </c>
    </row>
    <row r="34" spans="2:11" ht="15.75" customHeight="1" thickBot="1" x14ac:dyDescent="0.25">
      <c r="B34" s="261">
        <f t="shared" si="4"/>
        <v>153</v>
      </c>
      <c r="C34" s="261">
        <f t="shared" si="4"/>
        <v>0</v>
      </c>
      <c r="D34" s="261">
        <f t="shared" si="4"/>
        <v>153</v>
      </c>
      <c r="E34" s="261">
        <f t="shared" si="5"/>
        <v>0</v>
      </c>
      <c r="F34" s="261">
        <v>0</v>
      </c>
      <c r="G34" s="261">
        <v>0</v>
      </c>
      <c r="H34" s="261">
        <f t="shared" si="6"/>
        <v>153</v>
      </c>
      <c r="I34" s="261">
        <v>0</v>
      </c>
      <c r="J34" s="261">
        <v>153</v>
      </c>
      <c r="K34" s="262" t="s">
        <v>196</v>
      </c>
    </row>
    <row r="35" spans="2:11" ht="15.75" customHeight="1" thickBot="1" x14ac:dyDescent="0.25">
      <c r="B35" s="261">
        <f t="shared" si="4"/>
        <v>205</v>
      </c>
      <c r="C35" s="261">
        <f t="shared" si="4"/>
        <v>0</v>
      </c>
      <c r="D35" s="261">
        <f t="shared" si="4"/>
        <v>205</v>
      </c>
      <c r="E35" s="261">
        <f t="shared" si="5"/>
        <v>205</v>
      </c>
      <c r="F35" s="261">
        <v>0</v>
      </c>
      <c r="G35" s="261">
        <v>205</v>
      </c>
      <c r="H35" s="261">
        <f t="shared" si="6"/>
        <v>0</v>
      </c>
      <c r="I35" s="261">
        <v>0</v>
      </c>
      <c r="J35" s="261">
        <v>0</v>
      </c>
      <c r="K35" s="262" t="s">
        <v>620</v>
      </c>
    </row>
    <row r="36" spans="2:11" ht="15.75" customHeight="1" thickBot="1" x14ac:dyDescent="0.25">
      <c r="B36" s="261">
        <f t="shared" ref="B36:J36" si="7">SUM(B24:B35)</f>
        <v>11175</v>
      </c>
      <c r="C36" s="261">
        <f t="shared" si="7"/>
        <v>3866</v>
      </c>
      <c r="D36" s="261">
        <f t="shared" si="7"/>
        <v>7309</v>
      </c>
      <c r="E36" s="261">
        <f t="shared" si="7"/>
        <v>589</v>
      </c>
      <c r="F36" s="261">
        <f t="shared" si="7"/>
        <v>203</v>
      </c>
      <c r="G36" s="261">
        <f t="shared" si="7"/>
        <v>386</v>
      </c>
      <c r="H36" s="261">
        <f t="shared" si="7"/>
        <v>10586</v>
      </c>
      <c r="I36" s="261">
        <f t="shared" si="7"/>
        <v>3663</v>
      </c>
      <c r="J36" s="261">
        <f t="shared" si="7"/>
        <v>6923</v>
      </c>
      <c r="K36" s="260" t="s">
        <v>188</v>
      </c>
    </row>
    <row r="37" spans="2:11" ht="15.75" customHeight="1" thickBot="1" x14ac:dyDescent="0.25">
      <c r="B37" s="536" t="s">
        <v>4</v>
      </c>
      <c r="C37" s="536"/>
      <c r="D37" s="536"/>
      <c r="E37" s="536" t="s">
        <v>145</v>
      </c>
      <c r="F37" s="536"/>
      <c r="G37" s="536"/>
      <c r="H37" s="536" t="s">
        <v>146</v>
      </c>
      <c r="I37" s="536"/>
      <c r="J37" s="536"/>
      <c r="K37" s="258" t="s">
        <v>66</v>
      </c>
    </row>
    <row r="38" spans="2:11" ht="15.75" customHeight="1" thickBot="1" x14ac:dyDescent="0.25">
      <c r="B38" s="259" t="s">
        <v>227</v>
      </c>
      <c r="C38" s="259" t="s">
        <v>10</v>
      </c>
      <c r="D38" s="259" t="s">
        <v>9</v>
      </c>
      <c r="E38" s="259" t="s">
        <v>227</v>
      </c>
      <c r="F38" s="263" t="s">
        <v>10</v>
      </c>
      <c r="G38" s="263" t="s">
        <v>9</v>
      </c>
      <c r="H38" s="263" t="s">
        <v>227</v>
      </c>
      <c r="I38" s="263" t="s">
        <v>10</v>
      </c>
      <c r="J38" s="263" t="s">
        <v>9</v>
      </c>
      <c r="K38" s="260" t="s">
        <v>73</v>
      </c>
    </row>
    <row r="39" spans="2:11" ht="15.75" customHeight="1" thickBot="1" x14ac:dyDescent="0.25">
      <c r="B39" s="261">
        <f t="shared" ref="B39:D43" si="8">H39+E39</f>
        <v>170</v>
      </c>
      <c r="C39" s="261">
        <f t="shared" si="8"/>
        <v>81</v>
      </c>
      <c r="D39" s="261">
        <f t="shared" si="8"/>
        <v>89</v>
      </c>
      <c r="E39" s="261">
        <f t="shared" ref="E39:E43" si="9">G39+F39</f>
        <v>28</v>
      </c>
      <c r="F39" s="263">
        <v>20</v>
      </c>
      <c r="G39" s="263">
        <v>8</v>
      </c>
      <c r="H39" s="263">
        <f t="shared" ref="H39:H43" si="10">J39+I39</f>
        <v>142</v>
      </c>
      <c r="I39" s="263">
        <f>111-50</f>
        <v>61</v>
      </c>
      <c r="J39" s="263">
        <v>81</v>
      </c>
      <c r="K39" s="264" t="s">
        <v>621</v>
      </c>
    </row>
    <row r="40" spans="2:11" ht="15.75" customHeight="1" thickBot="1" x14ac:dyDescent="0.25">
      <c r="B40" s="261">
        <f t="shared" si="8"/>
        <v>733</v>
      </c>
      <c r="C40" s="261">
        <f t="shared" si="8"/>
        <v>0</v>
      </c>
      <c r="D40" s="261">
        <f t="shared" si="8"/>
        <v>733</v>
      </c>
      <c r="E40" s="261">
        <f t="shared" si="9"/>
        <v>20</v>
      </c>
      <c r="F40" s="263">
        <v>0</v>
      </c>
      <c r="G40" s="263">
        <v>20</v>
      </c>
      <c r="H40" s="263">
        <f t="shared" si="10"/>
        <v>713</v>
      </c>
      <c r="I40" s="263">
        <v>0</v>
      </c>
      <c r="J40" s="263">
        <v>713</v>
      </c>
      <c r="K40" s="264" t="s">
        <v>88</v>
      </c>
    </row>
    <row r="41" spans="2:11" ht="15.75" customHeight="1" thickBot="1" x14ac:dyDescent="0.25">
      <c r="B41" s="261">
        <f t="shared" si="8"/>
        <v>54</v>
      </c>
      <c r="C41" s="261">
        <f t="shared" si="8"/>
        <v>54</v>
      </c>
      <c r="D41" s="261">
        <f t="shared" si="8"/>
        <v>0</v>
      </c>
      <c r="E41" s="261">
        <f t="shared" si="9"/>
        <v>0</v>
      </c>
      <c r="F41" s="263">
        <v>0</v>
      </c>
      <c r="G41" s="263">
        <v>0</v>
      </c>
      <c r="H41" s="263">
        <f t="shared" si="10"/>
        <v>54</v>
      </c>
      <c r="I41" s="263">
        <f>104-50</f>
        <v>54</v>
      </c>
      <c r="J41" s="263">
        <v>0</v>
      </c>
      <c r="K41" s="264" t="s">
        <v>198</v>
      </c>
    </row>
    <row r="42" spans="2:11" ht="15.75" customHeight="1" thickBot="1" x14ac:dyDescent="0.25">
      <c r="B42" s="261">
        <f t="shared" si="8"/>
        <v>634</v>
      </c>
      <c r="C42" s="261">
        <f t="shared" si="8"/>
        <v>255</v>
      </c>
      <c r="D42" s="261">
        <f t="shared" si="8"/>
        <v>379</v>
      </c>
      <c r="E42" s="261">
        <f t="shared" si="9"/>
        <v>3</v>
      </c>
      <c r="F42" s="263">
        <v>3</v>
      </c>
      <c r="G42" s="263">
        <v>0</v>
      </c>
      <c r="H42" s="263">
        <f t="shared" si="10"/>
        <v>631</v>
      </c>
      <c r="I42" s="263">
        <f>489-243+6</f>
        <v>252</v>
      </c>
      <c r="J42" s="263">
        <f>351+28</f>
        <v>379</v>
      </c>
      <c r="K42" s="264" t="s">
        <v>622</v>
      </c>
    </row>
    <row r="43" spans="2:11" ht="15.75" customHeight="1" thickBot="1" x14ac:dyDescent="0.25">
      <c r="B43" s="261">
        <f t="shared" si="8"/>
        <v>211</v>
      </c>
      <c r="C43" s="261">
        <f t="shared" si="8"/>
        <v>90</v>
      </c>
      <c r="D43" s="261">
        <f t="shared" si="8"/>
        <v>121</v>
      </c>
      <c r="E43" s="261">
        <f t="shared" si="9"/>
        <v>6</v>
      </c>
      <c r="F43" s="263">
        <v>5</v>
      </c>
      <c r="G43" s="263">
        <v>1</v>
      </c>
      <c r="H43" s="263">
        <f t="shared" si="10"/>
        <v>205</v>
      </c>
      <c r="I43" s="263">
        <f>135-50</f>
        <v>85</v>
      </c>
      <c r="J43" s="263">
        <v>120</v>
      </c>
      <c r="K43" s="264" t="s">
        <v>262</v>
      </c>
    </row>
    <row r="44" spans="2:11" ht="15.75" customHeight="1" thickBot="1" x14ac:dyDescent="0.25">
      <c r="B44" s="261">
        <f t="shared" ref="B44:J44" si="11">SUM(B39:B43)</f>
        <v>1802</v>
      </c>
      <c r="C44" s="261">
        <f t="shared" si="11"/>
        <v>480</v>
      </c>
      <c r="D44" s="261">
        <f t="shared" si="11"/>
        <v>1322</v>
      </c>
      <c r="E44" s="261">
        <f t="shared" si="11"/>
        <v>57</v>
      </c>
      <c r="F44" s="261">
        <f t="shared" si="11"/>
        <v>28</v>
      </c>
      <c r="G44" s="261">
        <f t="shared" si="11"/>
        <v>29</v>
      </c>
      <c r="H44" s="261">
        <f t="shared" si="11"/>
        <v>1745</v>
      </c>
      <c r="I44" s="261">
        <f t="shared" si="11"/>
        <v>452</v>
      </c>
      <c r="J44" s="261">
        <f t="shared" si="11"/>
        <v>1293</v>
      </c>
      <c r="K44" s="260" t="s">
        <v>188</v>
      </c>
    </row>
    <row r="45" spans="2:11" ht="15.75" customHeight="1" thickBot="1" x14ac:dyDescent="0.25">
      <c r="B45" s="534" t="s">
        <v>4</v>
      </c>
      <c r="C45" s="534"/>
      <c r="D45" s="534"/>
      <c r="E45" s="534" t="s">
        <v>145</v>
      </c>
      <c r="F45" s="534"/>
      <c r="G45" s="534"/>
      <c r="H45" s="534" t="s">
        <v>146</v>
      </c>
      <c r="I45" s="534"/>
      <c r="J45" s="534"/>
      <c r="K45" s="257" t="s">
        <v>66</v>
      </c>
    </row>
    <row r="46" spans="2:11" ht="15.75" customHeight="1" thickBot="1" x14ac:dyDescent="0.25">
      <c r="B46" s="186" t="s">
        <v>227</v>
      </c>
      <c r="C46" s="186" t="s">
        <v>10</v>
      </c>
      <c r="D46" s="186" t="s">
        <v>9</v>
      </c>
      <c r="E46" s="186" t="s">
        <v>227</v>
      </c>
      <c r="F46" s="186" t="s">
        <v>10</v>
      </c>
      <c r="G46" s="186" t="s">
        <v>9</v>
      </c>
      <c r="H46" s="186" t="s">
        <v>227</v>
      </c>
      <c r="I46" s="186" t="s">
        <v>10</v>
      </c>
      <c r="J46" s="186" t="s">
        <v>9</v>
      </c>
      <c r="K46" s="117" t="s">
        <v>90</v>
      </c>
    </row>
    <row r="47" spans="2:11" ht="15.75" customHeight="1" thickBot="1" x14ac:dyDescent="0.25">
      <c r="B47" s="118">
        <f>D47+C47</f>
        <v>495</v>
      </c>
      <c r="C47" s="118">
        <f t="shared" ref="C47:D49" si="12">I47+F47</f>
        <v>0</v>
      </c>
      <c r="D47" s="118">
        <f t="shared" si="12"/>
        <v>495</v>
      </c>
      <c r="E47" s="118">
        <v>39.518518518518498</v>
      </c>
      <c r="F47" s="118">
        <v>0</v>
      </c>
      <c r="G47" s="118">
        <v>40</v>
      </c>
      <c r="H47" s="118">
        <v>455</v>
      </c>
      <c r="I47" s="118">
        <v>0</v>
      </c>
      <c r="J47" s="118">
        <v>455</v>
      </c>
      <c r="K47" s="119" t="s">
        <v>89</v>
      </c>
    </row>
    <row r="48" spans="2:11" ht="15.75" customHeight="1" thickBot="1" x14ac:dyDescent="0.25">
      <c r="B48" s="118">
        <f>D48+C48</f>
        <v>1170</v>
      </c>
      <c r="C48" s="118">
        <f t="shared" si="12"/>
        <v>0</v>
      </c>
      <c r="D48" s="118">
        <f t="shared" si="12"/>
        <v>1170</v>
      </c>
      <c r="E48" s="118">
        <v>57.481481481481481</v>
      </c>
      <c r="F48" s="118">
        <v>0</v>
      </c>
      <c r="G48" s="118">
        <v>57</v>
      </c>
      <c r="H48" s="118">
        <v>1113</v>
      </c>
      <c r="I48" s="118">
        <v>0</v>
      </c>
      <c r="J48" s="118">
        <v>1113</v>
      </c>
      <c r="K48" s="119" t="s">
        <v>91</v>
      </c>
    </row>
    <row r="49" spans="2:11" ht="15.75" customHeight="1" thickBot="1" x14ac:dyDescent="0.25">
      <c r="B49" s="118">
        <f>D49+C49</f>
        <v>1665</v>
      </c>
      <c r="C49" s="118">
        <f t="shared" si="12"/>
        <v>0</v>
      </c>
      <c r="D49" s="118">
        <f t="shared" si="12"/>
        <v>1665</v>
      </c>
      <c r="E49" s="118">
        <v>97</v>
      </c>
      <c r="F49" s="118">
        <v>0</v>
      </c>
      <c r="G49" s="118">
        <v>97</v>
      </c>
      <c r="H49" s="118">
        <v>1568</v>
      </c>
      <c r="I49" s="118">
        <v>0</v>
      </c>
      <c r="J49" s="118">
        <v>1568</v>
      </c>
      <c r="K49" s="117" t="s">
        <v>188</v>
      </c>
    </row>
    <row r="50" spans="2:11" ht="15.75" customHeight="1" thickBot="1" x14ac:dyDescent="0.25">
      <c r="B50" s="534" t="s">
        <v>4</v>
      </c>
      <c r="C50" s="534"/>
      <c r="D50" s="534"/>
      <c r="E50" s="534" t="s">
        <v>145</v>
      </c>
      <c r="F50" s="534"/>
      <c r="G50" s="534"/>
      <c r="H50" s="534" t="s">
        <v>146</v>
      </c>
      <c r="I50" s="534"/>
      <c r="J50" s="534"/>
      <c r="K50" s="265" t="s">
        <v>66</v>
      </c>
    </row>
    <row r="51" spans="2:11" ht="15.75" customHeight="1" thickBot="1" x14ac:dyDescent="0.25">
      <c r="B51" s="186" t="s">
        <v>227</v>
      </c>
      <c r="C51" s="186" t="s">
        <v>10</v>
      </c>
      <c r="D51" s="186" t="s">
        <v>9</v>
      </c>
      <c r="E51" s="186" t="s">
        <v>227</v>
      </c>
      <c r="F51" s="186" t="s">
        <v>10</v>
      </c>
      <c r="G51" s="186" t="s">
        <v>9</v>
      </c>
      <c r="H51" s="186" t="s">
        <v>227</v>
      </c>
      <c r="I51" s="186" t="s">
        <v>10</v>
      </c>
      <c r="J51" s="186" t="s">
        <v>9</v>
      </c>
      <c r="K51" s="120" t="s">
        <v>74</v>
      </c>
    </row>
    <row r="52" spans="2:11" ht="15.75" customHeight="1" thickBot="1" x14ac:dyDescent="0.25">
      <c r="B52" s="186">
        <f t="shared" ref="B52:B59" si="13">SUM(C52:D52)</f>
        <v>34</v>
      </c>
      <c r="C52" s="186">
        <f t="shared" ref="C52:D59" si="14">I52+F52</f>
        <v>0</v>
      </c>
      <c r="D52" s="186">
        <f t="shared" si="14"/>
        <v>34</v>
      </c>
      <c r="E52" s="186">
        <f t="shared" ref="E52:E59" si="15">SUM(F52:G52)</f>
        <v>0</v>
      </c>
      <c r="F52" s="186">
        <v>0</v>
      </c>
      <c r="G52" s="186">
        <v>0</v>
      </c>
      <c r="H52" s="186">
        <f t="shared" ref="H52:H59" si="16">SUM(I52:J52)</f>
        <v>34</v>
      </c>
      <c r="I52" s="186">
        <v>0</v>
      </c>
      <c r="J52" s="186">
        <v>34</v>
      </c>
      <c r="K52" s="121" t="s">
        <v>623</v>
      </c>
    </row>
    <row r="53" spans="2:11" ht="15.75" customHeight="1" thickBot="1" x14ac:dyDescent="0.25">
      <c r="B53" s="118">
        <f t="shared" si="13"/>
        <v>2712</v>
      </c>
      <c r="C53" s="186">
        <f t="shared" si="14"/>
        <v>2218</v>
      </c>
      <c r="D53" s="186">
        <f t="shared" si="14"/>
        <v>494</v>
      </c>
      <c r="E53" s="118">
        <f t="shared" si="15"/>
        <v>32</v>
      </c>
      <c r="F53" s="118">
        <v>23</v>
      </c>
      <c r="G53" s="118">
        <v>9</v>
      </c>
      <c r="H53" s="186">
        <f t="shared" si="16"/>
        <v>2680</v>
      </c>
      <c r="I53" s="118">
        <v>2195</v>
      </c>
      <c r="J53" s="118">
        <v>485</v>
      </c>
      <c r="K53" s="122" t="s">
        <v>71</v>
      </c>
    </row>
    <row r="54" spans="2:11" ht="15.75" customHeight="1" thickBot="1" x14ac:dyDescent="0.25">
      <c r="B54" s="118">
        <f t="shared" si="13"/>
        <v>444</v>
      </c>
      <c r="C54" s="186">
        <f t="shared" si="14"/>
        <v>444</v>
      </c>
      <c r="D54" s="186">
        <f t="shared" si="14"/>
        <v>0</v>
      </c>
      <c r="E54" s="118">
        <f t="shared" si="15"/>
        <v>0</v>
      </c>
      <c r="F54" s="118">
        <v>0</v>
      </c>
      <c r="G54" s="118">
        <v>0</v>
      </c>
      <c r="H54" s="186">
        <f t="shared" si="16"/>
        <v>444</v>
      </c>
      <c r="I54" s="118">
        <f>654-210</f>
        <v>444</v>
      </c>
      <c r="J54" s="118">
        <v>0</v>
      </c>
      <c r="K54" s="122" t="s">
        <v>92</v>
      </c>
    </row>
    <row r="55" spans="2:11" ht="15.75" customHeight="1" thickBot="1" x14ac:dyDescent="0.25">
      <c r="B55" s="118">
        <f t="shared" si="13"/>
        <v>644</v>
      </c>
      <c r="C55" s="186">
        <f t="shared" si="14"/>
        <v>644</v>
      </c>
      <c r="D55" s="186">
        <f t="shared" si="14"/>
        <v>0</v>
      </c>
      <c r="E55" s="118">
        <f t="shared" si="15"/>
        <v>0</v>
      </c>
      <c r="F55" s="118">
        <v>0</v>
      </c>
      <c r="G55" s="118">
        <v>0</v>
      </c>
      <c r="H55" s="186">
        <f t="shared" si="16"/>
        <v>644</v>
      </c>
      <c r="I55" s="118">
        <f>954-310</f>
        <v>644</v>
      </c>
      <c r="J55" s="118">
        <v>0</v>
      </c>
      <c r="K55" s="122" t="s">
        <v>263</v>
      </c>
    </row>
    <row r="56" spans="2:11" ht="15.75" customHeight="1" thickBot="1" x14ac:dyDescent="0.25">
      <c r="B56" s="118">
        <f t="shared" si="13"/>
        <v>930</v>
      </c>
      <c r="C56" s="186">
        <f t="shared" si="14"/>
        <v>334</v>
      </c>
      <c r="D56" s="186">
        <f t="shared" si="14"/>
        <v>596</v>
      </c>
      <c r="E56" s="118">
        <f t="shared" si="15"/>
        <v>1</v>
      </c>
      <c r="F56" s="118">
        <v>1</v>
      </c>
      <c r="G56" s="118">
        <v>0</v>
      </c>
      <c r="H56" s="186">
        <f t="shared" si="16"/>
        <v>929</v>
      </c>
      <c r="I56" s="118">
        <f>383-50</f>
        <v>333</v>
      </c>
      <c r="J56" s="118">
        <v>596</v>
      </c>
      <c r="K56" s="122" t="s">
        <v>264</v>
      </c>
    </row>
    <row r="57" spans="2:11" ht="15.75" customHeight="1" thickBot="1" x14ac:dyDescent="0.25">
      <c r="B57" s="118">
        <f t="shared" si="13"/>
        <v>200</v>
      </c>
      <c r="C57" s="186">
        <f t="shared" si="14"/>
        <v>200</v>
      </c>
      <c r="D57" s="186">
        <f t="shared" si="14"/>
        <v>0</v>
      </c>
      <c r="E57" s="118">
        <f t="shared" si="15"/>
        <v>3</v>
      </c>
      <c r="F57" s="118">
        <v>3</v>
      </c>
      <c r="G57" s="118">
        <v>0</v>
      </c>
      <c r="H57" s="186">
        <f t="shared" si="16"/>
        <v>197</v>
      </c>
      <c r="I57" s="118">
        <v>197</v>
      </c>
      <c r="J57" s="118">
        <v>0</v>
      </c>
      <c r="K57" s="122" t="s">
        <v>265</v>
      </c>
    </row>
    <row r="58" spans="2:11" ht="15.75" customHeight="1" thickBot="1" x14ac:dyDescent="0.25">
      <c r="B58" s="118">
        <f t="shared" si="13"/>
        <v>537</v>
      </c>
      <c r="C58" s="186">
        <f t="shared" si="14"/>
        <v>248</v>
      </c>
      <c r="D58" s="186">
        <f t="shared" si="14"/>
        <v>289</v>
      </c>
      <c r="E58" s="118">
        <f t="shared" si="15"/>
        <v>0</v>
      </c>
      <c r="F58" s="118">
        <v>0</v>
      </c>
      <c r="G58" s="118">
        <v>0</v>
      </c>
      <c r="H58" s="186">
        <f t="shared" si="16"/>
        <v>537</v>
      </c>
      <c r="I58" s="118">
        <v>248</v>
      </c>
      <c r="J58" s="118">
        <v>289</v>
      </c>
      <c r="K58" s="122" t="s">
        <v>266</v>
      </c>
    </row>
    <row r="59" spans="2:11" ht="15.75" customHeight="1" thickBot="1" x14ac:dyDescent="0.25">
      <c r="B59" s="118">
        <f t="shared" si="13"/>
        <v>284</v>
      </c>
      <c r="C59" s="186">
        <f t="shared" si="14"/>
        <v>284</v>
      </c>
      <c r="D59" s="186">
        <f t="shared" si="14"/>
        <v>0</v>
      </c>
      <c r="E59" s="118">
        <f t="shared" si="15"/>
        <v>1</v>
      </c>
      <c r="F59" s="118">
        <v>1</v>
      </c>
      <c r="G59" s="118">
        <v>0</v>
      </c>
      <c r="H59" s="186">
        <f t="shared" si="16"/>
        <v>283</v>
      </c>
      <c r="I59" s="118">
        <f>333-50</f>
        <v>283</v>
      </c>
      <c r="J59" s="118">
        <v>0</v>
      </c>
      <c r="K59" s="122" t="s">
        <v>267</v>
      </c>
    </row>
    <row r="60" spans="2:11" ht="15.75" customHeight="1" thickBot="1" x14ac:dyDescent="0.25">
      <c r="B60" s="118">
        <f t="shared" ref="B60:J60" si="17">SUM(B52:B59)</f>
        <v>5785</v>
      </c>
      <c r="C60" s="118">
        <f t="shared" si="17"/>
        <v>4372</v>
      </c>
      <c r="D60" s="118">
        <f t="shared" si="17"/>
        <v>1413</v>
      </c>
      <c r="E60" s="118">
        <f t="shared" si="17"/>
        <v>37</v>
      </c>
      <c r="F60" s="118">
        <f t="shared" si="17"/>
        <v>28</v>
      </c>
      <c r="G60" s="118">
        <f t="shared" si="17"/>
        <v>9</v>
      </c>
      <c r="H60" s="118">
        <f t="shared" si="17"/>
        <v>5748</v>
      </c>
      <c r="I60" s="118">
        <f t="shared" si="17"/>
        <v>4344</v>
      </c>
      <c r="J60" s="118">
        <f t="shared" si="17"/>
        <v>1404</v>
      </c>
      <c r="K60" s="120" t="s">
        <v>188</v>
      </c>
    </row>
    <row r="61" spans="2:11" ht="15.75" customHeight="1" thickBot="1" x14ac:dyDescent="0.25">
      <c r="B61" s="534" t="s">
        <v>4</v>
      </c>
      <c r="C61" s="534"/>
      <c r="D61" s="534"/>
      <c r="E61" s="534" t="s">
        <v>145</v>
      </c>
      <c r="F61" s="534"/>
      <c r="G61" s="534"/>
      <c r="H61" s="534" t="s">
        <v>146</v>
      </c>
      <c r="I61" s="534"/>
      <c r="J61" s="534"/>
      <c r="K61" s="257" t="s">
        <v>66</v>
      </c>
    </row>
    <row r="62" spans="2:11" ht="15.75" customHeight="1" thickBot="1" x14ac:dyDescent="0.25">
      <c r="B62" s="186" t="s">
        <v>227</v>
      </c>
      <c r="C62" s="186" t="s">
        <v>10</v>
      </c>
      <c r="D62" s="186" t="s">
        <v>9</v>
      </c>
      <c r="E62" s="186" t="s">
        <v>227</v>
      </c>
      <c r="F62" s="186" t="s">
        <v>10</v>
      </c>
      <c r="G62" s="186" t="s">
        <v>9</v>
      </c>
      <c r="H62" s="186" t="s">
        <v>227</v>
      </c>
      <c r="I62" s="186" t="s">
        <v>10</v>
      </c>
      <c r="J62" s="186" t="s">
        <v>9</v>
      </c>
      <c r="K62" s="117" t="s">
        <v>75</v>
      </c>
    </row>
    <row r="63" spans="2:11" ht="15.75" customHeight="1" thickBot="1" x14ac:dyDescent="0.25">
      <c r="B63" s="186">
        <f t="shared" ref="B63:B74" si="18">SUM(C63:D63)</f>
        <v>69</v>
      </c>
      <c r="C63" s="186">
        <f t="shared" ref="C63:D74" si="19">I63+F63</f>
        <v>0</v>
      </c>
      <c r="D63" s="186">
        <f t="shared" si="19"/>
        <v>69</v>
      </c>
      <c r="E63" s="186">
        <f t="shared" ref="E63:E74" si="20">SUM(F63:G63)</f>
        <v>0</v>
      </c>
      <c r="F63" s="186">
        <v>0</v>
      </c>
      <c r="G63" s="186">
        <v>0</v>
      </c>
      <c r="H63" s="186">
        <f t="shared" ref="H63:H74" si="21">SUM(I63:J63)</f>
        <v>69</v>
      </c>
      <c r="I63" s="186">
        <v>0</v>
      </c>
      <c r="J63" s="186">
        <v>69</v>
      </c>
      <c r="K63" s="119" t="s">
        <v>624</v>
      </c>
    </row>
    <row r="64" spans="2:11" ht="15.75" customHeight="1" thickBot="1" x14ac:dyDescent="0.25">
      <c r="B64" s="186">
        <f t="shared" si="18"/>
        <v>451</v>
      </c>
      <c r="C64" s="186">
        <f t="shared" si="19"/>
        <v>0</v>
      </c>
      <c r="D64" s="186">
        <f t="shared" si="19"/>
        <v>451</v>
      </c>
      <c r="E64" s="186">
        <f t="shared" si="20"/>
        <v>0</v>
      </c>
      <c r="F64" s="186">
        <v>0</v>
      </c>
      <c r="G64" s="186">
        <v>0</v>
      </c>
      <c r="H64" s="186">
        <f t="shared" si="21"/>
        <v>451</v>
      </c>
      <c r="I64" s="186">
        <v>0</v>
      </c>
      <c r="J64" s="186">
        <f>273+178</f>
        <v>451</v>
      </c>
      <c r="K64" s="119" t="s">
        <v>94</v>
      </c>
    </row>
    <row r="65" spans="2:11" ht="15.75" customHeight="1" thickBot="1" x14ac:dyDescent="0.25">
      <c r="B65" s="186">
        <f t="shared" si="18"/>
        <v>903</v>
      </c>
      <c r="C65" s="186">
        <f t="shared" si="19"/>
        <v>0</v>
      </c>
      <c r="D65" s="186">
        <f t="shared" si="19"/>
        <v>903</v>
      </c>
      <c r="E65" s="186">
        <f t="shared" si="20"/>
        <v>4</v>
      </c>
      <c r="F65" s="186">
        <v>0</v>
      </c>
      <c r="G65" s="186">
        <v>4</v>
      </c>
      <c r="H65" s="186">
        <f t="shared" si="21"/>
        <v>899</v>
      </c>
      <c r="I65" s="186">
        <v>0</v>
      </c>
      <c r="J65" s="186">
        <f>1699-800</f>
        <v>899</v>
      </c>
      <c r="K65" s="119" t="s">
        <v>95</v>
      </c>
    </row>
    <row r="66" spans="2:11" ht="15.75" customHeight="1" thickBot="1" x14ac:dyDescent="0.25">
      <c r="B66" s="186">
        <f t="shared" si="18"/>
        <v>626</v>
      </c>
      <c r="C66" s="186">
        <f t="shared" si="19"/>
        <v>626</v>
      </c>
      <c r="D66" s="186">
        <f t="shared" si="19"/>
        <v>0</v>
      </c>
      <c r="E66" s="186">
        <f t="shared" si="20"/>
        <v>0</v>
      </c>
      <c r="F66" s="186">
        <v>0</v>
      </c>
      <c r="G66" s="186">
        <v>0</v>
      </c>
      <c r="H66" s="186">
        <f t="shared" si="21"/>
        <v>626</v>
      </c>
      <c r="I66" s="186">
        <v>626</v>
      </c>
      <c r="J66" s="186">
        <v>0</v>
      </c>
      <c r="K66" s="119" t="s">
        <v>96</v>
      </c>
    </row>
    <row r="67" spans="2:11" ht="15.75" customHeight="1" thickBot="1" x14ac:dyDescent="0.25">
      <c r="B67" s="186">
        <f t="shared" si="18"/>
        <v>886</v>
      </c>
      <c r="C67" s="186">
        <f t="shared" si="19"/>
        <v>886</v>
      </c>
      <c r="D67" s="186">
        <f t="shared" si="19"/>
        <v>0</v>
      </c>
      <c r="E67" s="186">
        <f t="shared" si="20"/>
        <v>1</v>
      </c>
      <c r="F67" s="186">
        <v>1</v>
      </c>
      <c r="G67" s="186">
        <v>0</v>
      </c>
      <c r="H67" s="186">
        <f t="shared" si="21"/>
        <v>885</v>
      </c>
      <c r="I67" s="186">
        <f>1085-200</f>
        <v>885</v>
      </c>
      <c r="J67" s="186">
        <v>0</v>
      </c>
      <c r="K67" s="119" t="s">
        <v>625</v>
      </c>
    </row>
    <row r="68" spans="2:11" ht="15.75" customHeight="1" thickBot="1" x14ac:dyDescent="0.25">
      <c r="B68" s="186">
        <f t="shared" si="18"/>
        <v>370</v>
      </c>
      <c r="C68" s="186">
        <f t="shared" si="19"/>
        <v>0</v>
      </c>
      <c r="D68" s="186">
        <f t="shared" si="19"/>
        <v>370</v>
      </c>
      <c r="E68" s="186">
        <f t="shared" si="20"/>
        <v>0</v>
      </c>
      <c r="F68" s="186">
        <v>0</v>
      </c>
      <c r="G68" s="186">
        <v>0</v>
      </c>
      <c r="H68" s="186">
        <f t="shared" si="21"/>
        <v>370</v>
      </c>
      <c r="I68" s="186">
        <v>0</v>
      </c>
      <c r="J68" s="186">
        <f>570-200</f>
        <v>370</v>
      </c>
      <c r="K68" s="119" t="s">
        <v>97</v>
      </c>
    </row>
    <row r="69" spans="2:11" ht="15.75" customHeight="1" thickBot="1" x14ac:dyDescent="0.25">
      <c r="B69" s="186">
        <f t="shared" si="18"/>
        <v>347</v>
      </c>
      <c r="C69" s="186">
        <f t="shared" si="19"/>
        <v>0</v>
      </c>
      <c r="D69" s="186">
        <f t="shared" si="19"/>
        <v>347</v>
      </c>
      <c r="E69" s="186">
        <f t="shared" si="20"/>
        <v>0</v>
      </c>
      <c r="F69" s="186">
        <v>0</v>
      </c>
      <c r="G69" s="186">
        <v>0</v>
      </c>
      <c r="H69" s="186">
        <f t="shared" si="21"/>
        <v>347</v>
      </c>
      <c r="I69" s="186">
        <v>0</v>
      </c>
      <c r="J69" s="186">
        <v>347</v>
      </c>
      <c r="K69" s="119" t="s">
        <v>98</v>
      </c>
    </row>
    <row r="70" spans="2:11" ht="15.75" customHeight="1" thickBot="1" x14ac:dyDescent="0.25">
      <c r="B70" s="118">
        <f t="shared" si="18"/>
        <v>77</v>
      </c>
      <c r="C70" s="186">
        <f t="shared" si="19"/>
        <v>77</v>
      </c>
      <c r="D70" s="186">
        <f t="shared" si="19"/>
        <v>0</v>
      </c>
      <c r="E70" s="118">
        <f t="shared" si="20"/>
        <v>0</v>
      </c>
      <c r="F70" s="118">
        <v>0</v>
      </c>
      <c r="G70" s="118">
        <v>0</v>
      </c>
      <c r="H70" s="186">
        <f t="shared" si="21"/>
        <v>77</v>
      </c>
      <c r="I70" s="118">
        <v>77</v>
      </c>
      <c r="J70" s="118">
        <v>0</v>
      </c>
      <c r="K70" s="123" t="s">
        <v>199</v>
      </c>
    </row>
    <row r="71" spans="2:11" ht="15.75" customHeight="1" thickBot="1" x14ac:dyDescent="0.25">
      <c r="B71" s="186">
        <f t="shared" si="18"/>
        <v>803</v>
      </c>
      <c r="C71" s="186">
        <f t="shared" si="19"/>
        <v>461</v>
      </c>
      <c r="D71" s="186">
        <f t="shared" si="19"/>
        <v>342</v>
      </c>
      <c r="E71" s="186">
        <f t="shared" si="20"/>
        <v>0</v>
      </c>
      <c r="F71" s="186">
        <v>0</v>
      </c>
      <c r="G71" s="186">
        <v>0</v>
      </c>
      <c r="H71" s="186">
        <f t="shared" si="21"/>
        <v>803</v>
      </c>
      <c r="I71" s="186">
        <v>461</v>
      </c>
      <c r="J71" s="186">
        <v>342</v>
      </c>
      <c r="K71" s="123" t="s">
        <v>270</v>
      </c>
    </row>
    <row r="72" spans="2:11" ht="15.75" customHeight="1" thickBot="1" x14ac:dyDescent="0.25">
      <c r="B72" s="186">
        <f t="shared" si="18"/>
        <v>107</v>
      </c>
      <c r="C72" s="186">
        <f t="shared" si="19"/>
        <v>107</v>
      </c>
      <c r="D72" s="186">
        <f t="shared" si="19"/>
        <v>0</v>
      </c>
      <c r="E72" s="186">
        <f t="shared" si="20"/>
        <v>0</v>
      </c>
      <c r="F72" s="186">
        <v>0</v>
      </c>
      <c r="G72" s="186">
        <v>0</v>
      </c>
      <c r="H72" s="186">
        <f t="shared" si="21"/>
        <v>107</v>
      </c>
      <c r="I72" s="186">
        <v>107</v>
      </c>
      <c r="J72" s="186">
        <v>0</v>
      </c>
      <c r="K72" s="123" t="s">
        <v>271</v>
      </c>
    </row>
    <row r="73" spans="2:11" ht="15.75" customHeight="1" thickBot="1" x14ac:dyDescent="0.25">
      <c r="B73" s="186">
        <f t="shared" si="18"/>
        <v>222</v>
      </c>
      <c r="C73" s="186">
        <f t="shared" si="19"/>
        <v>222</v>
      </c>
      <c r="D73" s="186">
        <f t="shared" si="19"/>
        <v>0</v>
      </c>
      <c r="E73" s="186">
        <f t="shared" si="20"/>
        <v>0</v>
      </c>
      <c r="F73" s="186">
        <v>0</v>
      </c>
      <c r="G73" s="186">
        <v>0</v>
      </c>
      <c r="H73" s="186">
        <f t="shared" si="21"/>
        <v>222</v>
      </c>
      <c r="I73" s="186">
        <v>222</v>
      </c>
      <c r="J73" s="186">
        <v>0</v>
      </c>
      <c r="K73" s="123" t="s">
        <v>272</v>
      </c>
    </row>
    <row r="74" spans="2:11" ht="15.75" customHeight="1" thickBot="1" x14ac:dyDescent="0.25">
      <c r="B74" s="186">
        <f t="shared" si="18"/>
        <v>112</v>
      </c>
      <c r="C74" s="186">
        <f t="shared" si="19"/>
        <v>112</v>
      </c>
      <c r="D74" s="186">
        <f t="shared" si="19"/>
        <v>0</v>
      </c>
      <c r="E74" s="186">
        <f t="shared" si="20"/>
        <v>0</v>
      </c>
      <c r="F74" s="186">
        <v>0</v>
      </c>
      <c r="G74" s="186">
        <v>0</v>
      </c>
      <c r="H74" s="186">
        <f t="shared" si="21"/>
        <v>112</v>
      </c>
      <c r="I74" s="186">
        <v>112</v>
      </c>
      <c r="J74" s="186">
        <v>0</v>
      </c>
      <c r="K74" s="123" t="s">
        <v>269</v>
      </c>
    </row>
    <row r="75" spans="2:11" ht="15.75" customHeight="1" thickBot="1" x14ac:dyDescent="0.25">
      <c r="B75" s="186">
        <f t="shared" ref="B75:J75" si="22">SUM(B63:B74)</f>
        <v>4973</v>
      </c>
      <c r="C75" s="186">
        <f t="shared" si="22"/>
        <v>2491</v>
      </c>
      <c r="D75" s="186">
        <f t="shared" si="22"/>
        <v>2482</v>
      </c>
      <c r="E75" s="186">
        <f t="shared" si="22"/>
        <v>5</v>
      </c>
      <c r="F75" s="186">
        <f t="shared" si="22"/>
        <v>1</v>
      </c>
      <c r="G75" s="186">
        <f t="shared" si="22"/>
        <v>4</v>
      </c>
      <c r="H75" s="186">
        <f t="shared" si="22"/>
        <v>4968</v>
      </c>
      <c r="I75" s="186">
        <f t="shared" si="22"/>
        <v>2490</v>
      </c>
      <c r="J75" s="186">
        <f t="shared" si="22"/>
        <v>2478</v>
      </c>
      <c r="K75" s="117" t="s">
        <v>188</v>
      </c>
    </row>
    <row r="76" spans="2:11" ht="15.75" customHeight="1" thickBot="1" x14ac:dyDescent="0.25">
      <c r="B76" s="534" t="s">
        <v>4</v>
      </c>
      <c r="C76" s="534"/>
      <c r="D76" s="534"/>
      <c r="E76" s="534" t="s">
        <v>145</v>
      </c>
      <c r="F76" s="534"/>
      <c r="G76" s="534"/>
      <c r="H76" s="534" t="s">
        <v>146</v>
      </c>
      <c r="I76" s="534"/>
      <c r="J76" s="534"/>
      <c r="K76" s="257" t="s">
        <v>66</v>
      </c>
    </row>
    <row r="77" spans="2:11" ht="15.75" customHeight="1" thickBot="1" x14ac:dyDescent="0.25">
      <c r="B77" s="186" t="s">
        <v>227</v>
      </c>
      <c r="C77" s="186" t="s">
        <v>10</v>
      </c>
      <c r="D77" s="186" t="s">
        <v>9</v>
      </c>
      <c r="E77" s="186" t="s">
        <v>227</v>
      </c>
      <c r="F77" s="186" t="s">
        <v>10</v>
      </c>
      <c r="G77" s="186" t="s">
        <v>9</v>
      </c>
      <c r="H77" s="186" t="s">
        <v>227</v>
      </c>
      <c r="I77" s="186" t="s">
        <v>10</v>
      </c>
      <c r="J77" s="186" t="s">
        <v>9</v>
      </c>
      <c r="K77" s="117" t="s">
        <v>100</v>
      </c>
    </row>
    <row r="78" spans="2:11" ht="15.75" customHeight="1" thickBot="1" x14ac:dyDescent="0.25">
      <c r="B78" s="118">
        <f>SUM(C78:D78)</f>
        <v>144</v>
      </c>
      <c r="C78" s="118">
        <f t="shared" ref="C78:D81" si="23">I78+F78</f>
        <v>0</v>
      </c>
      <c r="D78" s="118">
        <f t="shared" si="23"/>
        <v>144</v>
      </c>
      <c r="E78" s="118">
        <f>SUM(F78:G78)</f>
        <v>0</v>
      </c>
      <c r="F78" s="118">
        <v>0</v>
      </c>
      <c r="G78" s="118">
        <v>0</v>
      </c>
      <c r="H78" s="118">
        <f>SUM(I78:J78)</f>
        <v>144</v>
      </c>
      <c r="I78" s="118">
        <v>0</v>
      </c>
      <c r="J78" s="118">
        <f>194-50</f>
        <v>144</v>
      </c>
      <c r="K78" s="119" t="s">
        <v>469</v>
      </c>
    </row>
    <row r="79" spans="2:11" ht="15.75" customHeight="1" thickBot="1" x14ac:dyDescent="0.25">
      <c r="B79" s="118">
        <f>SUM(C79:D79)</f>
        <v>726</v>
      </c>
      <c r="C79" s="118">
        <f t="shared" si="23"/>
        <v>0</v>
      </c>
      <c r="D79" s="118">
        <f t="shared" si="23"/>
        <v>726</v>
      </c>
      <c r="E79" s="118">
        <f>SUM(F79:G79)</f>
        <v>0</v>
      </c>
      <c r="F79" s="118">
        <v>0</v>
      </c>
      <c r="G79" s="118">
        <v>0</v>
      </c>
      <c r="H79" s="118">
        <f>SUM(I79:J79)</f>
        <v>726</v>
      </c>
      <c r="I79" s="118">
        <v>0</v>
      </c>
      <c r="J79" s="118">
        <f>1126-400</f>
        <v>726</v>
      </c>
      <c r="K79" s="119" t="s">
        <v>99</v>
      </c>
    </row>
    <row r="80" spans="2:11" ht="15.75" customHeight="1" thickBot="1" x14ac:dyDescent="0.25">
      <c r="B80" s="118">
        <f>SUM(C80:D80)</f>
        <v>295</v>
      </c>
      <c r="C80" s="118">
        <f t="shared" si="23"/>
        <v>286</v>
      </c>
      <c r="D80" s="118">
        <f t="shared" si="23"/>
        <v>9</v>
      </c>
      <c r="E80" s="118">
        <f>SUM(F80:G80)</f>
        <v>0</v>
      </c>
      <c r="F80" s="118">
        <v>0</v>
      </c>
      <c r="G80" s="118">
        <v>0</v>
      </c>
      <c r="H80" s="118">
        <f>SUM(I80:J80)</f>
        <v>295</v>
      </c>
      <c r="I80" s="118">
        <f>452-220-100+154</f>
        <v>286</v>
      </c>
      <c r="J80" s="118">
        <v>9</v>
      </c>
      <c r="K80" s="119" t="s">
        <v>626</v>
      </c>
    </row>
    <row r="81" spans="2:11" ht="15.75" customHeight="1" thickBot="1" x14ac:dyDescent="0.25">
      <c r="B81" s="118">
        <f>SUM(C81:D81)</f>
        <v>312</v>
      </c>
      <c r="C81" s="118">
        <f t="shared" si="23"/>
        <v>0</v>
      </c>
      <c r="D81" s="118">
        <f t="shared" si="23"/>
        <v>312</v>
      </c>
      <c r="E81" s="118">
        <f>SUM(F81:G81)</f>
        <v>0</v>
      </c>
      <c r="F81" s="118">
        <v>0</v>
      </c>
      <c r="G81" s="118">
        <v>0</v>
      </c>
      <c r="H81" s="118">
        <f>SUM(I81:J81)</f>
        <v>312</v>
      </c>
      <c r="I81" s="118">
        <v>0</v>
      </c>
      <c r="J81" s="118">
        <f>362-50</f>
        <v>312</v>
      </c>
      <c r="K81" s="119" t="s">
        <v>101</v>
      </c>
    </row>
    <row r="82" spans="2:11" ht="15.75" customHeight="1" thickBot="1" x14ac:dyDescent="0.25">
      <c r="B82" s="118">
        <f t="shared" ref="B82:J82" si="24">SUM(B78:B81)</f>
        <v>1477</v>
      </c>
      <c r="C82" s="118">
        <f t="shared" si="24"/>
        <v>286</v>
      </c>
      <c r="D82" s="118">
        <f t="shared" si="24"/>
        <v>1191</v>
      </c>
      <c r="E82" s="118">
        <f t="shared" si="24"/>
        <v>0</v>
      </c>
      <c r="F82" s="118">
        <f t="shared" si="24"/>
        <v>0</v>
      </c>
      <c r="G82" s="118">
        <f t="shared" si="24"/>
        <v>0</v>
      </c>
      <c r="H82" s="118">
        <f t="shared" si="24"/>
        <v>1477</v>
      </c>
      <c r="I82" s="118">
        <f t="shared" si="24"/>
        <v>286</v>
      </c>
      <c r="J82" s="118">
        <f t="shared" si="24"/>
        <v>1191</v>
      </c>
      <c r="K82" s="117" t="s">
        <v>188</v>
      </c>
    </row>
    <row r="83" spans="2:11" ht="15.75" customHeight="1" thickBot="1" x14ac:dyDescent="0.25">
      <c r="B83" s="534" t="s">
        <v>4</v>
      </c>
      <c r="C83" s="534"/>
      <c r="D83" s="534"/>
      <c r="E83" s="534" t="s">
        <v>145</v>
      </c>
      <c r="F83" s="534"/>
      <c r="G83" s="534"/>
      <c r="H83" s="534" t="s">
        <v>146</v>
      </c>
      <c r="I83" s="534"/>
      <c r="J83" s="534"/>
      <c r="K83" s="257" t="s">
        <v>66</v>
      </c>
    </row>
    <row r="84" spans="2:11" ht="15.75" customHeight="1" thickBot="1" x14ac:dyDescent="0.25">
      <c r="B84" s="186" t="s">
        <v>227</v>
      </c>
      <c r="C84" s="186" t="s">
        <v>10</v>
      </c>
      <c r="D84" s="186" t="s">
        <v>9</v>
      </c>
      <c r="E84" s="186" t="s">
        <v>227</v>
      </c>
      <c r="F84" s="186" t="s">
        <v>10</v>
      </c>
      <c r="G84" s="186" t="s">
        <v>9</v>
      </c>
      <c r="H84" s="186" t="s">
        <v>227</v>
      </c>
      <c r="I84" s="186" t="s">
        <v>10</v>
      </c>
      <c r="J84" s="186" t="s">
        <v>9</v>
      </c>
      <c r="K84" s="117" t="s">
        <v>76</v>
      </c>
    </row>
    <row r="85" spans="2:11" ht="15.75" customHeight="1" thickBot="1" x14ac:dyDescent="0.25">
      <c r="B85" s="118">
        <f>SUM(C85:D85)</f>
        <v>646</v>
      </c>
      <c r="C85" s="118">
        <f>I85+F85</f>
        <v>646</v>
      </c>
      <c r="D85" s="118">
        <f>J85+G85</f>
        <v>0</v>
      </c>
      <c r="E85" s="118">
        <f>SUM(F85:G85)</f>
        <v>0</v>
      </c>
      <c r="F85" s="118">
        <v>0</v>
      </c>
      <c r="G85" s="118">
        <v>0</v>
      </c>
      <c r="H85" s="118">
        <f>SUM(I85:J85)</f>
        <v>646</v>
      </c>
      <c r="I85" s="118">
        <f>946-300</f>
        <v>646</v>
      </c>
      <c r="J85" s="118">
        <v>0</v>
      </c>
      <c r="K85" s="119" t="s">
        <v>102</v>
      </c>
    </row>
    <row r="86" spans="2:11" ht="15.75" customHeight="1" thickBot="1" x14ac:dyDescent="0.25">
      <c r="B86" s="118">
        <f t="shared" ref="B86:B87" si="25">SUM(C86:D86)</f>
        <v>1412</v>
      </c>
      <c r="C86" s="118">
        <f t="shared" ref="C86:D87" si="26">I86+F86</f>
        <v>528</v>
      </c>
      <c r="D86" s="118">
        <f t="shared" si="26"/>
        <v>884</v>
      </c>
      <c r="E86" s="118">
        <f t="shared" ref="E86:E87" si="27">SUM(F86:G86)</f>
        <v>33</v>
      </c>
      <c r="F86" s="118">
        <v>19</v>
      </c>
      <c r="G86" s="118">
        <v>14</v>
      </c>
      <c r="H86" s="118">
        <f t="shared" ref="H86:H87" si="28">SUM(I86:J86)</f>
        <v>1379</v>
      </c>
      <c r="I86" s="118">
        <f>1009-500</f>
        <v>509</v>
      </c>
      <c r="J86" s="118">
        <f>1190-320</f>
        <v>870</v>
      </c>
      <c r="K86" s="119" t="s">
        <v>103</v>
      </c>
    </row>
    <row r="87" spans="2:11" ht="15.75" customHeight="1" thickBot="1" x14ac:dyDescent="0.25">
      <c r="B87" s="118">
        <f t="shared" si="25"/>
        <v>999</v>
      </c>
      <c r="C87" s="118">
        <f t="shared" si="26"/>
        <v>668</v>
      </c>
      <c r="D87" s="118">
        <f t="shared" si="26"/>
        <v>331</v>
      </c>
      <c r="E87" s="118">
        <f t="shared" si="27"/>
        <v>22</v>
      </c>
      <c r="F87" s="118">
        <v>17</v>
      </c>
      <c r="G87" s="118">
        <v>5</v>
      </c>
      <c r="H87" s="118">
        <f t="shared" si="28"/>
        <v>977</v>
      </c>
      <c r="I87" s="118">
        <f>951-300</f>
        <v>651</v>
      </c>
      <c r="J87" s="118">
        <f>626-300</f>
        <v>326</v>
      </c>
      <c r="K87" s="119" t="s">
        <v>189</v>
      </c>
    </row>
    <row r="88" spans="2:11" ht="15.75" customHeight="1" thickBot="1" x14ac:dyDescent="0.25">
      <c r="B88" s="118">
        <f t="shared" ref="B88:I88" si="29">SUM(B85:B87)</f>
        <v>3057</v>
      </c>
      <c r="C88" s="118">
        <f t="shared" si="29"/>
        <v>1842</v>
      </c>
      <c r="D88" s="118">
        <f t="shared" si="29"/>
        <v>1215</v>
      </c>
      <c r="E88" s="118">
        <f t="shared" si="29"/>
        <v>55</v>
      </c>
      <c r="F88" s="118">
        <f t="shared" si="29"/>
        <v>36</v>
      </c>
      <c r="G88" s="118">
        <f t="shared" si="29"/>
        <v>19</v>
      </c>
      <c r="H88" s="118">
        <f t="shared" si="29"/>
        <v>3002</v>
      </c>
      <c r="I88" s="118">
        <f t="shared" si="29"/>
        <v>1806</v>
      </c>
      <c r="J88" s="118">
        <f>SUM(J85:J87)</f>
        <v>1196</v>
      </c>
      <c r="K88" s="117" t="s">
        <v>188</v>
      </c>
    </row>
    <row r="89" spans="2:11" ht="15.75" customHeight="1" thickBot="1" x14ac:dyDescent="0.25">
      <c r="B89" s="534" t="s">
        <v>4</v>
      </c>
      <c r="C89" s="534"/>
      <c r="D89" s="534"/>
      <c r="E89" s="534" t="s">
        <v>145</v>
      </c>
      <c r="F89" s="534"/>
      <c r="G89" s="534"/>
      <c r="H89" s="534" t="s">
        <v>146</v>
      </c>
      <c r="I89" s="534"/>
      <c r="J89" s="534"/>
      <c r="K89" s="257" t="s">
        <v>66</v>
      </c>
    </row>
    <row r="90" spans="2:11" ht="15.75" customHeight="1" thickBot="1" x14ac:dyDescent="0.25">
      <c r="B90" s="186" t="s">
        <v>227</v>
      </c>
      <c r="C90" s="186" t="s">
        <v>10</v>
      </c>
      <c r="D90" s="186" t="s">
        <v>9</v>
      </c>
      <c r="E90" s="186" t="s">
        <v>227</v>
      </c>
      <c r="F90" s="186" t="s">
        <v>10</v>
      </c>
      <c r="G90" s="186" t="s">
        <v>9</v>
      </c>
      <c r="H90" s="186" t="s">
        <v>227</v>
      </c>
      <c r="I90" s="186" t="s">
        <v>10</v>
      </c>
      <c r="J90" s="186" t="s">
        <v>9</v>
      </c>
      <c r="K90" s="117" t="s">
        <v>77</v>
      </c>
    </row>
    <row r="91" spans="2:11" ht="15.75" customHeight="1" thickBot="1" x14ac:dyDescent="0.25">
      <c r="B91" s="118">
        <f>SUM(C91:D91)</f>
        <v>130</v>
      </c>
      <c r="C91" s="118">
        <f t="shared" ref="C91:D94" si="30">I91+F91</f>
        <v>0</v>
      </c>
      <c r="D91" s="118">
        <f t="shared" si="30"/>
        <v>130</v>
      </c>
      <c r="E91" s="118">
        <f>SUM(F91:G91)</f>
        <v>0</v>
      </c>
      <c r="F91" s="118">
        <v>0</v>
      </c>
      <c r="G91" s="118">
        <v>0</v>
      </c>
      <c r="H91" s="118">
        <f>SUM(I91:J91)</f>
        <v>130</v>
      </c>
      <c r="I91" s="118">
        <v>0</v>
      </c>
      <c r="J91" s="118">
        <f>230-100</f>
        <v>130</v>
      </c>
      <c r="K91" s="119" t="s">
        <v>274</v>
      </c>
    </row>
    <row r="92" spans="2:11" ht="15.75" customHeight="1" thickBot="1" x14ac:dyDescent="0.25">
      <c r="B92" s="118">
        <f>SUM(C92:D92)</f>
        <v>688</v>
      </c>
      <c r="C92" s="118">
        <f t="shared" si="30"/>
        <v>373</v>
      </c>
      <c r="D92" s="118">
        <f t="shared" si="30"/>
        <v>315</v>
      </c>
      <c r="E92" s="118">
        <f>SUM(F92:G92)</f>
        <v>4</v>
      </c>
      <c r="F92" s="118">
        <v>1</v>
      </c>
      <c r="G92" s="118">
        <v>3</v>
      </c>
      <c r="H92" s="118">
        <f>SUM(I92:J92)</f>
        <v>684</v>
      </c>
      <c r="I92" s="118">
        <f>1297-700-225</f>
        <v>372</v>
      </c>
      <c r="J92" s="118">
        <f>512-200</f>
        <v>312</v>
      </c>
      <c r="K92" s="119" t="s">
        <v>67</v>
      </c>
    </row>
    <row r="93" spans="2:11" ht="15.75" customHeight="1" thickBot="1" x14ac:dyDescent="0.25">
      <c r="B93" s="118">
        <f>SUM(C93:D93)</f>
        <v>258</v>
      </c>
      <c r="C93" s="118">
        <f t="shared" si="30"/>
        <v>258</v>
      </c>
      <c r="D93" s="118">
        <f t="shared" si="30"/>
        <v>0</v>
      </c>
      <c r="E93" s="118">
        <f>SUM(F93:G93)</f>
        <v>0</v>
      </c>
      <c r="F93" s="118">
        <v>0</v>
      </c>
      <c r="G93" s="118">
        <v>0</v>
      </c>
      <c r="H93" s="118">
        <f>SUM(I93:J93)</f>
        <v>258</v>
      </c>
      <c r="I93" s="118">
        <f>510-252</f>
        <v>258</v>
      </c>
      <c r="J93" s="118">
        <v>0</v>
      </c>
      <c r="K93" s="119" t="s">
        <v>104</v>
      </c>
    </row>
    <row r="94" spans="2:11" ht="15.75" customHeight="1" thickBot="1" x14ac:dyDescent="0.25">
      <c r="B94" s="118">
        <f>SUM(C94:D94)</f>
        <v>850</v>
      </c>
      <c r="C94" s="118">
        <f t="shared" si="30"/>
        <v>359</v>
      </c>
      <c r="D94" s="118">
        <f t="shared" si="30"/>
        <v>491</v>
      </c>
      <c r="E94" s="118">
        <f>SUM(F94:G94)</f>
        <v>0</v>
      </c>
      <c r="F94" s="118">
        <v>0</v>
      </c>
      <c r="G94" s="118">
        <v>0</v>
      </c>
      <c r="H94" s="118">
        <f>SUM(I94:J94)</f>
        <v>850</v>
      </c>
      <c r="I94" s="118">
        <f>1284-700-225</f>
        <v>359</v>
      </c>
      <c r="J94" s="118">
        <f>691-200</f>
        <v>491</v>
      </c>
      <c r="K94" s="119" t="s">
        <v>275</v>
      </c>
    </row>
    <row r="95" spans="2:11" ht="15.75" customHeight="1" thickBot="1" x14ac:dyDescent="0.25">
      <c r="B95" s="118">
        <f t="shared" ref="B95:J95" si="31">SUM(B91:B94)</f>
        <v>1926</v>
      </c>
      <c r="C95" s="118">
        <f t="shared" si="31"/>
        <v>990</v>
      </c>
      <c r="D95" s="118">
        <f t="shared" si="31"/>
        <v>936</v>
      </c>
      <c r="E95" s="118">
        <f t="shared" si="31"/>
        <v>4</v>
      </c>
      <c r="F95" s="118">
        <f t="shared" si="31"/>
        <v>1</v>
      </c>
      <c r="G95" s="118">
        <f t="shared" si="31"/>
        <v>3</v>
      </c>
      <c r="H95" s="118">
        <f t="shared" si="31"/>
        <v>1922</v>
      </c>
      <c r="I95" s="118">
        <f t="shared" si="31"/>
        <v>989</v>
      </c>
      <c r="J95" s="118">
        <f t="shared" si="31"/>
        <v>933</v>
      </c>
      <c r="K95" s="117" t="s">
        <v>188</v>
      </c>
    </row>
    <row r="96" spans="2:11" ht="15.75" customHeight="1" thickBot="1" x14ac:dyDescent="0.25">
      <c r="B96" s="534" t="s">
        <v>4</v>
      </c>
      <c r="C96" s="534"/>
      <c r="D96" s="534"/>
      <c r="E96" s="534" t="s">
        <v>145</v>
      </c>
      <c r="F96" s="534"/>
      <c r="G96" s="534"/>
      <c r="H96" s="534" t="s">
        <v>146</v>
      </c>
      <c r="I96" s="534"/>
      <c r="J96" s="534"/>
      <c r="K96" s="257" t="s">
        <v>66</v>
      </c>
    </row>
    <row r="97" spans="2:11" ht="15.75" customHeight="1" thickBot="1" x14ac:dyDescent="0.25">
      <c r="B97" s="186" t="s">
        <v>227</v>
      </c>
      <c r="C97" s="186" t="s">
        <v>10</v>
      </c>
      <c r="D97" s="186" t="s">
        <v>9</v>
      </c>
      <c r="E97" s="186" t="s">
        <v>227</v>
      </c>
      <c r="F97" s="186" t="s">
        <v>10</v>
      </c>
      <c r="G97" s="186" t="s">
        <v>9</v>
      </c>
      <c r="H97" s="186" t="s">
        <v>227</v>
      </c>
      <c r="I97" s="186" t="s">
        <v>10</v>
      </c>
      <c r="J97" s="186" t="s">
        <v>9</v>
      </c>
      <c r="K97" s="117" t="s">
        <v>111</v>
      </c>
    </row>
    <row r="98" spans="2:11" ht="15.75" customHeight="1" thickBot="1" x14ac:dyDescent="0.25">
      <c r="B98" s="118">
        <f>SUM(C98:D98)</f>
        <v>762</v>
      </c>
      <c r="C98" s="118">
        <f>I98+F98</f>
        <v>0</v>
      </c>
      <c r="D98" s="118">
        <f>J98+G98</f>
        <v>762</v>
      </c>
      <c r="E98" s="118">
        <f>SUM(F98:G98)</f>
        <v>0</v>
      </c>
      <c r="F98" s="118">
        <v>0</v>
      </c>
      <c r="G98" s="118">
        <v>0</v>
      </c>
      <c r="H98" s="118">
        <f>SUM(I98:J98)</f>
        <v>762</v>
      </c>
      <c r="I98" s="118">
        <v>0</v>
      </c>
      <c r="J98" s="118">
        <v>762</v>
      </c>
      <c r="K98" s="119" t="s">
        <v>110</v>
      </c>
    </row>
    <row r="99" spans="2:11" ht="15.75" customHeight="1" thickBot="1" x14ac:dyDescent="0.25">
      <c r="B99" s="118">
        <f t="shared" ref="B99:B103" si="32">SUM(C99:D99)</f>
        <v>294</v>
      </c>
      <c r="C99" s="118">
        <f t="shared" ref="C99:D103" si="33">I99+F99</f>
        <v>294</v>
      </c>
      <c r="D99" s="118">
        <f t="shared" si="33"/>
        <v>0</v>
      </c>
      <c r="E99" s="118">
        <f t="shared" ref="E99:E103" si="34">SUM(F99:G99)</f>
        <v>0</v>
      </c>
      <c r="F99" s="118">
        <v>0</v>
      </c>
      <c r="G99" s="118">
        <v>0</v>
      </c>
      <c r="H99" s="118">
        <f t="shared" ref="H99:H103" si="35">SUM(I99:J99)</f>
        <v>294</v>
      </c>
      <c r="I99" s="118">
        <f>394-100</f>
        <v>294</v>
      </c>
      <c r="J99" s="118">
        <v>0</v>
      </c>
      <c r="K99" s="119" t="s">
        <v>112</v>
      </c>
    </row>
    <row r="100" spans="2:11" ht="15.75" customHeight="1" thickBot="1" x14ac:dyDescent="0.25">
      <c r="B100" s="118">
        <f t="shared" si="32"/>
        <v>294</v>
      </c>
      <c r="C100" s="118">
        <f t="shared" si="33"/>
        <v>294</v>
      </c>
      <c r="D100" s="118">
        <f t="shared" si="33"/>
        <v>0</v>
      </c>
      <c r="E100" s="118">
        <f t="shared" si="34"/>
        <v>0</v>
      </c>
      <c r="F100" s="118">
        <v>0</v>
      </c>
      <c r="G100" s="118">
        <v>0</v>
      </c>
      <c r="H100" s="118">
        <f t="shared" si="35"/>
        <v>294</v>
      </c>
      <c r="I100" s="118">
        <f>394-100</f>
        <v>294</v>
      </c>
      <c r="J100" s="118">
        <v>0</v>
      </c>
      <c r="K100" s="119" t="s">
        <v>113</v>
      </c>
    </row>
    <row r="101" spans="2:11" ht="15.75" customHeight="1" thickBot="1" x14ac:dyDescent="0.25">
      <c r="B101" s="118">
        <f t="shared" si="32"/>
        <v>189</v>
      </c>
      <c r="C101" s="118">
        <f t="shared" si="33"/>
        <v>189</v>
      </c>
      <c r="D101" s="118">
        <f t="shared" si="33"/>
        <v>0</v>
      </c>
      <c r="E101" s="118">
        <f t="shared" si="34"/>
        <v>0</v>
      </c>
      <c r="F101" s="118">
        <v>0</v>
      </c>
      <c r="G101" s="118">
        <v>0</v>
      </c>
      <c r="H101" s="118">
        <f t="shared" si="35"/>
        <v>189</v>
      </c>
      <c r="I101" s="118">
        <v>189</v>
      </c>
      <c r="J101" s="118">
        <v>0</v>
      </c>
      <c r="K101" s="119" t="s">
        <v>276</v>
      </c>
    </row>
    <row r="102" spans="2:11" ht="15.75" customHeight="1" thickBot="1" x14ac:dyDescent="0.25">
      <c r="B102" s="118">
        <f t="shared" si="32"/>
        <v>82</v>
      </c>
      <c r="C102" s="118">
        <f t="shared" si="33"/>
        <v>0</v>
      </c>
      <c r="D102" s="118">
        <f t="shared" si="33"/>
        <v>82</v>
      </c>
      <c r="E102" s="118">
        <f t="shared" si="34"/>
        <v>0</v>
      </c>
      <c r="F102" s="118">
        <v>0</v>
      </c>
      <c r="G102" s="118">
        <v>0</v>
      </c>
      <c r="H102" s="118">
        <f t="shared" si="35"/>
        <v>82</v>
      </c>
      <c r="I102" s="118">
        <v>0</v>
      </c>
      <c r="J102" s="118">
        <v>82</v>
      </c>
      <c r="K102" s="119" t="s">
        <v>627</v>
      </c>
    </row>
    <row r="103" spans="2:11" ht="15.75" customHeight="1" thickBot="1" x14ac:dyDescent="0.25">
      <c r="B103" s="118">
        <f t="shared" si="32"/>
        <v>121</v>
      </c>
      <c r="C103" s="118">
        <f t="shared" si="33"/>
        <v>121</v>
      </c>
      <c r="D103" s="118">
        <f t="shared" si="33"/>
        <v>0</v>
      </c>
      <c r="E103" s="118">
        <f t="shared" si="34"/>
        <v>0</v>
      </c>
      <c r="F103" s="118">
        <v>0</v>
      </c>
      <c r="G103" s="118">
        <v>0</v>
      </c>
      <c r="H103" s="118">
        <f t="shared" si="35"/>
        <v>121</v>
      </c>
      <c r="I103" s="118">
        <v>121</v>
      </c>
      <c r="J103" s="118">
        <v>0</v>
      </c>
      <c r="K103" s="119" t="s">
        <v>278</v>
      </c>
    </row>
    <row r="104" spans="2:11" ht="15.75" customHeight="1" thickBot="1" x14ac:dyDescent="0.25">
      <c r="B104" s="118">
        <f t="shared" ref="B104:I104" si="36">SUM(B98:B103)</f>
        <v>1742</v>
      </c>
      <c r="C104" s="118">
        <f t="shared" si="36"/>
        <v>898</v>
      </c>
      <c r="D104" s="118">
        <f t="shared" si="36"/>
        <v>844</v>
      </c>
      <c r="E104" s="118">
        <f t="shared" si="36"/>
        <v>0</v>
      </c>
      <c r="F104" s="118">
        <f t="shared" si="36"/>
        <v>0</v>
      </c>
      <c r="G104" s="118">
        <f t="shared" si="36"/>
        <v>0</v>
      </c>
      <c r="H104" s="118">
        <f t="shared" si="36"/>
        <v>1742</v>
      </c>
      <c r="I104" s="118">
        <f t="shared" si="36"/>
        <v>898</v>
      </c>
      <c r="J104" s="118">
        <f>SUM(J98:J103)</f>
        <v>844</v>
      </c>
      <c r="K104" s="117" t="s">
        <v>188</v>
      </c>
    </row>
    <row r="105" spans="2:11" ht="15.75" customHeight="1" thickBot="1" x14ac:dyDescent="0.25">
      <c r="B105" s="534" t="s">
        <v>4</v>
      </c>
      <c r="C105" s="534"/>
      <c r="D105" s="534"/>
      <c r="E105" s="534" t="s">
        <v>145</v>
      </c>
      <c r="F105" s="534"/>
      <c r="G105" s="534"/>
      <c r="H105" s="534" t="s">
        <v>146</v>
      </c>
      <c r="I105" s="534"/>
      <c r="J105" s="534"/>
      <c r="K105" s="257" t="s">
        <v>66</v>
      </c>
    </row>
    <row r="106" spans="2:11" ht="15.75" customHeight="1" thickBot="1" x14ac:dyDescent="0.25">
      <c r="B106" s="186" t="s">
        <v>227</v>
      </c>
      <c r="C106" s="186" t="s">
        <v>10</v>
      </c>
      <c r="D106" s="186" t="s">
        <v>9</v>
      </c>
      <c r="E106" s="186" t="s">
        <v>227</v>
      </c>
      <c r="F106" s="186" t="s">
        <v>10</v>
      </c>
      <c r="G106" s="186" t="s">
        <v>9</v>
      </c>
      <c r="H106" s="186" t="s">
        <v>227</v>
      </c>
      <c r="I106" s="186" t="s">
        <v>10</v>
      </c>
      <c r="J106" s="186" t="s">
        <v>9</v>
      </c>
      <c r="K106" s="117" t="s">
        <v>106</v>
      </c>
    </row>
    <row r="107" spans="2:11" ht="15.75" customHeight="1" thickBot="1" x14ac:dyDescent="0.25">
      <c r="B107" s="118">
        <f>SUM(C107:D107)</f>
        <v>208</v>
      </c>
      <c r="C107" s="118">
        <f t="shared" ref="C107:D110" si="37">I107+F107</f>
        <v>0</v>
      </c>
      <c r="D107" s="118">
        <f t="shared" si="37"/>
        <v>208</v>
      </c>
      <c r="E107" s="118">
        <f>SUM(F107:G107)</f>
        <v>0</v>
      </c>
      <c r="F107" s="118">
        <v>0</v>
      </c>
      <c r="G107" s="118">
        <v>0</v>
      </c>
      <c r="H107" s="118">
        <f>SUM(I107:J107)</f>
        <v>208</v>
      </c>
      <c r="I107" s="118">
        <v>0</v>
      </c>
      <c r="J107" s="118">
        <f>101+207-100</f>
        <v>208</v>
      </c>
      <c r="K107" s="119" t="s">
        <v>279</v>
      </c>
    </row>
    <row r="108" spans="2:11" ht="15.75" customHeight="1" thickBot="1" x14ac:dyDescent="0.25">
      <c r="B108" s="118">
        <f>SUM(C108:D108)</f>
        <v>814</v>
      </c>
      <c r="C108" s="118">
        <f t="shared" si="37"/>
        <v>2</v>
      </c>
      <c r="D108" s="118">
        <f t="shared" si="37"/>
        <v>812</v>
      </c>
      <c r="E108" s="118">
        <f>SUM(F108:G108)</f>
        <v>6</v>
      </c>
      <c r="F108" s="118">
        <v>2</v>
      </c>
      <c r="G108" s="118">
        <v>4</v>
      </c>
      <c r="H108" s="118">
        <f>SUM(I108:J108)</f>
        <v>808</v>
      </c>
      <c r="I108" s="118">
        <v>0</v>
      </c>
      <c r="J108" s="118">
        <f>1408-600</f>
        <v>808</v>
      </c>
      <c r="K108" s="119" t="s">
        <v>105</v>
      </c>
    </row>
    <row r="109" spans="2:11" ht="15.75" customHeight="1" thickBot="1" x14ac:dyDescent="0.25">
      <c r="B109" s="118">
        <f>SUM(C109:D109)</f>
        <v>949</v>
      </c>
      <c r="C109" s="118">
        <f t="shared" si="37"/>
        <v>288</v>
      </c>
      <c r="D109" s="118">
        <f t="shared" si="37"/>
        <v>661</v>
      </c>
      <c r="E109" s="118">
        <f>SUM(F109:G109)</f>
        <v>0</v>
      </c>
      <c r="F109" s="118">
        <v>0</v>
      </c>
      <c r="G109" s="118">
        <v>0</v>
      </c>
      <c r="H109" s="118">
        <f>SUM(I109:J109)</f>
        <v>949</v>
      </c>
      <c r="I109" s="118">
        <f>338-50</f>
        <v>288</v>
      </c>
      <c r="J109" s="118">
        <f>961-300</f>
        <v>661</v>
      </c>
      <c r="K109" s="119" t="s">
        <v>280</v>
      </c>
    </row>
    <row r="110" spans="2:11" ht="15.75" customHeight="1" thickBot="1" x14ac:dyDescent="0.25">
      <c r="B110" s="118">
        <f>SUM(C110:D110)</f>
        <v>947</v>
      </c>
      <c r="C110" s="118">
        <f t="shared" si="37"/>
        <v>947</v>
      </c>
      <c r="D110" s="118">
        <f t="shared" si="37"/>
        <v>0</v>
      </c>
      <c r="E110" s="118">
        <f>SUM(F110:G110)</f>
        <v>0</v>
      </c>
      <c r="F110" s="118">
        <v>0</v>
      </c>
      <c r="G110" s="118">
        <v>0</v>
      </c>
      <c r="H110" s="118">
        <f>SUM(I110:J110)</f>
        <v>947</v>
      </c>
      <c r="I110" s="118">
        <v>947</v>
      </c>
      <c r="J110" s="118">
        <v>0</v>
      </c>
      <c r="K110" s="119" t="s">
        <v>107</v>
      </c>
    </row>
    <row r="111" spans="2:11" ht="15.75" customHeight="1" thickBot="1" x14ac:dyDescent="0.25">
      <c r="B111" s="118">
        <f t="shared" ref="B111:J111" si="38">SUM(B107:B110)</f>
        <v>2918</v>
      </c>
      <c r="C111" s="118">
        <f t="shared" si="38"/>
        <v>1237</v>
      </c>
      <c r="D111" s="118">
        <f t="shared" si="38"/>
        <v>1681</v>
      </c>
      <c r="E111" s="118">
        <f t="shared" si="38"/>
        <v>6</v>
      </c>
      <c r="F111" s="118">
        <f t="shared" si="38"/>
        <v>2</v>
      </c>
      <c r="G111" s="118">
        <f t="shared" si="38"/>
        <v>4</v>
      </c>
      <c r="H111" s="118">
        <f t="shared" si="38"/>
        <v>2912</v>
      </c>
      <c r="I111" s="118">
        <f t="shared" si="38"/>
        <v>1235</v>
      </c>
      <c r="J111" s="118">
        <f t="shared" si="38"/>
        <v>1677</v>
      </c>
      <c r="K111" s="117" t="s">
        <v>188</v>
      </c>
    </row>
    <row r="112" spans="2:11" ht="15.75" customHeight="1" thickBot="1" x14ac:dyDescent="0.25">
      <c r="B112" s="534" t="s">
        <v>4</v>
      </c>
      <c r="C112" s="534"/>
      <c r="D112" s="534"/>
      <c r="E112" s="534" t="s">
        <v>145</v>
      </c>
      <c r="F112" s="534"/>
      <c r="G112" s="534"/>
      <c r="H112" s="534" t="s">
        <v>146</v>
      </c>
      <c r="I112" s="534"/>
      <c r="J112" s="534"/>
      <c r="K112" s="257" t="s">
        <v>66</v>
      </c>
    </row>
    <row r="113" spans="2:11" ht="15.75" customHeight="1" thickBot="1" x14ac:dyDescent="0.25">
      <c r="B113" s="186" t="s">
        <v>227</v>
      </c>
      <c r="C113" s="186" t="s">
        <v>10</v>
      </c>
      <c r="D113" s="186" t="s">
        <v>9</v>
      </c>
      <c r="E113" s="186" t="s">
        <v>227</v>
      </c>
      <c r="F113" s="186" t="s">
        <v>10</v>
      </c>
      <c r="G113" s="186" t="s">
        <v>9</v>
      </c>
      <c r="H113" s="186" t="s">
        <v>227</v>
      </c>
      <c r="I113" s="186" t="s">
        <v>10</v>
      </c>
      <c r="J113" s="186" t="s">
        <v>9</v>
      </c>
      <c r="K113" s="117" t="s">
        <v>109</v>
      </c>
    </row>
    <row r="114" spans="2:11" ht="15.75" customHeight="1" thickBot="1" x14ac:dyDescent="0.25">
      <c r="B114" s="118">
        <f>SUM(C114:D114)</f>
        <v>137</v>
      </c>
      <c r="C114" s="118">
        <f>I114+F114</f>
        <v>0</v>
      </c>
      <c r="D114" s="118">
        <f>J114+G114</f>
        <v>137</v>
      </c>
      <c r="E114" s="118">
        <f>SUM(F114:G114)</f>
        <v>0</v>
      </c>
      <c r="F114" s="118">
        <v>0</v>
      </c>
      <c r="G114" s="118">
        <v>0</v>
      </c>
      <c r="H114" s="118">
        <f>SUM(I114:J114)</f>
        <v>137</v>
      </c>
      <c r="I114" s="118">
        <v>0</v>
      </c>
      <c r="J114" s="118">
        <v>137</v>
      </c>
      <c r="K114" s="119" t="s">
        <v>281</v>
      </c>
    </row>
    <row r="115" spans="2:11" ht="15.75" customHeight="1" thickBot="1" x14ac:dyDescent="0.25">
      <c r="B115" s="118">
        <f t="shared" ref="B115:B116" si="39">SUM(C115:D115)</f>
        <v>609</v>
      </c>
      <c r="C115" s="118">
        <f t="shared" ref="C115:D116" si="40">I115+F115</f>
        <v>500</v>
      </c>
      <c r="D115" s="118">
        <f t="shared" si="40"/>
        <v>109</v>
      </c>
      <c r="E115" s="118">
        <f t="shared" ref="E115:E116" si="41">SUM(F115:G115)</f>
        <v>0</v>
      </c>
      <c r="F115" s="118">
        <v>0</v>
      </c>
      <c r="G115" s="118">
        <v>0</v>
      </c>
      <c r="H115" s="118">
        <f t="shared" ref="H115:H116" si="42">SUM(I115:J115)</f>
        <v>609</v>
      </c>
      <c r="I115" s="118">
        <v>500</v>
      </c>
      <c r="J115" s="118">
        <v>109</v>
      </c>
      <c r="K115" s="119" t="s">
        <v>108</v>
      </c>
    </row>
    <row r="116" spans="2:11" ht="15.75" customHeight="1" thickBot="1" x14ac:dyDescent="0.25">
      <c r="B116" s="118">
        <f t="shared" si="39"/>
        <v>393</v>
      </c>
      <c r="C116" s="118">
        <f t="shared" si="40"/>
        <v>166</v>
      </c>
      <c r="D116" s="118">
        <f t="shared" si="40"/>
        <v>227</v>
      </c>
      <c r="E116" s="118">
        <f t="shared" si="41"/>
        <v>0</v>
      </c>
      <c r="F116" s="118">
        <v>0</v>
      </c>
      <c r="G116" s="118">
        <v>0</v>
      </c>
      <c r="H116" s="118">
        <f t="shared" si="42"/>
        <v>393</v>
      </c>
      <c r="I116" s="118">
        <v>166</v>
      </c>
      <c r="J116" s="118">
        <v>227</v>
      </c>
      <c r="K116" s="119" t="s">
        <v>628</v>
      </c>
    </row>
    <row r="117" spans="2:11" ht="15.75" customHeight="1" thickBot="1" x14ac:dyDescent="0.25">
      <c r="B117" s="118">
        <f t="shared" ref="B117:I117" si="43">SUM(B114:B116)</f>
        <v>1139</v>
      </c>
      <c r="C117" s="118">
        <f t="shared" si="43"/>
        <v>666</v>
      </c>
      <c r="D117" s="118">
        <f t="shared" si="43"/>
        <v>473</v>
      </c>
      <c r="E117" s="118">
        <f t="shared" si="43"/>
        <v>0</v>
      </c>
      <c r="F117" s="118">
        <f t="shared" si="43"/>
        <v>0</v>
      </c>
      <c r="G117" s="118">
        <f t="shared" si="43"/>
        <v>0</v>
      </c>
      <c r="H117" s="118">
        <f t="shared" si="43"/>
        <v>1139</v>
      </c>
      <c r="I117" s="118">
        <f t="shared" si="43"/>
        <v>666</v>
      </c>
      <c r="J117" s="118">
        <f>SUM(J114:J116)</f>
        <v>473</v>
      </c>
      <c r="K117" s="117" t="s">
        <v>188</v>
      </c>
    </row>
    <row r="118" spans="2:11" ht="15.75" customHeight="1" thickBot="1" x14ac:dyDescent="0.25">
      <c r="B118" s="534" t="s">
        <v>4</v>
      </c>
      <c r="C118" s="534"/>
      <c r="D118" s="534"/>
      <c r="E118" s="534" t="s">
        <v>145</v>
      </c>
      <c r="F118" s="534"/>
      <c r="G118" s="534"/>
      <c r="H118" s="534" t="s">
        <v>146</v>
      </c>
      <c r="I118" s="534"/>
      <c r="J118" s="534"/>
      <c r="K118" s="257" t="s">
        <v>66</v>
      </c>
    </row>
    <row r="119" spans="2:11" ht="15.75" customHeight="1" thickBot="1" x14ac:dyDescent="0.25">
      <c r="B119" s="186" t="s">
        <v>227</v>
      </c>
      <c r="C119" s="186" t="s">
        <v>10</v>
      </c>
      <c r="D119" s="186" t="s">
        <v>9</v>
      </c>
      <c r="E119" s="186" t="s">
        <v>227</v>
      </c>
      <c r="F119" s="186" t="s">
        <v>10</v>
      </c>
      <c r="G119" s="186" t="s">
        <v>9</v>
      </c>
      <c r="H119" s="186" t="s">
        <v>227</v>
      </c>
      <c r="I119" s="186" t="s">
        <v>10</v>
      </c>
      <c r="J119" s="186" t="s">
        <v>9</v>
      </c>
      <c r="K119" s="117" t="s">
        <v>115</v>
      </c>
    </row>
    <row r="120" spans="2:11" ht="15.75" customHeight="1" thickBot="1" x14ac:dyDescent="0.25">
      <c r="B120" s="118">
        <f>SUM(C120:D120)</f>
        <v>1475</v>
      </c>
      <c r="C120" s="118">
        <f t="shared" ref="C120:D122" si="44">I120+F120</f>
        <v>1070</v>
      </c>
      <c r="D120" s="118">
        <f t="shared" si="44"/>
        <v>405</v>
      </c>
      <c r="E120" s="118">
        <f>SUM(F120:G120)</f>
        <v>0</v>
      </c>
      <c r="F120" s="118">
        <v>0</v>
      </c>
      <c r="G120" s="118">
        <v>0</v>
      </c>
      <c r="H120" s="118">
        <f>SUM(I120:J120)</f>
        <v>1475</v>
      </c>
      <c r="I120" s="118">
        <f>1183-113</f>
        <v>1070</v>
      </c>
      <c r="J120" s="118">
        <v>405</v>
      </c>
      <c r="K120" s="119" t="s">
        <v>114</v>
      </c>
    </row>
    <row r="121" spans="2:11" ht="15.75" customHeight="1" thickBot="1" x14ac:dyDescent="0.25">
      <c r="B121" s="118">
        <f>SUM(C121:D121)</f>
        <v>533</v>
      </c>
      <c r="C121" s="118">
        <f t="shared" si="44"/>
        <v>220</v>
      </c>
      <c r="D121" s="118">
        <f t="shared" si="44"/>
        <v>313</v>
      </c>
      <c r="E121" s="118">
        <f>SUM(F121:G121)</f>
        <v>0</v>
      </c>
      <c r="F121" s="118">
        <v>0</v>
      </c>
      <c r="G121" s="118">
        <v>0</v>
      </c>
      <c r="H121" s="118">
        <f>SUM(I121:J121)</f>
        <v>533</v>
      </c>
      <c r="I121" s="118">
        <v>220</v>
      </c>
      <c r="J121" s="118">
        <v>313</v>
      </c>
      <c r="K121" s="119" t="s">
        <v>280</v>
      </c>
    </row>
    <row r="122" spans="2:11" ht="15.75" customHeight="1" thickBot="1" x14ac:dyDescent="0.25">
      <c r="B122" s="118">
        <f>SUM(C122:D122)</f>
        <v>62</v>
      </c>
      <c r="C122" s="118">
        <f t="shared" si="44"/>
        <v>62</v>
      </c>
      <c r="D122" s="118">
        <f t="shared" si="44"/>
        <v>0</v>
      </c>
      <c r="E122" s="118">
        <f>SUM(F122:G122)</f>
        <v>0</v>
      </c>
      <c r="F122" s="118">
        <v>0</v>
      </c>
      <c r="G122" s="118">
        <v>0</v>
      </c>
      <c r="H122" s="118">
        <f>SUM(I122:J122)</f>
        <v>62</v>
      </c>
      <c r="I122" s="118">
        <v>62</v>
      </c>
      <c r="J122" s="118">
        <v>0</v>
      </c>
      <c r="K122" s="119" t="s">
        <v>282</v>
      </c>
    </row>
    <row r="123" spans="2:11" ht="15.75" customHeight="1" thickBot="1" x14ac:dyDescent="0.25">
      <c r="B123" s="118">
        <f t="shared" ref="B123:J123" si="45">SUM(B120:B122)</f>
        <v>2070</v>
      </c>
      <c r="C123" s="118">
        <f t="shared" si="45"/>
        <v>1352</v>
      </c>
      <c r="D123" s="118">
        <f t="shared" si="45"/>
        <v>718</v>
      </c>
      <c r="E123" s="118">
        <f t="shared" si="45"/>
        <v>0</v>
      </c>
      <c r="F123" s="118">
        <f t="shared" si="45"/>
        <v>0</v>
      </c>
      <c r="G123" s="118">
        <f t="shared" si="45"/>
        <v>0</v>
      </c>
      <c r="H123" s="118">
        <f t="shared" si="45"/>
        <v>2070</v>
      </c>
      <c r="I123" s="118">
        <f t="shared" si="45"/>
        <v>1352</v>
      </c>
      <c r="J123" s="118">
        <f t="shared" si="45"/>
        <v>718</v>
      </c>
      <c r="K123" s="117" t="s">
        <v>188</v>
      </c>
    </row>
    <row r="124" spans="2:11" ht="15.75" customHeight="1" thickBot="1" x14ac:dyDescent="0.25">
      <c r="B124" s="534" t="s">
        <v>4</v>
      </c>
      <c r="C124" s="534"/>
      <c r="D124" s="534"/>
      <c r="E124" s="534" t="s">
        <v>145</v>
      </c>
      <c r="F124" s="534"/>
      <c r="G124" s="534"/>
      <c r="H124" s="534" t="s">
        <v>146</v>
      </c>
      <c r="I124" s="534"/>
      <c r="J124" s="534"/>
      <c r="K124" s="257" t="s">
        <v>66</v>
      </c>
    </row>
    <row r="125" spans="2:11" ht="15.75" customHeight="1" thickBot="1" x14ac:dyDescent="0.25">
      <c r="B125" s="186" t="s">
        <v>227</v>
      </c>
      <c r="C125" s="186" t="s">
        <v>10</v>
      </c>
      <c r="D125" s="186" t="s">
        <v>9</v>
      </c>
      <c r="E125" s="186" t="s">
        <v>227</v>
      </c>
      <c r="F125" s="186" t="s">
        <v>10</v>
      </c>
      <c r="G125" s="186" t="s">
        <v>9</v>
      </c>
      <c r="H125" s="186" t="s">
        <v>227</v>
      </c>
      <c r="I125" s="186" t="s">
        <v>10</v>
      </c>
      <c r="J125" s="186" t="s">
        <v>9</v>
      </c>
      <c r="K125" s="117" t="s">
        <v>117</v>
      </c>
    </row>
    <row r="126" spans="2:11" ht="15.75" customHeight="1" thickBot="1" x14ac:dyDescent="0.25">
      <c r="B126" s="118">
        <f>SUM(C126:D126)</f>
        <v>731</v>
      </c>
      <c r="C126" s="118">
        <f t="shared" ref="C126:D128" si="46">I126+F126</f>
        <v>254</v>
      </c>
      <c r="D126" s="118">
        <f t="shared" si="46"/>
        <v>477</v>
      </c>
      <c r="E126" s="118">
        <f>SUM(F126:G126)</f>
        <v>0</v>
      </c>
      <c r="F126" s="118">
        <v>0</v>
      </c>
      <c r="G126" s="118">
        <v>0</v>
      </c>
      <c r="H126" s="118">
        <f>SUM(I126:J126)</f>
        <v>731</v>
      </c>
      <c r="I126" s="118">
        <v>254</v>
      </c>
      <c r="J126" s="118">
        <v>477</v>
      </c>
      <c r="K126" s="119" t="s">
        <v>280</v>
      </c>
    </row>
    <row r="127" spans="2:11" ht="15.75" customHeight="1" thickBot="1" x14ac:dyDescent="0.25">
      <c r="B127" s="118">
        <f>SUM(C127:D127)</f>
        <v>840</v>
      </c>
      <c r="C127" s="118">
        <f t="shared" si="46"/>
        <v>0</v>
      </c>
      <c r="D127" s="118">
        <f t="shared" si="46"/>
        <v>840</v>
      </c>
      <c r="E127" s="118">
        <f>SUM(F127:G127)</f>
        <v>0</v>
      </c>
      <c r="F127" s="118">
        <v>0</v>
      </c>
      <c r="G127" s="118">
        <v>0</v>
      </c>
      <c r="H127" s="118">
        <f>SUM(I127:J127)</f>
        <v>840</v>
      </c>
      <c r="I127" s="118">
        <v>0</v>
      </c>
      <c r="J127" s="118">
        <v>840</v>
      </c>
      <c r="K127" s="119" t="s">
        <v>116</v>
      </c>
    </row>
    <row r="128" spans="2:11" ht="15.75" customHeight="1" thickBot="1" x14ac:dyDescent="0.25">
      <c r="B128" s="118">
        <f>SUM(C128:D128)</f>
        <v>54</v>
      </c>
      <c r="C128" s="118">
        <f t="shared" si="46"/>
        <v>54</v>
      </c>
      <c r="D128" s="118">
        <f t="shared" si="46"/>
        <v>0</v>
      </c>
      <c r="E128" s="118">
        <f>SUM(F128:G128)</f>
        <v>0</v>
      </c>
      <c r="F128" s="118">
        <v>0</v>
      </c>
      <c r="G128" s="118">
        <v>0</v>
      </c>
      <c r="H128" s="118">
        <f>SUM(I128:J128)</f>
        <v>54</v>
      </c>
      <c r="I128" s="118">
        <v>54</v>
      </c>
      <c r="J128" s="118">
        <v>0</v>
      </c>
      <c r="K128" s="119" t="s">
        <v>118</v>
      </c>
    </row>
    <row r="129" spans="2:11" ht="15.75" customHeight="1" thickBot="1" x14ac:dyDescent="0.25">
      <c r="B129" s="118">
        <f t="shared" ref="B129:J129" si="47">SUM(B126:B128)</f>
        <v>1625</v>
      </c>
      <c r="C129" s="118">
        <f t="shared" si="47"/>
        <v>308</v>
      </c>
      <c r="D129" s="118">
        <f t="shared" si="47"/>
        <v>1317</v>
      </c>
      <c r="E129" s="118">
        <f t="shared" si="47"/>
        <v>0</v>
      </c>
      <c r="F129" s="118">
        <f t="shared" si="47"/>
        <v>0</v>
      </c>
      <c r="G129" s="118">
        <f t="shared" si="47"/>
        <v>0</v>
      </c>
      <c r="H129" s="118">
        <f t="shared" si="47"/>
        <v>1625</v>
      </c>
      <c r="I129" s="118">
        <f t="shared" si="47"/>
        <v>308</v>
      </c>
      <c r="J129" s="118">
        <f t="shared" si="47"/>
        <v>1317</v>
      </c>
      <c r="K129" s="117" t="s">
        <v>188</v>
      </c>
    </row>
    <row r="130" spans="2:11" ht="15.75" customHeight="1" thickBot="1" x14ac:dyDescent="0.25">
      <c r="B130" s="534" t="s">
        <v>4</v>
      </c>
      <c r="C130" s="534"/>
      <c r="D130" s="534"/>
      <c r="E130" s="534" t="s">
        <v>145</v>
      </c>
      <c r="F130" s="534"/>
      <c r="G130" s="534"/>
      <c r="H130" s="534" t="s">
        <v>146</v>
      </c>
      <c r="I130" s="534"/>
      <c r="J130" s="534"/>
      <c r="K130" s="257" t="s">
        <v>66</v>
      </c>
    </row>
    <row r="131" spans="2:11" ht="15.75" customHeight="1" thickBot="1" x14ac:dyDescent="0.25">
      <c r="B131" s="186" t="s">
        <v>227</v>
      </c>
      <c r="C131" s="186" t="s">
        <v>10</v>
      </c>
      <c r="D131" s="186" t="s">
        <v>9</v>
      </c>
      <c r="E131" s="186" t="s">
        <v>227</v>
      </c>
      <c r="F131" s="186" t="s">
        <v>10</v>
      </c>
      <c r="G131" s="186" t="s">
        <v>9</v>
      </c>
      <c r="H131" s="186" t="s">
        <v>227</v>
      </c>
      <c r="I131" s="186" t="s">
        <v>10</v>
      </c>
      <c r="J131" s="186" t="s">
        <v>9</v>
      </c>
      <c r="K131" s="117" t="s">
        <v>119</v>
      </c>
    </row>
    <row r="132" spans="2:11" ht="15.75" customHeight="1" thickBot="1" x14ac:dyDescent="0.25">
      <c r="B132" s="118">
        <f>SUM(C132:D132)</f>
        <v>868</v>
      </c>
      <c r="C132" s="118">
        <f t="shared" ref="C132:D134" si="48">I132+F132</f>
        <v>868</v>
      </c>
      <c r="D132" s="118">
        <f t="shared" si="48"/>
        <v>0</v>
      </c>
      <c r="E132" s="118">
        <f>SUM(F132:G132)</f>
        <v>5</v>
      </c>
      <c r="F132" s="118">
        <v>5</v>
      </c>
      <c r="G132" s="118">
        <v>0</v>
      </c>
      <c r="H132" s="118">
        <f>SUM(I132:J132)</f>
        <v>863</v>
      </c>
      <c r="I132" s="118">
        <f>1213-350</f>
        <v>863</v>
      </c>
      <c r="J132" s="118">
        <v>0</v>
      </c>
      <c r="K132" s="119" t="s">
        <v>283</v>
      </c>
    </row>
    <row r="133" spans="2:11" ht="15.75" customHeight="1" thickBot="1" x14ac:dyDescent="0.25">
      <c r="B133" s="118">
        <f>SUM(C133:D133)</f>
        <v>332</v>
      </c>
      <c r="C133" s="118">
        <f t="shared" si="48"/>
        <v>0</v>
      </c>
      <c r="D133" s="118">
        <f t="shared" si="48"/>
        <v>332</v>
      </c>
      <c r="E133" s="118">
        <f>SUM(F133:G133)</f>
        <v>3</v>
      </c>
      <c r="F133" s="118">
        <v>0</v>
      </c>
      <c r="G133" s="118">
        <v>3</v>
      </c>
      <c r="H133" s="118">
        <f>SUM(I133:J133)</f>
        <v>329</v>
      </c>
      <c r="I133" s="118">
        <v>0</v>
      </c>
      <c r="J133" s="118">
        <v>329</v>
      </c>
      <c r="K133" s="119" t="s">
        <v>284</v>
      </c>
    </row>
    <row r="134" spans="2:11" ht="15.75" customHeight="1" thickBot="1" x14ac:dyDescent="0.25">
      <c r="B134" s="118">
        <f>SUM(C134:D134)</f>
        <v>123</v>
      </c>
      <c r="C134" s="118">
        <f t="shared" si="48"/>
        <v>123</v>
      </c>
      <c r="D134" s="118">
        <f t="shared" si="48"/>
        <v>0</v>
      </c>
      <c r="E134" s="118">
        <f>SUM(F134:G134)</f>
        <v>0</v>
      </c>
      <c r="F134" s="118">
        <v>0</v>
      </c>
      <c r="G134" s="118">
        <v>0</v>
      </c>
      <c r="H134" s="118">
        <f>SUM(I134:J134)</f>
        <v>123</v>
      </c>
      <c r="I134" s="118">
        <f>319-196</f>
        <v>123</v>
      </c>
      <c r="J134" s="118">
        <v>0</v>
      </c>
      <c r="K134" s="123" t="s">
        <v>285</v>
      </c>
    </row>
    <row r="135" spans="2:11" ht="15.75" customHeight="1" thickBot="1" x14ac:dyDescent="0.25">
      <c r="B135" s="118">
        <f t="shared" ref="B135:J135" si="49">SUM(B132:B134)</f>
        <v>1323</v>
      </c>
      <c r="C135" s="118">
        <f t="shared" si="49"/>
        <v>991</v>
      </c>
      <c r="D135" s="118">
        <f t="shared" si="49"/>
        <v>332</v>
      </c>
      <c r="E135" s="118">
        <f t="shared" si="49"/>
        <v>8</v>
      </c>
      <c r="F135" s="118">
        <f t="shared" si="49"/>
        <v>5</v>
      </c>
      <c r="G135" s="118">
        <f t="shared" si="49"/>
        <v>3</v>
      </c>
      <c r="H135" s="118">
        <f t="shared" si="49"/>
        <v>1315</v>
      </c>
      <c r="I135" s="118">
        <f t="shared" si="49"/>
        <v>986</v>
      </c>
      <c r="J135" s="118">
        <f t="shared" si="49"/>
        <v>329</v>
      </c>
      <c r="K135" s="117" t="s">
        <v>188</v>
      </c>
    </row>
    <row r="136" spans="2:11" ht="15.75" customHeight="1" thickBot="1" x14ac:dyDescent="0.25">
      <c r="B136" s="534" t="s">
        <v>4</v>
      </c>
      <c r="C136" s="534"/>
      <c r="D136" s="534"/>
      <c r="E136" s="534" t="s">
        <v>145</v>
      </c>
      <c r="F136" s="534"/>
      <c r="G136" s="534"/>
      <c r="H136" s="534" t="s">
        <v>146</v>
      </c>
      <c r="I136" s="534"/>
      <c r="J136" s="534"/>
      <c r="K136" s="257" t="s">
        <v>66</v>
      </c>
    </row>
    <row r="137" spans="2:11" ht="15.75" customHeight="1" thickBot="1" x14ac:dyDescent="0.25">
      <c r="B137" s="186" t="s">
        <v>227</v>
      </c>
      <c r="C137" s="186" t="s">
        <v>10</v>
      </c>
      <c r="D137" s="186" t="s">
        <v>9</v>
      </c>
      <c r="E137" s="186" t="s">
        <v>227</v>
      </c>
      <c r="F137" s="186" t="s">
        <v>10</v>
      </c>
      <c r="G137" s="186" t="s">
        <v>9</v>
      </c>
      <c r="H137" s="186" t="s">
        <v>227</v>
      </c>
      <c r="I137" s="186" t="s">
        <v>10</v>
      </c>
      <c r="J137" s="186" t="s">
        <v>9</v>
      </c>
      <c r="K137" s="117" t="s">
        <v>121</v>
      </c>
    </row>
    <row r="138" spans="2:11" ht="15.75" customHeight="1" thickBot="1" x14ac:dyDescent="0.25">
      <c r="B138" s="118">
        <f>SUM(C138:D138)</f>
        <v>2171</v>
      </c>
      <c r="C138" s="118">
        <f>I138+F138</f>
        <v>2171</v>
      </c>
      <c r="D138" s="118">
        <f>J138+G138</f>
        <v>0</v>
      </c>
      <c r="E138" s="118">
        <f>SUM(F138:G138)</f>
        <v>0</v>
      </c>
      <c r="F138" s="118">
        <v>0</v>
      </c>
      <c r="G138" s="118">
        <v>0</v>
      </c>
      <c r="H138" s="118">
        <f>SUM(I138:J138)</f>
        <v>2171</v>
      </c>
      <c r="I138" s="118">
        <f>2689-518</f>
        <v>2171</v>
      </c>
      <c r="J138" s="118">
        <v>0</v>
      </c>
      <c r="K138" s="119" t="s">
        <v>120</v>
      </c>
    </row>
    <row r="139" spans="2:11" ht="15.75" customHeight="1" thickBot="1" x14ac:dyDescent="0.25">
      <c r="B139" s="118">
        <f t="shared" ref="B139:J139" si="50">SUM(B138)</f>
        <v>2171</v>
      </c>
      <c r="C139" s="118">
        <f t="shared" si="50"/>
        <v>2171</v>
      </c>
      <c r="D139" s="118">
        <f t="shared" si="50"/>
        <v>0</v>
      </c>
      <c r="E139" s="118">
        <f t="shared" si="50"/>
        <v>0</v>
      </c>
      <c r="F139" s="118">
        <f t="shared" si="50"/>
        <v>0</v>
      </c>
      <c r="G139" s="118">
        <f t="shared" si="50"/>
        <v>0</v>
      </c>
      <c r="H139" s="118">
        <f t="shared" si="50"/>
        <v>2171</v>
      </c>
      <c r="I139" s="118">
        <f t="shared" si="50"/>
        <v>2171</v>
      </c>
      <c r="J139" s="118">
        <f t="shared" si="50"/>
        <v>0</v>
      </c>
      <c r="K139" s="117" t="s">
        <v>188</v>
      </c>
    </row>
    <row r="140" spans="2:11" ht="15.75" customHeight="1" thickBot="1" x14ac:dyDescent="0.25">
      <c r="B140" s="534" t="s">
        <v>4</v>
      </c>
      <c r="C140" s="534"/>
      <c r="D140" s="534"/>
      <c r="E140" s="534" t="s">
        <v>145</v>
      </c>
      <c r="F140" s="534"/>
      <c r="G140" s="534"/>
      <c r="H140" s="534" t="s">
        <v>146</v>
      </c>
      <c r="I140" s="534"/>
      <c r="J140" s="534"/>
      <c r="K140" s="257" t="s">
        <v>66</v>
      </c>
    </row>
    <row r="141" spans="2:11" ht="15.75" customHeight="1" thickBot="1" x14ac:dyDescent="0.25">
      <c r="B141" s="186" t="s">
        <v>227</v>
      </c>
      <c r="C141" s="186" t="s">
        <v>10</v>
      </c>
      <c r="D141" s="186" t="s">
        <v>9</v>
      </c>
      <c r="E141" s="186" t="s">
        <v>227</v>
      </c>
      <c r="F141" s="186" t="s">
        <v>10</v>
      </c>
      <c r="G141" s="186" t="s">
        <v>9</v>
      </c>
      <c r="H141" s="186" t="s">
        <v>227</v>
      </c>
      <c r="I141" s="186" t="s">
        <v>10</v>
      </c>
      <c r="J141" s="186" t="s">
        <v>9</v>
      </c>
      <c r="K141" s="117" t="s">
        <v>123</v>
      </c>
    </row>
    <row r="142" spans="2:11" ht="15.75" customHeight="1" thickBot="1" x14ac:dyDescent="0.25">
      <c r="B142" s="118">
        <f>SUM(C142:D142)</f>
        <v>15</v>
      </c>
      <c r="C142" s="118">
        <f t="shared" ref="C142:D146" si="51">I142+F142</f>
        <v>0</v>
      </c>
      <c r="D142" s="118">
        <f t="shared" si="51"/>
        <v>15</v>
      </c>
      <c r="E142" s="118">
        <f>SUM(F142:G142)</f>
        <v>0</v>
      </c>
      <c r="F142" s="118">
        <v>0</v>
      </c>
      <c r="G142" s="118">
        <v>0</v>
      </c>
      <c r="H142" s="118">
        <f>SUM(I142:J142)</f>
        <v>15</v>
      </c>
      <c r="I142" s="118">
        <v>0</v>
      </c>
      <c r="J142" s="118">
        <v>15</v>
      </c>
      <c r="K142" s="119" t="s">
        <v>286</v>
      </c>
    </row>
    <row r="143" spans="2:11" ht="15.75" customHeight="1" thickBot="1" x14ac:dyDescent="0.25">
      <c r="B143" s="118">
        <f>SUM(C143:D143)</f>
        <v>195</v>
      </c>
      <c r="C143" s="118">
        <f t="shared" si="51"/>
        <v>195</v>
      </c>
      <c r="D143" s="118">
        <f t="shared" si="51"/>
        <v>0</v>
      </c>
      <c r="E143" s="118">
        <f>SUM(F143:G143)</f>
        <v>0</v>
      </c>
      <c r="F143" s="118">
        <v>0</v>
      </c>
      <c r="G143" s="118">
        <v>0</v>
      </c>
      <c r="H143" s="118">
        <f>SUM(I143:J143)</f>
        <v>195</v>
      </c>
      <c r="I143" s="118">
        <f>289-100+6</f>
        <v>195</v>
      </c>
      <c r="J143" s="118">
        <v>0</v>
      </c>
      <c r="K143" s="119" t="s">
        <v>287</v>
      </c>
    </row>
    <row r="144" spans="2:11" ht="15.75" customHeight="1" thickBot="1" x14ac:dyDescent="0.25">
      <c r="B144" s="118">
        <f>SUM(C144:D144)</f>
        <v>201</v>
      </c>
      <c r="C144" s="118">
        <f t="shared" si="51"/>
        <v>201</v>
      </c>
      <c r="D144" s="118">
        <f t="shared" si="51"/>
        <v>0</v>
      </c>
      <c r="E144" s="118">
        <f>SUM(F144:G144)</f>
        <v>0</v>
      </c>
      <c r="F144" s="118">
        <v>0</v>
      </c>
      <c r="G144" s="118">
        <v>0</v>
      </c>
      <c r="H144" s="118">
        <f>SUM(I144:J144)</f>
        <v>201</v>
      </c>
      <c r="I144" s="118">
        <f>451-250</f>
        <v>201</v>
      </c>
      <c r="J144" s="118">
        <v>0</v>
      </c>
      <c r="K144" s="119" t="s">
        <v>122</v>
      </c>
    </row>
    <row r="145" spans="2:12" ht="15.75" customHeight="1" thickBot="1" x14ac:dyDescent="0.25">
      <c r="B145" s="118">
        <f>SUM(C145:D145)</f>
        <v>155</v>
      </c>
      <c r="C145" s="118">
        <f t="shared" si="51"/>
        <v>0</v>
      </c>
      <c r="D145" s="118">
        <f t="shared" si="51"/>
        <v>155</v>
      </c>
      <c r="E145" s="118">
        <f>SUM(F145:G145)</f>
        <v>0</v>
      </c>
      <c r="F145" s="118">
        <v>0</v>
      </c>
      <c r="G145" s="118">
        <v>0</v>
      </c>
      <c r="H145" s="118">
        <f>SUM(I145:J145)</f>
        <v>155</v>
      </c>
      <c r="I145" s="118">
        <v>0</v>
      </c>
      <c r="J145" s="118">
        <v>155</v>
      </c>
      <c r="K145" s="119" t="s">
        <v>124</v>
      </c>
    </row>
    <row r="146" spans="2:12" ht="15.75" customHeight="1" thickBot="1" x14ac:dyDescent="0.25">
      <c r="B146" s="118">
        <f>SUM(C146:D146)</f>
        <v>177</v>
      </c>
      <c r="C146" s="118">
        <f t="shared" si="51"/>
        <v>77</v>
      </c>
      <c r="D146" s="118">
        <f t="shared" si="51"/>
        <v>100</v>
      </c>
      <c r="E146" s="118">
        <f>SUM(F146:G146)</f>
        <v>0</v>
      </c>
      <c r="F146" s="118">
        <v>0</v>
      </c>
      <c r="G146" s="118">
        <v>0</v>
      </c>
      <c r="H146" s="118">
        <f>SUM(I146:J146)</f>
        <v>177</v>
      </c>
      <c r="I146" s="118">
        <f>176-99</f>
        <v>77</v>
      </c>
      <c r="J146" s="118">
        <v>100</v>
      </c>
      <c r="K146" s="123" t="s">
        <v>629</v>
      </c>
    </row>
    <row r="147" spans="2:12" ht="15.75" customHeight="1" thickBot="1" x14ac:dyDescent="0.25">
      <c r="B147" s="118">
        <f t="shared" ref="B147:J147" si="52">SUM(B142:B146)</f>
        <v>743</v>
      </c>
      <c r="C147" s="118">
        <f t="shared" si="52"/>
        <v>473</v>
      </c>
      <c r="D147" s="118">
        <f t="shared" si="52"/>
        <v>270</v>
      </c>
      <c r="E147" s="118">
        <f t="shared" si="52"/>
        <v>0</v>
      </c>
      <c r="F147" s="118">
        <f t="shared" si="52"/>
        <v>0</v>
      </c>
      <c r="G147" s="118">
        <f t="shared" si="52"/>
        <v>0</v>
      </c>
      <c r="H147" s="118">
        <f t="shared" si="52"/>
        <v>743</v>
      </c>
      <c r="I147" s="118">
        <f t="shared" si="52"/>
        <v>473</v>
      </c>
      <c r="J147" s="118">
        <f t="shared" si="52"/>
        <v>270</v>
      </c>
      <c r="K147" s="117" t="s">
        <v>188</v>
      </c>
    </row>
    <row r="148" spans="2:12" ht="15.75" customHeight="1" thickBot="1" x14ac:dyDescent="0.25">
      <c r="B148" s="534" t="s">
        <v>4</v>
      </c>
      <c r="C148" s="534"/>
      <c r="D148" s="534"/>
      <c r="E148" s="534" t="s">
        <v>145</v>
      </c>
      <c r="F148" s="534"/>
      <c r="G148" s="534"/>
      <c r="H148" s="534" t="s">
        <v>146</v>
      </c>
      <c r="I148" s="534"/>
      <c r="J148" s="534"/>
      <c r="K148" s="257" t="s">
        <v>66</v>
      </c>
    </row>
    <row r="149" spans="2:12" ht="15.75" customHeight="1" thickBot="1" x14ac:dyDescent="0.25">
      <c r="B149" s="186" t="s">
        <v>227</v>
      </c>
      <c r="C149" s="186" t="s">
        <v>10</v>
      </c>
      <c r="D149" s="186" t="s">
        <v>9</v>
      </c>
      <c r="E149" s="186" t="s">
        <v>227</v>
      </c>
      <c r="F149" s="186" t="s">
        <v>10</v>
      </c>
      <c r="G149" s="186" t="s">
        <v>9</v>
      </c>
      <c r="H149" s="186" t="s">
        <v>227</v>
      </c>
      <c r="I149" s="186" t="s">
        <v>10</v>
      </c>
      <c r="J149" s="186" t="s">
        <v>9</v>
      </c>
      <c r="K149" s="117" t="s">
        <v>155</v>
      </c>
    </row>
    <row r="150" spans="2:12" ht="15.75" customHeight="1" thickBot="1" x14ac:dyDescent="0.25">
      <c r="B150" s="118">
        <f>SUM(C150:D150)</f>
        <v>85</v>
      </c>
      <c r="C150" s="118">
        <f>I150+F150</f>
        <v>0</v>
      </c>
      <c r="D150" s="118">
        <f>J150+G150</f>
        <v>85</v>
      </c>
      <c r="E150" s="118">
        <f>SUM(F150:G150)</f>
        <v>0</v>
      </c>
      <c r="F150" s="118">
        <v>0</v>
      </c>
      <c r="G150" s="118">
        <v>0</v>
      </c>
      <c r="H150" s="118">
        <f>SUM(I150:J150)</f>
        <v>85</v>
      </c>
      <c r="I150" s="118">
        <v>0</v>
      </c>
      <c r="J150" s="118">
        <v>85</v>
      </c>
      <c r="K150" s="119" t="s">
        <v>289</v>
      </c>
    </row>
    <row r="151" spans="2:12" ht="15.75" customHeight="1" thickBot="1" x14ac:dyDescent="0.25">
      <c r="B151" s="118">
        <f>SUM(C151:D151)</f>
        <v>202</v>
      </c>
      <c r="C151" s="118">
        <f>I151+F151</f>
        <v>158</v>
      </c>
      <c r="D151" s="118">
        <f>J151+G151</f>
        <v>44</v>
      </c>
      <c r="E151" s="118">
        <f>SUM(F151:G151)</f>
        <v>0</v>
      </c>
      <c r="F151" s="118">
        <v>0</v>
      </c>
      <c r="G151" s="118">
        <v>0</v>
      </c>
      <c r="H151" s="118">
        <f>SUM(I151:J151)</f>
        <v>202</v>
      </c>
      <c r="I151" s="118">
        <v>158</v>
      </c>
      <c r="J151" s="118">
        <v>44</v>
      </c>
      <c r="K151" s="119" t="s">
        <v>203</v>
      </c>
    </row>
    <row r="152" spans="2:12" ht="15.75" customHeight="1" thickBot="1" x14ac:dyDescent="0.25">
      <c r="B152" s="118">
        <f t="shared" ref="B152:J152" si="53">SUM(B150:B151)</f>
        <v>287</v>
      </c>
      <c r="C152" s="118">
        <f t="shared" si="53"/>
        <v>158</v>
      </c>
      <c r="D152" s="118">
        <f t="shared" si="53"/>
        <v>129</v>
      </c>
      <c r="E152" s="118">
        <f t="shared" si="53"/>
        <v>0</v>
      </c>
      <c r="F152" s="118">
        <f t="shared" si="53"/>
        <v>0</v>
      </c>
      <c r="G152" s="118">
        <f t="shared" si="53"/>
        <v>0</v>
      </c>
      <c r="H152" s="118">
        <f t="shared" si="53"/>
        <v>287</v>
      </c>
      <c r="I152" s="118">
        <f t="shared" si="53"/>
        <v>158</v>
      </c>
      <c r="J152" s="118">
        <f t="shared" si="53"/>
        <v>129</v>
      </c>
      <c r="K152" s="117" t="s">
        <v>188</v>
      </c>
    </row>
    <row r="153" spans="2:12" ht="15.75" customHeight="1" thickBot="1" x14ac:dyDescent="0.25">
      <c r="B153" s="534" t="s">
        <v>4</v>
      </c>
      <c r="C153" s="534"/>
      <c r="D153" s="534"/>
      <c r="E153" s="534" t="s">
        <v>145</v>
      </c>
      <c r="F153" s="534"/>
      <c r="G153" s="534"/>
      <c r="H153" s="534" t="s">
        <v>146</v>
      </c>
      <c r="I153" s="534"/>
      <c r="J153" s="534"/>
      <c r="K153" s="257" t="s">
        <v>66</v>
      </c>
    </row>
    <row r="154" spans="2:12" ht="15.75" customHeight="1" thickBot="1" x14ac:dyDescent="0.25">
      <c r="B154" s="186" t="s">
        <v>227</v>
      </c>
      <c r="C154" s="186" t="s">
        <v>10</v>
      </c>
      <c r="D154" s="186" t="s">
        <v>9</v>
      </c>
      <c r="E154" s="186" t="s">
        <v>227</v>
      </c>
      <c r="F154" s="186" t="s">
        <v>10</v>
      </c>
      <c r="G154" s="186" t="s">
        <v>9</v>
      </c>
      <c r="H154" s="186" t="s">
        <v>227</v>
      </c>
      <c r="I154" s="186" t="s">
        <v>10</v>
      </c>
      <c r="J154" s="186" t="s">
        <v>9</v>
      </c>
      <c r="K154" s="117" t="s">
        <v>151</v>
      </c>
    </row>
    <row r="155" spans="2:12" ht="15.75" customHeight="1" thickBot="1" x14ac:dyDescent="0.25">
      <c r="B155" s="118">
        <f t="shared" ref="B155:B198" si="54">SUM(C155:D155)</f>
        <v>8431</v>
      </c>
      <c r="C155" s="118">
        <f t="shared" ref="C155:D198" si="55">I155+F155</f>
        <v>0</v>
      </c>
      <c r="D155" s="118">
        <f t="shared" si="55"/>
        <v>8431</v>
      </c>
      <c r="E155" s="118">
        <f t="shared" ref="E155:E198" si="56">SUM(F155:G155)</f>
        <v>0</v>
      </c>
      <c r="F155" s="118">
        <v>0</v>
      </c>
      <c r="G155" s="118">
        <v>0</v>
      </c>
      <c r="H155" s="118">
        <f t="shared" ref="H155:H198" si="57">SUM(I155:J155)</f>
        <v>8431</v>
      </c>
      <c r="I155" s="118">
        <v>0</v>
      </c>
      <c r="J155" s="118">
        <f>8931-500</f>
        <v>8431</v>
      </c>
      <c r="K155" s="119" t="s">
        <v>290</v>
      </c>
      <c r="L155" s="11"/>
    </row>
    <row r="156" spans="2:12" ht="15.75" customHeight="1" thickBot="1" x14ac:dyDescent="0.25">
      <c r="B156" s="118">
        <f t="shared" si="54"/>
        <v>2514</v>
      </c>
      <c r="C156" s="118">
        <f t="shared" si="55"/>
        <v>0</v>
      </c>
      <c r="D156" s="118">
        <f t="shared" si="55"/>
        <v>2514</v>
      </c>
      <c r="E156" s="118">
        <f t="shared" si="56"/>
        <v>0</v>
      </c>
      <c r="F156" s="118">
        <v>0</v>
      </c>
      <c r="G156" s="118">
        <v>0</v>
      </c>
      <c r="H156" s="118">
        <f t="shared" si="57"/>
        <v>2514</v>
      </c>
      <c r="I156" s="118">
        <v>0</v>
      </c>
      <c r="J156" s="118">
        <f>3014-500</f>
        <v>2514</v>
      </c>
      <c r="K156" s="119" t="s">
        <v>291</v>
      </c>
    </row>
    <row r="157" spans="2:12" ht="15.75" customHeight="1" thickBot="1" x14ac:dyDescent="0.25">
      <c r="B157" s="118">
        <f t="shared" si="54"/>
        <v>2856</v>
      </c>
      <c r="C157" s="118">
        <f t="shared" si="55"/>
        <v>0</v>
      </c>
      <c r="D157" s="118">
        <f t="shared" si="55"/>
        <v>2856</v>
      </c>
      <c r="E157" s="118">
        <f t="shared" si="56"/>
        <v>0</v>
      </c>
      <c r="F157" s="118">
        <v>0</v>
      </c>
      <c r="G157" s="118">
        <v>0</v>
      </c>
      <c r="H157" s="118">
        <f t="shared" si="57"/>
        <v>2856</v>
      </c>
      <c r="I157" s="118">
        <v>0</v>
      </c>
      <c r="J157" s="118">
        <f>3300-444</f>
        <v>2856</v>
      </c>
      <c r="K157" s="119" t="s">
        <v>292</v>
      </c>
    </row>
    <row r="158" spans="2:12" ht="15.75" customHeight="1" thickBot="1" x14ac:dyDescent="0.25">
      <c r="B158" s="118">
        <f t="shared" si="54"/>
        <v>968</v>
      </c>
      <c r="C158" s="118">
        <f t="shared" si="55"/>
        <v>0</v>
      </c>
      <c r="D158" s="118">
        <f t="shared" si="55"/>
        <v>968</v>
      </c>
      <c r="E158" s="118">
        <f t="shared" si="56"/>
        <v>0</v>
      </c>
      <c r="F158" s="118">
        <v>0</v>
      </c>
      <c r="G158" s="118">
        <v>0</v>
      </c>
      <c r="H158" s="118">
        <f t="shared" si="57"/>
        <v>968</v>
      </c>
      <c r="I158" s="118">
        <v>0</v>
      </c>
      <c r="J158" s="118">
        <v>968</v>
      </c>
      <c r="K158" s="119" t="s">
        <v>293</v>
      </c>
    </row>
    <row r="159" spans="2:12" ht="15.75" customHeight="1" thickBot="1" x14ac:dyDescent="0.25">
      <c r="B159" s="118">
        <f t="shared" si="54"/>
        <v>5379</v>
      </c>
      <c r="C159" s="118">
        <f t="shared" si="55"/>
        <v>0</v>
      </c>
      <c r="D159" s="118">
        <f t="shared" si="55"/>
        <v>5379</v>
      </c>
      <c r="E159" s="118">
        <f t="shared" si="56"/>
        <v>0</v>
      </c>
      <c r="F159" s="118">
        <v>0</v>
      </c>
      <c r="G159" s="118">
        <v>0</v>
      </c>
      <c r="H159" s="118">
        <f t="shared" si="57"/>
        <v>5379</v>
      </c>
      <c r="I159" s="118">
        <v>0</v>
      </c>
      <c r="J159" s="118">
        <v>5379</v>
      </c>
      <c r="K159" s="119" t="s">
        <v>630</v>
      </c>
    </row>
    <row r="160" spans="2:12" ht="15.75" customHeight="1" thickBot="1" x14ac:dyDescent="0.25">
      <c r="B160" s="118">
        <f t="shared" si="54"/>
        <v>4104</v>
      </c>
      <c r="C160" s="118">
        <f t="shared" si="55"/>
        <v>0</v>
      </c>
      <c r="D160" s="118">
        <f t="shared" si="55"/>
        <v>4104</v>
      </c>
      <c r="E160" s="118">
        <f t="shared" si="56"/>
        <v>0</v>
      </c>
      <c r="F160" s="118">
        <v>0</v>
      </c>
      <c r="G160" s="118">
        <v>0</v>
      </c>
      <c r="H160" s="118">
        <f t="shared" si="57"/>
        <v>4104</v>
      </c>
      <c r="I160" s="118">
        <v>0</v>
      </c>
      <c r="J160" s="118">
        <f>4604-500</f>
        <v>4104</v>
      </c>
      <c r="K160" s="119" t="s">
        <v>295</v>
      </c>
    </row>
    <row r="161" spans="2:11" ht="15.75" customHeight="1" thickBot="1" x14ac:dyDescent="0.25">
      <c r="B161" s="118">
        <f t="shared" si="54"/>
        <v>2119</v>
      </c>
      <c r="C161" s="118">
        <f t="shared" si="55"/>
        <v>0</v>
      </c>
      <c r="D161" s="118">
        <f t="shared" si="55"/>
        <v>2119</v>
      </c>
      <c r="E161" s="118">
        <f t="shared" si="56"/>
        <v>0</v>
      </c>
      <c r="F161" s="118">
        <v>0</v>
      </c>
      <c r="G161" s="118">
        <v>0</v>
      </c>
      <c r="H161" s="118">
        <f t="shared" si="57"/>
        <v>2119</v>
      </c>
      <c r="I161" s="118">
        <v>0</v>
      </c>
      <c r="J161" s="118">
        <v>2119</v>
      </c>
      <c r="K161" s="119" t="s">
        <v>296</v>
      </c>
    </row>
    <row r="162" spans="2:11" ht="15.75" customHeight="1" thickBot="1" x14ac:dyDescent="0.25">
      <c r="B162" s="118">
        <f t="shared" si="54"/>
        <v>4292</v>
      </c>
      <c r="C162" s="118">
        <f t="shared" si="55"/>
        <v>0</v>
      </c>
      <c r="D162" s="118">
        <f t="shared" si="55"/>
        <v>4292</v>
      </c>
      <c r="E162" s="118">
        <f t="shared" si="56"/>
        <v>0</v>
      </c>
      <c r="F162" s="118">
        <v>0</v>
      </c>
      <c r="G162" s="118">
        <v>0</v>
      </c>
      <c r="H162" s="118">
        <f t="shared" si="57"/>
        <v>4292</v>
      </c>
      <c r="I162" s="118">
        <v>0</v>
      </c>
      <c r="J162" s="118">
        <v>4292</v>
      </c>
      <c r="K162" s="119" t="s">
        <v>297</v>
      </c>
    </row>
    <row r="163" spans="2:11" ht="15.75" customHeight="1" thickBot="1" x14ac:dyDescent="0.25">
      <c r="B163" s="118">
        <f t="shared" si="54"/>
        <v>4346</v>
      </c>
      <c r="C163" s="118">
        <f t="shared" si="55"/>
        <v>0</v>
      </c>
      <c r="D163" s="118">
        <f t="shared" si="55"/>
        <v>4346</v>
      </c>
      <c r="E163" s="118">
        <f t="shared" si="56"/>
        <v>0</v>
      </c>
      <c r="F163" s="118">
        <v>0</v>
      </c>
      <c r="G163" s="118">
        <v>0</v>
      </c>
      <c r="H163" s="118">
        <f t="shared" si="57"/>
        <v>4346</v>
      </c>
      <c r="I163" s="118">
        <v>0</v>
      </c>
      <c r="J163" s="118">
        <v>4346</v>
      </c>
      <c r="K163" s="119" t="s">
        <v>298</v>
      </c>
    </row>
    <row r="164" spans="2:11" ht="15.75" customHeight="1" thickBot="1" x14ac:dyDescent="0.25">
      <c r="B164" s="118">
        <f t="shared" si="54"/>
        <v>2668</v>
      </c>
      <c r="C164" s="118">
        <f t="shared" si="55"/>
        <v>0</v>
      </c>
      <c r="D164" s="118">
        <f t="shared" si="55"/>
        <v>2668</v>
      </c>
      <c r="E164" s="118">
        <f t="shared" si="56"/>
        <v>0</v>
      </c>
      <c r="F164" s="118">
        <v>0</v>
      </c>
      <c r="G164" s="118">
        <v>0</v>
      </c>
      <c r="H164" s="118">
        <f t="shared" si="57"/>
        <v>2668</v>
      </c>
      <c r="I164" s="118">
        <v>0</v>
      </c>
      <c r="J164" s="118">
        <v>2668</v>
      </c>
      <c r="K164" s="119" t="s">
        <v>299</v>
      </c>
    </row>
    <row r="165" spans="2:11" ht="15.75" customHeight="1" thickBot="1" x14ac:dyDescent="0.25">
      <c r="B165" s="118">
        <f t="shared" si="54"/>
        <v>2299</v>
      </c>
      <c r="C165" s="118">
        <f t="shared" si="55"/>
        <v>0</v>
      </c>
      <c r="D165" s="118">
        <f t="shared" si="55"/>
        <v>2299</v>
      </c>
      <c r="E165" s="118">
        <f t="shared" si="56"/>
        <v>0</v>
      </c>
      <c r="F165" s="118">
        <v>0</v>
      </c>
      <c r="G165" s="118">
        <v>0</v>
      </c>
      <c r="H165" s="118">
        <f t="shared" si="57"/>
        <v>2299</v>
      </c>
      <c r="I165" s="118">
        <v>0</v>
      </c>
      <c r="J165" s="118">
        <v>2299</v>
      </c>
      <c r="K165" s="119" t="s">
        <v>300</v>
      </c>
    </row>
    <row r="166" spans="2:11" ht="15.75" customHeight="1" thickBot="1" x14ac:dyDescent="0.25">
      <c r="B166" s="118">
        <f t="shared" si="54"/>
        <v>1143</v>
      </c>
      <c r="C166" s="118">
        <f t="shared" si="55"/>
        <v>0</v>
      </c>
      <c r="D166" s="118">
        <f t="shared" si="55"/>
        <v>1143</v>
      </c>
      <c r="E166" s="118">
        <f t="shared" si="56"/>
        <v>0</v>
      </c>
      <c r="F166" s="118">
        <v>0</v>
      </c>
      <c r="G166" s="118">
        <v>0</v>
      </c>
      <c r="H166" s="118">
        <f t="shared" si="57"/>
        <v>1143</v>
      </c>
      <c r="I166" s="118">
        <v>0</v>
      </c>
      <c r="J166" s="118">
        <v>1143</v>
      </c>
      <c r="K166" s="119" t="s">
        <v>301</v>
      </c>
    </row>
    <row r="167" spans="2:11" ht="15.75" customHeight="1" thickBot="1" x14ac:dyDescent="0.25">
      <c r="B167" s="118">
        <f t="shared" si="54"/>
        <v>1151</v>
      </c>
      <c r="C167" s="118">
        <f t="shared" si="55"/>
        <v>0</v>
      </c>
      <c r="D167" s="118">
        <f t="shared" si="55"/>
        <v>1151</v>
      </c>
      <c r="E167" s="118">
        <f t="shared" si="56"/>
        <v>0</v>
      </c>
      <c r="F167" s="118">
        <v>0</v>
      </c>
      <c r="G167" s="118">
        <v>0</v>
      </c>
      <c r="H167" s="118">
        <f t="shared" si="57"/>
        <v>1151</v>
      </c>
      <c r="I167" s="118">
        <v>0</v>
      </c>
      <c r="J167" s="118">
        <v>1151</v>
      </c>
      <c r="K167" s="119" t="s">
        <v>302</v>
      </c>
    </row>
    <row r="168" spans="2:11" ht="15.75" customHeight="1" thickBot="1" x14ac:dyDescent="0.25">
      <c r="B168" s="118">
        <f t="shared" si="54"/>
        <v>1917</v>
      </c>
      <c r="C168" s="118">
        <f t="shared" si="55"/>
        <v>0</v>
      </c>
      <c r="D168" s="118">
        <f t="shared" si="55"/>
        <v>1917</v>
      </c>
      <c r="E168" s="118">
        <f t="shared" si="56"/>
        <v>0</v>
      </c>
      <c r="F168" s="118">
        <v>0</v>
      </c>
      <c r="G168" s="118">
        <v>0</v>
      </c>
      <c r="H168" s="118">
        <f t="shared" si="57"/>
        <v>1917</v>
      </c>
      <c r="I168" s="118">
        <v>0</v>
      </c>
      <c r="J168" s="118">
        <v>1917</v>
      </c>
      <c r="K168" s="119" t="s">
        <v>303</v>
      </c>
    </row>
    <row r="169" spans="2:11" ht="15.75" customHeight="1" thickBot="1" x14ac:dyDescent="0.25">
      <c r="B169" s="118">
        <f t="shared" si="54"/>
        <v>2773</v>
      </c>
      <c r="C169" s="118">
        <f t="shared" si="55"/>
        <v>0</v>
      </c>
      <c r="D169" s="118">
        <f t="shared" si="55"/>
        <v>2773</v>
      </c>
      <c r="E169" s="118">
        <f t="shared" si="56"/>
        <v>0</v>
      </c>
      <c r="F169" s="118">
        <v>0</v>
      </c>
      <c r="G169" s="118">
        <v>0</v>
      </c>
      <c r="H169" s="118">
        <f t="shared" si="57"/>
        <v>2773</v>
      </c>
      <c r="I169" s="118">
        <v>0</v>
      </c>
      <c r="J169" s="118">
        <v>2773</v>
      </c>
      <c r="K169" s="119" t="s">
        <v>304</v>
      </c>
    </row>
    <row r="170" spans="2:11" ht="15.75" customHeight="1" thickBot="1" x14ac:dyDescent="0.25">
      <c r="B170" s="118">
        <f t="shared" si="54"/>
        <v>1631</v>
      </c>
      <c r="C170" s="118">
        <f t="shared" si="55"/>
        <v>0</v>
      </c>
      <c r="D170" s="118">
        <f t="shared" si="55"/>
        <v>1631</v>
      </c>
      <c r="E170" s="118">
        <f t="shared" si="56"/>
        <v>0</v>
      </c>
      <c r="F170" s="118">
        <v>0</v>
      </c>
      <c r="G170" s="118">
        <v>0</v>
      </c>
      <c r="H170" s="118">
        <f t="shared" si="57"/>
        <v>1631</v>
      </c>
      <c r="I170" s="118">
        <v>0</v>
      </c>
      <c r="J170" s="118">
        <v>1631</v>
      </c>
      <c r="K170" s="119" t="s">
        <v>305</v>
      </c>
    </row>
    <row r="171" spans="2:11" ht="15.75" customHeight="1" thickBot="1" x14ac:dyDescent="0.25">
      <c r="B171" s="118">
        <f t="shared" si="54"/>
        <v>435</v>
      </c>
      <c r="C171" s="118">
        <f t="shared" si="55"/>
        <v>0</v>
      </c>
      <c r="D171" s="118">
        <f t="shared" si="55"/>
        <v>435</v>
      </c>
      <c r="E171" s="118">
        <f t="shared" si="56"/>
        <v>0</v>
      </c>
      <c r="F171" s="118">
        <v>0</v>
      </c>
      <c r="G171" s="118">
        <v>0</v>
      </c>
      <c r="H171" s="118">
        <f t="shared" si="57"/>
        <v>435</v>
      </c>
      <c r="I171" s="118">
        <v>0</v>
      </c>
      <c r="J171" s="118">
        <v>435</v>
      </c>
      <c r="K171" s="119" t="s">
        <v>306</v>
      </c>
    </row>
    <row r="172" spans="2:11" ht="15.75" customHeight="1" thickBot="1" x14ac:dyDescent="0.25">
      <c r="B172" s="118">
        <f t="shared" si="54"/>
        <v>856</v>
      </c>
      <c r="C172" s="118">
        <f t="shared" si="55"/>
        <v>0</v>
      </c>
      <c r="D172" s="118">
        <f t="shared" si="55"/>
        <v>856</v>
      </c>
      <c r="E172" s="118">
        <f t="shared" si="56"/>
        <v>0</v>
      </c>
      <c r="F172" s="118">
        <v>0</v>
      </c>
      <c r="G172" s="118">
        <v>0</v>
      </c>
      <c r="H172" s="118">
        <f t="shared" si="57"/>
        <v>856</v>
      </c>
      <c r="I172" s="118">
        <v>0</v>
      </c>
      <c r="J172" s="118">
        <v>856</v>
      </c>
      <c r="K172" s="119" t="s">
        <v>307</v>
      </c>
    </row>
    <row r="173" spans="2:11" ht="15.75" customHeight="1" thickBot="1" x14ac:dyDescent="0.25">
      <c r="B173" s="118">
        <f t="shared" si="54"/>
        <v>1178</v>
      </c>
      <c r="C173" s="118">
        <f t="shared" si="55"/>
        <v>0</v>
      </c>
      <c r="D173" s="118">
        <f t="shared" si="55"/>
        <v>1178</v>
      </c>
      <c r="E173" s="118">
        <f t="shared" si="56"/>
        <v>0</v>
      </c>
      <c r="F173" s="118">
        <v>0</v>
      </c>
      <c r="G173" s="118">
        <v>0</v>
      </c>
      <c r="H173" s="118">
        <f t="shared" si="57"/>
        <v>1178</v>
      </c>
      <c r="I173" s="118">
        <v>0</v>
      </c>
      <c r="J173" s="118">
        <v>1178</v>
      </c>
      <c r="K173" s="119" t="s">
        <v>308</v>
      </c>
    </row>
    <row r="174" spans="2:11" ht="15.75" customHeight="1" thickBot="1" x14ac:dyDescent="0.25">
      <c r="B174" s="118">
        <f t="shared" si="54"/>
        <v>1797</v>
      </c>
      <c r="C174" s="118">
        <f t="shared" si="55"/>
        <v>0</v>
      </c>
      <c r="D174" s="118">
        <f t="shared" si="55"/>
        <v>1797</v>
      </c>
      <c r="E174" s="118">
        <f t="shared" si="56"/>
        <v>0</v>
      </c>
      <c r="F174" s="118">
        <v>0</v>
      </c>
      <c r="G174" s="118">
        <v>0</v>
      </c>
      <c r="H174" s="118">
        <f t="shared" si="57"/>
        <v>1797</v>
      </c>
      <c r="I174" s="118">
        <v>0</v>
      </c>
      <c r="J174" s="118">
        <v>1797</v>
      </c>
      <c r="K174" s="119" t="s">
        <v>309</v>
      </c>
    </row>
    <row r="175" spans="2:11" ht="15.75" customHeight="1" thickBot="1" x14ac:dyDescent="0.25">
      <c r="B175" s="118">
        <f t="shared" si="54"/>
        <v>380</v>
      </c>
      <c r="C175" s="118">
        <f t="shared" si="55"/>
        <v>0</v>
      </c>
      <c r="D175" s="118">
        <f t="shared" si="55"/>
        <v>380</v>
      </c>
      <c r="E175" s="118">
        <f t="shared" si="56"/>
        <v>0</v>
      </c>
      <c r="F175" s="118">
        <v>0</v>
      </c>
      <c r="G175" s="118">
        <v>0</v>
      </c>
      <c r="H175" s="118">
        <f t="shared" si="57"/>
        <v>380</v>
      </c>
      <c r="I175" s="118">
        <v>0</v>
      </c>
      <c r="J175" s="118">
        <v>380</v>
      </c>
      <c r="K175" s="119" t="s">
        <v>310</v>
      </c>
    </row>
    <row r="176" spans="2:11" ht="15.75" customHeight="1" thickBot="1" x14ac:dyDescent="0.25">
      <c r="B176" s="118">
        <f t="shared" si="54"/>
        <v>3212</v>
      </c>
      <c r="C176" s="118">
        <f t="shared" si="55"/>
        <v>0</v>
      </c>
      <c r="D176" s="118">
        <f t="shared" si="55"/>
        <v>3212</v>
      </c>
      <c r="E176" s="118">
        <f t="shared" si="56"/>
        <v>0</v>
      </c>
      <c r="F176" s="118">
        <v>0</v>
      </c>
      <c r="G176" s="118">
        <v>0</v>
      </c>
      <c r="H176" s="118">
        <f t="shared" si="57"/>
        <v>3212</v>
      </c>
      <c r="I176" s="118">
        <v>0</v>
      </c>
      <c r="J176" s="118">
        <v>3212</v>
      </c>
      <c r="K176" s="119" t="s">
        <v>311</v>
      </c>
    </row>
    <row r="177" spans="2:11" ht="15.75" customHeight="1" thickBot="1" x14ac:dyDescent="0.25">
      <c r="B177" s="118">
        <f t="shared" si="54"/>
        <v>647</v>
      </c>
      <c r="C177" s="118">
        <f t="shared" si="55"/>
        <v>0</v>
      </c>
      <c r="D177" s="118">
        <f t="shared" si="55"/>
        <v>647</v>
      </c>
      <c r="E177" s="118">
        <f t="shared" si="56"/>
        <v>0</v>
      </c>
      <c r="F177" s="118">
        <v>0</v>
      </c>
      <c r="G177" s="118">
        <v>0</v>
      </c>
      <c r="H177" s="118">
        <f t="shared" si="57"/>
        <v>647</v>
      </c>
      <c r="I177" s="118">
        <v>0</v>
      </c>
      <c r="J177" s="118">
        <v>647</v>
      </c>
      <c r="K177" s="119" t="s">
        <v>312</v>
      </c>
    </row>
    <row r="178" spans="2:11" ht="15.75" customHeight="1" thickBot="1" x14ac:dyDescent="0.25">
      <c r="B178" s="118">
        <f t="shared" si="54"/>
        <v>1135</v>
      </c>
      <c r="C178" s="118">
        <f t="shared" si="55"/>
        <v>0</v>
      </c>
      <c r="D178" s="118">
        <f t="shared" si="55"/>
        <v>1135</v>
      </c>
      <c r="E178" s="118">
        <f t="shared" si="56"/>
        <v>0</v>
      </c>
      <c r="F178" s="118">
        <v>0</v>
      </c>
      <c r="G178" s="118">
        <v>0</v>
      </c>
      <c r="H178" s="118">
        <f t="shared" si="57"/>
        <v>1135</v>
      </c>
      <c r="I178" s="118">
        <v>0</v>
      </c>
      <c r="J178" s="118">
        <v>1135</v>
      </c>
      <c r="K178" s="119" t="s">
        <v>313</v>
      </c>
    </row>
    <row r="179" spans="2:11" ht="15.75" customHeight="1" thickBot="1" x14ac:dyDescent="0.25">
      <c r="B179" s="118">
        <f t="shared" si="54"/>
        <v>584</v>
      </c>
      <c r="C179" s="118">
        <f t="shared" si="55"/>
        <v>0</v>
      </c>
      <c r="D179" s="118">
        <f t="shared" si="55"/>
        <v>584</v>
      </c>
      <c r="E179" s="118">
        <f t="shared" si="56"/>
        <v>0</v>
      </c>
      <c r="F179" s="118">
        <v>0</v>
      </c>
      <c r="G179" s="118">
        <v>0</v>
      </c>
      <c r="H179" s="118">
        <f t="shared" si="57"/>
        <v>584</v>
      </c>
      <c r="I179" s="118">
        <v>0</v>
      </c>
      <c r="J179" s="118">
        <v>584</v>
      </c>
      <c r="K179" s="119" t="s">
        <v>314</v>
      </c>
    </row>
    <row r="180" spans="2:11" ht="15.75" customHeight="1" thickBot="1" x14ac:dyDescent="0.25">
      <c r="B180" s="118">
        <f t="shared" si="54"/>
        <v>562</v>
      </c>
      <c r="C180" s="118">
        <f t="shared" si="55"/>
        <v>0</v>
      </c>
      <c r="D180" s="118">
        <f t="shared" si="55"/>
        <v>562</v>
      </c>
      <c r="E180" s="118">
        <f t="shared" si="56"/>
        <v>0</v>
      </c>
      <c r="F180" s="118">
        <v>0</v>
      </c>
      <c r="G180" s="118">
        <v>0</v>
      </c>
      <c r="H180" s="118">
        <f t="shared" si="57"/>
        <v>562</v>
      </c>
      <c r="I180" s="118">
        <v>0</v>
      </c>
      <c r="J180" s="118">
        <v>562</v>
      </c>
      <c r="K180" s="119" t="s">
        <v>315</v>
      </c>
    </row>
    <row r="181" spans="2:11" ht="15.75" customHeight="1" thickBot="1" x14ac:dyDescent="0.25">
      <c r="B181" s="118">
        <f t="shared" si="54"/>
        <v>669</v>
      </c>
      <c r="C181" s="118">
        <f t="shared" si="55"/>
        <v>0</v>
      </c>
      <c r="D181" s="118">
        <f t="shared" si="55"/>
        <v>669</v>
      </c>
      <c r="E181" s="118">
        <f t="shared" si="56"/>
        <v>0</v>
      </c>
      <c r="F181" s="118">
        <v>0</v>
      </c>
      <c r="G181" s="118">
        <v>0</v>
      </c>
      <c r="H181" s="118">
        <f t="shared" si="57"/>
        <v>669</v>
      </c>
      <c r="I181" s="118">
        <v>0</v>
      </c>
      <c r="J181" s="118">
        <v>669</v>
      </c>
      <c r="K181" s="119" t="s">
        <v>316</v>
      </c>
    </row>
    <row r="182" spans="2:11" ht="15.75" customHeight="1" thickBot="1" x14ac:dyDescent="0.25">
      <c r="B182" s="118">
        <f t="shared" si="54"/>
        <v>1248</v>
      </c>
      <c r="C182" s="118">
        <f t="shared" si="55"/>
        <v>0</v>
      </c>
      <c r="D182" s="118">
        <f t="shared" si="55"/>
        <v>1248</v>
      </c>
      <c r="E182" s="118">
        <f t="shared" si="56"/>
        <v>0</v>
      </c>
      <c r="F182" s="118">
        <v>0</v>
      </c>
      <c r="G182" s="118">
        <v>0</v>
      </c>
      <c r="H182" s="118">
        <f t="shared" si="57"/>
        <v>1248</v>
      </c>
      <c r="I182" s="118">
        <v>0</v>
      </c>
      <c r="J182" s="118">
        <v>1248</v>
      </c>
      <c r="K182" s="119" t="s">
        <v>317</v>
      </c>
    </row>
    <row r="183" spans="2:11" ht="15.75" customHeight="1" thickBot="1" x14ac:dyDescent="0.25">
      <c r="B183" s="118">
        <f t="shared" si="54"/>
        <v>1097</v>
      </c>
      <c r="C183" s="118">
        <f t="shared" si="55"/>
        <v>0</v>
      </c>
      <c r="D183" s="118">
        <f t="shared" si="55"/>
        <v>1097</v>
      </c>
      <c r="E183" s="118">
        <f t="shared" si="56"/>
        <v>0</v>
      </c>
      <c r="F183" s="118">
        <v>0</v>
      </c>
      <c r="G183" s="118">
        <v>0</v>
      </c>
      <c r="H183" s="118">
        <f t="shared" si="57"/>
        <v>1097</v>
      </c>
      <c r="I183" s="118">
        <v>0</v>
      </c>
      <c r="J183" s="118">
        <v>1097</v>
      </c>
      <c r="K183" s="119" t="s">
        <v>318</v>
      </c>
    </row>
    <row r="184" spans="2:11" ht="15.75" customHeight="1" thickBot="1" x14ac:dyDescent="0.25">
      <c r="B184" s="118">
        <f t="shared" si="54"/>
        <v>578</v>
      </c>
      <c r="C184" s="118">
        <f t="shared" si="55"/>
        <v>0</v>
      </c>
      <c r="D184" s="118">
        <f t="shared" si="55"/>
        <v>578</v>
      </c>
      <c r="E184" s="118">
        <f t="shared" si="56"/>
        <v>0</v>
      </c>
      <c r="F184" s="118">
        <v>0</v>
      </c>
      <c r="G184" s="118">
        <v>0</v>
      </c>
      <c r="H184" s="118">
        <f t="shared" si="57"/>
        <v>578</v>
      </c>
      <c r="I184" s="118">
        <v>0</v>
      </c>
      <c r="J184" s="118">
        <v>578</v>
      </c>
      <c r="K184" s="119" t="s">
        <v>319</v>
      </c>
    </row>
    <row r="185" spans="2:11" ht="15.75" customHeight="1" thickBot="1" x14ac:dyDescent="0.25">
      <c r="B185" s="118">
        <f t="shared" si="54"/>
        <v>601</v>
      </c>
      <c r="C185" s="118">
        <f t="shared" si="55"/>
        <v>0</v>
      </c>
      <c r="D185" s="118">
        <f t="shared" si="55"/>
        <v>601</v>
      </c>
      <c r="E185" s="118">
        <f t="shared" si="56"/>
        <v>0</v>
      </c>
      <c r="F185" s="118">
        <v>0</v>
      </c>
      <c r="G185" s="118">
        <v>0</v>
      </c>
      <c r="H185" s="118">
        <f t="shared" si="57"/>
        <v>601</v>
      </c>
      <c r="I185" s="118">
        <v>0</v>
      </c>
      <c r="J185" s="118">
        <v>601</v>
      </c>
      <c r="K185" s="119" t="s">
        <v>320</v>
      </c>
    </row>
    <row r="186" spans="2:11" ht="15.75" customHeight="1" thickBot="1" x14ac:dyDescent="0.25">
      <c r="B186" s="118">
        <f t="shared" si="54"/>
        <v>631</v>
      </c>
      <c r="C186" s="118">
        <f t="shared" si="55"/>
        <v>0</v>
      </c>
      <c r="D186" s="118">
        <f t="shared" si="55"/>
        <v>631</v>
      </c>
      <c r="E186" s="118">
        <f t="shared" si="56"/>
        <v>0</v>
      </c>
      <c r="F186" s="118">
        <v>0</v>
      </c>
      <c r="G186" s="118">
        <v>0</v>
      </c>
      <c r="H186" s="118">
        <f t="shared" si="57"/>
        <v>631</v>
      </c>
      <c r="I186" s="118">
        <v>0</v>
      </c>
      <c r="J186" s="118">
        <v>631</v>
      </c>
      <c r="K186" s="119" t="s">
        <v>321</v>
      </c>
    </row>
    <row r="187" spans="2:11" ht="15.75" customHeight="1" thickBot="1" x14ac:dyDescent="0.25">
      <c r="B187" s="118">
        <f t="shared" si="54"/>
        <v>477</v>
      </c>
      <c r="C187" s="118">
        <f t="shared" si="55"/>
        <v>0</v>
      </c>
      <c r="D187" s="118">
        <f t="shared" si="55"/>
        <v>477</v>
      </c>
      <c r="E187" s="118">
        <f t="shared" si="56"/>
        <v>0</v>
      </c>
      <c r="F187" s="118">
        <v>0</v>
      </c>
      <c r="G187" s="118">
        <v>0</v>
      </c>
      <c r="H187" s="118">
        <f t="shared" si="57"/>
        <v>477</v>
      </c>
      <c r="I187" s="118">
        <v>0</v>
      </c>
      <c r="J187" s="118">
        <v>477</v>
      </c>
      <c r="K187" s="119" t="s">
        <v>322</v>
      </c>
    </row>
    <row r="188" spans="2:11" ht="15.75" customHeight="1" thickBot="1" x14ac:dyDescent="0.25">
      <c r="B188" s="118">
        <f t="shared" si="54"/>
        <v>817</v>
      </c>
      <c r="C188" s="118">
        <f t="shared" si="55"/>
        <v>0</v>
      </c>
      <c r="D188" s="118">
        <f t="shared" si="55"/>
        <v>817</v>
      </c>
      <c r="E188" s="118">
        <f t="shared" si="56"/>
        <v>0</v>
      </c>
      <c r="F188" s="118">
        <v>0</v>
      </c>
      <c r="G188" s="118">
        <v>0</v>
      </c>
      <c r="H188" s="118">
        <f t="shared" si="57"/>
        <v>817</v>
      </c>
      <c r="I188" s="118">
        <v>0</v>
      </c>
      <c r="J188" s="118">
        <v>817</v>
      </c>
      <c r="K188" s="119" t="s">
        <v>323</v>
      </c>
    </row>
    <row r="189" spans="2:11" ht="15.75" customHeight="1" thickBot="1" x14ac:dyDescent="0.25">
      <c r="B189" s="118">
        <f t="shared" si="54"/>
        <v>277</v>
      </c>
      <c r="C189" s="118">
        <f t="shared" si="55"/>
        <v>0</v>
      </c>
      <c r="D189" s="118">
        <f t="shared" si="55"/>
        <v>277</v>
      </c>
      <c r="E189" s="118">
        <f t="shared" si="56"/>
        <v>0</v>
      </c>
      <c r="F189" s="118">
        <v>0</v>
      </c>
      <c r="G189" s="118">
        <v>0</v>
      </c>
      <c r="H189" s="118">
        <f t="shared" si="57"/>
        <v>277</v>
      </c>
      <c r="I189" s="118">
        <v>0</v>
      </c>
      <c r="J189" s="118">
        <v>277</v>
      </c>
      <c r="K189" s="119" t="s">
        <v>324</v>
      </c>
    </row>
    <row r="190" spans="2:11" ht="15.75" customHeight="1" thickBot="1" x14ac:dyDescent="0.25">
      <c r="B190" s="118">
        <f t="shared" si="54"/>
        <v>369</v>
      </c>
      <c r="C190" s="118">
        <f t="shared" si="55"/>
        <v>369</v>
      </c>
      <c r="D190" s="118">
        <f t="shared" si="55"/>
        <v>0</v>
      </c>
      <c r="E190" s="118">
        <f t="shared" si="56"/>
        <v>0</v>
      </c>
      <c r="F190" s="118">
        <v>0</v>
      </c>
      <c r="G190" s="118">
        <v>0</v>
      </c>
      <c r="H190" s="118">
        <f t="shared" si="57"/>
        <v>369</v>
      </c>
      <c r="I190" s="118">
        <f>669-300</f>
        <v>369</v>
      </c>
      <c r="J190" s="118">
        <v>0</v>
      </c>
      <c r="K190" s="119" t="s">
        <v>325</v>
      </c>
    </row>
    <row r="191" spans="2:11" ht="15.75" customHeight="1" thickBot="1" x14ac:dyDescent="0.25">
      <c r="B191" s="118">
        <f t="shared" si="54"/>
        <v>358</v>
      </c>
      <c r="C191" s="118">
        <f t="shared" si="55"/>
        <v>358</v>
      </c>
      <c r="D191" s="118">
        <f t="shared" si="55"/>
        <v>0</v>
      </c>
      <c r="E191" s="118">
        <f t="shared" si="56"/>
        <v>0</v>
      </c>
      <c r="F191" s="118">
        <v>0</v>
      </c>
      <c r="G191" s="118">
        <v>0</v>
      </c>
      <c r="H191" s="118">
        <f t="shared" si="57"/>
        <v>358</v>
      </c>
      <c r="I191" s="118">
        <f>558-200</f>
        <v>358</v>
      </c>
      <c r="J191" s="118">
        <v>0</v>
      </c>
      <c r="K191" s="119" t="s">
        <v>631</v>
      </c>
    </row>
    <row r="192" spans="2:11" ht="15.75" customHeight="1" thickBot="1" x14ac:dyDescent="0.25">
      <c r="B192" s="118">
        <f t="shared" si="54"/>
        <v>148</v>
      </c>
      <c r="C192" s="118">
        <f t="shared" si="55"/>
        <v>148</v>
      </c>
      <c r="D192" s="118">
        <f t="shared" si="55"/>
        <v>0</v>
      </c>
      <c r="E192" s="118">
        <f t="shared" si="56"/>
        <v>0</v>
      </c>
      <c r="F192" s="118">
        <v>0</v>
      </c>
      <c r="G192" s="118">
        <v>0</v>
      </c>
      <c r="H192" s="118">
        <f t="shared" si="57"/>
        <v>148</v>
      </c>
      <c r="I192" s="118">
        <f>248-100</f>
        <v>148</v>
      </c>
      <c r="J192" s="118">
        <v>0</v>
      </c>
      <c r="K192" s="119" t="s">
        <v>327</v>
      </c>
    </row>
    <row r="193" spans="2:11" ht="15.75" customHeight="1" thickBot="1" x14ac:dyDescent="0.25">
      <c r="B193" s="118">
        <f t="shared" si="54"/>
        <v>973</v>
      </c>
      <c r="C193" s="118">
        <f t="shared" si="55"/>
        <v>973</v>
      </c>
      <c r="D193" s="118">
        <f t="shared" si="55"/>
        <v>0</v>
      </c>
      <c r="E193" s="118">
        <f t="shared" si="56"/>
        <v>0</v>
      </c>
      <c r="F193" s="118">
        <v>0</v>
      </c>
      <c r="G193" s="118">
        <v>0</v>
      </c>
      <c r="H193" s="118">
        <f t="shared" si="57"/>
        <v>973</v>
      </c>
      <c r="I193" s="118">
        <f>1473-500</f>
        <v>973</v>
      </c>
      <c r="J193" s="118">
        <v>0</v>
      </c>
      <c r="K193" s="119" t="s">
        <v>328</v>
      </c>
    </row>
    <row r="194" spans="2:11" ht="15.75" customHeight="1" thickBot="1" x14ac:dyDescent="0.25">
      <c r="B194" s="118">
        <f t="shared" si="54"/>
        <v>235</v>
      </c>
      <c r="C194" s="118">
        <f t="shared" si="55"/>
        <v>235</v>
      </c>
      <c r="D194" s="118">
        <f t="shared" si="55"/>
        <v>0</v>
      </c>
      <c r="E194" s="118">
        <f t="shared" si="56"/>
        <v>0</v>
      </c>
      <c r="F194" s="118">
        <v>0</v>
      </c>
      <c r="G194" s="118">
        <v>0</v>
      </c>
      <c r="H194" s="118">
        <f t="shared" si="57"/>
        <v>235</v>
      </c>
      <c r="I194" s="118">
        <f>435-200</f>
        <v>235</v>
      </c>
      <c r="J194" s="118">
        <v>0</v>
      </c>
      <c r="K194" s="119" t="s">
        <v>329</v>
      </c>
    </row>
    <row r="195" spans="2:11" ht="15.75" customHeight="1" thickBot="1" x14ac:dyDescent="0.25">
      <c r="B195" s="118">
        <f t="shared" si="54"/>
        <v>522</v>
      </c>
      <c r="C195" s="118">
        <f t="shared" si="55"/>
        <v>522</v>
      </c>
      <c r="D195" s="118">
        <f t="shared" si="55"/>
        <v>0</v>
      </c>
      <c r="E195" s="118">
        <f t="shared" si="56"/>
        <v>0</v>
      </c>
      <c r="F195" s="118">
        <v>0</v>
      </c>
      <c r="G195" s="118">
        <v>0</v>
      </c>
      <c r="H195" s="118">
        <f t="shared" si="57"/>
        <v>522</v>
      </c>
      <c r="I195" s="118">
        <f>772-250</f>
        <v>522</v>
      </c>
      <c r="J195" s="118">
        <v>0</v>
      </c>
      <c r="K195" s="119" t="s">
        <v>330</v>
      </c>
    </row>
    <row r="196" spans="2:11" ht="15.75" customHeight="1" thickBot="1" x14ac:dyDescent="0.25">
      <c r="B196" s="118">
        <f t="shared" si="54"/>
        <v>223</v>
      </c>
      <c r="C196" s="118">
        <f t="shared" si="55"/>
        <v>223</v>
      </c>
      <c r="D196" s="118">
        <f t="shared" si="55"/>
        <v>0</v>
      </c>
      <c r="E196" s="118">
        <f t="shared" si="56"/>
        <v>0</v>
      </c>
      <c r="F196" s="118">
        <v>0</v>
      </c>
      <c r="G196" s="118">
        <v>0</v>
      </c>
      <c r="H196" s="118">
        <f t="shared" si="57"/>
        <v>223</v>
      </c>
      <c r="I196" s="118">
        <f>423-200</f>
        <v>223</v>
      </c>
      <c r="J196" s="118">
        <v>0</v>
      </c>
      <c r="K196" s="119" t="s">
        <v>331</v>
      </c>
    </row>
    <row r="197" spans="2:11" ht="15.75" customHeight="1" thickBot="1" x14ac:dyDescent="0.25">
      <c r="B197" s="118">
        <f t="shared" si="54"/>
        <v>235</v>
      </c>
      <c r="C197" s="118">
        <f t="shared" si="55"/>
        <v>235</v>
      </c>
      <c r="D197" s="118">
        <f t="shared" si="55"/>
        <v>0</v>
      </c>
      <c r="E197" s="118">
        <f t="shared" si="56"/>
        <v>0</v>
      </c>
      <c r="F197" s="118">
        <v>0</v>
      </c>
      <c r="G197" s="118">
        <v>0</v>
      </c>
      <c r="H197" s="118">
        <f t="shared" si="57"/>
        <v>235</v>
      </c>
      <c r="I197" s="118">
        <f>335-100</f>
        <v>235</v>
      </c>
      <c r="J197" s="118">
        <v>0</v>
      </c>
      <c r="K197" s="119" t="s">
        <v>332</v>
      </c>
    </row>
    <row r="198" spans="2:11" ht="15.75" customHeight="1" thickBot="1" x14ac:dyDescent="0.25">
      <c r="B198" s="118">
        <f t="shared" si="54"/>
        <v>155</v>
      </c>
      <c r="C198" s="118">
        <f t="shared" si="55"/>
        <v>155</v>
      </c>
      <c r="D198" s="118">
        <f t="shared" si="55"/>
        <v>0</v>
      </c>
      <c r="E198" s="118">
        <f t="shared" si="56"/>
        <v>0</v>
      </c>
      <c r="F198" s="118">
        <v>0</v>
      </c>
      <c r="G198" s="118">
        <v>0</v>
      </c>
      <c r="H198" s="118">
        <f t="shared" si="57"/>
        <v>155</v>
      </c>
      <c r="I198" s="118">
        <f>255-100</f>
        <v>155</v>
      </c>
      <c r="J198" s="118">
        <v>0</v>
      </c>
      <c r="K198" s="119" t="s">
        <v>333</v>
      </c>
    </row>
    <row r="199" spans="2:11" ht="15.75" customHeight="1" thickBot="1" x14ac:dyDescent="0.25">
      <c r="B199" s="118">
        <f t="shared" ref="B199:J199" si="58">SUM(B155:B198)</f>
        <v>68990</v>
      </c>
      <c r="C199" s="118">
        <f t="shared" si="58"/>
        <v>3218</v>
      </c>
      <c r="D199" s="118">
        <f t="shared" si="58"/>
        <v>65772</v>
      </c>
      <c r="E199" s="118">
        <f t="shared" si="58"/>
        <v>0</v>
      </c>
      <c r="F199" s="118">
        <f t="shared" si="58"/>
        <v>0</v>
      </c>
      <c r="G199" s="118">
        <f t="shared" si="58"/>
        <v>0</v>
      </c>
      <c r="H199" s="118">
        <f t="shared" si="58"/>
        <v>68990</v>
      </c>
      <c r="I199" s="118">
        <f t="shared" si="58"/>
        <v>3218</v>
      </c>
      <c r="J199" s="118">
        <f t="shared" si="58"/>
        <v>65772</v>
      </c>
      <c r="K199" s="117" t="s">
        <v>188</v>
      </c>
    </row>
    <row r="200" spans="2:11" ht="15.75" customHeight="1" thickBot="1" x14ac:dyDescent="0.25">
      <c r="B200" s="534" t="s">
        <v>4</v>
      </c>
      <c r="C200" s="534"/>
      <c r="D200" s="534"/>
      <c r="E200" s="534" t="s">
        <v>145</v>
      </c>
      <c r="F200" s="534"/>
      <c r="G200" s="534"/>
      <c r="H200" s="534" t="s">
        <v>146</v>
      </c>
      <c r="I200" s="534"/>
      <c r="J200" s="534"/>
      <c r="K200" s="202" t="s">
        <v>66</v>
      </c>
    </row>
    <row r="201" spans="2:11" ht="15.75" customHeight="1" thickBot="1" x14ac:dyDescent="0.25">
      <c r="B201" s="186" t="s">
        <v>227</v>
      </c>
      <c r="C201" s="186" t="s">
        <v>10</v>
      </c>
      <c r="D201" s="186" t="s">
        <v>9</v>
      </c>
      <c r="E201" s="186" t="s">
        <v>227</v>
      </c>
      <c r="F201" s="186" t="s">
        <v>10</v>
      </c>
      <c r="G201" s="186" t="s">
        <v>9</v>
      </c>
      <c r="H201" s="186" t="s">
        <v>227</v>
      </c>
      <c r="I201" s="186" t="s">
        <v>10</v>
      </c>
      <c r="J201" s="186" t="s">
        <v>9</v>
      </c>
      <c r="K201" s="187" t="s">
        <v>228</v>
      </c>
    </row>
    <row r="202" spans="2:11" ht="15.75" customHeight="1" thickBot="1" x14ac:dyDescent="0.25">
      <c r="B202" s="118">
        <f>SUM(C202:D202)</f>
        <v>2717</v>
      </c>
      <c r="C202" s="118">
        <f>I202+F202</f>
        <v>0</v>
      </c>
      <c r="D202" s="118">
        <f>J202+G202</f>
        <v>2717</v>
      </c>
      <c r="E202" s="118">
        <f>SUM(F202:G202)</f>
        <v>16</v>
      </c>
      <c r="F202" s="118">
        <v>0</v>
      </c>
      <c r="G202" s="118">
        <v>16</v>
      </c>
      <c r="H202" s="118">
        <f>SUM(I202:J202)</f>
        <v>2701</v>
      </c>
      <c r="I202" s="118">
        <v>0</v>
      </c>
      <c r="J202" s="118">
        <v>2701</v>
      </c>
      <c r="K202" s="266" t="s">
        <v>334</v>
      </c>
    </row>
    <row r="203" spans="2:11" ht="15.75" customHeight="1" thickBot="1" x14ac:dyDescent="0.25">
      <c r="B203" s="118">
        <f>SUM(C203:D203)</f>
        <v>1649</v>
      </c>
      <c r="C203" s="118">
        <f>I203+F203</f>
        <v>0</v>
      </c>
      <c r="D203" s="118">
        <f>J203+G203</f>
        <v>1649</v>
      </c>
      <c r="E203" s="118">
        <f>SUM(F203:G203)</f>
        <v>0</v>
      </c>
      <c r="F203" s="118">
        <v>0</v>
      </c>
      <c r="G203" s="118">
        <v>0</v>
      </c>
      <c r="H203" s="118">
        <f>SUM(I203:J203)</f>
        <v>1649</v>
      </c>
      <c r="I203" s="118">
        <v>0</v>
      </c>
      <c r="J203" s="118">
        <v>1649</v>
      </c>
      <c r="K203" s="266" t="s">
        <v>335</v>
      </c>
    </row>
    <row r="204" spans="2:11" ht="15.75" customHeight="1" thickBot="1" x14ac:dyDescent="0.25">
      <c r="B204" s="118">
        <f t="shared" ref="B204:J204" si="59">SUM(B202:B203)</f>
        <v>4366</v>
      </c>
      <c r="C204" s="118">
        <f t="shared" si="59"/>
        <v>0</v>
      </c>
      <c r="D204" s="118">
        <f t="shared" si="59"/>
        <v>4366</v>
      </c>
      <c r="E204" s="118">
        <f t="shared" si="59"/>
        <v>16</v>
      </c>
      <c r="F204" s="118">
        <f t="shared" si="59"/>
        <v>0</v>
      </c>
      <c r="G204" s="118">
        <f t="shared" si="59"/>
        <v>16</v>
      </c>
      <c r="H204" s="118">
        <f t="shared" si="59"/>
        <v>4350</v>
      </c>
      <c r="I204" s="118">
        <f t="shared" si="59"/>
        <v>0</v>
      </c>
      <c r="J204" s="118">
        <f t="shared" si="59"/>
        <v>4350</v>
      </c>
      <c r="K204" s="187" t="s">
        <v>188</v>
      </c>
    </row>
    <row r="205" spans="2:11" ht="15.75" customHeight="1" thickBot="1" x14ac:dyDescent="0.25">
      <c r="B205" s="534" t="s">
        <v>4</v>
      </c>
      <c r="C205" s="534"/>
      <c r="D205" s="534"/>
      <c r="E205" s="534" t="s">
        <v>145</v>
      </c>
      <c r="F205" s="534"/>
      <c r="G205" s="534"/>
      <c r="H205" s="534" t="s">
        <v>146</v>
      </c>
      <c r="I205" s="534"/>
      <c r="J205" s="534"/>
      <c r="K205" s="202" t="s">
        <v>66</v>
      </c>
    </row>
    <row r="206" spans="2:11" ht="15.75" customHeight="1" thickBot="1" x14ac:dyDescent="0.25">
      <c r="B206" s="186" t="s">
        <v>227</v>
      </c>
      <c r="C206" s="186" t="s">
        <v>10</v>
      </c>
      <c r="D206" s="186" t="s">
        <v>9</v>
      </c>
      <c r="E206" s="186" t="s">
        <v>227</v>
      </c>
      <c r="F206" s="186" t="s">
        <v>10</v>
      </c>
      <c r="G206" s="186" t="s">
        <v>9</v>
      </c>
      <c r="H206" s="186" t="s">
        <v>227</v>
      </c>
      <c r="I206" s="186" t="s">
        <v>10</v>
      </c>
      <c r="J206" s="186" t="s">
        <v>9</v>
      </c>
      <c r="K206" s="187" t="s">
        <v>153</v>
      </c>
    </row>
    <row r="207" spans="2:11" ht="15.75" customHeight="1" thickBot="1" x14ac:dyDescent="0.25">
      <c r="B207" s="118">
        <f>SUM(C207:D207)</f>
        <v>2443</v>
      </c>
      <c r="C207" s="118">
        <f>I207+F207</f>
        <v>324</v>
      </c>
      <c r="D207" s="118">
        <f>J207+G207</f>
        <v>2119</v>
      </c>
      <c r="E207" s="118">
        <f>SUM(F207:G207)</f>
        <v>0</v>
      </c>
      <c r="F207" s="118">
        <v>0</v>
      </c>
      <c r="G207" s="118">
        <v>0</v>
      </c>
      <c r="H207" s="118">
        <f>SUM(I207:J207)</f>
        <v>2443</v>
      </c>
      <c r="I207" s="118">
        <v>324</v>
      </c>
      <c r="J207" s="118">
        <v>2119</v>
      </c>
      <c r="K207" s="266" t="s">
        <v>153</v>
      </c>
    </row>
    <row r="208" spans="2:11" ht="15.75" customHeight="1" thickBot="1" x14ac:dyDescent="0.25">
      <c r="B208" s="118">
        <f t="shared" ref="B208:J208" si="60">SUM(B207)</f>
        <v>2443</v>
      </c>
      <c r="C208" s="118">
        <f t="shared" si="60"/>
        <v>324</v>
      </c>
      <c r="D208" s="118">
        <f t="shared" si="60"/>
        <v>2119</v>
      </c>
      <c r="E208" s="118">
        <f t="shared" si="60"/>
        <v>0</v>
      </c>
      <c r="F208" s="118">
        <f t="shared" si="60"/>
        <v>0</v>
      </c>
      <c r="G208" s="118">
        <f t="shared" si="60"/>
        <v>0</v>
      </c>
      <c r="H208" s="118">
        <f t="shared" si="60"/>
        <v>2443</v>
      </c>
      <c r="I208" s="118">
        <f t="shared" si="60"/>
        <v>324</v>
      </c>
      <c r="J208" s="118">
        <f t="shared" si="60"/>
        <v>2119</v>
      </c>
      <c r="K208" s="187" t="s">
        <v>188</v>
      </c>
    </row>
    <row r="209" spans="2:11" ht="15.75" customHeight="1" thickBot="1" x14ac:dyDescent="0.25">
      <c r="B209" s="534" t="s">
        <v>4</v>
      </c>
      <c r="C209" s="534"/>
      <c r="D209" s="534"/>
      <c r="E209" s="534" t="s">
        <v>145</v>
      </c>
      <c r="F209" s="534"/>
      <c r="G209" s="534"/>
      <c r="H209" s="534" t="s">
        <v>146</v>
      </c>
      <c r="I209" s="534"/>
      <c r="J209" s="534"/>
      <c r="K209" s="202" t="s">
        <v>66</v>
      </c>
    </row>
    <row r="210" spans="2:11" ht="15.75" customHeight="1" thickBot="1" x14ac:dyDescent="0.25">
      <c r="B210" s="186" t="s">
        <v>227</v>
      </c>
      <c r="C210" s="186" t="s">
        <v>10</v>
      </c>
      <c r="D210" s="186" t="s">
        <v>9</v>
      </c>
      <c r="E210" s="186" t="s">
        <v>227</v>
      </c>
      <c r="F210" s="186" t="s">
        <v>10</v>
      </c>
      <c r="G210" s="186" t="s">
        <v>9</v>
      </c>
      <c r="H210" s="186" t="s">
        <v>227</v>
      </c>
      <c r="I210" s="186" t="s">
        <v>10</v>
      </c>
      <c r="J210" s="186" t="s">
        <v>9</v>
      </c>
      <c r="K210" s="187" t="s">
        <v>152</v>
      </c>
    </row>
    <row r="211" spans="2:11" ht="15.75" customHeight="1" thickBot="1" x14ac:dyDescent="0.25">
      <c r="B211" s="118">
        <f>H211+E211</f>
        <v>211</v>
      </c>
      <c r="C211" s="118">
        <f>I211+F211</f>
        <v>93</v>
      </c>
      <c r="D211" s="118">
        <f>J211+G211</f>
        <v>118</v>
      </c>
      <c r="E211" s="118">
        <f>G211+F211</f>
        <v>0</v>
      </c>
      <c r="F211" s="118">
        <v>0</v>
      </c>
      <c r="G211" s="118">
        <v>0</v>
      </c>
      <c r="H211" s="118">
        <f>J211+I211</f>
        <v>211</v>
      </c>
      <c r="I211" s="118">
        <v>93</v>
      </c>
      <c r="J211" s="118">
        <v>118</v>
      </c>
      <c r="K211" s="266" t="s">
        <v>336</v>
      </c>
    </row>
    <row r="212" spans="2:11" ht="15.75" customHeight="1" thickBot="1" x14ac:dyDescent="0.25">
      <c r="B212" s="118">
        <f t="shared" ref="B212:J212" si="61">SUM(B211)</f>
        <v>211</v>
      </c>
      <c r="C212" s="118">
        <f t="shared" si="61"/>
        <v>93</v>
      </c>
      <c r="D212" s="118">
        <f t="shared" si="61"/>
        <v>118</v>
      </c>
      <c r="E212" s="118">
        <f t="shared" si="61"/>
        <v>0</v>
      </c>
      <c r="F212" s="118">
        <f t="shared" si="61"/>
        <v>0</v>
      </c>
      <c r="G212" s="118">
        <f t="shared" si="61"/>
        <v>0</v>
      </c>
      <c r="H212" s="118">
        <f t="shared" si="61"/>
        <v>211</v>
      </c>
      <c r="I212" s="118">
        <f t="shared" si="61"/>
        <v>93</v>
      </c>
      <c r="J212" s="118">
        <f t="shared" si="61"/>
        <v>118</v>
      </c>
      <c r="K212" s="187" t="s">
        <v>188</v>
      </c>
    </row>
  </sheetData>
  <mergeCells count="73">
    <mergeCell ref="B205:D205"/>
    <mergeCell ref="E205:G205"/>
    <mergeCell ref="H205:J205"/>
    <mergeCell ref="B209:D209"/>
    <mergeCell ref="E209:G209"/>
    <mergeCell ref="H209:J209"/>
    <mergeCell ref="B153:D153"/>
    <mergeCell ref="E153:G153"/>
    <mergeCell ref="H153:J153"/>
    <mergeCell ref="B200:D200"/>
    <mergeCell ref="E200:G200"/>
    <mergeCell ref="H200:J200"/>
    <mergeCell ref="B140:D140"/>
    <mergeCell ref="E140:G140"/>
    <mergeCell ref="H140:J140"/>
    <mergeCell ref="B148:D148"/>
    <mergeCell ref="E148:G148"/>
    <mergeCell ref="H148:J148"/>
    <mergeCell ref="B130:D130"/>
    <mergeCell ref="E130:G130"/>
    <mergeCell ref="H130:J130"/>
    <mergeCell ref="B136:D136"/>
    <mergeCell ref="E136:G136"/>
    <mergeCell ref="H136:J136"/>
    <mergeCell ref="B118:D118"/>
    <mergeCell ref="E118:G118"/>
    <mergeCell ref="H118:J118"/>
    <mergeCell ref="B124:D124"/>
    <mergeCell ref="E124:G124"/>
    <mergeCell ref="H124:J124"/>
    <mergeCell ref="B105:D105"/>
    <mergeCell ref="E105:G105"/>
    <mergeCell ref="H105:J105"/>
    <mergeCell ref="B112:D112"/>
    <mergeCell ref="E112:G112"/>
    <mergeCell ref="H112:J112"/>
    <mergeCell ref="B89:D89"/>
    <mergeCell ref="E89:G89"/>
    <mergeCell ref="H89:J89"/>
    <mergeCell ref="B96:D96"/>
    <mergeCell ref="E96:G96"/>
    <mergeCell ref="H96:J96"/>
    <mergeCell ref="B76:D76"/>
    <mergeCell ref="E76:G76"/>
    <mergeCell ref="H76:J76"/>
    <mergeCell ref="B83:D83"/>
    <mergeCell ref="E83:G83"/>
    <mergeCell ref="H83:J83"/>
    <mergeCell ref="B50:D50"/>
    <mergeCell ref="E50:G50"/>
    <mergeCell ref="H50:J50"/>
    <mergeCell ref="B61:D61"/>
    <mergeCell ref="E61:G61"/>
    <mergeCell ref="H61:J61"/>
    <mergeCell ref="B37:D37"/>
    <mergeCell ref="E37:G37"/>
    <mergeCell ref="H37:J37"/>
    <mergeCell ref="B45:D45"/>
    <mergeCell ref="E45:G45"/>
    <mergeCell ref="H45:J45"/>
    <mergeCell ref="B15:D15"/>
    <mergeCell ref="E15:G15"/>
    <mergeCell ref="H15:J15"/>
    <mergeCell ref="B22:D22"/>
    <mergeCell ref="E22:G22"/>
    <mergeCell ref="H22:J22"/>
    <mergeCell ref="B11:D11"/>
    <mergeCell ref="E11:G11"/>
    <mergeCell ref="H11:J11"/>
    <mergeCell ref="B2:K2"/>
    <mergeCell ref="B4:D4"/>
    <mergeCell ref="E4:G4"/>
    <mergeCell ref="H4:J4"/>
  </mergeCells>
  <pageMargins left="1.1299999999999999" right="0.42" top="0.25" bottom="0.25" header="0.25" footer="0.25"/>
  <pageSetup paperSize="9" scale="97" orientation="landscape" r:id="rId1"/>
  <headerFooter alignWithMargins="0"/>
  <rowBreaks count="7" manualBreakCount="7">
    <brk id="36" min="1" max="10" man="1"/>
    <brk id="60" min="1" max="10" man="1"/>
    <brk id="75" min="1" max="10" man="1"/>
    <brk id="104" min="1" max="10" man="1"/>
    <brk id="135" min="1" max="10" man="1"/>
    <brk id="152" min="1" max="10" man="1"/>
    <brk id="180" min="1" max="10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M1152"/>
  <sheetViews>
    <sheetView showGridLines="0" zoomScaleSheetLayoutView="94" workbookViewId="0">
      <selection activeCell="K4" sqref="K4:L4"/>
    </sheetView>
  </sheetViews>
  <sheetFormatPr defaultColWidth="9.125" defaultRowHeight="15" customHeight="1" x14ac:dyDescent="0.2"/>
  <cols>
    <col min="1" max="1" width="9.125" style="275"/>
    <col min="2" max="9" width="11.625" style="276" bestFit="1" customWidth="1"/>
    <col min="10" max="10" width="11.625" style="252" bestFit="1" customWidth="1"/>
    <col min="11" max="11" width="9.125" style="253"/>
    <col min="12" max="12" width="38.75" style="254" bestFit="1" customWidth="1"/>
    <col min="13" max="16384" width="9.125" style="56"/>
  </cols>
  <sheetData>
    <row r="2" spans="1:12" ht="15" customHeight="1" x14ac:dyDescent="0.25">
      <c r="A2" s="253"/>
      <c r="B2" s="540" t="s">
        <v>632</v>
      </c>
      <c r="C2" s="540"/>
      <c r="D2" s="540"/>
      <c r="E2" s="540"/>
      <c r="F2" s="540"/>
      <c r="G2" s="540"/>
      <c r="H2" s="540"/>
      <c r="I2" s="540"/>
      <c r="J2" s="540"/>
      <c r="K2" s="540"/>
      <c r="L2" s="540"/>
    </row>
    <row r="4" spans="1:12" ht="15" customHeight="1" thickBot="1" x14ac:dyDescent="0.25">
      <c r="A4" s="253"/>
      <c r="B4" s="541" t="s">
        <v>4</v>
      </c>
      <c r="C4" s="541"/>
      <c r="D4" s="541"/>
      <c r="E4" s="541" t="s">
        <v>145</v>
      </c>
      <c r="F4" s="541"/>
      <c r="G4" s="541"/>
      <c r="H4" s="541" t="s">
        <v>146</v>
      </c>
      <c r="I4" s="541"/>
      <c r="J4" s="541"/>
      <c r="K4" s="542" t="s">
        <v>66</v>
      </c>
      <c r="L4" s="543"/>
    </row>
    <row r="5" spans="1:12" ht="15" customHeight="1" thickBot="1" x14ac:dyDescent="0.25">
      <c r="A5" s="253"/>
      <c r="B5" s="185" t="s">
        <v>227</v>
      </c>
      <c r="C5" s="185" t="s">
        <v>10</v>
      </c>
      <c r="D5" s="185" t="s">
        <v>9</v>
      </c>
      <c r="E5" s="185" t="s">
        <v>227</v>
      </c>
      <c r="F5" s="185" t="s">
        <v>10</v>
      </c>
      <c r="G5" s="185" t="s">
        <v>9</v>
      </c>
      <c r="H5" s="185" t="s">
        <v>227</v>
      </c>
      <c r="I5" s="185" t="s">
        <v>10</v>
      </c>
      <c r="J5" s="185" t="s">
        <v>9</v>
      </c>
      <c r="K5" s="480" t="s">
        <v>68</v>
      </c>
      <c r="L5" s="544"/>
    </row>
    <row r="6" spans="1:12" ht="15" customHeight="1" thickBot="1" x14ac:dyDescent="0.25">
      <c r="A6" s="253"/>
      <c r="B6" s="47">
        <f>SUM(C6:D6)</f>
        <v>5140</v>
      </c>
      <c r="C6" s="47">
        <f>I6+F6</f>
        <v>1852</v>
      </c>
      <c r="D6" s="47">
        <f>J6+G6</f>
        <v>3288</v>
      </c>
      <c r="E6" s="47">
        <f>SUM(F6:G6)</f>
        <v>146</v>
      </c>
      <c r="F6" s="47">
        <v>57</v>
      </c>
      <c r="G6" s="47">
        <f>189-100</f>
        <v>89</v>
      </c>
      <c r="H6" s="47">
        <f>SUM(I6:J6)</f>
        <v>4994</v>
      </c>
      <c r="I6" s="47">
        <f>2245-450</f>
        <v>1795</v>
      </c>
      <c r="J6" s="47">
        <f>3609-510+100</f>
        <v>3199</v>
      </c>
      <c r="K6" s="188" t="s">
        <v>233</v>
      </c>
      <c r="L6" s="267"/>
    </row>
    <row r="7" spans="1:12" ht="15" customHeight="1" thickBot="1" x14ac:dyDescent="0.25">
      <c r="A7" s="253"/>
      <c r="B7" s="47">
        <f>SUM(C7:D7)</f>
        <v>0</v>
      </c>
      <c r="C7" s="47">
        <f>I7+F7</f>
        <v>0</v>
      </c>
      <c r="D7" s="47">
        <f>J7+G7</f>
        <v>0</v>
      </c>
      <c r="E7" s="47">
        <f>SUM(F7:G7)</f>
        <v>0</v>
      </c>
      <c r="F7" s="47">
        <v>0</v>
      </c>
      <c r="G7" s="47">
        <v>0</v>
      </c>
      <c r="H7" s="47">
        <f>SUM(I7:J7)</f>
        <v>0</v>
      </c>
      <c r="I7" s="47">
        <v>0</v>
      </c>
      <c r="J7" s="47">
        <v>0</v>
      </c>
      <c r="K7" s="188" t="s">
        <v>234</v>
      </c>
      <c r="L7" s="267" t="s">
        <v>339</v>
      </c>
    </row>
    <row r="8" spans="1:12" ht="15" customHeight="1" thickBot="1" x14ac:dyDescent="0.25">
      <c r="A8" s="253"/>
      <c r="B8" s="47">
        <f t="shared" ref="B8:J8" si="0">SUM(B6:B7)</f>
        <v>5140</v>
      </c>
      <c r="C8" s="47">
        <f t="shared" si="0"/>
        <v>1852</v>
      </c>
      <c r="D8" s="47">
        <f t="shared" si="0"/>
        <v>3288</v>
      </c>
      <c r="E8" s="47">
        <f t="shared" si="0"/>
        <v>146</v>
      </c>
      <c r="F8" s="47">
        <f t="shared" si="0"/>
        <v>57</v>
      </c>
      <c r="G8" s="47">
        <f t="shared" si="0"/>
        <v>89</v>
      </c>
      <c r="H8" s="47">
        <f t="shared" si="0"/>
        <v>4994</v>
      </c>
      <c r="I8" s="47">
        <f t="shared" si="0"/>
        <v>1795</v>
      </c>
      <c r="J8" s="47">
        <f t="shared" si="0"/>
        <v>3199</v>
      </c>
      <c r="K8" s="188" t="s">
        <v>12</v>
      </c>
      <c r="L8" s="268"/>
    </row>
    <row r="9" spans="1:12" ht="15" customHeight="1" thickBot="1" x14ac:dyDescent="0.25">
      <c r="A9" s="253"/>
      <c r="B9" s="47">
        <f>SUM(C9:D9)</f>
        <v>2041</v>
      </c>
      <c r="C9" s="47">
        <f>I9+F9</f>
        <v>1413</v>
      </c>
      <c r="D9" s="47">
        <f>J9+G9</f>
        <v>628</v>
      </c>
      <c r="E9" s="47">
        <f>SUM(F9:G9)</f>
        <v>29</v>
      </c>
      <c r="F9" s="47">
        <v>25</v>
      </c>
      <c r="G9" s="47">
        <v>4</v>
      </c>
      <c r="H9" s="47">
        <f>SUM(I9:J9)</f>
        <v>2012</v>
      </c>
      <c r="I9" s="47">
        <f>1838-450</f>
        <v>1388</v>
      </c>
      <c r="J9" s="47">
        <v>624</v>
      </c>
      <c r="K9" s="188" t="s">
        <v>233</v>
      </c>
      <c r="L9" s="267"/>
    </row>
    <row r="10" spans="1:12" ht="15" customHeight="1" thickBot="1" x14ac:dyDescent="0.25">
      <c r="A10" s="253"/>
      <c r="B10" s="47">
        <f>SUM(C10:D10)</f>
        <v>0</v>
      </c>
      <c r="C10" s="47">
        <f>I10+F10</f>
        <v>0</v>
      </c>
      <c r="D10" s="47">
        <f>J10+G10</f>
        <v>0</v>
      </c>
      <c r="E10" s="47">
        <f>SUM(F10:G10)</f>
        <v>0</v>
      </c>
      <c r="F10" s="47">
        <v>0</v>
      </c>
      <c r="G10" s="47">
        <v>0</v>
      </c>
      <c r="H10" s="47">
        <f>SUM(I10:J10)</f>
        <v>0</v>
      </c>
      <c r="I10" s="47">
        <v>0</v>
      </c>
      <c r="J10" s="47">
        <v>0</v>
      </c>
      <c r="K10" s="188" t="s">
        <v>234</v>
      </c>
      <c r="L10" s="267" t="s">
        <v>340</v>
      </c>
    </row>
    <row r="11" spans="1:12" ht="15" customHeight="1" thickBot="1" x14ac:dyDescent="0.25">
      <c r="A11" s="253"/>
      <c r="B11" s="47">
        <f t="shared" ref="B11:J11" si="1">SUM(B9:B10)</f>
        <v>2041</v>
      </c>
      <c r="C11" s="47">
        <f t="shared" si="1"/>
        <v>1413</v>
      </c>
      <c r="D11" s="47">
        <f t="shared" si="1"/>
        <v>628</v>
      </c>
      <c r="E11" s="47">
        <f t="shared" si="1"/>
        <v>29</v>
      </c>
      <c r="F11" s="47">
        <f t="shared" si="1"/>
        <v>25</v>
      </c>
      <c r="G11" s="47">
        <f t="shared" si="1"/>
        <v>4</v>
      </c>
      <c r="H11" s="47">
        <f t="shared" si="1"/>
        <v>2012</v>
      </c>
      <c r="I11" s="47">
        <f t="shared" si="1"/>
        <v>1388</v>
      </c>
      <c r="J11" s="47">
        <f t="shared" si="1"/>
        <v>624</v>
      </c>
      <c r="K11" s="188" t="s">
        <v>12</v>
      </c>
      <c r="L11" s="268"/>
    </row>
    <row r="12" spans="1:12" ht="15" customHeight="1" thickBot="1" x14ac:dyDescent="0.25">
      <c r="A12" s="253"/>
      <c r="B12" s="47">
        <f>SUM(C12:D12)</f>
        <v>3957</v>
      </c>
      <c r="C12" s="47">
        <f>I12+F12</f>
        <v>1623</v>
      </c>
      <c r="D12" s="47">
        <f>J12+G12</f>
        <v>2334</v>
      </c>
      <c r="E12" s="47">
        <f>SUM(F12:G12)</f>
        <v>30</v>
      </c>
      <c r="F12" s="47">
        <v>21</v>
      </c>
      <c r="G12" s="47">
        <v>9</v>
      </c>
      <c r="H12" s="47">
        <f>SUM(I12:J12)</f>
        <v>3927</v>
      </c>
      <c r="I12" s="47">
        <f>2152-550</f>
        <v>1602</v>
      </c>
      <c r="J12" s="47">
        <f>2835-510</f>
        <v>2325</v>
      </c>
      <c r="K12" s="188" t="s">
        <v>233</v>
      </c>
      <c r="L12" s="267"/>
    </row>
    <row r="13" spans="1:12" ht="15" customHeight="1" thickBot="1" x14ac:dyDescent="0.25">
      <c r="A13" s="253"/>
      <c r="B13" s="47">
        <f>SUM(C13:D13)</f>
        <v>0</v>
      </c>
      <c r="C13" s="47">
        <f>I13+F13</f>
        <v>0</v>
      </c>
      <c r="D13" s="47">
        <f>J13+G13</f>
        <v>0</v>
      </c>
      <c r="E13" s="47">
        <f>SUM(F13:G13)</f>
        <v>0</v>
      </c>
      <c r="F13" s="47">
        <v>0</v>
      </c>
      <c r="G13" s="47">
        <v>0</v>
      </c>
      <c r="H13" s="47">
        <f>SUM(I13:J13)</f>
        <v>0</v>
      </c>
      <c r="I13" s="47">
        <v>0</v>
      </c>
      <c r="J13" s="47">
        <v>0</v>
      </c>
      <c r="K13" s="188" t="s">
        <v>234</v>
      </c>
      <c r="L13" s="267" t="s">
        <v>341</v>
      </c>
    </row>
    <row r="14" spans="1:12" ht="15" customHeight="1" thickBot="1" x14ac:dyDescent="0.25">
      <c r="A14" s="253"/>
      <c r="B14" s="47">
        <f t="shared" ref="B14:J14" si="2">SUM(B12:B13)</f>
        <v>3957</v>
      </c>
      <c r="C14" s="47">
        <f t="shared" si="2"/>
        <v>1623</v>
      </c>
      <c r="D14" s="47">
        <f t="shared" si="2"/>
        <v>2334</v>
      </c>
      <c r="E14" s="47">
        <f t="shared" si="2"/>
        <v>30</v>
      </c>
      <c r="F14" s="47">
        <f t="shared" si="2"/>
        <v>21</v>
      </c>
      <c r="G14" s="47">
        <f t="shared" si="2"/>
        <v>9</v>
      </c>
      <c r="H14" s="47">
        <f t="shared" si="2"/>
        <v>3927</v>
      </c>
      <c r="I14" s="47">
        <f t="shared" si="2"/>
        <v>1602</v>
      </c>
      <c r="J14" s="47">
        <f t="shared" si="2"/>
        <v>2325</v>
      </c>
      <c r="K14" s="188" t="s">
        <v>12</v>
      </c>
      <c r="L14" s="268"/>
    </row>
    <row r="15" spans="1:12" ht="15" customHeight="1" thickBot="1" x14ac:dyDescent="0.25">
      <c r="A15" s="253"/>
      <c r="B15" s="47">
        <f>SUM(C15:D15)</f>
        <v>5716</v>
      </c>
      <c r="C15" s="47">
        <f>I15+F15</f>
        <v>3285</v>
      </c>
      <c r="D15" s="47">
        <f>J15+G15</f>
        <v>2431</v>
      </c>
      <c r="E15" s="47">
        <f>SUM(F15:G15)</f>
        <v>107</v>
      </c>
      <c r="F15" s="47">
        <v>79</v>
      </c>
      <c r="G15" s="47">
        <v>28</v>
      </c>
      <c r="H15" s="47">
        <f>SUM(I15:J15)</f>
        <v>5609</v>
      </c>
      <c r="I15" s="47">
        <f>4206-1000</f>
        <v>3206</v>
      </c>
      <c r="J15" s="47">
        <f>2913-510</f>
        <v>2403</v>
      </c>
      <c r="K15" s="188" t="s">
        <v>233</v>
      </c>
      <c r="L15" s="267"/>
    </row>
    <row r="16" spans="1:12" ht="15" customHeight="1" thickBot="1" x14ac:dyDescent="0.25">
      <c r="A16" s="253"/>
      <c r="B16" s="47">
        <f>SUM(C16:D16)</f>
        <v>0</v>
      </c>
      <c r="C16" s="47">
        <f>I16+F16</f>
        <v>0</v>
      </c>
      <c r="D16" s="47">
        <f>J16+G16</f>
        <v>0</v>
      </c>
      <c r="E16" s="47">
        <f>SUM(F16:G16)</f>
        <v>0</v>
      </c>
      <c r="F16" s="47">
        <v>0</v>
      </c>
      <c r="G16" s="47">
        <v>0</v>
      </c>
      <c r="H16" s="47">
        <f>SUM(I16:J16)</f>
        <v>0</v>
      </c>
      <c r="I16" s="47">
        <v>0</v>
      </c>
      <c r="J16" s="47">
        <v>0</v>
      </c>
      <c r="K16" s="188" t="s">
        <v>234</v>
      </c>
      <c r="L16" s="267" t="s">
        <v>342</v>
      </c>
    </row>
    <row r="17" spans="1:12" ht="15" customHeight="1" thickBot="1" x14ac:dyDescent="0.25">
      <c r="A17" s="253"/>
      <c r="B17" s="47">
        <f t="shared" ref="B17:J17" si="3">SUM(B15:B16)</f>
        <v>5716</v>
      </c>
      <c r="C17" s="47">
        <f t="shared" si="3"/>
        <v>3285</v>
      </c>
      <c r="D17" s="47">
        <f t="shared" si="3"/>
        <v>2431</v>
      </c>
      <c r="E17" s="47">
        <f t="shared" si="3"/>
        <v>107</v>
      </c>
      <c r="F17" s="47">
        <f t="shared" si="3"/>
        <v>79</v>
      </c>
      <c r="G17" s="47">
        <f t="shared" si="3"/>
        <v>28</v>
      </c>
      <c r="H17" s="47">
        <f t="shared" si="3"/>
        <v>5609</v>
      </c>
      <c r="I17" s="47">
        <f t="shared" si="3"/>
        <v>3206</v>
      </c>
      <c r="J17" s="47">
        <f t="shared" si="3"/>
        <v>2403</v>
      </c>
      <c r="K17" s="188" t="s">
        <v>12</v>
      </c>
      <c r="L17" s="268"/>
    </row>
    <row r="18" spans="1:12" ht="15" customHeight="1" thickBot="1" x14ac:dyDescent="0.25">
      <c r="A18" s="253"/>
      <c r="B18" s="47">
        <f>SUM(C18:D18)</f>
        <v>2797</v>
      </c>
      <c r="C18" s="47">
        <f>I18+F18</f>
        <v>0</v>
      </c>
      <c r="D18" s="47">
        <f>J18+G18</f>
        <v>2797</v>
      </c>
      <c r="E18" s="47">
        <f>SUM(F18:G18)</f>
        <v>43</v>
      </c>
      <c r="F18" s="47">
        <v>0</v>
      </c>
      <c r="G18" s="47">
        <f>73-30</f>
        <v>43</v>
      </c>
      <c r="H18" s="47">
        <f>SUM(I18:J18)</f>
        <v>2754</v>
      </c>
      <c r="I18" s="47">
        <v>0</v>
      </c>
      <c r="J18" s="47">
        <f>3234-510+30</f>
        <v>2754</v>
      </c>
      <c r="K18" s="188" t="s">
        <v>233</v>
      </c>
      <c r="L18" s="267"/>
    </row>
    <row r="19" spans="1:12" ht="15" customHeight="1" thickBot="1" x14ac:dyDescent="0.25">
      <c r="A19" s="253"/>
      <c r="B19" s="47">
        <f>SUM(C19:D19)</f>
        <v>0</v>
      </c>
      <c r="C19" s="47">
        <f>I19+F19</f>
        <v>0</v>
      </c>
      <c r="D19" s="47">
        <f>J19+G19</f>
        <v>0</v>
      </c>
      <c r="E19" s="47">
        <f>SUM(F19:G19)</f>
        <v>0</v>
      </c>
      <c r="F19" s="47">
        <v>0</v>
      </c>
      <c r="G19" s="47">
        <v>0</v>
      </c>
      <c r="H19" s="47">
        <f>SUM(I19:J19)</f>
        <v>0</v>
      </c>
      <c r="I19" s="47">
        <v>0</v>
      </c>
      <c r="J19" s="47">
        <v>0</v>
      </c>
      <c r="K19" s="188" t="s">
        <v>234</v>
      </c>
      <c r="L19" s="267" t="s">
        <v>343</v>
      </c>
    </row>
    <row r="20" spans="1:12" ht="15" customHeight="1" thickBot="1" x14ac:dyDescent="0.25">
      <c r="A20" s="253"/>
      <c r="B20" s="47">
        <f t="shared" ref="B20:J20" si="4">SUM(B18:B19)</f>
        <v>2797</v>
      </c>
      <c r="C20" s="47">
        <f t="shared" si="4"/>
        <v>0</v>
      </c>
      <c r="D20" s="47">
        <f t="shared" si="4"/>
        <v>2797</v>
      </c>
      <c r="E20" s="47">
        <f t="shared" si="4"/>
        <v>43</v>
      </c>
      <c r="F20" s="47">
        <f t="shared" si="4"/>
        <v>0</v>
      </c>
      <c r="G20" s="47">
        <f t="shared" si="4"/>
        <v>43</v>
      </c>
      <c r="H20" s="47">
        <f t="shared" si="4"/>
        <v>2754</v>
      </c>
      <c r="I20" s="47">
        <f t="shared" si="4"/>
        <v>0</v>
      </c>
      <c r="J20" s="47">
        <f t="shared" si="4"/>
        <v>2754</v>
      </c>
      <c r="K20" s="188" t="s">
        <v>12</v>
      </c>
      <c r="L20" s="268"/>
    </row>
    <row r="21" spans="1:12" ht="15" customHeight="1" thickBot="1" x14ac:dyDescent="0.25">
      <c r="A21" s="253"/>
      <c r="B21" s="47">
        <f>SUM(C21:D21)</f>
        <v>1364</v>
      </c>
      <c r="C21" s="47">
        <f>I21+F21</f>
        <v>736</v>
      </c>
      <c r="D21" s="47">
        <f>J21+G21</f>
        <v>628</v>
      </c>
      <c r="E21" s="47">
        <f>SUM(F21:G21)</f>
        <v>29</v>
      </c>
      <c r="F21" s="47">
        <v>14</v>
      </c>
      <c r="G21" s="47">
        <v>15</v>
      </c>
      <c r="H21" s="47">
        <f>SUM(I21:J21)</f>
        <v>1335</v>
      </c>
      <c r="I21" s="47">
        <v>722</v>
      </c>
      <c r="J21" s="47">
        <v>613</v>
      </c>
      <c r="K21" s="188" t="s">
        <v>233</v>
      </c>
      <c r="L21" s="267"/>
    </row>
    <row r="22" spans="1:12" ht="15" customHeight="1" thickBot="1" x14ac:dyDescent="0.25">
      <c r="A22" s="253"/>
      <c r="B22" s="47">
        <f>SUM(C22:D22)</f>
        <v>0</v>
      </c>
      <c r="C22" s="47">
        <f>I22+F22</f>
        <v>0</v>
      </c>
      <c r="D22" s="47">
        <f>J22+G22</f>
        <v>0</v>
      </c>
      <c r="E22" s="47">
        <f>SUM(F22:G22)</f>
        <v>0</v>
      </c>
      <c r="F22" s="47">
        <v>0</v>
      </c>
      <c r="G22" s="47">
        <v>0</v>
      </c>
      <c r="H22" s="47">
        <f>SUM(I22:J22)</f>
        <v>0</v>
      </c>
      <c r="I22" s="47">
        <v>0</v>
      </c>
      <c r="J22" s="47">
        <v>0</v>
      </c>
      <c r="K22" s="188" t="s">
        <v>234</v>
      </c>
      <c r="L22" s="267" t="s">
        <v>417</v>
      </c>
    </row>
    <row r="23" spans="1:12" ht="15" customHeight="1" thickBot="1" x14ac:dyDescent="0.25">
      <c r="A23" s="253"/>
      <c r="B23" s="47">
        <f t="shared" ref="B23:J23" si="5">SUM(B21:B22)</f>
        <v>1364</v>
      </c>
      <c r="C23" s="47">
        <f t="shared" si="5"/>
        <v>736</v>
      </c>
      <c r="D23" s="47">
        <f t="shared" si="5"/>
        <v>628</v>
      </c>
      <c r="E23" s="47">
        <f t="shared" si="5"/>
        <v>29</v>
      </c>
      <c r="F23" s="47">
        <f t="shared" si="5"/>
        <v>14</v>
      </c>
      <c r="G23" s="47">
        <f t="shared" si="5"/>
        <v>15</v>
      </c>
      <c r="H23" s="47">
        <f t="shared" si="5"/>
        <v>1335</v>
      </c>
      <c r="I23" s="47">
        <f t="shared" si="5"/>
        <v>722</v>
      </c>
      <c r="J23" s="47">
        <f t="shared" si="5"/>
        <v>613</v>
      </c>
      <c r="K23" s="188" t="s">
        <v>12</v>
      </c>
      <c r="L23" s="268"/>
    </row>
    <row r="24" spans="1:12" ht="15" customHeight="1" thickBot="1" x14ac:dyDescent="0.25">
      <c r="A24" s="253"/>
      <c r="B24" s="47">
        <f>SUM(C24:D24)</f>
        <v>4391</v>
      </c>
      <c r="C24" s="47">
        <f>I24+F24</f>
        <v>1989</v>
      </c>
      <c r="D24" s="47">
        <f>J24+G24</f>
        <v>2402</v>
      </c>
      <c r="E24" s="47">
        <f>SUM(F24:G24)</f>
        <v>113</v>
      </c>
      <c r="F24" s="47">
        <v>76</v>
      </c>
      <c r="G24" s="47">
        <v>37</v>
      </c>
      <c r="H24" s="47">
        <f>SUM(I24:J24)</f>
        <v>4278</v>
      </c>
      <c r="I24" s="47">
        <f>2513-600</f>
        <v>1913</v>
      </c>
      <c r="J24" s="47">
        <f>2875-510</f>
        <v>2365</v>
      </c>
      <c r="K24" s="188" t="s">
        <v>233</v>
      </c>
      <c r="L24" s="267"/>
    </row>
    <row r="25" spans="1:12" ht="15" customHeight="1" thickBot="1" x14ac:dyDescent="0.25">
      <c r="A25" s="253"/>
      <c r="B25" s="47">
        <f>SUM(C25:D25)</f>
        <v>0</v>
      </c>
      <c r="C25" s="47">
        <f>I25+F25</f>
        <v>0</v>
      </c>
      <c r="D25" s="47">
        <f>J25+G25</f>
        <v>0</v>
      </c>
      <c r="E25" s="47">
        <f>SUM(F25:G25)</f>
        <v>0</v>
      </c>
      <c r="F25" s="47">
        <v>0</v>
      </c>
      <c r="G25" s="47">
        <v>0</v>
      </c>
      <c r="H25" s="47">
        <f>SUM(I25:J25)</f>
        <v>0</v>
      </c>
      <c r="I25" s="47">
        <v>0</v>
      </c>
      <c r="J25" s="47">
        <v>0</v>
      </c>
      <c r="K25" s="188" t="s">
        <v>234</v>
      </c>
      <c r="L25" s="267" t="s">
        <v>345</v>
      </c>
    </row>
    <row r="26" spans="1:12" ht="15" customHeight="1" thickBot="1" x14ac:dyDescent="0.25">
      <c r="A26" s="253"/>
      <c r="B26" s="47">
        <f t="shared" ref="B26:J26" si="6">SUM(B24:B25)</f>
        <v>4391</v>
      </c>
      <c r="C26" s="47">
        <f t="shared" si="6"/>
        <v>1989</v>
      </c>
      <c r="D26" s="47">
        <f t="shared" si="6"/>
        <v>2402</v>
      </c>
      <c r="E26" s="47">
        <f t="shared" si="6"/>
        <v>113</v>
      </c>
      <c r="F26" s="47">
        <f t="shared" si="6"/>
        <v>76</v>
      </c>
      <c r="G26" s="47">
        <f t="shared" si="6"/>
        <v>37</v>
      </c>
      <c r="H26" s="47">
        <f t="shared" si="6"/>
        <v>4278</v>
      </c>
      <c r="I26" s="47">
        <f t="shared" si="6"/>
        <v>1913</v>
      </c>
      <c r="J26" s="47">
        <f t="shared" si="6"/>
        <v>2365</v>
      </c>
      <c r="K26" s="188" t="s">
        <v>12</v>
      </c>
      <c r="L26" s="268"/>
    </row>
    <row r="27" spans="1:12" ht="15" customHeight="1" thickBot="1" x14ac:dyDescent="0.25">
      <c r="A27" s="253"/>
      <c r="B27" s="47">
        <f>SUM(C27:D27)</f>
        <v>3144</v>
      </c>
      <c r="C27" s="47">
        <f>I27+F27</f>
        <v>1708</v>
      </c>
      <c r="D27" s="47">
        <f>J27+G27</f>
        <v>1436</v>
      </c>
      <c r="E27" s="47">
        <f>SUM(F27:G27)</f>
        <v>213</v>
      </c>
      <c r="F27" s="47">
        <f>203-50</f>
        <v>153</v>
      </c>
      <c r="G27" s="47">
        <f>300-240</f>
        <v>60</v>
      </c>
      <c r="H27" s="47">
        <f>SUM(I27:J27)</f>
        <v>2931</v>
      </c>
      <c r="I27" s="47">
        <f>1955-450+50</f>
        <v>1555</v>
      </c>
      <c r="J27" s="47">
        <f>1386-250+240</f>
        <v>1376</v>
      </c>
      <c r="K27" s="188" t="s">
        <v>233</v>
      </c>
      <c r="L27" s="267"/>
    </row>
    <row r="28" spans="1:12" ht="15" customHeight="1" thickBot="1" x14ac:dyDescent="0.25">
      <c r="A28" s="253"/>
      <c r="B28" s="47">
        <f>SUM(C28:D28)</f>
        <v>0</v>
      </c>
      <c r="C28" s="47">
        <f>I28+F28</f>
        <v>0</v>
      </c>
      <c r="D28" s="47">
        <f>J28+G28</f>
        <v>0</v>
      </c>
      <c r="E28" s="47">
        <f>SUM(F28:G28)</f>
        <v>0</v>
      </c>
      <c r="F28" s="47">
        <v>0</v>
      </c>
      <c r="G28" s="47">
        <v>0</v>
      </c>
      <c r="H28" s="47">
        <f>SUM(I28:J28)</f>
        <v>0</v>
      </c>
      <c r="I28" s="47">
        <v>0</v>
      </c>
      <c r="J28" s="47">
        <v>0</v>
      </c>
      <c r="K28" s="188" t="s">
        <v>234</v>
      </c>
      <c r="L28" s="267" t="s">
        <v>346</v>
      </c>
    </row>
    <row r="29" spans="1:12" ht="15" customHeight="1" thickBot="1" x14ac:dyDescent="0.25">
      <c r="A29" s="253"/>
      <c r="B29" s="47">
        <f t="shared" ref="B29:J29" si="7">SUM(B27:B28)</f>
        <v>3144</v>
      </c>
      <c r="C29" s="47">
        <f t="shared" si="7"/>
        <v>1708</v>
      </c>
      <c r="D29" s="47">
        <f t="shared" si="7"/>
        <v>1436</v>
      </c>
      <c r="E29" s="47">
        <f t="shared" si="7"/>
        <v>213</v>
      </c>
      <c r="F29" s="47">
        <f t="shared" si="7"/>
        <v>153</v>
      </c>
      <c r="G29" s="47">
        <f t="shared" si="7"/>
        <v>60</v>
      </c>
      <c r="H29" s="47">
        <f t="shared" si="7"/>
        <v>2931</v>
      </c>
      <c r="I29" s="47">
        <f t="shared" si="7"/>
        <v>1555</v>
      </c>
      <c r="J29" s="47">
        <f t="shared" si="7"/>
        <v>1376</v>
      </c>
      <c r="K29" s="188" t="s">
        <v>12</v>
      </c>
      <c r="L29" s="268"/>
    </row>
    <row r="30" spans="1:12" ht="15" customHeight="1" thickBot="1" x14ac:dyDescent="0.25">
      <c r="A30" s="253"/>
      <c r="B30" s="47">
        <f>SUM(C30:D30)</f>
        <v>1028</v>
      </c>
      <c r="C30" s="47">
        <f>I30+F30</f>
        <v>1028</v>
      </c>
      <c r="D30" s="47">
        <f>J30+G30</f>
        <v>0</v>
      </c>
      <c r="E30" s="47">
        <f>SUM(F30:G30)</f>
        <v>8</v>
      </c>
      <c r="F30" s="47">
        <v>8</v>
      </c>
      <c r="G30" s="47">
        <v>0</v>
      </c>
      <c r="H30" s="47">
        <f>SUM(I30:J30)</f>
        <v>1020</v>
      </c>
      <c r="I30" s="47">
        <f>1520-500</f>
        <v>1020</v>
      </c>
      <c r="J30" s="47">
        <v>0</v>
      </c>
      <c r="K30" s="188" t="s">
        <v>233</v>
      </c>
      <c r="L30" s="267"/>
    </row>
    <row r="31" spans="1:12" ht="15" customHeight="1" thickBot="1" x14ac:dyDescent="0.25">
      <c r="A31" s="253"/>
      <c r="B31" s="47">
        <f>SUM(C31:D31)</f>
        <v>0</v>
      </c>
      <c r="C31" s="47">
        <f>I31+F31</f>
        <v>0</v>
      </c>
      <c r="D31" s="47">
        <f>J31+G31</f>
        <v>0</v>
      </c>
      <c r="E31" s="47">
        <f>SUM(F31:G31)</f>
        <v>0</v>
      </c>
      <c r="F31" s="47">
        <v>0</v>
      </c>
      <c r="G31" s="47">
        <v>0</v>
      </c>
      <c r="H31" s="47">
        <f>SUM(I31:J31)</f>
        <v>0</v>
      </c>
      <c r="I31" s="47">
        <v>0</v>
      </c>
      <c r="J31" s="47">
        <v>0</v>
      </c>
      <c r="K31" s="188" t="s">
        <v>234</v>
      </c>
      <c r="L31" s="267" t="s">
        <v>350</v>
      </c>
    </row>
    <row r="32" spans="1:12" ht="15" customHeight="1" thickBot="1" x14ac:dyDescent="0.25">
      <c r="A32" s="253"/>
      <c r="B32" s="47">
        <f t="shared" ref="B32:J32" si="8">SUM(B30:B31)</f>
        <v>1028</v>
      </c>
      <c r="C32" s="47">
        <f t="shared" si="8"/>
        <v>1028</v>
      </c>
      <c r="D32" s="47">
        <f t="shared" si="8"/>
        <v>0</v>
      </c>
      <c r="E32" s="47">
        <f t="shared" si="8"/>
        <v>8</v>
      </c>
      <c r="F32" s="47">
        <f t="shared" si="8"/>
        <v>8</v>
      </c>
      <c r="G32" s="47">
        <f t="shared" si="8"/>
        <v>0</v>
      </c>
      <c r="H32" s="47">
        <f t="shared" si="8"/>
        <v>1020</v>
      </c>
      <c r="I32" s="47">
        <f t="shared" si="8"/>
        <v>1020</v>
      </c>
      <c r="J32" s="47">
        <f t="shared" si="8"/>
        <v>0</v>
      </c>
      <c r="K32" s="188" t="s">
        <v>12</v>
      </c>
      <c r="L32" s="268"/>
    </row>
    <row r="33" spans="1:12" ht="15" customHeight="1" thickBot="1" x14ac:dyDescent="0.25">
      <c r="A33" s="253"/>
      <c r="B33" s="47">
        <f>SUM(C33:D33)</f>
        <v>2691</v>
      </c>
      <c r="C33" s="47">
        <f>I33+F33</f>
        <v>2691</v>
      </c>
      <c r="D33" s="47">
        <f>J33+G33</f>
        <v>0</v>
      </c>
      <c r="E33" s="47">
        <f>SUM(F33:G33)</f>
        <v>8</v>
      </c>
      <c r="F33" s="47">
        <v>8</v>
      </c>
      <c r="G33" s="47">
        <v>0</v>
      </c>
      <c r="H33" s="47">
        <f>SUM(I33:J33)</f>
        <v>2683</v>
      </c>
      <c r="I33" s="47">
        <f>3673-990</f>
        <v>2683</v>
      </c>
      <c r="J33" s="47">
        <v>0</v>
      </c>
      <c r="K33" s="188" t="s">
        <v>233</v>
      </c>
      <c r="L33" s="267"/>
    </row>
    <row r="34" spans="1:12" ht="15" customHeight="1" thickBot="1" x14ac:dyDescent="0.25">
      <c r="A34" s="253"/>
      <c r="B34" s="47">
        <f>SUM(C34:D34)</f>
        <v>0</v>
      </c>
      <c r="C34" s="47">
        <f>I34+F34</f>
        <v>0</v>
      </c>
      <c r="D34" s="47">
        <f>J34+G34</f>
        <v>0</v>
      </c>
      <c r="E34" s="47">
        <f>SUM(F34:G34)</f>
        <v>0</v>
      </c>
      <c r="F34" s="47">
        <v>0</v>
      </c>
      <c r="G34" s="47">
        <v>0</v>
      </c>
      <c r="H34" s="47">
        <f>SUM(I34:J34)</f>
        <v>0</v>
      </c>
      <c r="I34" s="47">
        <v>0</v>
      </c>
      <c r="J34" s="47">
        <v>0</v>
      </c>
      <c r="K34" s="188" t="s">
        <v>234</v>
      </c>
      <c r="L34" s="267" t="s">
        <v>351</v>
      </c>
    </row>
    <row r="35" spans="1:12" ht="15" customHeight="1" thickBot="1" x14ac:dyDescent="0.25">
      <c r="A35" s="253"/>
      <c r="B35" s="47">
        <f t="shared" ref="B35:J35" si="9">SUM(B33:B34)</f>
        <v>2691</v>
      </c>
      <c r="C35" s="47">
        <f t="shared" si="9"/>
        <v>2691</v>
      </c>
      <c r="D35" s="47">
        <f t="shared" si="9"/>
        <v>0</v>
      </c>
      <c r="E35" s="47">
        <f t="shared" si="9"/>
        <v>8</v>
      </c>
      <c r="F35" s="47">
        <f t="shared" si="9"/>
        <v>8</v>
      </c>
      <c r="G35" s="47">
        <f t="shared" si="9"/>
        <v>0</v>
      </c>
      <c r="H35" s="47">
        <f t="shared" si="9"/>
        <v>2683</v>
      </c>
      <c r="I35" s="47">
        <f t="shared" si="9"/>
        <v>2683</v>
      </c>
      <c r="J35" s="47">
        <f t="shared" si="9"/>
        <v>0</v>
      </c>
      <c r="K35" s="188" t="s">
        <v>12</v>
      </c>
      <c r="L35" s="268"/>
    </row>
    <row r="36" spans="1:12" ht="15" customHeight="1" thickBot="1" x14ac:dyDescent="0.25">
      <c r="A36" s="253"/>
      <c r="B36" s="47">
        <f>SUM(C36:D36)</f>
        <v>1934</v>
      </c>
      <c r="C36" s="47">
        <f>I36+F36</f>
        <v>1934</v>
      </c>
      <c r="D36" s="47">
        <f>J36+G36</f>
        <v>0</v>
      </c>
      <c r="E36" s="47">
        <f>SUM(F36:G36)</f>
        <v>2</v>
      </c>
      <c r="F36" s="47">
        <v>2</v>
      </c>
      <c r="G36" s="47">
        <v>0</v>
      </c>
      <c r="H36" s="47">
        <f>SUM(I36:J36)</f>
        <v>1932</v>
      </c>
      <c r="I36" s="47">
        <f>2532-600</f>
        <v>1932</v>
      </c>
      <c r="J36" s="47">
        <v>0</v>
      </c>
      <c r="K36" s="188" t="s">
        <v>233</v>
      </c>
      <c r="L36" s="267"/>
    </row>
    <row r="37" spans="1:12" ht="15" customHeight="1" thickBot="1" x14ac:dyDescent="0.25">
      <c r="A37" s="253"/>
      <c r="B37" s="47">
        <f>SUM(C37:D37)</f>
        <v>414</v>
      </c>
      <c r="C37" s="47">
        <f>I37+F37</f>
        <v>414</v>
      </c>
      <c r="D37" s="47">
        <f>J37+G37</f>
        <v>0</v>
      </c>
      <c r="E37" s="47">
        <f>SUM(F37:G37)</f>
        <v>0</v>
      </c>
      <c r="F37" s="47">
        <v>0</v>
      </c>
      <c r="G37" s="47">
        <v>0</v>
      </c>
      <c r="H37" s="47">
        <f>SUM(I37:J37)</f>
        <v>414</v>
      </c>
      <c r="I37" s="47">
        <v>414</v>
      </c>
      <c r="J37" s="47">
        <v>0</v>
      </c>
      <c r="K37" s="188" t="s">
        <v>234</v>
      </c>
      <c r="L37" s="267" t="s">
        <v>352</v>
      </c>
    </row>
    <row r="38" spans="1:12" ht="15" customHeight="1" thickBot="1" x14ac:dyDescent="0.25">
      <c r="A38" s="253"/>
      <c r="B38" s="47">
        <f t="shared" ref="B38:J38" si="10">SUM(B36:B37)</f>
        <v>2348</v>
      </c>
      <c r="C38" s="47">
        <f t="shared" si="10"/>
        <v>2348</v>
      </c>
      <c r="D38" s="47">
        <f t="shared" si="10"/>
        <v>0</v>
      </c>
      <c r="E38" s="47">
        <f t="shared" si="10"/>
        <v>2</v>
      </c>
      <c r="F38" s="47">
        <f t="shared" si="10"/>
        <v>2</v>
      </c>
      <c r="G38" s="47">
        <f t="shared" si="10"/>
        <v>0</v>
      </c>
      <c r="H38" s="47">
        <f t="shared" si="10"/>
        <v>2346</v>
      </c>
      <c r="I38" s="47">
        <f t="shared" si="10"/>
        <v>2346</v>
      </c>
      <c r="J38" s="47">
        <f t="shared" si="10"/>
        <v>0</v>
      </c>
      <c r="K38" s="188" t="s">
        <v>12</v>
      </c>
      <c r="L38" s="268"/>
    </row>
    <row r="39" spans="1:12" ht="15" customHeight="1" thickBot="1" x14ac:dyDescent="0.25">
      <c r="A39" s="253"/>
      <c r="B39" s="47">
        <f>SUM(C39:D39)</f>
        <v>1910</v>
      </c>
      <c r="C39" s="47">
        <f>I39+F39</f>
        <v>1910</v>
      </c>
      <c r="D39" s="47">
        <f>J39+G39</f>
        <v>0</v>
      </c>
      <c r="E39" s="47">
        <f>SUM(F39:G39)</f>
        <v>1</v>
      </c>
      <c r="F39" s="47">
        <v>1</v>
      </c>
      <c r="G39" s="47">
        <v>0</v>
      </c>
      <c r="H39" s="47">
        <f>SUM(I39:J39)</f>
        <v>1909</v>
      </c>
      <c r="I39" s="47">
        <f>2319-410</f>
        <v>1909</v>
      </c>
      <c r="J39" s="47">
        <v>0</v>
      </c>
      <c r="K39" s="188" t="s">
        <v>233</v>
      </c>
      <c r="L39" s="267"/>
    </row>
    <row r="40" spans="1:12" ht="15" customHeight="1" thickBot="1" x14ac:dyDescent="0.25">
      <c r="A40" s="253"/>
      <c r="B40" s="47">
        <f>SUM(C40:D40)</f>
        <v>0</v>
      </c>
      <c r="C40" s="47">
        <f>I40+F40</f>
        <v>0</v>
      </c>
      <c r="D40" s="47">
        <f>J40+G40</f>
        <v>0</v>
      </c>
      <c r="E40" s="47">
        <f>SUM(F40:G40)</f>
        <v>0</v>
      </c>
      <c r="F40" s="47">
        <v>0</v>
      </c>
      <c r="G40" s="47">
        <v>0</v>
      </c>
      <c r="H40" s="47">
        <f>SUM(I40:J40)</f>
        <v>0</v>
      </c>
      <c r="I40" s="47">
        <v>0</v>
      </c>
      <c r="J40" s="47">
        <v>0</v>
      </c>
      <c r="K40" s="188" t="s">
        <v>234</v>
      </c>
      <c r="L40" s="267" t="s">
        <v>353</v>
      </c>
    </row>
    <row r="41" spans="1:12" ht="15" customHeight="1" thickBot="1" x14ac:dyDescent="0.25">
      <c r="A41" s="253"/>
      <c r="B41" s="47">
        <f t="shared" ref="B41:J41" si="11">SUM(B39:B40)</f>
        <v>1910</v>
      </c>
      <c r="C41" s="47">
        <f t="shared" si="11"/>
        <v>1910</v>
      </c>
      <c r="D41" s="47">
        <f t="shared" si="11"/>
        <v>0</v>
      </c>
      <c r="E41" s="47">
        <f t="shared" si="11"/>
        <v>1</v>
      </c>
      <c r="F41" s="47">
        <f t="shared" si="11"/>
        <v>1</v>
      </c>
      <c r="G41" s="47">
        <f t="shared" si="11"/>
        <v>0</v>
      </c>
      <c r="H41" s="47">
        <f t="shared" si="11"/>
        <v>1909</v>
      </c>
      <c r="I41" s="47">
        <f t="shared" si="11"/>
        <v>1909</v>
      </c>
      <c r="J41" s="47">
        <f t="shared" si="11"/>
        <v>0</v>
      </c>
      <c r="K41" s="188" t="s">
        <v>12</v>
      </c>
      <c r="L41" s="268"/>
    </row>
    <row r="42" spans="1:12" ht="15" customHeight="1" thickBot="1" x14ac:dyDescent="0.25">
      <c r="A42" s="253"/>
      <c r="B42" s="47">
        <f>SUM(C42:D42)</f>
        <v>1433</v>
      </c>
      <c r="C42" s="47">
        <f>I42+F42</f>
        <v>0</v>
      </c>
      <c r="D42" s="47">
        <f>J42+G42</f>
        <v>1433</v>
      </c>
      <c r="E42" s="47">
        <f>SUM(F42:G42)</f>
        <v>0</v>
      </c>
      <c r="F42" s="47">
        <v>0</v>
      </c>
      <c r="G42" s="47">
        <v>0</v>
      </c>
      <c r="H42" s="47">
        <f>SUM(I42:J42)</f>
        <v>1433</v>
      </c>
      <c r="I42" s="47">
        <v>0</v>
      </c>
      <c r="J42" s="47">
        <f>1683-250</f>
        <v>1433</v>
      </c>
      <c r="K42" s="188" t="s">
        <v>233</v>
      </c>
      <c r="L42" s="267"/>
    </row>
    <row r="43" spans="1:12" ht="15" customHeight="1" thickBot="1" x14ac:dyDescent="0.25">
      <c r="A43" s="253"/>
      <c r="B43" s="47">
        <f>SUM(C43:D43)</f>
        <v>0</v>
      </c>
      <c r="C43" s="47">
        <f>I43+F43</f>
        <v>0</v>
      </c>
      <c r="D43" s="47">
        <f>J43+G43</f>
        <v>0</v>
      </c>
      <c r="E43" s="47">
        <f>SUM(F43:G43)</f>
        <v>0</v>
      </c>
      <c r="F43" s="47">
        <v>0</v>
      </c>
      <c r="G43" s="47">
        <v>0</v>
      </c>
      <c r="H43" s="47">
        <f>SUM(I43:J43)</f>
        <v>0</v>
      </c>
      <c r="I43" s="47">
        <v>0</v>
      </c>
      <c r="J43" s="47">
        <v>0</v>
      </c>
      <c r="K43" s="188" t="s">
        <v>234</v>
      </c>
      <c r="L43" s="267" t="s">
        <v>338</v>
      </c>
    </row>
    <row r="44" spans="1:12" ht="15" customHeight="1" thickBot="1" x14ac:dyDescent="0.25">
      <c r="A44" s="253"/>
      <c r="B44" s="47">
        <f t="shared" ref="B44:J44" si="12">SUM(B42:B43)</f>
        <v>1433</v>
      </c>
      <c r="C44" s="47">
        <f t="shared" si="12"/>
        <v>0</v>
      </c>
      <c r="D44" s="47">
        <f t="shared" si="12"/>
        <v>1433</v>
      </c>
      <c r="E44" s="47">
        <f t="shared" si="12"/>
        <v>0</v>
      </c>
      <c r="F44" s="47">
        <f t="shared" si="12"/>
        <v>0</v>
      </c>
      <c r="G44" s="47">
        <f t="shared" si="12"/>
        <v>0</v>
      </c>
      <c r="H44" s="47">
        <f t="shared" si="12"/>
        <v>1433</v>
      </c>
      <c r="I44" s="47">
        <f t="shared" si="12"/>
        <v>0</v>
      </c>
      <c r="J44" s="47">
        <f t="shared" si="12"/>
        <v>1433</v>
      </c>
      <c r="K44" s="188" t="s">
        <v>12</v>
      </c>
      <c r="L44" s="268"/>
    </row>
    <row r="45" spans="1:12" ht="15" customHeight="1" thickBot="1" x14ac:dyDescent="0.25">
      <c r="A45" s="253"/>
      <c r="B45" s="47">
        <f>SUM(C45:D45)</f>
        <v>1512</v>
      </c>
      <c r="C45" s="47">
        <f>I45+F45</f>
        <v>0</v>
      </c>
      <c r="D45" s="47">
        <f>J45+G45</f>
        <v>1512</v>
      </c>
      <c r="E45" s="47">
        <f>SUM(F45:G45)</f>
        <v>3</v>
      </c>
      <c r="F45" s="47">
        <v>0</v>
      </c>
      <c r="G45" s="47">
        <v>3</v>
      </c>
      <c r="H45" s="47">
        <f>SUM(I45:J45)</f>
        <v>1509</v>
      </c>
      <c r="I45" s="47">
        <v>0</v>
      </c>
      <c r="J45" s="47">
        <v>1509</v>
      </c>
      <c r="K45" s="188" t="s">
        <v>233</v>
      </c>
      <c r="L45" s="267"/>
    </row>
    <row r="46" spans="1:12" ht="15" customHeight="1" thickBot="1" x14ac:dyDescent="0.25">
      <c r="A46" s="253"/>
      <c r="B46" s="47">
        <f>SUM(C46:D46)</f>
        <v>0</v>
      </c>
      <c r="C46" s="47">
        <f>I46+F46</f>
        <v>0</v>
      </c>
      <c r="D46" s="47">
        <f>J46+G46</f>
        <v>0</v>
      </c>
      <c r="E46" s="47">
        <f>SUM(F46:G46)</f>
        <v>0</v>
      </c>
      <c r="F46" s="47">
        <v>0</v>
      </c>
      <c r="G46" s="47">
        <v>0</v>
      </c>
      <c r="H46" s="47">
        <f>SUM(I46:J46)</f>
        <v>0</v>
      </c>
      <c r="I46" s="47">
        <v>0</v>
      </c>
      <c r="J46" s="47">
        <v>0</v>
      </c>
      <c r="K46" s="188" t="s">
        <v>234</v>
      </c>
      <c r="L46" s="267" t="s">
        <v>250</v>
      </c>
    </row>
    <row r="47" spans="1:12" ht="15" customHeight="1" thickBot="1" x14ac:dyDescent="0.25">
      <c r="A47" s="253"/>
      <c r="B47" s="47">
        <f t="shared" ref="B47:J47" si="13">SUM(B45:B46)</f>
        <v>1512</v>
      </c>
      <c r="C47" s="47">
        <f t="shared" si="13"/>
        <v>0</v>
      </c>
      <c r="D47" s="47">
        <f t="shared" si="13"/>
        <v>1512</v>
      </c>
      <c r="E47" s="47">
        <f t="shared" si="13"/>
        <v>3</v>
      </c>
      <c r="F47" s="47">
        <f t="shared" si="13"/>
        <v>0</v>
      </c>
      <c r="G47" s="47">
        <f t="shared" si="13"/>
        <v>3</v>
      </c>
      <c r="H47" s="47">
        <f t="shared" si="13"/>
        <v>1509</v>
      </c>
      <c r="I47" s="47">
        <f t="shared" si="13"/>
        <v>0</v>
      </c>
      <c r="J47" s="47">
        <f t="shared" si="13"/>
        <v>1509</v>
      </c>
      <c r="K47" s="188" t="s">
        <v>12</v>
      </c>
      <c r="L47" s="268"/>
    </row>
    <row r="48" spans="1:12" ht="15" customHeight="1" thickBot="1" x14ac:dyDescent="0.25">
      <c r="A48" s="253"/>
      <c r="B48" s="47">
        <f>SUM(C48:D48)</f>
        <v>1928</v>
      </c>
      <c r="C48" s="47">
        <f>I48+F48</f>
        <v>1928</v>
      </c>
      <c r="D48" s="47">
        <f>J48+G48</f>
        <v>0</v>
      </c>
      <c r="E48" s="47">
        <f>SUM(F48:G48)</f>
        <v>14</v>
      </c>
      <c r="F48" s="47">
        <v>14</v>
      </c>
      <c r="G48" s="47">
        <v>0</v>
      </c>
      <c r="H48" s="47">
        <f>SUM(I48:J48)</f>
        <v>1914</v>
      </c>
      <c r="I48" s="47">
        <v>1914</v>
      </c>
      <c r="J48" s="47">
        <v>0</v>
      </c>
      <c r="K48" s="188" t="s">
        <v>233</v>
      </c>
      <c r="L48" s="267"/>
    </row>
    <row r="49" spans="1:12" ht="15" customHeight="1" thickBot="1" x14ac:dyDescent="0.25">
      <c r="A49" s="253"/>
      <c r="B49" s="47">
        <f>SUM(C49:D49)</f>
        <v>1254</v>
      </c>
      <c r="C49" s="47">
        <f>I49+F49</f>
        <v>1254</v>
      </c>
      <c r="D49" s="47">
        <f>J49+G49</f>
        <v>0</v>
      </c>
      <c r="E49" s="47">
        <f>SUM(F49:G49)</f>
        <v>0</v>
      </c>
      <c r="F49" s="47">
        <v>0</v>
      </c>
      <c r="G49" s="47">
        <v>0</v>
      </c>
      <c r="H49" s="47">
        <f>SUM(I49:J49)</f>
        <v>1254</v>
      </c>
      <c r="I49" s="47">
        <v>1254</v>
      </c>
      <c r="J49" s="47">
        <v>0</v>
      </c>
      <c r="K49" s="188" t="s">
        <v>234</v>
      </c>
      <c r="L49" s="267" t="s">
        <v>354</v>
      </c>
    </row>
    <row r="50" spans="1:12" ht="15" customHeight="1" thickBot="1" x14ac:dyDescent="0.25">
      <c r="A50" s="253"/>
      <c r="B50" s="47">
        <f t="shared" ref="B50:J50" si="14">SUM(B48:B49)</f>
        <v>3182</v>
      </c>
      <c r="C50" s="47">
        <f t="shared" si="14"/>
        <v>3182</v>
      </c>
      <c r="D50" s="47">
        <f t="shared" si="14"/>
        <v>0</v>
      </c>
      <c r="E50" s="47">
        <f t="shared" si="14"/>
        <v>14</v>
      </c>
      <c r="F50" s="47">
        <f t="shared" si="14"/>
        <v>14</v>
      </c>
      <c r="G50" s="47">
        <f t="shared" si="14"/>
        <v>0</v>
      </c>
      <c r="H50" s="47">
        <f t="shared" si="14"/>
        <v>3168</v>
      </c>
      <c r="I50" s="47">
        <f t="shared" si="14"/>
        <v>3168</v>
      </c>
      <c r="J50" s="47">
        <f t="shared" si="14"/>
        <v>0</v>
      </c>
      <c r="K50" s="188" t="s">
        <v>12</v>
      </c>
      <c r="L50" s="268"/>
    </row>
    <row r="51" spans="1:12" ht="15" customHeight="1" thickBot="1" x14ac:dyDescent="0.25">
      <c r="A51" s="253"/>
      <c r="B51" s="47">
        <f>SUM(C51:D51)</f>
        <v>939</v>
      </c>
      <c r="C51" s="47">
        <f>I51+F51</f>
        <v>939</v>
      </c>
      <c r="D51" s="47">
        <f>J51+G51</f>
        <v>0</v>
      </c>
      <c r="E51" s="47">
        <f>SUM(F51:G51)</f>
        <v>9</v>
      </c>
      <c r="F51" s="47">
        <v>9</v>
      </c>
      <c r="G51" s="47">
        <v>0</v>
      </c>
      <c r="H51" s="47">
        <f>SUM(I51:J51)</f>
        <v>930</v>
      </c>
      <c r="I51" s="47">
        <v>930</v>
      </c>
      <c r="J51" s="47">
        <v>0</v>
      </c>
      <c r="K51" s="188" t="s">
        <v>233</v>
      </c>
      <c r="L51" s="267"/>
    </row>
    <row r="52" spans="1:12" ht="15" customHeight="1" thickBot="1" x14ac:dyDescent="0.25">
      <c r="A52" s="253"/>
      <c r="B52" s="47">
        <f>SUM(C52:D52)</f>
        <v>450</v>
      </c>
      <c r="C52" s="47">
        <f>I52+F52</f>
        <v>450</v>
      </c>
      <c r="D52" s="47">
        <f>J52+G52</f>
        <v>0</v>
      </c>
      <c r="E52" s="47">
        <f>SUM(F52:G52)</f>
        <v>0</v>
      </c>
      <c r="F52" s="47">
        <v>0</v>
      </c>
      <c r="G52" s="47">
        <v>0</v>
      </c>
      <c r="H52" s="47">
        <f>SUM(I52:J52)</f>
        <v>450</v>
      </c>
      <c r="I52" s="47">
        <v>450</v>
      </c>
      <c r="J52" s="47">
        <v>0</v>
      </c>
      <c r="K52" s="188" t="s">
        <v>234</v>
      </c>
      <c r="L52" s="267" t="s">
        <v>355</v>
      </c>
    </row>
    <row r="53" spans="1:12" ht="15" customHeight="1" thickBot="1" x14ac:dyDescent="0.25">
      <c r="A53" s="253"/>
      <c r="B53" s="47">
        <f t="shared" ref="B53:J53" si="15">SUM(B51:B52)</f>
        <v>1389</v>
      </c>
      <c r="C53" s="47">
        <f t="shared" si="15"/>
        <v>1389</v>
      </c>
      <c r="D53" s="47">
        <f t="shared" si="15"/>
        <v>0</v>
      </c>
      <c r="E53" s="47">
        <f t="shared" si="15"/>
        <v>9</v>
      </c>
      <c r="F53" s="47">
        <f t="shared" si="15"/>
        <v>9</v>
      </c>
      <c r="G53" s="47">
        <f t="shared" si="15"/>
        <v>0</v>
      </c>
      <c r="H53" s="47">
        <f t="shared" si="15"/>
        <v>1380</v>
      </c>
      <c r="I53" s="47">
        <f t="shared" si="15"/>
        <v>1380</v>
      </c>
      <c r="J53" s="47">
        <f t="shared" si="15"/>
        <v>0</v>
      </c>
      <c r="K53" s="188" t="s">
        <v>12</v>
      </c>
      <c r="L53" s="268"/>
    </row>
    <row r="54" spans="1:12" ht="15" customHeight="1" thickBot="1" x14ac:dyDescent="0.25">
      <c r="A54" s="253"/>
      <c r="B54" s="47">
        <f>SUM(C54:D54)</f>
        <v>1379</v>
      </c>
      <c r="C54" s="47">
        <f>I54+F54</f>
        <v>588</v>
      </c>
      <c r="D54" s="47">
        <f>J54+G54</f>
        <v>791</v>
      </c>
      <c r="E54" s="47">
        <f>SUM(F54:G54)</f>
        <v>28</v>
      </c>
      <c r="F54" s="47">
        <v>14</v>
      </c>
      <c r="G54" s="47">
        <v>14</v>
      </c>
      <c r="H54" s="47">
        <f>SUM(I54:J54)</f>
        <v>1351</v>
      </c>
      <c r="I54" s="47">
        <v>574</v>
      </c>
      <c r="J54" s="47">
        <v>777</v>
      </c>
      <c r="K54" s="188" t="s">
        <v>233</v>
      </c>
      <c r="L54" s="267"/>
    </row>
    <row r="55" spans="1:12" ht="15" customHeight="1" thickBot="1" x14ac:dyDescent="0.25">
      <c r="A55" s="253"/>
      <c r="B55" s="47">
        <f>SUM(C55:D55)</f>
        <v>0</v>
      </c>
      <c r="C55" s="47">
        <f>I55+F55</f>
        <v>0</v>
      </c>
      <c r="D55" s="47">
        <f>J55+G55</f>
        <v>0</v>
      </c>
      <c r="E55" s="47">
        <f>SUM(F55:G55)</f>
        <v>0</v>
      </c>
      <c r="F55" s="47">
        <v>0</v>
      </c>
      <c r="G55" s="47">
        <v>0</v>
      </c>
      <c r="H55" s="47">
        <f>SUM(I55:J55)</f>
        <v>0</v>
      </c>
      <c r="I55" s="47">
        <v>0</v>
      </c>
      <c r="J55" s="47">
        <v>0</v>
      </c>
      <c r="K55" s="188" t="s">
        <v>234</v>
      </c>
      <c r="L55" s="267" t="s">
        <v>633</v>
      </c>
    </row>
    <row r="56" spans="1:12" ht="15" customHeight="1" thickBot="1" x14ac:dyDescent="0.25">
      <c r="A56" s="253"/>
      <c r="B56" s="47">
        <f t="shared" ref="B56:J56" si="16">SUM(B54:B55)</f>
        <v>1379</v>
      </c>
      <c r="C56" s="47">
        <f t="shared" si="16"/>
        <v>588</v>
      </c>
      <c r="D56" s="47">
        <f t="shared" si="16"/>
        <v>791</v>
      </c>
      <c r="E56" s="47">
        <f t="shared" si="16"/>
        <v>28</v>
      </c>
      <c r="F56" s="47">
        <f t="shared" si="16"/>
        <v>14</v>
      </c>
      <c r="G56" s="47">
        <f t="shared" si="16"/>
        <v>14</v>
      </c>
      <c r="H56" s="47">
        <f t="shared" si="16"/>
        <v>1351</v>
      </c>
      <c r="I56" s="47">
        <f t="shared" si="16"/>
        <v>574</v>
      </c>
      <c r="J56" s="47">
        <f t="shared" si="16"/>
        <v>777</v>
      </c>
      <c r="K56" s="188" t="s">
        <v>12</v>
      </c>
      <c r="L56" s="268"/>
    </row>
    <row r="57" spans="1:12" ht="15" customHeight="1" thickBot="1" x14ac:dyDescent="0.25">
      <c r="A57" s="253"/>
      <c r="B57" s="47">
        <f>SUM(C57:D57)</f>
        <v>1756</v>
      </c>
      <c r="C57" s="47">
        <f>I57+F57</f>
        <v>1116</v>
      </c>
      <c r="D57" s="47">
        <f>J57+G57</f>
        <v>640</v>
      </c>
      <c r="E57" s="47">
        <f>SUM(F57:G57)</f>
        <v>31</v>
      </c>
      <c r="F57" s="47">
        <v>25</v>
      </c>
      <c r="G57" s="47">
        <v>6</v>
      </c>
      <c r="H57" s="47">
        <f>SUM(I57:J57)</f>
        <v>1725</v>
      </c>
      <c r="I57" s="47">
        <v>1091</v>
      </c>
      <c r="J57" s="47">
        <v>634</v>
      </c>
      <c r="K57" s="188" t="s">
        <v>233</v>
      </c>
      <c r="L57" s="267"/>
    </row>
    <row r="58" spans="1:12" ht="15" customHeight="1" thickBot="1" x14ac:dyDescent="0.25">
      <c r="A58" s="253"/>
      <c r="B58" s="47">
        <f>SUM(C58:D58)</f>
        <v>0</v>
      </c>
      <c r="C58" s="47">
        <f>I58+F58</f>
        <v>0</v>
      </c>
      <c r="D58" s="47">
        <f>J58+G58</f>
        <v>0</v>
      </c>
      <c r="E58" s="47">
        <f>SUM(F58:G58)</f>
        <v>0</v>
      </c>
      <c r="F58" s="47">
        <v>0</v>
      </c>
      <c r="G58" s="47">
        <v>0</v>
      </c>
      <c r="H58" s="47">
        <f>SUM(I58:J58)</f>
        <v>0</v>
      </c>
      <c r="I58" s="47">
        <v>0</v>
      </c>
      <c r="J58" s="47">
        <v>0</v>
      </c>
      <c r="K58" s="188" t="s">
        <v>234</v>
      </c>
      <c r="L58" s="267" t="s">
        <v>378</v>
      </c>
    </row>
    <row r="59" spans="1:12" ht="15" customHeight="1" thickBot="1" x14ac:dyDescent="0.25">
      <c r="A59" s="253"/>
      <c r="B59" s="47">
        <f t="shared" ref="B59:J59" si="17">SUM(B57:B58)</f>
        <v>1756</v>
      </c>
      <c r="C59" s="47">
        <f t="shared" si="17"/>
        <v>1116</v>
      </c>
      <c r="D59" s="47">
        <f t="shared" si="17"/>
        <v>640</v>
      </c>
      <c r="E59" s="47">
        <f t="shared" si="17"/>
        <v>31</v>
      </c>
      <c r="F59" s="47">
        <f t="shared" si="17"/>
        <v>25</v>
      </c>
      <c r="G59" s="47">
        <f t="shared" si="17"/>
        <v>6</v>
      </c>
      <c r="H59" s="47">
        <f t="shared" si="17"/>
        <v>1725</v>
      </c>
      <c r="I59" s="47">
        <f t="shared" si="17"/>
        <v>1091</v>
      </c>
      <c r="J59" s="47">
        <f t="shared" si="17"/>
        <v>634</v>
      </c>
      <c r="K59" s="188" t="s">
        <v>12</v>
      </c>
      <c r="L59" s="268"/>
    </row>
    <row r="60" spans="1:12" ht="15" customHeight="1" thickBot="1" x14ac:dyDescent="0.25">
      <c r="A60" s="253"/>
      <c r="B60" s="47">
        <f>SUM(C60:D60)</f>
        <v>422</v>
      </c>
      <c r="C60" s="47">
        <f>I60+F60</f>
        <v>244</v>
      </c>
      <c r="D60" s="47">
        <f>J60+G60</f>
        <v>178</v>
      </c>
      <c r="E60" s="47">
        <f>SUM(F60:G60)</f>
        <v>10</v>
      </c>
      <c r="F60" s="47">
        <v>7</v>
      </c>
      <c r="G60" s="47">
        <v>3</v>
      </c>
      <c r="H60" s="47">
        <f>SUM(I60:J60)</f>
        <v>412</v>
      </c>
      <c r="I60" s="47">
        <v>237</v>
      </c>
      <c r="J60" s="47">
        <v>175</v>
      </c>
      <c r="K60" s="188" t="s">
        <v>233</v>
      </c>
      <c r="L60" s="267"/>
    </row>
    <row r="61" spans="1:12" ht="15" customHeight="1" thickBot="1" x14ac:dyDescent="0.25">
      <c r="A61" s="253"/>
      <c r="B61" s="47">
        <f>SUM(C61:D61)</f>
        <v>0</v>
      </c>
      <c r="C61" s="47">
        <f>I61+F61</f>
        <v>0</v>
      </c>
      <c r="D61" s="47">
        <f>J61+G61</f>
        <v>0</v>
      </c>
      <c r="E61" s="47">
        <f>SUM(F61:G61)</f>
        <v>0</v>
      </c>
      <c r="F61" s="47">
        <v>0</v>
      </c>
      <c r="G61" s="47">
        <v>0</v>
      </c>
      <c r="H61" s="47">
        <f>SUM(I61:J61)</f>
        <v>0</v>
      </c>
      <c r="I61" s="47">
        <v>0</v>
      </c>
      <c r="J61" s="47">
        <v>0</v>
      </c>
      <c r="K61" s="188" t="s">
        <v>234</v>
      </c>
      <c r="L61" s="267" t="s">
        <v>556</v>
      </c>
    </row>
    <row r="62" spans="1:12" ht="15" customHeight="1" thickBot="1" x14ac:dyDescent="0.25">
      <c r="A62" s="253"/>
      <c r="B62" s="47">
        <f t="shared" ref="B62:J62" si="18">SUM(B60:B61)</f>
        <v>422</v>
      </c>
      <c r="C62" s="47">
        <f t="shared" si="18"/>
        <v>244</v>
      </c>
      <c r="D62" s="47">
        <f t="shared" si="18"/>
        <v>178</v>
      </c>
      <c r="E62" s="47">
        <f t="shared" si="18"/>
        <v>10</v>
      </c>
      <c r="F62" s="47">
        <f t="shared" si="18"/>
        <v>7</v>
      </c>
      <c r="G62" s="47">
        <f t="shared" si="18"/>
        <v>3</v>
      </c>
      <c r="H62" s="47">
        <f t="shared" si="18"/>
        <v>412</v>
      </c>
      <c r="I62" s="47">
        <f t="shared" si="18"/>
        <v>237</v>
      </c>
      <c r="J62" s="47">
        <f t="shared" si="18"/>
        <v>175</v>
      </c>
      <c r="K62" s="188" t="s">
        <v>12</v>
      </c>
      <c r="L62" s="268"/>
    </row>
    <row r="63" spans="1:12" ht="15" customHeight="1" thickBot="1" x14ac:dyDescent="0.25">
      <c r="A63" s="253"/>
      <c r="B63" s="47">
        <f t="shared" ref="B63:J65" si="19">B6+B9+B12+B15+B18+B21+B24+B27+B30+B33+B36+B39+B42+B45+B48+B51+B54+B57+B60</f>
        <v>45482</v>
      </c>
      <c r="C63" s="47">
        <f t="shared" si="19"/>
        <v>24984</v>
      </c>
      <c r="D63" s="47">
        <f t="shared" si="19"/>
        <v>20498</v>
      </c>
      <c r="E63" s="47">
        <f t="shared" si="19"/>
        <v>824</v>
      </c>
      <c r="F63" s="47">
        <f t="shared" si="19"/>
        <v>513</v>
      </c>
      <c r="G63" s="47">
        <f t="shared" si="19"/>
        <v>311</v>
      </c>
      <c r="H63" s="47">
        <f t="shared" si="19"/>
        <v>44658</v>
      </c>
      <c r="I63" s="47">
        <f t="shared" si="19"/>
        <v>24471</v>
      </c>
      <c r="J63" s="47">
        <f t="shared" si="19"/>
        <v>20187</v>
      </c>
      <c r="K63" s="188" t="s">
        <v>236</v>
      </c>
      <c r="L63" s="269"/>
    </row>
    <row r="64" spans="1:12" ht="15" customHeight="1" thickBot="1" x14ac:dyDescent="0.25">
      <c r="A64" s="253"/>
      <c r="B64" s="47">
        <f t="shared" si="19"/>
        <v>2118</v>
      </c>
      <c r="C64" s="47">
        <f t="shared" si="19"/>
        <v>2118</v>
      </c>
      <c r="D64" s="47">
        <f t="shared" si="19"/>
        <v>0</v>
      </c>
      <c r="E64" s="47">
        <f t="shared" si="19"/>
        <v>0</v>
      </c>
      <c r="F64" s="47">
        <f t="shared" si="19"/>
        <v>0</v>
      </c>
      <c r="G64" s="47">
        <f t="shared" si="19"/>
        <v>0</v>
      </c>
      <c r="H64" s="47">
        <f t="shared" si="19"/>
        <v>2118</v>
      </c>
      <c r="I64" s="47">
        <f t="shared" si="19"/>
        <v>2118</v>
      </c>
      <c r="J64" s="47">
        <f t="shared" si="19"/>
        <v>0</v>
      </c>
      <c r="K64" s="188" t="s">
        <v>237</v>
      </c>
      <c r="L64" s="270" t="s">
        <v>188</v>
      </c>
    </row>
    <row r="65" spans="1:12" ht="15" customHeight="1" thickBot="1" x14ac:dyDescent="0.25">
      <c r="A65" s="253"/>
      <c r="B65" s="47">
        <f t="shared" si="19"/>
        <v>47600</v>
      </c>
      <c r="C65" s="47">
        <f t="shared" si="19"/>
        <v>27102</v>
      </c>
      <c r="D65" s="47">
        <f t="shared" si="19"/>
        <v>20498</v>
      </c>
      <c r="E65" s="47">
        <f t="shared" si="19"/>
        <v>824</v>
      </c>
      <c r="F65" s="47">
        <f t="shared" si="19"/>
        <v>513</v>
      </c>
      <c r="G65" s="47">
        <f t="shared" si="19"/>
        <v>311</v>
      </c>
      <c r="H65" s="47">
        <f t="shared" si="19"/>
        <v>46776</v>
      </c>
      <c r="I65" s="47">
        <f t="shared" si="19"/>
        <v>26589</v>
      </c>
      <c r="J65" s="47">
        <f t="shared" si="19"/>
        <v>20187</v>
      </c>
      <c r="K65" s="188" t="s">
        <v>12</v>
      </c>
      <c r="L65" s="271"/>
    </row>
    <row r="66" spans="1:12" ht="15" customHeight="1" thickBot="1" x14ac:dyDescent="0.25">
      <c r="A66" s="253"/>
      <c r="B66" s="476" t="s">
        <v>4</v>
      </c>
      <c r="C66" s="476"/>
      <c r="D66" s="476"/>
      <c r="E66" s="476" t="s">
        <v>145</v>
      </c>
      <c r="F66" s="476"/>
      <c r="G66" s="476"/>
      <c r="H66" s="476" t="s">
        <v>146</v>
      </c>
      <c r="I66" s="476"/>
      <c r="J66" s="476"/>
      <c r="K66" s="479" t="s">
        <v>66</v>
      </c>
      <c r="L66" s="479"/>
    </row>
    <row r="67" spans="1:12" ht="15" customHeight="1" thickBot="1" x14ac:dyDescent="0.25">
      <c r="A67" s="253"/>
      <c r="B67" s="185" t="s">
        <v>227</v>
      </c>
      <c r="C67" s="185" t="s">
        <v>10</v>
      </c>
      <c r="D67" s="185" t="s">
        <v>9</v>
      </c>
      <c r="E67" s="185" t="s">
        <v>227</v>
      </c>
      <c r="F67" s="185" t="s">
        <v>10</v>
      </c>
      <c r="G67" s="185" t="s">
        <v>9</v>
      </c>
      <c r="H67" s="185" t="s">
        <v>227</v>
      </c>
      <c r="I67" s="185" t="s">
        <v>10</v>
      </c>
      <c r="J67" s="185" t="s">
        <v>9</v>
      </c>
      <c r="K67" s="480" t="s">
        <v>147</v>
      </c>
      <c r="L67" s="480"/>
    </row>
    <row r="68" spans="1:12" ht="15" customHeight="1" thickBot="1" x14ac:dyDescent="0.25">
      <c r="A68" s="253"/>
      <c r="B68" s="47">
        <f>SUM(C68:D68)</f>
        <v>309</v>
      </c>
      <c r="C68" s="47">
        <f>I68+F68</f>
        <v>0</v>
      </c>
      <c r="D68" s="47">
        <f>J68+G68</f>
        <v>309</v>
      </c>
      <c r="E68" s="47">
        <f>SUM(F68:G68)</f>
        <v>69</v>
      </c>
      <c r="F68" s="47">
        <v>0</v>
      </c>
      <c r="G68" s="47">
        <f>169-100</f>
        <v>69</v>
      </c>
      <c r="H68" s="47">
        <f>SUM(I68:J68)</f>
        <v>240</v>
      </c>
      <c r="I68" s="47">
        <v>0</v>
      </c>
      <c r="J68" s="47">
        <f>195-55+100</f>
        <v>240</v>
      </c>
      <c r="K68" s="188" t="s">
        <v>233</v>
      </c>
      <c r="L68" s="134"/>
    </row>
    <row r="69" spans="1:12" ht="15" customHeight="1" thickBot="1" x14ac:dyDescent="0.25">
      <c r="A69" s="253"/>
      <c r="B69" s="47">
        <f>SUM(C69:D69)</f>
        <v>0</v>
      </c>
      <c r="C69" s="47">
        <f>I69+F69</f>
        <v>0</v>
      </c>
      <c r="D69" s="47">
        <f>J69+G69</f>
        <v>0</v>
      </c>
      <c r="E69" s="47">
        <f>SUM(F69:G69)</f>
        <v>0</v>
      </c>
      <c r="F69" s="47">
        <v>0</v>
      </c>
      <c r="G69" s="47">
        <v>0</v>
      </c>
      <c r="H69" s="47">
        <f>SUM(I69:J69)</f>
        <v>0</v>
      </c>
      <c r="I69" s="47">
        <v>0</v>
      </c>
      <c r="J69" s="47">
        <v>0</v>
      </c>
      <c r="K69" s="188" t="s">
        <v>234</v>
      </c>
      <c r="L69" s="134" t="s">
        <v>356</v>
      </c>
    </row>
    <row r="70" spans="1:12" ht="15" customHeight="1" thickBot="1" x14ac:dyDescent="0.25">
      <c r="A70" s="253"/>
      <c r="B70" s="47">
        <f t="shared" ref="B70:J70" si="20">SUM(B68:B69)</f>
        <v>309</v>
      </c>
      <c r="C70" s="47">
        <f t="shared" si="20"/>
        <v>0</v>
      </c>
      <c r="D70" s="47">
        <f t="shared" si="20"/>
        <v>309</v>
      </c>
      <c r="E70" s="47">
        <f t="shared" si="20"/>
        <v>69</v>
      </c>
      <c r="F70" s="47">
        <f t="shared" si="20"/>
        <v>0</v>
      </c>
      <c r="G70" s="47">
        <f t="shared" si="20"/>
        <v>69</v>
      </c>
      <c r="H70" s="47">
        <f t="shared" si="20"/>
        <v>240</v>
      </c>
      <c r="I70" s="47">
        <f t="shared" si="20"/>
        <v>0</v>
      </c>
      <c r="J70" s="47">
        <f t="shared" si="20"/>
        <v>240</v>
      </c>
      <c r="K70" s="188" t="s">
        <v>12</v>
      </c>
      <c r="L70" s="239"/>
    </row>
    <row r="71" spans="1:12" ht="15" customHeight="1" thickBot="1" x14ac:dyDescent="0.25">
      <c r="A71" s="253"/>
      <c r="B71" s="47">
        <f>SUM(C71:D71)</f>
        <v>752</v>
      </c>
      <c r="C71" s="47">
        <f>I71+F71</f>
        <v>0</v>
      </c>
      <c r="D71" s="47">
        <f>J71+G71</f>
        <v>752</v>
      </c>
      <c r="E71" s="47">
        <f>SUM(F71:G71)</f>
        <v>142</v>
      </c>
      <c r="F71" s="47">
        <v>0</v>
      </c>
      <c r="G71" s="47">
        <f>642-500</f>
        <v>142</v>
      </c>
      <c r="H71" s="47">
        <f>SUM(I71:J71)</f>
        <v>610</v>
      </c>
      <c r="I71" s="47">
        <v>0</v>
      </c>
      <c r="J71" s="47">
        <f>148-38+500</f>
        <v>610</v>
      </c>
      <c r="K71" s="188" t="s">
        <v>233</v>
      </c>
      <c r="L71" s="134"/>
    </row>
    <row r="72" spans="1:12" ht="15" customHeight="1" thickBot="1" x14ac:dyDescent="0.25">
      <c r="A72" s="253"/>
      <c r="B72" s="47">
        <f>SUM(C72:D72)</f>
        <v>0</v>
      </c>
      <c r="C72" s="47">
        <f>I72+F72</f>
        <v>0</v>
      </c>
      <c r="D72" s="47">
        <f>J72+G72</f>
        <v>0</v>
      </c>
      <c r="E72" s="47">
        <f>SUM(F72:G72)</f>
        <v>0</v>
      </c>
      <c r="F72" s="47">
        <v>0</v>
      </c>
      <c r="G72" s="47">
        <v>0</v>
      </c>
      <c r="H72" s="47">
        <f>SUM(I72:J72)</f>
        <v>0</v>
      </c>
      <c r="I72" s="47">
        <v>0</v>
      </c>
      <c r="J72" s="47">
        <v>0</v>
      </c>
      <c r="K72" s="188" t="s">
        <v>234</v>
      </c>
      <c r="L72" s="134" t="s">
        <v>357</v>
      </c>
    </row>
    <row r="73" spans="1:12" ht="15" customHeight="1" thickBot="1" x14ac:dyDescent="0.25">
      <c r="A73" s="253"/>
      <c r="B73" s="47">
        <f t="shared" ref="B73:J73" si="21">SUM(B71:B72)</f>
        <v>752</v>
      </c>
      <c r="C73" s="47">
        <f t="shared" si="21"/>
        <v>0</v>
      </c>
      <c r="D73" s="47">
        <f t="shared" si="21"/>
        <v>752</v>
      </c>
      <c r="E73" s="47">
        <f t="shared" si="21"/>
        <v>142</v>
      </c>
      <c r="F73" s="47">
        <f t="shared" si="21"/>
        <v>0</v>
      </c>
      <c r="G73" s="47">
        <f t="shared" si="21"/>
        <v>142</v>
      </c>
      <c r="H73" s="47">
        <f t="shared" si="21"/>
        <v>610</v>
      </c>
      <c r="I73" s="47">
        <f t="shared" si="21"/>
        <v>0</v>
      </c>
      <c r="J73" s="47">
        <f t="shared" si="21"/>
        <v>610</v>
      </c>
      <c r="K73" s="188" t="s">
        <v>12</v>
      </c>
      <c r="L73" s="239"/>
    </row>
    <row r="74" spans="1:12" ht="15" customHeight="1" thickBot="1" x14ac:dyDescent="0.25">
      <c r="A74" s="253"/>
      <c r="B74" s="47">
        <f>SUM(C74:D74)</f>
        <v>3006</v>
      </c>
      <c r="C74" s="47">
        <f>I74+F74</f>
        <v>0</v>
      </c>
      <c r="D74" s="47">
        <f>J74+G74</f>
        <v>3006</v>
      </c>
      <c r="E74" s="47">
        <f>SUM(F74:G74)</f>
        <v>790</v>
      </c>
      <c r="F74" s="47">
        <v>0</v>
      </c>
      <c r="G74" s="47">
        <f>1390-600</f>
        <v>790</v>
      </c>
      <c r="H74" s="47">
        <f>SUM(I74:J74)</f>
        <v>2216</v>
      </c>
      <c r="I74" s="47">
        <v>0</v>
      </c>
      <c r="J74" s="47">
        <f>2916-1300+600</f>
        <v>2216</v>
      </c>
      <c r="K74" s="188" t="s">
        <v>233</v>
      </c>
      <c r="L74" s="134"/>
    </row>
    <row r="75" spans="1:12" ht="15" customHeight="1" thickBot="1" x14ac:dyDescent="0.25">
      <c r="A75" s="253"/>
      <c r="B75" s="47">
        <f>SUM(C75:D75)</f>
        <v>1164</v>
      </c>
      <c r="C75" s="47">
        <f>I75+F75</f>
        <v>0</v>
      </c>
      <c r="D75" s="47">
        <f>J75+G75</f>
        <v>1164</v>
      </c>
      <c r="E75" s="47">
        <f>SUM(F75:G75)</f>
        <v>145</v>
      </c>
      <c r="F75" s="47">
        <v>0</v>
      </c>
      <c r="G75" s="47">
        <v>145</v>
      </c>
      <c r="H75" s="47">
        <f>SUM(I75:J75)</f>
        <v>1019</v>
      </c>
      <c r="I75" s="47">
        <v>0</v>
      </c>
      <c r="J75" s="47">
        <v>1019</v>
      </c>
      <c r="K75" s="188" t="s">
        <v>234</v>
      </c>
      <c r="L75" s="134" t="s">
        <v>358</v>
      </c>
    </row>
    <row r="76" spans="1:12" ht="15" customHeight="1" thickBot="1" x14ac:dyDescent="0.25">
      <c r="A76" s="253"/>
      <c r="B76" s="47">
        <f t="shared" ref="B76:J76" si="22">SUM(B74:B75)</f>
        <v>4170</v>
      </c>
      <c r="C76" s="47">
        <f t="shared" si="22"/>
        <v>0</v>
      </c>
      <c r="D76" s="47">
        <f t="shared" si="22"/>
        <v>4170</v>
      </c>
      <c r="E76" s="47">
        <f t="shared" si="22"/>
        <v>935</v>
      </c>
      <c r="F76" s="47">
        <f t="shared" si="22"/>
        <v>0</v>
      </c>
      <c r="G76" s="47">
        <f t="shared" si="22"/>
        <v>935</v>
      </c>
      <c r="H76" s="47">
        <f t="shared" si="22"/>
        <v>3235</v>
      </c>
      <c r="I76" s="47">
        <f t="shared" si="22"/>
        <v>0</v>
      </c>
      <c r="J76" s="47">
        <f t="shared" si="22"/>
        <v>3235</v>
      </c>
      <c r="K76" s="188" t="s">
        <v>12</v>
      </c>
      <c r="L76" s="239"/>
    </row>
    <row r="77" spans="1:12" ht="15" customHeight="1" thickBot="1" x14ac:dyDescent="0.25">
      <c r="A77" s="253"/>
      <c r="B77" s="47">
        <f>SUM(C77:D77)</f>
        <v>1091</v>
      </c>
      <c r="C77" s="47">
        <f>I77+F77</f>
        <v>0</v>
      </c>
      <c r="D77" s="47">
        <f>J77+G77</f>
        <v>1091</v>
      </c>
      <c r="E77" s="47">
        <f>SUM(F77:G77)</f>
        <v>838</v>
      </c>
      <c r="F77" s="47">
        <v>0</v>
      </c>
      <c r="G77" s="47">
        <f>988-150</f>
        <v>838</v>
      </c>
      <c r="H77" s="47">
        <f>SUM(I77:J77)</f>
        <v>253</v>
      </c>
      <c r="I77" s="47">
        <v>0</v>
      </c>
      <c r="J77" s="47">
        <f>127-24+150</f>
        <v>253</v>
      </c>
      <c r="K77" s="188" t="s">
        <v>233</v>
      </c>
      <c r="L77" s="134"/>
    </row>
    <row r="78" spans="1:12" ht="15" customHeight="1" thickBot="1" x14ac:dyDescent="0.25">
      <c r="A78" s="253"/>
      <c r="B78" s="47">
        <f>SUM(C78:D78)</f>
        <v>0</v>
      </c>
      <c r="C78" s="47">
        <f>I78+F78</f>
        <v>0</v>
      </c>
      <c r="D78" s="47">
        <f>J78+G78</f>
        <v>0</v>
      </c>
      <c r="E78" s="47">
        <f>SUM(F78:G78)</f>
        <v>0</v>
      </c>
      <c r="F78" s="47">
        <v>0</v>
      </c>
      <c r="G78" s="47">
        <v>0</v>
      </c>
      <c r="H78" s="47">
        <f>SUM(I78:J78)</f>
        <v>0</v>
      </c>
      <c r="I78" s="47">
        <v>0</v>
      </c>
      <c r="J78" s="47">
        <v>0</v>
      </c>
      <c r="K78" s="188" t="s">
        <v>234</v>
      </c>
      <c r="L78" s="134" t="s">
        <v>359</v>
      </c>
    </row>
    <row r="79" spans="1:12" ht="15" customHeight="1" thickBot="1" x14ac:dyDescent="0.25">
      <c r="A79" s="253"/>
      <c r="B79" s="47">
        <f t="shared" ref="B79:J79" si="23">SUM(B77:B78)</f>
        <v>1091</v>
      </c>
      <c r="C79" s="47">
        <f t="shared" si="23"/>
        <v>0</v>
      </c>
      <c r="D79" s="47">
        <f t="shared" si="23"/>
        <v>1091</v>
      </c>
      <c r="E79" s="47">
        <f t="shared" si="23"/>
        <v>838</v>
      </c>
      <c r="F79" s="47">
        <f t="shared" si="23"/>
        <v>0</v>
      </c>
      <c r="G79" s="47">
        <f t="shared" si="23"/>
        <v>838</v>
      </c>
      <c r="H79" s="47">
        <f t="shared" si="23"/>
        <v>253</v>
      </c>
      <c r="I79" s="47">
        <f t="shared" si="23"/>
        <v>0</v>
      </c>
      <c r="J79" s="47">
        <f t="shared" si="23"/>
        <v>253</v>
      </c>
      <c r="K79" s="188" t="s">
        <v>12</v>
      </c>
      <c r="L79" s="239"/>
    </row>
    <row r="80" spans="1:12" ht="15" customHeight="1" thickBot="1" x14ac:dyDescent="0.25">
      <c r="A80" s="253"/>
      <c r="B80" s="47">
        <f>SUM(C80:D80)</f>
        <v>525</v>
      </c>
      <c r="C80" s="47">
        <f>I80+F80</f>
        <v>0</v>
      </c>
      <c r="D80" s="47">
        <f>J80+G80</f>
        <v>525</v>
      </c>
      <c r="E80" s="47">
        <f>SUM(F80:G80)</f>
        <v>197</v>
      </c>
      <c r="F80" s="47">
        <v>0</v>
      </c>
      <c r="G80" s="47">
        <f>269-72</f>
        <v>197</v>
      </c>
      <c r="H80" s="47">
        <f>SUM(I80:J80)</f>
        <v>328</v>
      </c>
      <c r="I80" s="47">
        <v>0</v>
      </c>
      <c r="J80" s="47">
        <f>1052-796+72</f>
        <v>328</v>
      </c>
      <c r="K80" s="188" t="s">
        <v>233</v>
      </c>
      <c r="L80" s="134"/>
    </row>
    <row r="81" spans="1:12" ht="15" customHeight="1" thickBot="1" x14ac:dyDescent="0.25">
      <c r="A81" s="253"/>
      <c r="B81" s="47">
        <f>SUM(C81:D81)</f>
        <v>0</v>
      </c>
      <c r="C81" s="47">
        <f>I81+F81</f>
        <v>0</v>
      </c>
      <c r="D81" s="47">
        <f>J81+G81</f>
        <v>0</v>
      </c>
      <c r="E81" s="47">
        <f>SUM(F81:G81)</f>
        <v>0</v>
      </c>
      <c r="F81" s="47">
        <v>0</v>
      </c>
      <c r="G81" s="47">
        <v>0</v>
      </c>
      <c r="H81" s="47">
        <f>SUM(I81:J81)</f>
        <v>0</v>
      </c>
      <c r="I81" s="47">
        <v>0</v>
      </c>
      <c r="J81" s="47">
        <v>0</v>
      </c>
      <c r="K81" s="188" t="s">
        <v>234</v>
      </c>
      <c r="L81" s="134" t="s">
        <v>360</v>
      </c>
    </row>
    <row r="82" spans="1:12" ht="15" customHeight="1" thickBot="1" x14ac:dyDescent="0.25">
      <c r="A82" s="253"/>
      <c r="B82" s="47">
        <f t="shared" ref="B82:J82" si="24">SUM(B80:B81)</f>
        <v>525</v>
      </c>
      <c r="C82" s="47">
        <f t="shared" si="24"/>
        <v>0</v>
      </c>
      <c r="D82" s="47">
        <f t="shared" si="24"/>
        <v>525</v>
      </c>
      <c r="E82" s="47">
        <f t="shared" si="24"/>
        <v>197</v>
      </c>
      <c r="F82" s="47">
        <f t="shared" si="24"/>
        <v>0</v>
      </c>
      <c r="G82" s="47">
        <f t="shared" si="24"/>
        <v>197</v>
      </c>
      <c r="H82" s="47">
        <f t="shared" si="24"/>
        <v>328</v>
      </c>
      <c r="I82" s="47">
        <f t="shared" si="24"/>
        <v>0</v>
      </c>
      <c r="J82" s="47">
        <f t="shared" si="24"/>
        <v>328</v>
      </c>
      <c r="K82" s="188" t="s">
        <v>12</v>
      </c>
      <c r="L82" s="239"/>
    </row>
    <row r="83" spans="1:12" ht="15" customHeight="1" thickBot="1" x14ac:dyDescent="0.25">
      <c r="A83" s="253"/>
      <c r="B83" s="47">
        <f t="shared" ref="B83:J84" si="25">B68+B71+B74+B77+B80</f>
        <v>5683</v>
      </c>
      <c r="C83" s="47">
        <f t="shared" si="25"/>
        <v>0</v>
      </c>
      <c r="D83" s="47">
        <f t="shared" si="25"/>
        <v>5683</v>
      </c>
      <c r="E83" s="47">
        <f t="shared" si="25"/>
        <v>2036</v>
      </c>
      <c r="F83" s="47">
        <f t="shared" si="25"/>
        <v>0</v>
      </c>
      <c r="G83" s="47">
        <f t="shared" si="25"/>
        <v>2036</v>
      </c>
      <c r="H83" s="47">
        <f t="shared" si="25"/>
        <v>3647</v>
      </c>
      <c r="I83" s="47">
        <f t="shared" si="25"/>
        <v>0</v>
      </c>
      <c r="J83" s="47">
        <f t="shared" si="25"/>
        <v>3647</v>
      </c>
      <c r="K83" s="188" t="s">
        <v>236</v>
      </c>
      <c r="L83" s="131"/>
    </row>
    <row r="84" spans="1:12" ht="15" customHeight="1" thickBot="1" x14ac:dyDescent="0.25">
      <c r="A84" s="253"/>
      <c r="B84" s="47">
        <f t="shared" si="25"/>
        <v>1164</v>
      </c>
      <c r="C84" s="47">
        <f t="shared" si="25"/>
        <v>0</v>
      </c>
      <c r="D84" s="47">
        <f t="shared" si="25"/>
        <v>1164</v>
      </c>
      <c r="E84" s="47">
        <f t="shared" si="25"/>
        <v>145</v>
      </c>
      <c r="F84" s="47">
        <f t="shared" si="25"/>
        <v>0</v>
      </c>
      <c r="G84" s="47">
        <f t="shared" si="25"/>
        <v>145</v>
      </c>
      <c r="H84" s="47">
        <f t="shared" si="25"/>
        <v>1019</v>
      </c>
      <c r="I84" s="47">
        <f t="shared" si="25"/>
        <v>0</v>
      </c>
      <c r="J84" s="47">
        <f t="shared" si="25"/>
        <v>1019</v>
      </c>
      <c r="K84" s="188" t="s">
        <v>237</v>
      </c>
      <c r="L84" s="132" t="s">
        <v>188</v>
      </c>
    </row>
    <row r="85" spans="1:12" ht="15" customHeight="1" thickBot="1" x14ac:dyDescent="0.25">
      <c r="A85" s="253"/>
      <c r="B85" s="47">
        <f>B70+B73+B76+B79+B82</f>
        <v>6847</v>
      </c>
      <c r="C85" s="47">
        <f t="shared" ref="C85:J85" si="26">SUM(C83:C84)</f>
        <v>0</v>
      </c>
      <c r="D85" s="47">
        <f t="shared" si="26"/>
        <v>6847</v>
      </c>
      <c r="E85" s="47">
        <f t="shared" si="26"/>
        <v>2181</v>
      </c>
      <c r="F85" s="47">
        <f t="shared" si="26"/>
        <v>0</v>
      </c>
      <c r="G85" s="47">
        <f t="shared" si="26"/>
        <v>2181</v>
      </c>
      <c r="H85" s="47">
        <f t="shared" si="26"/>
        <v>4666</v>
      </c>
      <c r="I85" s="47">
        <f t="shared" si="26"/>
        <v>0</v>
      </c>
      <c r="J85" s="47">
        <f t="shared" si="26"/>
        <v>4666</v>
      </c>
      <c r="K85" s="188" t="s">
        <v>12</v>
      </c>
      <c r="L85" s="133"/>
    </row>
    <row r="86" spans="1:12" ht="15" customHeight="1" thickBot="1" x14ac:dyDescent="0.25">
      <c r="A86" s="253"/>
      <c r="B86" s="476" t="s">
        <v>4</v>
      </c>
      <c r="C86" s="476"/>
      <c r="D86" s="476"/>
      <c r="E86" s="476" t="s">
        <v>145</v>
      </c>
      <c r="F86" s="476"/>
      <c r="G86" s="476"/>
      <c r="H86" s="476" t="s">
        <v>146</v>
      </c>
      <c r="I86" s="476"/>
      <c r="J86" s="476"/>
      <c r="K86" s="479" t="s">
        <v>66</v>
      </c>
      <c r="L86" s="479"/>
    </row>
    <row r="87" spans="1:12" ht="15" customHeight="1" thickBot="1" x14ac:dyDescent="0.25">
      <c r="A87" s="253"/>
      <c r="B87" s="185" t="s">
        <v>227</v>
      </c>
      <c r="C87" s="185" t="s">
        <v>10</v>
      </c>
      <c r="D87" s="185" t="s">
        <v>9</v>
      </c>
      <c r="E87" s="185" t="s">
        <v>227</v>
      </c>
      <c r="F87" s="185" t="s">
        <v>10</v>
      </c>
      <c r="G87" s="185" t="s">
        <v>9</v>
      </c>
      <c r="H87" s="185" t="s">
        <v>227</v>
      </c>
      <c r="I87" s="185" t="s">
        <v>10</v>
      </c>
      <c r="J87" s="185" t="s">
        <v>9</v>
      </c>
      <c r="K87" s="480" t="s">
        <v>70</v>
      </c>
      <c r="L87" s="480"/>
    </row>
    <row r="88" spans="1:12" ht="15" customHeight="1" thickBot="1" x14ac:dyDescent="0.25">
      <c r="A88" s="253"/>
      <c r="B88" s="47">
        <f>SUM(C88:D88)</f>
        <v>4730</v>
      </c>
      <c r="C88" s="47">
        <f>I88+F88</f>
        <v>1603</v>
      </c>
      <c r="D88" s="47">
        <f>J88+G88</f>
        <v>3127</v>
      </c>
      <c r="E88" s="47">
        <f>SUM(F88:G88)</f>
        <v>303</v>
      </c>
      <c r="F88" s="47">
        <v>61</v>
      </c>
      <c r="G88" s="47">
        <v>242</v>
      </c>
      <c r="H88" s="47">
        <f>SUM(I88:J88)</f>
        <v>4427</v>
      </c>
      <c r="I88" s="47">
        <f>2042-500</f>
        <v>1542</v>
      </c>
      <c r="J88" s="47">
        <v>2885</v>
      </c>
      <c r="K88" s="188" t="s">
        <v>233</v>
      </c>
      <c r="L88" s="134"/>
    </row>
    <row r="89" spans="1:12" ht="15" customHeight="1" thickBot="1" x14ac:dyDescent="0.25">
      <c r="A89" s="253"/>
      <c r="B89" s="47">
        <f>SUM(C89:D89)</f>
        <v>736</v>
      </c>
      <c r="C89" s="47">
        <f>I89+F89</f>
        <v>214</v>
      </c>
      <c r="D89" s="47">
        <f>J89+G89</f>
        <v>522</v>
      </c>
      <c r="E89" s="47">
        <f>SUM(F89:G89)</f>
        <v>3</v>
      </c>
      <c r="F89" s="47">
        <v>1</v>
      </c>
      <c r="G89" s="47">
        <v>2</v>
      </c>
      <c r="H89" s="47">
        <f>SUM(I89:J89)</f>
        <v>733</v>
      </c>
      <c r="I89" s="47">
        <v>213</v>
      </c>
      <c r="J89" s="47">
        <v>520</v>
      </c>
      <c r="K89" s="188" t="s">
        <v>234</v>
      </c>
      <c r="L89" s="134" t="s">
        <v>578</v>
      </c>
    </row>
    <row r="90" spans="1:12" ht="15" customHeight="1" thickBot="1" x14ac:dyDescent="0.25">
      <c r="A90" s="253"/>
      <c r="B90" s="47">
        <f t="shared" ref="B90:J90" si="27">SUM(B88:B89)</f>
        <v>5466</v>
      </c>
      <c r="C90" s="47">
        <f t="shared" si="27"/>
        <v>1817</v>
      </c>
      <c r="D90" s="47">
        <f t="shared" si="27"/>
        <v>3649</v>
      </c>
      <c r="E90" s="47">
        <f t="shared" si="27"/>
        <v>306</v>
      </c>
      <c r="F90" s="47">
        <f t="shared" si="27"/>
        <v>62</v>
      </c>
      <c r="G90" s="47">
        <f t="shared" si="27"/>
        <v>244</v>
      </c>
      <c r="H90" s="47">
        <f t="shared" si="27"/>
        <v>5160</v>
      </c>
      <c r="I90" s="47">
        <f t="shared" si="27"/>
        <v>1755</v>
      </c>
      <c r="J90" s="47">
        <f t="shared" si="27"/>
        <v>3405</v>
      </c>
      <c r="K90" s="188" t="s">
        <v>12</v>
      </c>
      <c r="L90" s="239"/>
    </row>
    <row r="91" spans="1:12" ht="15" customHeight="1" thickBot="1" x14ac:dyDescent="0.25">
      <c r="A91" s="253"/>
      <c r="B91" s="47">
        <f>SUM(C91:D91)</f>
        <v>2284</v>
      </c>
      <c r="C91" s="47">
        <f>I91+F91</f>
        <v>1380</v>
      </c>
      <c r="D91" s="47">
        <f>J91+G91</f>
        <v>904</v>
      </c>
      <c r="E91" s="47">
        <f>SUM(F91:G91)</f>
        <v>94</v>
      </c>
      <c r="F91" s="47">
        <v>44</v>
      </c>
      <c r="G91" s="47">
        <v>50</v>
      </c>
      <c r="H91" s="47">
        <f>SUM(I91:J91)</f>
        <v>2190</v>
      </c>
      <c r="I91" s="47">
        <f>1786-450</f>
        <v>1336</v>
      </c>
      <c r="J91" s="47">
        <v>854</v>
      </c>
      <c r="K91" s="188" t="s">
        <v>233</v>
      </c>
      <c r="L91" s="134"/>
    </row>
    <row r="92" spans="1:12" ht="15" customHeight="1" thickBot="1" x14ac:dyDescent="0.25">
      <c r="A92" s="253"/>
      <c r="B92" s="47">
        <f>SUM(C92:D92)</f>
        <v>392</v>
      </c>
      <c r="C92" s="47">
        <f>I92+F92</f>
        <v>214</v>
      </c>
      <c r="D92" s="47">
        <f>J92+G92</f>
        <v>178</v>
      </c>
      <c r="E92" s="47">
        <f>SUM(F92:G92)</f>
        <v>1</v>
      </c>
      <c r="F92" s="47">
        <v>1</v>
      </c>
      <c r="G92" s="47">
        <v>0</v>
      </c>
      <c r="H92" s="47">
        <f>SUM(I92:J92)</f>
        <v>391</v>
      </c>
      <c r="I92" s="47">
        <v>213</v>
      </c>
      <c r="J92" s="47">
        <v>178</v>
      </c>
      <c r="K92" s="188" t="s">
        <v>234</v>
      </c>
      <c r="L92" s="134" t="s">
        <v>634</v>
      </c>
    </row>
    <row r="93" spans="1:12" ht="15" customHeight="1" thickBot="1" x14ac:dyDescent="0.25">
      <c r="A93" s="253"/>
      <c r="B93" s="47">
        <f t="shared" ref="B93:J93" si="28">SUM(B91:B92)</f>
        <v>2676</v>
      </c>
      <c r="C93" s="47">
        <f t="shared" si="28"/>
        <v>1594</v>
      </c>
      <c r="D93" s="47">
        <f t="shared" si="28"/>
        <v>1082</v>
      </c>
      <c r="E93" s="47">
        <f t="shared" si="28"/>
        <v>95</v>
      </c>
      <c r="F93" s="47">
        <f t="shared" si="28"/>
        <v>45</v>
      </c>
      <c r="G93" s="47">
        <f t="shared" si="28"/>
        <v>50</v>
      </c>
      <c r="H93" s="47">
        <f t="shared" si="28"/>
        <v>2581</v>
      </c>
      <c r="I93" s="47">
        <f t="shared" si="28"/>
        <v>1549</v>
      </c>
      <c r="J93" s="47">
        <f t="shared" si="28"/>
        <v>1032</v>
      </c>
      <c r="K93" s="188" t="s">
        <v>12</v>
      </c>
      <c r="L93" s="239"/>
    </row>
    <row r="94" spans="1:12" ht="15" customHeight="1" thickBot="1" x14ac:dyDescent="0.25">
      <c r="A94" s="253"/>
      <c r="B94" s="47">
        <f>SUM(C94:D94)</f>
        <v>4847</v>
      </c>
      <c r="C94" s="47">
        <f>I94+F94</f>
        <v>2571</v>
      </c>
      <c r="D94" s="47">
        <f>J94+G94</f>
        <v>2276</v>
      </c>
      <c r="E94" s="47">
        <f>SUM(F94:G94)</f>
        <v>185</v>
      </c>
      <c r="F94" s="47">
        <v>24</v>
      </c>
      <c r="G94" s="47">
        <v>161</v>
      </c>
      <c r="H94" s="47">
        <f>SUM(I94:J94)</f>
        <v>4662</v>
      </c>
      <c r="I94" s="47">
        <f>3397-850</f>
        <v>2547</v>
      </c>
      <c r="J94" s="47">
        <v>2115</v>
      </c>
      <c r="K94" s="188" t="s">
        <v>233</v>
      </c>
      <c r="L94" s="134"/>
    </row>
    <row r="95" spans="1:12" ht="15" customHeight="1" thickBot="1" x14ac:dyDescent="0.25">
      <c r="A95" s="253"/>
      <c r="B95" s="47">
        <f>SUM(C95:D95)</f>
        <v>2366</v>
      </c>
      <c r="C95" s="47">
        <f>I95+F95</f>
        <v>909</v>
      </c>
      <c r="D95" s="47">
        <f>J95+G95</f>
        <v>1457</v>
      </c>
      <c r="E95" s="47">
        <f>SUM(F95:G95)</f>
        <v>5</v>
      </c>
      <c r="F95" s="47">
        <v>5</v>
      </c>
      <c r="G95" s="47">
        <v>0</v>
      </c>
      <c r="H95" s="47">
        <f>SUM(I95:J95)</f>
        <v>2361</v>
      </c>
      <c r="I95" s="47">
        <f>1104-200</f>
        <v>904</v>
      </c>
      <c r="J95" s="47">
        <v>1457</v>
      </c>
      <c r="K95" s="188" t="s">
        <v>234</v>
      </c>
      <c r="L95" s="134" t="s">
        <v>635</v>
      </c>
    </row>
    <row r="96" spans="1:12" ht="15" customHeight="1" thickBot="1" x14ac:dyDescent="0.25">
      <c r="A96" s="253"/>
      <c r="B96" s="47">
        <f t="shared" ref="B96:J96" si="29">SUM(B94:B95)</f>
        <v>7213</v>
      </c>
      <c r="C96" s="47">
        <f t="shared" si="29"/>
        <v>3480</v>
      </c>
      <c r="D96" s="47">
        <f t="shared" si="29"/>
        <v>3733</v>
      </c>
      <c r="E96" s="47">
        <f t="shared" si="29"/>
        <v>190</v>
      </c>
      <c r="F96" s="47">
        <f t="shared" si="29"/>
        <v>29</v>
      </c>
      <c r="G96" s="47">
        <f t="shared" si="29"/>
        <v>161</v>
      </c>
      <c r="H96" s="47">
        <f t="shared" si="29"/>
        <v>7023</v>
      </c>
      <c r="I96" s="47">
        <f t="shared" si="29"/>
        <v>3451</v>
      </c>
      <c r="J96" s="47">
        <f t="shared" si="29"/>
        <v>3572</v>
      </c>
      <c r="K96" s="188" t="s">
        <v>12</v>
      </c>
      <c r="L96" s="239"/>
    </row>
    <row r="97" spans="1:12" ht="15" customHeight="1" thickBot="1" x14ac:dyDescent="0.25">
      <c r="A97" s="253"/>
      <c r="B97" s="47">
        <f>SUM(C97:D97)</f>
        <v>3730</v>
      </c>
      <c r="C97" s="47">
        <f>I97+F97</f>
        <v>2077</v>
      </c>
      <c r="D97" s="47">
        <f>J97+G97</f>
        <v>1653</v>
      </c>
      <c r="E97" s="47">
        <f>SUM(F97:G97)</f>
        <v>86</v>
      </c>
      <c r="F97" s="47">
        <v>25</v>
      </c>
      <c r="G97" s="47">
        <v>61</v>
      </c>
      <c r="H97" s="47">
        <f>SUM(I97:J97)</f>
        <v>3644</v>
      </c>
      <c r="I97" s="47">
        <f>2502-450</f>
        <v>2052</v>
      </c>
      <c r="J97" s="47">
        <v>1592</v>
      </c>
      <c r="K97" s="188" t="s">
        <v>233</v>
      </c>
      <c r="L97" s="134"/>
    </row>
    <row r="98" spans="1:12" ht="15" customHeight="1" thickBot="1" x14ac:dyDescent="0.25">
      <c r="A98" s="253"/>
      <c r="B98" s="47">
        <f>SUM(C98:D98)</f>
        <v>1468</v>
      </c>
      <c r="C98" s="47">
        <f>I98+F98</f>
        <v>350</v>
      </c>
      <c r="D98" s="47">
        <f>J98+G98</f>
        <v>1118</v>
      </c>
      <c r="E98" s="47">
        <f>SUM(F98:G98)</f>
        <v>4</v>
      </c>
      <c r="F98" s="47">
        <v>1</v>
      </c>
      <c r="G98" s="47">
        <v>3</v>
      </c>
      <c r="H98" s="47">
        <f>SUM(I98:J98)</f>
        <v>1464</v>
      </c>
      <c r="I98" s="47">
        <v>349</v>
      </c>
      <c r="J98" s="47">
        <v>1115</v>
      </c>
      <c r="K98" s="188" t="s">
        <v>234</v>
      </c>
      <c r="L98" s="134" t="s">
        <v>636</v>
      </c>
    </row>
    <row r="99" spans="1:12" ht="15" customHeight="1" thickBot="1" x14ac:dyDescent="0.25">
      <c r="A99" s="253"/>
      <c r="B99" s="47">
        <f t="shared" ref="B99:J99" si="30">SUM(B97:B98)</f>
        <v>5198</v>
      </c>
      <c r="C99" s="47">
        <f t="shared" si="30"/>
        <v>2427</v>
      </c>
      <c r="D99" s="47">
        <f t="shared" si="30"/>
        <v>2771</v>
      </c>
      <c r="E99" s="47">
        <f t="shared" si="30"/>
        <v>90</v>
      </c>
      <c r="F99" s="47">
        <f t="shared" si="30"/>
        <v>26</v>
      </c>
      <c r="G99" s="47">
        <f t="shared" si="30"/>
        <v>64</v>
      </c>
      <c r="H99" s="47">
        <f t="shared" si="30"/>
        <v>5108</v>
      </c>
      <c r="I99" s="47">
        <f t="shared" si="30"/>
        <v>2401</v>
      </c>
      <c r="J99" s="47">
        <f t="shared" si="30"/>
        <v>2707</v>
      </c>
      <c r="K99" s="188" t="s">
        <v>12</v>
      </c>
      <c r="L99" s="239"/>
    </row>
    <row r="100" spans="1:12" ht="15" customHeight="1" thickBot="1" x14ac:dyDescent="0.25">
      <c r="A100" s="253"/>
      <c r="B100" s="47">
        <f>SUM(C100:D100)</f>
        <v>2440</v>
      </c>
      <c r="C100" s="47">
        <f>I100+F100</f>
        <v>1001</v>
      </c>
      <c r="D100" s="47">
        <f>J100+G100</f>
        <v>1439</v>
      </c>
      <c r="E100" s="47">
        <f>SUM(F100:G100)</f>
        <v>31</v>
      </c>
      <c r="F100" s="47">
        <v>4</v>
      </c>
      <c r="G100" s="47">
        <v>27</v>
      </c>
      <c r="H100" s="47">
        <f>SUM(I100:J100)</f>
        <v>2409</v>
      </c>
      <c r="I100" s="47">
        <v>997</v>
      </c>
      <c r="J100" s="47">
        <v>1412</v>
      </c>
      <c r="K100" s="188" t="s">
        <v>233</v>
      </c>
      <c r="L100" s="134"/>
    </row>
    <row r="101" spans="1:12" ht="15" customHeight="1" thickBot="1" x14ac:dyDescent="0.25">
      <c r="A101" s="253"/>
      <c r="B101" s="47">
        <f>SUM(C101:D101)</f>
        <v>0</v>
      </c>
      <c r="C101" s="47">
        <f>I101+F101</f>
        <v>0</v>
      </c>
      <c r="D101" s="47">
        <f>J101+G101</f>
        <v>0</v>
      </c>
      <c r="E101" s="47">
        <f>SUM(F101:G101)</f>
        <v>0</v>
      </c>
      <c r="F101" s="47">
        <v>0</v>
      </c>
      <c r="G101" s="47">
        <v>0</v>
      </c>
      <c r="H101" s="47">
        <f>SUM(I101:J101)</f>
        <v>0</v>
      </c>
      <c r="I101" s="47">
        <v>0</v>
      </c>
      <c r="J101" s="47">
        <v>0</v>
      </c>
      <c r="K101" s="188" t="s">
        <v>234</v>
      </c>
      <c r="L101" s="134" t="s">
        <v>342</v>
      </c>
    </row>
    <row r="102" spans="1:12" ht="15" customHeight="1" thickBot="1" x14ac:dyDescent="0.25">
      <c r="A102" s="253"/>
      <c r="B102" s="47">
        <f t="shared" ref="B102:J102" si="31">SUM(B100:B101)</f>
        <v>2440</v>
      </c>
      <c r="C102" s="47">
        <f t="shared" si="31"/>
        <v>1001</v>
      </c>
      <c r="D102" s="47">
        <f t="shared" si="31"/>
        <v>1439</v>
      </c>
      <c r="E102" s="47">
        <f t="shared" si="31"/>
        <v>31</v>
      </c>
      <c r="F102" s="47">
        <f t="shared" si="31"/>
        <v>4</v>
      </c>
      <c r="G102" s="47">
        <f t="shared" si="31"/>
        <v>27</v>
      </c>
      <c r="H102" s="47">
        <f t="shared" si="31"/>
        <v>2409</v>
      </c>
      <c r="I102" s="47">
        <f t="shared" si="31"/>
        <v>997</v>
      </c>
      <c r="J102" s="47">
        <f t="shared" si="31"/>
        <v>1412</v>
      </c>
      <c r="K102" s="188" t="s">
        <v>12</v>
      </c>
      <c r="L102" s="239"/>
    </row>
    <row r="103" spans="1:12" ht="15" customHeight="1" thickBot="1" x14ac:dyDescent="0.25">
      <c r="A103" s="253"/>
      <c r="B103" s="47">
        <f>SUM(C103:D103)</f>
        <v>2124</v>
      </c>
      <c r="C103" s="47">
        <f>I103+F103</f>
        <v>1544</v>
      </c>
      <c r="D103" s="47">
        <f>J103+G103</f>
        <v>580</v>
      </c>
      <c r="E103" s="47">
        <f>SUM(F103:G103)</f>
        <v>22</v>
      </c>
      <c r="F103" s="47">
        <v>16</v>
      </c>
      <c r="G103" s="47">
        <v>6</v>
      </c>
      <c r="H103" s="47">
        <f>SUM(I103:J103)</f>
        <v>2102</v>
      </c>
      <c r="I103" s="47">
        <f>1628-100</f>
        <v>1528</v>
      </c>
      <c r="J103" s="47">
        <v>574</v>
      </c>
      <c r="K103" s="188" t="s">
        <v>233</v>
      </c>
      <c r="L103" s="134"/>
    </row>
    <row r="104" spans="1:12" ht="15" customHeight="1" thickBot="1" x14ac:dyDescent="0.25">
      <c r="A104" s="253"/>
      <c r="B104" s="47">
        <f>SUM(C104:D104)</f>
        <v>0</v>
      </c>
      <c r="C104" s="47">
        <f>I104+F104</f>
        <v>0</v>
      </c>
      <c r="D104" s="47">
        <f>J104+G104</f>
        <v>0</v>
      </c>
      <c r="E104" s="47">
        <f>SUM(F104:G104)</f>
        <v>0</v>
      </c>
      <c r="F104" s="47">
        <v>0</v>
      </c>
      <c r="G104" s="47">
        <v>0</v>
      </c>
      <c r="H104" s="47">
        <f>SUM(I104:J104)</f>
        <v>0</v>
      </c>
      <c r="I104" s="47">
        <v>0</v>
      </c>
      <c r="J104" s="47">
        <v>0</v>
      </c>
      <c r="K104" s="188" t="s">
        <v>234</v>
      </c>
      <c r="L104" s="134" t="s">
        <v>583</v>
      </c>
    </row>
    <row r="105" spans="1:12" ht="15" customHeight="1" thickBot="1" x14ac:dyDescent="0.25">
      <c r="A105" s="253"/>
      <c r="B105" s="47">
        <f t="shared" ref="B105:J105" si="32">SUM(B103:B104)</f>
        <v>2124</v>
      </c>
      <c r="C105" s="47">
        <f t="shared" si="32"/>
        <v>1544</v>
      </c>
      <c r="D105" s="47">
        <f t="shared" si="32"/>
        <v>580</v>
      </c>
      <c r="E105" s="47">
        <f t="shared" si="32"/>
        <v>22</v>
      </c>
      <c r="F105" s="47">
        <f t="shared" si="32"/>
        <v>16</v>
      </c>
      <c r="G105" s="47">
        <f t="shared" si="32"/>
        <v>6</v>
      </c>
      <c r="H105" s="47">
        <f t="shared" si="32"/>
        <v>2102</v>
      </c>
      <c r="I105" s="47">
        <f t="shared" si="32"/>
        <v>1528</v>
      </c>
      <c r="J105" s="47">
        <f t="shared" si="32"/>
        <v>574</v>
      </c>
      <c r="K105" s="188" t="s">
        <v>12</v>
      </c>
      <c r="L105" s="239"/>
    </row>
    <row r="106" spans="1:12" ht="15" customHeight="1" thickBot="1" x14ac:dyDescent="0.25">
      <c r="A106" s="253"/>
      <c r="B106" s="47">
        <f>SUM(C106:D106)</f>
        <v>2369</v>
      </c>
      <c r="C106" s="47">
        <f>I106+F106</f>
        <v>1141</v>
      </c>
      <c r="D106" s="47">
        <f>J106+G106</f>
        <v>1228</v>
      </c>
      <c r="E106" s="47">
        <f>SUM(F106:G106)</f>
        <v>18</v>
      </c>
      <c r="F106" s="47">
        <v>13</v>
      </c>
      <c r="G106" s="47">
        <v>5</v>
      </c>
      <c r="H106" s="47">
        <f>SUM(I106:J106)</f>
        <v>2351</v>
      </c>
      <c r="I106" s="47">
        <f>1578-450</f>
        <v>1128</v>
      </c>
      <c r="J106" s="47">
        <v>1223</v>
      </c>
      <c r="K106" s="188" t="s">
        <v>233</v>
      </c>
      <c r="L106" s="134"/>
    </row>
    <row r="107" spans="1:12" ht="15" customHeight="1" thickBot="1" x14ac:dyDescent="0.25">
      <c r="A107" s="253"/>
      <c r="B107" s="47">
        <f>SUM(C107:D107)</f>
        <v>0</v>
      </c>
      <c r="C107" s="47">
        <f>I107+F107</f>
        <v>0</v>
      </c>
      <c r="D107" s="47">
        <f>J107+G107</f>
        <v>0</v>
      </c>
      <c r="E107" s="47">
        <f>SUM(F107:G107)</f>
        <v>0</v>
      </c>
      <c r="F107" s="47">
        <v>0</v>
      </c>
      <c r="G107" s="47">
        <v>0</v>
      </c>
      <c r="H107" s="47">
        <f>SUM(I107:J107)</f>
        <v>0</v>
      </c>
      <c r="I107" s="47">
        <v>0</v>
      </c>
      <c r="J107" s="47">
        <v>0</v>
      </c>
      <c r="K107" s="188" t="s">
        <v>234</v>
      </c>
      <c r="L107" s="134" t="s">
        <v>637</v>
      </c>
    </row>
    <row r="108" spans="1:12" ht="15" customHeight="1" thickBot="1" x14ac:dyDescent="0.25">
      <c r="A108" s="253"/>
      <c r="B108" s="47">
        <f t="shared" ref="B108:J108" si="33">SUM(B106:B107)</f>
        <v>2369</v>
      </c>
      <c r="C108" s="47">
        <f t="shared" si="33"/>
        <v>1141</v>
      </c>
      <c r="D108" s="47">
        <f t="shared" si="33"/>
        <v>1228</v>
      </c>
      <c r="E108" s="47">
        <f t="shared" si="33"/>
        <v>18</v>
      </c>
      <c r="F108" s="47">
        <f t="shared" si="33"/>
        <v>13</v>
      </c>
      <c r="G108" s="47">
        <f t="shared" si="33"/>
        <v>5</v>
      </c>
      <c r="H108" s="47">
        <f t="shared" si="33"/>
        <v>2351</v>
      </c>
      <c r="I108" s="47">
        <f t="shared" si="33"/>
        <v>1128</v>
      </c>
      <c r="J108" s="47">
        <f t="shared" si="33"/>
        <v>1223</v>
      </c>
      <c r="K108" s="188" t="s">
        <v>12</v>
      </c>
      <c r="L108" s="239"/>
    </row>
    <row r="109" spans="1:12" ht="15" customHeight="1" thickBot="1" x14ac:dyDescent="0.25">
      <c r="A109" s="253"/>
      <c r="B109" s="47">
        <f>SUM(C109:D109)</f>
        <v>2280</v>
      </c>
      <c r="C109" s="47">
        <f>I109+F109</f>
        <v>0</v>
      </c>
      <c r="D109" s="47">
        <f>J109+G109</f>
        <v>2280</v>
      </c>
      <c r="E109" s="47">
        <f>SUM(F109:G109)</f>
        <v>12</v>
      </c>
      <c r="F109" s="47">
        <v>0</v>
      </c>
      <c r="G109" s="47">
        <v>12</v>
      </c>
      <c r="H109" s="47">
        <f>SUM(I109:J109)</f>
        <v>2268</v>
      </c>
      <c r="I109" s="47">
        <v>0</v>
      </c>
      <c r="J109" s="47">
        <v>2268</v>
      </c>
      <c r="K109" s="188" t="s">
        <v>233</v>
      </c>
      <c r="L109" s="537" t="s">
        <v>638</v>
      </c>
    </row>
    <row r="110" spans="1:12" ht="15" customHeight="1" thickBot="1" x14ac:dyDescent="0.25">
      <c r="A110" s="253"/>
      <c r="B110" s="47">
        <f>SUM(C110:D110)</f>
        <v>0</v>
      </c>
      <c r="C110" s="47">
        <f>I110+F110</f>
        <v>0</v>
      </c>
      <c r="D110" s="47">
        <f>J110+G110</f>
        <v>0</v>
      </c>
      <c r="E110" s="47">
        <f>SUM(F110:G110)</f>
        <v>0</v>
      </c>
      <c r="F110" s="47">
        <v>0</v>
      </c>
      <c r="G110" s="47">
        <v>0</v>
      </c>
      <c r="H110" s="47">
        <f>SUM(I110:J110)</f>
        <v>0</v>
      </c>
      <c r="I110" s="47">
        <v>0</v>
      </c>
      <c r="J110" s="47">
        <v>0</v>
      </c>
      <c r="K110" s="188" t="s">
        <v>234</v>
      </c>
      <c r="L110" s="538"/>
    </row>
    <row r="111" spans="1:12" ht="15" customHeight="1" thickBot="1" x14ac:dyDescent="0.25">
      <c r="A111" s="253"/>
      <c r="B111" s="47">
        <f t="shared" ref="B111:J111" si="34">SUM(B109:B110)</f>
        <v>2280</v>
      </c>
      <c r="C111" s="47">
        <f t="shared" si="34"/>
        <v>0</v>
      </c>
      <c r="D111" s="47">
        <f t="shared" si="34"/>
        <v>2280</v>
      </c>
      <c r="E111" s="47">
        <f t="shared" si="34"/>
        <v>12</v>
      </c>
      <c r="F111" s="47">
        <f t="shared" si="34"/>
        <v>0</v>
      </c>
      <c r="G111" s="47">
        <f t="shared" si="34"/>
        <v>12</v>
      </c>
      <c r="H111" s="47">
        <f t="shared" si="34"/>
        <v>2268</v>
      </c>
      <c r="I111" s="47">
        <f t="shared" si="34"/>
        <v>0</v>
      </c>
      <c r="J111" s="47">
        <f t="shared" si="34"/>
        <v>2268</v>
      </c>
      <c r="K111" s="188" t="s">
        <v>12</v>
      </c>
      <c r="L111" s="539"/>
    </row>
    <row r="112" spans="1:12" ht="15" customHeight="1" thickBot="1" x14ac:dyDescent="0.25">
      <c r="A112" s="253"/>
      <c r="B112" s="47">
        <f>SUM(C112:D112)</f>
        <v>272</v>
      </c>
      <c r="C112" s="47">
        <f>I112+F112</f>
        <v>73</v>
      </c>
      <c r="D112" s="47">
        <f>J112+G112</f>
        <v>199</v>
      </c>
      <c r="E112" s="47">
        <f>SUM(F112:G112)</f>
        <v>0</v>
      </c>
      <c r="F112" s="47">
        <v>0</v>
      </c>
      <c r="G112" s="47">
        <v>0</v>
      </c>
      <c r="H112" s="47">
        <f>SUM(I112:J112)</f>
        <v>272</v>
      </c>
      <c r="I112" s="47">
        <v>73</v>
      </c>
      <c r="J112" s="47">
        <v>199</v>
      </c>
      <c r="K112" s="188" t="s">
        <v>233</v>
      </c>
      <c r="L112" s="134"/>
    </row>
    <row r="113" spans="1:12" ht="15" customHeight="1" thickBot="1" x14ac:dyDescent="0.25">
      <c r="A113" s="253"/>
      <c r="B113" s="47">
        <f>SUM(C113:D113)</f>
        <v>0</v>
      </c>
      <c r="C113" s="47">
        <f>I113+F113</f>
        <v>0</v>
      </c>
      <c r="D113" s="47">
        <f>J113+G113</f>
        <v>0</v>
      </c>
      <c r="E113" s="47">
        <f>SUM(F113:G113)</f>
        <v>0</v>
      </c>
      <c r="F113" s="47">
        <v>0</v>
      </c>
      <c r="G113" s="47">
        <v>0</v>
      </c>
      <c r="H113" s="47">
        <f>SUM(I113:J113)</f>
        <v>0</v>
      </c>
      <c r="I113" s="47">
        <v>0</v>
      </c>
      <c r="J113" s="47">
        <v>0</v>
      </c>
      <c r="K113" s="188" t="s">
        <v>234</v>
      </c>
      <c r="L113" s="134" t="s">
        <v>367</v>
      </c>
    </row>
    <row r="114" spans="1:12" ht="15" customHeight="1" thickBot="1" x14ac:dyDescent="0.25">
      <c r="A114" s="253"/>
      <c r="B114" s="47">
        <f t="shared" ref="B114:J114" si="35">SUM(B112:B113)</f>
        <v>272</v>
      </c>
      <c r="C114" s="47">
        <f t="shared" si="35"/>
        <v>73</v>
      </c>
      <c r="D114" s="47">
        <f t="shared" si="35"/>
        <v>199</v>
      </c>
      <c r="E114" s="47">
        <f t="shared" si="35"/>
        <v>0</v>
      </c>
      <c r="F114" s="47">
        <f t="shared" si="35"/>
        <v>0</v>
      </c>
      <c r="G114" s="47">
        <f t="shared" si="35"/>
        <v>0</v>
      </c>
      <c r="H114" s="47">
        <f t="shared" si="35"/>
        <v>272</v>
      </c>
      <c r="I114" s="47">
        <f t="shared" si="35"/>
        <v>73</v>
      </c>
      <c r="J114" s="47">
        <f t="shared" si="35"/>
        <v>199</v>
      </c>
      <c r="K114" s="188" t="s">
        <v>12</v>
      </c>
      <c r="L114" s="239"/>
    </row>
    <row r="115" spans="1:12" ht="15" customHeight="1" thickBot="1" x14ac:dyDescent="0.25">
      <c r="A115" s="253"/>
      <c r="B115" s="47">
        <f>SUM(C115:D115)</f>
        <v>3065</v>
      </c>
      <c r="C115" s="47">
        <f>I115+F115</f>
        <v>566</v>
      </c>
      <c r="D115" s="47">
        <f>J115+G115</f>
        <v>2499</v>
      </c>
      <c r="E115" s="47">
        <f>SUM(F115:G115)</f>
        <v>41</v>
      </c>
      <c r="F115" s="47">
        <v>1</v>
      </c>
      <c r="G115" s="47">
        <v>40</v>
      </c>
      <c r="H115" s="47">
        <f>SUM(I115:J115)</f>
        <v>3024</v>
      </c>
      <c r="I115" s="47">
        <v>565</v>
      </c>
      <c r="J115" s="47">
        <v>2459</v>
      </c>
      <c r="K115" s="188" t="s">
        <v>233</v>
      </c>
      <c r="L115" s="134"/>
    </row>
    <row r="116" spans="1:12" ht="15" customHeight="1" thickBot="1" x14ac:dyDescent="0.25">
      <c r="A116" s="253"/>
      <c r="B116" s="47">
        <f>SUM(C116:D116)</f>
        <v>0</v>
      </c>
      <c r="C116" s="47">
        <f>I116+F116</f>
        <v>0</v>
      </c>
      <c r="D116" s="47">
        <f>J116+G116</f>
        <v>0</v>
      </c>
      <c r="E116" s="47">
        <f>SUM(F116:G116)</f>
        <v>0</v>
      </c>
      <c r="F116" s="47">
        <v>0</v>
      </c>
      <c r="G116" s="47">
        <v>0</v>
      </c>
      <c r="H116" s="47">
        <f>SUM(I116:J116)</f>
        <v>0</v>
      </c>
      <c r="I116" s="47">
        <v>0</v>
      </c>
      <c r="J116" s="47">
        <v>0</v>
      </c>
      <c r="K116" s="188" t="s">
        <v>234</v>
      </c>
      <c r="L116" s="134" t="s">
        <v>639</v>
      </c>
    </row>
    <row r="117" spans="1:12" ht="15" customHeight="1" thickBot="1" x14ac:dyDescent="0.25">
      <c r="A117" s="253"/>
      <c r="B117" s="47">
        <f t="shared" ref="B117:J117" si="36">SUM(B115:B116)</f>
        <v>3065</v>
      </c>
      <c r="C117" s="47">
        <f t="shared" si="36"/>
        <v>566</v>
      </c>
      <c r="D117" s="47">
        <f t="shared" si="36"/>
        <v>2499</v>
      </c>
      <c r="E117" s="47">
        <f t="shared" si="36"/>
        <v>41</v>
      </c>
      <c r="F117" s="47">
        <f t="shared" si="36"/>
        <v>1</v>
      </c>
      <c r="G117" s="47">
        <f t="shared" si="36"/>
        <v>40</v>
      </c>
      <c r="H117" s="47">
        <f t="shared" si="36"/>
        <v>3024</v>
      </c>
      <c r="I117" s="47">
        <f t="shared" si="36"/>
        <v>565</v>
      </c>
      <c r="J117" s="47">
        <f t="shared" si="36"/>
        <v>2459</v>
      </c>
      <c r="K117" s="188" t="s">
        <v>12</v>
      </c>
      <c r="L117" s="239"/>
    </row>
    <row r="118" spans="1:12" ht="15" customHeight="1" thickBot="1" x14ac:dyDescent="0.25">
      <c r="A118" s="253"/>
      <c r="B118" s="47">
        <f>SUM(C118:D118)</f>
        <v>75</v>
      </c>
      <c r="C118" s="47">
        <f>I118+F118</f>
        <v>0</v>
      </c>
      <c r="D118" s="47">
        <f>J118+G118</f>
        <v>75</v>
      </c>
      <c r="E118" s="47">
        <f>SUM(F118:G118)</f>
        <v>0</v>
      </c>
      <c r="F118" s="47">
        <v>0</v>
      </c>
      <c r="G118" s="47">
        <v>0</v>
      </c>
      <c r="H118" s="47">
        <f>SUM(I118:J118)</f>
        <v>75</v>
      </c>
      <c r="I118" s="47">
        <v>0</v>
      </c>
      <c r="J118" s="47">
        <v>75</v>
      </c>
      <c r="K118" s="188" t="s">
        <v>233</v>
      </c>
      <c r="L118" s="134"/>
    </row>
    <row r="119" spans="1:12" ht="15" customHeight="1" thickBot="1" x14ac:dyDescent="0.25">
      <c r="A119" s="253"/>
      <c r="B119" s="47">
        <f>SUM(C119:D119)</f>
        <v>0</v>
      </c>
      <c r="C119" s="47">
        <f>I119+F119</f>
        <v>0</v>
      </c>
      <c r="D119" s="47">
        <f>J119+G119</f>
        <v>0</v>
      </c>
      <c r="E119" s="47">
        <f>SUM(F119:G119)</f>
        <v>0</v>
      </c>
      <c r="F119" s="47">
        <v>0</v>
      </c>
      <c r="G119" s="47">
        <v>0</v>
      </c>
      <c r="H119" s="47">
        <f>SUM(I119:J119)</f>
        <v>0</v>
      </c>
      <c r="I119" s="47">
        <v>0</v>
      </c>
      <c r="J119" s="47">
        <v>0</v>
      </c>
      <c r="K119" s="188" t="s">
        <v>234</v>
      </c>
      <c r="L119" s="134" t="s">
        <v>344</v>
      </c>
    </row>
    <row r="120" spans="1:12" ht="15" customHeight="1" thickBot="1" x14ac:dyDescent="0.25">
      <c r="A120" s="253"/>
      <c r="B120" s="47">
        <f t="shared" ref="B120:J120" si="37">SUM(B118:B119)</f>
        <v>75</v>
      </c>
      <c r="C120" s="47">
        <f t="shared" si="37"/>
        <v>0</v>
      </c>
      <c r="D120" s="47">
        <f t="shared" si="37"/>
        <v>75</v>
      </c>
      <c r="E120" s="47">
        <f t="shared" si="37"/>
        <v>0</v>
      </c>
      <c r="F120" s="47">
        <f t="shared" si="37"/>
        <v>0</v>
      </c>
      <c r="G120" s="47">
        <f t="shared" si="37"/>
        <v>0</v>
      </c>
      <c r="H120" s="47">
        <f t="shared" si="37"/>
        <v>75</v>
      </c>
      <c r="I120" s="47">
        <f t="shared" si="37"/>
        <v>0</v>
      </c>
      <c r="J120" s="47">
        <f t="shared" si="37"/>
        <v>75</v>
      </c>
      <c r="K120" s="188" t="s">
        <v>12</v>
      </c>
      <c r="L120" s="239"/>
    </row>
    <row r="121" spans="1:12" ht="15" customHeight="1" thickBot="1" x14ac:dyDescent="0.25">
      <c r="A121" s="253"/>
      <c r="B121" s="47">
        <f>SUM(C121:D121)</f>
        <v>360</v>
      </c>
      <c r="C121" s="47">
        <f>I121+F121</f>
        <v>80</v>
      </c>
      <c r="D121" s="47">
        <f>J121+G121</f>
        <v>280</v>
      </c>
      <c r="E121" s="47">
        <f>SUM(F121:G121)</f>
        <v>0</v>
      </c>
      <c r="F121" s="47">
        <v>0</v>
      </c>
      <c r="G121" s="47">
        <v>0</v>
      </c>
      <c r="H121" s="47">
        <f>SUM(I121:J121)</f>
        <v>360</v>
      </c>
      <c r="I121" s="47">
        <v>80</v>
      </c>
      <c r="J121" s="47">
        <v>280</v>
      </c>
      <c r="K121" s="188" t="s">
        <v>233</v>
      </c>
      <c r="L121" s="134"/>
    </row>
    <row r="122" spans="1:12" ht="15" customHeight="1" thickBot="1" x14ac:dyDescent="0.25">
      <c r="A122" s="253"/>
      <c r="B122" s="47">
        <f>SUM(C122:D122)</f>
        <v>0</v>
      </c>
      <c r="C122" s="47">
        <f>I122+F122</f>
        <v>0</v>
      </c>
      <c r="D122" s="47">
        <f>J122+G122</f>
        <v>0</v>
      </c>
      <c r="E122" s="47">
        <f>SUM(F122:G122)</f>
        <v>0</v>
      </c>
      <c r="F122" s="47">
        <v>0</v>
      </c>
      <c r="G122" s="47">
        <v>0</v>
      </c>
      <c r="H122" s="47">
        <f>SUM(I122:J122)</f>
        <v>0</v>
      </c>
      <c r="I122" s="47">
        <v>0</v>
      </c>
      <c r="J122" s="47">
        <v>0</v>
      </c>
      <c r="K122" s="188" t="s">
        <v>234</v>
      </c>
      <c r="L122" s="134" t="s">
        <v>369</v>
      </c>
    </row>
    <row r="123" spans="1:12" ht="15" customHeight="1" thickBot="1" x14ac:dyDescent="0.25">
      <c r="A123" s="253"/>
      <c r="B123" s="47">
        <f t="shared" ref="B123:J123" si="38">SUM(B121:B122)</f>
        <v>360</v>
      </c>
      <c r="C123" s="47">
        <f t="shared" si="38"/>
        <v>80</v>
      </c>
      <c r="D123" s="47">
        <f t="shared" si="38"/>
        <v>280</v>
      </c>
      <c r="E123" s="47">
        <f t="shared" si="38"/>
        <v>0</v>
      </c>
      <c r="F123" s="47">
        <f t="shared" si="38"/>
        <v>0</v>
      </c>
      <c r="G123" s="47">
        <f t="shared" si="38"/>
        <v>0</v>
      </c>
      <c r="H123" s="47">
        <f t="shared" si="38"/>
        <v>360</v>
      </c>
      <c r="I123" s="47">
        <f t="shared" si="38"/>
        <v>80</v>
      </c>
      <c r="J123" s="47">
        <f t="shared" si="38"/>
        <v>280</v>
      </c>
      <c r="K123" s="188" t="s">
        <v>12</v>
      </c>
      <c r="L123" s="239"/>
    </row>
    <row r="124" spans="1:12" ht="15" customHeight="1" thickBot="1" x14ac:dyDescent="0.25">
      <c r="A124" s="253"/>
      <c r="B124" s="47">
        <f t="shared" ref="B124:J125" si="39">B88+B91+B94+B97+B100+B103+B106+B109+B112+B115+B118+B121</f>
        <v>28576</v>
      </c>
      <c r="C124" s="47">
        <f t="shared" si="39"/>
        <v>12036</v>
      </c>
      <c r="D124" s="47">
        <f t="shared" si="39"/>
        <v>16540</v>
      </c>
      <c r="E124" s="47">
        <f t="shared" si="39"/>
        <v>792</v>
      </c>
      <c r="F124" s="47">
        <f t="shared" si="39"/>
        <v>188</v>
      </c>
      <c r="G124" s="47">
        <f t="shared" si="39"/>
        <v>604</v>
      </c>
      <c r="H124" s="47">
        <f t="shared" si="39"/>
        <v>27784</v>
      </c>
      <c r="I124" s="47">
        <f t="shared" si="39"/>
        <v>11848</v>
      </c>
      <c r="J124" s="47">
        <f t="shared" si="39"/>
        <v>15936</v>
      </c>
      <c r="K124" s="188" t="s">
        <v>236</v>
      </c>
      <c r="L124" s="131"/>
    </row>
    <row r="125" spans="1:12" ht="15" customHeight="1" thickBot="1" x14ac:dyDescent="0.25">
      <c r="A125" s="253"/>
      <c r="B125" s="47">
        <f t="shared" si="39"/>
        <v>4962</v>
      </c>
      <c r="C125" s="47">
        <f t="shared" si="39"/>
        <v>1687</v>
      </c>
      <c r="D125" s="47">
        <f t="shared" si="39"/>
        <v>3275</v>
      </c>
      <c r="E125" s="47">
        <f t="shared" si="39"/>
        <v>13</v>
      </c>
      <c r="F125" s="47">
        <f t="shared" si="39"/>
        <v>8</v>
      </c>
      <c r="G125" s="47">
        <f t="shared" si="39"/>
        <v>5</v>
      </c>
      <c r="H125" s="47">
        <f t="shared" si="39"/>
        <v>4949</v>
      </c>
      <c r="I125" s="47">
        <f t="shared" si="39"/>
        <v>1679</v>
      </c>
      <c r="J125" s="47">
        <f t="shared" si="39"/>
        <v>3270</v>
      </c>
      <c r="K125" s="188" t="s">
        <v>237</v>
      </c>
      <c r="L125" s="132" t="s">
        <v>188</v>
      </c>
    </row>
    <row r="126" spans="1:12" ht="15" customHeight="1" thickBot="1" x14ac:dyDescent="0.25">
      <c r="A126" s="253"/>
      <c r="B126" s="47">
        <f t="shared" ref="B126:J126" si="40">SUM(B124:B125)</f>
        <v>33538</v>
      </c>
      <c r="C126" s="47">
        <f t="shared" si="40"/>
        <v>13723</v>
      </c>
      <c r="D126" s="47">
        <f t="shared" si="40"/>
        <v>19815</v>
      </c>
      <c r="E126" s="47">
        <f t="shared" si="40"/>
        <v>805</v>
      </c>
      <c r="F126" s="47">
        <f t="shared" si="40"/>
        <v>196</v>
      </c>
      <c r="G126" s="47">
        <f t="shared" si="40"/>
        <v>609</v>
      </c>
      <c r="H126" s="47">
        <f t="shared" si="40"/>
        <v>32733</v>
      </c>
      <c r="I126" s="47">
        <f t="shared" si="40"/>
        <v>13527</v>
      </c>
      <c r="J126" s="47">
        <f t="shared" si="40"/>
        <v>19206</v>
      </c>
      <c r="K126" s="188" t="s">
        <v>12</v>
      </c>
      <c r="L126" s="133"/>
    </row>
    <row r="127" spans="1:12" ht="15" customHeight="1" thickBot="1" x14ac:dyDescent="0.25">
      <c r="A127" s="253"/>
      <c r="B127" s="476" t="s">
        <v>4</v>
      </c>
      <c r="C127" s="476"/>
      <c r="D127" s="476"/>
      <c r="E127" s="476" t="s">
        <v>145</v>
      </c>
      <c r="F127" s="476"/>
      <c r="G127" s="476"/>
      <c r="H127" s="476" t="s">
        <v>146</v>
      </c>
      <c r="I127" s="476"/>
      <c r="J127" s="476"/>
      <c r="K127" s="479" t="s">
        <v>66</v>
      </c>
      <c r="L127" s="479"/>
    </row>
    <row r="128" spans="1:12" ht="15" customHeight="1" thickBot="1" x14ac:dyDescent="0.25">
      <c r="A128" s="253"/>
      <c r="B128" s="185" t="s">
        <v>227</v>
      </c>
      <c r="C128" s="185" t="s">
        <v>10</v>
      </c>
      <c r="D128" s="185" t="s">
        <v>9</v>
      </c>
      <c r="E128" s="185" t="s">
        <v>227</v>
      </c>
      <c r="F128" s="185" t="s">
        <v>10</v>
      </c>
      <c r="G128" s="185" t="s">
        <v>9</v>
      </c>
      <c r="H128" s="185" t="s">
        <v>227</v>
      </c>
      <c r="I128" s="185" t="s">
        <v>10</v>
      </c>
      <c r="J128" s="185" t="s">
        <v>9</v>
      </c>
      <c r="K128" s="480" t="s">
        <v>72</v>
      </c>
      <c r="L128" s="480"/>
    </row>
    <row r="129" spans="1:12" ht="15" customHeight="1" thickBot="1" x14ac:dyDescent="0.25">
      <c r="A129" s="253"/>
      <c r="B129" s="47">
        <f>SUM(C129:D129)</f>
        <v>6664</v>
      </c>
      <c r="C129" s="47">
        <f>I129+F129</f>
        <v>2406</v>
      </c>
      <c r="D129" s="47">
        <f>J129+G129</f>
        <v>4258</v>
      </c>
      <c r="E129" s="47">
        <f>SUM(F129:G129)</f>
        <v>233</v>
      </c>
      <c r="F129" s="47">
        <v>98</v>
      </c>
      <c r="G129" s="47">
        <v>135</v>
      </c>
      <c r="H129" s="47">
        <f>SUM(I129:J129)</f>
        <v>6431</v>
      </c>
      <c r="I129" s="47">
        <v>2308</v>
      </c>
      <c r="J129" s="47">
        <v>4123</v>
      </c>
      <c r="K129" s="188" t="s">
        <v>233</v>
      </c>
      <c r="L129" s="134"/>
    </row>
    <row r="130" spans="1:12" ht="15" customHeight="1" thickBot="1" x14ac:dyDescent="0.25">
      <c r="A130" s="253"/>
      <c r="B130" s="47">
        <f>SUM(C130:D130)</f>
        <v>0</v>
      </c>
      <c r="C130" s="47">
        <f>I130+F130</f>
        <v>0</v>
      </c>
      <c r="D130" s="47">
        <f>J130+G130</f>
        <v>0</v>
      </c>
      <c r="E130" s="47">
        <f>SUM(F130:G130)</f>
        <v>0</v>
      </c>
      <c r="F130" s="47">
        <v>0</v>
      </c>
      <c r="G130" s="47">
        <v>0</v>
      </c>
      <c r="H130" s="47">
        <f>SUM(I130:J130)</f>
        <v>0</v>
      </c>
      <c r="I130" s="47">
        <v>0</v>
      </c>
      <c r="J130" s="47">
        <v>0</v>
      </c>
      <c r="K130" s="188" t="s">
        <v>234</v>
      </c>
      <c r="L130" s="134" t="s">
        <v>370</v>
      </c>
    </row>
    <row r="131" spans="1:12" ht="15" customHeight="1" thickBot="1" x14ac:dyDescent="0.25">
      <c r="A131" s="253"/>
      <c r="B131" s="47">
        <f t="shared" ref="B131:J131" si="41">SUM(B129:B130)</f>
        <v>6664</v>
      </c>
      <c r="C131" s="47">
        <f t="shared" si="41"/>
        <v>2406</v>
      </c>
      <c r="D131" s="47">
        <f t="shared" si="41"/>
        <v>4258</v>
      </c>
      <c r="E131" s="47">
        <f t="shared" si="41"/>
        <v>233</v>
      </c>
      <c r="F131" s="47">
        <f t="shared" si="41"/>
        <v>98</v>
      </c>
      <c r="G131" s="47">
        <f t="shared" si="41"/>
        <v>135</v>
      </c>
      <c r="H131" s="47">
        <f t="shared" si="41"/>
        <v>6431</v>
      </c>
      <c r="I131" s="47">
        <f t="shared" si="41"/>
        <v>2308</v>
      </c>
      <c r="J131" s="47">
        <f t="shared" si="41"/>
        <v>4123</v>
      </c>
      <c r="K131" s="188" t="s">
        <v>12</v>
      </c>
      <c r="L131" s="239"/>
    </row>
    <row r="132" spans="1:12" ht="15" customHeight="1" thickBot="1" x14ac:dyDescent="0.25">
      <c r="A132" s="253"/>
      <c r="B132" s="47">
        <f>SUM(C132:D132)</f>
        <v>8592</v>
      </c>
      <c r="C132" s="47">
        <f>I132+F132</f>
        <v>5003</v>
      </c>
      <c r="D132" s="47">
        <f>J132+G132</f>
        <v>3589</v>
      </c>
      <c r="E132" s="47">
        <f>SUM(F132:G132)</f>
        <v>137</v>
      </c>
      <c r="F132" s="47">
        <v>78</v>
      </c>
      <c r="G132" s="47">
        <v>59</v>
      </c>
      <c r="H132" s="47">
        <f>SUM(I132:J132)</f>
        <v>8455</v>
      </c>
      <c r="I132" s="47">
        <v>4925</v>
      </c>
      <c r="J132" s="47">
        <v>3530</v>
      </c>
      <c r="K132" s="188" t="s">
        <v>233</v>
      </c>
      <c r="L132" s="134"/>
    </row>
    <row r="133" spans="1:12" ht="15" customHeight="1" thickBot="1" x14ac:dyDescent="0.25">
      <c r="A133" s="253"/>
      <c r="B133" s="47">
        <f>SUM(C133:D133)</f>
        <v>0</v>
      </c>
      <c r="C133" s="47">
        <f>I133+F133</f>
        <v>0</v>
      </c>
      <c r="D133" s="47">
        <f>J133+G133</f>
        <v>0</v>
      </c>
      <c r="E133" s="47">
        <f>SUM(F133:G133)</f>
        <v>0</v>
      </c>
      <c r="F133" s="47">
        <v>0</v>
      </c>
      <c r="G133" s="47">
        <v>0</v>
      </c>
      <c r="H133" s="47">
        <f>SUM(I133:J133)</f>
        <v>0</v>
      </c>
      <c r="I133" s="47">
        <v>0</v>
      </c>
      <c r="J133" s="47">
        <v>0</v>
      </c>
      <c r="K133" s="188" t="s">
        <v>234</v>
      </c>
      <c r="L133" s="134" t="s">
        <v>371</v>
      </c>
    </row>
    <row r="134" spans="1:12" ht="15" customHeight="1" thickBot="1" x14ac:dyDescent="0.25">
      <c r="A134" s="253"/>
      <c r="B134" s="47">
        <f t="shared" ref="B134:J134" si="42">SUM(B132:B133)</f>
        <v>8592</v>
      </c>
      <c r="C134" s="47">
        <f t="shared" si="42"/>
        <v>5003</v>
      </c>
      <c r="D134" s="47">
        <f t="shared" si="42"/>
        <v>3589</v>
      </c>
      <c r="E134" s="47">
        <f t="shared" si="42"/>
        <v>137</v>
      </c>
      <c r="F134" s="47">
        <f t="shared" si="42"/>
        <v>78</v>
      </c>
      <c r="G134" s="47">
        <f t="shared" si="42"/>
        <v>59</v>
      </c>
      <c r="H134" s="47">
        <f t="shared" si="42"/>
        <v>8455</v>
      </c>
      <c r="I134" s="47">
        <f t="shared" si="42"/>
        <v>4925</v>
      </c>
      <c r="J134" s="47">
        <f t="shared" si="42"/>
        <v>3530</v>
      </c>
      <c r="K134" s="188" t="s">
        <v>12</v>
      </c>
      <c r="L134" s="239"/>
    </row>
    <row r="135" spans="1:12" ht="15" customHeight="1" thickBot="1" x14ac:dyDescent="0.25">
      <c r="A135" s="253"/>
      <c r="B135" s="47">
        <f>SUM(C135:D135)</f>
        <v>2560</v>
      </c>
      <c r="C135" s="47">
        <f>I135+F135</f>
        <v>1069</v>
      </c>
      <c r="D135" s="47">
        <f>J135+G135</f>
        <v>1491</v>
      </c>
      <c r="E135" s="47">
        <f>SUM(F135:G135)</f>
        <v>110</v>
      </c>
      <c r="F135" s="47">
        <v>65</v>
      </c>
      <c r="G135" s="47">
        <v>45</v>
      </c>
      <c r="H135" s="47">
        <f>SUM(I135:J135)</f>
        <v>2450</v>
      </c>
      <c r="I135" s="47">
        <v>1004</v>
      </c>
      <c r="J135" s="47">
        <v>1446</v>
      </c>
      <c r="K135" s="188" t="s">
        <v>233</v>
      </c>
      <c r="L135" s="134"/>
    </row>
    <row r="136" spans="1:12" ht="15" customHeight="1" thickBot="1" x14ac:dyDescent="0.25">
      <c r="A136" s="253"/>
      <c r="B136" s="47">
        <f>SUM(C136:D136)</f>
        <v>0</v>
      </c>
      <c r="C136" s="47">
        <f>I136+F136</f>
        <v>0</v>
      </c>
      <c r="D136" s="47">
        <f>J136+G136</f>
        <v>0</v>
      </c>
      <c r="E136" s="47">
        <f>SUM(F136:G136)</f>
        <v>0</v>
      </c>
      <c r="F136" s="47">
        <v>0</v>
      </c>
      <c r="G136" s="47">
        <v>0</v>
      </c>
      <c r="H136" s="47">
        <f>SUM(I136:J136)</f>
        <v>0</v>
      </c>
      <c r="I136" s="47">
        <v>0</v>
      </c>
      <c r="J136" s="47">
        <v>0</v>
      </c>
      <c r="K136" s="188" t="s">
        <v>234</v>
      </c>
      <c r="L136" s="134" t="s">
        <v>367</v>
      </c>
    </row>
    <row r="137" spans="1:12" ht="15" customHeight="1" thickBot="1" x14ac:dyDescent="0.25">
      <c r="A137" s="253"/>
      <c r="B137" s="47">
        <f t="shared" ref="B137:J137" si="43">SUM(B135:B136)</f>
        <v>2560</v>
      </c>
      <c r="C137" s="47">
        <f t="shared" si="43"/>
        <v>1069</v>
      </c>
      <c r="D137" s="47">
        <f t="shared" si="43"/>
        <v>1491</v>
      </c>
      <c r="E137" s="47">
        <f t="shared" si="43"/>
        <v>110</v>
      </c>
      <c r="F137" s="47">
        <f t="shared" si="43"/>
        <v>65</v>
      </c>
      <c r="G137" s="47">
        <f t="shared" si="43"/>
        <v>45</v>
      </c>
      <c r="H137" s="47">
        <f t="shared" si="43"/>
        <v>2450</v>
      </c>
      <c r="I137" s="47">
        <f t="shared" si="43"/>
        <v>1004</v>
      </c>
      <c r="J137" s="47">
        <f t="shared" si="43"/>
        <v>1446</v>
      </c>
      <c r="K137" s="188" t="s">
        <v>12</v>
      </c>
      <c r="L137" s="239"/>
    </row>
    <row r="138" spans="1:12" ht="15" customHeight="1" thickBot="1" x14ac:dyDescent="0.25">
      <c r="A138" s="253"/>
      <c r="B138" s="47">
        <f>SUM(C138:D138)</f>
        <v>2787</v>
      </c>
      <c r="C138" s="47">
        <f>I138+F138</f>
        <v>0</v>
      </c>
      <c r="D138" s="47">
        <f>J138+G138</f>
        <v>2787</v>
      </c>
      <c r="E138" s="47">
        <f>SUM(F138:G138)</f>
        <v>25</v>
      </c>
      <c r="F138" s="47">
        <v>0</v>
      </c>
      <c r="G138" s="47">
        <v>25</v>
      </c>
      <c r="H138" s="47">
        <f>SUM(I138:J138)</f>
        <v>2762</v>
      </c>
      <c r="I138" s="47">
        <v>0</v>
      </c>
      <c r="J138" s="47">
        <v>2762</v>
      </c>
      <c r="K138" s="188" t="s">
        <v>233</v>
      </c>
      <c r="L138" s="134"/>
    </row>
    <row r="139" spans="1:12" ht="15" customHeight="1" thickBot="1" x14ac:dyDescent="0.25">
      <c r="A139" s="253"/>
      <c r="B139" s="47">
        <f>SUM(C139:D139)</f>
        <v>0</v>
      </c>
      <c r="C139" s="47">
        <f>I139+F139</f>
        <v>0</v>
      </c>
      <c r="D139" s="47">
        <f>J139+G139</f>
        <v>0</v>
      </c>
      <c r="E139" s="47">
        <f>SUM(F139:G139)</f>
        <v>0</v>
      </c>
      <c r="F139" s="47">
        <v>0</v>
      </c>
      <c r="G139" s="47">
        <v>0</v>
      </c>
      <c r="H139" s="47">
        <f>SUM(I139:J139)</f>
        <v>0</v>
      </c>
      <c r="I139" s="47">
        <v>0</v>
      </c>
      <c r="J139" s="47">
        <v>0</v>
      </c>
      <c r="K139" s="188" t="s">
        <v>234</v>
      </c>
      <c r="L139" s="134" t="s">
        <v>372</v>
      </c>
    </row>
    <row r="140" spans="1:12" ht="15" customHeight="1" thickBot="1" x14ac:dyDescent="0.25">
      <c r="A140" s="253"/>
      <c r="B140" s="47">
        <f t="shared" ref="B140:J140" si="44">SUM(B138:B139)</f>
        <v>2787</v>
      </c>
      <c r="C140" s="47">
        <f t="shared" si="44"/>
        <v>0</v>
      </c>
      <c r="D140" s="47">
        <f t="shared" si="44"/>
        <v>2787</v>
      </c>
      <c r="E140" s="47">
        <f t="shared" si="44"/>
        <v>25</v>
      </c>
      <c r="F140" s="47">
        <f t="shared" si="44"/>
        <v>0</v>
      </c>
      <c r="G140" s="47">
        <f t="shared" si="44"/>
        <v>25</v>
      </c>
      <c r="H140" s="47">
        <f t="shared" si="44"/>
        <v>2762</v>
      </c>
      <c r="I140" s="47">
        <f t="shared" si="44"/>
        <v>0</v>
      </c>
      <c r="J140" s="47">
        <f t="shared" si="44"/>
        <v>2762</v>
      </c>
      <c r="K140" s="188" t="s">
        <v>12</v>
      </c>
      <c r="L140" s="239"/>
    </row>
    <row r="141" spans="1:12" ht="15" customHeight="1" thickBot="1" x14ac:dyDescent="0.25">
      <c r="A141" s="253"/>
      <c r="B141" s="47">
        <f>SUM(C141:D141)</f>
        <v>6582</v>
      </c>
      <c r="C141" s="47">
        <f>I141+F141</f>
        <v>3814</v>
      </c>
      <c r="D141" s="47">
        <f>J141+G141</f>
        <v>2768</v>
      </c>
      <c r="E141" s="47">
        <f>SUM(F141:G141)</f>
        <v>87</v>
      </c>
      <c r="F141" s="47">
        <v>42</v>
      </c>
      <c r="G141" s="47">
        <v>45</v>
      </c>
      <c r="H141" s="47">
        <f>SUM(I141:J141)</f>
        <v>6495</v>
      </c>
      <c r="I141" s="47">
        <v>3772</v>
      </c>
      <c r="J141" s="47">
        <v>2723</v>
      </c>
      <c r="K141" s="188" t="s">
        <v>233</v>
      </c>
      <c r="L141" s="134"/>
    </row>
    <row r="142" spans="1:12" ht="15" customHeight="1" thickBot="1" x14ac:dyDescent="0.25">
      <c r="A142" s="253"/>
      <c r="B142" s="47">
        <f>SUM(C142:D142)</f>
        <v>0</v>
      </c>
      <c r="C142" s="47">
        <f>I142+F142</f>
        <v>0</v>
      </c>
      <c r="D142" s="47">
        <f>J142+G142</f>
        <v>0</v>
      </c>
      <c r="E142" s="47">
        <f>SUM(F142:G142)</f>
        <v>0</v>
      </c>
      <c r="F142" s="47">
        <v>0</v>
      </c>
      <c r="G142" s="47">
        <v>0</v>
      </c>
      <c r="H142" s="47">
        <f>SUM(I142:J142)</f>
        <v>0</v>
      </c>
      <c r="I142" s="47">
        <v>0</v>
      </c>
      <c r="J142" s="47">
        <v>0</v>
      </c>
      <c r="K142" s="188" t="s">
        <v>234</v>
      </c>
      <c r="L142" s="134" t="s">
        <v>373</v>
      </c>
    </row>
    <row r="143" spans="1:12" ht="15" customHeight="1" thickBot="1" x14ac:dyDescent="0.25">
      <c r="A143" s="253"/>
      <c r="B143" s="47">
        <f t="shared" ref="B143:J143" si="45">SUM(B141:B142)</f>
        <v>6582</v>
      </c>
      <c r="C143" s="47">
        <f t="shared" si="45"/>
        <v>3814</v>
      </c>
      <c r="D143" s="47">
        <f t="shared" si="45"/>
        <v>2768</v>
      </c>
      <c r="E143" s="47">
        <f t="shared" si="45"/>
        <v>87</v>
      </c>
      <c r="F143" s="47">
        <f t="shared" si="45"/>
        <v>42</v>
      </c>
      <c r="G143" s="47">
        <f t="shared" si="45"/>
        <v>45</v>
      </c>
      <c r="H143" s="47">
        <f t="shared" si="45"/>
        <v>6495</v>
      </c>
      <c r="I143" s="47">
        <f t="shared" si="45"/>
        <v>3772</v>
      </c>
      <c r="J143" s="47">
        <f t="shared" si="45"/>
        <v>2723</v>
      </c>
      <c r="K143" s="188" t="s">
        <v>12</v>
      </c>
      <c r="L143" s="239"/>
    </row>
    <row r="144" spans="1:12" ht="15" customHeight="1" thickBot="1" x14ac:dyDescent="0.25">
      <c r="A144" s="253"/>
      <c r="B144" s="47">
        <f>SUM(C144:D144)</f>
        <v>3253</v>
      </c>
      <c r="C144" s="47">
        <f>I144+F144</f>
        <v>1036</v>
      </c>
      <c r="D144" s="47">
        <f>J144+G144</f>
        <v>2217</v>
      </c>
      <c r="E144" s="47">
        <f>SUM(F144:G144)</f>
        <v>31</v>
      </c>
      <c r="F144" s="47">
        <v>7</v>
      </c>
      <c r="G144" s="47">
        <v>24</v>
      </c>
      <c r="H144" s="47">
        <f>SUM(I144:J144)</f>
        <v>3222</v>
      </c>
      <c r="I144" s="47">
        <v>1029</v>
      </c>
      <c r="J144" s="47">
        <v>2193</v>
      </c>
      <c r="K144" s="188" t="s">
        <v>233</v>
      </c>
      <c r="L144" s="134"/>
    </row>
    <row r="145" spans="1:12" ht="15" customHeight="1" thickBot="1" x14ac:dyDescent="0.25">
      <c r="A145" s="253"/>
      <c r="B145" s="47">
        <f>SUM(C145:D145)</f>
        <v>0</v>
      </c>
      <c r="C145" s="47">
        <f>I145+F145</f>
        <v>0</v>
      </c>
      <c r="D145" s="47">
        <f>J145+G145</f>
        <v>0</v>
      </c>
      <c r="E145" s="47">
        <f>SUM(F145:G145)</f>
        <v>0</v>
      </c>
      <c r="F145" s="47">
        <v>0</v>
      </c>
      <c r="G145" s="47">
        <v>0</v>
      </c>
      <c r="H145" s="47">
        <f>SUM(I145:J145)</f>
        <v>0</v>
      </c>
      <c r="I145" s="47">
        <v>0</v>
      </c>
      <c r="J145" s="47">
        <v>0</v>
      </c>
      <c r="K145" s="188" t="s">
        <v>234</v>
      </c>
      <c r="L145" s="134" t="s">
        <v>374</v>
      </c>
    </row>
    <row r="146" spans="1:12" ht="15" customHeight="1" thickBot="1" x14ac:dyDescent="0.25">
      <c r="A146" s="253"/>
      <c r="B146" s="47">
        <f t="shared" ref="B146:J146" si="46">SUM(B144:B145)</f>
        <v>3253</v>
      </c>
      <c r="C146" s="47">
        <f t="shared" si="46"/>
        <v>1036</v>
      </c>
      <c r="D146" s="47">
        <f t="shared" si="46"/>
        <v>2217</v>
      </c>
      <c r="E146" s="47">
        <f t="shared" si="46"/>
        <v>31</v>
      </c>
      <c r="F146" s="47">
        <f t="shared" si="46"/>
        <v>7</v>
      </c>
      <c r="G146" s="47">
        <f t="shared" si="46"/>
        <v>24</v>
      </c>
      <c r="H146" s="47">
        <f t="shared" si="46"/>
        <v>3222</v>
      </c>
      <c r="I146" s="47">
        <f t="shared" si="46"/>
        <v>1029</v>
      </c>
      <c r="J146" s="47">
        <f t="shared" si="46"/>
        <v>2193</v>
      </c>
      <c r="K146" s="188" t="s">
        <v>12</v>
      </c>
      <c r="L146" s="239"/>
    </row>
    <row r="147" spans="1:12" ht="15" customHeight="1" thickBot="1" x14ac:dyDescent="0.25">
      <c r="A147" s="253"/>
      <c r="B147" s="47">
        <f>SUM(C147:D147)</f>
        <v>904</v>
      </c>
      <c r="C147" s="47">
        <f>I147+F147</f>
        <v>376</v>
      </c>
      <c r="D147" s="47">
        <f>J147+G147</f>
        <v>528</v>
      </c>
      <c r="E147" s="47">
        <f>SUM(F147:G147)</f>
        <v>25</v>
      </c>
      <c r="F147" s="47">
        <v>13</v>
      </c>
      <c r="G147" s="47">
        <v>12</v>
      </c>
      <c r="H147" s="47">
        <f>SUM(I147:J147)</f>
        <v>879</v>
      </c>
      <c r="I147" s="47">
        <v>363</v>
      </c>
      <c r="J147" s="47">
        <v>516</v>
      </c>
      <c r="K147" s="188" t="s">
        <v>233</v>
      </c>
      <c r="L147" s="134"/>
    </row>
    <row r="148" spans="1:12" ht="15" customHeight="1" thickBot="1" x14ac:dyDescent="0.25">
      <c r="A148" s="253"/>
      <c r="B148" s="47">
        <f>SUM(C148:D148)</f>
        <v>0</v>
      </c>
      <c r="C148" s="47">
        <f>I148+F148</f>
        <v>0</v>
      </c>
      <c r="D148" s="47">
        <f>J148+G148</f>
        <v>0</v>
      </c>
      <c r="E148" s="47">
        <f>SUM(F148:G148)</f>
        <v>0</v>
      </c>
      <c r="F148" s="47">
        <v>0</v>
      </c>
      <c r="G148" s="47">
        <v>0</v>
      </c>
      <c r="H148" s="47">
        <f>SUM(I148:J148)</f>
        <v>0</v>
      </c>
      <c r="I148" s="47">
        <v>0</v>
      </c>
      <c r="J148" s="47">
        <v>0</v>
      </c>
      <c r="K148" s="188" t="s">
        <v>234</v>
      </c>
      <c r="L148" s="134" t="s">
        <v>375</v>
      </c>
    </row>
    <row r="149" spans="1:12" ht="15" customHeight="1" thickBot="1" x14ac:dyDescent="0.25">
      <c r="A149" s="253"/>
      <c r="B149" s="47">
        <f t="shared" ref="B149:J149" si="47">SUM(B147:B148)</f>
        <v>904</v>
      </c>
      <c r="C149" s="47">
        <f t="shared" si="47"/>
        <v>376</v>
      </c>
      <c r="D149" s="47">
        <f t="shared" si="47"/>
        <v>528</v>
      </c>
      <c r="E149" s="47">
        <f t="shared" si="47"/>
        <v>25</v>
      </c>
      <c r="F149" s="47">
        <f t="shared" si="47"/>
        <v>13</v>
      </c>
      <c r="G149" s="47">
        <f t="shared" si="47"/>
        <v>12</v>
      </c>
      <c r="H149" s="47">
        <f t="shared" si="47"/>
        <v>879</v>
      </c>
      <c r="I149" s="47">
        <f t="shared" si="47"/>
        <v>363</v>
      </c>
      <c r="J149" s="47">
        <f t="shared" si="47"/>
        <v>516</v>
      </c>
      <c r="K149" s="188" t="s">
        <v>12</v>
      </c>
      <c r="L149" s="239"/>
    </row>
    <row r="150" spans="1:12" ht="15" customHeight="1" thickBot="1" x14ac:dyDescent="0.25">
      <c r="A150" s="253"/>
      <c r="B150" s="47">
        <f>SUM(C150:D150)</f>
        <v>8298</v>
      </c>
      <c r="C150" s="47">
        <f>I150+F150</f>
        <v>5225</v>
      </c>
      <c r="D150" s="47">
        <f>J150+G150</f>
        <v>3073</v>
      </c>
      <c r="E150" s="47">
        <f>SUM(F150:G150)</f>
        <v>199</v>
      </c>
      <c r="F150" s="47">
        <v>54</v>
      </c>
      <c r="G150" s="47">
        <v>145</v>
      </c>
      <c r="H150" s="47">
        <f>SUM(I150:J150)</f>
        <v>8099</v>
      </c>
      <c r="I150" s="47">
        <v>5171</v>
      </c>
      <c r="J150" s="47">
        <v>2928</v>
      </c>
      <c r="K150" s="188" t="s">
        <v>233</v>
      </c>
      <c r="L150" s="134"/>
    </row>
    <row r="151" spans="1:12" ht="15" customHeight="1" thickBot="1" x14ac:dyDescent="0.25">
      <c r="A151" s="253"/>
      <c r="B151" s="47">
        <f>SUM(C151:D151)</f>
        <v>0</v>
      </c>
      <c r="C151" s="47">
        <f>I151+F151</f>
        <v>0</v>
      </c>
      <c r="D151" s="47">
        <f>J151+G151</f>
        <v>0</v>
      </c>
      <c r="E151" s="47">
        <f>SUM(F151:G151)</f>
        <v>0</v>
      </c>
      <c r="F151" s="47">
        <v>0</v>
      </c>
      <c r="G151" s="47">
        <v>0</v>
      </c>
      <c r="H151" s="47">
        <f>SUM(I151:J151)</f>
        <v>0</v>
      </c>
      <c r="I151" s="47">
        <v>0</v>
      </c>
      <c r="J151" s="47">
        <v>0</v>
      </c>
      <c r="K151" s="188" t="s">
        <v>234</v>
      </c>
      <c r="L151" s="134" t="s">
        <v>376</v>
      </c>
    </row>
    <row r="152" spans="1:12" ht="15" customHeight="1" thickBot="1" x14ac:dyDescent="0.25">
      <c r="A152" s="253"/>
      <c r="B152" s="47">
        <f t="shared" ref="B152:J152" si="48">SUM(B150:B151)</f>
        <v>8298</v>
      </c>
      <c r="C152" s="47">
        <f t="shared" si="48"/>
        <v>5225</v>
      </c>
      <c r="D152" s="47">
        <f t="shared" si="48"/>
        <v>3073</v>
      </c>
      <c r="E152" s="47">
        <f t="shared" si="48"/>
        <v>199</v>
      </c>
      <c r="F152" s="47">
        <f t="shared" si="48"/>
        <v>54</v>
      </c>
      <c r="G152" s="47">
        <f t="shared" si="48"/>
        <v>145</v>
      </c>
      <c r="H152" s="47">
        <f t="shared" si="48"/>
        <v>8099</v>
      </c>
      <c r="I152" s="47">
        <f t="shared" si="48"/>
        <v>5171</v>
      </c>
      <c r="J152" s="47">
        <f t="shared" si="48"/>
        <v>2928</v>
      </c>
      <c r="K152" s="188" t="s">
        <v>12</v>
      </c>
      <c r="L152" s="239"/>
    </row>
    <row r="153" spans="1:12" ht="15" customHeight="1" thickBot="1" x14ac:dyDescent="0.25">
      <c r="A153" s="253"/>
      <c r="B153" s="47">
        <f>SUM(C153:D153)</f>
        <v>2026</v>
      </c>
      <c r="C153" s="47">
        <f>I153+F153</f>
        <v>982</v>
      </c>
      <c r="D153" s="47">
        <f>J153+G153</f>
        <v>1044</v>
      </c>
      <c r="E153" s="47">
        <f>SUM(F153:G153)</f>
        <v>39</v>
      </c>
      <c r="F153" s="47">
        <v>29</v>
      </c>
      <c r="G153" s="47">
        <v>10</v>
      </c>
      <c r="H153" s="47">
        <f>SUM(I153:J153)</f>
        <v>1987</v>
      </c>
      <c r="I153" s="47">
        <v>953</v>
      </c>
      <c r="J153" s="47">
        <v>1034</v>
      </c>
      <c r="K153" s="188" t="s">
        <v>233</v>
      </c>
      <c r="L153" s="134"/>
    </row>
    <row r="154" spans="1:12" ht="15" customHeight="1" thickBot="1" x14ac:dyDescent="0.25">
      <c r="A154" s="253"/>
      <c r="B154" s="47">
        <f>SUM(C154:D154)</f>
        <v>0</v>
      </c>
      <c r="C154" s="47">
        <f>I154+F154</f>
        <v>0</v>
      </c>
      <c r="D154" s="47">
        <f>J154+G154</f>
        <v>0</v>
      </c>
      <c r="E154" s="47">
        <f>SUM(F154:G154)</f>
        <v>0</v>
      </c>
      <c r="F154" s="47">
        <v>0</v>
      </c>
      <c r="G154" s="47">
        <v>0</v>
      </c>
      <c r="H154" s="47">
        <f>SUM(I154:J154)</f>
        <v>0</v>
      </c>
      <c r="I154" s="47">
        <v>0</v>
      </c>
      <c r="J154" s="47">
        <v>0</v>
      </c>
      <c r="K154" s="188" t="s">
        <v>234</v>
      </c>
      <c r="L154" s="134" t="s">
        <v>365</v>
      </c>
    </row>
    <row r="155" spans="1:12" ht="15" customHeight="1" thickBot="1" x14ac:dyDescent="0.25">
      <c r="A155" s="253"/>
      <c r="B155" s="47">
        <f t="shared" ref="B155:J155" si="49">SUM(B153:B154)</f>
        <v>2026</v>
      </c>
      <c r="C155" s="47">
        <f t="shared" si="49"/>
        <v>982</v>
      </c>
      <c r="D155" s="47">
        <f t="shared" si="49"/>
        <v>1044</v>
      </c>
      <c r="E155" s="47">
        <f t="shared" si="49"/>
        <v>39</v>
      </c>
      <c r="F155" s="47">
        <f t="shared" si="49"/>
        <v>29</v>
      </c>
      <c r="G155" s="47">
        <f t="shared" si="49"/>
        <v>10</v>
      </c>
      <c r="H155" s="47">
        <f t="shared" si="49"/>
        <v>1987</v>
      </c>
      <c r="I155" s="47">
        <f t="shared" si="49"/>
        <v>953</v>
      </c>
      <c r="J155" s="47">
        <f t="shared" si="49"/>
        <v>1034</v>
      </c>
      <c r="K155" s="188" t="s">
        <v>12</v>
      </c>
      <c r="L155" s="239"/>
    </row>
    <row r="156" spans="1:12" ht="15" customHeight="1" thickBot="1" x14ac:dyDescent="0.25">
      <c r="A156" s="253"/>
      <c r="B156" s="47">
        <f>SUM(C156:D156)</f>
        <v>3210</v>
      </c>
      <c r="C156" s="47">
        <f>I156+F156</f>
        <v>1813</v>
      </c>
      <c r="D156" s="47">
        <f>J156+G156</f>
        <v>1397</v>
      </c>
      <c r="E156" s="47">
        <f>SUM(F156:G156)</f>
        <v>68</v>
      </c>
      <c r="F156" s="47">
        <v>47</v>
      </c>
      <c r="G156" s="47">
        <v>21</v>
      </c>
      <c r="H156" s="47">
        <f>SUM(I156:J156)</f>
        <v>3142</v>
      </c>
      <c r="I156" s="47">
        <v>1766</v>
      </c>
      <c r="J156" s="47">
        <v>1376</v>
      </c>
      <c r="K156" s="188" t="s">
        <v>233</v>
      </c>
      <c r="L156" s="134"/>
    </row>
    <row r="157" spans="1:12" ht="15" customHeight="1" thickBot="1" x14ac:dyDescent="0.25">
      <c r="A157" s="253"/>
      <c r="B157" s="47">
        <f>SUM(C157:D157)</f>
        <v>0</v>
      </c>
      <c r="C157" s="47">
        <f>I157+F157</f>
        <v>0</v>
      </c>
      <c r="D157" s="47">
        <f>J157+G157</f>
        <v>0</v>
      </c>
      <c r="E157" s="47">
        <f>SUM(F157:G157)</f>
        <v>0</v>
      </c>
      <c r="F157" s="47">
        <v>0</v>
      </c>
      <c r="G157" s="47">
        <v>0</v>
      </c>
      <c r="H157" s="47">
        <f>SUM(I157:J157)</f>
        <v>0</v>
      </c>
      <c r="I157" s="47">
        <v>0</v>
      </c>
      <c r="J157" s="47">
        <v>0</v>
      </c>
      <c r="K157" s="188" t="s">
        <v>234</v>
      </c>
      <c r="L157" s="134" t="s">
        <v>364</v>
      </c>
    </row>
    <row r="158" spans="1:12" ht="15" customHeight="1" thickBot="1" x14ac:dyDescent="0.25">
      <c r="A158" s="253"/>
      <c r="B158" s="47">
        <f t="shared" ref="B158:J158" si="50">SUM(B156:B157)</f>
        <v>3210</v>
      </c>
      <c r="C158" s="47">
        <f t="shared" si="50"/>
        <v>1813</v>
      </c>
      <c r="D158" s="47">
        <f t="shared" si="50"/>
        <v>1397</v>
      </c>
      <c r="E158" s="47">
        <f t="shared" si="50"/>
        <v>68</v>
      </c>
      <c r="F158" s="47">
        <f t="shared" si="50"/>
        <v>47</v>
      </c>
      <c r="G158" s="47">
        <f t="shared" si="50"/>
        <v>21</v>
      </c>
      <c r="H158" s="47">
        <f t="shared" si="50"/>
        <v>3142</v>
      </c>
      <c r="I158" s="47">
        <f t="shared" si="50"/>
        <v>1766</v>
      </c>
      <c r="J158" s="47">
        <f t="shared" si="50"/>
        <v>1376</v>
      </c>
      <c r="K158" s="188" t="s">
        <v>12</v>
      </c>
      <c r="L158" s="239"/>
    </row>
    <row r="159" spans="1:12" ht="15" customHeight="1" thickBot="1" x14ac:dyDescent="0.25">
      <c r="A159" s="253"/>
      <c r="B159" s="47">
        <f>SUM(C159:D159)</f>
        <v>1252</v>
      </c>
      <c r="C159" s="47">
        <f>I159+F159</f>
        <v>544</v>
      </c>
      <c r="D159" s="47">
        <f>J159+G159</f>
        <v>708</v>
      </c>
      <c r="E159" s="47">
        <f>SUM(F159:G159)</f>
        <v>69</v>
      </c>
      <c r="F159" s="47">
        <v>46</v>
      </c>
      <c r="G159" s="47">
        <v>23</v>
      </c>
      <c r="H159" s="47">
        <f>SUM(I159:J159)</f>
        <v>1183</v>
      </c>
      <c r="I159" s="47">
        <v>498</v>
      </c>
      <c r="J159" s="47">
        <v>685</v>
      </c>
      <c r="K159" s="188" t="s">
        <v>233</v>
      </c>
      <c r="L159" s="134"/>
    </row>
    <row r="160" spans="1:12" ht="15" customHeight="1" thickBot="1" x14ac:dyDescent="0.25">
      <c r="A160" s="253"/>
      <c r="B160" s="47">
        <f>SUM(C160:D160)</f>
        <v>0</v>
      </c>
      <c r="C160" s="47">
        <f>I160+F160</f>
        <v>0</v>
      </c>
      <c r="D160" s="47">
        <f>J160+G160</f>
        <v>0</v>
      </c>
      <c r="E160" s="47">
        <f>SUM(F160:G160)</f>
        <v>0</v>
      </c>
      <c r="F160" s="47">
        <v>0</v>
      </c>
      <c r="G160" s="47">
        <v>0</v>
      </c>
      <c r="H160" s="47">
        <f>SUM(I160:J160)</f>
        <v>0</v>
      </c>
      <c r="I160" s="47">
        <v>0</v>
      </c>
      <c r="J160" s="47">
        <v>0</v>
      </c>
      <c r="K160" s="188" t="s">
        <v>234</v>
      </c>
      <c r="L160" s="134" t="s">
        <v>348</v>
      </c>
    </row>
    <row r="161" spans="1:12" ht="15" customHeight="1" thickBot="1" x14ac:dyDescent="0.25">
      <c r="A161" s="253"/>
      <c r="B161" s="47">
        <f t="shared" ref="B161:J161" si="51">SUM(B159:B160)</f>
        <v>1252</v>
      </c>
      <c r="C161" s="47">
        <f t="shared" si="51"/>
        <v>544</v>
      </c>
      <c r="D161" s="47">
        <f t="shared" si="51"/>
        <v>708</v>
      </c>
      <c r="E161" s="47">
        <f t="shared" si="51"/>
        <v>69</v>
      </c>
      <c r="F161" s="47">
        <f t="shared" si="51"/>
        <v>46</v>
      </c>
      <c r="G161" s="47">
        <f t="shared" si="51"/>
        <v>23</v>
      </c>
      <c r="H161" s="47">
        <f t="shared" si="51"/>
        <v>1183</v>
      </c>
      <c r="I161" s="47">
        <f t="shared" si="51"/>
        <v>498</v>
      </c>
      <c r="J161" s="47">
        <f t="shared" si="51"/>
        <v>685</v>
      </c>
      <c r="K161" s="188" t="s">
        <v>12</v>
      </c>
      <c r="L161" s="239"/>
    </row>
    <row r="162" spans="1:12" ht="15" customHeight="1" thickBot="1" x14ac:dyDescent="0.25">
      <c r="A162" s="253"/>
      <c r="B162" s="47">
        <f>SUM(C162:D162)</f>
        <v>1621</v>
      </c>
      <c r="C162" s="47">
        <f>I162+F162</f>
        <v>524</v>
      </c>
      <c r="D162" s="47">
        <f>J162+G162</f>
        <v>1097</v>
      </c>
      <c r="E162" s="47">
        <f>SUM(F162:G162)</f>
        <v>22</v>
      </c>
      <c r="F162" s="47">
        <v>12</v>
      </c>
      <c r="G162" s="47">
        <v>10</v>
      </c>
      <c r="H162" s="47">
        <f>SUM(I162:J162)</f>
        <v>1599</v>
      </c>
      <c r="I162" s="47">
        <v>512</v>
      </c>
      <c r="J162" s="47">
        <v>1087</v>
      </c>
      <c r="K162" s="188" t="s">
        <v>233</v>
      </c>
      <c r="L162" s="134"/>
    </row>
    <row r="163" spans="1:12" ht="15" customHeight="1" thickBot="1" x14ac:dyDescent="0.25">
      <c r="A163" s="253"/>
      <c r="B163" s="47">
        <f>SUM(C163:D163)</f>
        <v>0</v>
      </c>
      <c r="C163" s="47">
        <f>I163+F163</f>
        <v>0</v>
      </c>
      <c r="D163" s="47">
        <f>J163+G163</f>
        <v>0</v>
      </c>
      <c r="E163" s="47">
        <f>SUM(F163:G163)</f>
        <v>0</v>
      </c>
      <c r="F163" s="47">
        <v>0</v>
      </c>
      <c r="G163" s="47">
        <v>0</v>
      </c>
      <c r="H163" s="47">
        <f>SUM(I163:J163)</f>
        <v>0</v>
      </c>
      <c r="I163" s="47">
        <v>0</v>
      </c>
      <c r="J163" s="47">
        <v>0</v>
      </c>
      <c r="K163" s="188" t="s">
        <v>234</v>
      </c>
      <c r="L163" s="134" t="s">
        <v>344</v>
      </c>
    </row>
    <row r="164" spans="1:12" ht="15" customHeight="1" thickBot="1" x14ac:dyDescent="0.25">
      <c r="A164" s="253"/>
      <c r="B164" s="47">
        <f t="shared" ref="B164:J164" si="52">SUM(B162:B163)</f>
        <v>1621</v>
      </c>
      <c r="C164" s="47">
        <f t="shared" si="52"/>
        <v>524</v>
      </c>
      <c r="D164" s="47">
        <f t="shared" si="52"/>
        <v>1097</v>
      </c>
      <c r="E164" s="47">
        <f t="shared" si="52"/>
        <v>22</v>
      </c>
      <c r="F164" s="47">
        <f t="shared" si="52"/>
        <v>12</v>
      </c>
      <c r="G164" s="47">
        <f t="shared" si="52"/>
        <v>10</v>
      </c>
      <c r="H164" s="47">
        <f t="shared" si="52"/>
        <v>1599</v>
      </c>
      <c r="I164" s="47">
        <f t="shared" si="52"/>
        <v>512</v>
      </c>
      <c r="J164" s="47">
        <f t="shared" si="52"/>
        <v>1087</v>
      </c>
      <c r="K164" s="188" t="s">
        <v>12</v>
      </c>
      <c r="L164" s="239"/>
    </row>
    <row r="165" spans="1:12" ht="15" customHeight="1" thickBot="1" x14ac:dyDescent="0.25">
      <c r="A165" s="253"/>
      <c r="B165" s="47">
        <f>SUM(C165:D165)</f>
        <v>594</v>
      </c>
      <c r="C165" s="47">
        <f>I165+F165</f>
        <v>211</v>
      </c>
      <c r="D165" s="47">
        <f>J165+G165</f>
        <v>383</v>
      </c>
      <c r="E165" s="47">
        <f>SUM(F165:G165)</f>
        <v>2</v>
      </c>
      <c r="F165" s="47">
        <v>2</v>
      </c>
      <c r="G165" s="47">
        <v>0</v>
      </c>
      <c r="H165" s="47">
        <f>SUM(I165:J165)</f>
        <v>592</v>
      </c>
      <c r="I165" s="47">
        <v>209</v>
      </c>
      <c r="J165" s="47">
        <v>383</v>
      </c>
      <c r="K165" s="188" t="s">
        <v>233</v>
      </c>
      <c r="L165" s="134"/>
    </row>
    <row r="166" spans="1:12" ht="15" customHeight="1" thickBot="1" x14ac:dyDescent="0.25">
      <c r="A166" s="253"/>
      <c r="B166" s="47">
        <f>SUM(C166:D166)</f>
        <v>0</v>
      </c>
      <c r="C166" s="47">
        <f>I166+F166</f>
        <v>0</v>
      </c>
      <c r="D166" s="47">
        <f>J166+G166</f>
        <v>0</v>
      </c>
      <c r="E166" s="47">
        <f>SUM(F166:G166)</f>
        <v>0</v>
      </c>
      <c r="F166" s="47">
        <v>0</v>
      </c>
      <c r="G166" s="47">
        <v>0</v>
      </c>
      <c r="H166" s="47">
        <f>SUM(I166:J166)</f>
        <v>0</v>
      </c>
      <c r="I166" s="47">
        <v>0</v>
      </c>
      <c r="J166" s="47">
        <v>0</v>
      </c>
      <c r="K166" s="188" t="s">
        <v>234</v>
      </c>
      <c r="L166" s="134" t="s">
        <v>255</v>
      </c>
    </row>
    <row r="167" spans="1:12" ht="15" customHeight="1" thickBot="1" x14ac:dyDescent="0.25">
      <c r="A167" s="253"/>
      <c r="B167" s="47">
        <f t="shared" ref="B167:J167" si="53">SUM(B165:B166)</f>
        <v>594</v>
      </c>
      <c r="C167" s="47">
        <f t="shared" si="53"/>
        <v>211</v>
      </c>
      <c r="D167" s="47">
        <f t="shared" si="53"/>
        <v>383</v>
      </c>
      <c r="E167" s="47">
        <f t="shared" si="53"/>
        <v>2</v>
      </c>
      <c r="F167" s="47">
        <f t="shared" si="53"/>
        <v>2</v>
      </c>
      <c r="G167" s="47">
        <f t="shared" si="53"/>
        <v>0</v>
      </c>
      <c r="H167" s="47">
        <f t="shared" si="53"/>
        <v>592</v>
      </c>
      <c r="I167" s="47">
        <f t="shared" si="53"/>
        <v>209</v>
      </c>
      <c r="J167" s="47">
        <f t="shared" si="53"/>
        <v>383</v>
      </c>
      <c r="K167" s="188" t="s">
        <v>12</v>
      </c>
      <c r="L167" s="239"/>
    </row>
    <row r="168" spans="1:12" ht="15" customHeight="1" thickBot="1" x14ac:dyDescent="0.25">
      <c r="A168" s="253"/>
      <c r="B168" s="47">
        <f>SUM(C168:D168)</f>
        <v>961</v>
      </c>
      <c r="C168" s="47">
        <f>I168+F168</f>
        <v>463</v>
      </c>
      <c r="D168" s="47">
        <f>J168+G168</f>
        <v>498</v>
      </c>
      <c r="E168" s="47">
        <f>SUM(F168:G168)</f>
        <v>15</v>
      </c>
      <c r="F168" s="47">
        <v>10</v>
      </c>
      <c r="G168" s="47">
        <v>5</v>
      </c>
      <c r="H168" s="47">
        <f>SUM(I168:J168)</f>
        <v>946</v>
      </c>
      <c r="I168" s="47">
        <v>453</v>
      </c>
      <c r="J168" s="47">
        <v>493</v>
      </c>
      <c r="K168" s="188" t="s">
        <v>233</v>
      </c>
      <c r="L168" s="134"/>
    </row>
    <row r="169" spans="1:12" ht="15" customHeight="1" thickBot="1" x14ac:dyDescent="0.25">
      <c r="A169" s="253"/>
      <c r="B169" s="47">
        <f>SUM(C169:D169)</f>
        <v>0</v>
      </c>
      <c r="C169" s="47">
        <f>I169+F169</f>
        <v>0</v>
      </c>
      <c r="D169" s="47">
        <f>J169+G169</f>
        <v>0</v>
      </c>
      <c r="E169" s="47">
        <f>SUM(F169:G169)</f>
        <v>0</v>
      </c>
      <c r="F169" s="47">
        <v>0</v>
      </c>
      <c r="G169" s="47">
        <v>0</v>
      </c>
      <c r="H169" s="47">
        <f>SUM(I169:J169)</f>
        <v>0</v>
      </c>
      <c r="I169" s="47">
        <v>0</v>
      </c>
      <c r="J169" s="47">
        <v>0</v>
      </c>
      <c r="K169" s="188" t="s">
        <v>234</v>
      </c>
      <c r="L169" s="134" t="s">
        <v>377</v>
      </c>
    </row>
    <row r="170" spans="1:12" ht="15" customHeight="1" thickBot="1" x14ac:dyDescent="0.25">
      <c r="A170" s="253"/>
      <c r="B170" s="47">
        <f t="shared" ref="B170:J170" si="54">SUM(B168:B169)</f>
        <v>961</v>
      </c>
      <c r="C170" s="47">
        <f t="shared" si="54"/>
        <v>463</v>
      </c>
      <c r="D170" s="47">
        <f t="shared" si="54"/>
        <v>498</v>
      </c>
      <c r="E170" s="47">
        <f t="shared" si="54"/>
        <v>15</v>
      </c>
      <c r="F170" s="47">
        <f t="shared" si="54"/>
        <v>10</v>
      </c>
      <c r="G170" s="47">
        <f t="shared" si="54"/>
        <v>5</v>
      </c>
      <c r="H170" s="47">
        <f t="shared" si="54"/>
        <v>946</v>
      </c>
      <c r="I170" s="47">
        <f t="shared" si="54"/>
        <v>453</v>
      </c>
      <c r="J170" s="47">
        <f t="shared" si="54"/>
        <v>493</v>
      </c>
      <c r="K170" s="188" t="s">
        <v>12</v>
      </c>
      <c r="L170" s="239"/>
    </row>
    <row r="171" spans="1:12" ht="15" customHeight="1" thickBot="1" x14ac:dyDescent="0.25">
      <c r="A171" s="253"/>
      <c r="B171" s="47">
        <f>SUM(C171:D171)</f>
        <v>1843</v>
      </c>
      <c r="C171" s="47">
        <f>I171+F171</f>
        <v>965</v>
      </c>
      <c r="D171" s="47">
        <f>J171+G171</f>
        <v>878</v>
      </c>
      <c r="E171" s="47">
        <f>SUM(F171:G171)</f>
        <v>36</v>
      </c>
      <c r="F171" s="47">
        <v>22</v>
      </c>
      <c r="G171" s="47">
        <v>14</v>
      </c>
      <c r="H171" s="47">
        <f>SUM(I171:J171)</f>
        <v>1807</v>
      </c>
      <c r="I171" s="47">
        <v>943</v>
      </c>
      <c r="J171" s="47">
        <v>864</v>
      </c>
      <c r="K171" s="188" t="s">
        <v>233</v>
      </c>
      <c r="L171" s="134"/>
    </row>
    <row r="172" spans="1:12" ht="15" customHeight="1" thickBot="1" x14ac:dyDescent="0.25">
      <c r="A172" s="253"/>
      <c r="B172" s="47">
        <f>SUM(C172:D172)</f>
        <v>0</v>
      </c>
      <c r="C172" s="47">
        <f>I172+F172</f>
        <v>0</v>
      </c>
      <c r="D172" s="47">
        <f>J172+G172</f>
        <v>0</v>
      </c>
      <c r="E172" s="47">
        <f>SUM(F172:G172)</f>
        <v>0</v>
      </c>
      <c r="F172" s="47">
        <v>0</v>
      </c>
      <c r="G172" s="47">
        <v>0</v>
      </c>
      <c r="H172" s="47">
        <f>SUM(I172:J172)</f>
        <v>0</v>
      </c>
      <c r="I172" s="47">
        <v>0</v>
      </c>
      <c r="J172" s="47">
        <v>0</v>
      </c>
      <c r="K172" s="188" t="s">
        <v>234</v>
      </c>
      <c r="L172" s="134" t="s">
        <v>378</v>
      </c>
    </row>
    <row r="173" spans="1:12" ht="15" customHeight="1" thickBot="1" x14ac:dyDescent="0.25">
      <c r="A173" s="253"/>
      <c r="B173" s="47">
        <f t="shared" ref="B173:J173" si="55">SUM(B171:B172)</f>
        <v>1843</v>
      </c>
      <c r="C173" s="47">
        <f t="shared" si="55"/>
        <v>965</v>
      </c>
      <c r="D173" s="47">
        <f t="shared" si="55"/>
        <v>878</v>
      </c>
      <c r="E173" s="47">
        <f t="shared" si="55"/>
        <v>36</v>
      </c>
      <c r="F173" s="47">
        <f t="shared" si="55"/>
        <v>22</v>
      </c>
      <c r="G173" s="47">
        <f t="shared" si="55"/>
        <v>14</v>
      </c>
      <c r="H173" s="47">
        <f t="shared" si="55"/>
        <v>1807</v>
      </c>
      <c r="I173" s="47">
        <f t="shared" si="55"/>
        <v>943</v>
      </c>
      <c r="J173" s="47">
        <f t="shared" si="55"/>
        <v>864</v>
      </c>
      <c r="K173" s="188" t="s">
        <v>12</v>
      </c>
      <c r="L173" s="239"/>
    </row>
    <row r="174" spans="1:12" ht="15" customHeight="1" thickBot="1" x14ac:dyDescent="0.25">
      <c r="A174" s="253"/>
      <c r="B174" s="47">
        <f>SUM(C174:D174)</f>
        <v>952</v>
      </c>
      <c r="C174" s="47">
        <f>I174+F174</f>
        <v>0</v>
      </c>
      <c r="D174" s="47">
        <f>J174+G174</f>
        <v>952</v>
      </c>
      <c r="E174" s="47">
        <f>SUM(F174:G174)</f>
        <v>21</v>
      </c>
      <c r="F174" s="47">
        <v>0</v>
      </c>
      <c r="G174" s="47">
        <v>21</v>
      </c>
      <c r="H174" s="47">
        <f>SUM(I174:J174)</f>
        <v>931</v>
      </c>
      <c r="I174" s="47">
        <v>0</v>
      </c>
      <c r="J174" s="47">
        <v>931</v>
      </c>
      <c r="K174" s="188" t="s">
        <v>233</v>
      </c>
      <c r="L174" s="134"/>
    </row>
    <row r="175" spans="1:12" ht="15" customHeight="1" thickBot="1" x14ac:dyDescent="0.25">
      <c r="A175" s="253"/>
      <c r="B175" s="47">
        <f>SUM(C175:D175)</f>
        <v>0</v>
      </c>
      <c r="C175" s="47">
        <f>I175+F175</f>
        <v>0</v>
      </c>
      <c r="D175" s="47">
        <f>J175+G175</f>
        <v>0</v>
      </c>
      <c r="E175" s="47">
        <f>SUM(F175:G175)</f>
        <v>0</v>
      </c>
      <c r="F175" s="47">
        <v>0</v>
      </c>
      <c r="G175" s="47">
        <v>0</v>
      </c>
      <c r="H175" s="47">
        <f>SUM(I175:J175)</f>
        <v>0</v>
      </c>
      <c r="I175" s="47">
        <v>0</v>
      </c>
      <c r="J175" s="47">
        <v>0</v>
      </c>
      <c r="K175" s="188" t="s">
        <v>234</v>
      </c>
      <c r="L175" s="134" t="s">
        <v>379</v>
      </c>
    </row>
    <row r="176" spans="1:12" ht="15" customHeight="1" thickBot="1" x14ac:dyDescent="0.25">
      <c r="A176" s="253"/>
      <c r="B176" s="47">
        <f t="shared" ref="B176:J176" si="56">SUM(B174:B175)</f>
        <v>952</v>
      </c>
      <c r="C176" s="47">
        <f t="shared" si="56"/>
        <v>0</v>
      </c>
      <c r="D176" s="47">
        <f t="shared" si="56"/>
        <v>952</v>
      </c>
      <c r="E176" s="47">
        <f t="shared" si="56"/>
        <v>21</v>
      </c>
      <c r="F176" s="47">
        <f t="shared" si="56"/>
        <v>0</v>
      </c>
      <c r="G176" s="47">
        <f t="shared" si="56"/>
        <v>21</v>
      </c>
      <c r="H176" s="47">
        <f t="shared" si="56"/>
        <v>931</v>
      </c>
      <c r="I176" s="47">
        <f t="shared" si="56"/>
        <v>0</v>
      </c>
      <c r="J176" s="47">
        <f t="shared" si="56"/>
        <v>931</v>
      </c>
      <c r="K176" s="188" t="s">
        <v>12</v>
      </c>
      <c r="L176" s="239"/>
    </row>
    <row r="177" spans="1:12" ht="15" customHeight="1" thickBot="1" x14ac:dyDescent="0.25">
      <c r="A177" s="253"/>
      <c r="B177" s="47">
        <f>SUM(C177:D177)</f>
        <v>621</v>
      </c>
      <c r="C177" s="47">
        <f>I177+F177</f>
        <v>0</v>
      </c>
      <c r="D177" s="47">
        <f>J177+G177</f>
        <v>621</v>
      </c>
      <c r="E177" s="47">
        <f>SUM(F177:G177)</f>
        <v>23</v>
      </c>
      <c r="F177" s="47">
        <v>0</v>
      </c>
      <c r="G177" s="47">
        <v>23</v>
      </c>
      <c r="H177" s="47">
        <f>SUM(I177:J177)</f>
        <v>598</v>
      </c>
      <c r="I177" s="47">
        <v>0</v>
      </c>
      <c r="J177" s="47">
        <v>598</v>
      </c>
      <c r="K177" s="188" t="s">
        <v>233</v>
      </c>
      <c r="L177" s="134"/>
    </row>
    <row r="178" spans="1:12" ht="15" customHeight="1" thickBot="1" x14ac:dyDescent="0.25">
      <c r="A178" s="253"/>
      <c r="B178" s="47">
        <f>SUM(C178:D178)</f>
        <v>0</v>
      </c>
      <c r="C178" s="47">
        <f>I178+F178</f>
        <v>0</v>
      </c>
      <c r="D178" s="47">
        <f>J178+G178</f>
        <v>0</v>
      </c>
      <c r="E178" s="47">
        <f>SUM(F178:G178)</f>
        <v>0</v>
      </c>
      <c r="F178" s="47">
        <v>0</v>
      </c>
      <c r="G178" s="47">
        <v>0</v>
      </c>
      <c r="H178" s="47">
        <f>SUM(I178:J178)</f>
        <v>0</v>
      </c>
      <c r="I178" s="47">
        <v>0</v>
      </c>
      <c r="J178" s="47">
        <v>0</v>
      </c>
      <c r="K178" s="188" t="s">
        <v>234</v>
      </c>
      <c r="L178" s="134" t="s">
        <v>380</v>
      </c>
    </row>
    <row r="179" spans="1:12" ht="15" customHeight="1" thickBot="1" x14ac:dyDescent="0.25">
      <c r="A179" s="253"/>
      <c r="B179" s="47">
        <f t="shared" ref="B179:J179" si="57">SUM(B177:B178)</f>
        <v>621</v>
      </c>
      <c r="C179" s="47">
        <f t="shared" si="57"/>
        <v>0</v>
      </c>
      <c r="D179" s="47">
        <f t="shared" si="57"/>
        <v>621</v>
      </c>
      <c r="E179" s="47">
        <f t="shared" si="57"/>
        <v>23</v>
      </c>
      <c r="F179" s="47">
        <f t="shared" si="57"/>
        <v>0</v>
      </c>
      <c r="G179" s="47">
        <f t="shared" si="57"/>
        <v>23</v>
      </c>
      <c r="H179" s="47">
        <f t="shared" si="57"/>
        <v>598</v>
      </c>
      <c r="I179" s="47">
        <f t="shared" si="57"/>
        <v>0</v>
      </c>
      <c r="J179" s="47">
        <f t="shared" si="57"/>
        <v>598</v>
      </c>
      <c r="K179" s="188" t="s">
        <v>12</v>
      </c>
      <c r="L179" s="239"/>
    </row>
    <row r="180" spans="1:12" ht="15" customHeight="1" thickBot="1" x14ac:dyDescent="0.25">
      <c r="A180" s="253"/>
      <c r="B180" s="47">
        <f>SUM(C180:D180)</f>
        <v>1783</v>
      </c>
      <c r="C180" s="47">
        <f>I180+F180</f>
        <v>0</v>
      </c>
      <c r="D180" s="47">
        <f>J180+G180</f>
        <v>1783</v>
      </c>
      <c r="E180" s="47">
        <f>SUM(F180:G180)</f>
        <v>52</v>
      </c>
      <c r="F180" s="47">
        <v>0</v>
      </c>
      <c r="G180" s="47">
        <v>52</v>
      </c>
      <c r="H180" s="47">
        <f>SUM(I180:J180)</f>
        <v>1731</v>
      </c>
      <c r="I180" s="47">
        <v>0</v>
      </c>
      <c r="J180" s="47">
        <v>1731</v>
      </c>
      <c r="K180" s="188" t="s">
        <v>233</v>
      </c>
      <c r="L180" s="134"/>
    </row>
    <row r="181" spans="1:12" ht="15" customHeight="1" thickBot="1" x14ac:dyDescent="0.25">
      <c r="A181" s="253"/>
      <c r="B181" s="47">
        <f>SUM(C181:D181)</f>
        <v>0</v>
      </c>
      <c r="C181" s="47">
        <f>I181+F181</f>
        <v>0</v>
      </c>
      <c r="D181" s="47">
        <f>J181+G181</f>
        <v>0</v>
      </c>
      <c r="E181" s="47">
        <f>SUM(F181:G181)</f>
        <v>0</v>
      </c>
      <c r="F181" s="47">
        <v>0</v>
      </c>
      <c r="G181" s="47">
        <v>0</v>
      </c>
      <c r="H181" s="47">
        <f>SUM(I181:J181)</f>
        <v>0</v>
      </c>
      <c r="I181" s="47">
        <v>0</v>
      </c>
      <c r="J181" s="47">
        <v>0</v>
      </c>
      <c r="K181" s="188" t="s">
        <v>234</v>
      </c>
      <c r="L181" s="134" t="s">
        <v>256</v>
      </c>
    </row>
    <row r="182" spans="1:12" ht="15" customHeight="1" thickBot="1" x14ac:dyDescent="0.25">
      <c r="A182" s="253"/>
      <c r="B182" s="47">
        <f t="shared" ref="B182:J182" si="58">SUM(B180:B181)</f>
        <v>1783</v>
      </c>
      <c r="C182" s="47">
        <f t="shared" si="58"/>
        <v>0</v>
      </c>
      <c r="D182" s="47">
        <f t="shared" si="58"/>
        <v>1783</v>
      </c>
      <c r="E182" s="47">
        <f t="shared" si="58"/>
        <v>52</v>
      </c>
      <c r="F182" s="47">
        <f t="shared" si="58"/>
        <v>0</v>
      </c>
      <c r="G182" s="47">
        <f t="shared" si="58"/>
        <v>52</v>
      </c>
      <c r="H182" s="47">
        <f t="shared" si="58"/>
        <v>1731</v>
      </c>
      <c r="I182" s="47">
        <f t="shared" si="58"/>
        <v>0</v>
      </c>
      <c r="J182" s="47">
        <f t="shared" si="58"/>
        <v>1731</v>
      </c>
      <c r="K182" s="188" t="s">
        <v>12</v>
      </c>
      <c r="L182" s="239"/>
    </row>
    <row r="183" spans="1:12" ht="15" customHeight="1" thickBot="1" x14ac:dyDescent="0.25">
      <c r="A183" s="253"/>
      <c r="B183" s="47">
        <f>SUM(C183:D183)</f>
        <v>555</v>
      </c>
      <c r="C183" s="47">
        <f>I183+F183</f>
        <v>0</v>
      </c>
      <c r="D183" s="47">
        <f>J183+G183</f>
        <v>555</v>
      </c>
      <c r="E183" s="47">
        <f>SUM(F183:G183)</f>
        <v>1</v>
      </c>
      <c r="F183" s="47">
        <v>0</v>
      </c>
      <c r="G183" s="47">
        <v>1</v>
      </c>
      <c r="H183" s="47">
        <f>SUM(I183:J183)</f>
        <v>554</v>
      </c>
      <c r="I183" s="47">
        <v>0</v>
      </c>
      <c r="J183" s="47">
        <v>554</v>
      </c>
      <c r="K183" s="188" t="s">
        <v>233</v>
      </c>
      <c r="L183" s="134"/>
    </row>
    <row r="184" spans="1:12" ht="15" customHeight="1" thickBot="1" x14ac:dyDescent="0.25">
      <c r="A184" s="253"/>
      <c r="B184" s="47">
        <f>SUM(C184:D184)</f>
        <v>0</v>
      </c>
      <c r="C184" s="47">
        <f>I184+F184</f>
        <v>0</v>
      </c>
      <c r="D184" s="47">
        <f>J184+G184</f>
        <v>0</v>
      </c>
      <c r="E184" s="47">
        <f>SUM(F184:G184)</f>
        <v>0</v>
      </c>
      <c r="F184" s="47">
        <v>0</v>
      </c>
      <c r="G184" s="47">
        <v>0</v>
      </c>
      <c r="H184" s="47">
        <f>SUM(I184:J184)</f>
        <v>0</v>
      </c>
      <c r="I184" s="47">
        <v>0</v>
      </c>
      <c r="J184" s="47">
        <v>0</v>
      </c>
      <c r="K184" s="188" t="s">
        <v>234</v>
      </c>
      <c r="L184" s="134" t="s">
        <v>381</v>
      </c>
    </row>
    <row r="185" spans="1:12" ht="15" customHeight="1" thickBot="1" x14ac:dyDescent="0.25">
      <c r="A185" s="253"/>
      <c r="B185" s="47">
        <f t="shared" ref="B185:J185" si="59">SUM(B183:B184)</f>
        <v>555</v>
      </c>
      <c r="C185" s="47">
        <f t="shared" si="59"/>
        <v>0</v>
      </c>
      <c r="D185" s="47">
        <f t="shared" si="59"/>
        <v>555</v>
      </c>
      <c r="E185" s="47">
        <f t="shared" si="59"/>
        <v>1</v>
      </c>
      <c r="F185" s="47">
        <f t="shared" si="59"/>
        <v>0</v>
      </c>
      <c r="G185" s="47">
        <f t="shared" si="59"/>
        <v>1</v>
      </c>
      <c r="H185" s="47">
        <f t="shared" si="59"/>
        <v>554</v>
      </c>
      <c r="I185" s="47">
        <f t="shared" si="59"/>
        <v>0</v>
      </c>
      <c r="J185" s="47">
        <f t="shared" si="59"/>
        <v>554</v>
      </c>
      <c r="K185" s="188" t="s">
        <v>12</v>
      </c>
      <c r="L185" s="239"/>
    </row>
    <row r="186" spans="1:12" ht="15" customHeight="1" thickBot="1" x14ac:dyDescent="0.25">
      <c r="A186" s="253"/>
      <c r="B186" s="47">
        <f>SUM(C186:D186)</f>
        <v>57</v>
      </c>
      <c r="C186" s="47">
        <f>I186+F186</f>
        <v>45</v>
      </c>
      <c r="D186" s="47">
        <f>J186+G186</f>
        <v>12</v>
      </c>
      <c r="E186" s="47">
        <f>SUM(F186:G186)</f>
        <v>1</v>
      </c>
      <c r="F186" s="47">
        <v>1</v>
      </c>
      <c r="G186" s="47">
        <v>0</v>
      </c>
      <c r="H186" s="47">
        <f>SUM(I186:J186)</f>
        <v>56</v>
      </c>
      <c r="I186" s="47">
        <v>44</v>
      </c>
      <c r="J186" s="47">
        <v>12</v>
      </c>
      <c r="K186" s="188" t="s">
        <v>233</v>
      </c>
      <c r="L186" s="134"/>
    </row>
    <row r="187" spans="1:12" ht="15" customHeight="1" thickBot="1" x14ac:dyDescent="0.25">
      <c r="A187" s="253"/>
      <c r="B187" s="47">
        <f>SUM(C187:D187)</f>
        <v>0</v>
      </c>
      <c r="C187" s="47">
        <f>I187+F187</f>
        <v>0</v>
      </c>
      <c r="D187" s="47">
        <f>J187+G187</f>
        <v>0</v>
      </c>
      <c r="E187" s="47">
        <f>SUM(F187:G187)</f>
        <v>0</v>
      </c>
      <c r="F187" s="47">
        <v>0</v>
      </c>
      <c r="G187" s="47">
        <v>0</v>
      </c>
      <c r="H187" s="47">
        <f>SUM(I187:J187)</f>
        <v>0</v>
      </c>
      <c r="I187" s="47">
        <v>0</v>
      </c>
      <c r="J187" s="47">
        <v>0</v>
      </c>
      <c r="K187" s="188" t="s">
        <v>234</v>
      </c>
      <c r="L187" s="134" t="s">
        <v>382</v>
      </c>
    </row>
    <row r="188" spans="1:12" ht="15" customHeight="1" thickBot="1" x14ac:dyDescent="0.25">
      <c r="A188" s="253"/>
      <c r="B188" s="47">
        <f t="shared" ref="B188:J188" si="60">SUM(B186:B187)</f>
        <v>57</v>
      </c>
      <c r="C188" s="47">
        <f t="shared" si="60"/>
        <v>45</v>
      </c>
      <c r="D188" s="47">
        <f t="shared" si="60"/>
        <v>12</v>
      </c>
      <c r="E188" s="47">
        <f t="shared" si="60"/>
        <v>1</v>
      </c>
      <c r="F188" s="47">
        <f t="shared" si="60"/>
        <v>1</v>
      </c>
      <c r="G188" s="47">
        <f t="shared" si="60"/>
        <v>0</v>
      </c>
      <c r="H188" s="47">
        <f t="shared" si="60"/>
        <v>56</v>
      </c>
      <c r="I188" s="47">
        <f t="shared" si="60"/>
        <v>44</v>
      </c>
      <c r="J188" s="47">
        <f t="shared" si="60"/>
        <v>12</v>
      </c>
      <c r="K188" s="188" t="s">
        <v>12</v>
      </c>
      <c r="L188" s="239"/>
    </row>
    <row r="189" spans="1:12" ht="15" customHeight="1" thickBot="1" x14ac:dyDescent="0.25">
      <c r="A189" s="253"/>
      <c r="B189" s="47">
        <f>SUM(C189:D189)</f>
        <v>270</v>
      </c>
      <c r="C189" s="47">
        <f>I189+F189</f>
        <v>4</v>
      </c>
      <c r="D189" s="47">
        <f>J189+G189</f>
        <v>266</v>
      </c>
      <c r="E189" s="47">
        <f>SUM(F189:G189)</f>
        <v>7</v>
      </c>
      <c r="F189" s="47">
        <v>0</v>
      </c>
      <c r="G189" s="47">
        <v>7</v>
      </c>
      <c r="H189" s="47">
        <f>SUM(I189:J189)</f>
        <v>263</v>
      </c>
      <c r="I189" s="47">
        <v>4</v>
      </c>
      <c r="J189" s="47">
        <v>259</v>
      </c>
      <c r="K189" s="188" t="s">
        <v>233</v>
      </c>
      <c r="L189" s="134"/>
    </row>
    <row r="190" spans="1:12" ht="15" customHeight="1" thickBot="1" x14ac:dyDescent="0.25">
      <c r="A190" s="253"/>
      <c r="B190" s="47">
        <f>SUM(C190:D190)</f>
        <v>0</v>
      </c>
      <c r="C190" s="47">
        <f>I190+F190</f>
        <v>0</v>
      </c>
      <c r="D190" s="47">
        <f>J190+G190</f>
        <v>0</v>
      </c>
      <c r="E190" s="47">
        <f>SUM(F190:G190)</f>
        <v>0</v>
      </c>
      <c r="F190" s="47">
        <v>0</v>
      </c>
      <c r="G190" s="47">
        <v>0</v>
      </c>
      <c r="H190" s="47">
        <f>SUM(I190:J190)</f>
        <v>0</v>
      </c>
      <c r="I190" s="47">
        <v>0</v>
      </c>
      <c r="J190" s="47">
        <v>0</v>
      </c>
      <c r="K190" s="188" t="s">
        <v>234</v>
      </c>
      <c r="L190" s="134" t="s">
        <v>383</v>
      </c>
    </row>
    <row r="191" spans="1:12" ht="15" customHeight="1" thickBot="1" x14ac:dyDescent="0.25">
      <c r="A191" s="253"/>
      <c r="B191" s="47">
        <f t="shared" ref="B191:J191" si="61">SUM(B189:B190)</f>
        <v>270</v>
      </c>
      <c r="C191" s="47">
        <f t="shared" si="61"/>
        <v>4</v>
      </c>
      <c r="D191" s="47">
        <f t="shared" si="61"/>
        <v>266</v>
      </c>
      <c r="E191" s="47">
        <f t="shared" si="61"/>
        <v>7</v>
      </c>
      <c r="F191" s="47">
        <f t="shared" si="61"/>
        <v>0</v>
      </c>
      <c r="G191" s="47">
        <f t="shared" si="61"/>
        <v>7</v>
      </c>
      <c r="H191" s="47">
        <f t="shared" si="61"/>
        <v>263</v>
      </c>
      <c r="I191" s="47">
        <f t="shared" si="61"/>
        <v>4</v>
      </c>
      <c r="J191" s="47">
        <f t="shared" si="61"/>
        <v>259</v>
      </c>
      <c r="K191" s="188" t="s">
        <v>12</v>
      </c>
      <c r="L191" s="239"/>
    </row>
    <row r="192" spans="1:12" ht="15" customHeight="1" thickBot="1" x14ac:dyDescent="0.25">
      <c r="A192" s="253"/>
      <c r="B192" s="47">
        <f>SUM(C192:D192)</f>
        <v>415</v>
      </c>
      <c r="C192" s="47">
        <f>I192+F192</f>
        <v>0</v>
      </c>
      <c r="D192" s="47">
        <f>J192+G192</f>
        <v>415</v>
      </c>
      <c r="E192" s="47">
        <f>SUM(F192:G192)</f>
        <v>2</v>
      </c>
      <c r="F192" s="47">
        <v>0</v>
      </c>
      <c r="G192" s="47">
        <v>2</v>
      </c>
      <c r="H192" s="47">
        <f>SUM(I192:J192)</f>
        <v>413</v>
      </c>
      <c r="I192" s="47">
        <v>0</v>
      </c>
      <c r="J192" s="47">
        <v>413</v>
      </c>
      <c r="K192" s="188" t="s">
        <v>233</v>
      </c>
      <c r="L192" s="134"/>
    </row>
    <row r="193" spans="1:12" ht="15" customHeight="1" thickBot="1" x14ac:dyDescent="0.25">
      <c r="A193" s="253"/>
      <c r="B193" s="47">
        <f>SUM(C193:D193)</f>
        <v>0</v>
      </c>
      <c r="C193" s="47">
        <f>I193+F193</f>
        <v>0</v>
      </c>
      <c r="D193" s="47">
        <f>J193+G193</f>
        <v>0</v>
      </c>
      <c r="E193" s="47">
        <f>SUM(F193:G193)</f>
        <v>0</v>
      </c>
      <c r="F193" s="47">
        <v>0</v>
      </c>
      <c r="G193" s="47">
        <v>0</v>
      </c>
      <c r="H193" s="47">
        <f>SUM(I193:J193)</f>
        <v>0</v>
      </c>
      <c r="I193" s="47">
        <v>0</v>
      </c>
      <c r="J193" s="47">
        <v>0</v>
      </c>
      <c r="K193" s="188" t="s">
        <v>234</v>
      </c>
      <c r="L193" s="134" t="s">
        <v>384</v>
      </c>
    </row>
    <row r="194" spans="1:12" ht="15" customHeight="1" thickBot="1" x14ac:dyDescent="0.25">
      <c r="A194" s="253"/>
      <c r="B194" s="47">
        <f t="shared" ref="B194:J194" si="62">SUM(B192:B193)</f>
        <v>415</v>
      </c>
      <c r="C194" s="47">
        <f t="shared" si="62"/>
        <v>0</v>
      </c>
      <c r="D194" s="47">
        <f t="shared" si="62"/>
        <v>415</v>
      </c>
      <c r="E194" s="47">
        <f t="shared" si="62"/>
        <v>2</v>
      </c>
      <c r="F194" s="47">
        <f t="shared" si="62"/>
        <v>0</v>
      </c>
      <c r="G194" s="47">
        <f t="shared" si="62"/>
        <v>2</v>
      </c>
      <c r="H194" s="47">
        <f t="shared" si="62"/>
        <v>413</v>
      </c>
      <c r="I194" s="47">
        <f t="shared" si="62"/>
        <v>0</v>
      </c>
      <c r="J194" s="47">
        <f t="shared" si="62"/>
        <v>413</v>
      </c>
      <c r="K194" s="188" t="s">
        <v>12</v>
      </c>
      <c r="L194" s="239"/>
    </row>
    <row r="195" spans="1:12" ht="15" customHeight="1" thickBot="1" x14ac:dyDescent="0.25">
      <c r="A195" s="253"/>
      <c r="B195" s="47">
        <f>SUM(C195:D195)</f>
        <v>29</v>
      </c>
      <c r="C195" s="47">
        <f>I195+F195</f>
        <v>0</v>
      </c>
      <c r="D195" s="47">
        <f>J195+G195</f>
        <v>29</v>
      </c>
      <c r="E195" s="47">
        <f>SUM(F195:G195)</f>
        <v>0</v>
      </c>
      <c r="F195" s="47">
        <v>0</v>
      </c>
      <c r="G195" s="47">
        <v>0</v>
      </c>
      <c r="H195" s="47">
        <f>SUM(I195:J195)</f>
        <v>29</v>
      </c>
      <c r="I195" s="47">
        <v>0</v>
      </c>
      <c r="J195" s="47">
        <v>29</v>
      </c>
      <c r="K195" s="188" t="s">
        <v>233</v>
      </c>
      <c r="L195" s="134"/>
    </row>
    <row r="196" spans="1:12" ht="15" customHeight="1" thickBot="1" x14ac:dyDescent="0.25">
      <c r="A196" s="253"/>
      <c r="B196" s="47">
        <f>SUM(C196:D196)</f>
        <v>0</v>
      </c>
      <c r="C196" s="47">
        <f>I196+F196</f>
        <v>0</v>
      </c>
      <c r="D196" s="47">
        <f>J196+G196</f>
        <v>0</v>
      </c>
      <c r="E196" s="47">
        <f>SUM(F196:G196)</f>
        <v>0</v>
      </c>
      <c r="F196" s="47">
        <v>0</v>
      </c>
      <c r="G196" s="47">
        <v>0</v>
      </c>
      <c r="H196" s="47">
        <f>SUM(I196:J196)</f>
        <v>0</v>
      </c>
      <c r="I196" s="47">
        <v>0</v>
      </c>
      <c r="J196" s="47">
        <v>0</v>
      </c>
      <c r="K196" s="188" t="s">
        <v>234</v>
      </c>
      <c r="L196" s="134" t="s">
        <v>385</v>
      </c>
    </row>
    <row r="197" spans="1:12" ht="15" customHeight="1" thickBot="1" x14ac:dyDescent="0.25">
      <c r="A197" s="253"/>
      <c r="B197" s="47">
        <f t="shared" ref="B197:J197" si="63">SUM(B195:B196)</f>
        <v>29</v>
      </c>
      <c r="C197" s="47">
        <f t="shared" si="63"/>
        <v>0</v>
      </c>
      <c r="D197" s="47">
        <f t="shared" si="63"/>
        <v>29</v>
      </c>
      <c r="E197" s="47">
        <f t="shared" si="63"/>
        <v>0</v>
      </c>
      <c r="F197" s="47">
        <f t="shared" si="63"/>
        <v>0</v>
      </c>
      <c r="G197" s="47">
        <f t="shared" si="63"/>
        <v>0</v>
      </c>
      <c r="H197" s="47">
        <f t="shared" si="63"/>
        <v>29</v>
      </c>
      <c r="I197" s="47">
        <f t="shared" si="63"/>
        <v>0</v>
      </c>
      <c r="J197" s="47">
        <f t="shared" si="63"/>
        <v>29</v>
      </c>
      <c r="K197" s="188" t="s">
        <v>12</v>
      </c>
      <c r="L197" s="239"/>
    </row>
    <row r="198" spans="1:12" ht="15" customHeight="1" thickBot="1" x14ac:dyDescent="0.25">
      <c r="A198" s="253"/>
      <c r="B198" s="47">
        <f>SUM(C198:D198)</f>
        <v>364</v>
      </c>
      <c r="C198" s="47">
        <f>I198+F198</f>
        <v>0</v>
      </c>
      <c r="D198" s="47">
        <f>J198+G198</f>
        <v>364</v>
      </c>
      <c r="E198" s="47">
        <f>SUM(F198:G198)</f>
        <v>8</v>
      </c>
      <c r="F198" s="47">
        <v>0</v>
      </c>
      <c r="G198" s="47">
        <v>8</v>
      </c>
      <c r="H198" s="47">
        <f>SUM(I198:J198)</f>
        <v>356</v>
      </c>
      <c r="I198" s="47">
        <v>0</v>
      </c>
      <c r="J198" s="47">
        <v>356</v>
      </c>
      <c r="K198" s="188" t="s">
        <v>233</v>
      </c>
      <c r="L198" s="134"/>
    </row>
    <row r="199" spans="1:12" ht="15" customHeight="1" thickBot="1" x14ac:dyDescent="0.25">
      <c r="A199" s="253"/>
      <c r="B199" s="47">
        <f>SUM(C199:D199)</f>
        <v>0</v>
      </c>
      <c r="C199" s="47">
        <f>I199+F199</f>
        <v>0</v>
      </c>
      <c r="D199" s="47">
        <f>J199+G199</f>
        <v>0</v>
      </c>
      <c r="E199" s="47">
        <f>SUM(F199:G199)</f>
        <v>0</v>
      </c>
      <c r="F199" s="47">
        <v>0</v>
      </c>
      <c r="G199" s="47">
        <v>0</v>
      </c>
      <c r="H199" s="47">
        <f>SUM(I199:J199)</f>
        <v>0</v>
      </c>
      <c r="I199" s="47">
        <v>0</v>
      </c>
      <c r="J199" s="47">
        <v>0</v>
      </c>
      <c r="K199" s="188" t="s">
        <v>234</v>
      </c>
      <c r="L199" s="134" t="s">
        <v>386</v>
      </c>
    </row>
    <row r="200" spans="1:12" ht="15" customHeight="1" thickBot="1" x14ac:dyDescent="0.25">
      <c r="A200" s="253"/>
      <c r="B200" s="47">
        <f t="shared" ref="B200:J200" si="64">SUM(B198:B199)</f>
        <v>364</v>
      </c>
      <c r="C200" s="47">
        <f t="shared" si="64"/>
        <v>0</v>
      </c>
      <c r="D200" s="47">
        <f t="shared" si="64"/>
        <v>364</v>
      </c>
      <c r="E200" s="47">
        <f t="shared" si="64"/>
        <v>8</v>
      </c>
      <c r="F200" s="47">
        <f t="shared" si="64"/>
        <v>0</v>
      </c>
      <c r="G200" s="47">
        <f t="shared" si="64"/>
        <v>8</v>
      </c>
      <c r="H200" s="47">
        <f t="shared" si="64"/>
        <v>356</v>
      </c>
      <c r="I200" s="47">
        <f t="shared" si="64"/>
        <v>0</v>
      </c>
      <c r="J200" s="47">
        <f t="shared" si="64"/>
        <v>356</v>
      </c>
      <c r="K200" s="188" t="s">
        <v>12</v>
      </c>
      <c r="L200" s="239"/>
    </row>
    <row r="201" spans="1:12" ht="15" customHeight="1" thickBot="1" x14ac:dyDescent="0.25">
      <c r="A201" s="253"/>
      <c r="B201" s="47">
        <f>SUM(C201:D201)</f>
        <v>100</v>
      </c>
      <c r="C201" s="47">
        <f>I201+F201</f>
        <v>0</v>
      </c>
      <c r="D201" s="47">
        <f>J201+G201</f>
        <v>100</v>
      </c>
      <c r="E201" s="47">
        <f>SUM(F201:G201)</f>
        <v>0</v>
      </c>
      <c r="F201" s="47">
        <v>0</v>
      </c>
      <c r="G201" s="47">
        <v>0</v>
      </c>
      <c r="H201" s="47">
        <f>SUM(I201:J201)</f>
        <v>100</v>
      </c>
      <c r="I201" s="47">
        <v>0</v>
      </c>
      <c r="J201" s="47">
        <v>100</v>
      </c>
      <c r="K201" s="188" t="s">
        <v>233</v>
      </c>
      <c r="L201" s="134"/>
    </row>
    <row r="202" spans="1:12" ht="15" customHeight="1" thickBot="1" x14ac:dyDescent="0.25">
      <c r="A202" s="253"/>
      <c r="B202" s="47">
        <f>SUM(C202:D202)</f>
        <v>0</v>
      </c>
      <c r="C202" s="47">
        <f>I202+F202</f>
        <v>0</v>
      </c>
      <c r="D202" s="47">
        <f>J202+G202</f>
        <v>0</v>
      </c>
      <c r="E202" s="47">
        <f>SUM(F202:G202)</f>
        <v>0</v>
      </c>
      <c r="F202" s="47">
        <v>0</v>
      </c>
      <c r="G202" s="47">
        <v>0</v>
      </c>
      <c r="H202" s="47">
        <f>SUM(I202:J202)</f>
        <v>0</v>
      </c>
      <c r="I202" s="47">
        <v>0</v>
      </c>
      <c r="J202" s="47">
        <v>0</v>
      </c>
      <c r="K202" s="188" t="s">
        <v>234</v>
      </c>
      <c r="L202" s="134" t="s">
        <v>387</v>
      </c>
    </row>
    <row r="203" spans="1:12" ht="15" customHeight="1" thickBot="1" x14ac:dyDescent="0.25">
      <c r="A203" s="253"/>
      <c r="B203" s="47">
        <f t="shared" ref="B203:J203" si="65">SUM(B201:B202)</f>
        <v>100</v>
      </c>
      <c r="C203" s="47">
        <f t="shared" si="65"/>
        <v>0</v>
      </c>
      <c r="D203" s="47">
        <f t="shared" si="65"/>
        <v>100</v>
      </c>
      <c r="E203" s="47">
        <f t="shared" si="65"/>
        <v>0</v>
      </c>
      <c r="F203" s="47">
        <f t="shared" si="65"/>
        <v>0</v>
      </c>
      <c r="G203" s="47">
        <f t="shared" si="65"/>
        <v>0</v>
      </c>
      <c r="H203" s="47">
        <f t="shared" si="65"/>
        <v>100</v>
      </c>
      <c r="I203" s="47">
        <f t="shared" si="65"/>
        <v>0</v>
      </c>
      <c r="J203" s="47">
        <f t="shared" si="65"/>
        <v>100</v>
      </c>
      <c r="K203" s="188" t="s">
        <v>12</v>
      </c>
      <c r="L203" s="239"/>
    </row>
    <row r="204" spans="1:12" ht="15" customHeight="1" thickBot="1" x14ac:dyDescent="0.25">
      <c r="A204" s="253"/>
      <c r="B204" s="47">
        <f>SUM(C204:D204)</f>
        <v>267</v>
      </c>
      <c r="C204" s="47">
        <f>I204+F204</f>
        <v>0</v>
      </c>
      <c r="D204" s="47">
        <f>J204+G204</f>
        <v>267</v>
      </c>
      <c r="E204" s="47">
        <f>SUM(F204:G204)</f>
        <v>0</v>
      </c>
      <c r="F204" s="47">
        <v>0</v>
      </c>
      <c r="G204" s="47">
        <v>0</v>
      </c>
      <c r="H204" s="47">
        <f>SUM(I204:J204)</f>
        <v>267</v>
      </c>
      <c r="I204" s="47">
        <v>0</v>
      </c>
      <c r="J204" s="47">
        <v>267</v>
      </c>
      <c r="K204" s="188" t="s">
        <v>233</v>
      </c>
      <c r="L204" s="134"/>
    </row>
    <row r="205" spans="1:12" ht="15" customHeight="1" thickBot="1" x14ac:dyDescent="0.25">
      <c r="A205" s="253"/>
      <c r="B205" s="47">
        <f>SUM(C205:D205)</f>
        <v>0</v>
      </c>
      <c r="C205" s="47">
        <f>I205+F205</f>
        <v>0</v>
      </c>
      <c r="D205" s="47">
        <f>J205+G205</f>
        <v>0</v>
      </c>
      <c r="E205" s="47">
        <f>SUM(F205:G205)</f>
        <v>0</v>
      </c>
      <c r="F205" s="47">
        <v>0</v>
      </c>
      <c r="G205" s="47">
        <v>0</v>
      </c>
      <c r="H205" s="47">
        <f>SUM(I205:J205)</f>
        <v>0</v>
      </c>
      <c r="I205" s="47">
        <v>0</v>
      </c>
      <c r="J205" s="47">
        <v>0</v>
      </c>
      <c r="K205" s="188" t="s">
        <v>234</v>
      </c>
      <c r="L205" s="134" t="s">
        <v>388</v>
      </c>
    </row>
    <row r="206" spans="1:12" ht="15" customHeight="1" thickBot="1" x14ac:dyDescent="0.25">
      <c r="A206" s="253"/>
      <c r="B206" s="47">
        <f t="shared" ref="B206:J206" si="66">SUM(B204:B205)</f>
        <v>267</v>
      </c>
      <c r="C206" s="47">
        <f t="shared" si="66"/>
        <v>0</v>
      </c>
      <c r="D206" s="47">
        <f t="shared" si="66"/>
        <v>267</v>
      </c>
      <c r="E206" s="47">
        <f t="shared" si="66"/>
        <v>0</v>
      </c>
      <c r="F206" s="47">
        <f t="shared" si="66"/>
        <v>0</v>
      </c>
      <c r="G206" s="47">
        <f t="shared" si="66"/>
        <v>0</v>
      </c>
      <c r="H206" s="47">
        <f t="shared" si="66"/>
        <v>267</v>
      </c>
      <c r="I206" s="47">
        <f t="shared" si="66"/>
        <v>0</v>
      </c>
      <c r="J206" s="47">
        <f t="shared" si="66"/>
        <v>267</v>
      </c>
      <c r="K206" s="188" t="s">
        <v>12</v>
      </c>
      <c r="L206" s="239"/>
    </row>
    <row r="207" spans="1:12" ht="15" customHeight="1" thickBot="1" x14ac:dyDescent="0.25">
      <c r="A207" s="253"/>
      <c r="B207" s="47">
        <f>SUM(C207:D207)</f>
        <v>30</v>
      </c>
      <c r="C207" s="47">
        <f>I207+F207</f>
        <v>0</v>
      </c>
      <c r="D207" s="47">
        <f>J207+G207</f>
        <v>30</v>
      </c>
      <c r="E207" s="47">
        <f>SUM(F207:G207)</f>
        <v>0</v>
      </c>
      <c r="F207" s="47">
        <v>0</v>
      </c>
      <c r="G207" s="47">
        <v>0</v>
      </c>
      <c r="H207" s="47">
        <f>SUM(I207:J207)</f>
        <v>30</v>
      </c>
      <c r="I207" s="47">
        <v>0</v>
      </c>
      <c r="J207" s="47">
        <v>30</v>
      </c>
      <c r="K207" s="188" t="s">
        <v>233</v>
      </c>
      <c r="L207" s="134"/>
    </row>
    <row r="208" spans="1:12" ht="15" customHeight="1" thickBot="1" x14ac:dyDescent="0.25">
      <c r="A208" s="253"/>
      <c r="B208" s="47">
        <f>SUM(C208:D208)</f>
        <v>0</v>
      </c>
      <c r="C208" s="47">
        <f>I208+F208</f>
        <v>0</v>
      </c>
      <c r="D208" s="47">
        <f>J208+G208</f>
        <v>0</v>
      </c>
      <c r="E208" s="47">
        <f>SUM(F208:G208)</f>
        <v>0</v>
      </c>
      <c r="F208" s="47">
        <v>0</v>
      </c>
      <c r="G208" s="47">
        <v>0</v>
      </c>
      <c r="H208" s="47">
        <f>SUM(I208:J208)</f>
        <v>0</v>
      </c>
      <c r="I208" s="47">
        <v>0</v>
      </c>
      <c r="J208" s="47">
        <v>0</v>
      </c>
      <c r="K208" s="188" t="s">
        <v>234</v>
      </c>
      <c r="L208" s="134" t="s">
        <v>389</v>
      </c>
    </row>
    <row r="209" spans="1:12" ht="15" customHeight="1" thickBot="1" x14ac:dyDescent="0.25">
      <c r="A209" s="253"/>
      <c r="B209" s="47">
        <f t="shared" ref="B209:J209" si="67">SUM(B207:B208)</f>
        <v>30</v>
      </c>
      <c r="C209" s="47">
        <f t="shared" si="67"/>
        <v>0</v>
      </c>
      <c r="D209" s="47">
        <f t="shared" si="67"/>
        <v>30</v>
      </c>
      <c r="E209" s="47">
        <f t="shared" si="67"/>
        <v>0</v>
      </c>
      <c r="F209" s="47">
        <f t="shared" si="67"/>
        <v>0</v>
      </c>
      <c r="G209" s="47">
        <f t="shared" si="67"/>
        <v>0</v>
      </c>
      <c r="H209" s="47">
        <f t="shared" si="67"/>
        <v>30</v>
      </c>
      <c r="I209" s="47">
        <f t="shared" si="67"/>
        <v>0</v>
      </c>
      <c r="J209" s="47">
        <f t="shared" si="67"/>
        <v>30</v>
      </c>
      <c r="K209" s="188" t="s">
        <v>12</v>
      </c>
      <c r="L209" s="239"/>
    </row>
    <row r="210" spans="1:12" ht="15" customHeight="1" thickBot="1" x14ac:dyDescent="0.25">
      <c r="A210" s="253"/>
      <c r="B210" s="47">
        <f>SUM(C210:D210)</f>
        <v>762</v>
      </c>
      <c r="C210" s="47">
        <f>I210+F210</f>
        <v>0</v>
      </c>
      <c r="D210" s="47">
        <f>J210+G210</f>
        <v>762</v>
      </c>
      <c r="E210" s="47">
        <f>SUM(F210:G210)</f>
        <v>3</v>
      </c>
      <c r="F210" s="47">
        <v>0</v>
      </c>
      <c r="G210" s="47">
        <v>3</v>
      </c>
      <c r="H210" s="47">
        <f>SUM(I210:J210)</f>
        <v>759</v>
      </c>
      <c r="I210" s="47">
        <v>0</v>
      </c>
      <c r="J210" s="47">
        <v>759</v>
      </c>
      <c r="K210" s="188" t="s">
        <v>233</v>
      </c>
      <c r="L210" s="134"/>
    </row>
    <row r="211" spans="1:12" ht="15" customHeight="1" thickBot="1" x14ac:dyDescent="0.25">
      <c r="A211" s="253"/>
      <c r="B211" s="47">
        <f>SUM(C211:D211)</f>
        <v>0</v>
      </c>
      <c r="C211" s="47">
        <f>I211+F211</f>
        <v>0</v>
      </c>
      <c r="D211" s="47">
        <f>J211+G211</f>
        <v>0</v>
      </c>
      <c r="E211" s="47">
        <f>SUM(F211:G211)</f>
        <v>0</v>
      </c>
      <c r="F211" s="47">
        <v>0</v>
      </c>
      <c r="G211" s="47">
        <v>0</v>
      </c>
      <c r="H211" s="47">
        <f>SUM(I211:J211)</f>
        <v>0</v>
      </c>
      <c r="I211" s="47">
        <v>0</v>
      </c>
      <c r="J211" s="47">
        <v>0</v>
      </c>
      <c r="K211" s="188" t="s">
        <v>234</v>
      </c>
      <c r="L211" s="134" t="s">
        <v>390</v>
      </c>
    </row>
    <row r="212" spans="1:12" ht="15" customHeight="1" thickBot="1" x14ac:dyDescent="0.25">
      <c r="A212" s="253"/>
      <c r="B212" s="47">
        <f t="shared" ref="B212:J212" si="68">SUM(B210:B211)</f>
        <v>762</v>
      </c>
      <c r="C212" s="47">
        <f t="shared" si="68"/>
        <v>0</v>
      </c>
      <c r="D212" s="47">
        <f t="shared" si="68"/>
        <v>762</v>
      </c>
      <c r="E212" s="47">
        <f t="shared" si="68"/>
        <v>3</v>
      </c>
      <c r="F212" s="47">
        <f t="shared" si="68"/>
        <v>0</v>
      </c>
      <c r="G212" s="47">
        <f t="shared" si="68"/>
        <v>3</v>
      </c>
      <c r="H212" s="47">
        <f t="shared" si="68"/>
        <v>759</v>
      </c>
      <c r="I212" s="47">
        <f t="shared" si="68"/>
        <v>0</v>
      </c>
      <c r="J212" s="47">
        <f t="shared" si="68"/>
        <v>759</v>
      </c>
      <c r="K212" s="188" t="s">
        <v>12</v>
      </c>
      <c r="L212" s="239"/>
    </row>
    <row r="213" spans="1:12" ht="15" customHeight="1" thickBot="1" x14ac:dyDescent="0.25">
      <c r="A213" s="253"/>
      <c r="B213" s="47">
        <f>SUM(C213:D213)</f>
        <v>41</v>
      </c>
      <c r="C213" s="47">
        <f>I213+F213</f>
        <v>41</v>
      </c>
      <c r="D213" s="47">
        <f>J213+G213</f>
        <v>0</v>
      </c>
      <c r="E213" s="47">
        <f>SUM(F213:G213)</f>
        <v>0</v>
      </c>
      <c r="F213" s="47">
        <v>0</v>
      </c>
      <c r="G213" s="47">
        <v>0</v>
      </c>
      <c r="H213" s="47">
        <f>SUM(I213:J213)</f>
        <v>41</v>
      </c>
      <c r="I213" s="47">
        <v>41</v>
      </c>
      <c r="J213" s="47">
        <v>0</v>
      </c>
      <c r="K213" s="188" t="s">
        <v>233</v>
      </c>
      <c r="L213" s="134"/>
    </row>
    <row r="214" spans="1:12" ht="15" customHeight="1" thickBot="1" x14ac:dyDescent="0.25">
      <c r="A214" s="253"/>
      <c r="B214" s="47">
        <f>SUM(C214:D214)</f>
        <v>0</v>
      </c>
      <c r="C214" s="47">
        <f>I214+F214</f>
        <v>0</v>
      </c>
      <c r="D214" s="47">
        <f>J214+G214</f>
        <v>0</v>
      </c>
      <c r="E214" s="47">
        <f>SUM(F214:G214)</f>
        <v>0</v>
      </c>
      <c r="F214" s="47">
        <v>0</v>
      </c>
      <c r="G214" s="47">
        <v>0</v>
      </c>
      <c r="H214" s="47">
        <f>SUM(I214:J214)</f>
        <v>0</v>
      </c>
      <c r="I214" s="47">
        <v>0</v>
      </c>
      <c r="J214" s="47">
        <v>0</v>
      </c>
      <c r="K214" s="188" t="s">
        <v>234</v>
      </c>
      <c r="L214" s="134" t="s">
        <v>391</v>
      </c>
    </row>
    <row r="215" spans="1:12" ht="15" customHeight="1" thickBot="1" x14ac:dyDescent="0.25">
      <c r="A215" s="253"/>
      <c r="B215" s="47">
        <f t="shared" ref="B215:J215" si="69">SUM(B213:B214)</f>
        <v>41</v>
      </c>
      <c r="C215" s="47">
        <f t="shared" si="69"/>
        <v>41</v>
      </c>
      <c r="D215" s="47">
        <f t="shared" si="69"/>
        <v>0</v>
      </c>
      <c r="E215" s="47">
        <f t="shared" si="69"/>
        <v>0</v>
      </c>
      <c r="F215" s="47">
        <f t="shared" si="69"/>
        <v>0</v>
      </c>
      <c r="G215" s="47">
        <f t="shared" si="69"/>
        <v>0</v>
      </c>
      <c r="H215" s="47">
        <f t="shared" si="69"/>
        <v>41</v>
      </c>
      <c r="I215" s="47">
        <f t="shared" si="69"/>
        <v>41</v>
      </c>
      <c r="J215" s="47">
        <f t="shared" si="69"/>
        <v>0</v>
      </c>
      <c r="K215" s="188" t="s">
        <v>12</v>
      </c>
      <c r="L215" s="239"/>
    </row>
    <row r="216" spans="1:12" ht="15" customHeight="1" thickBot="1" x14ac:dyDescent="0.25">
      <c r="A216" s="253"/>
      <c r="B216" s="47">
        <f>SUM(C216:D216)</f>
        <v>536</v>
      </c>
      <c r="C216" s="47">
        <f>I216+F216</f>
        <v>0</v>
      </c>
      <c r="D216" s="47">
        <f>J216+G216</f>
        <v>536</v>
      </c>
      <c r="E216" s="47">
        <f>SUM(F216:G216)</f>
        <v>0</v>
      </c>
      <c r="F216" s="47">
        <v>0</v>
      </c>
      <c r="G216" s="47">
        <v>0</v>
      </c>
      <c r="H216" s="47">
        <f>SUM(I216:J216)</f>
        <v>536</v>
      </c>
      <c r="I216" s="47">
        <v>0</v>
      </c>
      <c r="J216" s="47">
        <v>536</v>
      </c>
      <c r="K216" s="188" t="s">
        <v>233</v>
      </c>
      <c r="L216" s="134"/>
    </row>
    <row r="217" spans="1:12" ht="15" customHeight="1" thickBot="1" x14ac:dyDescent="0.25">
      <c r="A217" s="253"/>
      <c r="B217" s="47">
        <f>SUM(C217:D217)</f>
        <v>0</v>
      </c>
      <c r="C217" s="47">
        <f>I217+F217</f>
        <v>0</v>
      </c>
      <c r="D217" s="47">
        <f>J217+G217</f>
        <v>0</v>
      </c>
      <c r="E217" s="47">
        <f>SUM(F217:G217)</f>
        <v>0</v>
      </c>
      <c r="F217" s="47">
        <v>0</v>
      </c>
      <c r="G217" s="47">
        <v>0</v>
      </c>
      <c r="H217" s="47">
        <f>SUM(I217:J217)</f>
        <v>0</v>
      </c>
      <c r="I217" s="47">
        <v>0</v>
      </c>
      <c r="J217" s="47">
        <v>0</v>
      </c>
      <c r="K217" s="188" t="s">
        <v>234</v>
      </c>
      <c r="L217" s="134" t="s">
        <v>392</v>
      </c>
    </row>
    <row r="218" spans="1:12" ht="15" customHeight="1" thickBot="1" x14ac:dyDescent="0.25">
      <c r="A218" s="253"/>
      <c r="B218" s="47">
        <f t="shared" ref="B218:J218" si="70">SUM(B216:B217)</f>
        <v>536</v>
      </c>
      <c r="C218" s="47">
        <f t="shared" si="70"/>
        <v>0</v>
      </c>
      <c r="D218" s="47">
        <f t="shared" si="70"/>
        <v>536</v>
      </c>
      <c r="E218" s="47">
        <f t="shared" si="70"/>
        <v>0</v>
      </c>
      <c r="F218" s="47">
        <f t="shared" si="70"/>
        <v>0</v>
      </c>
      <c r="G218" s="47">
        <f t="shared" si="70"/>
        <v>0</v>
      </c>
      <c r="H218" s="47">
        <f t="shared" si="70"/>
        <v>536</v>
      </c>
      <c r="I218" s="47">
        <f t="shared" si="70"/>
        <v>0</v>
      </c>
      <c r="J218" s="47">
        <f t="shared" si="70"/>
        <v>536</v>
      </c>
      <c r="K218" s="188" t="s">
        <v>12</v>
      </c>
      <c r="L218" s="239"/>
    </row>
    <row r="219" spans="1:12" ht="15" customHeight="1" thickBot="1" x14ac:dyDescent="0.25">
      <c r="A219" s="253"/>
      <c r="B219" s="47">
        <f>SUM(C219:D219)</f>
        <v>365</v>
      </c>
      <c r="C219" s="47">
        <f>I219+F219</f>
        <v>0</v>
      </c>
      <c r="D219" s="47">
        <f>J219+G219</f>
        <v>365</v>
      </c>
      <c r="E219" s="47">
        <f>SUM(F219:G219)</f>
        <v>0</v>
      </c>
      <c r="F219" s="47">
        <v>0</v>
      </c>
      <c r="G219" s="47">
        <v>0</v>
      </c>
      <c r="H219" s="47">
        <f>SUM(I219:J219)</f>
        <v>365</v>
      </c>
      <c r="I219" s="47">
        <v>0</v>
      </c>
      <c r="J219" s="47">
        <v>365</v>
      </c>
      <c r="K219" s="188" t="s">
        <v>233</v>
      </c>
      <c r="L219" s="134"/>
    </row>
    <row r="220" spans="1:12" ht="15" customHeight="1" thickBot="1" x14ac:dyDescent="0.25">
      <c r="A220" s="253"/>
      <c r="B220" s="47">
        <f>SUM(C220:D220)</f>
        <v>0</v>
      </c>
      <c r="C220" s="47">
        <f>I220+F220</f>
        <v>0</v>
      </c>
      <c r="D220" s="47">
        <f>J220+G220</f>
        <v>0</v>
      </c>
      <c r="E220" s="47">
        <f>SUM(F220:G220)</f>
        <v>0</v>
      </c>
      <c r="F220" s="47">
        <v>0</v>
      </c>
      <c r="G220" s="47">
        <v>0</v>
      </c>
      <c r="H220" s="47">
        <f>SUM(I220:J220)</f>
        <v>0</v>
      </c>
      <c r="I220" s="47">
        <v>0</v>
      </c>
      <c r="J220" s="47">
        <v>0</v>
      </c>
      <c r="K220" s="188" t="s">
        <v>234</v>
      </c>
      <c r="L220" s="134" t="s">
        <v>393</v>
      </c>
    </row>
    <row r="221" spans="1:12" ht="15" customHeight="1" thickBot="1" x14ac:dyDescent="0.25">
      <c r="A221" s="253"/>
      <c r="B221" s="47">
        <f t="shared" ref="B221:J221" si="71">SUM(B219:B220)</f>
        <v>365</v>
      </c>
      <c r="C221" s="47">
        <f t="shared" si="71"/>
        <v>0</v>
      </c>
      <c r="D221" s="47">
        <f t="shared" si="71"/>
        <v>365</v>
      </c>
      <c r="E221" s="47">
        <f t="shared" si="71"/>
        <v>0</v>
      </c>
      <c r="F221" s="47">
        <f t="shared" si="71"/>
        <v>0</v>
      </c>
      <c r="G221" s="47">
        <f t="shared" si="71"/>
        <v>0</v>
      </c>
      <c r="H221" s="47">
        <f t="shared" si="71"/>
        <v>365</v>
      </c>
      <c r="I221" s="47">
        <f t="shared" si="71"/>
        <v>0</v>
      </c>
      <c r="J221" s="47">
        <f t="shared" si="71"/>
        <v>365</v>
      </c>
      <c r="K221" s="188" t="s">
        <v>12</v>
      </c>
      <c r="L221" s="239"/>
    </row>
    <row r="222" spans="1:12" ht="15" customHeight="1" thickBot="1" x14ac:dyDescent="0.25">
      <c r="A222" s="253"/>
      <c r="B222" s="47">
        <f>SUM(C222:D222)</f>
        <v>138</v>
      </c>
      <c r="C222" s="47">
        <f>I222+F222</f>
        <v>34</v>
      </c>
      <c r="D222" s="47">
        <f>J222+G222</f>
        <v>104</v>
      </c>
      <c r="E222" s="47">
        <f>SUM(F222:G222)</f>
        <v>0</v>
      </c>
      <c r="F222" s="47">
        <v>0</v>
      </c>
      <c r="G222" s="47">
        <v>0</v>
      </c>
      <c r="H222" s="47">
        <f>SUM(I222:J222)</f>
        <v>138</v>
      </c>
      <c r="I222" s="47">
        <v>34</v>
      </c>
      <c r="J222" s="47">
        <v>104</v>
      </c>
      <c r="K222" s="188" t="s">
        <v>233</v>
      </c>
      <c r="L222" s="134"/>
    </row>
    <row r="223" spans="1:12" ht="15" customHeight="1" thickBot="1" x14ac:dyDescent="0.25">
      <c r="A223" s="253"/>
      <c r="B223" s="47">
        <f>SUM(C223:D223)</f>
        <v>0</v>
      </c>
      <c r="C223" s="47">
        <f>I223+F223</f>
        <v>0</v>
      </c>
      <c r="D223" s="47">
        <f>J223+G223</f>
        <v>0</v>
      </c>
      <c r="E223" s="47">
        <f>SUM(F223:G223)</f>
        <v>0</v>
      </c>
      <c r="F223" s="47">
        <v>0</v>
      </c>
      <c r="G223" s="47">
        <v>0</v>
      </c>
      <c r="H223" s="47">
        <f>SUM(I223:J223)</f>
        <v>0</v>
      </c>
      <c r="I223" s="47">
        <v>0</v>
      </c>
      <c r="J223" s="47">
        <v>0</v>
      </c>
      <c r="K223" s="188" t="s">
        <v>234</v>
      </c>
      <c r="L223" s="134" t="s">
        <v>394</v>
      </c>
    </row>
    <row r="224" spans="1:12" ht="15" customHeight="1" thickBot="1" x14ac:dyDescent="0.25">
      <c r="A224" s="253"/>
      <c r="B224" s="47">
        <f t="shared" ref="B224:J224" si="72">SUM(B222:B223)</f>
        <v>138</v>
      </c>
      <c r="C224" s="47">
        <f t="shared" si="72"/>
        <v>34</v>
      </c>
      <c r="D224" s="47">
        <f t="shared" si="72"/>
        <v>104</v>
      </c>
      <c r="E224" s="47">
        <f t="shared" si="72"/>
        <v>0</v>
      </c>
      <c r="F224" s="47">
        <f t="shared" si="72"/>
        <v>0</v>
      </c>
      <c r="G224" s="47">
        <f t="shared" si="72"/>
        <v>0</v>
      </c>
      <c r="H224" s="47">
        <f t="shared" si="72"/>
        <v>138</v>
      </c>
      <c r="I224" s="47">
        <f t="shared" si="72"/>
        <v>34</v>
      </c>
      <c r="J224" s="47">
        <f t="shared" si="72"/>
        <v>104</v>
      </c>
      <c r="K224" s="188" t="s">
        <v>12</v>
      </c>
      <c r="L224" s="239"/>
    </row>
    <row r="225" spans="1:12" ht="15" customHeight="1" thickBot="1" x14ac:dyDescent="0.25">
      <c r="A225" s="253"/>
      <c r="B225" s="47">
        <f>SUM(C225:D225)</f>
        <v>542</v>
      </c>
      <c r="C225" s="47">
        <f>I225+F225</f>
        <v>0</v>
      </c>
      <c r="D225" s="47">
        <f>J225+G225</f>
        <v>542</v>
      </c>
      <c r="E225" s="47">
        <f>SUM(F225:G225)</f>
        <v>0</v>
      </c>
      <c r="F225" s="47">
        <v>0</v>
      </c>
      <c r="G225" s="47">
        <v>0</v>
      </c>
      <c r="H225" s="47">
        <f>SUM(I225:J225)</f>
        <v>542</v>
      </c>
      <c r="I225" s="47">
        <v>0</v>
      </c>
      <c r="J225" s="47">
        <v>542</v>
      </c>
      <c r="K225" s="188" t="s">
        <v>233</v>
      </c>
      <c r="L225" s="134"/>
    </row>
    <row r="226" spans="1:12" ht="15" customHeight="1" thickBot="1" x14ac:dyDescent="0.25">
      <c r="A226" s="253"/>
      <c r="B226" s="47">
        <f>SUM(C226:D226)</f>
        <v>0</v>
      </c>
      <c r="C226" s="47">
        <f>I226+F226</f>
        <v>0</v>
      </c>
      <c r="D226" s="47">
        <f>J226+G226</f>
        <v>0</v>
      </c>
      <c r="E226" s="47">
        <f>SUM(F226:G226)</f>
        <v>0</v>
      </c>
      <c r="F226" s="47">
        <v>0</v>
      </c>
      <c r="G226" s="47">
        <v>0</v>
      </c>
      <c r="H226" s="47">
        <f>SUM(I226:J226)</f>
        <v>0</v>
      </c>
      <c r="I226" s="47">
        <v>0</v>
      </c>
      <c r="J226" s="47">
        <v>0</v>
      </c>
      <c r="K226" s="188" t="s">
        <v>234</v>
      </c>
      <c r="L226" s="134" t="s">
        <v>395</v>
      </c>
    </row>
    <row r="227" spans="1:12" ht="15" customHeight="1" thickBot="1" x14ac:dyDescent="0.25">
      <c r="A227" s="253"/>
      <c r="B227" s="47">
        <f t="shared" ref="B227:J227" si="73">SUM(B225:B226)</f>
        <v>542</v>
      </c>
      <c r="C227" s="47">
        <f t="shared" si="73"/>
        <v>0</v>
      </c>
      <c r="D227" s="47">
        <f t="shared" si="73"/>
        <v>542</v>
      </c>
      <c r="E227" s="47">
        <f t="shared" si="73"/>
        <v>0</v>
      </c>
      <c r="F227" s="47">
        <f t="shared" si="73"/>
        <v>0</v>
      </c>
      <c r="G227" s="47">
        <f t="shared" si="73"/>
        <v>0</v>
      </c>
      <c r="H227" s="47">
        <f t="shared" si="73"/>
        <v>542</v>
      </c>
      <c r="I227" s="47">
        <f t="shared" si="73"/>
        <v>0</v>
      </c>
      <c r="J227" s="47">
        <f t="shared" si="73"/>
        <v>542</v>
      </c>
      <c r="K227" s="188" t="s">
        <v>12</v>
      </c>
      <c r="L227" s="239"/>
    </row>
    <row r="228" spans="1:12" ht="15" customHeight="1" thickBot="1" x14ac:dyDescent="0.25">
      <c r="A228" s="253"/>
      <c r="B228" s="47">
        <f>SUM(C228:D228)</f>
        <v>293</v>
      </c>
      <c r="C228" s="47">
        <f>I228+F228</f>
        <v>0</v>
      </c>
      <c r="D228" s="47">
        <f>J228+G228</f>
        <v>293</v>
      </c>
      <c r="E228" s="47">
        <f>SUM(F228:G228)</f>
        <v>1</v>
      </c>
      <c r="F228" s="47">
        <v>0</v>
      </c>
      <c r="G228" s="47">
        <v>1</v>
      </c>
      <c r="H228" s="47">
        <f>SUM(I228:J228)</f>
        <v>292</v>
      </c>
      <c r="I228" s="47">
        <v>0</v>
      </c>
      <c r="J228" s="47">
        <v>292</v>
      </c>
      <c r="K228" s="188" t="s">
        <v>233</v>
      </c>
      <c r="L228" s="134"/>
    </row>
    <row r="229" spans="1:12" ht="15" customHeight="1" thickBot="1" x14ac:dyDescent="0.25">
      <c r="A229" s="253"/>
      <c r="B229" s="47">
        <f>SUM(C229:D229)</f>
        <v>0</v>
      </c>
      <c r="C229" s="47">
        <f>I229+F229</f>
        <v>0</v>
      </c>
      <c r="D229" s="47">
        <f>J229+G229</f>
        <v>0</v>
      </c>
      <c r="E229" s="47">
        <f>SUM(F229:G229)</f>
        <v>0</v>
      </c>
      <c r="F229" s="47">
        <v>0</v>
      </c>
      <c r="G229" s="47">
        <v>0</v>
      </c>
      <c r="H229" s="47">
        <f>SUM(I229:J229)</f>
        <v>0</v>
      </c>
      <c r="I229" s="47">
        <v>0</v>
      </c>
      <c r="J229" s="47">
        <v>0</v>
      </c>
      <c r="K229" s="188" t="s">
        <v>234</v>
      </c>
      <c r="L229" s="134" t="s">
        <v>396</v>
      </c>
    </row>
    <row r="230" spans="1:12" ht="15" customHeight="1" thickBot="1" x14ac:dyDescent="0.25">
      <c r="A230" s="253"/>
      <c r="B230" s="47">
        <f t="shared" ref="B230:J230" si="74">SUM(B228:B229)</f>
        <v>293</v>
      </c>
      <c r="C230" s="47">
        <f t="shared" si="74"/>
        <v>0</v>
      </c>
      <c r="D230" s="47">
        <f t="shared" si="74"/>
        <v>293</v>
      </c>
      <c r="E230" s="47">
        <f t="shared" si="74"/>
        <v>1</v>
      </c>
      <c r="F230" s="47">
        <f t="shared" si="74"/>
        <v>0</v>
      </c>
      <c r="G230" s="47">
        <f t="shared" si="74"/>
        <v>1</v>
      </c>
      <c r="H230" s="47">
        <f t="shared" si="74"/>
        <v>292</v>
      </c>
      <c r="I230" s="47">
        <f t="shared" si="74"/>
        <v>0</v>
      </c>
      <c r="J230" s="47">
        <f t="shared" si="74"/>
        <v>292</v>
      </c>
      <c r="K230" s="188" t="s">
        <v>12</v>
      </c>
      <c r="L230" s="239"/>
    </row>
    <row r="231" spans="1:12" ht="15" customHeight="1" thickBot="1" x14ac:dyDescent="0.25">
      <c r="A231" s="253"/>
      <c r="B231" s="47">
        <f>SUM(C231:D231)</f>
        <v>93</v>
      </c>
      <c r="C231" s="47">
        <f>I231+F231</f>
        <v>56</v>
      </c>
      <c r="D231" s="47">
        <f>J231+G231</f>
        <v>37</v>
      </c>
      <c r="E231" s="47">
        <f>SUM(F231:G231)</f>
        <v>1</v>
      </c>
      <c r="F231" s="47">
        <v>1</v>
      </c>
      <c r="G231" s="47">
        <v>0</v>
      </c>
      <c r="H231" s="47">
        <f>SUM(I231:J231)</f>
        <v>92</v>
      </c>
      <c r="I231" s="47">
        <v>55</v>
      </c>
      <c r="J231" s="47">
        <v>37</v>
      </c>
      <c r="K231" s="188" t="s">
        <v>233</v>
      </c>
      <c r="L231" s="134"/>
    </row>
    <row r="232" spans="1:12" ht="15" customHeight="1" thickBot="1" x14ac:dyDescent="0.25">
      <c r="A232" s="253"/>
      <c r="B232" s="47">
        <f>SUM(C232:D232)</f>
        <v>0</v>
      </c>
      <c r="C232" s="47">
        <f>I232+F232</f>
        <v>0</v>
      </c>
      <c r="D232" s="47">
        <f>J232+G232</f>
        <v>0</v>
      </c>
      <c r="E232" s="47">
        <f>SUM(F232:G232)</f>
        <v>0</v>
      </c>
      <c r="F232" s="47">
        <v>0</v>
      </c>
      <c r="G232" s="47">
        <v>0</v>
      </c>
      <c r="H232" s="47">
        <f>SUM(I232:J232)</f>
        <v>0</v>
      </c>
      <c r="I232" s="47">
        <v>0</v>
      </c>
      <c r="J232" s="47">
        <v>0</v>
      </c>
      <c r="K232" s="188" t="s">
        <v>234</v>
      </c>
      <c r="L232" s="134" t="s">
        <v>397</v>
      </c>
    </row>
    <row r="233" spans="1:12" ht="15" customHeight="1" thickBot="1" x14ac:dyDescent="0.25">
      <c r="A233" s="253"/>
      <c r="B233" s="47">
        <f t="shared" ref="B233:J233" si="75">SUM(B231:B232)</f>
        <v>93</v>
      </c>
      <c r="C233" s="47">
        <f t="shared" si="75"/>
        <v>56</v>
      </c>
      <c r="D233" s="47">
        <f t="shared" si="75"/>
        <v>37</v>
      </c>
      <c r="E233" s="47">
        <f t="shared" si="75"/>
        <v>1</v>
      </c>
      <c r="F233" s="47">
        <f t="shared" si="75"/>
        <v>1</v>
      </c>
      <c r="G233" s="47">
        <f t="shared" si="75"/>
        <v>0</v>
      </c>
      <c r="H233" s="47">
        <f t="shared" si="75"/>
        <v>92</v>
      </c>
      <c r="I233" s="47">
        <f t="shared" si="75"/>
        <v>55</v>
      </c>
      <c r="J233" s="47">
        <f t="shared" si="75"/>
        <v>37</v>
      </c>
      <c r="K233" s="188" t="s">
        <v>12</v>
      </c>
      <c r="L233" s="239"/>
    </row>
    <row r="234" spans="1:12" ht="15" customHeight="1" thickBot="1" x14ac:dyDescent="0.25">
      <c r="A234" s="253"/>
      <c r="B234" s="47">
        <f>SUM(C234:D234)</f>
        <v>110</v>
      </c>
      <c r="C234" s="47">
        <f>I234+F234</f>
        <v>16</v>
      </c>
      <c r="D234" s="47">
        <f>J234+G234</f>
        <v>94</v>
      </c>
      <c r="E234" s="47">
        <f>SUM(F234:G234)</f>
        <v>0</v>
      </c>
      <c r="F234" s="47">
        <v>0</v>
      </c>
      <c r="G234" s="47">
        <v>0</v>
      </c>
      <c r="H234" s="47">
        <f>SUM(I234:J234)</f>
        <v>110</v>
      </c>
      <c r="I234" s="47">
        <v>16</v>
      </c>
      <c r="J234" s="47">
        <v>94</v>
      </c>
      <c r="K234" s="188" t="s">
        <v>233</v>
      </c>
      <c r="L234" s="134"/>
    </row>
    <row r="235" spans="1:12" ht="15" customHeight="1" thickBot="1" x14ac:dyDescent="0.25">
      <c r="A235" s="253"/>
      <c r="B235" s="47">
        <f>SUM(C235:D235)</f>
        <v>0</v>
      </c>
      <c r="C235" s="47">
        <f>I235+F235</f>
        <v>0</v>
      </c>
      <c r="D235" s="47">
        <f>J235+G235</f>
        <v>0</v>
      </c>
      <c r="E235" s="47">
        <f>SUM(F235:G235)</f>
        <v>0</v>
      </c>
      <c r="F235" s="47">
        <v>0</v>
      </c>
      <c r="G235" s="47">
        <v>0</v>
      </c>
      <c r="H235" s="47">
        <f>SUM(I235:J235)</f>
        <v>0</v>
      </c>
      <c r="I235" s="47">
        <v>0</v>
      </c>
      <c r="J235" s="47">
        <v>0</v>
      </c>
      <c r="K235" s="188" t="s">
        <v>234</v>
      </c>
      <c r="L235" s="134" t="s">
        <v>398</v>
      </c>
    </row>
    <row r="236" spans="1:12" ht="15" customHeight="1" thickBot="1" x14ac:dyDescent="0.25">
      <c r="A236" s="253"/>
      <c r="B236" s="47">
        <f t="shared" ref="B236:J236" si="76">SUM(B234:B235)</f>
        <v>110</v>
      </c>
      <c r="C236" s="47">
        <f t="shared" si="76"/>
        <v>16</v>
      </c>
      <c r="D236" s="47">
        <f t="shared" si="76"/>
        <v>94</v>
      </c>
      <c r="E236" s="47">
        <f t="shared" si="76"/>
        <v>0</v>
      </c>
      <c r="F236" s="47">
        <f t="shared" si="76"/>
        <v>0</v>
      </c>
      <c r="G236" s="47">
        <f t="shared" si="76"/>
        <v>0</v>
      </c>
      <c r="H236" s="47">
        <f t="shared" si="76"/>
        <v>110</v>
      </c>
      <c r="I236" s="47">
        <f t="shared" si="76"/>
        <v>16</v>
      </c>
      <c r="J236" s="47">
        <f t="shared" si="76"/>
        <v>94</v>
      </c>
      <c r="K236" s="188" t="s">
        <v>12</v>
      </c>
      <c r="L236" s="239"/>
    </row>
    <row r="237" spans="1:12" ht="15" customHeight="1" thickBot="1" x14ac:dyDescent="0.25">
      <c r="A237" s="253"/>
      <c r="B237" s="47">
        <f>SUM(C237:D237)</f>
        <v>800</v>
      </c>
      <c r="C237" s="47">
        <f>I237+F237</f>
        <v>0</v>
      </c>
      <c r="D237" s="47">
        <f>J237+G237</f>
        <v>800</v>
      </c>
      <c r="E237" s="47">
        <f>SUM(F237:G237)</f>
        <v>1</v>
      </c>
      <c r="F237" s="47">
        <v>0</v>
      </c>
      <c r="G237" s="47">
        <v>1</v>
      </c>
      <c r="H237" s="47">
        <f>SUM(I237:J237)</f>
        <v>799</v>
      </c>
      <c r="I237" s="47">
        <v>0</v>
      </c>
      <c r="J237" s="47">
        <v>799</v>
      </c>
      <c r="K237" s="188" t="s">
        <v>233</v>
      </c>
      <c r="L237" s="134"/>
    </row>
    <row r="238" spans="1:12" ht="15" customHeight="1" thickBot="1" x14ac:dyDescent="0.25">
      <c r="A238" s="253"/>
      <c r="B238" s="47">
        <f>SUM(C238:D238)</f>
        <v>0</v>
      </c>
      <c r="C238" s="47">
        <f>I238+F238</f>
        <v>0</v>
      </c>
      <c r="D238" s="47">
        <f>J238+G238</f>
        <v>0</v>
      </c>
      <c r="E238" s="47">
        <f>SUM(F238:G238)</f>
        <v>0</v>
      </c>
      <c r="F238" s="47">
        <v>0</v>
      </c>
      <c r="G238" s="47">
        <v>0</v>
      </c>
      <c r="H238" s="47">
        <f>SUM(I238:J238)</f>
        <v>0</v>
      </c>
      <c r="I238" s="47">
        <v>0</v>
      </c>
      <c r="J238" s="47">
        <v>0</v>
      </c>
      <c r="K238" s="188" t="s">
        <v>234</v>
      </c>
      <c r="L238" s="134" t="s">
        <v>399</v>
      </c>
    </row>
    <row r="239" spans="1:12" ht="15" customHeight="1" thickBot="1" x14ac:dyDescent="0.25">
      <c r="A239" s="253"/>
      <c r="B239" s="47">
        <f t="shared" ref="B239:J239" si="77">SUM(B237:B238)</f>
        <v>800</v>
      </c>
      <c r="C239" s="47">
        <f t="shared" si="77"/>
        <v>0</v>
      </c>
      <c r="D239" s="47">
        <f t="shared" si="77"/>
        <v>800</v>
      </c>
      <c r="E239" s="47">
        <f t="shared" si="77"/>
        <v>1</v>
      </c>
      <c r="F239" s="47">
        <f t="shared" si="77"/>
        <v>0</v>
      </c>
      <c r="G239" s="47">
        <f t="shared" si="77"/>
        <v>1</v>
      </c>
      <c r="H239" s="47">
        <f t="shared" si="77"/>
        <v>799</v>
      </c>
      <c r="I239" s="47">
        <f t="shared" si="77"/>
        <v>0</v>
      </c>
      <c r="J239" s="47">
        <f t="shared" si="77"/>
        <v>799</v>
      </c>
      <c r="K239" s="188" t="s">
        <v>12</v>
      </c>
      <c r="L239" s="239"/>
    </row>
    <row r="240" spans="1:12" ht="15" customHeight="1" thickBot="1" x14ac:dyDescent="0.25">
      <c r="A240" s="253"/>
      <c r="B240" s="47">
        <f>SUM(C240:D240)</f>
        <v>19</v>
      </c>
      <c r="C240" s="47">
        <f>I240+F240</f>
        <v>19</v>
      </c>
      <c r="D240" s="47">
        <f>J240+G240</f>
        <v>0</v>
      </c>
      <c r="E240" s="47">
        <f>SUM(F240:G240)</f>
        <v>0</v>
      </c>
      <c r="F240" s="47">
        <v>0</v>
      </c>
      <c r="G240" s="47">
        <v>0</v>
      </c>
      <c r="H240" s="47">
        <f>SUM(I240:J240)</f>
        <v>19</v>
      </c>
      <c r="I240" s="47">
        <v>19</v>
      </c>
      <c r="J240" s="47">
        <v>0</v>
      </c>
      <c r="K240" s="188" t="s">
        <v>233</v>
      </c>
      <c r="L240" s="134"/>
    </row>
    <row r="241" spans="1:12" ht="15" customHeight="1" thickBot="1" x14ac:dyDescent="0.25">
      <c r="A241" s="253"/>
      <c r="B241" s="47">
        <f>SUM(C241:D241)</f>
        <v>0</v>
      </c>
      <c r="C241" s="47">
        <f>I241+F241</f>
        <v>0</v>
      </c>
      <c r="D241" s="47">
        <f>J241+G241</f>
        <v>0</v>
      </c>
      <c r="E241" s="47">
        <f>SUM(F241:G241)</f>
        <v>0</v>
      </c>
      <c r="F241" s="47">
        <v>0</v>
      </c>
      <c r="G241" s="47">
        <v>0</v>
      </c>
      <c r="H241" s="47">
        <f>SUM(I241:J241)</f>
        <v>0</v>
      </c>
      <c r="I241" s="47">
        <v>0</v>
      </c>
      <c r="J241" s="47">
        <v>0</v>
      </c>
      <c r="K241" s="188" t="s">
        <v>234</v>
      </c>
      <c r="L241" s="134" t="s">
        <v>400</v>
      </c>
    </row>
    <row r="242" spans="1:12" ht="15" customHeight="1" thickBot="1" x14ac:dyDescent="0.25">
      <c r="A242" s="253"/>
      <c r="B242" s="47">
        <f t="shared" ref="B242:J242" si="78">SUM(B240:B241)</f>
        <v>19</v>
      </c>
      <c r="C242" s="47">
        <f t="shared" si="78"/>
        <v>19</v>
      </c>
      <c r="D242" s="47">
        <f t="shared" si="78"/>
        <v>0</v>
      </c>
      <c r="E242" s="47">
        <f t="shared" si="78"/>
        <v>0</v>
      </c>
      <c r="F242" s="47">
        <f t="shared" si="78"/>
        <v>0</v>
      </c>
      <c r="G242" s="47">
        <f t="shared" si="78"/>
        <v>0</v>
      </c>
      <c r="H242" s="47">
        <f t="shared" si="78"/>
        <v>19</v>
      </c>
      <c r="I242" s="47">
        <f t="shared" si="78"/>
        <v>19</v>
      </c>
      <c r="J242" s="47">
        <f t="shared" si="78"/>
        <v>0</v>
      </c>
      <c r="K242" s="188" t="s">
        <v>12</v>
      </c>
      <c r="L242" s="239"/>
    </row>
    <row r="243" spans="1:12" ht="15" customHeight="1" thickBot="1" x14ac:dyDescent="0.25">
      <c r="A243" s="253"/>
      <c r="B243" s="47">
        <f>SUM(C243:D243)</f>
        <v>160</v>
      </c>
      <c r="C243" s="47">
        <f>I243+F243</f>
        <v>0</v>
      </c>
      <c r="D243" s="47">
        <f>J243+G243</f>
        <v>160</v>
      </c>
      <c r="E243" s="47">
        <f>SUM(F243:G243)</f>
        <v>0</v>
      </c>
      <c r="F243" s="47">
        <v>0</v>
      </c>
      <c r="G243" s="47">
        <v>0</v>
      </c>
      <c r="H243" s="47">
        <f>SUM(I243:J243)</f>
        <v>160</v>
      </c>
      <c r="I243" s="47">
        <v>0</v>
      </c>
      <c r="J243" s="47">
        <v>160</v>
      </c>
      <c r="K243" s="188" t="s">
        <v>233</v>
      </c>
      <c r="L243" s="134"/>
    </row>
    <row r="244" spans="1:12" ht="15" customHeight="1" thickBot="1" x14ac:dyDescent="0.25">
      <c r="A244" s="253"/>
      <c r="B244" s="47">
        <f>SUM(C244:D244)</f>
        <v>0</v>
      </c>
      <c r="C244" s="47">
        <f>I244+F244</f>
        <v>0</v>
      </c>
      <c r="D244" s="47">
        <f>J244+G244</f>
        <v>0</v>
      </c>
      <c r="E244" s="47">
        <f>SUM(F244:G244)</f>
        <v>0</v>
      </c>
      <c r="F244" s="47">
        <v>0</v>
      </c>
      <c r="G244" s="47">
        <v>0</v>
      </c>
      <c r="H244" s="47">
        <f>SUM(I244:J244)</f>
        <v>0</v>
      </c>
      <c r="I244" s="47">
        <v>0</v>
      </c>
      <c r="J244" s="47">
        <v>0</v>
      </c>
      <c r="K244" s="188" t="s">
        <v>234</v>
      </c>
      <c r="L244" s="134" t="s">
        <v>640</v>
      </c>
    </row>
    <row r="245" spans="1:12" ht="15" customHeight="1" thickBot="1" x14ac:dyDescent="0.25">
      <c r="A245" s="253"/>
      <c r="B245" s="47">
        <f t="shared" ref="B245:J245" si="79">SUM(B243:B244)</f>
        <v>160</v>
      </c>
      <c r="C245" s="47">
        <f t="shared" si="79"/>
        <v>0</v>
      </c>
      <c r="D245" s="47">
        <f t="shared" si="79"/>
        <v>160</v>
      </c>
      <c r="E245" s="47">
        <f t="shared" si="79"/>
        <v>0</v>
      </c>
      <c r="F245" s="47">
        <f t="shared" si="79"/>
        <v>0</v>
      </c>
      <c r="G245" s="47">
        <f t="shared" si="79"/>
        <v>0</v>
      </c>
      <c r="H245" s="47">
        <f t="shared" si="79"/>
        <v>160</v>
      </c>
      <c r="I245" s="47">
        <f t="shared" si="79"/>
        <v>0</v>
      </c>
      <c r="J245" s="47">
        <f t="shared" si="79"/>
        <v>160</v>
      </c>
      <c r="K245" s="188" t="s">
        <v>12</v>
      </c>
      <c r="L245" s="239"/>
    </row>
    <row r="246" spans="1:12" ht="15" customHeight="1" thickBot="1" x14ac:dyDescent="0.25">
      <c r="A246" s="253"/>
      <c r="B246" s="47">
        <f t="shared" ref="B246:J247" si="80">B129+B132+B135+B138+B141+B144+B147+B150+B153+B156+B159+B162+B165+B168+B171+B174+B177+B180+B183+B186+B189+B192+B195+B198+B201+B204+B207+B210+B213+B216+B219+B222+B225+B228+B231+B234+B237+B240+B243</f>
        <v>60449</v>
      </c>
      <c r="C246" s="47">
        <f t="shared" si="80"/>
        <v>24646</v>
      </c>
      <c r="D246" s="47">
        <f t="shared" si="80"/>
        <v>35803</v>
      </c>
      <c r="E246" s="47">
        <f t="shared" si="80"/>
        <v>1219</v>
      </c>
      <c r="F246" s="47">
        <f t="shared" si="80"/>
        <v>527</v>
      </c>
      <c r="G246" s="47">
        <f t="shared" si="80"/>
        <v>692</v>
      </c>
      <c r="H246" s="47">
        <f t="shared" si="80"/>
        <v>59230</v>
      </c>
      <c r="I246" s="47">
        <f t="shared" si="80"/>
        <v>24119</v>
      </c>
      <c r="J246" s="47">
        <f t="shared" si="80"/>
        <v>35111</v>
      </c>
      <c r="K246" s="188" t="s">
        <v>236</v>
      </c>
      <c r="L246" s="131"/>
    </row>
    <row r="247" spans="1:12" ht="15" customHeight="1" thickBot="1" x14ac:dyDescent="0.25">
      <c r="A247" s="253"/>
      <c r="B247" s="47">
        <f t="shared" si="80"/>
        <v>0</v>
      </c>
      <c r="C247" s="47">
        <f t="shared" si="80"/>
        <v>0</v>
      </c>
      <c r="D247" s="47">
        <f t="shared" si="80"/>
        <v>0</v>
      </c>
      <c r="E247" s="47">
        <f t="shared" si="80"/>
        <v>0</v>
      </c>
      <c r="F247" s="47">
        <f t="shared" si="80"/>
        <v>0</v>
      </c>
      <c r="G247" s="47">
        <f t="shared" si="80"/>
        <v>0</v>
      </c>
      <c r="H247" s="47">
        <f t="shared" si="80"/>
        <v>0</v>
      </c>
      <c r="I247" s="47">
        <f t="shared" si="80"/>
        <v>0</v>
      </c>
      <c r="J247" s="47">
        <f t="shared" si="80"/>
        <v>0</v>
      </c>
      <c r="K247" s="188" t="s">
        <v>237</v>
      </c>
      <c r="L247" s="132" t="s">
        <v>188</v>
      </c>
    </row>
    <row r="248" spans="1:12" ht="15" customHeight="1" thickBot="1" x14ac:dyDescent="0.25">
      <c r="A248" s="253"/>
      <c r="B248" s="47">
        <f t="shared" ref="B248:J248" si="81">SUM(B246:B247)</f>
        <v>60449</v>
      </c>
      <c r="C248" s="47">
        <f t="shared" si="81"/>
        <v>24646</v>
      </c>
      <c r="D248" s="47">
        <f t="shared" si="81"/>
        <v>35803</v>
      </c>
      <c r="E248" s="47">
        <f t="shared" si="81"/>
        <v>1219</v>
      </c>
      <c r="F248" s="47">
        <f t="shared" si="81"/>
        <v>527</v>
      </c>
      <c r="G248" s="47">
        <f t="shared" si="81"/>
        <v>692</v>
      </c>
      <c r="H248" s="47">
        <f t="shared" si="81"/>
        <v>59230</v>
      </c>
      <c r="I248" s="47">
        <f t="shared" si="81"/>
        <v>24119</v>
      </c>
      <c r="J248" s="47">
        <f t="shared" si="81"/>
        <v>35111</v>
      </c>
      <c r="K248" s="188" t="s">
        <v>12</v>
      </c>
      <c r="L248" s="133"/>
    </row>
    <row r="249" spans="1:12" ht="15" customHeight="1" thickBot="1" x14ac:dyDescent="0.25">
      <c r="A249" s="253"/>
      <c r="B249" s="476" t="s">
        <v>4</v>
      </c>
      <c r="C249" s="476"/>
      <c r="D249" s="476"/>
      <c r="E249" s="476" t="s">
        <v>145</v>
      </c>
      <c r="F249" s="476"/>
      <c r="G249" s="476"/>
      <c r="H249" s="476" t="s">
        <v>146</v>
      </c>
      <c r="I249" s="476"/>
      <c r="J249" s="476"/>
      <c r="K249" s="479" t="s">
        <v>66</v>
      </c>
      <c r="L249" s="479"/>
    </row>
    <row r="250" spans="1:12" ht="15" customHeight="1" thickBot="1" x14ac:dyDescent="0.25">
      <c r="A250" s="253"/>
      <c r="B250" s="185" t="s">
        <v>227</v>
      </c>
      <c r="C250" s="185" t="s">
        <v>10</v>
      </c>
      <c r="D250" s="185" t="s">
        <v>9</v>
      </c>
      <c r="E250" s="185" t="s">
        <v>227</v>
      </c>
      <c r="F250" s="185" t="s">
        <v>10</v>
      </c>
      <c r="G250" s="185" t="s">
        <v>9</v>
      </c>
      <c r="H250" s="185" t="s">
        <v>227</v>
      </c>
      <c r="I250" s="185" t="s">
        <v>10</v>
      </c>
      <c r="J250" s="185" t="s">
        <v>9</v>
      </c>
      <c r="K250" s="480" t="s">
        <v>73</v>
      </c>
      <c r="L250" s="480"/>
    </row>
    <row r="251" spans="1:12" ht="15" customHeight="1" thickBot="1" x14ac:dyDescent="0.25">
      <c r="A251" s="253"/>
      <c r="B251" s="47">
        <f>SUM(C251:D251)</f>
        <v>6611</v>
      </c>
      <c r="C251" s="47">
        <f>I251+F251</f>
        <v>3576</v>
      </c>
      <c r="D251" s="47">
        <f>J251+G251</f>
        <v>3035</v>
      </c>
      <c r="E251" s="47">
        <f>SUM(F251:G251)</f>
        <v>268</v>
      </c>
      <c r="F251" s="47">
        <v>163</v>
      </c>
      <c r="G251" s="47">
        <v>105</v>
      </c>
      <c r="H251" s="47">
        <f>SUM(I251:J251)</f>
        <v>6343</v>
      </c>
      <c r="I251" s="47">
        <v>3413</v>
      </c>
      <c r="J251" s="47">
        <v>2930</v>
      </c>
      <c r="K251" s="188" t="s">
        <v>233</v>
      </c>
      <c r="L251" s="134"/>
    </row>
    <row r="252" spans="1:12" ht="15" customHeight="1" thickBot="1" x14ac:dyDescent="0.25">
      <c r="A252" s="253"/>
      <c r="B252" s="47">
        <f>SUM(C252:D252)</f>
        <v>4516</v>
      </c>
      <c r="C252" s="47">
        <f>I252+F252</f>
        <v>2084</v>
      </c>
      <c r="D252" s="47">
        <f>J252+G252</f>
        <v>2432</v>
      </c>
      <c r="E252" s="47">
        <f>SUM(F252:G252)</f>
        <v>220</v>
      </c>
      <c r="F252" s="47">
        <f>538-83-378</f>
        <v>77</v>
      </c>
      <c r="G252" s="47">
        <f>403-100-160</f>
        <v>143</v>
      </c>
      <c r="H252" s="47">
        <f>SUM(I252:J252)</f>
        <v>4296</v>
      </c>
      <c r="I252" s="47">
        <f>4024+83-2100</f>
        <v>2007</v>
      </c>
      <c r="J252" s="47">
        <f>12189+100-10000</f>
        <v>2289</v>
      </c>
      <c r="K252" s="188" t="s">
        <v>234</v>
      </c>
      <c r="L252" s="134" t="s">
        <v>402</v>
      </c>
    </row>
    <row r="253" spans="1:12" ht="15" customHeight="1" thickBot="1" x14ac:dyDescent="0.25">
      <c r="A253" s="253"/>
      <c r="B253" s="47">
        <f t="shared" ref="B253:J253" si="82">SUM(B251:B252)</f>
        <v>11127</v>
      </c>
      <c r="C253" s="47">
        <f t="shared" si="82"/>
        <v>5660</v>
      </c>
      <c r="D253" s="47">
        <f t="shared" si="82"/>
        <v>5467</v>
      </c>
      <c r="E253" s="47">
        <f t="shared" si="82"/>
        <v>488</v>
      </c>
      <c r="F253" s="47">
        <f t="shared" si="82"/>
        <v>240</v>
      </c>
      <c r="G253" s="47">
        <f t="shared" si="82"/>
        <v>248</v>
      </c>
      <c r="H253" s="47">
        <f t="shared" si="82"/>
        <v>10639</v>
      </c>
      <c r="I253" s="47">
        <f t="shared" si="82"/>
        <v>5420</v>
      </c>
      <c r="J253" s="47">
        <f t="shared" si="82"/>
        <v>5219</v>
      </c>
      <c r="K253" s="188" t="s">
        <v>12</v>
      </c>
      <c r="L253" s="239"/>
    </row>
    <row r="254" spans="1:12" ht="15" customHeight="1" thickBot="1" x14ac:dyDescent="0.25">
      <c r="A254" s="253"/>
      <c r="B254" s="47">
        <f>SUM(C254:D254)</f>
        <v>6235</v>
      </c>
      <c r="C254" s="47">
        <f>I254+F254</f>
        <v>4317</v>
      </c>
      <c r="D254" s="47">
        <f>J254+G254</f>
        <v>1918</v>
      </c>
      <c r="E254" s="47">
        <f>SUM(F254:G254)</f>
        <v>138</v>
      </c>
      <c r="F254" s="47">
        <v>111</v>
      </c>
      <c r="G254" s="47">
        <v>27</v>
      </c>
      <c r="H254" s="47">
        <f>SUM(I254:J254)</f>
        <v>6097</v>
      </c>
      <c r="I254" s="47">
        <v>4206</v>
      </c>
      <c r="J254" s="47">
        <v>1891</v>
      </c>
      <c r="K254" s="188" t="s">
        <v>233</v>
      </c>
      <c r="L254" s="134"/>
    </row>
    <row r="255" spans="1:12" ht="15" customHeight="1" thickBot="1" x14ac:dyDescent="0.25">
      <c r="A255" s="253"/>
      <c r="B255" s="47">
        <f>SUM(C255:D255)</f>
        <v>9648</v>
      </c>
      <c r="C255" s="47">
        <f>I255+F255</f>
        <v>4973</v>
      </c>
      <c r="D255" s="47">
        <f>J255+G255</f>
        <v>4675</v>
      </c>
      <c r="E255" s="47">
        <f>SUM(F255:G255)</f>
        <v>553</v>
      </c>
      <c r="F255" s="47">
        <f>518-50</f>
        <v>468</v>
      </c>
      <c r="G255" s="47">
        <v>85</v>
      </c>
      <c r="H255" s="47">
        <f>SUM(I255:J255)</f>
        <v>9095</v>
      </c>
      <c r="I255" s="47">
        <f>4455+50</f>
        <v>4505</v>
      </c>
      <c r="J255" s="47">
        <f>9463-4873</f>
        <v>4590</v>
      </c>
      <c r="K255" s="188" t="s">
        <v>234</v>
      </c>
      <c r="L255" s="134" t="s">
        <v>403</v>
      </c>
    </row>
    <row r="256" spans="1:12" ht="15" customHeight="1" thickBot="1" x14ac:dyDescent="0.25">
      <c r="A256" s="253"/>
      <c r="B256" s="47">
        <f t="shared" ref="B256:J256" si="83">SUM(B254:B255)</f>
        <v>15883</v>
      </c>
      <c r="C256" s="47">
        <f t="shared" si="83"/>
        <v>9290</v>
      </c>
      <c r="D256" s="47">
        <f t="shared" si="83"/>
        <v>6593</v>
      </c>
      <c r="E256" s="47">
        <f t="shared" si="83"/>
        <v>691</v>
      </c>
      <c r="F256" s="47">
        <f t="shared" si="83"/>
        <v>579</v>
      </c>
      <c r="G256" s="47">
        <f t="shared" si="83"/>
        <v>112</v>
      </c>
      <c r="H256" s="47">
        <f t="shared" si="83"/>
        <v>15192</v>
      </c>
      <c r="I256" s="47">
        <f t="shared" si="83"/>
        <v>8711</v>
      </c>
      <c r="J256" s="47">
        <f t="shared" si="83"/>
        <v>6481</v>
      </c>
      <c r="K256" s="188" t="s">
        <v>12</v>
      </c>
      <c r="L256" s="239"/>
    </row>
    <row r="257" spans="1:12" ht="15" customHeight="1" thickBot="1" x14ac:dyDescent="0.25">
      <c r="A257" s="253"/>
      <c r="B257" s="47">
        <f>SUM(C257:D257)</f>
        <v>3512</v>
      </c>
      <c r="C257" s="47">
        <f>I257+F257</f>
        <v>2140</v>
      </c>
      <c r="D257" s="47">
        <f>J257+G257</f>
        <v>1372</v>
      </c>
      <c r="E257" s="47">
        <f>SUM(F257:G257)</f>
        <v>146</v>
      </c>
      <c r="F257" s="47">
        <v>112</v>
      </c>
      <c r="G257" s="47">
        <v>34</v>
      </c>
      <c r="H257" s="47">
        <f>SUM(I257:J257)</f>
        <v>3366</v>
      </c>
      <c r="I257" s="47">
        <v>2028</v>
      </c>
      <c r="J257" s="47">
        <v>1338</v>
      </c>
      <c r="K257" s="188" t="s">
        <v>233</v>
      </c>
      <c r="L257" s="134"/>
    </row>
    <row r="258" spans="1:12" ht="15" customHeight="1" thickBot="1" x14ac:dyDescent="0.25">
      <c r="A258" s="253"/>
      <c r="B258" s="47">
        <f>SUM(C258:D258)</f>
        <v>0</v>
      </c>
      <c r="C258" s="47">
        <f>I258+F258</f>
        <v>0</v>
      </c>
      <c r="D258" s="47">
        <f>J258+G258</f>
        <v>0</v>
      </c>
      <c r="E258" s="47">
        <f>SUM(F258:G258)</f>
        <v>0</v>
      </c>
      <c r="F258" s="47">
        <v>0</v>
      </c>
      <c r="G258" s="47">
        <v>0</v>
      </c>
      <c r="H258" s="47">
        <f>SUM(I258:J258)</f>
        <v>0</v>
      </c>
      <c r="I258" s="47">
        <v>0</v>
      </c>
      <c r="J258" s="47">
        <v>0</v>
      </c>
      <c r="K258" s="188" t="s">
        <v>234</v>
      </c>
      <c r="L258" s="134" t="s">
        <v>367</v>
      </c>
    </row>
    <row r="259" spans="1:12" ht="15" customHeight="1" thickBot="1" x14ac:dyDescent="0.25">
      <c r="A259" s="253"/>
      <c r="B259" s="47">
        <f t="shared" ref="B259:J259" si="84">SUM(B257:B258)</f>
        <v>3512</v>
      </c>
      <c r="C259" s="47">
        <f t="shared" si="84"/>
        <v>2140</v>
      </c>
      <c r="D259" s="47">
        <f t="shared" si="84"/>
        <v>1372</v>
      </c>
      <c r="E259" s="47">
        <f t="shared" si="84"/>
        <v>146</v>
      </c>
      <c r="F259" s="47">
        <f t="shared" si="84"/>
        <v>112</v>
      </c>
      <c r="G259" s="47">
        <f t="shared" si="84"/>
        <v>34</v>
      </c>
      <c r="H259" s="47">
        <f t="shared" si="84"/>
        <v>3366</v>
      </c>
      <c r="I259" s="47">
        <f t="shared" si="84"/>
        <v>2028</v>
      </c>
      <c r="J259" s="47">
        <f t="shared" si="84"/>
        <v>1338</v>
      </c>
      <c r="K259" s="188" t="s">
        <v>12</v>
      </c>
      <c r="L259" s="239"/>
    </row>
    <row r="260" spans="1:12" ht="15" customHeight="1" thickBot="1" x14ac:dyDescent="0.25">
      <c r="A260" s="253"/>
      <c r="B260" s="47">
        <f>SUM(C260:D260)</f>
        <v>1569</v>
      </c>
      <c r="C260" s="47">
        <f>I260+F260</f>
        <v>488</v>
      </c>
      <c r="D260" s="47">
        <f>J260+G260</f>
        <v>1081</v>
      </c>
      <c r="E260" s="47">
        <f>SUM(F260:G260)</f>
        <v>99</v>
      </c>
      <c r="F260" s="47">
        <v>50</v>
      </c>
      <c r="G260" s="47">
        <v>49</v>
      </c>
      <c r="H260" s="47">
        <f>SUM(I260:J260)</f>
        <v>1470</v>
      </c>
      <c r="I260" s="47">
        <v>438</v>
      </c>
      <c r="J260" s="47">
        <v>1032</v>
      </c>
      <c r="K260" s="188" t="s">
        <v>233</v>
      </c>
      <c r="L260" s="134"/>
    </row>
    <row r="261" spans="1:12" ht="15" customHeight="1" thickBot="1" x14ac:dyDescent="0.25">
      <c r="A261" s="253"/>
      <c r="B261" s="47">
        <f>SUM(C261:D261)</f>
        <v>0</v>
      </c>
      <c r="C261" s="47">
        <f>I261+F261</f>
        <v>0</v>
      </c>
      <c r="D261" s="47">
        <f>J261+G261</f>
        <v>0</v>
      </c>
      <c r="E261" s="47">
        <f>SUM(F261:G261)</f>
        <v>0</v>
      </c>
      <c r="F261" s="47">
        <v>0</v>
      </c>
      <c r="G261" s="47">
        <v>0</v>
      </c>
      <c r="H261" s="47">
        <f>SUM(I261:J261)</f>
        <v>0</v>
      </c>
      <c r="I261" s="47">
        <v>0</v>
      </c>
      <c r="J261" s="47">
        <v>0</v>
      </c>
      <c r="K261" s="188" t="s">
        <v>234</v>
      </c>
      <c r="L261" s="134" t="s">
        <v>404</v>
      </c>
    </row>
    <row r="262" spans="1:12" ht="15" customHeight="1" thickBot="1" x14ac:dyDescent="0.25">
      <c r="A262" s="253"/>
      <c r="B262" s="47">
        <f t="shared" ref="B262:J262" si="85">SUM(B260:B261)</f>
        <v>1569</v>
      </c>
      <c r="C262" s="47">
        <f t="shared" si="85"/>
        <v>488</v>
      </c>
      <c r="D262" s="47">
        <f t="shared" si="85"/>
        <v>1081</v>
      </c>
      <c r="E262" s="47">
        <f t="shared" si="85"/>
        <v>99</v>
      </c>
      <c r="F262" s="47">
        <f t="shared" si="85"/>
        <v>50</v>
      </c>
      <c r="G262" s="47">
        <f t="shared" si="85"/>
        <v>49</v>
      </c>
      <c r="H262" s="47">
        <f t="shared" si="85"/>
        <v>1470</v>
      </c>
      <c r="I262" s="47">
        <f t="shared" si="85"/>
        <v>438</v>
      </c>
      <c r="J262" s="47">
        <f t="shared" si="85"/>
        <v>1032</v>
      </c>
      <c r="K262" s="188" t="s">
        <v>12</v>
      </c>
      <c r="L262" s="239"/>
    </row>
    <row r="263" spans="1:12" ht="15" customHeight="1" thickBot="1" x14ac:dyDescent="0.25">
      <c r="A263" s="253"/>
      <c r="B263" s="47">
        <f>SUM(C263:D263)</f>
        <v>2433</v>
      </c>
      <c r="C263" s="47">
        <f>I263+F263</f>
        <v>0</v>
      </c>
      <c r="D263" s="47">
        <f>J263+G263</f>
        <v>2433</v>
      </c>
      <c r="E263" s="47">
        <f>SUM(F263:G263)</f>
        <v>85</v>
      </c>
      <c r="F263" s="47">
        <v>0</v>
      </c>
      <c r="G263" s="47">
        <f>115-30</f>
        <v>85</v>
      </c>
      <c r="H263" s="47">
        <f>SUM(I263:J263)</f>
        <v>2348</v>
      </c>
      <c r="I263" s="47">
        <v>0</v>
      </c>
      <c r="J263" s="47">
        <f>2318+30</f>
        <v>2348</v>
      </c>
      <c r="K263" s="188" t="s">
        <v>233</v>
      </c>
      <c r="L263" s="134"/>
    </row>
    <row r="264" spans="1:12" ht="15" customHeight="1" thickBot="1" x14ac:dyDescent="0.25">
      <c r="A264" s="253"/>
      <c r="B264" s="47">
        <f>SUM(C264:D264)</f>
        <v>0</v>
      </c>
      <c r="C264" s="47">
        <f>I264+F264</f>
        <v>0</v>
      </c>
      <c r="D264" s="47">
        <f>J264+G264</f>
        <v>0</v>
      </c>
      <c r="E264" s="47">
        <f>SUM(F264:G264)</f>
        <v>0</v>
      </c>
      <c r="F264" s="47">
        <v>0</v>
      </c>
      <c r="G264" s="47">
        <v>0</v>
      </c>
      <c r="H264" s="47">
        <f>SUM(I264:J264)</f>
        <v>0</v>
      </c>
      <c r="I264" s="47">
        <v>0</v>
      </c>
      <c r="J264" s="47">
        <v>0</v>
      </c>
      <c r="K264" s="188" t="s">
        <v>234</v>
      </c>
      <c r="L264" s="134" t="s">
        <v>418</v>
      </c>
    </row>
    <row r="265" spans="1:12" ht="15" customHeight="1" thickBot="1" x14ac:dyDescent="0.25">
      <c r="A265" s="253"/>
      <c r="B265" s="47">
        <f t="shared" ref="B265:J265" si="86">SUM(B263:B264)</f>
        <v>2433</v>
      </c>
      <c r="C265" s="47">
        <f t="shared" si="86"/>
        <v>0</v>
      </c>
      <c r="D265" s="47">
        <f t="shared" si="86"/>
        <v>2433</v>
      </c>
      <c r="E265" s="47">
        <f t="shared" si="86"/>
        <v>85</v>
      </c>
      <c r="F265" s="47">
        <f t="shared" si="86"/>
        <v>0</v>
      </c>
      <c r="G265" s="47">
        <f t="shared" si="86"/>
        <v>85</v>
      </c>
      <c r="H265" s="47">
        <f t="shared" si="86"/>
        <v>2348</v>
      </c>
      <c r="I265" s="47">
        <f t="shared" si="86"/>
        <v>0</v>
      </c>
      <c r="J265" s="47">
        <f t="shared" si="86"/>
        <v>2348</v>
      </c>
      <c r="K265" s="188" t="s">
        <v>12</v>
      </c>
      <c r="L265" s="239"/>
    </row>
    <row r="266" spans="1:12" ht="15" customHeight="1" thickBot="1" x14ac:dyDescent="0.25">
      <c r="A266" s="253"/>
      <c r="B266" s="47">
        <f>SUM(C266:D266)</f>
        <v>635</v>
      </c>
      <c r="C266" s="47">
        <f>I266+F266</f>
        <v>0</v>
      </c>
      <c r="D266" s="47">
        <f>J266+G266</f>
        <v>635</v>
      </c>
      <c r="E266" s="47">
        <f>SUM(F266:G266)</f>
        <v>30</v>
      </c>
      <c r="F266" s="47">
        <v>0</v>
      </c>
      <c r="G266" s="47">
        <v>30</v>
      </c>
      <c r="H266" s="47">
        <f>SUM(I266:J266)</f>
        <v>605</v>
      </c>
      <c r="I266" s="47">
        <v>0</v>
      </c>
      <c r="J266" s="47">
        <v>605</v>
      </c>
      <c r="K266" s="188" t="s">
        <v>233</v>
      </c>
      <c r="L266" s="134"/>
    </row>
    <row r="267" spans="1:12" ht="15" customHeight="1" thickBot="1" x14ac:dyDescent="0.25">
      <c r="A267" s="253"/>
      <c r="B267" s="47">
        <f>SUM(C267:D267)</f>
        <v>0</v>
      </c>
      <c r="C267" s="47">
        <f>I267+F267</f>
        <v>0</v>
      </c>
      <c r="D267" s="47">
        <f>J267+G267</f>
        <v>0</v>
      </c>
      <c r="E267" s="47">
        <f>SUM(F267:G267)</f>
        <v>0</v>
      </c>
      <c r="F267" s="47">
        <v>0</v>
      </c>
      <c r="G267" s="47">
        <v>0</v>
      </c>
      <c r="H267" s="47">
        <f>SUM(I267:J267)</f>
        <v>0</v>
      </c>
      <c r="I267" s="47">
        <v>0</v>
      </c>
      <c r="J267" s="47">
        <v>0</v>
      </c>
      <c r="K267" s="188" t="s">
        <v>234</v>
      </c>
      <c r="L267" s="134" t="s">
        <v>405</v>
      </c>
    </row>
    <row r="268" spans="1:12" ht="15" customHeight="1" thickBot="1" x14ac:dyDescent="0.25">
      <c r="A268" s="253"/>
      <c r="B268" s="47">
        <f t="shared" ref="B268:J268" si="87">SUM(B266:B267)</f>
        <v>635</v>
      </c>
      <c r="C268" s="47">
        <f t="shared" si="87"/>
        <v>0</v>
      </c>
      <c r="D268" s="47">
        <f t="shared" si="87"/>
        <v>635</v>
      </c>
      <c r="E268" s="47">
        <f t="shared" si="87"/>
        <v>30</v>
      </c>
      <c r="F268" s="47">
        <f t="shared" si="87"/>
        <v>0</v>
      </c>
      <c r="G268" s="47">
        <f t="shared" si="87"/>
        <v>30</v>
      </c>
      <c r="H268" s="47">
        <f t="shared" si="87"/>
        <v>605</v>
      </c>
      <c r="I268" s="47">
        <f t="shared" si="87"/>
        <v>0</v>
      </c>
      <c r="J268" s="47">
        <f t="shared" si="87"/>
        <v>605</v>
      </c>
      <c r="K268" s="188" t="s">
        <v>12</v>
      </c>
      <c r="L268" s="239"/>
    </row>
    <row r="269" spans="1:12" ht="15" customHeight="1" thickBot="1" x14ac:dyDescent="0.25">
      <c r="A269" s="253"/>
      <c r="B269" s="47">
        <f>SUM(C269:D269)</f>
        <v>1641</v>
      </c>
      <c r="C269" s="47">
        <f>I269+F269</f>
        <v>792</v>
      </c>
      <c r="D269" s="47">
        <f>J269+G269</f>
        <v>849</v>
      </c>
      <c r="E269" s="47">
        <f>SUM(F269:G269)</f>
        <v>51</v>
      </c>
      <c r="F269" s="47">
        <v>10</v>
      </c>
      <c r="G269" s="47">
        <v>41</v>
      </c>
      <c r="H269" s="47">
        <f>SUM(I269:J269)</f>
        <v>1590</v>
      </c>
      <c r="I269" s="47">
        <v>782</v>
      </c>
      <c r="J269" s="47">
        <v>808</v>
      </c>
      <c r="K269" s="188" t="s">
        <v>233</v>
      </c>
      <c r="L269" s="134"/>
    </row>
    <row r="270" spans="1:12" ht="15" customHeight="1" thickBot="1" x14ac:dyDescent="0.25">
      <c r="A270" s="253"/>
      <c r="B270" s="47">
        <f>SUM(C270:D270)</f>
        <v>0</v>
      </c>
      <c r="C270" s="47">
        <f>I270+F270</f>
        <v>0</v>
      </c>
      <c r="D270" s="47">
        <f>J270+G270</f>
        <v>0</v>
      </c>
      <c r="E270" s="47">
        <f>SUM(F270:G270)</f>
        <v>0</v>
      </c>
      <c r="F270" s="47">
        <v>0</v>
      </c>
      <c r="G270" s="47">
        <v>0</v>
      </c>
      <c r="H270" s="47">
        <f>SUM(I270:J270)</f>
        <v>0</v>
      </c>
      <c r="I270" s="47">
        <v>0</v>
      </c>
      <c r="J270" s="47">
        <v>0</v>
      </c>
      <c r="K270" s="188" t="s">
        <v>234</v>
      </c>
      <c r="L270" s="134" t="s">
        <v>344</v>
      </c>
    </row>
    <row r="271" spans="1:12" ht="15" customHeight="1" thickBot="1" x14ac:dyDescent="0.25">
      <c r="A271" s="253"/>
      <c r="B271" s="47">
        <f t="shared" ref="B271:J271" si="88">SUM(B269:B270)</f>
        <v>1641</v>
      </c>
      <c r="C271" s="47">
        <f t="shared" si="88"/>
        <v>792</v>
      </c>
      <c r="D271" s="47">
        <f t="shared" si="88"/>
        <v>849</v>
      </c>
      <c r="E271" s="47">
        <f t="shared" si="88"/>
        <v>51</v>
      </c>
      <c r="F271" s="47">
        <f t="shared" si="88"/>
        <v>10</v>
      </c>
      <c r="G271" s="47">
        <f t="shared" si="88"/>
        <v>41</v>
      </c>
      <c r="H271" s="47">
        <f t="shared" si="88"/>
        <v>1590</v>
      </c>
      <c r="I271" s="47">
        <f t="shared" si="88"/>
        <v>782</v>
      </c>
      <c r="J271" s="47">
        <f t="shared" si="88"/>
        <v>808</v>
      </c>
      <c r="K271" s="188" t="s">
        <v>12</v>
      </c>
      <c r="L271" s="239"/>
    </row>
    <row r="272" spans="1:12" ht="15" customHeight="1" thickBot="1" x14ac:dyDescent="0.25">
      <c r="A272" s="253"/>
      <c r="B272" s="47">
        <f>SUM(C272:D272)</f>
        <v>891</v>
      </c>
      <c r="C272" s="47">
        <f>I272+F272</f>
        <v>687</v>
      </c>
      <c r="D272" s="47">
        <f>J272+G272</f>
        <v>204</v>
      </c>
      <c r="E272" s="47">
        <f>SUM(F272:G272)</f>
        <v>15</v>
      </c>
      <c r="F272" s="47">
        <v>15</v>
      </c>
      <c r="G272" s="47">
        <v>0</v>
      </c>
      <c r="H272" s="47">
        <f>SUM(I272:J272)</f>
        <v>876</v>
      </c>
      <c r="I272" s="47">
        <v>672</v>
      </c>
      <c r="J272" s="47">
        <v>204</v>
      </c>
      <c r="K272" s="188" t="s">
        <v>233</v>
      </c>
      <c r="L272" s="134"/>
    </row>
    <row r="273" spans="1:12" ht="15" customHeight="1" thickBot="1" x14ac:dyDescent="0.25">
      <c r="A273" s="253"/>
      <c r="B273" s="47">
        <f>SUM(C273:D273)</f>
        <v>0</v>
      </c>
      <c r="C273" s="47">
        <f>I273+F273</f>
        <v>0</v>
      </c>
      <c r="D273" s="47">
        <f>J273+G273</f>
        <v>0</v>
      </c>
      <c r="E273" s="47">
        <f>SUM(F273:G273)</f>
        <v>0</v>
      </c>
      <c r="F273" s="47">
        <v>0</v>
      </c>
      <c r="G273" s="47">
        <v>0</v>
      </c>
      <c r="H273" s="47">
        <f>SUM(I273:J273)</f>
        <v>0</v>
      </c>
      <c r="I273" s="47">
        <v>0</v>
      </c>
      <c r="J273" s="47">
        <v>0</v>
      </c>
      <c r="K273" s="188" t="s">
        <v>234</v>
      </c>
      <c r="L273" s="134" t="s">
        <v>641</v>
      </c>
    </row>
    <row r="274" spans="1:12" ht="15" customHeight="1" thickBot="1" x14ac:dyDescent="0.25">
      <c r="A274" s="253"/>
      <c r="B274" s="47">
        <f t="shared" ref="B274:J274" si="89">SUM(B272:B273)</f>
        <v>891</v>
      </c>
      <c r="C274" s="47">
        <f t="shared" si="89"/>
        <v>687</v>
      </c>
      <c r="D274" s="47">
        <f t="shared" si="89"/>
        <v>204</v>
      </c>
      <c r="E274" s="47">
        <f t="shared" si="89"/>
        <v>15</v>
      </c>
      <c r="F274" s="47">
        <f t="shared" si="89"/>
        <v>15</v>
      </c>
      <c r="G274" s="47">
        <f t="shared" si="89"/>
        <v>0</v>
      </c>
      <c r="H274" s="47">
        <f t="shared" si="89"/>
        <v>876</v>
      </c>
      <c r="I274" s="47">
        <f t="shared" si="89"/>
        <v>672</v>
      </c>
      <c r="J274" s="47">
        <f t="shared" si="89"/>
        <v>204</v>
      </c>
      <c r="K274" s="188" t="s">
        <v>12</v>
      </c>
      <c r="L274" s="239"/>
    </row>
    <row r="275" spans="1:12" ht="15" customHeight="1" thickBot="1" x14ac:dyDescent="0.25">
      <c r="A275" s="253"/>
      <c r="B275" s="47">
        <f>SUM(C275:D275)</f>
        <v>578</v>
      </c>
      <c r="C275" s="47">
        <f>I275+F275</f>
        <v>313</v>
      </c>
      <c r="D275" s="47">
        <f>J275+G275</f>
        <v>265</v>
      </c>
      <c r="E275" s="47">
        <f>SUM(F275:G275)</f>
        <v>21</v>
      </c>
      <c r="F275" s="47">
        <v>10</v>
      </c>
      <c r="G275" s="47">
        <v>11</v>
      </c>
      <c r="H275" s="47">
        <f>SUM(I275:J275)</f>
        <v>557</v>
      </c>
      <c r="I275" s="47">
        <v>303</v>
      </c>
      <c r="J275" s="47">
        <v>254</v>
      </c>
      <c r="K275" s="188" t="s">
        <v>233</v>
      </c>
      <c r="L275" s="134"/>
    </row>
    <row r="276" spans="1:12" ht="15" customHeight="1" thickBot="1" x14ac:dyDescent="0.25">
      <c r="A276" s="253"/>
      <c r="B276" s="47">
        <f>SUM(C276:D276)</f>
        <v>0</v>
      </c>
      <c r="C276" s="47">
        <f>I276+F276</f>
        <v>0</v>
      </c>
      <c r="D276" s="47">
        <f>J276+G276</f>
        <v>0</v>
      </c>
      <c r="E276" s="47">
        <f>SUM(F276:G276)</f>
        <v>0</v>
      </c>
      <c r="F276" s="47">
        <v>0</v>
      </c>
      <c r="G276" s="47">
        <v>0</v>
      </c>
      <c r="H276" s="47">
        <f>SUM(I276:J276)</f>
        <v>0</v>
      </c>
      <c r="I276" s="47">
        <v>0</v>
      </c>
      <c r="J276" s="47">
        <v>0</v>
      </c>
      <c r="K276" s="188" t="s">
        <v>234</v>
      </c>
      <c r="L276" s="134" t="s">
        <v>406</v>
      </c>
    </row>
    <row r="277" spans="1:12" ht="15" customHeight="1" thickBot="1" x14ac:dyDescent="0.25">
      <c r="A277" s="253"/>
      <c r="B277" s="47">
        <f t="shared" ref="B277:J277" si="90">SUM(B275:B276)</f>
        <v>578</v>
      </c>
      <c r="C277" s="47">
        <f t="shared" si="90"/>
        <v>313</v>
      </c>
      <c r="D277" s="47">
        <f t="shared" si="90"/>
        <v>265</v>
      </c>
      <c r="E277" s="47">
        <f t="shared" si="90"/>
        <v>21</v>
      </c>
      <c r="F277" s="47">
        <f t="shared" si="90"/>
        <v>10</v>
      </c>
      <c r="G277" s="47">
        <f t="shared" si="90"/>
        <v>11</v>
      </c>
      <c r="H277" s="47">
        <f t="shared" si="90"/>
        <v>557</v>
      </c>
      <c r="I277" s="47">
        <f t="shared" si="90"/>
        <v>303</v>
      </c>
      <c r="J277" s="47">
        <f t="shared" si="90"/>
        <v>254</v>
      </c>
      <c r="K277" s="188" t="s">
        <v>12</v>
      </c>
      <c r="L277" s="239"/>
    </row>
    <row r="278" spans="1:12" ht="15" customHeight="1" thickBot="1" x14ac:dyDescent="0.25">
      <c r="A278" s="253"/>
      <c r="B278" s="47">
        <f>SUM(C278:D278)</f>
        <v>613</v>
      </c>
      <c r="C278" s="47">
        <f>I278+F278</f>
        <v>368</v>
      </c>
      <c r="D278" s="47">
        <f>J278+G278</f>
        <v>245</v>
      </c>
      <c r="E278" s="47">
        <f>SUM(F278:G278)</f>
        <v>28</v>
      </c>
      <c r="F278" s="47">
        <v>21</v>
      </c>
      <c r="G278" s="47">
        <v>7</v>
      </c>
      <c r="H278" s="47">
        <f>SUM(I278:J278)</f>
        <v>585</v>
      </c>
      <c r="I278" s="47">
        <v>347</v>
      </c>
      <c r="J278" s="47">
        <v>238</v>
      </c>
      <c r="K278" s="188" t="s">
        <v>233</v>
      </c>
      <c r="L278" s="134"/>
    </row>
    <row r="279" spans="1:12" ht="15" customHeight="1" thickBot="1" x14ac:dyDescent="0.25">
      <c r="A279" s="253"/>
      <c r="B279" s="47">
        <f>SUM(C279:D279)</f>
        <v>0</v>
      </c>
      <c r="C279" s="47">
        <f>I279+F279</f>
        <v>0</v>
      </c>
      <c r="D279" s="47">
        <f>J279+G279</f>
        <v>0</v>
      </c>
      <c r="E279" s="47">
        <f>SUM(F279:G279)</f>
        <v>0</v>
      </c>
      <c r="F279" s="47">
        <v>0</v>
      </c>
      <c r="G279" s="47">
        <v>0</v>
      </c>
      <c r="H279" s="47">
        <f>SUM(I279:J279)</f>
        <v>0</v>
      </c>
      <c r="I279" s="47">
        <v>0</v>
      </c>
      <c r="J279" s="47">
        <v>0</v>
      </c>
      <c r="K279" s="188" t="s">
        <v>234</v>
      </c>
      <c r="L279" s="134" t="s">
        <v>348</v>
      </c>
    </row>
    <row r="280" spans="1:12" ht="15" customHeight="1" thickBot="1" x14ac:dyDescent="0.25">
      <c r="A280" s="253"/>
      <c r="B280" s="47">
        <f t="shared" ref="B280:J280" si="91">SUM(B278:B279)</f>
        <v>613</v>
      </c>
      <c r="C280" s="47">
        <f t="shared" si="91"/>
        <v>368</v>
      </c>
      <c r="D280" s="47">
        <f t="shared" si="91"/>
        <v>245</v>
      </c>
      <c r="E280" s="47">
        <f t="shared" si="91"/>
        <v>28</v>
      </c>
      <c r="F280" s="47">
        <f t="shared" si="91"/>
        <v>21</v>
      </c>
      <c r="G280" s="47">
        <f t="shared" si="91"/>
        <v>7</v>
      </c>
      <c r="H280" s="47">
        <f t="shared" si="91"/>
        <v>585</v>
      </c>
      <c r="I280" s="47">
        <f t="shared" si="91"/>
        <v>347</v>
      </c>
      <c r="J280" s="47">
        <f t="shared" si="91"/>
        <v>238</v>
      </c>
      <c r="K280" s="188" t="s">
        <v>12</v>
      </c>
      <c r="L280" s="239"/>
    </row>
    <row r="281" spans="1:12" ht="15" customHeight="1" thickBot="1" x14ac:dyDescent="0.25">
      <c r="A281" s="253"/>
      <c r="B281" s="47">
        <f>SUM(C281:D281)</f>
        <v>344</v>
      </c>
      <c r="C281" s="47">
        <f>I281+F281</f>
        <v>0</v>
      </c>
      <c r="D281" s="47">
        <f>J281+G281</f>
        <v>344</v>
      </c>
      <c r="E281" s="47">
        <f>SUM(F281:G281)</f>
        <v>8</v>
      </c>
      <c r="F281" s="47">
        <v>0</v>
      </c>
      <c r="G281" s="47">
        <v>8</v>
      </c>
      <c r="H281" s="47">
        <f>SUM(I281:J281)</f>
        <v>336</v>
      </c>
      <c r="I281" s="47">
        <v>0</v>
      </c>
      <c r="J281" s="47">
        <v>336</v>
      </c>
      <c r="K281" s="188" t="s">
        <v>233</v>
      </c>
      <c r="L281" s="134"/>
    </row>
    <row r="282" spans="1:12" ht="15" customHeight="1" thickBot="1" x14ac:dyDescent="0.25">
      <c r="A282" s="253"/>
      <c r="B282" s="47">
        <f>SUM(C282:D282)</f>
        <v>0</v>
      </c>
      <c r="C282" s="47">
        <f>I282+F282</f>
        <v>0</v>
      </c>
      <c r="D282" s="47">
        <f>J282+G282</f>
        <v>0</v>
      </c>
      <c r="E282" s="47">
        <f>SUM(F282:G282)</f>
        <v>0</v>
      </c>
      <c r="F282" s="47">
        <v>0</v>
      </c>
      <c r="G282" s="47">
        <v>0</v>
      </c>
      <c r="H282" s="47">
        <f>SUM(I282:J282)</f>
        <v>0</v>
      </c>
      <c r="I282" s="47">
        <v>0</v>
      </c>
      <c r="J282" s="47">
        <v>0</v>
      </c>
      <c r="K282" s="188" t="s">
        <v>234</v>
      </c>
      <c r="L282" s="134" t="s">
        <v>589</v>
      </c>
    </row>
    <row r="283" spans="1:12" ht="15" customHeight="1" thickBot="1" x14ac:dyDescent="0.25">
      <c r="A283" s="253"/>
      <c r="B283" s="47">
        <f t="shared" ref="B283:J283" si="92">SUM(B281:B282)</f>
        <v>344</v>
      </c>
      <c r="C283" s="47">
        <f t="shared" si="92"/>
        <v>0</v>
      </c>
      <c r="D283" s="47">
        <f t="shared" si="92"/>
        <v>344</v>
      </c>
      <c r="E283" s="47">
        <f t="shared" si="92"/>
        <v>8</v>
      </c>
      <c r="F283" s="47">
        <f t="shared" si="92"/>
        <v>0</v>
      </c>
      <c r="G283" s="47">
        <f t="shared" si="92"/>
        <v>8</v>
      </c>
      <c r="H283" s="47">
        <f t="shared" si="92"/>
        <v>336</v>
      </c>
      <c r="I283" s="47">
        <f t="shared" si="92"/>
        <v>0</v>
      </c>
      <c r="J283" s="47">
        <f t="shared" si="92"/>
        <v>336</v>
      </c>
      <c r="K283" s="188" t="s">
        <v>12</v>
      </c>
      <c r="L283" s="239"/>
    </row>
    <row r="284" spans="1:12" ht="15" customHeight="1" thickBot="1" x14ac:dyDescent="0.25">
      <c r="A284" s="253"/>
      <c r="B284" s="47">
        <f>SUM(C284:D284)</f>
        <v>408</v>
      </c>
      <c r="C284" s="47">
        <f>I284+F284</f>
        <v>0</v>
      </c>
      <c r="D284" s="47">
        <f>J284+G284</f>
        <v>408</v>
      </c>
      <c r="E284" s="47">
        <f>SUM(F284:G284)</f>
        <v>14</v>
      </c>
      <c r="F284" s="47">
        <v>0</v>
      </c>
      <c r="G284" s="47">
        <v>14</v>
      </c>
      <c r="H284" s="47">
        <f>SUM(I284:J284)</f>
        <v>394</v>
      </c>
      <c r="I284" s="47">
        <v>0</v>
      </c>
      <c r="J284" s="47">
        <v>394</v>
      </c>
      <c r="K284" s="188" t="s">
        <v>233</v>
      </c>
      <c r="L284" s="134"/>
    </row>
    <row r="285" spans="1:12" ht="15" customHeight="1" thickBot="1" x14ac:dyDescent="0.25">
      <c r="A285" s="253"/>
      <c r="B285" s="47">
        <f>SUM(C285:D285)</f>
        <v>0</v>
      </c>
      <c r="C285" s="47">
        <f>I285+F285</f>
        <v>0</v>
      </c>
      <c r="D285" s="47">
        <f>J285+G285</f>
        <v>0</v>
      </c>
      <c r="E285" s="47">
        <f>SUM(F285:G285)</f>
        <v>0</v>
      </c>
      <c r="F285" s="47">
        <v>0</v>
      </c>
      <c r="G285" s="47">
        <v>0</v>
      </c>
      <c r="H285" s="47">
        <f>SUM(I285:J285)</f>
        <v>0</v>
      </c>
      <c r="I285" s="47">
        <v>0</v>
      </c>
      <c r="J285" s="47">
        <v>0</v>
      </c>
      <c r="K285" s="188" t="s">
        <v>234</v>
      </c>
      <c r="L285" s="134" t="s">
        <v>590</v>
      </c>
    </row>
    <row r="286" spans="1:12" ht="15" customHeight="1" thickBot="1" x14ac:dyDescent="0.25">
      <c r="A286" s="253"/>
      <c r="B286" s="47">
        <f t="shared" ref="B286:J286" si="93">SUM(B284:B285)</f>
        <v>408</v>
      </c>
      <c r="C286" s="47">
        <f t="shared" si="93"/>
        <v>0</v>
      </c>
      <c r="D286" s="47">
        <f t="shared" si="93"/>
        <v>408</v>
      </c>
      <c r="E286" s="47">
        <f t="shared" si="93"/>
        <v>14</v>
      </c>
      <c r="F286" s="47">
        <f t="shared" si="93"/>
        <v>0</v>
      </c>
      <c r="G286" s="47">
        <f t="shared" si="93"/>
        <v>14</v>
      </c>
      <c r="H286" s="47">
        <f t="shared" si="93"/>
        <v>394</v>
      </c>
      <c r="I286" s="47">
        <f t="shared" si="93"/>
        <v>0</v>
      </c>
      <c r="J286" s="47">
        <f t="shared" si="93"/>
        <v>394</v>
      </c>
      <c r="K286" s="188" t="s">
        <v>12</v>
      </c>
      <c r="L286" s="239"/>
    </row>
    <row r="287" spans="1:12" ht="15" customHeight="1" thickBot="1" x14ac:dyDescent="0.25">
      <c r="A287" s="253"/>
      <c r="B287" s="47">
        <f>SUM(C287:D287)</f>
        <v>285</v>
      </c>
      <c r="C287" s="47">
        <f>I287+F287</f>
        <v>0</v>
      </c>
      <c r="D287" s="47">
        <f>J287+G287</f>
        <v>285</v>
      </c>
      <c r="E287" s="47">
        <f>SUM(F287:G287)</f>
        <v>11</v>
      </c>
      <c r="F287" s="47">
        <v>0</v>
      </c>
      <c r="G287" s="47">
        <v>11</v>
      </c>
      <c r="H287" s="47">
        <f>SUM(I287:J287)</f>
        <v>274</v>
      </c>
      <c r="I287" s="47">
        <v>0</v>
      </c>
      <c r="J287" s="47">
        <v>274</v>
      </c>
      <c r="K287" s="188" t="s">
        <v>233</v>
      </c>
      <c r="L287" s="134"/>
    </row>
    <row r="288" spans="1:12" ht="15" customHeight="1" thickBot="1" x14ac:dyDescent="0.25">
      <c r="A288" s="253"/>
      <c r="B288" s="47">
        <f>SUM(C288:D288)</f>
        <v>0</v>
      </c>
      <c r="C288" s="47">
        <f>I288+F288</f>
        <v>0</v>
      </c>
      <c r="D288" s="47">
        <f>J288+G288</f>
        <v>0</v>
      </c>
      <c r="E288" s="47">
        <f>SUM(F288:G288)</f>
        <v>0</v>
      </c>
      <c r="F288" s="47">
        <v>0</v>
      </c>
      <c r="G288" s="47">
        <v>0</v>
      </c>
      <c r="H288" s="47">
        <f>SUM(I288:J288)</f>
        <v>0</v>
      </c>
      <c r="I288" s="47">
        <v>0</v>
      </c>
      <c r="J288" s="47">
        <v>0</v>
      </c>
      <c r="K288" s="188" t="s">
        <v>234</v>
      </c>
      <c r="L288" s="134" t="s">
        <v>407</v>
      </c>
    </row>
    <row r="289" spans="1:12" ht="15" customHeight="1" thickBot="1" x14ac:dyDescent="0.25">
      <c r="A289" s="253"/>
      <c r="B289" s="47">
        <f t="shared" ref="B289:J289" si="94">SUM(B287:B288)</f>
        <v>285</v>
      </c>
      <c r="C289" s="47">
        <f t="shared" si="94"/>
        <v>0</v>
      </c>
      <c r="D289" s="47">
        <f t="shared" si="94"/>
        <v>285</v>
      </c>
      <c r="E289" s="47">
        <f t="shared" si="94"/>
        <v>11</v>
      </c>
      <c r="F289" s="47">
        <f t="shared" si="94"/>
        <v>0</v>
      </c>
      <c r="G289" s="47">
        <f t="shared" si="94"/>
        <v>11</v>
      </c>
      <c r="H289" s="47">
        <f t="shared" si="94"/>
        <v>274</v>
      </c>
      <c r="I289" s="47">
        <f t="shared" si="94"/>
        <v>0</v>
      </c>
      <c r="J289" s="47">
        <f t="shared" si="94"/>
        <v>274</v>
      </c>
      <c r="K289" s="188" t="s">
        <v>12</v>
      </c>
      <c r="L289" s="239"/>
    </row>
    <row r="290" spans="1:12" ht="15" customHeight="1" thickBot="1" x14ac:dyDescent="0.25">
      <c r="A290" s="253"/>
      <c r="B290" s="47">
        <f>SUM(C290:D290)</f>
        <v>1279</v>
      </c>
      <c r="C290" s="47">
        <f>I290+F290</f>
        <v>1279</v>
      </c>
      <c r="D290" s="47">
        <f>J290+G290</f>
        <v>0</v>
      </c>
      <c r="E290" s="47">
        <f>SUM(F290:G290)</f>
        <v>52</v>
      </c>
      <c r="F290" s="47">
        <v>52</v>
      </c>
      <c r="G290" s="47">
        <v>0</v>
      </c>
      <c r="H290" s="47">
        <f>SUM(I290:J290)</f>
        <v>1227</v>
      </c>
      <c r="I290" s="47">
        <v>1227</v>
      </c>
      <c r="J290" s="47">
        <v>0</v>
      </c>
      <c r="K290" s="188" t="s">
        <v>233</v>
      </c>
      <c r="L290" s="134"/>
    </row>
    <row r="291" spans="1:12" ht="15" customHeight="1" thickBot="1" x14ac:dyDescent="0.25">
      <c r="A291" s="253"/>
      <c r="B291" s="47">
        <f>SUM(C291:D291)</f>
        <v>0</v>
      </c>
      <c r="C291" s="47">
        <f>I291+F291</f>
        <v>0</v>
      </c>
      <c r="D291" s="47">
        <f>J291+G291</f>
        <v>0</v>
      </c>
      <c r="E291" s="47">
        <f>SUM(F291:G291)</f>
        <v>0</v>
      </c>
      <c r="F291" s="47">
        <v>0</v>
      </c>
      <c r="G291" s="47">
        <v>0</v>
      </c>
      <c r="H291" s="47">
        <f>SUM(I291:J291)</f>
        <v>0</v>
      </c>
      <c r="I291" s="47">
        <v>0</v>
      </c>
      <c r="J291" s="47">
        <v>0</v>
      </c>
      <c r="K291" s="188" t="s">
        <v>234</v>
      </c>
      <c r="L291" s="134" t="s">
        <v>408</v>
      </c>
    </row>
    <row r="292" spans="1:12" ht="15" customHeight="1" thickBot="1" x14ac:dyDescent="0.25">
      <c r="A292" s="253"/>
      <c r="B292" s="47">
        <f t="shared" ref="B292:J292" si="95">SUM(B290:B291)</f>
        <v>1279</v>
      </c>
      <c r="C292" s="47">
        <f t="shared" si="95"/>
        <v>1279</v>
      </c>
      <c r="D292" s="47">
        <f t="shared" si="95"/>
        <v>0</v>
      </c>
      <c r="E292" s="47">
        <f t="shared" si="95"/>
        <v>52</v>
      </c>
      <c r="F292" s="47">
        <f t="shared" si="95"/>
        <v>52</v>
      </c>
      <c r="G292" s="47">
        <f t="shared" si="95"/>
        <v>0</v>
      </c>
      <c r="H292" s="47">
        <f t="shared" si="95"/>
        <v>1227</v>
      </c>
      <c r="I292" s="47">
        <f t="shared" si="95"/>
        <v>1227</v>
      </c>
      <c r="J292" s="47">
        <f t="shared" si="95"/>
        <v>0</v>
      </c>
      <c r="K292" s="188" t="s">
        <v>12</v>
      </c>
      <c r="L292" s="239"/>
    </row>
    <row r="293" spans="1:12" ht="15" customHeight="1" thickBot="1" x14ac:dyDescent="0.25">
      <c r="A293" s="253"/>
      <c r="B293" s="47">
        <f>SUM(C293:D293)</f>
        <v>3580</v>
      </c>
      <c r="C293" s="47">
        <f>I293+F293</f>
        <v>3580</v>
      </c>
      <c r="D293" s="47">
        <f>J293+G293</f>
        <v>0</v>
      </c>
      <c r="E293" s="47">
        <f>SUM(F293:G293)</f>
        <v>38</v>
      </c>
      <c r="F293" s="47">
        <v>38</v>
      </c>
      <c r="G293" s="47">
        <v>0</v>
      </c>
      <c r="H293" s="47">
        <f>SUM(I293:J293)</f>
        <v>3542</v>
      </c>
      <c r="I293" s="47">
        <v>3542</v>
      </c>
      <c r="J293" s="47">
        <v>0</v>
      </c>
      <c r="K293" s="188" t="s">
        <v>233</v>
      </c>
      <c r="L293" s="134"/>
    </row>
    <row r="294" spans="1:12" ht="15" customHeight="1" thickBot="1" x14ac:dyDescent="0.25">
      <c r="A294" s="253"/>
      <c r="B294" s="47">
        <f>SUM(C294:D294)</f>
        <v>0</v>
      </c>
      <c r="C294" s="47">
        <f>I294+F294</f>
        <v>0</v>
      </c>
      <c r="D294" s="47">
        <f>J294+G294</f>
        <v>0</v>
      </c>
      <c r="E294" s="47">
        <f>SUM(F294:G294)</f>
        <v>0</v>
      </c>
      <c r="F294" s="47">
        <v>0</v>
      </c>
      <c r="G294" s="47">
        <v>0</v>
      </c>
      <c r="H294" s="47">
        <f>SUM(I294:J294)</f>
        <v>0</v>
      </c>
      <c r="I294" s="47">
        <v>0</v>
      </c>
      <c r="J294" s="47">
        <v>0</v>
      </c>
      <c r="K294" s="188" t="s">
        <v>234</v>
      </c>
      <c r="L294" s="134" t="s">
        <v>642</v>
      </c>
    </row>
    <row r="295" spans="1:12" ht="15" customHeight="1" thickBot="1" x14ac:dyDescent="0.25">
      <c r="A295" s="253"/>
      <c r="B295" s="47">
        <f t="shared" ref="B295:J295" si="96">SUM(B293:B294)</f>
        <v>3580</v>
      </c>
      <c r="C295" s="47">
        <f t="shared" si="96"/>
        <v>3580</v>
      </c>
      <c r="D295" s="47">
        <f t="shared" si="96"/>
        <v>0</v>
      </c>
      <c r="E295" s="47">
        <f t="shared" si="96"/>
        <v>38</v>
      </c>
      <c r="F295" s="47">
        <f t="shared" si="96"/>
        <v>38</v>
      </c>
      <c r="G295" s="47">
        <f t="shared" si="96"/>
        <v>0</v>
      </c>
      <c r="H295" s="47">
        <f t="shared" si="96"/>
        <v>3542</v>
      </c>
      <c r="I295" s="47">
        <f t="shared" si="96"/>
        <v>3542</v>
      </c>
      <c r="J295" s="47">
        <f t="shared" si="96"/>
        <v>0</v>
      </c>
      <c r="K295" s="188" t="s">
        <v>12</v>
      </c>
      <c r="L295" s="239"/>
    </row>
    <row r="296" spans="1:12" ht="15" customHeight="1" thickBot="1" x14ac:dyDescent="0.25">
      <c r="A296" s="253"/>
      <c r="B296" s="47">
        <f>SUM(C296:D296)</f>
        <v>5930</v>
      </c>
      <c r="C296" s="47">
        <f>I296+F296</f>
        <v>5930</v>
      </c>
      <c r="D296" s="47">
        <f>J296+G296</f>
        <v>0</v>
      </c>
      <c r="E296" s="47">
        <f>SUM(F296:G296)</f>
        <v>50</v>
      </c>
      <c r="F296" s="47">
        <v>50</v>
      </c>
      <c r="G296" s="47">
        <v>0</v>
      </c>
      <c r="H296" s="47">
        <f>SUM(I296:J296)</f>
        <v>5880</v>
      </c>
      <c r="I296" s="47">
        <v>5880</v>
      </c>
      <c r="J296" s="47">
        <v>0</v>
      </c>
      <c r="K296" s="188" t="s">
        <v>233</v>
      </c>
      <c r="L296" s="134"/>
    </row>
    <row r="297" spans="1:12" ht="15" customHeight="1" thickBot="1" x14ac:dyDescent="0.25">
      <c r="A297" s="253"/>
      <c r="B297" s="47">
        <f>SUM(C297:D297)</f>
        <v>1627</v>
      </c>
      <c r="C297" s="47">
        <f>I297+F297</f>
        <v>1627</v>
      </c>
      <c r="D297" s="47">
        <f>J297+G297</f>
        <v>0</v>
      </c>
      <c r="E297" s="47">
        <f>SUM(F297:G297)</f>
        <v>19</v>
      </c>
      <c r="F297" s="47">
        <v>19</v>
      </c>
      <c r="G297" s="47">
        <v>0</v>
      </c>
      <c r="H297" s="47">
        <f>SUM(I297:J297)</f>
        <v>1608</v>
      </c>
      <c r="I297" s="47">
        <v>1608</v>
      </c>
      <c r="J297" s="47">
        <v>0</v>
      </c>
      <c r="K297" s="188" t="s">
        <v>234</v>
      </c>
      <c r="L297" s="134" t="s">
        <v>643</v>
      </c>
    </row>
    <row r="298" spans="1:12" ht="15" customHeight="1" thickBot="1" x14ac:dyDescent="0.25">
      <c r="A298" s="253"/>
      <c r="B298" s="47">
        <f t="shared" ref="B298:J298" si="97">SUM(B296:B297)</f>
        <v>7557</v>
      </c>
      <c r="C298" s="47">
        <f t="shared" si="97"/>
        <v>7557</v>
      </c>
      <c r="D298" s="47">
        <f t="shared" si="97"/>
        <v>0</v>
      </c>
      <c r="E298" s="47">
        <f t="shared" si="97"/>
        <v>69</v>
      </c>
      <c r="F298" s="47">
        <f t="shared" si="97"/>
        <v>69</v>
      </c>
      <c r="G298" s="47">
        <f t="shared" si="97"/>
        <v>0</v>
      </c>
      <c r="H298" s="47">
        <f t="shared" si="97"/>
        <v>7488</v>
      </c>
      <c r="I298" s="47">
        <f t="shared" si="97"/>
        <v>7488</v>
      </c>
      <c r="J298" s="47">
        <f t="shared" si="97"/>
        <v>0</v>
      </c>
      <c r="K298" s="188" t="s">
        <v>12</v>
      </c>
      <c r="L298" s="239"/>
    </row>
    <row r="299" spans="1:12" ht="15" customHeight="1" thickBot="1" x14ac:dyDescent="0.25">
      <c r="A299" s="253"/>
      <c r="B299" s="47">
        <f>SUM(C299:D299)</f>
        <v>1678</v>
      </c>
      <c r="C299" s="47">
        <f>I299+F299</f>
        <v>1678</v>
      </c>
      <c r="D299" s="47">
        <f>J299+G299</f>
        <v>0</v>
      </c>
      <c r="E299" s="47">
        <f>SUM(F299:G299)</f>
        <v>19</v>
      </c>
      <c r="F299" s="47">
        <v>19</v>
      </c>
      <c r="G299" s="47">
        <v>0</v>
      </c>
      <c r="H299" s="47">
        <f>SUM(I299:J299)</f>
        <v>1659</v>
      </c>
      <c r="I299" s="47">
        <v>1659</v>
      </c>
      <c r="J299" s="47">
        <v>0</v>
      </c>
      <c r="K299" s="188" t="s">
        <v>233</v>
      </c>
      <c r="L299" s="134"/>
    </row>
    <row r="300" spans="1:12" ht="15" customHeight="1" thickBot="1" x14ac:dyDescent="0.25">
      <c r="A300" s="253"/>
      <c r="B300" s="47">
        <f>SUM(C300:D300)</f>
        <v>0</v>
      </c>
      <c r="C300" s="47">
        <f>I300+F300</f>
        <v>0</v>
      </c>
      <c r="D300" s="47">
        <f>J300+G300</f>
        <v>0</v>
      </c>
      <c r="E300" s="47">
        <f>SUM(F300:G300)</f>
        <v>0</v>
      </c>
      <c r="F300" s="47">
        <v>0</v>
      </c>
      <c r="G300" s="47">
        <v>0</v>
      </c>
      <c r="H300" s="47">
        <f>SUM(I300:J300)</f>
        <v>0</v>
      </c>
      <c r="I300" s="47">
        <v>0</v>
      </c>
      <c r="J300" s="47">
        <v>0</v>
      </c>
      <c r="K300" s="188" t="s">
        <v>234</v>
      </c>
      <c r="L300" s="134" t="s">
        <v>411</v>
      </c>
    </row>
    <row r="301" spans="1:12" ht="15" customHeight="1" thickBot="1" x14ac:dyDescent="0.25">
      <c r="A301" s="253"/>
      <c r="B301" s="47">
        <f t="shared" ref="B301:J301" si="98">SUM(B299:B300)</f>
        <v>1678</v>
      </c>
      <c r="C301" s="47">
        <f t="shared" si="98"/>
        <v>1678</v>
      </c>
      <c r="D301" s="47">
        <f t="shared" si="98"/>
        <v>0</v>
      </c>
      <c r="E301" s="47">
        <f t="shared" si="98"/>
        <v>19</v>
      </c>
      <c r="F301" s="47">
        <f t="shared" si="98"/>
        <v>19</v>
      </c>
      <c r="G301" s="47">
        <f t="shared" si="98"/>
        <v>0</v>
      </c>
      <c r="H301" s="47">
        <f t="shared" si="98"/>
        <v>1659</v>
      </c>
      <c r="I301" s="47">
        <f t="shared" si="98"/>
        <v>1659</v>
      </c>
      <c r="J301" s="47">
        <f t="shared" si="98"/>
        <v>0</v>
      </c>
      <c r="K301" s="188" t="s">
        <v>12</v>
      </c>
      <c r="L301" s="239"/>
    </row>
    <row r="302" spans="1:12" ht="15" customHeight="1" thickBot="1" x14ac:dyDescent="0.25">
      <c r="A302" s="253"/>
      <c r="B302" s="47">
        <f>SUM(C302:D302)</f>
        <v>1814</v>
      </c>
      <c r="C302" s="47">
        <f>I302+F302</f>
        <v>1814</v>
      </c>
      <c r="D302" s="47">
        <f>J302+G302</f>
        <v>0</v>
      </c>
      <c r="E302" s="47">
        <f>SUM(F302:G302)</f>
        <v>29</v>
      </c>
      <c r="F302" s="47">
        <v>29</v>
      </c>
      <c r="G302" s="47">
        <v>0</v>
      </c>
      <c r="H302" s="47">
        <f>SUM(I302:J302)</f>
        <v>1785</v>
      </c>
      <c r="I302" s="47">
        <v>1785</v>
      </c>
      <c r="J302" s="47">
        <v>0</v>
      </c>
      <c r="K302" s="188" t="s">
        <v>233</v>
      </c>
      <c r="L302" s="134"/>
    </row>
    <row r="303" spans="1:12" ht="15" customHeight="1" thickBot="1" x14ac:dyDescent="0.25">
      <c r="A303" s="253"/>
      <c r="B303" s="47">
        <f>SUM(C303:D303)</f>
        <v>0</v>
      </c>
      <c r="C303" s="47">
        <f>I303+F303</f>
        <v>0</v>
      </c>
      <c r="D303" s="47">
        <f>J303+G303</f>
        <v>0</v>
      </c>
      <c r="E303" s="47">
        <f>SUM(F303:G303)</f>
        <v>0</v>
      </c>
      <c r="F303" s="47">
        <v>0</v>
      </c>
      <c r="G303" s="47">
        <v>0</v>
      </c>
      <c r="H303" s="47">
        <f>SUM(I303:J303)</f>
        <v>0</v>
      </c>
      <c r="I303" s="47">
        <v>0</v>
      </c>
      <c r="J303" s="47">
        <v>0</v>
      </c>
      <c r="K303" s="188" t="s">
        <v>234</v>
      </c>
      <c r="L303" s="134" t="s">
        <v>644</v>
      </c>
    </row>
    <row r="304" spans="1:12" ht="15" customHeight="1" thickBot="1" x14ac:dyDescent="0.25">
      <c r="A304" s="253"/>
      <c r="B304" s="47">
        <f t="shared" ref="B304:J304" si="99">SUM(B302:B303)</f>
        <v>1814</v>
      </c>
      <c r="C304" s="47">
        <f t="shared" si="99"/>
        <v>1814</v>
      </c>
      <c r="D304" s="47">
        <f t="shared" si="99"/>
        <v>0</v>
      </c>
      <c r="E304" s="47">
        <f t="shared" si="99"/>
        <v>29</v>
      </c>
      <c r="F304" s="47">
        <f t="shared" si="99"/>
        <v>29</v>
      </c>
      <c r="G304" s="47">
        <f t="shared" si="99"/>
        <v>0</v>
      </c>
      <c r="H304" s="47">
        <f t="shared" si="99"/>
        <v>1785</v>
      </c>
      <c r="I304" s="47">
        <f t="shared" si="99"/>
        <v>1785</v>
      </c>
      <c r="J304" s="47">
        <f t="shared" si="99"/>
        <v>0</v>
      </c>
      <c r="K304" s="188" t="s">
        <v>12</v>
      </c>
      <c r="L304" s="239"/>
    </row>
    <row r="305" spans="1:12" ht="15" customHeight="1" thickBot="1" x14ac:dyDescent="0.25">
      <c r="A305" s="253"/>
      <c r="B305" s="47">
        <f>SUM(C305:D305)</f>
        <v>1849</v>
      </c>
      <c r="C305" s="47">
        <f>I305+F305</f>
        <v>0</v>
      </c>
      <c r="D305" s="47">
        <f>J305+G305</f>
        <v>1849</v>
      </c>
      <c r="E305" s="47">
        <f>SUM(F305:G305)</f>
        <v>41</v>
      </c>
      <c r="F305" s="47">
        <v>0</v>
      </c>
      <c r="G305" s="47">
        <f>61-20</f>
        <v>41</v>
      </c>
      <c r="H305" s="47">
        <f>SUM(I305:J305)</f>
        <v>1808</v>
      </c>
      <c r="I305" s="47">
        <v>0</v>
      </c>
      <c r="J305" s="47">
        <f>1788+20</f>
        <v>1808</v>
      </c>
      <c r="K305" s="188" t="s">
        <v>233</v>
      </c>
      <c r="L305" s="134"/>
    </row>
    <row r="306" spans="1:12" ht="15" customHeight="1" thickBot="1" x14ac:dyDescent="0.25">
      <c r="A306" s="253"/>
      <c r="B306" s="47">
        <f>SUM(C306:D306)</f>
        <v>0</v>
      </c>
      <c r="C306" s="47">
        <f>I306+F306</f>
        <v>0</v>
      </c>
      <c r="D306" s="47">
        <f>J306+G306</f>
        <v>0</v>
      </c>
      <c r="E306" s="47">
        <f>SUM(F306:G306)</f>
        <v>0</v>
      </c>
      <c r="F306" s="47">
        <v>0</v>
      </c>
      <c r="G306" s="47">
        <v>0</v>
      </c>
      <c r="H306" s="47">
        <f>SUM(I306:J306)</f>
        <v>0</v>
      </c>
      <c r="I306" s="47">
        <v>0</v>
      </c>
      <c r="J306" s="47">
        <v>0</v>
      </c>
      <c r="K306" s="188" t="s">
        <v>234</v>
      </c>
      <c r="L306" s="134" t="s">
        <v>416</v>
      </c>
    </row>
    <row r="307" spans="1:12" ht="15" customHeight="1" thickBot="1" x14ac:dyDescent="0.25">
      <c r="A307" s="253"/>
      <c r="B307" s="47">
        <f t="shared" ref="B307:J307" si="100">SUM(B305:B306)</f>
        <v>1849</v>
      </c>
      <c r="C307" s="47">
        <f t="shared" si="100"/>
        <v>0</v>
      </c>
      <c r="D307" s="47">
        <f t="shared" si="100"/>
        <v>1849</v>
      </c>
      <c r="E307" s="47">
        <f t="shared" si="100"/>
        <v>41</v>
      </c>
      <c r="F307" s="47">
        <f t="shared" si="100"/>
        <v>0</v>
      </c>
      <c r="G307" s="47">
        <f t="shared" si="100"/>
        <v>41</v>
      </c>
      <c r="H307" s="47">
        <f t="shared" si="100"/>
        <v>1808</v>
      </c>
      <c r="I307" s="47">
        <f t="shared" si="100"/>
        <v>0</v>
      </c>
      <c r="J307" s="47">
        <f t="shared" si="100"/>
        <v>1808</v>
      </c>
      <c r="K307" s="188" t="s">
        <v>12</v>
      </c>
      <c r="L307" s="239"/>
    </row>
    <row r="308" spans="1:12" ht="15" customHeight="1" thickBot="1" x14ac:dyDescent="0.25">
      <c r="A308" s="253"/>
      <c r="B308" s="47">
        <f>SUM(C308:D308)</f>
        <v>3775</v>
      </c>
      <c r="C308" s="47">
        <f>I308+F308</f>
        <v>1418</v>
      </c>
      <c r="D308" s="47">
        <f>J308+G308</f>
        <v>2357</v>
      </c>
      <c r="E308" s="47">
        <f>SUM(F308:G308)</f>
        <v>138</v>
      </c>
      <c r="F308" s="47">
        <v>80</v>
      </c>
      <c r="G308" s="47">
        <f>78-20</f>
        <v>58</v>
      </c>
      <c r="H308" s="47">
        <f>SUM(I308:J308)</f>
        <v>3637</v>
      </c>
      <c r="I308" s="47">
        <v>1338</v>
      </c>
      <c r="J308" s="47">
        <f>2279+20</f>
        <v>2299</v>
      </c>
      <c r="K308" s="188" t="s">
        <v>233</v>
      </c>
      <c r="L308" s="134"/>
    </row>
    <row r="309" spans="1:12" ht="15" customHeight="1" thickBot="1" x14ac:dyDescent="0.25">
      <c r="A309" s="253"/>
      <c r="B309" s="47">
        <f>SUM(C309:D309)</f>
        <v>0</v>
      </c>
      <c r="C309" s="47">
        <f>I309+F309</f>
        <v>0</v>
      </c>
      <c r="D309" s="47">
        <f>J309+G309</f>
        <v>0</v>
      </c>
      <c r="E309" s="47">
        <f>SUM(F309:G309)</f>
        <v>0</v>
      </c>
      <c r="F309" s="47">
        <v>0</v>
      </c>
      <c r="G309" s="47">
        <v>0</v>
      </c>
      <c r="H309" s="47">
        <f>SUM(I309:J309)</f>
        <v>0</v>
      </c>
      <c r="I309" s="47">
        <v>0</v>
      </c>
      <c r="J309" s="47">
        <v>0</v>
      </c>
      <c r="K309" s="188" t="s">
        <v>234</v>
      </c>
      <c r="L309" s="134" t="s">
        <v>413</v>
      </c>
    </row>
    <row r="310" spans="1:12" ht="15" customHeight="1" thickBot="1" x14ac:dyDescent="0.25">
      <c r="A310" s="253"/>
      <c r="B310" s="47">
        <f t="shared" ref="B310:J310" si="101">SUM(B308:B309)</f>
        <v>3775</v>
      </c>
      <c r="C310" s="47">
        <f t="shared" si="101"/>
        <v>1418</v>
      </c>
      <c r="D310" s="47">
        <f t="shared" si="101"/>
        <v>2357</v>
      </c>
      <c r="E310" s="47">
        <f t="shared" si="101"/>
        <v>138</v>
      </c>
      <c r="F310" s="47">
        <f t="shared" si="101"/>
        <v>80</v>
      </c>
      <c r="G310" s="47">
        <f t="shared" si="101"/>
        <v>58</v>
      </c>
      <c r="H310" s="47">
        <f t="shared" si="101"/>
        <v>3637</v>
      </c>
      <c r="I310" s="47">
        <f t="shared" si="101"/>
        <v>1338</v>
      </c>
      <c r="J310" s="47">
        <f t="shared" si="101"/>
        <v>2299</v>
      </c>
      <c r="K310" s="188" t="s">
        <v>12</v>
      </c>
      <c r="L310" s="239"/>
    </row>
    <row r="311" spans="1:12" ht="15" customHeight="1" thickBot="1" x14ac:dyDescent="0.25">
      <c r="A311" s="253"/>
      <c r="B311" s="47">
        <f>SUM(C311:D311)</f>
        <v>2784</v>
      </c>
      <c r="C311" s="47">
        <f>I311+F311</f>
        <v>1264</v>
      </c>
      <c r="D311" s="47">
        <f>J311+G311</f>
        <v>1520</v>
      </c>
      <c r="E311" s="47">
        <f>SUM(F311:G311)</f>
        <v>71</v>
      </c>
      <c r="F311" s="47">
        <v>33</v>
      </c>
      <c r="G311" s="47">
        <v>38</v>
      </c>
      <c r="H311" s="47">
        <f>SUM(I311:J311)</f>
        <v>2713</v>
      </c>
      <c r="I311" s="47">
        <v>1231</v>
      </c>
      <c r="J311" s="47">
        <v>1482</v>
      </c>
      <c r="K311" s="188" t="s">
        <v>233</v>
      </c>
      <c r="L311" s="134"/>
    </row>
    <row r="312" spans="1:12" ht="15" customHeight="1" thickBot="1" x14ac:dyDescent="0.25">
      <c r="A312" s="253"/>
      <c r="B312" s="47">
        <f>SUM(C312:D312)</f>
        <v>17511</v>
      </c>
      <c r="C312" s="47">
        <f>I312+F312</f>
        <v>2478</v>
      </c>
      <c r="D312" s="47">
        <f>J312+G312</f>
        <v>15033</v>
      </c>
      <c r="E312" s="47">
        <f>SUM(F312:G312)</f>
        <v>538</v>
      </c>
      <c r="F312" s="47">
        <v>378</v>
      </c>
      <c r="G312" s="47">
        <v>160</v>
      </c>
      <c r="H312" s="47">
        <f>SUM(I312:J312)</f>
        <v>16973</v>
      </c>
      <c r="I312" s="47">
        <v>2100</v>
      </c>
      <c r="J312" s="47">
        <v>14873</v>
      </c>
      <c r="K312" s="188" t="s">
        <v>234</v>
      </c>
      <c r="L312" s="134" t="s">
        <v>414</v>
      </c>
    </row>
    <row r="313" spans="1:12" ht="15" customHeight="1" thickBot="1" x14ac:dyDescent="0.25">
      <c r="A313" s="253"/>
      <c r="B313" s="47">
        <f t="shared" ref="B313:J313" si="102">SUM(B311:B312)</f>
        <v>20295</v>
      </c>
      <c r="C313" s="47">
        <f t="shared" si="102"/>
        <v>3742</v>
      </c>
      <c r="D313" s="47">
        <f t="shared" si="102"/>
        <v>16553</v>
      </c>
      <c r="E313" s="47">
        <f t="shared" si="102"/>
        <v>609</v>
      </c>
      <c r="F313" s="47">
        <f t="shared" si="102"/>
        <v>411</v>
      </c>
      <c r="G313" s="47">
        <f t="shared" si="102"/>
        <v>198</v>
      </c>
      <c r="H313" s="47">
        <f t="shared" si="102"/>
        <v>19686</v>
      </c>
      <c r="I313" s="47">
        <f t="shared" si="102"/>
        <v>3331</v>
      </c>
      <c r="J313" s="47">
        <f t="shared" si="102"/>
        <v>16355</v>
      </c>
      <c r="K313" s="188" t="s">
        <v>12</v>
      </c>
      <c r="L313" s="239"/>
    </row>
    <row r="314" spans="1:12" ht="15" customHeight="1" thickBot="1" x14ac:dyDescent="0.25">
      <c r="A314" s="253"/>
      <c r="B314" s="47">
        <f>SUM(C314:D314)</f>
        <v>10</v>
      </c>
      <c r="C314" s="47">
        <f>I314+F314</f>
        <v>0</v>
      </c>
      <c r="D314" s="47">
        <f>J314+G314</f>
        <v>10</v>
      </c>
      <c r="E314" s="47">
        <f>SUM(F314:G314)</f>
        <v>0</v>
      </c>
      <c r="F314" s="47">
        <v>0</v>
      </c>
      <c r="G314" s="47">
        <v>0</v>
      </c>
      <c r="H314" s="47">
        <f>SUM(I314:J314)</f>
        <v>10</v>
      </c>
      <c r="I314" s="47">
        <v>0</v>
      </c>
      <c r="J314" s="47">
        <v>10</v>
      </c>
      <c r="K314" s="188" t="s">
        <v>233</v>
      </c>
      <c r="L314" s="134"/>
    </row>
    <row r="315" spans="1:12" ht="15" customHeight="1" thickBot="1" x14ac:dyDescent="0.25">
      <c r="A315" s="253"/>
      <c r="B315" s="47">
        <f>SUM(C315:D315)</f>
        <v>0</v>
      </c>
      <c r="C315" s="47">
        <f>I315+F315</f>
        <v>0</v>
      </c>
      <c r="D315" s="47">
        <f>J315+G315</f>
        <v>0</v>
      </c>
      <c r="E315" s="47">
        <f>SUM(F315:G315)</f>
        <v>0</v>
      </c>
      <c r="F315" s="47">
        <v>0</v>
      </c>
      <c r="G315" s="47">
        <v>0</v>
      </c>
      <c r="H315" s="47">
        <f>SUM(I315:J315)</f>
        <v>0</v>
      </c>
      <c r="I315" s="47">
        <v>0</v>
      </c>
      <c r="J315" s="47">
        <v>0</v>
      </c>
      <c r="K315" s="188" t="s">
        <v>234</v>
      </c>
      <c r="L315" s="134" t="s">
        <v>645</v>
      </c>
    </row>
    <row r="316" spans="1:12" ht="15" customHeight="1" thickBot="1" x14ac:dyDescent="0.25">
      <c r="A316" s="253"/>
      <c r="B316" s="47">
        <f t="shared" ref="B316:J316" si="103">SUM(B314:B315)</f>
        <v>10</v>
      </c>
      <c r="C316" s="47">
        <f t="shared" si="103"/>
        <v>0</v>
      </c>
      <c r="D316" s="47">
        <f t="shared" si="103"/>
        <v>10</v>
      </c>
      <c r="E316" s="47">
        <f t="shared" si="103"/>
        <v>0</v>
      </c>
      <c r="F316" s="47">
        <f t="shared" si="103"/>
        <v>0</v>
      </c>
      <c r="G316" s="47">
        <f t="shared" si="103"/>
        <v>0</v>
      </c>
      <c r="H316" s="47">
        <f t="shared" si="103"/>
        <v>10</v>
      </c>
      <c r="I316" s="47">
        <f t="shared" si="103"/>
        <v>0</v>
      </c>
      <c r="J316" s="47">
        <f t="shared" si="103"/>
        <v>10</v>
      </c>
      <c r="K316" s="188" t="s">
        <v>12</v>
      </c>
      <c r="L316" s="239"/>
    </row>
    <row r="317" spans="1:12" ht="15" customHeight="1" thickBot="1" x14ac:dyDescent="0.25">
      <c r="A317" s="253"/>
      <c r="B317" s="47">
        <f>SUM(C317:D317)</f>
        <v>226</v>
      </c>
      <c r="C317" s="47">
        <f>I317+F317</f>
        <v>133</v>
      </c>
      <c r="D317" s="47">
        <f>J317+G317</f>
        <v>93</v>
      </c>
      <c r="E317" s="47">
        <f>SUM(F317:G317)</f>
        <v>36</v>
      </c>
      <c r="F317" s="47">
        <v>23</v>
      </c>
      <c r="G317" s="47">
        <v>13</v>
      </c>
      <c r="H317" s="47">
        <f>SUM(I317:J317)</f>
        <v>190</v>
      </c>
      <c r="I317" s="47">
        <v>110</v>
      </c>
      <c r="J317" s="47">
        <v>80</v>
      </c>
      <c r="K317" s="188" t="s">
        <v>233</v>
      </c>
      <c r="L317" s="134"/>
    </row>
    <row r="318" spans="1:12" ht="15" customHeight="1" thickBot="1" x14ac:dyDescent="0.25">
      <c r="A318" s="253"/>
      <c r="B318" s="47">
        <f>SUM(C318:D318)</f>
        <v>0</v>
      </c>
      <c r="C318" s="47">
        <f>I318+F318</f>
        <v>0</v>
      </c>
      <c r="D318" s="47">
        <f>J318+G318</f>
        <v>0</v>
      </c>
      <c r="E318" s="47">
        <f>SUM(F318:G318)</f>
        <v>0</v>
      </c>
      <c r="F318" s="47">
        <v>0</v>
      </c>
      <c r="G318" s="47">
        <v>0</v>
      </c>
      <c r="H318" s="47">
        <f>SUM(I318:J318)</f>
        <v>0</v>
      </c>
      <c r="I318" s="47">
        <v>0</v>
      </c>
      <c r="J318" s="47">
        <v>0</v>
      </c>
      <c r="K318" s="188" t="s">
        <v>234</v>
      </c>
      <c r="L318" s="134" t="s">
        <v>646</v>
      </c>
    </row>
    <row r="319" spans="1:12" ht="15" customHeight="1" thickBot="1" x14ac:dyDescent="0.25">
      <c r="A319" s="253"/>
      <c r="B319" s="47">
        <f t="shared" ref="B319:J319" si="104">SUM(B317:B318)</f>
        <v>226</v>
      </c>
      <c r="C319" s="47">
        <f t="shared" si="104"/>
        <v>133</v>
      </c>
      <c r="D319" s="47">
        <f t="shared" si="104"/>
        <v>93</v>
      </c>
      <c r="E319" s="47">
        <f t="shared" si="104"/>
        <v>36</v>
      </c>
      <c r="F319" s="47">
        <f t="shared" si="104"/>
        <v>23</v>
      </c>
      <c r="G319" s="47">
        <f t="shared" si="104"/>
        <v>13</v>
      </c>
      <c r="H319" s="47">
        <f t="shared" si="104"/>
        <v>190</v>
      </c>
      <c r="I319" s="47">
        <f t="shared" si="104"/>
        <v>110</v>
      </c>
      <c r="J319" s="47">
        <f t="shared" si="104"/>
        <v>80</v>
      </c>
      <c r="K319" s="188" t="s">
        <v>12</v>
      </c>
      <c r="L319" s="239"/>
    </row>
    <row r="320" spans="1:12" ht="15" customHeight="1" thickBot="1" x14ac:dyDescent="0.25">
      <c r="A320" s="253"/>
      <c r="B320" s="47">
        <f>SUM(C320:D320)</f>
        <v>177</v>
      </c>
      <c r="C320" s="47">
        <f>I320+F320</f>
        <v>0</v>
      </c>
      <c r="D320" s="47">
        <f>J320+G320</f>
        <v>177</v>
      </c>
      <c r="E320" s="47">
        <f>SUM(F320:G320)</f>
        <v>4</v>
      </c>
      <c r="F320" s="47">
        <v>0</v>
      </c>
      <c r="G320" s="47">
        <v>4</v>
      </c>
      <c r="H320" s="47">
        <f>SUM(I320:J320)</f>
        <v>173</v>
      </c>
      <c r="I320" s="47">
        <v>0</v>
      </c>
      <c r="J320" s="47">
        <v>173</v>
      </c>
      <c r="K320" s="188" t="s">
        <v>233</v>
      </c>
      <c r="L320" s="272"/>
    </row>
    <row r="321" spans="1:12" ht="15" customHeight="1" thickBot="1" x14ac:dyDescent="0.25">
      <c r="A321" s="253"/>
      <c r="B321" s="47">
        <f>SUM(C321:D321)</f>
        <v>0</v>
      </c>
      <c r="C321" s="47">
        <f>I321+F321</f>
        <v>0</v>
      </c>
      <c r="D321" s="47">
        <f>J321+G321</f>
        <v>0</v>
      </c>
      <c r="E321" s="47">
        <f>SUM(F321:G321)</f>
        <v>0</v>
      </c>
      <c r="F321" s="47">
        <v>0</v>
      </c>
      <c r="G321" s="47">
        <v>0</v>
      </c>
      <c r="H321" s="47">
        <f>SUM(I321:J321)</f>
        <v>0</v>
      </c>
      <c r="I321" s="47">
        <v>0</v>
      </c>
      <c r="J321" s="47">
        <v>0</v>
      </c>
      <c r="K321" s="188" t="s">
        <v>234</v>
      </c>
      <c r="L321" s="134" t="s">
        <v>647</v>
      </c>
    </row>
    <row r="322" spans="1:12" ht="15" customHeight="1" thickBot="1" x14ac:dyDescent="0.25">
      <c r="A322" s="253"/>
      <c r="B322" s="47">
        <f t="shared" ref="B322:J322" si="105">SUM(B320:B321)</f>
        <v>177</v>
      </c>
      <c r="C322" s="47">
        <f t="shared" si="105"/>
        <v>0</v>
      </c>
      <c r="D322" s="47">
        <f t="shared" si="105"/>
        <v>177</v>
      </c>
      <c r="E322" s="47">
        <f t="shared" si="105"/>
        <v>4</v>
      </c>
      <c r="F322" s="47">
        <f t="shared" si="105"/>
        <v>0</v>
      </c>
      <c r="G322" s="47">
        <f t="shared" si="105"/>
        <v>4</v>
      </c>
      <c r="H322" s="47">
        <f t="shared" si="105"/>
        <v>173</v>
      </c>
      <c r="I322" s="47">
        <f t="shared" si="105"/>
        <v>0</v>
      </c>
      <c r="J322" s="47">
        <f t="shared" si="105"/>
        <v>173</v>
      </c>
      <c r="K322" s="188" t="s">
        <v>12</v>
      </c>
      <c r="L322" s="239"/>
    </row>
    <row r="323" spans="1:12" ht="15" customHeight="1" thickBot="1" x14ac:dyDescent="0.25">
      <c r="A323" s="253"/>
      <c r="B323" s="47">
        <f t="shared" ref="B323:J324" si="106">B251+B254+B257+B260+B263+B266+B269+B272+B275+B278+B281+B284+B287+B290+B293+B296+B299+B302+B305+B308+B311+B314+B317+B320</f>
        <v>48857</v>
      </c>
      <c r="C323" s="47">
        <f t="shared" si="106"/>
        <v>29777</v>
      </c>
      <c r="D323" s="47">
        <f t="shared" si="106"/>
        <v>19080</v>
      </c>
      <c r="E323" s="47">
        <f t="shared" si="106"/>
        <v>1392</v>
      </c>
      <c r="F323" s="47">
        <f t="shared" si="106"/>
        <v>816</v>
      </c>
      <c r="G323" s="47">
        <f t="shared" si="106"/>
        <v>576</v>
      </c>
      <c r="H323" s="47">
        <f t="shared" si="106"/>
        <v>47465</v>
      </c>
      <c r="I323" s="47">
        <f t="shared" si="106"/>
        <v>28961</v>
      </c>
      <c r="J323" s="47">
        <f t="shared" si="106"/>
        <v>18504</v>
      </c>
      <c r="K323" s="188" t="s">
        <v>236</v>
      </c>
      <c r="L323" s="131"/>
    </row>
    <row r="324" spans="1:12" ht="15" customHeight="1" thickBot="1" x14ac:dyDescent="0.25">
      <c r="A324" s="253"/>
      <c r="B324" s="47">
        <f t="shared" si="106"/>
        <v>33302</v>
      </c>
      <c r="C324" s="47">
        <f t="shared" si="106"/>
        <v>11162</v>
      </c>
      <c r="D324" s="47">
        <f t="shared" si="106"/>
        <v>22140</v>
      </c>
      <c r="E324" s="47">
        <f t="shared" si="106"/>
        <v>1330</v>
      </c>
      <c r="F324" s="47">
        <f t="shared" si="106"/>
        <v>942</v>
      </c>
      <c r="G324" s="47">
        <f t="shared" si="106"/>
        <v>388</v>
      </c>
      <c r="H324" s="47">
        <f t="shared" si="106"/>
        <v>31972</v>
      </c>
      <c r="I324" s="47">
        <f t="shared" si="106"/>
        <v>10220</v>
      </c>
      <c r="J324" s="47">
        <f t="shared" si="106"/>
        <v>21752</v>
      </c>
      <c r="K324" s="188" t="s">
        <v>237</v>
      </c>
      <c r="L324" s="132" t="s">
        <v>188</v>
      </c>
    </row>
    <row r="325" spans="1:12" ht="15" customHeight="1" thickBot="1" x14ac:dyDescent="0.25">
      <c r="A325" s="253"/>
      <c r="B325" s="47">
        <f t="shared" ref="B325:J325" si="107">SUM(B323:B324)</f>
        <v>82159</v>
      </c>
      <c r="C325" s="47">
        <f t="shared" si="107"/>
        <v>40939</v>
      </c>
      <c r="D325" s="47">
        <f t="shared" si="107"/>
        <v>41220</v>
      </c>
      <c r="E325" s="47">
        <f t="shared" si="107"/>
        <v>2722</v>
      </c>
      <c r="F325" s="47">
        <f t="shared" si="107"/>
        <v>1758</v>
      </c>
      <c r="G325" s="47">
        <f t="shared" si="107"/>
        <v>964</v>
      </c>
      <c r="H325" s="47">
        <f t="shared" si="107"/>
        <v>79437</v>
      </c>
      <c r="I325" s="47">
        <f t="shared" si="107"/>
        <v>39181</v>
      </c>
      <c r="J325" s="47">
        <f t="shared" si="107"/>
        <v>40256</v>
      </c>
      <c r="K325" s="188" t="s">
        <v>12</v>
      </c>
      <c r="L325" s="133"/>
    </row>
    <row r="326" spans="1:12" ht="15" customHeight="1" thickBot="1" x14ac:dyDescent="0.25">
      <c r="A326" s="253"/>
      <c r="B326" s="476" t="s">
        <v>4</v>
      </c>
      <c r="C326" s="476"/>
      <c r="D326" s="476"/>
      <c r="E326" s="476" t="s">
        <v>145</v>
      </c>
      <c r="F326" s="476"/>
      <c r="G326" s="476"/>
      <c r="H326" s="476" t="s">
        <v>146</v>
      </c>
      <c r="I326" s="476"/>
      <c r="J326" s="476"/>
      <c r="K326" s="479" t="s">
        <v>66</v>
      </c>
      <c r="L326" s="479"/>
    </row>
    <row r="327" spans="1:12" ht="15" customHeight="1" thickBot="1" x14ac:dyDescent="0.25">
      <c r="A327" s="253"/>
      <c r="B327" s="185" t="s">
        <v>227</v>
      </c>
      <c r="C327" s="185" t="s">
        <v>10</v>
      </c>
      <c r="D327" s="185" t="s">
        <v>9</v>
      </c>
      <c r="E327" s="185" t="s">
        <v>227</v>
      </c>
      <c r="F327" s="185" t="s">
        <v>10</v>
      </c>
      <c r="G327" s="185" t="s">
        <v>9</v>
      </c>
      <c r="H327" s="185" t="s">
        <v>227</v>
      </c>
      <c r="I327" s="185" t="s">
        <v>10</v>
      </c>
      <c r="J327" s="185" t="s">
        <v>9</v>
      </c>
      <c r="K327" s="480" t="s">
        <v>90</v>
      </c>
      <c r="L327" s="480"/>
    </row>
    <row r="328" spans="1:12" ht="15" customHeight="1" thickBot="1" x14ac:dyDescent="0.25">
      <c r="A328" s="253"/>
      <c r="B328" s="273">
        <f t="shared" ref="B328:B348" si="108">SUM(C328:D328)</f>
        <v>2310</v>
      </c>
      <c r="C328" s="273">
        <f t="shared" ref="C328:D348" si="109">I328+F328</f>
        <v>0</v>
      </c>
      <c r="D328" s="273">
        <f t="shared" si="109"/>
        <v>2310</v>
      </c>
      <c r="E328" s="273">
        <f t="shared" ref="E328:E348" si="110">SUM(F328:G328)</f>
        <v>153</v>
      </c>
      <c r="F328" s="273">
        <v>0</v>
      </c>
      <c r="G328" s="273">
        <f>173-20</f>
        <v>153</v>
      </c>
      <c r="H328" s="273">
        <f t="shared" ref="H328:H348" si="111">SUM(I328:J328)</f>
        <v>2157</v>
      </c>
      <c r="I328" s="273">
        <v>0</v>
      </c>
      <c r="J328" s="273">
        <f>2787-650+20</f>
        <v>2157</v>
      </c>
      <c r="K328" s="274" t="s">
        <v>233</v>
      </c>
      <c r="L328" s="134"/>
    </row>
    <row r="329" spans="1:12" ht="15" customHeight="1" thickBot="1" x14ac:dyDescent="0.25">
      <c r="A329" s="253"/>
      <c r="B329" s="273">
        <f t="shared" si="108"/>
        <v>0</v>
      </c>
      <c r="C329" s="273">
        <f t="shared" si="109"/>
        <v>0</v>
      </c>
      <c r="D329" s="273">
        <f t="shared" si="109"/>
        <v>0</v>
      </c>
      <c r="E329" s="273">
        <f t="shared" si="110"/>
        <v>0</v>
      </c>
      <c r="F329" s="273">
        <v>0</v>
      </c>
      <c r="G329" s="273">
        <v>0</v>
      </c>
      <c r="H329" s="273">
        <f t="shared" si="111"/>
        <v>0</v>
      </c>
      <c r="I329" s="273">
        <v>0</v>
      </c>
      <c r="J329" s="273">
        <v>0</v>
      </c>
      <c r="K329" s="274" t="s">
        <v>234</v>
      </c>
      <c r="L329" s="134" t="s">
        <v>420</v>
      </c>
    </row>
    <row r="330" spans="1:12" ht="15" customHeight="1" thickBot="1" x14ac:dyDescent="0.25">
      <c r="A330" s="253"/>
      <c r="B330" s="273">
        <f t="shared" si="108"/>
        <v>2310</v>
      </c>
      <c r="C330" s="273">
        <f t="shared" si="109"/>
        <v>0</v>
      </c>
      <c r="D330" s="273">
        <f t="shared" si="109"/>
        <v>2310</v>
      </c>
      <c r="E330" s="273">
        <f t="shared" si="110"/>
        <v>153</v>
      </c>
      <c r="F330" s="273">
        <f>SUM(F328:F329)</f>
        <v>0</v>
      </c>
      <c r="G330" s="273">
        <f>SUM(G328:G329)</f>
        <v>153</v>
      </c>
      <c r="H330" s="273">
        <f t="shared" si="111"/>
        <v>2157</v>
      </c>
      <c r="I330" s="273">
        <f>SUM(I328:I329)</f>
        <v>0</v>
      </c>
      <c r="J330" s="273">
        <f>SUM(J328:J329)</f>
        <v>2157</v>
      </c>
      <c r="K330" s="274" t="s">
        <v>12</v>
      </c>
      <c r="L330" s="239"/>
    </row>
    <row r="331" spans="1:12" ht="15" customHeight="1" thickBot="1" x14ac:dyDescent="0.25">
      <c r="A331" s="253"/>
      <c r="B331" s="273">
        <f t="shared" si="108"/>
        <v>748</v>
      </c>
      <c r="C331" s="273">
        <f t="shared" si="109"/>
        <v>0</v>
      </c>
      <c r="D331" s="273">
        <f t="shared" si="109"/>
        <v>748</v>
      </c>
      <c r="E331" s="273">
        <f t="shared" si="110"/>
        <v>15</v>
      </c>
      <c r="F331" s="273">
        <v>0</v>
      </c>
      <c r="G331" s="273">
        <v>15</v>
      </c>
      <c r="H331" s="273">
        <f t="shared" si="111"/>
        <v>733</v>
      </c>
      <c r="I331" s="273">
        <v>0</v>
      </c>
      <c r="J331" s="273">
        <f>986-253</f>
        <v>733</v>
      </c>
      <c r="K331" s="274" t="s">
        <v>233</v>
      </c>
      <c r="L331" s="134"/>
    </row>
    <row r="332" spans="1:12" ht="15" customHeight="1" thickBot="1" x14ac:dyDescent="0.25">
      <c r="A332" s="253"/>
      <c r="B332" s="273">
        <f t="shared" si="108"/>
        <v>0</v>
      </c>
      <c r="C332" s="273">
        <f t="shared" si="109"/>
        <v>0</v>
      </c>
      <c r="D332" s="273">
        <f t="shared" si="109"/>
        <v>0</v>
      </c>
      <c r="E332" s="273">
        <f t="shared" si="110"/>
        <v>0</v>
      </c>
      <c r="F332" s="273">
        <v>0</v>
      </c>
      <c r="G332" s="273">
        <v>0</v>
      </c>
      <c r="H332" s="273">
        <f t="shared" si="111"/>
        <v>0</v>
      </c>
      <c r="I332" s="273">
        <v>0</v>
      </c>
      <c r="J332" s="273">
        <v>0</v>
      </c>
      <c r="K332" s="274" t="s">
        <v>234</v>
      </c>
      <c r="L332" s="134" t="s">
        <v>421</v>
      </c>
    </row>
    <row r="333" spans="1:12" ht="15" customHeight="1" thickBot="1" x14ac:dyDescent="0.25">
      <c r="A333" s="253"/>
      <c r="B333" s="273">
        <f t="shared" si="108"/>
        <v>748</v>
      </c>
      <c r="C333" s="273">
        <f t="shared" si="109"/>
        <v>0</v>
      </c>
      <c r="D333" s="273">
        <f t="shared" si="109"/>
        <v>748</v>
      </c>
      <c r="E333" s="273">
        <f t="shared" si="110"/>
        <v>15</v>
      </c>
      <c r="F333" s="273">
        <f>SUM(F331:F332)</f>
        <v>0</v>
      </c>
      <c r="G333" s="273">
        <f>SUM(G331:G332)</f>
        <v>15</v>
      </c>
      <c r="H333" s="273">
        <f t="shared" si="111"/>
        <v>733</v>
      </c>
      <c r="I333" s="273">
        <f>SUM(I331:I332)</f>
        <v>0</v>
      </c>
      <c r="J333" s="273">
        <f>SUM(J331:J332)</f>
        <v>733</v>
      </c>
      <c r="K333" s="274" t="s">
        <v>12</v>
      </c>
      <c r="L333" s="239"/>
    </row>
    <row r="334" spans="1:12" ht="15" customHeight="1" thickBot="1" x14ac:dyDescent="0.25">
      <c r="A334" s="253"/>
      <c r="B334" s="273">
        <f t="shared" si="108"/>
        <v>1145</v>
      </c>
      <c r="C334" s="273">
        <f t="shared" si="109"/>
        <v>0</v>
      </c>
      <c r="D334" s="273">
        <f t="shared" si="109"/>
        <v>1145</v>
      </c>
      <c r="E334" s="273">
        <f t="shared" si="110"/>
        <v>66</v>
      </c>
      <c r="F334" s="273">
        <v>0</v>
      </c>
      <c r="G334" s="273">
        <v>66</v>
      </c>
      <c r="H334" s="273">
        <f t="shared" si="111"/>
        <v>1079</v>
      </c>
      <c r="I334" s="273">
        <v>0</v>
      </c>
      <c r="J334" s="273">
        <f>1379-300</f>
        <v>1079</v>
      </c>
      <c r="K334" s="274" t="s">
        <v>233</v>
      </c>
      <c r="L334" s="134"/>
    </row>
    <row r="335" spans="1:12" ht="15" customHeight="1" thickBot="1" x14ac:dyDescent="0.25">
      <c r="A335" s="253"/>
      <c r="B335" s="273">
        <f t="shared" si="108"/>
        <v>0</v>
      </c>
      <c r="C335" s="273">
        <f t="shared" si="109"/>
        <v>0</v>
      </c>
      <c r="D335" s="273">
        <f t="shared" si="109"/>
        <v>0</v>
      </c>
      <c r="E335" s="273">
        <f t="shared" si="110"/>
        <v>0</v>
      </c>
      <c r="F335" s="273">
        <v>0</v>
      </c>
      <c r="G335" s="273">
        <v>0</v>
      </c>
      <c r="H335" s="273">
        <f t="shared" si="111"/>
        <v>0</v>
      </c>
      <c r="I335" s="273">
        <v>0</v>
      </c>
      <c r="J335" s="273">
        <v>0</v>
      </c>
      <c r="K335" s="274" t="s">
        <v>234</v>
      </c>
      <c r="L335" s="134" t="s">
        <v>648</v>
      </c>
    </row>
    <row r="336" spans="1:12" ht="15" customHeight="1" thickBot="1" x14ac:dyDescent="0.25">
      <c r="A336" s="253"/>
      <c r="B336" s="273">
        <f t="shared" si="108"/>
        <v>1145</v>
      </c>
      <c r="C336" s="273">
        <f t="shared" si="109"/>
        <v>0</v>
      </c>
      <c r="D336" s="273">
        <f t="shared" si="109"/>
        <v>1145</v>
      </c>
      <c r="E336" s="273">
        <f t="shared" si="110"/>
        <v>66</v>
      </c>
      <c r="F336" s="273">
        <f>SUM(F334:F335)</f>
        <v>0</v>
      </c>
      <c r="G336" s="273">
        <f>SUM(G334:G335)</f>
        <v>66</v>
      </c>
      <c r="H336" s="273">
        <f t="shared" si="111"/>
        <v>1079</v>
      </c>
      <c r="I336" s="273">
        <f>SUM(I334:I335)</f>
        <v>0</v>
      </c>
      <c r="J336" s="273">
        <f>SUM(J334:J335)</f>
        <v>1079</v>
      </c>
      <c r="K336" s="274" t="s">
        <v>12</v>
      </c>
      <c r="L336" s="239"/>
    </row>
    <row r="337" spans="1:12" ht="15" customHeight="1" thickBot="1" x14ac:dyDescent="0.25">
      <c r="A337" s="253"/>
      <c r="B337" s="273">
        <f t="shared" si="108"/>
        <v>697</v>
      </c>
      <c r="C337" s="273">
        <f t="shared" si="109"/>
        <v>0</v>
      </c>
      <c r="D337" s="273">
        <f t="shared" si="109"/>
        <v>697</v>
      </c>
      <c r="E337" s="273">
        <f t="shared" si="110"/>
        <v>84</v>
      </c>
      <c r="F337" s="273">
        <v>0</v>
      </c>
      <c r="G337" s="273">
        <v>84</v>
      </c>
      <c r="H337" s="273">
        <f t="shared" si="111"/>
        <v>613</v>
      </c>
      <c r="I337" s="273">
        <v>0</v>
      </c>
      <c r="J337" s="273">
        <v>613</v>
      </c>
      <c r="K337" s="274" t="s">
        <v>233</v>
      </c>
      <c r="L337" s="134"/>
    </row>
    <row r="338" spans="1:12" ht="15" customHeight="1" thickBot="1" x14ac:dyDescent="0.25">
      <c r="A338" s="253"/>
      <c r="B338" s="273">
        <f t="shared" si="108"/>
        <v>0</v>
      </c>
      <c r="C338" s="273">
        <f t="shared" si="109"/>
        <v>0</v>
      </c>
      <c r="D338" s="273">
        <f t="shared" si="109"/>
        <v>0</v>
      </c>
      <c r="E338" s="273">
        <f t="shared" si="110"/>
        <v>0</v>
      </c>
      <c r="F338" s="273">
        <v>0</v>
      </c>
      <c r="G338" s="273">
        <v>0</v>
      </c>
      <c r="H338" s="273">
        <f t="shared" si="111"/>
        <v>0</v>
      </c>
      <c r="I338" s="273">
        <v>0</v>
      </c>
      <c r="J338" s="273">
        <v>0</v>
      </c>
      <c r="K338" s="274" t="s">
        <v>234</v>
      </c>
      <c r="L338" s="134" t="s">
        <v>514</v>
      </c>
    </row>
    <row r="339" spans="1:12" ht="15" customHeight="1" thickBot="1" x14ac:dyDescent="0.25">
      <c r="A339" s="253"/>
      <c r="B339" s="273">
        <f t="shared" si="108"/>
        <v>697</v>
      </c>
      <c r="C339" s="273">
        <f t="shared" si="109"/>
        <v>0</v>
      </c>
      <c r="D339" s="273">
        <f t="shared" si="109"/>
        <v>697</v>
      </c>
      <c r="E339" s="273">
        <f t="shared" si="110"/>
        <v>84</v>
      </c>
      <c r="F339" s="273">
        <f>SUM(F337:F338)</f>
        <v>0</v>
      </c>
      <c r="G339" s="273">
        <f>SUM(G337:G338)</f>
        <v>84</v>
      </c>
      <c r="H339" s="273">
        <f t="shared" si="111"/>
        <v>613</v>
      </c>
      <c r="I339" s="273">
        <f>SUM(I337:I338)</f>
        <v>0</v>
      </c>
      <c r="J339" s="273">
        <f>SUM(J337:J338)</f>
        <v>613</v>
      </c>
      <c r="K339" s="274" t="s">
        <v>12</v>
      </c>
      <c r="L339" s="239"/>
    </row>
    <row r="340" spans="1:12" ht="15" customHeight="1" thickBot="1" x14ac:dyDescent="0.25">
      <c r="A340" s="253"/>
      <c r="B340" s="273">
        <f t="shared" si="108"/>
        <v>91</v>
      </c>
      <c r="C340" s="273">
        <f t="shared" si="109"/>
        <v>0</v>
      </c>
      <c r="D340" s="273">
        <f t="shared" si="109"/>
        <v>91</v>
      </c>
      <c r="E340" s="273">
        <f t="shared" si="110"/>
        <v>5</v>
      </c>
      <c r="F340" s="273">
        <v>0</v>
      </c>
      <c r="G340" s="273">
        <v>5</v>
      </c>
      <c r="H340" s="273">
        <f t="shared" si="111"/>
        <v>86</v>
      </c>
      <c r="I340" s="273">
        <v>0</v>
      </c>
      <c r="J340" s="273">
        <v>86</v>
      </c>
      <c r="K340" s="274" t="s">
        <v>233</v>
      </c>
      <c r="L340" s="134"/>
    </row>
    <row r="341" spans="1:12" ht="15" customHeight="1" thickBot="1" x14ac:dyDescent="0.25">
      <c r="A341" s="253"/>
      <c r="B341" s="273">
        <f t="shared" si="108"/>
        <v>0</v>
      </c>
      <c r="C341" s="273">
        <f t="shared" si="109"/>
        <v>0</v>
      </c>
      <c r="D341" s="273">
        <f t="shared" si="109"/>
        <v>0</v>
      </c>
      <c r="E341" s="273">
        <f t="shared" si="110"/>
        <v>0</v>
      </c>
      <c r="F341" s="273">
        <v>0</v>
      </c>
      <c r="G341" s="273">
        <v>0</v>
      </c>
      <c r="H341" s="273">
        <f t="shared" si="111"/>
        <v>0</v>
      </c>
      <c r="I341" s="273">
        <v>0</v>
      </c>
      <c r="J341" s="273">
        <v>0</v>
      </c>
      <c r="K341" s="274" t="s">
        <v>234</v>
      </c>
      <c r="L341" s="134" t="s">
        <v>367</v>
      </c>
    </row>
    <row r="342" spans="1:12" ht="15" customHeight="1" thickBot="1" x14ac:dyDescent="0.25">
      <c r="A342" s="253"/>
      <c r="B342" s="273">
        <f t="shared" si="108"/>
        <v>91</v>
      </c>
      <c r="C342" s="273">
        <f t="shared" si="109"/>
        <v>0</v>
      </c>
      <c r="D342" s="273">
        <f t="shared" si="109"/>
        <v>91</v>
      </c>
      <c r="E342" s="273">
        <f t="shared" si="110"/>
        <v>5</v>
      </c>
      <c r="F342" s="273">
        <f>SUM(F340:F341)</f>
        <v>0</v>
      </c>
      <c r="G342" s="273">
        <f>SUM(G340:G341)</f>
        <v>5</v>
      </c>
      <c r="H342" s="273">
        <f t="shared" si="111"/>
        <v>86</v>
      </c>
      <c r="I342" s="273">
        <f>SUM(I340:I341)</f>
        <v>0</v>
      </c>
      <c r="J342" s="273">
        <f>SUM(J340:J341)</f>
        <v>86</v>
      </c>
      <c r="K342" s="274" t="s">
        <v>12</v>
      </c>
      <c r="L342" s="239"/>
    </row>
    <row r="343" spans="1:12" ht="15" customHeight="1" thickBot="1" x14ac:dyDescent="0.25">
      <c r="A343" s="253"/>
      <c r="B343" s="273">
        <f t="shared" si="108"/>
        <v>117</v>
      </c>
      <c r="C343" s="273">
        <f t="shared" si="109"/>
        <v>0</v>
      </c>
      <c r="D343" s="273">
        <f t="shared" si="109"/>
        <v>117</v>
      </c>
      <c r="E343" s="273">
        <f t="shared" si="110"/>
        <v>27</v>
      </c>
      <c r="F343" s="273">
        <v>0</v>
      </c>
      <c r="G343" s="273">
        <v>27</v>
      </c>
      <c r="H343" s="273">
        <f t="shared" si="111"/>
        <v>90</v>
      </c>
      <c r="I343" s="273">
        <v>0</v>
      </c>
      <c r="J343" s="273">
        <v>90</v>
      </c>
      <c r="K343" s="274" t="s">
        <v>233</v>
      </c>
      <c r="L343" s="134"/>
    </row>
    <row r="344" spans="1:12" ht="15" customHeight="1" thickBot="1" x14ac:dyDescent="0.25">
      <c r="A344" s="253"/>
      <c r="B344" s="273">
        <f t="shared" si="108"/>
        <v>0</v>
      </c>
      <c r="C344" s="273">
        <f t="shared" si="109"/>
        <v>0</v>
      </c>
      <c r="D344" s="273">
        <f t="shared" si="109"/>
        <v>0</v>
      </c>
      <c r="E344" s="273">
        <f t="shared" si="110"/>
        <v>0</v>
      </c>
      <c r="F344" s="273">
        <v>0</v>
      </c>
      <c r="G344" s="273">
        <v>0</v>
      </c>
      <c r="H344" s="273">
        <f t="shared" si="111"/>
        <v>0</v>
      </c>
      <c r="I344" s="273">
        <v>0</v>
      </c>
      <c r="J344" s="273">
        <v>0</v>
      </c>
      <c r="K344" s="274" t="s">
        <v>234</v>
      </c>
      <c r="L344" s="134" t="s">
        <v>405</v>
      </c>
    </row>
    <row r="345" spans="1:12" ht="15" customHeight="1" thickBot="1" x14ac:dyDescent="0.25">
      <c r="A345" s="253"/>
      <c r="B345" s="273">
        <f t="shared" si="108"/>
        <v>117</v>
      </c>
      <c r="C345" s="273">
        <f t="shared" si="109"/>
        <v>0</v>
      </c>
      <c r="D345" s="273">
        <f t="shared" si="109"/>
        <v>117</v>
      </c>
      <c r="E345" s="273">
        <f t="shared" si="110"/>
        <v>27</v>
      </c>
      <c r="F345" s="273">
        <f>SUM(F343:F344)</f>
        <v>0</v>
      </c>
      <c r="G345" s="273">
        <f>SUM(G343:G344)</f>
        <v>27</v>
      </c>
      <c r="H345" s="273">
        <f t="shared" si="111"/>
        <v>90</v>
      </c>
      <c r="I345" s="273">
        <f>SUM(I343:I344)</f>
        <v>0</v>
      </c>
      <c r="J345" s="273">
        <f>SUM(J343:J344)</f>
        <v>90</v>
      </c>
      <c r="K345" s="274" t="s">
        <v>12</v>
      </c>
      <c r="L345" s="239"/>
    </row>
    <row r="346" spans="1:12" ht="15" customHeight="1" thickBot="1" x14ac:dyDescent="0.25">
      <c r="A346" s="253"/>
      <c r="B346" s="273">
        <f t="shared" si="108"/>
        <v>1961</v>
      </c>
      <c r="C346" s="273">
        <f t="shared" si="109"/>
        <v>0</v>
      </c>
      <c r="D346" s="273">
        <f t="shared" si="109"/>
        <v>1961</v>
      </c>
      <c r="E346" s="273">
        <f t="shared" si="110"/>
        <v>80</v>
      </c>
      <c r="F346" s="273">
        <v>0</v>
      </c>
      <c r="G346" s="273">
        <f>100-20</f>
        <v>80</v>
      </c>
      <c r="H346" s="273">
        <f t="shared" si="111"/>
        <v>1881</v>
      </c>
      <c r="I346" s="273">
        <v>0</v>
      </c>
      <c r="J346" s="273">
        <f>2561-700+20</f>
        <v>1881</v>
      </c>
      <c r="K346" s="274" t="s">
        <v>233</v>
      </c>
      <c r="L346" s="134"/>
    </row>
    <row r="347" spans="1:12" ht="15" customHeight="1" thickBot="1" x14ac:dyDescent="0.25">
      <c r="A347" s="253"/>
      <c r="B347" s="273">
        <f t="shared" si="108"/>
        <v>0</v>
      </c>
      <c r="C347" s="273">
        <f t="shared" si="109"/>
        <v>0</v>
      </c>
      <c r="D347" s="273">
        <f t="shared" si="109"/>
        <v>0</v>
      </c>
      <c r="E347" s="273">
        <f t="shared" si="110"/>
        <v>0</v>
      </c>
      <c r="F347" s="273">
        <v>0</v>
      </c>
      <c r="G347" s="273">
        <v>0</v>
      </c>
      <c r="H347" s="273">
        <f t="shared" si="111"/>
        <v>0</v>
      </c>
      <c r="I347" s="273">
        <v>0</v>
      </c>
      <c r="J347" s="273">
        <v>0</v>
      </c>
      <c r="K347" s="274" t="s">
        <v>234</v>
      </c>
      <c r="L347" s="134" t="s">
        <v>424</v>
      </c>
    </row>
    <row r="348" spans="1:12" ht="15" customHeight="1" thickBot="1" x14ac:dyDescent="0.25">
      <c r="A348" s="253"/>
      <c r="B348" s="273">
        <f t="shared" si="108"/>
        <v>1961</v>
      </c>
      <c r="C348" s="273">
        <f t="shared" si="109"/>
        <v>0</v>
      </c>
      <c r="D348" s="273">
        <f t="shared" si="109"/>
        <v>1961</v>
      </c>
      <c r="E348" s="273">
        <f t="shared" si="110"/>
        <v>80</v>
      </c>
      <c r="F348" s="273">
        <f>SUM(F346:F347)</f>
        <v>0</v>
      </c>
      <c r="G348" s="273">
        <f>SUM(G346:G347)</f>
        <v>80</v>
      </c>
      <c r="H348" s="273">
        <f t="shared" si="111"/>
        <v>1881</v>
      </c>
      <c r="I348" s="273">
        <f>SUM(I346:I347)</f>
        <v>0</v>
      </c>
      <c r="J348" s="273">
        <f>SUM(J346:J347)</f>
        <v>1881</v>
      </c>
      <c r="K348" s="274" t="s">
        <v>12</v>
      </c>
      <c r="L348" s="239"/>
    </row>
    <row r="349" spans="1:12" ht="15" customHeight="1" thickBot="1" x14ac:dyDescent="0.25">
      <c r="A349" s="253"/>
      <c r="B349" s="273">
        <f t="shared" ref="B349:J351" si="112">B328+B331+B334+B337+B340+B343+B346</f>
        <v>7069</v>
      </c>
      <c r="C349" s="273">
        <f t="shared" si="112"/>
        <v>0</v>
      </c>
      <c r="D349" s="273">
        <f t="shared" si="112"/>
        <v>7069</v>
      </c>
      <c r="E349" s="273">
        <f t="shared" si="112"/>
        <v>430</v>
      </c>
      <c r="F349" s="273">
        <f t="shared" si="112"/>
        <v>0</v>
      </c>
      <c r="G349" s="273">
        <f t="shared" si="112"/>
        <v>430</v>
      </c>
      <c r="H349" s="273">
        <f t="shared" si="112"/>
        <v>6639</v>
      </c>
      <c r="I349" s="273">
        <f t="shared" si="112"/>
        <v>0</v>
      </c>
      <c r="J349" s="273">
        <f t="shared" si="112"/>
        <v>6639</v>
      </c>
      <c r="K349" s="274" t="s">
        <v>236</v>
      </c>
      <c r="L349" s="131"/>
    </row>
    <row r="350" spans="1:12" ht="15" customHeight="1" thickBot="1" x14ac:dyDescent="0.25">
      <c r="A350" s="253"/>
      <c r="B350" s="273">
        <f t="shared" si="112"/>
        <v>0</v>
      </c>
      <c r="C350" s="273">
        <f t="shared" si="112"/>
        <v>0</v>
      </c>
      <c r="D350" s="273">
        <f t="shared" si="112"/>
        <v>0</v>
      </c>
      <c r="E350" s="273">
        <f t="shared" si="112"/>
        <v>0</v>
      </c>
      <c r="F350" s="273">
        <f t="shared" si="112"/>
        <v>0</v>
      </c>
      <c r="G350" s="273">
        <f t="shared" si="112"/>
        <v>0</v>
      </c>
      <c r="H350" s="273">
        <f t="shared" si="112"/>
        <v>0</v>
      </c>
      <c r="I350" s="273">
        <f t="shared" si="112"/>
        <v>0</v>
      </c>
      <c r="J350" s="273">
        <f t="shared" si="112"/>
        <v>0</v>
      </c>
      <c r="K350" s="274" t="s">
        <v>237</v>
      </c>
      <c r="L350" s="132" t="s">
        <v>188</v>
      </c>
    </row>
    <row r="351" spans="1:12" ht="15" customHeight="1" thickBot="1" x14ac:dyDescent="0.25">
      <c r="A351" s="253"/>
      <c r="B351" s="273">
        <f t="shared" si="112"/>
        <v>7069</v>
      </c>
      <c r="C351" s="273">
        <f t="shared" si="112"/>
        <v>0</v>
      </c>
      <c r="D351" s="273">
        <f t="shared" si="112"/>
        <v>7069</v>
      </c>
      <c r="E351" s="273">
        <f t="shared" si="112"/>
        <v>430</v>
      </c>
      <c r="F351" s="273">
        <f t="shared" si="112"/>
        <v>0</v>
      </c>
      <c r="G351" s="273">
        <f t="shared" si="112"/>
        <v>430</v>
      </c>
      <c r="H351" s="273">
        <f t="shared" si="112"/>
        <v>6639</v>
      </c>
      <c r="I351" s="273">
        <f t="shared" si="112"/>
        <v>0</v>
      </c>
      <c r="J351" s="273">
        <f t="shared" si="112"/>
        <v>6639</v>
      </c>
      <c r="K351" s="274" t="s">
        <v>12</v>
      </c>
      <c r="L351" s="133"/>
    </row>
    <row r="352" spans="1:12" ht="15" customHeight="1" thickBot="1" x14ac:dyDescent="0.25">
      <c r="A352" s="253"/>
      <c r="B352" s="476" t="s">
        <v>4</v>
      </c>
      <c r="C352" s="476"/>
      <c r="D352" s="476"/>
      <c r="E352" s="476" t="s">
        <v>145</v>
      </c>
      <c r="F352" s="476"/>
      <c r="G352" s="476"/>
      <c r="H352" s="476" t="s">
        <v>146</v>
      </c>
      <c r="I352" s="476"/>
      <c r="J352" s="476"/>
      <c r="K352" s="479" t="s">
        <v>66</v>
      </c>
      <c r="L352" s="479"/>
    </row>
    <row r="353" spans="1:12" ht="15" customHeight="1" thickBot="1" x14ac:dyDescent="0.25">
      <c r="A353" s="253"/>
      <c r="B353" s="185" t="s">
        <v>227</v>
      </c>
      <c r="C353" s="185" t="s">
        <v>10</v>
      </c>
      <c r="D353" s="185" t="s">
        <v>9</v>
      </c>
      <c r="E353" s="185" t="s">
        <v>227</v>
      </c>
      <c r="F353" s="185" t="s">
        <v>10</v>
      </c>
      <c r="G353" s="185" t="s">
        <v>9</v>
      </c>
      <c r="H353" s="185" t="s">
        <v>227</v>
      </c>
      <c r="I353" s="185" t="s">
        <v>10</v>
      </c>
      <c r="J353" s="185" t="s">
        <v>9</v>
      </c>
      <c r="K353" s="480" t="s">
        <v>74</v>
      </c>
      <c r="L353" s="480"/>
    </row>
    <row r="354" spans="1:12" ht="15" customHeight="1" thickBot="1" x14ac:dyDescent="0.25">
      <c r="A354" s="253"/>
      <c r="B354" s="47">
        <f>SUM(C354:D354)</f>
        <v>1185</v>
      </c>
      <c r="C354" s="47">
        <f>I354+F354</f>
        <v>0</v>
      </c>
      <c r="D354" s="47">
        <f>J354+G354</f>
        <v>1185</v>
      </c>
      <c r="E354" s="47">
        <f>SUM(F354:G354)</f>
        <v>0</v>
      </c>
      <c r="F354" s="47">
        <v>0</v>
      </c>
      <c r="G354" s="47">
        <v>0</v>
      </c>
      <c r="H354" s="47">
        <f>SUM(I354:J354)</f>
        <v>1185</v>
      </c>
      <c r="I354" s="47">
        <v>0</v>
      </c>
      <c r="J354" s="47">
        <v>1185</v>
      </c>
      <c r="K354" s="188" t="s">
        <v>233</v>
      </c>
      <c r="L354" s="134"/>
    </row>
    <row r="355" spans="1:12" ht="15" customHeight="1" thickBot="1" x14ac:dyDescent="0.25">
      <c r="A355" s="253"/>
      <c r="B355" s="47">
        <f>SUM(C355:D355)</f>
        <v>0</v>
      </c>
      <c r="C355" s="47">
        <f>I355+F355</f>
        <v>0</v>
      </c>
      <c r="D355" s="47">
        <f>J355+G355</f>
        <v>0</v>
      </c>
      <c r="E355" s="47">
        <f>SUM(F355:G355)</f>
        <v>0</v>
      </c>
      <c r="F355" s="47">
        <v>0</v>
      </c>
      <c r="G355" s="47">
        <v>0</v>
      </c>
      <c r="H355" s="47">
        <f>SUM(I355:J355)</f>
        <v>0</v>
      </c>
      <c r="I355" s="47">
        <v>0</v>
      </c>
      <c r="J355" s="47">
        <v>0</v>
      </c>
      <c r="K355" s="188" t="s">
        <v>234</v>
      </c>
      <c r="L355" s="134" t="s">
        <v>649</v>
      </c>
    </row>
    <row r="356" spans="1:12" ht="15" customHeight="1" thickBot="1" x14ac:dyDescent="0.25">
      <c r="A356" s="253"/>
      <c r="B356" s="47">
        <f t="shared" ref="B356:J356" si="113">SUM(B354:B355)</f>
        <v>1185</v>
      </c>
      <c r="C356" s="47">
        <f t="shared" si="113"/>
        <v>0</v>
      </c>
      <c r="D356" s="47">
        <f t="shared" si="113"/>
        <v>1185</v>
      </c>
      <c r="E356" s="47">
        <f t="shared" si="113"/>
        <v>0</v>
      </c>
      <c r="F356" s="47">
        <f t="shared" si="113"/>
        <v>0</v>
      </c>
      <c r="G356" s="47">
        <f t="shared" si="113"/>
        <v>0</v>
      </c>
      <c r="H356" s="47">
        <f t="shared" si="113"/>
        <v>1185</v>
      </c>
      <c r="I356" s="47">
        <f t="shared" si="113"/>
        <v>0</v>
      </c>
      <c r="J356" s="47">
        <f t="shared" si="113"/>
        <v>1185</v>
      </c>
      <c r="K356" s="188" t="s">
        <v>12</v>
      </c>
      <c r="L356" s="239"/>
    </row>
    <row r="357" spans="1:12" ht="15" customHeight="1" thickBot="1" x14ac:dyDescent="0.25">
      <c r="A357" s="253"/>
      <c r="B357" s="47">
        <f>SUM(C357:D357)</f>
        <v>354</v>
      </c>
      <c r="C357" s="47">
        <f>I357+F357</f>
        <v>0</v>
      </c>
      <c r="D357" s="47">
        <f>J357+G357</f>
        <v>354</v>
      </c>
      <c r="E357" s="47">
        <f>SUM(F357:G357)</f>
        <v>8</v>
      </c>
      <c r="F357" s="47">
        <v>0</v>
      </c>
      <c r="G357" s="47">
        <v>8</v>
      </c>
      <c r="H357" s="47">
        <f>SUM(I357:J357)</f>
        <v>346</v>
      </c>
      <c r="I357" s="47">
        <v>0</v>
      </c>
      <c r="J357" s="47">
        <v>346</v>
      </c>
      <c r="K357" s="188" t="s">
        <v>233</v>
      </c>
      <c r="L357" s="134"/>
    </row>
    <row r="358" spans="1:12" ht="15" customHeight="1" thickBot="1" x14ac:dyDescent="0.25">
      <c r="A358" s="253"/>
      <c r="B358" s="47">
        <f>SUM(C358:D358)</f>
        <v>0</v>
      </c>
      <c r="C358" s="47">
        <f>I358+F358</f>
        <v>0</v>
      </c>
      <c r="D358" s="47">
        <f>J358+G358</f>
        <v>0</v>
      </c>
      <c r="E358" s="47">
        <f>SUM(F358:G358)</f>
        <v>0</v>
      </c>
      <c r="F358" s="47">
        <v>0</v>
      </c>
      <c r="G358" s="47">
        <v>0</v>
      </c>
      <c r="H358" s="47">
        <f>SUM(I358:J358)</f>
        <v>0</v>
      </c>
      <c r="I358" s="47">
        <v>0</v>
      </c>
      <c r="J358" s="47">
        <v>0</v>
      </c>
      <c r="K358" s="188" t="s">
        <v>234</v>
      </c>
      <c r="L358" s="134" t="s">
        <v>426</v>
      </c>
    </row>
    <row r="359" spans="1:12" ht="15" customHeight="1" thickBot="1" x14ac:dyDescent="0.25">
      <c r="A359" s="253"/>
      <c r="B359" s="47">
        <f t="shared" ref="B359:J359" si="114">SUM(B357:B358)</f>
        <v>354</v>
      </c>
      <c r="C359" s="47">
        <f t="shared" si="114"/>
        <v>0</v>
      </c>
      <c r="D359" s="47">
        <f t="shared" si="114"/>
        <v>354</v>
      </c>
      <c r="E359" s="47">
        <f t="shared" si="114"/>
        <v>8</v>
      </c>
      <c r="F359" s="47">
        <f t="shared" si="114"/>
        <v>0</v>
      </c>
      <c r="G359" s="47">
        <f t="shared" si="114"/>
        <v>8</v>
      </c>
      <c r="H359" s="47">
        <f t="shared" si="114"/>
        <v>346</v>
      </c>
      <c r="I359" s="47">
        <f t="shared" si="114"/>
        <v>0</v>
      </c>
      <c r="J359" s="47">
        <f t="shared" si="114"/>
        <v>346</v>
      </c>
      <c r="K359" s="188" t="s">
        <v>12</v>
      </c>
      <c r="L359" s="239"/>
    </row>
    <row r="360" spans="1:12" ht="15" customHeight="1" thickBot="1" x14ac:dyDescent="0.25">
      <c r="A360" s="253"/>
      <c r="B360" s="47">
        <f>SUM(C360:D360)</f>
        <v>2013</v>
      </c>
      <c r="C360" s="47">
        <f>I360+F360</f>
        <v>998</v>
      </c>
      <c r="D360" s="47">
        <f>J360+G360</f>
        <v>1015</v>
      </c>
      <c r="E360" s="47">
        <f>SUM(F360:G360)</f>
        <v>18</v>
      </c>
      <c r="F360" s="47">
        <v>10</v>
      </c>
      <c r="G360" s="47">
        <v>8</v>
      </c>
      <c r="H360" s="47">
        <f>SUM(I360:J360)</f>
        <v>1995</v>
      </c>
      <c r="I360" s="47">
        <v>988</v>
      </c>
      <c r="J360" s="47">
        <v>1007</v>
      </c>
      <c r="K360" s="188" t="s">
        <v>233</v>
      </c>
      <c r="L360" s="134"/>
    </row>
    <row r="361" spans="1:12" ht="15" customHeight="1" thickBot="1" x14ac:dyDescent="0.25">
      <c r="A361" s="253"/>
      <c r="B361" s="47">
        <f>SUM(C361:D361)</f>
        <v>0</v>
      </c>
      <c r="C361" s="47">
        <f>I361+F361</f>
        <v>0</v>
      </c>
      <c r="D361" s="47">
        <f>J361+G361</f>
        <v>0</v>
      </c>
      <c r="E361" s="47">
        <f>SUM(F361:G361)</f>
        <v>0</v>
      </c>
      <c r="F361" s="47">
        <v>0</v>
      </c>
      <c r="G361" s="47">
        <v>0</v>
      </c>
      <c r="H361" s="47">
        <f>SUM(I361:J361)</f>
        <v>0</v>
      </c>
      <c r="I361" s="47">
        <v>0</v>
      </c>
      <c r="J361" s="47">
        <v>0</v>
      </c>
      <c r="K361" s="188" t="s">
        <v>234</v>
      </c>
      <c r="L361" s="134" t="s">
        <v>427</v>
      </c>
    </row>
    <row r="362" spans="1:12" ht="15" customHeight="1" thickBot="1" x14ac:dyDescent="0.25">
      <c r="A362" s="253"/>
      <c r="B362" s="47">
        <f t="shared" ref="B362:J362" si="115">SUM(B360:B361)</f>
        <v>2013</v>
      </c>
      <c r="C362" s="47">
        <f t="shared" si="115"/>
        <v>998</v>
      </c>
      <c r="D362" s="47">
        <f t="shared" si="115"/>
        <v>1015</v>
      </c>
      <c r="E362" s="47">
        <f t="shared" si="115"/>
        <v>18</v>
      </c>
      <c r="F362" s="47">
        <f t="shared" si="115"/>
        <v>10</v>
      </c>
      <c r="G362" s="47">
        <f t="shared" si="115"/>
        <v>8</v>
      </c>
      <c r="H362" s="47">
        <f t="shared" si="115"/>
        <v>1995</v>
      </c>
      <c r="I362" s="47">
        <f t="shared" si="115"/>
        <v>988</v>
      </c>
      <c r="J362" s="47">
        <f t="shared" si="115"/>
        <v>1007</v>
      </c>
      <c r="K362" s="188" t="s">
        <v>12</v>
      </c>
      <c r="L362" s="239"/>
    </row>
    <row r="363" spans="1:12" ht="15" customHeight="1" thickBot="1" x14ac:dyDescent="0.25">
      <c r="A363" s="253"/>
      <c r="B363" s="47">
        <f>SUM(C363:D363)</f>
        <v>1142</v>
      </c>
      <c r="C363" s="47">
        <f>I363+F363</f>
        <v>0</v>
      </c>
      <c r="D363" s="47">
        <f>J363+G363</f>
        <v>1142</v>
      </c>
      <c r="E363" s="47">
        <f>SUM(F363:G363)</f>
        <v>41</v>
      </c>
      <c r="F363" s="47">
        <v>0</v>
      </c>
      <c r="G363" s="47">
        <v>41</v>
      </c>
      <c r="H363" s="47">
        <f>SUM(I363:J363)</f>
        <v>1101</v>
      </c>
      <c r="I363" s="47">
        <v>0</v>
      </c>
      <c r="J363" s="47">
        <v>1101</v>
      </c>
      <c r="K363" s="188" t="s">
        <v>233</v>
      </c>
      <c r="L363" s="134"/>
    </row>
    <row r="364" spans="1:12" ht="15" customHeight="1" thickBot="1" x14ac:dyDescent="0.25">
      <c r="A364" s="253"/>
      <c r="B364" s="47">
        <f>SUM(C364:D364)</f>
        <v>0</v>
      </c>
      <c r="C364" s="47">
        <f>I364+F364</f>
        <v>0</v>
      </c>
      <c r="D364" s="47">
        <f>J364+G364</f>
        <v>0</v>
      </c>
      <c r="E364" s="47">
        <f>SUM(F364:G364)</f>
        <v>0</v>
      </c>
      <c r="F364" s="47">
        <v>0</v>
      </c>
      <c r="G364" s="47">
        <v>0</v>
      </c>
      <c r="H364" s="47">
        <f>SUM(I364:J364)</f>
        <v>0</v>
      </c>
      <c r="I364" s="47">
        <v>0</v>
      </c>
      <c r="J364" s="47">
        <v>0</v>
      </c>
      <c r="K364" s="188" t="s">
        <v>234</v>
      </c>
      <c r="L364" s="134" t="s">
        <v>428</v>
      </c>
    </row>
    <row r="365" spans="1:12" ht="15" customHeight="1" thickBot="1" x14ac:dyDescent="0.25">
      <c r="A365" s="253"/>
      <c r="B365" s="47">
        <f t="shared" ref="B365:J365" si="116">SUM(B363:B364)</f>
        <v>1142</v>
      </c>
      <c r="C365" s="47">
        <f t="shared" si="116"/>
        <v>0</v>
      </c>
      <c r="D365" s="47">
        <f t="shared" si="116"/>
        <v>1142</v>
      </c>
      <c r="E365" s="47">
        <f t="shared" si="116"/>
        <v>41</v>
      </c>
      <c r="F365" s="47">
        <f t="shared" si="116"/>
        <v>0</v>
      </c>
      <c r="G365" s="47">
        <f t="shared" si="116"/>
        <v>41</v>
      </c>
      <c r="H365" s="47">
        <f t="shared" si="116"/>
        <v>1101</v>
      </c>
      <c r="I365" s="47">
        <f t="shared" si="116"/>
        <v>0</v>
      </c>
      <c r="J365" s="47">
        <f t="shared" si="116"/>
        <v>1101</v>
      </c>
      <c r="K365" s="188" t="s">
        <v>12</v>
      </c>
      <c r="L365" s="239"/>
    </row>
    <row r="366" spans="1:12" ht="15" customHeight="1" thickBot="1" x14ac:dyDescent="0.25">
      <c r="A366" s="253"/>
      <c r="B366" s="47">
        <f>SUM(C366:D366)</f>
        <v>3250</v>
      </c>
      <c r="C366" s="47">
        <f>I366+F366</f>
        <v>1846</v>
      </c>
      <c r="D366" s="47">
        <f>J366+G366</f>
        <v>1404</v>
      </c>
      <c r="E366" s="47">
        <f>SUM(F366:G366)</f>
        <v>31</v>
      </c>
      <c r="F366" s="47">
        <v>28</v>
      </c>
      <c r="G366" s="47">
        <v>3</v>
      </c>
      <c r="H366" s="47">
        <f>SUM(I366:J366)</f>
        <v>3219</v>
      </c>
      <c r="I366" s="47">
        <f>2460-642</f>
        <v>1818</v>
      </c>
      <c r="J366" s="47">
        <v>1401</v>
      </c>
      <c r="K366" s="188" t="s">
        <v>233</v>
      </c>
      <c r="L366" s="134"/>
    </row>
    <row r="367" spans="1:12" ht="15" customHeight="1" thickBot="1" x14ac:dyDescent="0.25">
      <c r="A367" s="253"/>
      <c r="B367" s="47">
        <f>SUM(C367:D367)</f>
        <v>0</v>
      </c>
      <c r="C367" s="47">
        <f>I367+F367</f>
        <v>0</v>
      </c>
      <c r="D367" s="47">
        <f>J367+G367</f>
        <v>0</v>
      </c>
      <c r="E367" s="47">
        <f>SUM(F367:G367)</f>
        <v>0</v>
      </c>
      <c r="F367" s="47">
        <v>0</v>
      </c>
      <c r="G367" s="47">
        <v>0</v>
      </c>
      <c r="H367" s="47">
        <f>SUM(I367:J367)</f>
        <v>0</v>
      </c>
      <c r="I367" s="47">
        <v>0</v>
      </c>
      <c r="J367" s="47">
        <v>0</v>
      </c>
      <c r="K367" s="188" t="s">
        <v>234</v>
      </c>
      <c r="L367" s="134" t="s">
        <v>429</v>
      </c>
    </row>
    <row r="368" spans="1:12" ht="15" customHeight="1" thickBot="1" x14ac:dyDescent="0.25">
      <c r="A368" s="253"/>
      <c r="B368" s="47">
        <f t="shared" ref="B368:J368" si="117">SUM(B366:B367)</f>
        <v>3250</v>
      </c>
      <c r="C368" s="47">
        <f t="shared" si="117"/>
        <v>1846</v>
      </c>
      <c r="D368" s="47">
        <f t="shared" si="117"/>
        <v>1404</v>
      </c>
      <c r="E368" s="47">
        <f t="shared" si="117"/>
        <v>31</v>
      </c>
      <c r="F368" s="47">
        <f t="shared" si="117"/>
        <v>28</v>
      </c>
      <c r="G368" s="47">
        <f t="shared" si="117"/>
        <v>3</v>
      </c>
      <c r="H368" s="47">
        <f t="shared" si="117"/>
        <v>3219</v>
      </c>
      <c r="I368" s="47">
        <f t="shared" si="117"/>
        <v>1818</v>
      </c>
      <c r="J368" s="47">
        <f t="shared" si="117"/>
        <v>1401</v>
      </c>
      <c r="K368" s="188" t="s">
        <v>12</v>
      </c>
      <c r="L368" s="239"/>
    </row>
    <row r="369" spans="1:12" ht="15" customHeight="1" thickBot="1" x14ac:dyDescent="0.25">
      <c r="A369" s="253"/>
      <c r="B369" s="47">
        <f>SUM(C369:D369)</f>
        <v>1690</v>
      </c>
      <c r="C369" s="47">
        <f>I369+F369</f>
        <v>565</v>
      </c>
      <c r="D369" s="47">
        <f>J369+G369</f>
        <v>1125</v>
      </c>
      <c r="E369" s="47">
        <f>SUM(F369:G369)</f>
        <v>8</v>
      </c>
      <c r="F369" s="47">
        <v>0</v>
      </c>
      <c r="G369" s="47">
        <v>8</v>
      </c>
      <c r="H369" s="47">
        <f>SUM(I369:J369)</f>
        <v>1682</v>
      </c>
      <c r="I369" s="47">
        <f>770-205</f>
        <v>565</v>
      </c>
      <c r="J369" s="47">
        <v>1117</v>
      </c>
      <c r="K369" s="188" t="s">
        <v>233</v>
      </c>
      <c r="L369" s="134"/>
    </row>
    <row r="370" spans="1:12" ht="15" customHeight="1" thickBot="1" x14ac:dyDescent="0.25">
      <c r="A370" s="253"/>
      <c r="B370" s="47">
        <f>SUM(C370:D370)</f>
        <v>0</v>
      </c>
      <c r="C370" s="47">
        <f>I370+F370</f>
        <v>0</v>
      </c>
      <c r="D370" s="47">
        <f>J370+G370</f>
        <v>0</v>
      </c>
      <c r="E370" s="47">
        <f>SUM(F370:G370)</f>
        <v>0</v>
      </c>
      <c r="F370" s="47">
        <v>0</v>
      </c>
      <c r="G370" s="47">
        <v>0</v>
      </c>
      <c r="H370" s="47">
        <f>SUM(I370:J370)</f>
        <v>0</v>
      </c>
      <c r="I370" s="47">
        <v>0</v>
      </c>
      <c r="J370" s="47">
        <v>0</v>
      </c>
      <c r="K370" s="188" t="s">
        <v>234</v>
      </c>
      <c r="L370" s="134" t="s">
        <v>430</v>
      </c>
    </row>
    <row r="371" spans="1:12" ht="15" customHeight="1" thickBot="1" x14ac:dyDescent="0.25">
      <c r="A371" s="253"/>
      <c r="B371" s="47">
        <f t="shared" ref="B371:J371" si="118">SUM(B369:B370)</f>
        <v>1690</v>
      </c>
      <c r="C371" s="47">
        <f t="shared" si="118"/>
        <v>565</v>
      </c>
      <c r="D371" s="47">
        <f t="shared" si="118"/>
        <v>1125</v>
      </c>
      <c r="E371" s="47">
        <f t="shared" si="118"/>
        <v>8</v>
      </c>
      <c r="F371" s="47">
        <f t="shared" si="118"/>
        <v>0</v>
      </c>
      <c r="G371" s="47">
        <f t="shared" si="118"/>
        <v>8</v>
      </c>
      <c r="H371" s="47">
        <f t="shared" si="118"/>
        <v>1682</v>
      </c>
      <c r="I371" s="47">
        <f t="shared" si="118"/>
        <v>565</v>
      </c>
      <c r="J371" s="47">
        <f t="shared" si="118"/>
        <v>1117</v>
      </c>
      <c r="K371" s="188" t="s">
        <v>12</v>
      </c>
      <c r="L371" s="239"/>
    </row>
    <row r="372" spans="1:12" ht="15" customHeight="1" thickBot="1" x14ac:dyDescent="0.25">
      <c r="A372" s="253"/>
      <c r="B372" s="47">
        <f>SUM(C372:D372)</f>
        <v>551</v>
      </c>
      <c r="C372" s="47">
        <f>I372+F372</f>
        <v>149</v>
      </c>
      <c r="D372" s="47">
        <f>J372+G372</f>
        <v>402</v>
      </c>
      <c r="E372" s="47">
        <f>SUM(F372:G372)</f>
        <v>0</v>
      </c>
      <c r="F372" s="47">
        <v>0</v>
      </c>
      <c r="G372" s="47">
        <v>0</v>
      </c>
      <c r="H372" s="47">
        <f>SUM(I372:J372)</f>
        <v>551</v>
      </c>
      <c r="I372" s="47">
        <v>149</v>
      </c>
      <c r="J372" s="47">
        <v>402</v>
      </c>
      <c r="K372" s="188" t="s">
        <v>233</v>
      </c>
      <c r="L372" s="134"/>
    </row>
    <row r="373" spans="1:12" ht="15" customHeight="1" thickBot="1" x14ac:dyDescent="0.25">
      <c r="A373" s="253"/>
      <c r="B373" s="47">
        <f>SUM(C373:D373)</f>
        <v>0</v>
      </c>
      <c r="C373" s="47">
        <f>I373+F373</f>
        <v>0</v>
      </c>
      <c r="D373" s="47">
        <f>J373+G373</f>
        <v>0</v>
      </c>
      <c r="E373" s="47">
        <f>SUM(F373:G373)</f>
        <v>0</v>
      </c>
      <c r="F373" s="47">
        <v>0</v>
      </c>
      <c r="G373" s="47">
        <v>0</v>
      </c>
      <c r="H373" s="47">
        <f>SUM(I373:J373)</f>
        <v>0</v>
      </c>
      <c r="I373" s="47">
        <v>0</v>
      </c>
      <c r="J373" s="47">
        <v>0</v>
      </c>
      <c r="K373" s="188" t="s">
        <v>234</v>
      </c>
      <c r="L373" s="134" t="s">
        <v>431</v>
      </c>
    </row>
    <row r="374" spans="1:12" ht="15" customHeight="1" thickBot="1" x14ac:dyDescent="0.25">
      <c r="A374" s="253"/>
      <c r="B374" s="47">
        <f t="shared" ref="B374:J374" si="119">SUM(B372:B373)</f>
        <v>551</v>
      </c>
      <c r="C374" s="47">
        <f t="shared" si="119"/>
        <v>149</v>
      </c>
      <c r="D374" s="47">
        <f t="shared" si="119"/>
        <v>402</v>
      </c>
      <c r="E374" s="47">
        <f t="shared" si="119"/>
        <v>0</v>
      </c>
      <c r="F374" s="47">
        <f t="shared" si="119"/>
        <v>0</v>
      </c>
      <c r="G374" s="47">
        <f t="shared" si="119"/>
        <v>0</v>
      </c>
      <c r="H374" s="47">
        <f t="shared" si="119"/>
        <v>551</v>
      </c>
      <c r="I374" s="47">
        <f t="shared" si="119"/>
        <v>149</v>
      </c>
      <c r="J374" s="47">
        <f t="shared" si="119"/>
        <v>402</v>
      </c>
      <c r="K374" s="188" t="s">
        <v>12</v>
      </c>
      <c r="L374" s="239"/>
    </row>
    <row r="375" spans="1:12" ht="15" customHeight="1" thickBot="1" x14ac:dyDescent="0.25">
      <c r="A375" s="253"/>
      <c r="B375" s="47">
        <f>SUM(C375:D375)</f>
        <v>1891</v>
      </c>
      <c r="C375" s="47">
        <f>I375+F375</f>
        <v>1121</v>
      </c>
      <c r="D375" s="47">
        <f>J375+G375</f>
        <v>770</v>
      </c>
      <c r="E375" s="47">
        <f>SUM(F375:G375)</f>
        <v>19</v>
      </c>
      <c r="F375" s="47">
        <v>15</v>
      </c>
      <c r="G375" s="47">
        <v>4</v>
      </c>
      <c r="H375" s="47">
        <f>SUM(I375:J375)</f>
        <v>1872</v>
      </c>
      <c r="I375" s="47">
        <v>1106</v>
      </c>
      <c r="J375" s="47">
        <v>766</v>
      </c>
      <c r="K375" s="188" t="s">
        <v>233</v>
      </c>
      <c r="L375" s="134"/>
    </row>
    <row r="376" spans="1:12" ht="15" customHeight="1" thickBot="1" x14ac:dyDescent="0.25">
      <c r="A376" s="253"/>
      <c r="B376" s="47">
        <f>SUM(C376:D376)</f>
        <v>0</v>
      </c>
      <c r="C376" s="47">
        <f>I376+F376</f>
        <v>0</v>
      </c>
      <c r="D376" s="47">
        <f>J376+G376</f>
        <v>0</v>
      </c>
      <c r="E376" s="47">
        <f>SUM(F376:G376)</f>
        <v>0</v>
      </c>
      <c r="F376" s="47">
        <v>0</v>
      </c>
      <c r="G376" s="47">
        <v>0</v>
      </c>
      <c r="H376" s="47">
        <f>SUM(I376:J376)</f>
        <v>0</v>
      </c>
      <c r="I376" s="47">
        <v>0</v>
      </c>
      <c r="J376" s="47">
        <v>0</v>
      </c>
      <c r="K376" s="188" t="s">
        <v>234</v>
      </c>
      <c r="L376" s="134" t="s">
        <v>432</v>
      </c>
    </row>
    <row r="377" spans="1:12" ht="15" customHeight="1" thickBot="1" x14ac:dyDescent="0.25">
      <c r="A377" s="253"/>
      <c r="B377" s="47">
        <f t="shared" ref="B377:J377" si="120">SUM(B375:B376)</f>
        <v>1891</v>
      </c>
      <c r="C377" s="47">
        <f t="shared" si="120"/>
        <v>1121</v>
      </c>
      <c r="D377" s="47">
        <f t="shared" si="120"/>
        <v>770</v>
      </c>
      <c r="E377" s="47">
        <f t="shared" si="120"/>
        <v>19</v>
      </c>
      <c r="F377" s="47">
        <f t="shared" si="120"/>
        <v>15</v>
      </c>
      <c r="G377" s="47">
        <f t="shared" si="120"/>
        <v>4</v>
      </c>
      <c r="H377" s="47">
        <f t="shared" si="120"/>
        <v>1872</v>
      </c>
      <c r="I377" s="47">
        <f t="shared" si="120"/>
        <v>1106</v>
      </c>
      <c r="J377" s="47">
        <f t="shared" si="120"/>
        <v>766</v>
      </c>
      <c r="K377" s="188" t="s">
        <v>12</v>
      </c>
      <c r="L377" s="239"/>
    </row>
    <row r="378" spans="1:12" ht="15" customHeight="1" thickBot="1" x14ac:dyDescent="0.25">
      <c r="A378" s="253"/>
      <c r="B378" s="47">
        <f>SUM(C378:D378)</f>
        <v>604</v>
      </c>
      <c r="C378" s="47">
        <f>I378+F378</f>
        <v>0</v>
      </c>
      <c r="D378" s="47">
        <f>J378+G378</f>
        <v>604</v>
      </c>
      <c r="E378" s="47">
        <f>SUM(F378:G378)</f>
        <v>4</v>
      </c>
      <c r="F378" s="47">
        <v>0</v>
      </c>
      <c r="G378" s="47">
        <v>4</v>
      </c>
      <c r="H378" s="47">
        <f>SUM(I378:J378)</f>
        <v>600</v>
      </c>
      <c r="I378" s="47">
        <v>0</v>
      </c>
      <c r="J378" s="47">
        <v>600</v>
      </c>
      <c r="K378" s="188" t="s">
        <v>233</v>
      </c>
      <c r="L378" s="134"/>
    </row>
    <row r="379" spans="1:12" ht="15" customHeight="1" thickBot="1" x14ac:dyDescent="0.25">
      <c r="A379" s="253"/>
      <c r="B379" s="47">
        <f>SUM(C379:D379)</f>
        <v>0</v>
      </c>
      <c r="C379" s="47">
        <f>I379+F379</f>
        <v>0</v>
      </c>
      <c r="D379" s="47">
        <f>J379+G379</f>
        <v>0</v>
      </c>
      <c r="E379" s="47">
        <f>SUM(F379:G379)</f>
        <v>0</v>
      </c>
      <c r="F379" s="47">
        <v>0</v>
      </c>
      <c r="G379" s="47">
        <v>0</v>
      </c>
      <c r="H379" s="47">
        <f>SUM(I379:J379)</f>
        <v>0</v>
      </c>
      <c r="I379" s="47">
        <v>0</v>
      </c>
      <c r="J379" s="47">
        <v>0</v>
      </c>
      <c r="K379" s="188" t="s">
        <v>234</v>
      </c>
      <c r="L379" s="134" t="s">
        <v>433</v>
      </c>
    </row>
    <row r="380" spans="1:12" ht="15" customHeight="1" thickBot="1" x14ac:dyDescent="0.25">
      <c r="A380" s="253"/>
      <c r="B380" s="47">
        <f t="shared" ref="B380:J380" si="121">SUM(B378:B379)</f>
        <v>604</v>
      </c>
      <c r="C380" s="47">
        <f t="shared" si="121"/>
        <v>0</v>
      </c>
      <c r="D380" s="47">
        <f t="shared" si="121"/>
        <v>604</v>
      </c>
      <c r="E380" s="47">
        <f t="shared" si="121"/>
        <v>4</v>
      </c>
      <c r="F380" s="47">
        <f t="shared" si="121"/>
        <v>0</v>
      </c>
      <c r="G380" s="47">
        <f t="shared" si="121"/>
        <v>4</v>
      </c>
      <c r="H380" s="47">
        <f t="shared" si="121"/>
        <v>600</v>
      </c>
      <c r="I380" s="47">
        <f t="shared" si="121"/>
        <v>0</v>
      </c>
      <c r="J380" s="47">
        <f t="shared" si="121"/>
        <v>600</v>
      </c>
      <c r="K380" s="188" t="s">
        <v>12</v>
      </c>
      <c r="L380" s="239"/>
    </row>
    <row r="381" spans="1:12" ht="15" customHeight="1" thickBot="1" x14ac:dyDescent="0.25">
      <c r="A381" s="253"/>
      <c r="B381" s="47">
        <f>SUM(C381:D381)</f>
        <v>883</v>
      </c>
      <c r="C381" s="47">
        <f>I381+F381</f>
        <v>170</v>
      </c>
      <c r="D381" s="47">
        <f>J381+G381</f>
        <v>713</v>
      </c>
      <c r="E381" s="47">
        <f>SUM(F381:G381)</f>
        <v>17</v>
      </c>
      <c r="F381" s="47">
        <v>0</v>
      </c>
      <c r="G381" s="47">
        <v>17</v>
      </c>
      <c r="H381" s="47">
        <f>SUM(I381:J381)</f>
        <v>866</v>
      </c>
      <c r="I381" s="47">
        <v>170</v>
      </c>
      <c r="J381" s="47">
        <v>696</v>
      </c>
      <c r="K381" s="188" t="s">
        <v>233</v>
      </c>
      <c r="L381" s="134"/>
    </row>
    <row r="382" spans="1:12" ht="15" customHeight="1" thickBot="1" x14ac:dyDescent="0.25">
      <c r="A382" s="253"/>
      <c r="B382" s="47">
        <f>SUM(C382:D382)</f>
        <v>0</v>
      </c>
      <c r="C382" s="47">
        <f>I382+F382</f>
        <v>0</v>
      </c>
      <c r="D382" s="47">
        <f>J382+G382</f>
        <v>0</v>
      </c>
      <c r="E382" s="47">
        <f>SUM(F382:G382)</f>
        <v>0</v>
      </c>
      <c r="F382" s="47">
        <v>0</v>
      </c>
      <c r="G382" s="47">
        <v>0</v>
      </c>
      <c r="H382" s="47">
        <f>SUM(I382:J382)</f>
        <v>0</v>
      </c>
      <c r="I382" s="47">
        <v>0</v>
      </c>
      <c r="J382" s="47">
        <v>0</v>
      </c>
      <c r="K382" s="188" t="s">
        <v>234</v>
      </c>
      <c r="L382" s="134" t="s">
        <v>434</v>
      </c>
    </row>
    <row r="383" spans="1:12" ht="15" customHeight="1" thickBot="1" x14ac:dyDescent="0.25">
      <c r="A383" s="253"/>
      <c r="B383" s="47">
        <f t="shared" ref="B383:J383" si="122">SUM(B381:B382)</f>
        <v>883</v>
      </c>
      <c r="C383" s="47">
        <f t="shared" si="122"/>
        <v>170</v>
      </c>
      <c r="D383" s="47">
        <f t="shared" si="122"/>
        <v>713</v>
      </c>
      <c r="E383" s="47">
        <f t="shared" si="122"/>
        <v>17</v>
      </c>
      <c r="F383" s="47">
        <f t="shared" si="122"/>
        <v>0</v>
      </c>
      <c r="G383" s="47">
        <f t="shared" si="122"/>
        <v>17</v>
      </c>
      <c r="H383" s="47">
        <f t="shared" si="122"/>
        <v>866</v>
      </c>
      <c r="I383" s="47">
        <f t="shared" si="122"/>
        <v>170</v>
      </c>
      <c r="J383" s="47">
        <f t="shared" si="122"/>
        <v>696</v>
      </c>
      <c r="K383" s="188" t="s">
        <v>12</v>
      </c>
      <c r="L383" s="239"/>
    </row>
    <row r="384" spans="1:12" ht="15" customHeight="1" thickBot="1" x14ac:dyDescent="0.25">
      <c r="A384" s="253"/>
      <c r="B384" s="47">
        <f>SUM(C384:D384)</f>
        <v>1139</v>
      </c>
      <c r="C384" s="47">
        <f>I384+F384</f>
        <v>496</v>
      </c>
      <c r="D384" s="47">
        <f>J384+G384</f>
        <v>643</v>
      </c>
      <c r="E384" s="47">
        <f>SUM(F384:G384)</f>
        <v>5</v>
      </c>
      <c r="F384" s="47">
        <v>0</v>
      </c>
      <c r="G384" s="47">
        <v>5</v>
      </c>
      <c r="H384" s="47">
        <f>SUM(I384:J384)</f>
        <v>1134</v>
      </c>
      <c r="I384" s="47">
        <v>496</v>
      </c>
      <c r="J384" s="47">
        <v>638</v>
      </c>
      <c r="K384" s="188" t="s">
        <v>233</v>
      </c>
      <c r="L384" s="134"/>
    </row>
    <row r="385" spans="1:12" ht="15" customHeight="1" thickBot="1" x14ac:dyDescent="0.25">
      <c r="A385" s="253"/>
      <c r="B385" s="47">
        <f>SUM(C385:D385)</f>
        <v>0</v>
      </c>
      <c r="C385" s="47">
        <f>I385+F385</f>
        <v>0</v>
      </c>
      <c r="D385" s="47">
        <f>J385+G385</f>
        <v>0</v>
      </c>
      <c r="E385" s="47">
        <f>SUM(F385:G385)</f>
        <v>0</v>
      </c>
      <c r="F385" s="47">
        <v>0</v>
      </c>
      <c r="G385" s="47">
        <v>0</v>
      </c>
      <c r="H385" s="47">
        <f>SUM(I385:J385)</f>
        <v>0</v>
      </c>
      <c r="I385" s="47">
        <v>0</v>
      </c>
      <c r="J385" s="47">
        <v>0</v>
      </c>
      <c r="K385" s="188" t="s">
        <v>234</v>
      </c>
      <c r="L385" s="134" t="s">
        <v>435</v>
      </c>
    </row>
    <row r="386" spans="1:12" ht="15" customHeight="1" thickBot="1" x14ac:dyDescent="0.25">
      <c r="A386" s="253"/>
      <c r="B386" s="47">
        <f t="shared" ref="B386:J386" si="123">SUM(B384:B385)</f>
        <v>1139</v>
      </c>
      <c r="C386" s="47">
        <f t="shared" si="123"/>
        <v>496</v>
      </c>
      <c r="D386" s="47">
        <f t="shared" si="123"/>
        <v>643</v>
      </c>
      <c r="E386" s="47">
        <f t="shared" si="123"/>
        <v>5</v>
      </c>
      <c r="F386" s="47">
        <f t="shared" si="123"/>
        <v>0</v>
      </c>
      <c r="G386" s="47">
        <f t="shared" si="123"/>
        <v>5</v>
      </c>
      <c r="H386" s="47">
        <f t="shared" si="123"/>
        <v>1134</v>
      </c>
      <c r="I386" s="47">
        <f t="shared" si="123"/>
        <v>496</v>
      </c>
      <c r="J386" s="47">
        <f t="shared" si="123"/>
        <v>638</v>
      </c>
      <c r="K386" s="188" t="s">
        <v>12</v>
      </c>
      <c r="L386" s="239"/>
    </row>
    <row r="387" spans="1:12" ht="15" customHeight="1" thickBot="1" x14ac:dyDescent="0.25">
      <c r="A387" s="253"/>
      <c r="B387" s="47">
        <f>SUM(C387:D387)</f>
        <v>159</v>
      </c>
      <c r="C387" s="47">
        <f>I387+F387</f>
        <v>0</v>
      </c>
      <c r="D387" s="47">
        <f>J387+G387</f>
        <v>159</v>
      </c>
      <c r="E387" s="47">
        <f>SUM(F387:G387)</f>
        <v>0</v>
      </c>
      <c r="F387" s="47">
        <v>0</v>
      </c>
      <c r="G387" s="47">
        <v>0</v>
      </c>
      <c r="H387" s="47">
        <f>SUM(I387:J387)</f>
        <v>159</v>
      </c>
      <c r="I387" s="47">
        <v>0</v>
      </c>
      <c r="J387" s="47">
        <v>159</v>
      </c>
      <c r="K387" s="188" t="s">
        <v>233</v>
      </c>
      <c r="L387" s="134"/>
    </row>
    <row r="388" spans="1:12" ht="15" customHeight="1" thickBot="1" x14ac:dyDescent="0.25">
      <c r="A388" s="253"/>
      <c r="B388" s="47">
        <f>SUM(C388:D388)</f>
        <v>0</v>
      </c>
      <c r="C388" s="47">
        <f>I388+F388</f>
        <v>0</v>
      </c>
      <c r="D388" s="47">
        <f>J388+G388</f>
        <v>0</v>
      </c>
      <c r="E388" s="47">
        <f>SUM(F388:G388)</f>
        <v>0</v>
      </c>
      <c r="F388" s="47">
        <v>0</v>
      </c>
      <c r="G388" s="47">
        <v>0</v>
      </c>
      <c r="H388" s="47">
        <f>SUM(I388:J388)</f>
        <v>0</v>
      </c>
      <c r="I388" s="47">
        <v>0</v>
      </c>
      <c r="J388" s="47">
        <v>0</v>
      </c>
      <c r="K388" s="188" t="s">
        <v>234</v>
      </c>
      <c r="L388" s="134" t="s">
        <v>436</v>
      </c>
    </row>
    <row r="389" spans="1:12" ht="15" customHeight="1" thickBot="1" x14ac:dyDescent="0.25">
      <c r="A389" s="253"/>
      <c r="B389" s="47">
        <f t="shared" ref="B389:J389" si="124">SUM(B387:B388)</f>
        <v>159</v>
      </c>
      <c r="C389" s="47">
        <f t="shared" si="124"/>
        <v>0</v>
      </c>
      <c r="D389" s="47">
        <f t="shared" si="124"/>
        <v>159</v>
      </c>
      <c r="E389" s="47">
        <f t="shared" si="124"/>
        <v>0</v>
      </c>
      <c r="F389" s="47">
        <f t="shared" si="124"/>
        <v>0</v>
      </c>
      <c r="G389" s="47">
        <f t="shared" si="124"/>
        <v>0</v>
      </c>
      <c r="H389" s="47">
        <f t="shared" si="124"/>
        <v>159</v>
      </c>
      <c r="I389" s="47">
        <f t="shared" si="124"/>
        <v>0</v>
      </c>
      <c r="J389" s="47">
        <f t="shared" si="124"/>
        <v>159</v>
      </c>
      <c r="K389" s="188" t="s">
        <v>12</v>
      </c>
      <c r="L389" s="239"/>
    </row>
    <row r="390" spans="1:12" ht="15" customHeight="1" thickBot="1" x14ac:dyDescent="0.25">
      <c r="A390" s="253"/>
      <c r="B390" s="47">
        <f>SUM(C390:D390)</f>
        <v>1010</v>
      </c>
      <c r="C390" s="47">
        <f>I390+F390</f>
        <v>473</v>
      </c>
      <c r="D390" s="47">
        <f>J390+G390</f>
        <v>537</v>
      </c>
      <c r="E390" s="47">
        <f>SUM(F390:G390)</f>
        <v>8</v>
      </c>
      <c r="F390" s="47">
        <v>8</v>
      </c>
      <c r="G390" s="47">
        <v>0</v>
      </c>
      <c r="H390" s="47">
        <f>SUM(I390:J390)</f>
        <v>1002</v>
      </c>
      <c r="I390" s="47">
        <v>465</v>
      </c>
      <c r="J390" s="47">
        <v>537</v>
      </c>
      <c r="K390" s="188" t="s">
        <v>233</v>
      </c>
      <c r="L390" s="134"/>
    </row>
    <row r="391" spans="1:12" ht="15" customHeight="1" thickBot="1" x14ac:dyDescent="0.25">
      <c r="A391" s="253"/>
      <c r="B391" s="47">
        <f>SUM(C391:D391)</f>
        <v>0</v>
      </c>
      <c r="C391" s="47">
        <f>I391+F391</f>
        <v>0</v>
      </c>
      <c r="D391" s="47">
        <f>J391+G391</f>
        <v>0</v>
      </c>
      <c r="E391" s="47">
        <f>SUM(F391:G391)</f>
        <v>0</v>
      </c>
      <c r="F391" s="47">
        <v>0</v>
      </c>
      <c r="G391" s="47">
        <v>0</v>
      </c>
      <c r="H391" s="47">
        <f>SUM(I391:J391)</f>
        <v>0</v>
      </c>
      <c r="I391" s="47">
        <v>0</v>
      </c>
      <c r="J391" s="47">
        <v>0</v>
      </c>
      <c r="K391" s="188" t="s">
        <v>234</v>
      </c>
      <c r="L391" s="134" t="s">
        <v>437</v>
      </c>
    </row>
    <row r="392" spans="1:12" ht="15" customHeight="1" thickBot="1" x14ac:dyDescent="0.25">
      <c r="A392" s="253"/>
      <c r="B392" s="47">
        <f t="shared" ref="B392:J392" si="125">SUM(B390:B391)</f>
        <v>1010</v>
      </c>
      <c r="C392" s="47">
        <f t="shared" si="125"/>
        <v>473</v>
      </c>
      <c r="D392" s="47">
        <f t="shared" si="125"/>
        <v>537</v>
      </c>
      <c r="E392" s="47">
        <f t="shared" si="125"/>
        <v>8</v>
      </c>
      <c r="F392" s="47">
        <f t="shared" si="125"/>
        <v>8</v>
      </c>
      <c r="G392" s="47">
        <f t="shared" si="125"/>
        <v>0</v>
      </c>
      <c r="H392" s="47">
        <f t="shared" si="125"/>
        <v>1002</v>
      </c>
      <c r="I392" s="47">
        <f t="shared" si="125"/>
        <v>465</v>
      </c>
      <c r="J392" s="47">
        <f t="shared" si="125"/>
        <v>537</v>
      </c>
      <c r="K392" s="188" t="s">
        <v>12</v>
      </c>
      <c r="L392" s="239"/>
    </row>
    <row r="393" spans="1:12" ht="15" customHeight="1" thickBot="1" x14ac:dyDescent="0.25">
      <c r="A393" s="253"/>
      <c r="B393" s="47">
        <f>SUM(C393:D393)</f>
        <v>373</v>
      </c>
      <c r="C393" s="47">
        <f>I393+F393</f>
        <v>373</v>
      </c>
      <c r="D393" s="47">
        <f>J393+G393</f>
        <v>0</v>
      </c>
      <c r="E393" s="47">
        <f>SUM(F393:G393)</f>
        <v>2</v>
      </c>
      <c r="F393" s="47">
        <v>2</v>
      </c>
      <c r="G393" s="47">
        <v>0</v>
      </c>
      <c r="H393" s="47">
        <f>SUM(I393:J393)</f>
        <v>371</v>
      </c>
      <c r="I393" s="47">
        <v>371</v>
      </c>
      <c r="J393" s="47">
        <v>0</v>
      </c>
      <c r="K393" s="188" t="s">
        <v>233</v>
      </c>
      <c r="L393" s="134"/>
    </row>
    <row r="394" spans="1:12" ht="15" customHeight="1" thickBot="1" x14ac:dyDescent="0.25">
      <c r="A394" s="253"/>
      <c r="B394" s="47">
        <f>SUM(C394:D394)</f>
        <v>0</v>
      </c>
      <c r="C394" s="47">
        <f>I394+F394</f>
        <v>0</v>
      </c>
      <c r="D394" s="47">
        <f>J394+G394</f>
        <v>0</v>
      </c>
      <c r="E394" s="47">
        <f>SUM(F394:G394)</f>
        <v>0</v>
      </c>
      <c r="F394" s="47">
        <v>0</v>
      </c>
      <c r="G394" s="47">
        <v>0</v>
      </c>
      <c r="H394" s="47">
        <f>SUM(I394:J394)</f>
        <v>0</v>
      </c>
      <c r="I394" s="47">
        <v>0</v>
      </c>
      <c r="J394" s="47">
        <v>0</v>
      </c>
      <c r="K394" s="188" t="s">
        <v>234</v>
      </c>
      <c r="L394" s="134" t="s">
        <v>438</v>
      </c>
    </row>
    <row r="395" spans="1:12" ht="15" customHeight="1" thickBot="1" x14ac:dyDescent="0.25">
      <c r="A395" s="253"/>
      <c r="B395" s="47">
        <f t="shared" ref="B395:J395" si="126">SUM(B393:B394)</f>
        <v>373</v>
      </c>
      <c r="C395" s="47">
        <f t="shared" si="126"/>
        <v>373</v>
      </c>
      <c r="D395" s="47">
        <f t="shared" si="126"/>
        <v>0</v>
      </c>
      <c r="E395" s="47">
        <f t="shared" si="126"/>
        <v>2</v>
      </c>
      <c r="F395" s="47">
        <f t="shared" si="126"/>
        <v>2</v>
      </c>
      <c r="G395" s="47">
        <f t="shared" si="126"/>
        <v>0</v>
      </c>
      <c r="H395" s="47">
        <f t="shared" si="126"/>
        <v>371</v>
      </c>
      <c r="I395" s="47">
        <f t="shared" si="126"/>
        <v>371</v>
      </c>
      <c r="J395" s="47">
        <f t="shared" si="126"/>
        <v>0</v>
      </c>
      <c r="K395" s="188" t="s">
        <v>12</v>
      </c>
      <c r="L395" s="239"/>
    </row>
    <row r="396" spans="1:12" ht="15" customHeight="1" thickBot="1" x14ac:dyDescent="0.25">
      <c r="A396" s="253"/>
      <c r="B396" s="47">
        <f>SUM(C396:D396)</f>
        <v>108</v>
      </c>
      <c r="C396" s="47">
        <f>I396+F396</f>
        <v>0</v>
      </c>
      <c r="D396" s="47">
        <f>J396+G396</f>
        <v>108</v>
      </c>
      <c r="E396" s="47">
        <f>SUM(F396:G396)</f>
        <v>1</v>
      </c>
      <c r="F396" s="47">
        <v>0</v>
      </c>
      <c r="G396" s="47">
        <v>1</v>
      </c>
      <c r="H396" s="47">
        <f>SUM(I396:J396)</f>
        <v>107</v>
      </c>
      <c r="I396" s="47">
        <v>0</v>
      </c>
      <c r="J396" s="47">
        <v>107</v>
      </c>
      <c r="K396" s="188" t="s">
        <v>233</v>
      </c>
      <c r="L396" s="134"/>
    </row>
    <row r="397" spans="1:12" ht="15" customHeight="1" thickBot="1" x14ac:dyDescent="0.25">
      <c r="A397" s="253"/>
      <c r="B397" s="47">
        <f>SUM(C397:D397)</f>
        <v>0</v>
      </c>
      <c r="C397" s="47">
        <f>I397+F397</f>
        <v>0</v>
      </c>
      <c r="D397" s="47">
        <f>J397+G397</f>
        <v>0</v>
      </c>
      <c r="E397" s="47">
        <f>SUM(F397:G397)</f>
        <v>0</v>
      </c>
      <c r="F397" s="47">
        <v>0</v>
      </c>
      <c r="G397" s="47">
        <v>0</v>
      </c>
      <c r="H397" s="47">
        <f>SUM(I397:J397)</f>
        <v>0</v>
      </c>
      <c r="I397" s="47">
        <v>0</v>
      </c>
      <c r="J397" s="47">
        <v>0</v>
      </c>
      <c r="K397" s="188" t="s">
        <v>234</v>
      </c>
      <c r="L397" s="134" t="s">
        <v>439</v>
      </c>
    </row>
    <row r="398" spans="1:12" ht="15" customHeight="1" thickBot="1" x14ac:dyDescent="0.25">
      <c r="A398" s="253"/>
      <c r="B398" s="47">
        <f t="shared" ref="B398:J398" si="127">SUM(B396:B397)</f>
        <v>108</v>
      </c>
      <c r="C398" s="47">
        <f t="shared" si="127"/>
        <v>0</v>
      </c>
      <c r="D398" s="47">
        <f t="shared" si="127"/>
        <v>108</v>
      </c>
      <c r="E398" s="47">
        <f t="shared" si="127"/>
        <v>1</v>
      </c>
      <c r="F398" s="47">
        <f t="shared" si="127"/>
        <v>0</v>
      </c>
      <c r="G398" s="47">
        <f t="shared" si="127"/>
        <v>1</v>
      </c>
      <c r="H398" s="47">
        <f t="shared" si="127"/>
        <v>107</v>
      </c>
      <c r="I398" s="47">
        <f t="shared" si="127"/>
        <v>0</v>
      </c>
      <c r="J398" s="47">
        <f t="shared" si="127"/>
        <v>107</v>
      </c>
      <c r="K398" s="188" t="s">
        <v>12</v>
      </c>
      <c r="L398" s="239"/>
    </row>
    <row r="399" spans="1:12" ht="15" customHeight="1" thickBot="1" x14ac:dyDescent="0.25">
      <c r="A399" s="253"/>
      <c r="B399" s="47">
        <f>SUM(C399:D399)</f>
        <v>4625</v>
      </c>
      <c r="C399" s="47">
        <f>I399+F399</f>
        <v>4625</v>
      </c>
      <c r="D399" s="47">
        <f>J399+G399</f>
        <v>0</v>
      </c>
      <c r="E399" s="47">
        <f>SUM(F399:G399)</f>
        <v>0</v>
      </c>
      <c r="F399" s="47">
        <v>0</v>
      </c>
      <c r="G399" s="47">
        <v>0</v>
      </c>
      <c r="H399" s="47">
        <f>SUM(I399:J399)</f>
        <v>4625</v>
      </c>
      <c r="I399" s="47">
        <v>4625</v>
      </c>
      <c r="J399" s="47">
        <v>0</v>
      </c>
      <c r="K399" s="188" t="s">
        <v>233</v>
      </c>
      <c r="L399" s="134"/>
    </row>
    <row r="400" spans="1:12" ht="15" customHeight="1" thickBot="1" x14ac:dyDescent="0.25">
      <c r="A400" s="253"/>
      <c r="B400" s="47">
        <f>SUM(C400:D400)</f>
        <v>1916</v>
      </c>
      <c r="C400" s="47">
        <f>I400+F400</f>
        <v>1916</v>
      </c>
      <c r="D400" s="47">
        <f>J400+G400</f>
        <v>0</v>
      </c>
      <c r="E400" s="47">
        <f>SUM(F400:G400)</f>
        <v>0</v>
      </c>
      <c r="F400" s="47">
        <v>0</v>
      </c>
      <c r="G400" s="47">
        <v>0</v>
      </c>
      <c r="H400" s="47">
        <f>SUM(I400:J400)</f>
        <v>1916</v>
      </c>
      <c r="I400" s="47">
        <v>1916</v>
      </c>
      <c r="J400" s="47">
        <v>0</v>
      </c>
      <c r="K400" s="188" t="s">
        <v>234</v>
      </c>
      <c r="L400" s="134" t="s">
        <v>650</v>
      </c>
    </row>
    <row r="401" spans="1:12" ht="15" customHeight="1" thickBot="1" x14ac:dyDescent="0.25">
      <c r="A401" s="253"/>
      <c r="B401" s="47">
        <f t="shared" ref="B401:J401" si="128">SUM(B399:B400)</f>
        <v>6541</v>
      </c>
      <c r="C401" s="47">
        <f t="shared" si="128"/>
        <v>6541</v>
      </c>
      <c r="D401" s="47">
        <f t="shared" si="128"/>
        <v>0</v>
      </c>
      <c r="E401" s="47">
        <f t="shared" si="128"/>
        <v>0</v>
      </c>
      <c r="F401" s="47">
        <f t="shared" si="128"/>
        <v>0</v>
      </c>
      <c r="G401" s="47">
        <f t="shared" si="128"/>
        <v>0</v>
      </c>
      <c r="H401" s="47">
        <f t="shared" si="128"/>
        <v>6541</v>
      </c>
      <c r="I401" s="47">
        <f t="shared" si="128"/>
        <v>6541</v>
      </c>
      <c r="J401" s="47">
        <f t="shared" si="128"/>
        <v>0</v>
      </c>
      <c r="K401" s="188" t="s">
        <v>12</v>
      </c>
      <c r="L401" s="239"/>
    </row>
    <row r="402" spans="1:12" ht="15" customHeight="1" thickBot="1" x14ac:dyDescent="0.25">
      <c r="A402" s="253"/>
      <c r="B402" s="47">
        <f>SUM(C402:D402)</f>
        <v>2361</v>
      </c>
      <c r="C402" s="47">
        <f>I402+F402</f>
        <v>2361</v>
      </c>
      <c r="D402" s="47">
        <f>J402+G402</f>
        <v>0</v>
      </c>
      <c r="E402" s="47">
        <f>SUM(F402:G402)</f>
        <v>4</v>
      </c>
      <c r="F402" s="47">
        <v>4</v>
      </c>
      <c r="G402" s="47">
        <v>0</v>
      </c>
      <c r="H402" s="47">
        <f>SUM(I402:J402)</f>
        <v>2357</v>
      </c>
      <c r="I402" s="47">
        <v>2357</v>
      </c>
      <c r="J402" s="47">
        <v>0</v>
      </c>
      <c r="K402" s="188" t="s">
        <v>233</v>
      </c>
      <c r="L402" s="134"/>
    </row>
    <row r="403" spans="1:12" ht="15" customHeight="1" thickBot="1" x14ac:dyDescent="0.25">
      <c r="A403" s="253"/>
      <c r="B403" s="47">
        <f>SUM(C403:D403)</f>
        <v>13</v>
      </c>
      <c r="C403" s="47">
        <f>I403+F403</f>
        <v>13</v>
      </c>
      <c r="D403" s="47">
        <f>J403+G403</f>
        <v>0</v>
      </c>
      <c r="E403" s="47">
        <f>SUM(F403:G403)</f>
        <v>0</v>
      </c>
      <c r="F403" s="47">
        <v>0</v>
      </c>
      <c r="G403" s="47">
        <v>0</v>
      </c>
      <c r="H403" s="47">
        <f>SUM(I403:J403)</f>
        <v>13</v>
      </c>
      <c r="I403" s="47">
        <v>13</v>
      </c>
      <c r="J403" s="47">
        <v>0</v>
      </c>
      <c r="K403" s="188" t="s">
        <v>234</v>
      </c>
      <c r="L403" s="134" t="s">
        <v>441</v>
      </c>
    </row>
    <row r="404" spans="1:12" ht="15" customHeight="1" thickBot="1" x14ac:dyDescent="0.25">
      <c r="A404" s="253"/>
      <c r="B404" s="47">
        <f t="shared" ref="B404:J404" si="129">SUM(B402:B403)</f>
        <v>2374</v>
      </c>
      <c r="C404" s="47">
        <f t="shared" si="129"/>
        <v>2374</v>
      </c>
      <c r="D404" s="47">
        <f t="shared" si="129"/>
        <v>0</v>
      </c>
      <c r="E404" s="47">
        <f t="shared" si="129"/>
        <v>4</v>
      </c>
      <c r="F404" s="47">
        <f t="shared" si="129"/>
        <v>4</v>
      </c>
      <c r="G404" s="47">
        <f t="shared" si="129"/>
        <v>0</v>
      </c>
      <c r="H404" s="47">
        <f t="shared" si="129"/>
        <v>2370</v>
      </c>
      <c r="I404" s="47">
        <f t="shared" si="129"/>
        <v>2370</v>
      </c>
      <c r="J404" s="47">
        <f t="shared" si="129"/>
        <v>0</v>
      </c>
      <c r="K404" s="188" t="s">
        <v>12</v>
      </c>
      <c r="L404" s="239"/>
    </row>
    <row r="405" spans="1:12" ht="15" customHeight="1" thickBot="1" x14ac:dyDescent="0.25">
      <c r="A405" s="253"/>
      <c r="B405" s="47">
        <f>SUM(C405:D405)</f>
        <v>1848</v>
      </c>
      <c r="C405" s="47">
        <f>I405+F405</f>
        <v>1848</v>
      </c>
      <c r="D405" s="47">
        <f>J405+G405</f>
        <v>0</v>
      </c>
      <c r="E405" s="47">
        <f>SUM(F405:G405)</f>
        <v>0</v>
      </c>
      <c r="F405" s="47">
        <v>0</v>
      </c>
      <c r="G405" s="47">
        <v>0</v>
      </c>
      <c r="H405" s="47">
        <f>SUM(I405:J405)</f>
        <v>1848</v>
      </c>
      <c r="I405" s="47">
        <v>1848</v>
      </c>
      <c r="J405" s="47">
        <v>0</v>
      </c>
      <c r="K405" s="188" t="s">
        <v>233</v>
      </c>
      <c r="L405" s="134"/>
    </row>
    <row r="406" spans="1:12" ht="15" customHeight="1" thickBot="1" x14ac:dyDescent="0.25">
      <c r="A406" s="253"/>
      <c r="B406" s="47">
        <f>SUM(C406:D406)</f>
        <v>541</v>
      </c>
      <c r="C406" s="47">
        <f>I406+F406</f>
        <v>541</v>
      </c>
      <c r="D406" s="47">
        <f>J406+G406</f>
        <v>0</v>
      </c>
      <c r="E406" s="47">
        <f>SUM(F406:G406)</f>
        <v>0</v>
      </c>
      <c r="F406" s="47">
        <v>0</v>
      </c>
      <c r="G406" s="47">
        <v>0</v>
      </c>
      <c r="H406" s="47">
        <f>SUM(I406:J406)</f>
        <v>541</v>
      </c>
      <c r="I406" s="47">
        <v>541</v>
      </c>
      <c r="J406" s="47">
        <v>0</v>
      </c>
      <c r="K406" s="188" t="s">
        <v>234</v>
      </c>
      <c r="L406" s="134" t="s">
        <v>442</v>
      </c>
    </row>
    <row r="407" spans="1:12" ht="15" customHeight="1" thickBot="1" x14ac:dyDescent="0.25">
      <c r="A407" s="253"/>
      <c r="B407" s="47">
        <f t="shared" ref="B407:J407" si="130">SUM(B405:B406)</f>
        <v>2389</v>
      </c>
      <c r="C407" s="47">
        <f t="shared" si="130"/>
        <v>2389</v>
      </c>
      <c r="D407" s="47">
        <f t="shared" si="130"/>
        <v>0</v>
      </c>
      <c r="E407" s="47">
        <f t="shared" si="130"/>
        <v>0</v>
      </c>
      <c r="F407" s="47">
        <f t="shared" si="130"/>
        <v>0</v>
      </c>
      <c r="G407" s="47">
        <f t="shared" si="130"/>
        <v>0</v>
      </c>
      <c r="H407" s="47">
        <f t="shared" si="130"/>
        <v>2389</v>
      </c>
      <c r="I407" s="47">
        <f t="shared" si="130"/>
        <v>2389</v>
      </c>
      <c r="J407" s="47">
        <f t="shared" si="130"/>
        <v>0</v>
      </c>
      <c r="K407" s="188" t="s">
        <v>12</v>
      </c>
      <c r="L407" s="239"/>
    </row>
    <row r="408" spans="1:12" ht="15" customHeight="1" thickBot="1" x14ac:dyDescent="0.25">
      <c r="A408" s="253"/>
      <c r="B408" s="47">
        <f>SUM(C408:D408)</f>
        <v>928</v>
      </c>
      <c r="C408" s="47">
        <f>I408+F408</f>
        <v>928</v>
      </c>
      <c r="D408" s="47">
        <f>J408+G408</f>
        <v>0</v>
      </c>
      <c r="E408" s="47">
        <f>SUM(F408:G408)</f>
        <v>11</v>
      </c>
      <c r="F408" s="47">
        <v>11</v>
      </c>
      <c r="G408" s="47">
        <v>0</v>
      </c>
      <c r="H408" s="47">
        <f>SUM(I408:J408)</f>
        <v>917</v>
      </c>
      <c r="I408" s="47">
        <v>917</v>
      </c>
      <c r="J408" s="47">
        <v>0</v>
      </c>
      <c r="K408" s="188" t="s">
        <v>233</v>
      </c>
      <c r="L408" s="134"/>
    </row>
    <row r="409" spans="1:12" ht="15" customHeight="1" thickBot="1" x14ac:dyDescent="0.25">
      <c r="A409" s="253"/>
      <c r="B409" s="47">
        <f>SUM(C409:D409)</f>
        <v>1858</v>
      </c>
      <c r="C409" s="47">
        <f>I409+F409</f>
        <v>1858</v>
      </c>
      <c r="D409" s="47">
        <f>J409+G409</f>
        <v>0</v>
      </c>
      <c r="E409" s="47">
        <f>SUM(F409:G409)</f>
        <v>19</v>
      </c>
      <c r="F409" s="47">
        <v>19</v>
      </c>
      <c r="G409" s="47">
        <v>0</v>
      </c>
      <c r="H409" s="47">
        <f>SUM(I409:J409)</f>
        <v>1839</v>
      </c>
      <c r="I409" s="47">
        <v>1839</v>
      </c>
      <c r="J409" s="47">
        <v>0</v>
      </c>
      <c r="K409" s="188" t="s">
        <v>234</v>
      </c>
      <c r="L409" s="134" t="s">
        <v>651</v>
      </c>
    </row>
    <row r="410" spans="1:12" ht="15" customHeight="1" thickBot="1" x14ac:dyDescent="0.25">
      <c r="A410" s="253"/>
      <c r="B410" s="47">
        <f t="shared" ref="B410:J410" si="131">SUM(B408:B409)</f>
        <v>2786</v>
      </c>
      <c r="C410" s="47">
        <f t="shared" si="131"/>
        <v>2786</v>
      </c>
      <c r="D410" s="47">
        <f t="shared" si="131"/>
        <v>0</v>
      </c>
      <c r="E410" s="47">
        <f t="shared" si="131"/>
        <v>30</v>
      </c>
      <c r="F410" s="47">
        <f t="shared" si="131"/>
        <v>30</v>
      </c>
      <c r="G410" s="47">
        <f t="shared" si="131"/>
        <v>0</v>
      </c>
      <c r="H410" s="47">
        <f t="shared" si="131"/>
        <v>2756</v>
      </c>
      <c r="I410" s="47">
        <f t="shared" si="131"/>
        <v>2756</v>
      </c>
      <c r="J410" s="47">
        <f t="shared" si="131"/>
        <v>0</v>
      </c>
      <c r="K410" s="188" t="s">
        <v>12</v>
      </c>
      <c r="L410" s="239"/>
    </row>
    <row r="411" spans="1:12" ht="15" customHeight="1" thickBot="1" x14ac:dyDescent="0.25">
      <c r="A411" s="253"/>
      <c r="B411" s="47">
        <f>SUM(C411:D411)</f>
        <v>7824</v>
      </c>
      <c r="C411" s="47">
        <f>I411+F411</f>
        <v>7824</v>
      </c>
      <c r="D411" s="47">
        <f>J411+G411</f>
        <v>0</v>
      </c>
      <c r="E411" s="47">
        <f>SUM(F411:G411)</f>
        <v>0</v>
      </c>
      <c r="F411" s="47">
        <v>0</v>
      </c>
      <c r="G411" s="47">
        <v>0</v>
      </c>
      <c r="H411" s="47">
        <f>SUM(I411:J411)</f>
        <v>7824</v>
      </c>
      <c r="I411" s="47">
        <v>7824</v>
      </c>
      <c r="J411" s="47">
        <v>0</v>
      </c>
      <c r="K411" s="188" t="s">
        <v>233</v>
      </c>
      <c r="L411" s="134"/>
    </row>
    <row r="412" spans="1:12" ht="15" customHeight="1" thickBot="1" x14ac:dyDescent="0.25">
      <c r="A412" s="253"/>
      <c r="B412" s="47">
        <f>SUM(C412:D412)</f>
        <v>3709</v>
      </c>
      <c r="C412" s="47">
        <f>I412+F412</f>
        <v>3709</v>
      </c>
      <c r="D412" s="47">
        <f>J412+G412</f>
        <v>0</v>
      </c>
      <c r="E412" s="47">
        <f>SUM(F412:G412)</f>
        <v>8</v>
      </c>
      <c r="F412" s="47">
        <v>8</v>
      </c>
      <c r="G412" s="47">
        <v>0</v>
      </c>
      <c r="H412" s="47">
        <f>SUM(I412:J412)</f>
        <v>3701</v>
      </c>
      <c r="I412" s="47">
        <v>3701</v>
      </c>
      <c r="J412" s="47">
        <v>0</v>
      </c>
      <c r="K412" s="188" t="s">
        <v>234</v>
      </c>
      <c r="L412" s="134" t="s">
        <v>595</v>
      </c>
    </row>
    <row r="413" spans="1:12" ht="15" customHeight="1" thickBot="1" x14ac:dyDescent="0.25">
      <c r="A413" s="253"/>
      <c r="B413" s="47">
        <f t="shared" ref="B413:J413" si="132">SUM(B411:B412)</f>
        <v>11533</v>
      </c>
      <c r="C413" s="47">
        <f t="shared" si="132"/>
        <v>11533</v>
      </c>
      <c r="D413" s="47">
        <f t="shared" si="132"/>
        <v>0</v>
      </c>
      <c r="E413" s="47">
        <f t="shared" si="132"/>
        <v>8</v>
      </c>
      <c r="F413" s="47">
        <f t="shared" si="132"/>
        <v>8</v>
      </c>
      <c r="G413" s="47">
        <f t="shared" si="132"/>
        <v>0</v>
      </c>
      <c r="H413" s="47">
        <f t="shared" si="132"/>
        <v>11525</v>
      </c>
      <c r="I413" s="47">
        <f t="shared" si="132"/>
        <v>11525</v>
      </c>
      <c r="J413" s="47">
        <f t="shared" si="132"/>
        <v>0</v>
      </c>
      <c r="K413" s="188" t="s">
        <v>12</v>
      </c>
      <c r="L413" s="239"/>
    </row>
    <row r="414" spans="1:12" ht="15" customHeight="1" thickBot="1" x14ac:dyDescent="0.25">
      <c r="A414" s="253"/>
      <c r="B414" s="47">
        <f>SUM(C414:D414)</f>
        <v>1890</v>
      </c>
      <c r="C414" s="47">
        <f>I414+F414</f>
        <v>1890</v>
      </c>
      <c r="D414" s="47">
        <f>J414+G414</f>
        <v>0</v>
      </c>
      <c r="E414" s="47">
        <f>SUM(F414:G414)</f>
        <v>0</v>
      </c>
      <c r="F414" s="47">
        <v>0</v>
      </c>
      <c r="G414" s="47">
        <v>0</v>
      </c>
      <c r="H414" s="47">
        <f>SUM(I414:J414)</f>
        <v>1890</v>
      </c>
      <c r="I414" s="47">
        <v>1890</v>
      </c>
      <c r="J414" s="47">
        <v>0</v>
      </c>
      <c r="K414" s="188" t="s">
        <v>233</v>
      </c>
      <c r="L414" s="134"/>
    </row>
    <row r="415" spans="1:12" ht="15" customHeight="1" thickBot="1" x14ac:dyDescent="0.25">
      <c r="A415" s="253"/>
      <c r="B415" s="47">
        <f>SUM(C415:D415)</f>
        <v>0</v>
      </c>
      <c r="C415" s="47">
        <f>I415+F415</f>
        <v>0</v>
      </c>
      <c r="D415" s="47">
        <f>J415+G415</f>
        <v>0</v>
      </c>
      <c r="E415" s="47">
        <f>SUM(F415:G415)</f>
        <v>0</v>
      </c>
      <c r="F415" s="47">
        <v>0</v>
      </c>
      <c r="G415" s="47">
        <v>0</v>
      </c>
      <c r="H415" s="47">
        <f>SUM(I415:J415)</f>
        <v>0</v>
      </c>
      <c r="I415" s="47">
        <v>0</v>
      </c>
      <c r="J415" s="47">
        <v>0</v>
      </c>
      <c r="K415" s="188" t="s">
        <v>234</v>
      </c>
      <c r="L415" s="134" t="s">
        <v>445</v>
      </c>
    </row>
    <row r="416" spans="1:12" ht="15" customHeight="1" thickBot="1" x14ac:dyDescent="0.25">
      <c r="A416" s="253"/>
      <c r="B416" s="47">
        <f t="shared" ref="B416:J416" si="133">SUM(B414:B415)</f>
        <v>1890</v>
      </c>
      <c r="C416" s="47">
        <f t="shared" si="133"/>
        <v>1890</v>
      </c>
      <c r="D416" s="47">
        <f t="shared" si="133"/>
        <v>0</v>
      </c>
      <c r="E416" s="47">
        <f t="shared" si="133"/>
        <v>0</v>
      </c>
      <c r="F416" s="47">
        <f t="shared" si="133"/>
        <v>0</v>
      </c>
      <c r="G416" s="47">
        <f t="shared" si="133"/>
        <v>0</v>
      </c>
      <c r="H416" s="47">
        <f t="shared" si="133"/>
        <v>1890</v>
      </c>
      <c r="I416" s="47">
        <f t="shared" si="133"/>
        <v>1890</v>
      </c>
      <c r="J416" s="47">
        <f t="shared" si="133"/>
        <v>0</v>
      </c>
      <c r="K416" s="188" t="s">
        <v>12</v>
      </c>
      <c r="L416" s="239"/>
    </row>
    <row r="417" spans="1:12" ht="15" customHeight="1" thickBot="1" x14ac:dyDescent="0.25">
      <c r="A417" s="253"/>
      <c r="B417" s="47">
        <f>SUM(C417:D417)</f>
        <v>2983</v>
      </c>
      <c r="C417" s="47">
        <f>I417+F417</f>
        <v>2983</v>
      </c>
      <c r="D417" s="47">
        <f>J417+G417</f>
        <v>0</v>
      </c>
      <c r="E417" s="47">
        <f>SUM(F417:G417)</f>
        <v>48</v>
      </c>
      <c r="F417" s="47">
        <v>48</v>
      </c>
      <c r="G417" s="47">
        <v>0</v>
      </c>
      <c r="H417" s="47">
        <f>SUM(I417:J417)</f>
        <v>2935</v>
      </c>
      <c r="I417" s="47">
        <v>2935</v>
      </c>
      <c r="J417" s="47">
        <v>0</v>
      </c>
      <c r="K417" s="188" t="s">
        <v>233</v>
      </c>
      <c r="L417" s="134"/>
    </row>
    <row r="418" spans="1:12" ht="15" customHeight="1" thickBot="1" x14ac:dyDescent="0.25">
      <c r="A418" s="253"/>
      <c r="B418" s="47">
        <f>SUM(C418:D418)</f>
        <v>0</v>
      </c>
      <c r="C418" s="47">
        <f>I418+F418</f>
        <v>0</v>
      </c>
      <c r="D418" s="47">
        <f>J418+G418</f>
        <v>0</v>
      </c>
      <c r="E418" s="47">
        <f>SUM(F418:G418)</f>
        <v>0</v>
      </c>
      <c r="F418" s="47">
        <v>0</v>
      </c>
      <c r="G418" s="47">
        <v>0</v>
      </c>
      <c r="H418" s="47">
        <f>SUM(I418:J418)</f>
        <v>0</v>
      </c>
      <c r="I418" s="47">
        <v>0</v>
      </c>
      <c r="J418" s="47">
        <v>0</v>
      </c>
      <c r="K418" s="188" t="s">
        <v>234</v>
      </c>
      <c r="L418" s="134" t="s">
        <v>446</v>
      </c>
    </row>
    <row r="419" spans="1:12" ht="15" customHeight="1" thickBot="1" x14ac:dyDescent="0.25">
      <c r="A419" s="253"/>
      <c r="B419" s="47">
        <f t="shared" ref="B419:J419" si="134">SUM(B417:B418)</f>
        <v>2983</v>
      </c>
      <c r="C419" s="47">
        <f t="shared" si="134"/>
        <v>2983</v>
      </c>
      <c r="D419" s="47">
        <f t="shared" si="134"/>
        <v>0</v>
      </c>
      <c r="E419" s="47">
        <f t="shared" si="134"/>
        <v>48</v>
      </c>
      <c r="F419" s="47">
        <f t="shared" si="134"/>
        <v>48</v>
      </c>
      <c r="G419" s="47">
        <f t="shared" si="134"/>
        <v>0</v>
      </c>
      <c r="H419" s="47">
        <f t="shared" si="134"/>
        <v>2935</v>
      </c>
      <c r="I419" s="47">
        <f t="shared" si="134"/>
        <v>2935</v>
      </c>
      <c r="J419" s="47">
        <f t="shared" si="134"/>
        <v>0</v>
      </c>
      <c r="K419" s="188" t="s">
        <v>12</v>
      </c>
      <c r="L419" s="239"/>
    </row>
    <row r="420" spans="1:12" ht="15" customHeight="1" thickBot="1" x14ac:dyDescent="0.25">
      <c r="A420" s="253"/>
      <c r="B420" s="47">
        <f>SUM(C420:D420)</f>
        <v>1794</v>
      </c>
      <c r="C420" s="47">
        <f>I420+F420</f>
        <v>1794</v>
      </c>
      <c r="D420" s="47">
        <f>J420+G420</f>
        <v>0</v>
      </c>
      <c r="E420" s="47">
        <f>SUM(F420:G420)</f>
        <v>0</v>
      </c>
      <c r="F420" s="47">
        <v>0</v>
      </c>
      <c r="G420" s="47">
        <v>0</v>
      </c>
      <c r="H420" s="47">
        <f>SUM(I420:J420)</f>
        <v>1794</v>
      </c>
      <c r="I420" s="47">
        <v>1794</v>
      </c>
      <c r="J420" s="47">
        <v>0</v>
      </c>
      <c r="K420" s="188" t="s">
        <v>233</v>
      </c>
      <c r="L420" s="134"/>
    </row>
    <row r="421" spans="1:12" ht="15" customHeight="1" thickBot="1" x14ac:dyDescent="0.25">
      <c r="A421" s="253"/>
      <c r="B421" s="47">
        <f>SUM(C421:D421)</f>
        <v>493</v>
      </c>
      <c r="C421" s="47">
        <f>I421+F421</f>
        <v>493</v>
      </c>
      <c r="D421" s="47">
        <f>J421+G421</f>
        <v>0</v>
      </c>
      <c r="E421" s="47">
        <f>SUM(F421:G421)</f>
        <v>0</v>
      </c>
      <c r="F421" s="47">
        <v>0</v>
      </c>
      <c r="G421" s="47">
        <v>0</v>
      </c>
      <c r="H421" s="47">
        <f>SUM(I421:J421)</f>
        <v>493</v>
      </c>
      <c r="I421" s="47">
        <v>493</v>
      </c>
      <c r="J421" s="47">
        <v>0</v>
      </c>
      <c r="K421" s="188" t="s">
        <v>234</v>
      </c>
      <c r="L421" s="134" t="s">
        <v>447</v>
      </c>
    </row>
    <row r="422" spans="1:12" ht="15" customHeight="1" thickBot="1" x14ac:dyDescent="0.25">
      <c r="A422" s="253"/>
      <c r="B422" s="47">
        <f t="shared" ref="B422:J422" si="135">SUM(B420:B421)</f>
        <v>2287</v>
      </c>
      <c r="C422" s="47">
        <f t="shared" si="135"/>
        <v>2287</v>
      </c>
      <c r="D422" s="47">
        <f t="shared" si="135"/>
        <v>0</v>
      </c>
      <c r="E422" s="47">
        <f t="shared" si="135"/>
        <v>0</v>
      </c>
      <c r="F422" s="47">
        <f t="shared" si="135"/>
        <v>0</v>
      </c>
      <c r="G422" s="47">
        <f t="shared" si="135"/>
        <v>0</v>
      </c>
      <c r="H422" s="47">
        <f t="shared" si="135"/>
        <v>2287</v>
      </c>
      <c r="I422" s="47">
        <f t="shared" si="135"/>
        <v>2287</v>
      </c>
      <c r="J422" s="47">
        <f t="shared" si="135"/>
        <v>0</v>
      </c>
      <c r="K422" s="188" t="s">
        <v>12</v>
      </c>
      <c r="L422" s="239"/>
    </row>
    <row r="423" spans="1:12" ht="15" customHeight="1" thickBot="1" x14ac:dyDescent="0.25">
      <c r="A423" s="253"/>
      <c r="B423" s="47">
        <f>SUM(C423:D423)</f>
        <v>2824</v>
      </c>
      <c r="C423" s="47">
        <f>I423+F423</f>
        <v>2824</v>
      </c>
      <c r="D423" s="47">
        <f>J423+G423</f>
        <v>0</v>
      </c>
      <c r="E423" s="47">
        <f>SUM(F423:G423)</f>
        <v>0</v>
      </c>
      <c r="F423" s="47">
        <v>0</v>
      </c>
      <c r="G423" s="47">
        <v>0</v>
      </c>
      <c r="H423" s="47">
        <f>SUM(I423:J423)</f>
        <v>2824</v>
      </c>
      <c r="I423" s="47">
        <v>2824</v>
      </c>
      <c r="J423" s="47">
        <v>0</v>
      </c>
      <c r="K423" s="188" t="s">
        <v>233</v>
      </c>
      <c r="L423" s="134"/>
    </row>
    <row r="424" spans="1:12" ht="15" customHeight="1" thickBot="1" x14ac:dyDescent="0.25">
      <c r="A424" s="253"/>
      <c r="B424" s="47">
        <f>SUM(C424:D424)</f>
        <v>0</v>
      </c>
      <c r="C424" s="47">
        <f>I424+F424</f>
        <v>0</v>
      </c>
      <c r="D424" s="47">
        <f>J424+G424</f>
        <v>0</v>
      </c>
      <c r="E424" s="47">
        <f>SUM(F424:G424)</f>
        <v>0</v>
      </c>
      <c r="F424" s="47">
        <v>0</v>
      </c>
      <c r="G424" s="47">
        <v>0</v>
      </c>
      <c r="H424" s="47">
        <f>SUM(I424:J424)</f>
        <v>0</v>
      </c>
      <c r="I424" s="47">
        <v>0</v>
      </c>
      <c r="J424" s="47">
        <v>0</v>
      </c>
      <c r="K424" s="188" t="s">
        <v>234</v>
      </c>
      <c r="L424" s="134" t="s">
        <v>652</v>
      </c>
    </row>
    <row r="425" spans="1:12" ht="15" customHeight="1" thickBot="1" x14ac:dyDescent="0.25">
      <c r="A425" s="253"/>
      <c r="B425" s="47">
        <f t="shared" ref="B425:J425" si="136">SUM(B423:B424)</f>
        <v>2824</v>
      </c>
      <c r="C425" s="47">
        <f t="shared" si="136"/>
        <v>2824</v>
      </c>
      <c r="D425" s="47">
        <f t="shared" si="136"/>
        <v>0</v>
      </c>
      <c r="E425" s="47">
        <f t="shared" si="136"/>
        <v>0</v>
      </c>
      <c r="F425" s="47">
        <f t="shared" si="136"/>
        <v>0</v>
      </c>
      <c r="G425" s="47">
        <f t="shared" si="136"/>
        <v>0</v>
      </c>
      <c r="H425" s="47">
        <f t="shared" si="136"/>
        <v>2824</v>
      </c>
      <c r="I425" s="47">
        <f t="shared" si="136"/>
        <v>2824</v>
      </c>
      <c r="J425" s="47">
        <f t="shared" si="136"/>
        <v>0</v>
      </c>
      <c r="K425" s="188" t="s">
        <v>12</v>
      </c>
      <c r="L425" s="239"/>
    </row>
    <row r="426" spans="1:12" ht="15" customHeight="1" thickBot="1" x14ac:dyDescent="0.25">
      <c r="A426" s="253"/>
      <c r="B426" s="47">
        <f>SUM(C426:D426)</f>
        <v>89</v>
      </c>
      <c r="C426" s="47">
        <f>I426+F426</f>
        <v>0</v>
      </c>
      <c r="D426" s="47">
        <f>J426+G426</f>
        <v>89</v>
      </c>
      <c r="E426" s="47">
        <f>SUM(F426:G426)</f>
        <v>1</v>
      </c>
      <c r="F426" s="47">
        <v>0</v>
      </c>
      <c r="G426" s="47">
        <v>1</v>
      </c>
      <c r="H426" s="47">
        <f>SUM(I426:J426)</f>
        <v>88</v>
      </c>
      <c r="I426" s="47">
        <v>0</v>
      </c>
      <c r="J426" s="47">
        <v>88</v>
      </c>
      <c r="K426" s="188" t="s">
        <v>233</v>
      </c>
      <c r="L426" s="134"/>
    </row>
    <row r="427" spans="1:12" ht="15" customHeight="1" thickBot="1" x14ac:dyDescent="0.25">
      <c r="A427" s="253"/>
      <c r="B427" s="47">
        <f>SUM(C427:D427)</f>
        <v>0</v>
      </c>
      <c r="C427" s="47">
        <f>I427+F427</f>
        <v>0</v>
      </c>
      <c r="D427" s="47">
        <f>J427+G427</f>
        <v>0</v>
      </c>
      <c r="E427" s="47">
        <f>SUM(F427:G427)</f>
        <v>0</v>
      </c>
      <c r="F427" s="47">
        <v>0</v>
      </c>
      <c r="G427" s="47">
        <v>0</v>
      </c>
      <c r="H427" s="47">
        <f>SUM(I427:J427)</f>
        <v>0</v>
      </c>
      <c r="I427" s="47">
        <v>0</v>
      </c>
      <c r="J427" s="47">
        <v>0</v>
      </c>
      <c r="K427" s="188" t="s">
        <v>234</v>
      </c>
      <c r="L427" s="134" t="s">
        <v>449</v>
      </c>
    </row>
    <row r="428" spans="1:12" ht="15" customHeight="1" thickBot="1" x14ac:dyDescent="0.25">
      <c r="A428" s="253"/>
      <c r="B428" s="47">
        <f t="shared" ref="B428:J428" si="137">SUM(B426:B427)</f>
        <v>89</v>
      </c>
      <c r="C428" s="47">
        <f t="shared" si="137"/>
        <v>0</v>
      </c>
      <c r="D428" s="47">
        <f t="shared" si="137"/>
        <v>89</v>
      </c>
      <c r="E428" s="47">
        <f t="shared" si="137"/>
        <v>1</v>
      </c>
      <c r="F428" s="47">
        <f t="shared" si="137"/>
        <v>0</v>
      </c>
      <c r="G428" s="47">
        <f t="shared" si="137"/>
        <v>1</v>
      </c>
      <c r="H428" s="47">
        <f t="shared" si="137"/>
        <v>88</v>
      </c>
      <c r="I428" s="47">
        <f t="shared" si="137"/>
        <v>0</v>
      </c>
      <c r="J428" s="47">
        <f t="shared" si="137"/>
        <v>88</v>
      </c>
      <c r="K428" s="188" t="s">
        <v>12</v>
      </c>
      <c r="L428" s="239"/>
    </row>
    <row r="429" spans="1:12" ht="15" customHeight="1" thickBot="1" x14ac:dyDescent="0.25">
      <c r="A429" s="253"/>
      <c r="B429" s="47">
        <f>SUM(C429:D429)</f>
        <v>69</v>
      </c>
      <c r="C429" s="47">
        <f>I429+F429</f>
        <v>0</v>
      </c>
      <c r="D429" s="47">
        <f>J429+G429</f>
        <v>69</v>
      </c>
      <c r="E429" s="47">
        <f>SUM(F429:G429)</f>
        <v>0</v>
      </c>
      <c r="F429" s="47">
        <v>0</v>
      </c>
      <c r="G429" s="47">
        <v>0</v>
      </c>
      <c r="H429" s="47">
        <f>SUM(I429:J429)</f>
        <v>69</v>
      </c>
      <c r="I429" s="47">
        <v>0</v>
      </c>
      <c r="J429" s="47">
        <v>69</v>
      </c>
      <c r="K429" s="188" t="s">
        <v>233</v>
      </c>
      <c r="L429" s="134"/>
    </row>
    <row r="430" spans="1:12" ht="15" customHeight="1" thickBot="1" x14ac:dyDescent="0.25">
      <c r="A430" s="253"/>
      <c r="B430" s="47">
        <f>SUM(C430:D430)</f>
        <v>0</v>
      </c>
      <c r="C430" s="47">
        <f>I430+F430</f>
        <v>0</v>
      </c>
      <c r="D430" s="47">
        <f>J430+G430</f>
        <v>0</v>
      </c>
      <c r="E430" s="47">
        <f>SUM(F430:G430)</f>
        <v>0</v>
      </c>
      <c r="F430" s="47">
        <v>0</v>
      </c>
      <c r="G430" s="47">
        <v>0</v>
      </c>
      <c r="H430" s="47">
        <f>SUM(I430:J430)</f>
        <v>0</v>
      </c>
      <c r="I430" s="47">
        <v>0</v>
      </c>
      <c r="J430" s="47">
        <v>0</v>
      </c>
      <c r="K430" s="188" t="s">
        <v>234</v>
      </c>
      <c r="L430" s="134" t="s">
        <v>653</v>
      </c>
    </row>
    <row r="431" spans="1:12" ht="15" customHeight="1" thickBot="1" x14ac:dyDescent="0.25">
      <c r="A431" s="253"/>
      <c r="B431" s="47">
        <f t="shared" ref="B431:J431" si="138">SUM(B429:B430)</f>
        <v>69</v>
      </c>
      <c r="C431" s="47">
        <f t="shared" si="138"/>
        <v>0</v>
      </c>
      <c r="D431" s="47">
        <f t="shared" si="138"/>
        <v>69</v>
      </c>
      <c r="E431" s="47">
        <f t="shared" si="138"/>
        <v>0</v>
      </c>
      <c r="F431" s="47">
        <f t="shared" si="138"/>
        <v>0</v>
      </c>
      <c r="G431" s="47">
        <f t="shared" si="138"/>
        <v>0</v>
      </c>
      <c r="H431" s="47">
        <f t="shared" si="138"/>
        <v>69</v>
      </c>
      <c r="I431" s="47">
        <f t="shared" si="138"/>
        <v>0</v>
      </c>
      <c r="J431" s="47">
        <f t="shared" si="138"/>
        <v>69</v>
      </c>
      <c r="K431" s="188" t="s">
        <v>12</v>
      </c>
      <c r="L431" s="239"/>
    </row>
    <row r="432" spans="1:12" ht="15" customHeight="1" thickBot="1" x14ac:dyDescent="0.25">
      <c r="A432" s="253"/>
      <c r="B432" s="47">
        <f t="shared" ref="B432:J434" si="139">B354+B357+B360+B363+B366+B369+B372+B375+B378+B381+B384+B387+B390+B393+B396+B399+B402+B405+B408+B411+B414+B417+B420+B423+B426+B429</f>
        <v>43587</v>
      </c>
      <c r="C432" s="47">
        <f t="shared" si="139"/>
        <v>33268</v>
      </c>
      <c r="D432" s="47">
        <f t="shared" si="139"/>
        <v>10319</v>
      </c>
      <c r="E432" s="47">
        <f t="shared" si="139"/>
        <v>226</v>
      </c>
      <c r="F432" s="47">
        <f t="shared" si="139"/>
        <v>126</v>
      </c>
      <c r="G432" s="47">
        <f t="shared" si="139"/>
        <v>100</v>
      </c>
      <c r="H432" s="47">
        <f t="shared" si="139"/>
        <v>43361</v>
      </c>
      <c r="I432" s="47">
        <f t="shared" si="139"/>
        <v>33142</v>
      </c>
      <c r="J432" s="47">
        <f t="shared" si="139"/>
        <v>10219</v>
      </c>
      <c r="K432" s="188" t="s">
        <v>236</v>
      </c>
      <c r="L432" s="131"/>
    </row>
    <row r="433" spans="1:13" ht="15" customHeight="1" thickBot="1" x14ac:dyDescent="0.25">
      <c r="A433" s="253"/>
      <c r="B433" s="47">
        <f t="shared" si="139"/>
        <v>8530</v>
      </c>
      <c r="C433" s="47">
        <f t="shared" si="139"/>
        <v>8530</v>
      </c>
      <c r="D433" s="47">
        <f t="shared" si="139"/>
        <v>0</v>
      </c>
      <c r="E433" s="47">
        <f t="shared" si="139"/>
        <v>27</v>
      </c>
      <c r="F433" s="47">
        <f t="shared" si="139"/>
        <v>27</v>
      </c>
      <c r="G433" s="47">
        <f t="shared" si="139"/>
        <v>0</v>
      </c>
      <c r="H433" s="47">
        <f t="shared" si="139"/>
        <v>8503</v>
      </c>
      <c r="I433" s="47">
        <f t="shared" si="139"/>
        <v>8503</v>
      </c>
      <c r="J433" s="47">
        <f t="shared" si="139"/>
        <v>0</v>
      </c>
      <c r="K433" s="188" t="s">
        <v>237</v>
      </c>
      <c r="L433" s="132" t="s">
        <v>188</v>
      </c>
    </row>
    <row r="434" spans="1:13" ht="15" customHeight="1" thickBot="1" x14ac:dyDescent="0.25">
      <c r="A434" s="253"/>
      <c r="B434" s="47">
        <f t="shared" si="139"/>
        <v>52117</v>
      </c>
      <c r="C434" s="47">
        <f t="shared" si="139"/>
        <v>41798</v>
      </c>
      <c r="D434" s="47">
        <f t="shared" si="139"/>
        <v>10319</v>
      </c>
      <c r="E434" s="47">
        <f t="shared" si="139"/>
        <v>253</v>
      </c>
      <c r="F434" s="47">
        <f t="shared" si="139"/>
        <v>153</v>
      </c>
      <c r="G434" s="47">
        <f t="shared" si="139"/>
        <v>100</v>
      </c>
      <c r="H434" s="47">
        <f t="shared" si="139"/>
        <v>51864</v>
      </c>
      <c r="I434" s="47">
        <f t="shared" si="139"/>
        <v>41645</v>
      </c>
      <c r="J434" s="47">
        <f t="shared" si="139"/>
        <v>10219</v>
      </c>
      <c r="K434" s="188" t="s">
        <v>12</v>
      </c>
      <c r="L434" s="133"/>
    </row>
    <row r="435" spans="1:13" ht="15" customHeight="1" thickBot="1" x14ac:dyDescent="0.25">
      <c r="A435" s="253"/>
      <c r="B435" s="547" t="s">
        <v>4</v>
      </c>
      <c r="C435" s="548"/>
      <c r="D435" s="549"/>
      <c r="E435" s="547" t="s">
        <v>145</v>
      </c>
      <c r="F435" s="548"/>
      <c r="G435" s="549"/>
      <c r="H435" s="547" t="s">
        <v>146</v>
      </c>
      <c r="I435" s="548"/>
      <c r="J435" s="549"/>
      <c r="K435" s="545" t="s">
        <v>66</v>
      </c>
      <c r="L435" s="546"/>
    </row>
    <row r="436" spans="1:13" ht="15" customHeight="1" thickBot="1" x14ac:dyDescent="0.25">
      <c r="A436" s="253"/>
      <c r="B436" s="185" t="s">
        <v>227</v>
      </c>
      <c r="C436" s="185" t="s">
        <v>10</v>
      </c>
      <c r="D436" s="185" t="s">
        <v>9</v>
      </c>
      <c r="E436" s="185" t="s">
        <v>227</v>
      </c>
      <c r="F436" s="185" t="s">
        <v>10</v>
      </c>
      <c r="G436" s="185" t="s">
        <v>9</v>
      </c>
      <c r="H436" s="185" t="s">
        <v>227</v>
      </c>
      <c r="I436" s="185" t="s">
        <v>10</v>
      </c>
      <c r="J436" s="185" t="s">
        <v>9</v>
      </c>
      <c r="K436" s="545" t="s">
        <v>75</v>
      </c>
      <c r="L436" s="546"/>
    </row>
    <row r="437" spans="1:13" ht="15" customHeight="1" thickBot="1" x14ac:dyDescent="0.25">
      <c r="A437" s="253"/>
      <c r="B437" s="185">
        <f>SUM(C437:D437)</f>
        <v>103</v>
      </c>
      <c r="C437" s="185">
        <f>I437+F437</f>
        <v>7</v>
      </c>
      <c r="D437" s="185">
        <f>J437+G437</f>
        <v>96</v>
      </c>
      <c r="E437" s="185">
        <f>SUM(F437:G437)</f>
        <v>0</v>
      </c>
      <c r="F437" s="185">
        <v>0</v>
      </c>
      <c r="G437" s="185">
        <v>0</v>
      </c>
      <c r="H437" s="185">
        <f>SUM(I437:J437)</f>
        <v>103</v>
      </c>
      <c r="I437" s="185">
        <v>7</v>
      </c>
      <c r="J437" s="185">
        <v>96</v>
      </c>
      <c r="K437" s="188" t="s">
        <v>233</v>
      </c>
      <c r="L437" s="134"/>
    </row>
    <row r="438" spans="1:13" ht="15" customHeight="1" thickBot="1" x14ac:dyDescent="0.25">
      <c r="A438" s="253"/>
      <c r="B438" s="185">
        <f>SUM(C438:D438)</f>
        <v>0</v>
      </c>
      <c r="C438" s="185">
        <f>I438+F438</f>
        <v>0</v>
      </c>
      <c r="D438" s="185">
        <f>J438+G438</f>
        <v>0</v>
      </c>
      <c r="E438" s="185">
        <f>SUM(F438:G438)</f>
        <v>0</v>
      </c>
      <c r="F438" s="185">
        <v>0</v>
      </c>
      <c r="G438" s="185">
        <v>0</v>
      </c>
      <c r="H438" s="185">
        <f>SUM(I438:J438)</f>
        <v>0</v>
      </c>
      <c r="I438" s="185">
        <v>0</v>
      </c>
      <c r="J438" s="185">
        <v>0</v>
      </c>
      <c r="K438" s="188" t="s">
        <v>234</v>
      </c>
      <c r="L438" s="134" t="s">
        <v>376</v>
      </c>
    </row>
    <row r="439" spans="1:13" ht="15" customHeight="1" thickBot="1" x14ac:dyDescent="0.25">
      <c r="A439" s="253"/>
      <c r="B439" s="185">
        <f t="shared" ref="B439:J439" si="140">SUM(B437:B438)</f>
        <v>103</v>
      </c>
      <c r="C439" s="185">
        <f t="shared" si="140"/>
        <v>7</v>
      </c>
      <c r="D439" s="185">
        <f t="shared" si="140"/>
        <v>96</v>
      </c>
      <c r="E439" s="185">
        <f t="shared" si="140"/>
        <v>0</v>
      </c>
      <c r="F439" s="185">
        <f t="shared" si="140"/>
        <v>0</v>
      </c>
      <c r="G439" s="185">
        <f t="shared" si="140"/>
        <v>0</v>
      </c>
      <c r="H439" s="185">
        <f t="shared" si="140"/>
        <v>103</v>
      </c>
      <c r="I439" s="185">
        <f t="shared" si="140"/>
        <v>7</v>
      </c>
      <c r="J439" s="185">
        <f t="shared" si="140"/>
        <v>96</v>
      </c>
      <c r="K439" s="188" t="s">
        <v>12</v>
      </c>
      <c r="L439" s="239"/>
    </row>
    <row r="440" spans="1:13" ht="15" customHeight="1" thickBot="1" x14ac:dyDescent="0.25">
      <c r="A440" s="253"/>
      <c r="B440" s="185">
        <f>SUM(C440:D440)</f>
        <v>1354</v>
      </c>
      <c r="C440" s="185">
        <f>I440+F440</f>
        <v>405</v>
      </c>
      <c r="D440" s="185">
        <f>J440+G440</f>
        <v>949</v>
      </c>
      <c r="E440" s="185">
        <f>SUM(F440:G440)</f>
        <v>16</v>
      </c>
      <c r="F440" s="185">
        <v>10</v>
      </c>
      <c r="G440" s="185">
        <v>6</v>
      </c>
      <c r="H440" s="185">
        <f>SUM(I440:J440)</f>
        <v>1338</v>
      </c>
      <c r="I440" s="185">
        <v>395</v>
      </c>
      <c r="J440" s="185">
        <f>1144-201</f>
        <v>943</v>
      </c>
      <c r="K440" s="188" t="s">
        <v>233</v>
      </c>
      <c r="L440" s="134"/>
    </row>
    <row r="441" spans="1:13" ht="15" customHeight="1" thickBot="1" x14ac:dyDescent="0.25">
      <c r="A441" s="253"/>
      <c r="B441" s="185">
        <f>SUM(C441:D441)</f>
        <v>0</v>
      </c>
      <c r="C441" s="185">
        <f>I441+F441</f>
        <v>0</v>
      </c>
      <c r="D441" s="185">
        <f>J441+G441</f>
        <v>0</v>
      </c>
      <c r="E441" s="185">
        <f>SUM(F441:G441)</f>
        <v>0</v>
      </c>
      <c r="F441" s="185">
        <v>0</v>
      </c>
      <c r="G441" s="185">
        <v>0</v>
      </c>
      <c r="H441" s="185">
        <f>SUM(I441:J441)</f>
        <v>0</v>
      </c>
      <c r="I441" s="185">
        <v>0</v>
      </c>
      <c r="J441" s="185">
        <v>0</v>
      </c>
      <c r="K441" s="188" t="s">
        <v>234</v>
      </c>
      <c r="L441" s="134" t="s">
        <v>451</v>
      </c>
    </row>
    <row r="442" spans="1:13" ht="15" customHeight="1" thickBot="1" x14ac:dyDescent="0.25">
      <c r="A442" s="253"/>
      <c r="B442" s="185">
        <f t="shared" ref="B442:J442" si="141">SUM(B440:B441)</f>
        <v>1354</v>
      </c>
      <c r="C442" s="185">
        <f t="shared" si="141"/>
        <v>405</v>
      </c>
      <c r="D442" s="185">
        <f t="shared" si="141"/>
        <v>949</v>
      </c>
      <c r="E442" s="185">
        <f t="shared" si="141"/>
        <v>16</v>
      </c>
      <c r="F442" s="185">
        <f t="shared" si="141"/>
        <v>10</v>
      </c>
      <c r="G442" s="185">
        <f t="shared" si="141"/>
        <v>6</v>
      </c>
      <c r="H442" s="185">
        <f t="shared" si="141"/>
        <v>1338</v>
      </c>
      <c r="I442" s="185">
        <f t="shared" si="141"/>
        <v>395</v>
      </c>
      <c r="J442" s="185">
        <f t="shared" si="141"/>
        <v>943</v>
      </c>
      <c r="K442" s="188" t="s">
        <v>12</v>
      </c>
      <c r="L442" s="239"/>
    </row>
    <row r="443" spans="1:13" ht="15" customHeight="1" thickBot="1" x14ac:dyDescent="0.25">
      <c r="A443" s="253"/>
      <c r="B443" s="185">
        <f>SUM(C443:D443)</f>
        <v>841</v>
      </c>
      <c r="C443" s="185">
        <f>I443+F443</f>
        <v>0</v>
      </c>
      <c r="D443" s="185">
        <f>J443+G443</f>
        <v>841</v>
      </c>
      <c r="E443" s="185">
        <f>SUM(F443:G443)</f>
        <v>0</v>
      </c>
      <c r="F443" s="185">
        <v>0</v>
      </c>
      <c r="G443" s="185">
        <v>0</v>
      </c>
      <c r="H443" s="185">
        <f>SUM(I443:J443)</f>
        <v>841</v>
      </c>
      <c r="I443" s="185">
        <v>0</v>
      </c>
      <c r="J443" s="185">
        <f>991-150</f>
        <v>841</v>
      </c>
      <c r="K443" s="188" t="s">
        <v>233</v>
      </c>
      <c r="L443" s="134"/>
    </row>
    <row r="444" spans="1:13" ht="15" customHeight="1" thickBot="1" x14ac:dyDescent="0.25">
      <c r="A444" s="253"/>
      <c r="B444" s="185">
        <f>SUM(C444:D444)</f>
        <v>0</v>
      </c>
      <c r="C444" s="185">
        <f>I444+F444</f>
        <v>0</v>
      </c>
      <c r="D444" s="185">
        <f>J444+G444</f>
        <v>0</v>
      </c>
      <c r="E444" s="185">
        <f>SUM(F444:G444)</f>
        <v>0</v>
      </c>
      <c r="F444" s="185">
        <v>0</v>
      </c>
      <c r="G444" s="185">
        <v>0</v>
      </c>
      <c r="H444" s="185">
        <f>SUM(I444:J444)</f>
        <v>0</v>
      </c>
      <c r="I444" s="185">
        <v>0</v>
      </c>
      <c r="J444" s="185">
        <v>0</v>
      </c>
      <c r="K444" s="188" t="s">
        <v>234</v>
      </c>
      <c r="L444" s="134" t="s">
        <v>654</v>
      </c>
    </row>
    <row r="445" spans="1:13" ht="15" customHeight="1" thickBot="1" x14ac:dyDescent="0.25">
      <c r="A445" s="253"/>
      <c r="B445" s="185">
        <f t="shared" ref="B445:J445" si="142">SUM(B443:B444)</f>
        <v>841</v>
      </c>
      <c r="C445" s="185">
        <f t="shared" si="142"/>
        <v>0</v>
      </c>
      <c r="D445" s="185">
        <f t="shared" si="142"/>
        <v>841</v>
      </c>
      <c r="E445" s="185">
        <f t="shared" si="142"/>
        <v>0</v>
      </c>
      <c r="F445" s="185">
        <f t="shared" si="142"/>
        <v>0</v>
      </c>
      <c r="G445" s="185">
        <f t="shared" si="142"/>
        <v>0</v>
      </c>
      <c r="H445" s="185">
        <f t="shared" si="142"/>
        <v>841</v>
      </c>
      <c r="I445" s="185">
        <f t="shared" si="142"/>
        <v>0</v>
      </c>
      <c r="J445" s="185">
        <f t="shared" si="142"/>
        <v>841</v>
      </c>
      <c r="K445" s="186" t="s">
        <v>12</v>
      </c>
      <c r="L445" s="239"/>
      <c r="M445" s="124"/>
    </row>
    <row r="446" spans="1:13" ht="15" customHeight="1" thickBot="1" x14ac:dyDescent="0.25">
      <c r="A446" s="253"/>
      <c r="B446" s="185">
        <f>SUM(C446:D446)</f>
        <v>929</v>
      </c>
      <c r="C446" s="185">
        <f>I446+F446</f>
        <v>0</v>
      </c>
      <c r="D446" s="185">
        <f>J446+G446</f>
        <v>929</v>
      </c>
      <c r="E446" s="185">
        <f>SUM(F446:G446)</f>
        <v>41</v>
      </c>
      <c r="F446" s="185">
        <v>0</v>
      </c>
      <c r="G446" s="185">
        <v>41</v>
      </c>
      <c r="H446" s="185">
        <f>SUM(I446:J446)</f>
        <v>888</v>
      </c>
      <c r="I446" s="185">
        <v>0</v>
      </c>
      <c r="J446" s="185">
        <f>1138-250</f>
        <v>888</v>
      </c>
      <c r="K446" s="188" t="s">
        <v>233</v>
      </c>
      <c r="L446" s="134"/>
    </row>
    <row r="447" spans="1:13" ht="15" customHeight="1" thickBot="1" x14ac:dyDescent="0.25">
      <c r="A447" s="253"/>
      <c r="B447" s="185">
        <f>SUM(C447:D447)</f>
        <v>0</v>
      </c>
      <c r="C447" s="185">
        <f>I447+F447</f>
        <v>0</v>
      </c>
      <c r="D447" s="185">
        <f>J447+G447</f>
        <v>0</v>
      </c>
      <c r="E447" s="185">
        <f>SUM(F447:G447)</f>
        <v>0</v>
      </c>
      <c r="F447" s="185">
        <v>0</v>
      </c>
      <c r="G447" s="185">
        <v>0</v>
      </c>
      <c r="H447" s="185">
        <f>SUM(I447:J447)</f>
        <v>0</v>
      </c>
      <c r="I447" s="185">
        <v>0</v>
      </c>
      <c r="J447" s="185">
        <v>0</v>
      </c>
      <c r="K447" s="188" t="s">
        <v>234</v>
      </c>
      <c r="L447" s="134" t="s">
        <v>624</v>
      </c>
    </row>
    <row r="448" spans="1:13" ht="15" customHeight="1" thickBot="1" x14ac:dyDescent="0.25">
      <c r="A448" s="253"/>
      <c r="B448" s="185">
        <f t="shared" ref="B448:J448" si="143">SUM(B446:B447)</f>
        <v>929</v>
      </c>
      <c r="C448" s="185">
        <f t="shared" si="143"/>
        <v>0</v>
      </c>
      <c r="D448" s="185">
        <f t="shared" si="143"/>
        <v>929</v>
      </c>
      <c r="E448" s="185">
        <f t="shared" si="143"/>
        <v>41</v>
      </c>
      <c r="F448" s="185">
        <f t="shared" si="143"/>
        <v>0</v>
      </c>
      <c r="G448" s="185">
        <f t="shared" si="143"/>
        <v>41</v>
      </c>
      <c r="H448" s="185">
        <f t="shared" si="143"/>
        <v>888</v>
      </c>
      <c r="I448" s="185">
        <f t="shared" si="143"/>
        <v>0</v>
      </c>
      <c r="J448" s="185">
        <f t="shared" si="143"/>
        <v>888</v>
      </c>
      <c r="K448" s="188" t="s">
        <v>12</v>
      </c>
      <c r="L448" s="239"/>
    </row>
    <row r="449" spans="1:12" ht="15" customHeight="1" thickBot="1" x14ac:dyDescent="0.25">
      <c r="A449" s="253"/>
      <c r="B449" s="185">
        <f>SUM(C449:D449)</f>
        <v>1649</v>
      </c>
      <c r="C449" s="185">
        <f>I449+F449</f>
        <v>0</v>
      </c>
      <c r="D449" s="185">
        <f>J449+G449</f>
        <v>1649</v>
      </c>
      <c r="E449" s="185">
        <f>SUM(F449:G449)</f>
        <v>14</v>
      </c>
      <c r="F449" s="185">
        <v>0</v>
      </c>
      <c r="G449" s="185">
        <v>14</v>
      </c>
      <c r="H449" s="185">
        <f>SUM(I449:J449)</f>
        <v>1635</v>
      </c>
      <c r="I449" s="185">
        <v>0</v>
      </c>
      <c r="J449" s="185">
        <f>1885-250</f>
        <v>1635</v>
      </c>
      <c r="K449" s="188" t="s">
        <v>233</v>
      </c>
      <c r="L449" s="134"/>
    </row>
    <row r="450" spans="1:12" ht="15" customHeight="1" thickBot="1" x14ac:dyDescent="0.25">
      <c r="A450" s="253"/>
      <c r="B450" s="185">
        <f>SUM(C450:D450)</f>
        <v>0</v>
      </c>
      <c r="C450" s="185">
        <f>I450+F450</f>
        <v>0</v>
      </c>
      <c r="D450" s="185">
        <f>J450+G450</f>
        <v>0</v>
      </c>
      <c r="E450" s="185">
        <f>SUM(F450:G450)</f>
        <v>0</v>
      </c>
      <c r="F450" s="185">
        <v>0</v>
      </c>
      <c r="G450" s="185">
        <v>0</v>
      </c>
      <c r="H450" s="185">
        <f>SUM(I450:J450)</f>
        <v>0</v>
      </c>
      <c r="I450" s="185">
        <v>0</v>
      </c>
      <c r="J450" s="185">
        <v>0</v>
      </c>
      <c r="K450" s="188" t="s">
        <v>234</v>
      </c>
      <c r="L450" s="134" t="s">
        <v>655</v>
      </c>
    </row>
    <row r="451" spans="1:12" ht="15" customHeight="1" thickBot="1" x14ac:dyDescent="0.25">
      <c r="A451" s="253"/>
      <c r="B451" s="185">
        <f t="shared" ref="B451:J451" si="144">SUM(B449:B450)</f>
        <v>1649</v>
      </c>
      <c r="C451" s="185">
        <f t="shared" si="144"/>
        <v>0</v>
      </c>
      <c r="D451" s="185">
        <f t="shared" si="144"/>
        <v>1649</v>
      </c>
      <c r="E451" s="185">
        <f t="shared" si="144"/>
        <v>14</v>
      </c>
      <c r="F451" s="185">
        <f t="shared" si="144"/>
        <v>0</v>
      </c>
      <c r="G451" s="185">
        <f t="shared" si="144"/>
        <v>14</v>
      </c>
      <c r="H451" s="185">
        <f t="shared" si="144"/>
        <v>1635</v>
      </c>
      <c r="I451" s="185">
        <f t="shared" si="144"/>
        <v>0</v>
      </c>
      <c r="J451" s="185">
        <f t="shared" si="144"/>
        <v>1635</v>
      </c>
      <c r="K451" s="188" t="s">
        <v>12</v>
      </c>
      <c r="L451" s="239"/>
    </row>
    <row r="452" spans="1:12" ht="15" customHeight="1" thickBot="1" x14ac:dyDescent="0.25">
      <c r="A452" s="253"/>
      <c r="B452" s="185">
        <f>SUM(C452:D452)</f>
        <v>920</v>
      </c>
      <c r="C452" s="185">
        <f>I452+F452</f>
        <v>0</v>
      </c>
      <c r="D452" s="185">
        <f>J452+G452</f>
        <v>920</v>
      </c>
      <c r="E452" s="185">
        <f>SUM(F452:G452)</f>
        <v>10</v>
      </c>
      <c r="F452" s="185">
        <v>0</v>
      </c>
      <c r="G452" s="185">
        <v>10</v>
      </c>
      <c r="H452" s="185">
        <f>SUM(I452:J452)</f>
        <v>910</v>
      </c>
      <c r="I452" s="185">
        <v>0</v>
      </c>
      <c r="J452" s="185">
        <f>1060-150</f>
        <v>910</v>
      </c>
      <c r="K452" s="188" t="s">
        <v>233</v>
      </c>
      <c r="L452" s="134"/>
    </row>
    <row r="453" spans="1:12" ht="15" customHeight="1" thickBot="1" x14ac:dyDescent="0.25">
      <c r="A453" s="253"/>
      <c r="B453" s="185">
        <f>SUM(C453:D453)</f>
        <v>0</v>
      </c>
      <c r="C453" s="185">
        <f>I453+F453</f>
        <v>0</v>
      </c>
      <c r="D453" s="185">
        <f>J453+G453</f>
        <v>0</v>
      </c>
      <c r="E453" s="185">
        <f>SUM(F453:G453)</f>
        <v>0</v>
      </c>
      <c r="F453" s="185">
        <v>0</v>
      </c>
      <c r="G453" s="185">
        <v>0</v>
      </c>
      <c r="H453" s="185">
        <f>SUM(I453:J453)</f>
        <v>0</v>
      </c>
      <c r="I453" s="185">
        <v>0</v>
      </c>
      <c r="J453" s="185">
        <v>0</v>
      </c>
      <c r="K453" s="188" t="s">
        <v>234</v>
      </c>
      <c r="L453" s="134" t="s">
        <v>453</v>
      </c>
    </row>
    <row r="454" spans="1:12" ht="15" customHeight="1" thickBot="1" x14ac:dyDescent="0.25">
      <c r="A454" s="253"/>
      <c r="B454" s="185">
        <f t="shared" ref="B454:J454" si="145">SUM(B452:B453)</f>
        <v>920</v>
      </c>
      <c r="C454" s="185">
        <f t="shared" si="145"/>
        <v>0</v>
      </c>
      <c r="D454" s="185">
        <f t="shared" si="145"/>
        <v>920</v>
      </c>
      <c r="E454" s="185">
        <f t="shared" si="145"/>
        <v>10</v>
      </c>
      <c r="F454" s="185">
        <f t="shared" si="145"/>
        <v>0</v>
      </c>
      <c r="G454" s="185">
        <f t="shared" si="145"/>
        <v>10</v>
      </c>
      <c r="H454" s="185">
        <f t="shared" si="145"/>
        <v>910</v>
      </c>
      <c r="I454" s="185">
        <f t="shared" si="145"/>
        <v>0</v>
      </c>
      <c r="J454" s="185">
        <f t="shared" si="145"/>
        <v>910</v>
      </c>
      <c r="K454" s="188" t="s">
        <v>12</v>
      </c>
      <c r="L454" s="239"/>
    </row>
    <row r="455" spans="1:12" ht="15" customHeight="1" thickBot="1" x14ac:dyDescent="0.25">
      <c r="A455" s="253"/>
      <c r="B455" s="185">
        <f>SUM(C455:D455)</f>
        <v>435</v>
      </c>
      <c r="C455" s="185">
        <f>I455+F455</f>
        <v>0</v>
      </c>
      <c r="D455" s="185">
        <f>J455+G455</f>
        <v>435</v>
      </c>
      <c r="E455" s="185">
        <f>SUM(F455:G455)</f>
        <v>0</v>
      </c>
      <c r="F455" s="185">
        <v>0</v>
      </c>
      <c r="G455" s="185">
        <v>0</v>
      </c>
      <c r="H455" s="185">
        <f>SUM(I455:J455)</f>
        <v>435</v>
      </c>
      <c r="I455" s="185">
        <v>0</v>
      </c>
      <c r="J455" s="185">
        <v>435</v>
      </c>
      <c r="K455" s="188" t="s">
        <v>233</v>
      </c>
      <c r="L455" s="134"/>
    </row>
    <row r="456" spans="1:12" ht="15" customHeight="1" thickBot="1" x14ac:dyDescent="0.25">
      <c r="A456" s="253"/>
      <c r="B456" s="185">
        <f>SUM(C456:D456)</f>
        <v>0</v>
      </c>
      <c r="C456" s="185">
        <f>I456+F456</f>
        <v>0</v>
      </c>
      <c r="D456" s="185">
        <f>J456+G456</f>
        <v>0</v>
      </c>
      <c r="E456" s="185">
        <f>SUM(F456:G456)</f>
        <v>0</v>
      </c>
      <c r="F456" s="185">
        <v>0</v>
      </c>
      <c r="G456" s="185">
        <v>0</v>
      </c>
      <c r="H456" s="185">
        <f>SUM(I456:J456)</f>
        <v>0</v>
      </c>
      <c r="I456" s="185">
        <v>0</v>
      </c>
      <c r="J456" s="185">
        <v>0</v>
      </c>
      <c r="K456" s="188" t="s">
        <v>234</v>
      </c>
      <c r="L456" s="134" t="s">
        <v>406</v>
      </c>
    </row>
    <row r="457" spans="1:12" ht="15" customHeight="1" thickBot="1" x14ac:dyDescent="0.25">
      <c r="A457" s="253"/>
      <c r="B457" s="185">
        <f t="shared" ref="B457:J457" si="146">SUM(B455:B456)</f>
        <v>435</v>
      </c>
      <c r="C457" s="185">
        <f t="shared" si="146"/>
        <v>0</v>
      </c>
      <c r="D457" s="185">
        <f t="shared" si="146"/>
        <v>435</v>
      </c>
      <c r="E457" s="185">
        <f t="shared" si="146"/>
        <v>0</v>
      </c>
      <c r="F457" s="185">
        <f t="shared" si="146"/>
        <v>0</v>
      </c>
      <c r="G457" s="185">
        <f t="shared" si="146"/>
        <v>0</v>
      </c>
      <c r="H457" s="185">
        <f t="shared" si="146"/>
        <v>435</v>
      </c>
      <c r="I457" s="185">
        <f t="shared" si="146"/>
        <v>0</v>
      </c>
      <c r="J457" s="185">
        <f t="shared" si="146"/>
        <v>435</v>
      </c>
      <c r="K457" s="188" t="s">
        <v>12</v>
      </c>
      <c r="L457" s="239"/>
    </row>
    <row r="458" spans="1:12" ht="15" customHeight="1" thickBot="1" x14ac:dyDescent="0.25">
      <c r="A458" s="253"/>
      <c r="B458" s="185">
        <f>SUM(C458:D458)</f>
        <v>501</v>
      </c>
      <c r="C458" s="185">
        <f>I458+F458</f>
        <v>68</v>
      </c>
      <c r="D458" s="185">
        <f>J458+G458</f>
        <v>433</v>
      </c>
      <c r="E458" s="185">
        <f>SUM(F458:G458)</f>
        <v>0</v>
      </c>
      <c r="F458" s="185">
        <v>0</v>
      </c>
      <c r="G458" s="185">
        <v>0</v>
      </c>
      <c r="H458" s="185">
        <f>SUM(I458:J458)</f>
        <v>501</v>
      </c>
      <c r="I458" s="185">
        <v>68</v>
      </c>
      <c r="J458" s="185">
        <v>433</v>
      </c>
      <c r="K458" s="188" t="s">
        <v>233</v>
      </c>
      <c r="L458" s="134"/>
    </row>
    <row r="459" spans="1:12" ht="15" customHeight="1" thickBot="1" x14ac:dyDescent="0.25">
      <c r="A459" s="253"/>
      <c r="B459" s="185">
        <f>SUM(C459:D459)</f>
        <v>0</v>
      </c>
      <c r="C459" s="185">
        <f>I459+F459</f>
        <v>0</v>
      </c>
      <c r="D459" s="185">
        <f>J459+G459</f>
        <v>0</v>
      </c>
      <c r="E459" s="185">
        <f>SUM(F459:G459)</f>
        <v>0</v>
      </c>
      <c r="F459" s="185">
        <v>0</v>
      </c>
      <c r="G459" s="185">
        <v>0</v>
      </c>
      <c r="H459" s="185">
        <f>SUM(I459:J459)</f>
        <v>0</v>
      </c>
      <c r="I459" s="185">
        <v>0</v>
      </c>
      <c r="J459" s="185">
        <v>0</v>
      </c>
      <c r="K459" s="188" t="s">
        <v>234</v>
      </c>
      <c r="L459" s="134" t="s">
        <v>348</v>
      </c>
    </row>
    <row r="460" spans="1:12" ht="15" customHeight="1" thickBot="1" x14ac:dyDescent="0.25">
      <c r="A460" s="253"/>
      <c r="B460" s="185">
        <f t="shared" ref="B460:J460" si="147">SUM(B458:B459)</f>
        <v>501</v>
      </c>
      <c r="C460" s="185">
        <f t="shared" si="147"/>
        <v>68</v>
      </c>
      <c r="D460" s="185">
        <f t="shared" si="147"/>
        <v>433</v>
      </c>
      <c r="E460" s="185">
        <f t="shared" si="147"/>
        <v>0</v>
      </c>
      <c r="F460" s="185">
        <f t="shared" si="147"/>
        <v>0</v>
      </c>
      <c r="G460" s="185">
        <f t="shared" si="147"/>
        <v>0</v>
      </c>
      <c r="H460" s="185">
        <f t="shared" si="147"/>
        <v>501</v>
      </c>
      <c r="I460" s="185">
        <f t="shared" si="147"/>
        <v>68</v>
      </c>
      <c r="J460" s="185">
        <f t="shared" si="147"/>
        <v>433</v>
      </c>
      <c r="K460" s="188" t="s">
        <v>12</v>
      </c>
      <c r="L460" s="239"/>
    </row>
    <row r="461" spans="1:12" ht="15" customHeight="1" thickBot="1" x14ac:dyDescent="0.25">
      <c r="A461" s="253"/>
      <c r="B461" s="185">
        <f>SUM(C461:D461)</f>
        <v>620</v>
      </c>
      <c r="C461" s="185">
        <f>I461+F461</f>
        <v>0</v>
      </c>
      <c r="D461" s="185">
        <f>J461+G461</f>
        <v>620</v>
      </c>
      <c r="E461" s="185">
        <f>SUM(F461:G461)</f>
        <v>1</v>
      </c>
      <c r="F461" s="185">
        <v>0</v>
      </c>
      <c r="G461" s="185">
        <v>1</v>
      </c>
      <c r="H461" s="185">
        <f>SUM(I461:J461)</f>
        <v>619</v>
      </c>
      <c r="I461" s="185">
        <v>0</v>
      </c>
      <c r="J461" s="185">
        <v>619</v>
      </c>
      <c r="K461" s="188" t="s">
        <v>233</v>
      </c>
      <c r="L461" s="134"/>
    </row>
    <row r="462" spans="1:12" ht="15" customHeight="1" thickBot="1" x14ac:dyDescent="0.25">
      <c r="A462" s="253"/>
      <c r="B462" s="185">
        <f>SUM(C462:D462)</f>
        <v>0</v>
      </c>
      <c r="C462" s="185">
        <f>I462+F462</f>
        <v>0</v>
      </c>
      <c r="D462" s="185">
        <f>J462+G462</f>
        <v>0</v>
      </c>
      <c r="E462" s="185">
        <f>SUM(F462:G462)</f>
        <v>0</v>
      </c>
      <c r="F462" s="185">
        <v>0</v>
      </c>
      <c r="G462" s="185">
        <v>0</v>
      </c>
      <c r="H462" s="185">
        <f>SUM(I462:J462)</f>
        <v>0</v>
      </c>
      <c r="I462" s="185">
        <v>0</v>
      </c>
      <c r="J462" s="185">
        <v>0</v>
      </c>
      <c r="K462" s="188" t="s">
        <v>234</v>
      </c>
      <c r="L462" s="134" t="s">
        <v>347</v>
      </c>
    </row>
    <row r="463" spans="1:12" ht="15" customHeight="1" thickBot="1" x14ac:dyDescent="0.25">
      <c r="A463" s="253"/>
      <c r="B463" s="185">
        <f t="shared" ref="B463:J463" si="148">SUM(B461:B462)</f>
        <v>620</v>
      </c>
      <c r="C463" s="185">
        <f t="shared" si="148"/>
        <v>0</v>
      </c>
      <c r="D463" s="185">
        <f t="shared" si="148"/>
        <v>620</v>
      </c>
      <c r="E463" s="185">
        <f t="shared" si="148"/>
        <v>1</v>
      </c>
      <c r="F463" s="185">
        <f t="shared" si="148"/>
        <v>0</v>
      </c>
      <c r="G463" s="185">
        <f t="shared" si="148"/>
        <v>1</v>
      </c>
      <c r="H463" s="185">
        <f t="shared" si="148"/>
        <v>619</v>
      </c>
      <c r="I463" s="185">
        <f t="shared" si="148"/>
        <v>0</v>
      </c>
      <c r="J463" s="185">
        <f t="shared" si="148"/>
        <v>619</v>
      </c>
      <c r="K463" s="188" t="s">
        <v>12</v>
      </c>
      <c r="L463" s="239"/>
    </row>
    <row r="464" spans="1:12" ht="15" customHeight="1" thickBot="1" x14ac:dyDescent="0.25">
      <c r="A464" s="253"/>
      <c r="B464" s="185">
        <f>SUM(C464:D464)</f>
        <v>1631</v>
      </c>
      <c r="C464" s="185">
        <f>I464+F464</f>
        <v>0</v>
      </c>
      <c r="D464" s="185">
        <f>J464+G464</f>
        <v>1631</v>
      </c>
      <c r="E464" s="185">
        <f>SUM(F464:G464)</f>
        <v>13</v>
      </c>
      <c r="F464" s="185">
        <v>0</v>
      </c>
      <c r="G464" s="185">
        <v>13</v>
      </c>
      <c r="H464" s="185">
        <f>SUM(I464:J464)</f>
        <v>1618</v>
      </c>
      <c r="I464" s="185">
        <v>0</v>
      </c>
      <c r="J464" s="185">
        <v>1618</v>
      </c>
      <c r="K464" s="188" t="s">
        <v>233</v>
      </c>
      <c r="L464" s="134"/>
    </row>
    <row r="465" spans="1:12" ht="15" customHeight="1" thickBot="1" x14ac:dyDescent="0.25">
      <c r="A465" s="253"/>
      <c r="B465" s="185">
        <f>SUM(C465:D465)</f>
        <v>0</v>
      </c>
      <c r="C465" s="185">
        <f>I465+F465</f>
        <v>0</v>
      </c>
      <c r="D465" s="185">
        <f>J465+G465</f>
        <v>0</v>
      </c>
      <c r="E465" s="185">
        <f>SUM(F465:G465)</f>
        <v>0</v>
      </c>
      <c r="F465" s="185">
        <v>0</v>
      </c>
      <c r="G465" s="185">
        <v>0</v>
      </c>
      <c r="H465" s="185">
        <f>SUM(I465:J465)</f>
        <v>0</v>
      </c>
      <c r="I465" s="185">
        <v>0</v>
      </c>
      <c r="J465" s="185">
        <v>0</v>
      </c>
      <c r="K465" s="188" t="s">
        <v>234</v>
      </c>
      <c r="L465" s="134" t="s">
        <v>454</v>
      </c>
    </row>
    <row r="466" spans="1:12" ht="15" customHeight="1" thickBot="1" x14ac:dyDescent="0.25">
      <c r="A466" s="253"/>
      <c r="B466" s="185">
        <f t="shared" ref="B466:J466" si="149">SUM(B464:B465)</f>
        <v>1631</v>
      </c>
      <c r="C466" s="185">
        <f t="shared" si="149"/>
        <v>0</v>
      </c>
      <c r="D466" s="185">
        <f t="shared" si="149"/>
        <v>1631</v>
      </c>
      <c r="E466" s="185">
        <f t="shared" si="149"/>
        <v>13</v>
      </c>
      <c r="F466" s="185">
        <f t="shared" si="149"/>
        <v>0</v>
      </c>
      <c r="G466" s="185">
        <f t="shared" si="149"/>
        <v>13</v>
      </c>
      <c r="H466" s="185">
        <f t="shared" si="149"/>
        <v>1618</v>
      </c>
      <c r="I466" s="185">
        <f t="shared" si="149"/>
        <v>0</v>
      </c>
      <c r="J466" s="185">
        <f t="shared" si="149"/>
        <v>1618</v>
      </c>
      <c r="K466" s="188" t="s">
        <v>12</v>
      </c>
      <c r="L466" s="239"/>
    </row>
    <row r="467" spans="1:12" ht="15" customHeight="1" thickBot="1" x14ac:dyDescent="0.25">
      <c r="A467" s="253"/>
      <c r="B467" s="185">
        <f>SUM(C467:D467)</f>
        <v>1352</v>
      </c>
      <c r="C467" s="185">
        <f>I467+F467</f>
        <v>425</v>
      </c>
      <c r="D467" s="185">
        <f>J467+G467</f>
        <v>927</v>
      </c>
      <c r="E467" s="185">
        <f>SUM(F467:G467)</f>
        <v>0</v>
      </c>
      <c r="F467" s="185">
        <v>0</v>
      </c>
      <c r="G467" s="185">
        <v>0</v>
      </c>
      <c r="H467" s="185">
        <f>SUM(I467:J467)</f>
        <v>1352</v>
      </c>
      <c r="I467" s="185">
        <v>425</v>
      </c>
      <c r="J467" s="185">
        <v>927</v>
      </c>
      <c r="K467" s="188" t="s">
        <v>233</v>
      </c>
      <c r="L467" s="134"/>
    </row>
    <row r="468" spans="1:12" ht="15" customHeight="1" thickBot="1" x14ac:dyDescent="0.25">
      <c r="A468" s="253"/>
      <c r="B468" s="185">
        <f>SUM(C468:D468)</f>
        <v>0</v>
      </c>
      <c r="C468" s="185">
        <f>I468+F468</f>
        <v>0</v>
      </c>
      <c r="D468" s="185">
        <f>J468+G468</f>
        <v>0</v>
      </c>
      <c r="E468" s="185">
        <f>SUM(F468:G468)</f>
        <v>0</v>
      </c>
      <c r="F468" s="185">
        <v>0</v>
      </c>
      <c r="G468" s="185">
        <v>0</v>
      </c>
      <c r="H468" s="185">
        <f>SUM(I468:J468)</f>
        <v>0</v>
      </c>
      <c r="I468" s="185">
        <v>0</v>
      </c>
      <c r="J468" s="185">
        <v>0</v>
      </c>
      <c r="K468" s="188" t="s">
        <v>234</v>
      </c>
      <c r="L468" s="134" t="s">
        <v>364</v>
      </c>
    </row>
    <row r="469" spans="1:12" ht="15" customHeight="1" thickBot="1" x14ac:dyDescent="0.25">
      <c r="A469" s="253"/>
      <c r="B469" s="185">
        <f t="shared" ref="B469:J469" si="150">SUM(B467:B468)</f>
        <v>1352</v>
      </c>
      <c r="C469" s="185">
        <f t="shared" si="150"/>
        <v>425</v>
      </c>
      <c r="D469" s="185">
        <f t="shared" si="150"/>
        <v>927</v>
      </c>
      <c r="E469" s="185">
        <f t="shared" si="150"/>
        <v>0</v>
      </c>
      <c r="F469" s="185">
        <f t="shared" si="150"/>
        <v>0</v>
      </c>
      <c r="G469" s="185">
        <f t="shared" si="150"/>
        <v>0</v>
      </c>
      <c r="H469" s="185">
        <f t="shared" si="150"/>
        <v>1352</v>
      </c>
      <c r="I469" s="185">
        <f t="shared" si="150"/>
        <v>425</v>
      </c>
      <c r="J469" s="185">
        <f t="shared" si="150"/>
        <v>927</v>
      </c>
      <c r="K469" s="188" t="s">
        <v>12</v>
      </c>
      <c r="L469" s="239"/>
    </row>
    <row r="470" spans="1:12" ht="15" customHeight="1" thickBot="1" x14ac:dyDescent="0.25">
      <c r="A470" s="253"/>
      <c r="B470" s="185">
        <f>SUM(C470:D470)</f>
        <v>1400</v>
      </c>
      <c r="C470" s="185">
        <f>I470+F470</f>
        <v>183</v>
      </c>
      <c r="D470" s="185">
        <f>J470+G470</f>
        <v>1217</v>
      </c>
      <c r="E470" s="185">
        <f>SUM(F470:G470)</f>
        <v>4</v>
      </c>
      <c r="F470" s="185">
        <v>0</v>
      </c>
      <c r="G470" s="185">
        <v>4</v>
      </c>
      <c r="H470" s="185">
        <f>SUM(I470:J470)</f>
        <v>1396</v>
      </c>
      <c r="I470" s="185">
        <v>183</v>
      </c>
      <c r="J470" s="185">
        <v>1213</v>
      </c>
      <c r="K470" s="188" t="s">
        <v>233</v>
      </c>
      <c r="L470" s="134"/>
    </row>
    <row r="471" spans="1:12" ht="15" customHeight="1" thickBot="1" x14ac:dyDescent="0.25">
      <c r="A471" s="253"/>
      <c r="B471" s="185">
        <f>SUM(C471:D471)</f>
        <v>0</v>
      </c>
      <c r="C471" s="185">
        <f>I471+F471</f>
        <v>0</v>
      </c>
      <c r="D471" s="185">
        <f>J471+G471</f>
        <v>0</v>
      </c>
      <c r="E471" s="185">
        <f>SUM(F471:G471)</f>
        <v>0</v>
      </c>
      <c r="F471" s="185">
        <v>0</v>
      </c>
      <c r="G471" s="185">
        <v>0</v>
      </c>
      <c r="H471" s="185">
        <f>SUM(I471:J471)</f>
        <v>0</v>
      </c>
      <c r="I471" s="185">
        <v>0</v>
      </c>
      <c r="J471" s="185">
        <v>0</v>
      </c>
      <c r="K471" s="188" t="s">
        <v>234</v>
      </c>
      <c r="L471" s="134" t="s">
        <v>455</v>
      </c>
    </row>
    <row r="472" spans="1:12" ht="15" customHeight="1" thickBot="1" x14ac:dyDescent="0.25">
      <c r="A472" s="253"/>
      <c r="B472" s="185">
        <f t="shared" ref="B472:J472" si="151">SUM(B470:B471)</f>
        <v>1400</v>
      </c>
      <c r="C472" s="185">
        <f t="shared" si="151"/>
        <v>183</v>
      </c>
      <c r="D472" s="185">
        <f t="shared" si="151"/>
        <v>1217</v>
      </c>
      <c r="E472" s="185">
        <f t="shared" si="151"/>
        <v>4</v>
      </c>
      <c r="F472" s="185">
        <f t="shared" si="151"/>
        <v>0</v>
      </c>
      <c r="G472" s="185">
        <f t="shared" si="151"/>
        <v>4</v>
      </c>
      <c r="H472" s="185">
        <f t="shared" si="151"/>
        <v>1396</v>
      </c>
      <c r="I472" s="185">
        <f t="shared" si="151"/>
        <v>183</v>
      </c>
      <c r="J472" s="185">
        <f t="shared" si="151"/>
        <v>1213</v>
      </c>
      <c r="K472" s="188" t="s">
        <v>12</v>
      </c>
      <c r="L472" s="239"/>
    </row>
    <row r="473" spans="1:12" ht="15" customHeight="1" thickBot="1" x14ac:dyDescent="0.25">
      <c r="A473" s="253"/>
      <c r="B473" s="185">
        <f>SUM(C473:D473)</f>
        <v>1075</v>
      </c>
      <c r="C473" s="185">
        <f>I473+F473</f>
        <v>298</v>
      </c>
      <c r="D473" s="185">
        <f>J473+G473</f>
        <v>777</v>
      </c>
      <c r="E473" s="185">
        <f>SUM(F473:G473)</f>
        <v>0</v>
      </c>
      <c r="F473" s="185">
        <v>0</v>
      </c>
      <c r="G473" s="185">
        <v>0</v>
      </c>
      <c r="H473" s="185">
        <f>SUM(I473:J473)</f>
        <v>1075</v>
      </c>
      <c r="I473" s="185">
        <v>298</v>
      </c>
      <c r="J473" s="185">
        <v>777</v>
      </c>
      <c r="K473" s="188" t="s">
        <v>233</v>
      </c>
      <c r="L473" s="134"/>
    </row>
    <row r="474" spans="1:12" ht="15" customHeight="1" thickBot="1" x14ac:dyDescent="0.25">
      <c r="A474" s="253"/>
      <c r="B474" s="185">
        <f>SUM(C474:D474)</f>
        <v>0</v>
      </c>
      <c r="C474" s="185">
        <f>I474+F474</f>
        <v>0</v>
      </c>
      <c r="D474" s="185">
        <f>J474+G474</f>
        <v>0</v>
      </c>
      <c r="E474" s="185">
        <f>SUM(F474:G474)</f>
        <v>0</v>
      </c>
      <c r="F474" s="185">
        <v>0</v>
      </c>
      <c r="G474" s="185">
        <v>0</v>
      </c>
      <c r="H474" s="185">
        <f>SUM(I474:J474)</f>
        <v>0</v>
      </c>
      <c r="I474" s="185">
        <v>0</v>
      </c>
      <c r="J474" s="185">
        <v>0</v>
      </c>
      <c r="K474" s="188" t="s">
        <v>234</v>
      </c>
      <c r="L474" s="134" t="s">
        <v>344</v>
      </c>
    </row>
    <row r="475" spans="1:12" ht="15" customHeight="1" thickBot="1" x14ac:dyDescent="0.25">
      <c r="A475" s="253"/>
      <c r="B475" s="185">
        <f t="shared" ref="B475:J475" si="152">SUM(B473:B474)</f>
        <v>1075</v>
      </c>
      <c r="C475" s="185">
        <f t="shared" si="152"/>
        <v>298</v>
      </c>
      <c r="D475" s="185">
        <f t="shared" si="152"/>
        <v>777</v>
      </c>
      <c r="E475" s="185">
        <f t="shared" si="152"/>
        <v>0</v>
      </c>
      <c r="F475" s="185">
        <f t="shared" si="152"/>
        <v>0</v>
      </c>
      <c r="G475" s="185">
        <f t="shared" si="152"/>
        <v>0</v>
      </c>
      <c r="H475" s="185">
        <f t="shared" si="152"/>
        <v>1075</v>
      </c>
      <c r="I475" s="185">
        <f t="shared" si="152"/>
        <v>298</v>
      </c>
      <c r="J475" s="185">
        <f t="shared" si="152"/>
        <v>777</v>
      </c>
      <c r="K475" s="188" t="s">
        <v>12</v>
      </c>
      <c r="L475" s="239"/>
    </row>
    <row r="476" spans="1:12" ht="15" customHeight="1" thickBot="1" x14ac:dyDescent="0.25">
      <c r="A476" s="253"/>
      <c r="B476" s="185">
        <f>SUM(C476:D476)</f>
        <v>1051</v>
      </c>
      <c r="C476" s="185">
        <f>I476+F476</f>
        <v>1051</v>
      </c>
      <c r="D476" s="185">
        <f>J476+G476</f>
        <v>0</v>
      </c>
      <c r="E476" s="185">
        <f>SUM(F476:G476)</f>
        <v>1</v>
      </c>
      <c r="F476" s="185">
        <v>1</v>
      </c>
      <c r="G476" s="185">
        <v>0</v>
      </c>
      <c r="H476" s="185">
        <f>SUM(I476:J476)</f>
        <v>1050</v>
      </c>
      <c r="I476" s="185">
        <f>1200-150</f>
        <v>1050</v>
      </c>
      <c r="J476" s="185">
        <v>0</v>
      </c>
      <c r="K476" s="188" t="s">
        <v>233</v>
      </c>
      <c r="L476" s="134"/>
    </row>
    <row r="477" spans="1:12" ht="15" customHeight="1" thickBot="1" x14ac:dyDescent="0.25">
      <c r="A477" s="253"/>
      <c r="B477" s="185">
        <f>SUM(C477:D477)</f>
        <v>536</v>
      </c>
      <c r="C477" s="185">
        <f>I477+F477</f>
        <v>536</v>
      </c>
      <c r="D477" s="185">
        <f>J477+G477</f>
        <v>0</v>
      </c>
      <c r="E477" s="185">
        <f>SUM(F477:G477)</f>
        <v>0</v>
      </c>
      <c r="F477" s="185">
        <v>0</v>
      </c>
      <c r="G477" s="185">
        <v>0</v>
      </c>
      <c r="H477" s="185">
        <f>SUM(I477:J477)</f>
        <v>536</v>
      </c>
      <c r="I477" s="185">
        <v>536</v>
      </c>
      <c r="J477" s="185">
        <v>0</v>
      </c>
      <c r="K477" s="188" t="s">
        <v>234</v>
      </c>
      <c r="L477" s="134" t="s">
        <v>456</v>
      </c>
    </row>
    <row r="478" spans="1:12" ht="15" customHeight="1" thickBot="1" x14ac:dyDescent="0.25">
      <c r="A478" s="253"/>
      <c r="B478" s="185">
        <f t="shared" ref="B478:J478" si="153">SUM(B476:B477)</f>
        <v>1587</v>
      </c>
      <c r="C478" s="185">
        <f t="shared" si="153"/>
        <v>1587</v>
      </c>
      <c r="D478" s="185">
        <f t="shared" si="153"/>
        <v>0</v>
      </c>
      <c r="E478" s="185">
        <f t="shared" si="153"/>
        <v>1</v>
      </c>
      <c r="F478" s="185">
        <f t="shared" si="153"/>
        <v>1</v>
      </c>
      <c r="G478" s="185">
        <f t="shared" si="153"/>
        <v>0</v>
      </c>
      <c r="H478" s="185">
        <f t="shared" si="153"/>
        <v>1586</v>
      </c>
      <c r="I478" s="185">
        <f t="shared" si="153"/>
        <v>1586</v>
      </c>
      <c r="J478" s="185">
        <f t="shared" si="153"/>
        <v>0</v>
      </c>
      <c r="K478" s="188" t="s">
        <v>12</v>
      </c>
      <c r="L478" s="239"/>
    </row>
    <row r="479" spans="1:12" ht="15" customHeight="1" thickBot="1" x14ac:dyDescent="0.25">
      <c r="A479" s="253"/>
      <c r="B479" s="185">
        <f>SUM(C479:D479)</f>
        <v>3240</v>
      </c>
      <c r="C479" s="185">
        <f>I479+F479</f>
        <v>3240</v>
      </c>
      <c r="D479" s="185">
        <f>J479+G479</f>
        <v>0</v>
      </c>
      <c r="E479" s="185">
        <f>SUM(F479:G479)</f>
        <v>0</v>
      </c>
      <c r="F479" s="185">
        <v>0</v>
      </c>
      <c r="G479" s="185">
        <v>0</v>
      </c>
      <c r="H479" s="185">
        <f>SUM(I479:J479)</f>
        <v>3240</v>
      </c>
      <c r="I479" s="185">
        <f>4290-1050</f>
        <v>3240</v>
      </c>
      <c r="J479" s="185">
        <v>0</v>
      </c>
      <c r="K479" s="188" t="s">
        <v>233</v>
      </c>
      <c r="L479" s="134"/>
    </row>
    <row r="480" spans="1:12" ht="15" customHeight="1" thickBot="1" x14ac:dyDescent="0.25">
      <c r="A480" s="253"/>
      <c r="B480" s="185">
        <f>SUM(C480:D480)</f>
        <v>0</v>
      </c>
      <c r="C480" s="185">
        <f>I480+F480</f>
        <v>0</v>
      </c>
      <c r="D480" s="185">
        <f>J480+G480</f>
        <v>0</v>
      </c>
      <c r="E480" s="185">
        <f>SUM(F480:G480)</f>
        <v>0</v>
      </c>
      <c r="F480" s="185">
        <v>0</v>
      </c>
      <c r="G480" s="185">
        <v>0</v>
      </c>
      <c r="H480" s="185">
        <f>SUM(I480:J480)</f>
        <v>0</v>
      </c>
      <c r="I480" s="185">
        <v>0</v>
      </c>
      <c r="J480" s="185">
        <v>0</v>
      </c>
      <c r="K480" s="188" t="s">
        <v>234</v>
      </c>
      <c r="L480" s="134" t="s">
        <v>457</v>
      </c>
    </row>
    <row r="481" spans="1:12" ht="15" customHeight="1" thickBot="1" x14ac:dyDescent="0.25">
      <c r="A481" s="253"/>
      <c r="B481" s="185">
        <f t="shared" ref="B481:J481" si="154">SUM(B479:B480)</f>
        <v>3240</v>
      </c>
      <c r="C481" s="185">
        <f t="shared" si="154"/>
        <v>3240</v>
      </c>
      <c r="D481" s="185">
        <f t="shared" si="154"/>
        <v>0</v>
      </c>
      <c r="E481" s="185">
        <f t="shared" si="154"/>
        <v>0</v>
      </c>
      <c r="F481" s="185">
        <f t="shared" si="154"/>
        <v>0</v>
      </c>
      <c r="G481" s="185">
        <f t="shared" si="154"/>
        <v>0</v>
      </c>
      <c r="H481" s="185">
        <f t="shared" si="154"/>
        <v>3240</v>
      </c>
      <c r="I481" s="185">
        <f t="shared" si="154"/>
        <v>3240</v>
      </c>
      <c r="J481" s="185">
        <f t="shared" si="154"/>
        <v>0</v>
      </c>
      <c r="K481" s="188" t="s">
        <v>12</v>
      </c>
      <c r="L481" s="239"/>
    </row>
    <row r="482" spans="1:12" ht="15" customHeight="1" thickBot="1" x14ac:dyDescent="0.25">
      <c r="A482" s="253"/>
      <c r="B482" s="185">
        <f>SUM(C482:D482)</f>
        <v>4696</v>
      </c>
      <c r="C482" s="185">
        <f>I482+F482</f>
        <v>4696</v>
      </c>
      <c r="D482" s="185">
        <f>J482+G482</f>
        <v>0</v>
      </c>
      <c r="E482" s="185">
        <f>SUM(F482:G482)</f>
        <v>0</v>
      </c>
      <c r="F482" s="185">
        <v>0</v>
      </c>
      <c r="G482" s="185">
        <v>0</v>
      </c>
      <c r="H482" s="185">
        <f>SUM(I482:J482)</f>
        <v>4696</v>
      </c>
      <c r="I482" s="185">
        <f>7474-2778</f>
        <v>4696</v>
      </c>
      <c r="J482" s="185">
        <v>0</v>
      </c>
      <c r="K482" s="188" t="s">
        <v>233</v>
      </c>
      <c r="L482" s="134"/>
    </row>
    <row r="483" spans="1:12" ht="15" customHeight="1" thickBot="1" x14ac:dyDescent="0.25">
      <c r="A483" s="253"/>
      <c r="B483" s="185">
        <f>SUM(C483:D483)</f>
        <v>2827</v>
      </c>
      <c r="C483" s="185">
        <f>I483+F483</f>
        <v>2827</v>
      </c>
      <c r="D483" s="185">
        <f>J483+G483</f>
        <v>0</v>
      </c>
      <c r="E483" s="185">
        <f>SUM(F483:G483)</f>
        <v>0</v>
      </c>
      <c r="F483" s="185">
        <v>0</v>
      </c>
      <c r="G483" s="185">
        <v>0</v>
      </c>
      <c r="H483" s="185">
        <f>SUM(I483:J483)</f>
        <v>2827</v>
      </c>
      <c r="I483" s="185">
        <v>2827</v>
      </c>
      <c r="J483" s="185">
        <v>0</v>
      </c>
      <c r="K483" s="188" t="s">
        <v>234</v>
      </c>
      <c r="L483" s="134" t="s">
        <v>458</v>
      </c>
    </row>
    <row r="484" spans="1:12" ht="15" customHeight="1" thickBot="1" x14ac:dyDescent="0.25">
      <c r="A484" s="253"/>
      <c r="B484" s="185">
        <f t="shared" ref="B484:J484" si="155">SUM(B482:B483)</f>
        <v>7523</v>
      </c>
      <c r="C484" s="185">
        <f t="shared" si="155"/>
        <v>7523</v>
      </c>
      <c r="D484" s="185">
        <f t="shared" si="155"/>
        <v>0</v>
      </c>
      <c r="E484" s="185">
        <f t="shared" si="155"/>
        <v>0</v>
      </c>
      <c r="F484" s="185">
        <f t="shared" si="155"/>
        <v>0</v>
      </c>
      <c r="G484" s="185">
        <f t="shared" si="155"/>
        <v>0</v>
      </c>
      <c r="H484" s="185">
        <f t="shared" si="155"/>
        <v>7523</v>
      </c>
      <c r="I484" s="185">
        <f t="shared" si="155"/>
        <v>7523</v>
      </c>
      <c r="J484" s="185">
        <f t="shared" si="155"/>
        <v>0</v>
      </c>
      <c r="K484" s="188" t="s">
        <v>12</v>
      </c>
      <c r="L484" s="239"/>
    </row>
    <row r="485" spans="1:12" ht="15" customHeight="1" thickBot="1" x14ac:dyDescent="0.25">
      <c r="A485" s="253"/>
      <c r="B485" s="185">
        <f>SUM(C485:D485)</f>
        <v>1510</v>
      </c>
      <c r="C485" s="185">
        <f>I485+F485</f>
        <v>1510</v>
      </c>
      <c r="D485" s="185">
        <f>J485+G485</f>
        <v>0</v>
      </c>
      <c r="E485" s="185">
        <f>SUM(F485:G485)</f>
        <v>0</v>
      </c>
      <c r="F485" s="185">
        <v>0</v>
      </c>
      <c r="G485" s="185">
        <v>0</v>
      </c>
      <c r="H485" s="185">
        <f>SUM(I485:J485)</f>
        <v>1510</v>
      </c>
      <c r="I485" s="185">
        <f>2410-900</f>
        <v>1510</v>
      </c>
      <c r="J485" s="185">
        <v>0</v>
      </c>
      <c r="K485" s="188" t="s">
        <v>233</v>
      </c>
      <c r="L485" s="134"/>
    </row>
    <row r="486" spans="1:12" ht="15" customHeight="1" thickBot="1" x14ac:dyDescent="0.25">
      <c r="A486" s="253"/>
      <c r="B486" s="185">
        <f>SUM(C486:D486)</f>
        <v>0</v>
      </c>
      <c r="C486" s="185">
        <f>I486+F486</f>
        <v>0</v>
      </c>
      <c r="D486" s="185">
        <f>J486+G486</f>
        <v>0</v>
      </c>
      <c r="E486" s="185">
        <f>SUM(F486:G486)</f>
        <v>0</v>
      </c>
      <c r="F486" s="185">
        <v>0</v>
      </c>
      <c r="G486" s="185">
        <v>0</v>
      </c>
      <c r="H486" s="185">
        <f>SUM(I486:J486)</f>
        <v>0</v>
      </c>
      <c r="I486" s="185">
        <v>0</v>
      </c>
      <c r="J486" s="185">
        <v>0</v>
      </c>
      <c r="K486" s="188" t="s">
        <v>234</v>
      </c>
      <c r="L486" s="134" t="s">
        <v>459</v>
      </c>
    </row>
    <row r="487" spans="1:12" ht="15" customHeight="1" thickBot="1" x14ac:dyDescent="0.25">
      <c r="A487" s="253"/>
      <c r="B487" s="185">
        <f t="shared" ref="B487:J487" si="156">SUM(B485:B486)</f>
        <v>1510</v>
      </c>
      <c r="C487" s="185">
        <f t="shared" si="156"/>
        <v>1510</v>
      </c>
      <c r="D487" s="185">
        <f t="shared" si="156"/>
        <v>0</v>
      </c>
      <c r="E487" s="185">
        <f t="shared" si="156"/>
        <v>0</v>
      </c>
      <c r="F487" s="185">
        <f t="shared" si="156"/>
        <v>0</v>
      </c>
      <c r="G487" s="185">
        <f t="shared" si="156"/>
        <v>0</v>
      </c>
      <c r="H487" s="185">
        <f t="shared" si="156"/>
        <v>1510</v>
      </c>
      <c r="I487" s="185">
        <f t="shared" si="156"/>
        <v>1510</v>
      </c>
      <c r="J487" s="185">
        <f t="shared" si="156"/>
        <v>0</v>
      </c>
      <c r="K487" s="188" t="s">
        <v>12</v>
      </c>
      <c r="L487" s="239"/>
    </row>
    <row r="488" spans="1:12" ht="15" customHeight="1" thickBot="1" x14ac:dyDescent="0.25">
      <c r="A488" s="253"/>
      <c r="B488" s="185">
        <f>SUM(C488:D488)</f>
        <v>3532</v>
      </c>
      <c r="C488" s="185">
        <f>I488+F488</f>
        <v>3532</v>
      </c>
      <c r="D488" s="185">
        <f>J488+G488</f>
        <v>0</v>
      </c>
      <c r="E488" s="185">
        <f>SUM(F488:G488)</f>
        <v>0</v>
      </c>
      <c r="F488" s="185">
        <v>0</v>
      </c>
      <c r="G488" s="185">
        <v>0</v>
      </c>
      <c r="H488" s="185">
        <f>SUM(I488:J488)</f>
        <v>3532</v>
      </c>
      <c r="I488" s="185">
        <v>3532</v>
      </c>
      <c r="J488" s="185">
        <v>0</v>
      </c>
      <c r="K488" s="188" t="s">
        <v>233</v>
      </c>
      <c r="L488" s="134"/>
    </row>
    <row r="489" spans="1:12" ht="15" customHeight="1" thickBot="1" x14ac:dyDescent="0.25">
      <c r="A489" s="253"/>
      <c r="B489" s="185">
        <f>SUM(C489:D489)</f>
        <v>443</v>
      </c>
      <c r="C489" s="185">
        <f>I489+F489</f>
        <v>443</v>
      </c>
      <c r="D489" s="185">
        <f>J489+G489</f>
        <v>0</v>
      </c>
      <c r="E489" s="185">
        <f>SUM(F489:G489)</f>
        <v>0</v>
      </c>
      <c r="F489" s="185">
        <v>0</v>
      </c>
      <c r="G489" s="185">
        <v>0</v>
      </c>
      <c r="H489" s="185">
        <f>SUM(I489:J489)</f>
        <v>443</v>
      </c>
      <c r="I489" s="185">
        <v>443</v>
      </c>
      <c r="J489" s="185">
        <v>0</v>
      </c>
      <c r="K489" s="188" t="s">
        <v>234</v>
      </c>
      <c r="L489" s="134" t="s">
        <v>460</v>
      </c>
    </row>
    <row r="490" spans="1:12" ht="15" customHeight="1" thickBot="1" x14ac:dyDescent="0.25">
      <c r="A490" s="253"/>
      <c r="B490" s="185">
        <f t="shared" ref="B490:J490" si="157">SUM(B488:B489)</f>
        <v>3975</v>
      </c>
      <c r="C490" s="185">
        <f t="shared" si="157"/>
        <v>3975</v>
      </c>
      <c r="D490" s="185">
        <f t="shared" si="157"/>
        <v>0</v>
      </c>
      <c r="E490" s="185">
        <f t="shared" si="157"/>
        <v>0</v>
      </c>
      <c r="F490" s="185">
        <f t="shared" si="157"/>
        <v>0</v>
      </c>
      <c r="G490" s="185">
        <f t="shared" si="157"/>
        <v>0</v>
      </c>
      <c r="H490" s="185">
        <f t="shared" si="157"/>
        <v>3975</v>
      </c>
      <c r="I490" s="185">
        <f t="shared" si="157"/>
        <v>3975</v>
      </c>
      <c r="J490" s="185">
        <f t="shared" si="157"/>
        <v>0</v>
      </c>
      <c r="K490" s="188" t="s">
        <v>12</v>
      </c>
      <c r="L490" s="239"/>
    </row>
    <row r="491" spans="1:12" ht="15" customHeight="1" thickBot="1" x14ac:dyDescent="0.25">
      <c r="A491" s="253"/>
      <c r="B491" s="185">
        <f>SUM(C491:D491)</f>
        <v>1860</v>
      </c>
      <c r="C491" s="185">
        <f>I491+F491</f>
        <v>1860</v>
      </c>
      <c r="D491" s="185">
        <f>J491+G491</f>
        <v>0</v>
      </c>
      <c r="E491" s="185">
        <f>SUM(F491:G491)</f>
        <v>0</v>
      </c>
      <c r="F491" s="185">
        <v>0</v>
      </c>
      <c r="G491" s="185">
        <v>0</v>
      </c>
      <c r="H491" s="185">
        <f>SUM(I491:J491)</f>
        <v>1860</v>
      </c>
      <c r="I491" s="185">
        <v>1860</v>
      </c>
      <c r="J491" s="185">
        <v>0</v>
      </c>
      <c r="K491" s="188" t="s">
        <v>233</v>
      </c>
      <c r="L491" s="134"/>
    </row>
    <row r="492" spans="1:12" ht="15" customHeight="1" thickBot="1" x14ac:dyDescent="0.25">
      <c r="A492" s="253"/>
      <c r="B492" s="185">
        <f>SUM(C492:D492)</f>
        <v>212</v>
      </c>
      <c r="C492" s="185">
        <f>I492+F492</f>
        <v>212</v>
      </c>
      <c r="D492" s="185">
        <f>J492+G492</f>
        <v>0</v>
      </c>
      <c r="E492" s="185">
        <f>SUM(F492:G492)</f>
        <v>0</v>
      </c>
      <c r="F492" s="185">
        <v>0</v>
      </c>
      <c r="G492" s="185">
        <v>0</v>
      </c>
      <c r="H492" s="185">
        <f>SUM(I492:J492)</f>
        <v>212</v>
      </c>
      <c r="I492" s="185">
        <v>212</v>
      </c>
      <c r="J492" s="185">
        <v>0</v>
      </c>
      <c r="K492" s="188" t="s">
        <v>234</v>
      </c>
      <c r="L492" s="134" t="s">
        <v>461</v>
      </c>
    </row>
    <row r="493" spans="1:12" ht="15" customHeight="1" thickBot="1" x14ac:dyDescent="0.25">
      <c r="A493" s="253"/>
      <c r="B493" s="185">
        <f t="shared" ref="B493:J493" si="158">SUM(B491:B492)</f>
        <v>2072</v>
      </c>
      <c r="C493" s="185">
        <f t="shared" si="158"/>
        <v>2072</v>
      </c>
      <c r="D493" s="185">
        <f t="shared" si="158"/>
        <v>0</v>
      </c>
      <c r="E493" s="185">
        <f t="shared" si="158"/>
        <v>0</v>
      </c>
      <c r="F493" s="185">
        <f t="shared" si="158"/>
        <v>0</v>
      </c>
      <c r="G493" s="185">
        <f t="shared" si="158"/>
        <v>0</v>
      </c>
      <c r="H493" s="185">
        <f t="shared" si="158"/>
        <v>2072</v>
      </c>
      <c r="I493" s="185">
        <f t="shared" si="158"/>
        <v>2072</v>
      </c>
      <c r="J493" s="185">
        <f t="shared" si="158"/>
        <v>0</v>
      </c>
      <c r="K493" s="188" t="s">
        <v>12</v>
      </c>
      <c r="L493" s="239"/>
    </row>
    <row r="494" spans="1:12" ht="15" customHeight="1" thickBot="1" x14ac:dyDescent="0.25">
      <c r="A494" s="253"/>
      <c r="B494" s="185">
        <f>SUM(C494:D494)</f>
        <v>2989</v>
      </c>
      <c r="C494" s="185">
        <f>I494+F494</f>
        <v>2989</v>
      </c>
      <c r="D494" s="185">
        <f>J494+G494</f>
        <v>0</v>
      </c>
      <c r="E494" s="185">
        <f>SUM(F494:G494)</f>
        <v>0</v>
      </c>
      <c r="F494" s="185">
        <v>0</v>
      </c>
      <c r="G494" s="185">
        <v>0</v>
      </c>
      <c r="H494" s="185">
        <f>SUM(I494:J494)</f>
        <v>2989</v>
      </c>
      <c r="I494" s="185">
        <f>4089-1100</f>
        <v>2989</v>
      </c>
      <c r="J494" s="185">
        <v>0</v>
      </c>
      <c r="K494" s="188" t="s">
        <v>233</v>
      </c>
      <c r="L494" s="134"/>
    </row>
    <row r="495" spans="1:12" ht="15" customHeight="1" thickBot="1" x14ac:dyDescent="0.25">
      <c r="A495" s="253"/>
      <c r="B495" s="185">
        <f>SUM(C495:D495)</f>
        <v>2777</v>
      </c>
      <c r="C495" s="185">
        <f>I495+F495</f>
        <v>2777</v>
      </c>
      <c r="D495" s="185">
        <f>J495+G495</f>
        <v>0</v>
      </c>
      <c r="E495" s="185">
        <f>SUM(F495:G495)</f>
        <v>0</v>
      </c>
      <c r="F495" s="185">
        <v>0</v>
      </c>
      <c r="G495" s="185">
        <v>0</v>
      </c>
      <c r="H495" s="185">
        <f>SUM(I495:J495)</f>
        <v>2777</v>
      </c>
      <c r="I495" s="185">
        <v>2777</v>
      </c>
      <c r="J495" s="185">
        <v>0</v>
      </c>
      <c r="K495" s="188" t="s">
        <v>234</v>
      </c>
      <c r="L495" s="134" t="s">
        <v>462</v>
      </c>
    </row>
    <row r="496" spans="1:12" ht="15" customHeight="1" thickBot="1" x14ac:dyDescent="0.25">
      <c r="A496" s="253"/>
      <c r="B496" s="185">
        <f t="shared" ref="B496:J496" si="159">SUM(B494:B495)</f>
        <v>5766</v>
      </c>
      <c r="C496" s="185">
        <f t="shared" si="159"/>
        <v>5766</v>
      </c>
      <c r="D496" s="185">
        <f t="shared" si="159"/>
        <v>0</v>
      </c>
      <c r="E496" s="185">
        <f t="shared" si="159"/>
        <v>0</v>
      </c>
      <c r="F496" s="185">
        <f t="shared" si="159"/>
        <v>0</v>
      </c>
      <c r="G496" s="185">
        <f t="shared" si="159"/>
        <v>0</v>
      </c>
      <c r="H496" s="185">
        <f t="shared" si="159"/>
        <v>5766</v>
      </c>
      <c r="I496" s="185">
        <f t="shared" si="159"/>
        <v>5766</v>
      </c>
      <c r="J496" s="185">
        <f t="shared" si="159"/>
        <v>0</v>
      </c>
      <c r="K496" s="188" t="s">
        <v>12</v>
      </c>
      <c r="L496" s="239"/>
    </row>
    <row r="497" spans="1:12" ht="15" customHeight="1" thickBot="1" x14ac:dyDescent="0.25">
      <c r="A497" s="253"/>
      <c r="B497" s="185">
        <f>SUM(C497:D497)</f>
        <v>4534</v>
      </c>
      <c r="C497" s="185">
        <f>I497+F497</f>
        <v>4534</v>
      </c>
      <c r="D497" s="185">
        <f>J497+G497</f>
        <v>0</v>
      </c>
      <c r="E497" s="185">
        <f>SUM(F497:G497)</f>
        <v>0</v>
      </c>
      <c r="F497" s="185">
        <v>0</v>
      </c>
      <c r="G497" s="185">
        <v>0</v>
      </c>
      <c r="H497" s="185">
        <f>SUM(I497:J497)</f>
        <v>4534</v>
      </c>
      <c r="I497" s="185">
        <v>4534</v>
      </c>
      <c r="J497" s="185">
        <v>0</v>
      </c>
      <c r="K497" s="188" t="s">
        <v>233</v>
      </c>
      <c r="L497" s="134"/>
    </row>
    <row r="498" spans="1:12" ht="15" customHeight="1" thickBot="1" x14ac:dyDescent="0.25">
      <c r="A498" s="253"/>
      <c r="B498" s="185">
        <f>SUM(C498:D498)</f>
        <v>803</v>
      </c>
      <c r="C498" s="185">
        <f>I498+F498</f>
        <v>803</v>
      </c>
      <c r="D498" s="185">
        <f>J498+G498</f>
        <v>0</v>
      </c>
      <c r="E498" s="185">
        <f>SUM(F498:G498)</f>
        <v>0</v>
      </c>
      <c r="F498" s="185">
        <v>0</v>
      </c>
      <c r="G498" s="185">
        <v>0</v>
      </c>
      <c r="H498" s="185">
        <f>SUM(I498:J498)</f>
        <v>803</v>
      </c>
      <c r="I498" s="185">
        <v>803</v>
      </c>
      <c r="J498" s="185">
        <v>0</v>
      </c>
      <c r="K498" s="188" t="s">
        <v>234</v>
      </c>
      <c r="L498" s="134" t="s">
        <v>463</v>
      </c>
    </row>
    <row r="499" spans="1:12" ht="15" customHeight="1" thickBot="1" x14ac:dyDescent="0.25">
      <c r="A499" s="253"/>
      <c r="B499" s="185">
        <f t="shared" ref="B499:J499" si="160">SUM(B497:B498)</f>
        <v>5337</v>
      </c>
      <c r="C499" s="185">
        <f t="shared" si="160"/>
        <v>5337</v>
      </c>
      <c r="D499" s="185">
        <f t="shared" si="160"/>
        <v>0</v>
      </c>
      <c r="E499" s="185">
        <f t="shared" si="160"/>
        <v>0</v>
      </c>
      <c r="F499" s="185">
        <f t="shared" si="160"/>
        <v>0</v>
      </c>
      <c r="G499" s="185">
        <f t="shared" si="160"/>
        <v>0</v>
      </c>
      <c r="H499" s="185">
        <f t="shared" si="160"/>
        <v>5337</v>
      </c>
      <c r="I499" s="185">
        <f t="shared" si="160"/>
        <v>5337</v>
      </c>
      <c r="J499" s="185">
        <f t="shared" si="160"/>
        <v>0</v>
      </c>
      <c r="K499" s="188" t="s">
        <v>12</v>
      </c>
      <c r="L499" s="239"/>
    </row>
    <row r="500" spans="1:12" ht="15" customHeight="1" thickBot="1" x14ac:dyDescent="0.25">
      <c r="A500" s="253"/>
      <c r="B500" s="185">
        <f>SUM(C500:D500)</f>
        <v>2636</v>
      </c>
      <c r="C500" s="185">
        <f>I500+F500</f>
        <v>2636</v>
      </c>
      <c r="D500" s="185">
        <f>J500+G500</f>
        <v>0</v>
      </c>
      <c r="E500" s="185">
        <f>SUM(F500:G500)</f>
        <v>0</v>
      </c>
      <c r="F500" s="185">
        <v>0</v>
      </c>
      <c r="G500" s="185">
        <v>0</v>
      </c>
      <c r="H500" s="185">
        <f>SUM(I500:J500)</f>
        <v>2636</v>
      </c>
      <c r="I500" s="185">
        <v>2636</v>
      </c>
      <c r="J500" s="185">
        <v>0</v>
      </c>
      <c r="K500" s="188" t="s">
        <v>233</v>
      </c>
      <c r="L500" s="134"/>
    </row>
    <row r="501" spans="1:12" ht="15" customHeight="1" thickBot="1" x14ac:dyDescent="0.25">
      <c r="A501" s="253"/>
      <c r="B501" s="185">
        <f>SUM(C501:D501)</f>
        <v>192</v>
      </c>
      <c r="C501" s="185">
        <f>I501+F501</f>
        <v>192</v>
      </c>
      <c r="D501" s="185">
        <f>J501+G501</f>
        <v>0</v>
      </c>
      <c r="E501" s="185">
        <f>SUM(F501:G501)</f>
        <v>0</v>
      </c>
      <c r="F501" s="185">
        <v>0</v>
      </c>
      <c r="G501" s="185">
        <v>0</v>
      </c>
      <c r="H501" s="185">
        <f>SUM(I501:J501)</f>
        <v>192</v>
      </c>
      <c r="I501" s="185">
        <v>192</v>
      </c>
      <c r="J501" s="185">
        <v>0</v>
      </c>
      <c r="K501" s="188" t="s">
        <v>234</v>
      </c>
      <c r="L501" s="134" t="s">
        <v>464</v>
      </c>
    </row>
    <row r="502" spans="1:12" ht="15" customHeight="1" thickBot="1" x14ac:dyDescent="0.25">
      <c r="A502" s="253"/>
      <c r="B502" s="185">
        <f t="shared" ref="B502:J502" si="161">SUM(B500:B501)</f>
        <v>2828</v>
      </c>
      <c r="C502" s="185">
        <f t="shared" si="161"/>
        <v>2828</v>
      </c>
      <c r="D502" s="185">
        <f t="shared" si="161"/>
        <v>0</v>
      </c>
      <c r="E502" s="185">
        <f t="shared" si="161"/>
        <v>0</v>
      </c>
      <c r="F502" s="185">
        <f t="shared" si="161"/>
        <v>0</v>
      </c>
      <c r="G502" s="185">
        <f t="shared" si="161"/>
        <v>0</v>
      </c>
      <c r="H502" s="185">
        <f t="shared" si="161"/>
        <v>2828</v>
      </c>
      <c r="I502" s="185">
        <f t="shared" si="161"/>
        <v>2828</v>
      </c>
      <c r="J502" s="185">
        <f t="shared" si="161"/>
        <v>0</v>
      </c>
      <c r="K502" s="188" t="s">
        <v>12</v>
      </c>
      <c r="L502" s="239"/>
    </row>
    <row r="503" spans="1:12" ht="15" customHeight="1" thickBot="1" x14ac:dyDescent="0.25">
      <c r="A503" s="253"/>
      <c r="B503" s="185">
        <f>SUM(C503:D503)</f>
        <v>1771</v>
      </c>
      <c r="C503" s="185">
        <f>I503+F503</f>
        <v>1771</v>
      </c>
      <c r="D503" s="185">
        <f>J503+G503</f>
        <v>0</v>
      </c>
      <c r="E503" s="185">
        <f>SUM(F503:G503)</f>
        <v>0</v>
      </c>
      <c r="F503" s="185">
        <v>0</v>
      </c>
      <c r="G503" s="185">
        <v>0</v>
      </c>
      <c r="H503" s="185">
        <f>SUM(I503:J503)</f>
        <v>1771</v>
      </c>
      <c r="I503" s="185">
        <v>1771</v>
      </c>
      <c r="J503" s="185">
        <v>0</v>
      </c>
      <c r="K503" s="188" t="s">
        <v>233</v>
      </c>
      <c r="L503" s="134"/>
    </row>
    <row r="504" spans="1:12" ht="15" customHeight="1" thickBot="1" x14ac:dyDescent="0.25">
      <c r="A504" s="253"/>
      <c r="B504" s="185">
        <f>SUM(C504:D504)</f>
        <v>330</v>
      </c>
      <c r="C504" s="185">
        <f>I504+F504</f>
        <v>330</v>
      </c>
      <c r="D504" s="185">
        <f>J504+G504</f>
        <v>0</v>
      </c>
      <c r="E504" s="185">
        <f>SUM(F504:G504)</f>
        <v>0</v>
      </c>
      <c r="F504" s="185">
        <v>0</v>
      </c>
      <c r="G504" s="185">
        <v>0</v>
      </c>
      <c r="H504" s="185">
        <f>SUM(I504:J504)</f>
        <v>330</v>
      </c>
      <c r="I504" s="185">
        <v>330</v>
      </c>
      <c r="J504" s="185">
        <v>0</v>
      </c>
      <c r="K504" s="188" t="s">
        <v>234</v>
      </c>
      <c r="L504" s="134" t="s">
        <v>465</v>
      </c>
    </row>
    <row r="505" spans="1:12" ht="15" customHeight="1" thickBot="1" x14ac:dyDescent="0.25">
      <c r="A505" s="253"/>
      <c r="B505" s="185">
        <f t="shared" ref="B505:J505" si="162">SUM(B503:B504)</f>
        <v>2101</v>
      </c>
      <c r="C505" s="185">
        <f t="shared" si="162"/>
        <v>2101</v>
      </c>
      <c r="D505" s="185">
        <f t="shared" si="162"/>
        <v>0</v>
      </c>
      <c r="E505" s="185">
        <f t="shared" si="162"/>
        <v>0</v>
      </c>
      <c r="F505" s="185">
        <f t="shared" si="162"/>
        <v>0</v>
      </c>
      <c r="G505" s="185">
        <f t="shared" si="162"/>
        <v>0</v>
      </c>
      <c r="H505" s="185">
        <f t="shared" si="162"/>
        <v>2101</v>
      </c>
      <c r="I505" s="185">
        <f t="shared" si="162"/>
        <v>2101</v>
      </c>
      <c r="J505" s="185">
        <f t="shared" si="162"/>
        <v>0</v>
      </c>
      <c r="K505" s="188" t="s">
        <v>12</v>
      </c>
      <c r="L505" s="239"/>
    </row>
    <row r="506" spans="1:12" ht="15" customHeight="1" thickBot="1" x14ac:dyDescent="0.25">
      <c r="A506" s="253"/>
      <c r="B506" s="185">
        <f>SUM(C506:D506)</f>
        <v>110</v>
      </c>
      <c r="C506" s="185">
        <f>I506+F506</f>
        <v>0</v>
      </c>
      <c r="D506" s="185">
        <f>J506+G506</f>
        <v>110</v>
      </c>
      <c r="E506" s="185">
        <f>SUM(F506:G506)</f>
        <v>0</v>
      </c>
      <c r="F506" s="185">
        <v>0</v>
      </c>
      <c r="G506" s="185">
        <v>0</v>
      </c>
      <c r="H506" s="185">
        <f>SUM(I506:J506)</f>
        <v>110</v>
      </c>
      <c r="I506" s="185">
        <v>0</v>
      </c>
      <c r="J506" s="185">
        <v>110</v>
      </c>
      <c r="K506" s="188" t="s">
        <v>233</v>
      </c>
      <c r="L506" s="134"/>
    </row>
    <row r="507" spans="1:12" ht="15" customHeight="1" thickBot="1" x14ac:dyDescent="0.25">
      <c r="A507" s="253"/>
      <c r="B507" s="185">
        <f>SUM(C507:D507)</f>
        <v>0</v>
      </c>
      <c r="C507" s="185">
        <f>I507+F507</f>
        <v>0</v>
      </c>
      <c r="D507" s="185">
        <f>J507+G507</f>
        <v>0</v>
      </c>
      <c r="E507" s="185">
        <f>SUM(F507:G507)</f>
        <v>0</v>
      </c>
      <c r="F507" s="185">
        <v>0</v>
      </c>
      <c r="G507" s="185">
        <v>0</v>
      </c>
      <c r="H507" s="185">
        <f>SUM(I507:J507)</f>
        <v>0</v>
      </c>
      <c r="I507" s="185">
        <v>0</v>
      </c>
      <c r="J507" s="185">
        <v>0</v>
      </c>
      <c r="K507" s="188" t="s">
        <v>234</v>
      </c>
      <c r="L507" s="134" t="s">
        <v>466</v>
      </c>
    </row>
    <row r="508" spans="1:12" ht="15" customHeight="1" thickBot="1" x14ac:dyDescent="0.25">
      <c r="A508" s="253"/>
      <c r="B508" s="185">
        <f t="shared" ref="B508:J508" si="163">SUM(B506:B507)</f>
        <v>110</v>
      </c>
      <c r="C508" s="185">
        <f t="shared" si="163"/>
        <v>0</v>
      </c>
      <c r="D508" s="185">
        <f t="shared" si="163"/>
        <v>110</v>
      </c>
      <c r="E508" s="185">
        <f t="shared" si="163"/>
        <v>0</v>
      </c>
      <c r="F508" s="185">
        <f t="shared" si="163"/>
        <v>0</v>
      </c>
      <c r="G508" s="185">
        <f t="shared" si="163"/>
        <v>0</v>
      </c>
      <c r="H508" s="185">
        <f t="shared" si="163"/>
        <v>110</v>
      </c>
      <c r="I508" s="185">
        <f t="shared" si="163"/>
        <v>0</v>
      </c>
      <c r="J508" s="185">
        <f t="shared" si="163"/>
        <v>110</v>
      </c>
      <c r="K508" s="188" t="s">
        <v>12</v>
      </c>
      <c r="L508" s="239"/>
    </row>
    <row r="509" spans="1:12" ht="15" customHeight="1" thickBot="1" x14ac:dyDescent="0.25">
      <c r="A509" s="253"/>
      <c r="B509" s="185">
        <f>SUM(C509:D509)</f>
        <v>85</v>
      </c>
      <c r="C509" s="185">
        <f>I509+F509</f>
        <v>85</v>
      </c>
      <c r="D509" s="185">
        <f>J509+G509</f>
        <v>0</v>
      </c>
      <c r="E509" s="185">
        <f>SUM(F509:G509)</f>
        <v>0</v>
      </c>
      <c r="F509" s="185">
        <v>0</v>
      </c>
      <c r="G509" s="185">
        <v>0</v>
      </c>
      <c r="H509" s="185">
        <f>SUM(I509:J509)</f>
        <v>85</v>
      </c>
      <c r="I509" s="185">
        <v>85</v>
      </c>
      <c r="J509" s="185">
        <v>0</v>
      </c>
      <c r="K509" s="188" t="s">
        <v>233</v>
      </c>
      <c r="L509" s="134"/>
    </row>
    <row r="510" spans="1:12" ht="15" customHeight="1" thickBot="1" x14ac:dyDescent="0.25">
      <c r="A510" s="253"/>
      <c r="B510" s="185">
        <f>SUM(C510:D510)</f>
        <v>0</v>
      </c>
      <c r="C510" s="185">
        <f>I510+F510</f>
        <v>0</v>
      </c>
      <c r="D510" s="185">
        <f>J510+G510</f>
        <v>0</v>
      </c>
      <c r="E510" s="185">
        <f>SUM(F510:G510)</f>
        <v>0</v>
      </c>
      <c r="F510" s="185">
        <v>0</v>
      </c>
      <c r="G510" s="185">
        <v>0</v>
      </c>
      <c r="H510" s="185">
        <f>SUM(I510:J510)</f>
        <v>0</v>
      </c>
      <c r="I510" s="185">
        <v>0</v>
      </c>
      <c r="J510" s="185">
        <v>0</v>
      </c>
      <c r="K510" s="188" t="s">
        <v>234</v>
      </c>
      <c r="L510" s="134" t="s">
        <v>467</v>
      </c>
    </row>
    <row r="511" spans="1:12" ht="15" customHeight="1" thickBot="1" x14ac:dyDescent="0.25">
      <c r="A511" s="253"/>
      <c r="B511" s="185">
        <f t="shared" ref="B511:J511" si="164">SUM(B509:B510)</f>
        <v>85</v>
      </c>
      <c r="C511" s="185">
        <f t="shared" si="164"/>
        <v>85</v>
      </c>
      <c r="D511" s="185">
        <f t="shared" si="164"/>
        <v>0</v>
      </c>
      <c r="E511" s="185">
        <f t="shared" si="164"/>
        <v>0</v>
      </c>
      <c r="F511" s="185">
        <f t="shared" si="164"/>
        <v>0</v>
      </c>
      <c r="G511" s="185">
        <f t="shared" si="164"/>
        <v>0</v>
      </c>
      <c r="H511" s="185">
        <f t="shared" si="164"/>
        <v>85</v>
      </c>
      <c r="I511" s="185">
        <f t="shared" si="164"/>
        <v>85</v>
      </c>
      <c r="J511" s="185">
        <f t="shared" si="164"/>
        <v>0</v>
      </c>
      <c r="K511" s="188" t="s">
        <v>12</v>
      </c>
      <c r="L511" s="239"/>
    </row>
    <row r="512" spans="1:12" ht="15" customHeight="1" thickBot="1" x14ac:dyDescent="0.25">
      <c r="A512" s="253"/>
      <c r="B512" s="185">
        <f>SUM(C512:D512)</f>
        <v>132</v>
      </c>
      <c r="C512" s="185">
        <f>I512+F512</f>
        <v>0</v>
      </c>
      <c r="D512" s="185">
        <f>J512+G512</f>
        <v>132</v>
      </c>
      <c r="E512" s="185">
        <f>SUM(F512:G512)</f>
        <v>6</v>
      </c>
      <c r="F512" s="185">
        <v>0</v>
      </c>
      <c r="G512" s="185">
        <v>6</v>
      </c>
      <c r="H512" s="185">
        <f>SUM(I512:J512)</f>
        <v>126</v>
      </c>
      <c r="I512" s="185">
        <v>0</v>
      </c>
      <c r="J512" s="185">
        <v>126</v>
      </c>
      <c r="K512" s="188" t="s">
        <v>233</v>
      </c>
      <c r="L512" s="134"/>
    </row>
    <row r="513" spans="1:12" ht="15" customHeight="1" thickBot="1" x14ac:dyDescent="0.25">
      <c r="A513" s="253"/>
      <c r="B513" s="185">
        <f>SUM(C513:D513)</f>
        <v>0</v>
      </c>
      <c r="C513" s="185">
        <f>I513+F513</f>
        <v>0</v>
      </c>
      <c r="D513" s="185">
        <f>J513+G513</f>
        <v>0</v>
      </c>
      <c r="E513" s="185">
        <f>SUM(F513:G513)</f>
        <v>0</v>
      </c>
      <c r="F513" s="185">
        <v>0</v>
      </c>
      <c r="G513" s="185">
        <v>0</v>
      </c>
      <c r="H513" s="185">
        <f>SUM(I513:J513)</f>
        <v>0</v>
      </c>
      <c r="I513" s="185">
        <v>0</v>
      </c>
      <c r="J513" s="185">
        <v>0</v>
      </c>
      <c r="K513" s="188" t="s">
        <v>234</v>
      </c>
      <c r="L513" s="134" t="s">
        <v>468</v>
      </c>
    </row>
    <row r="514" spans="1:12" ht="15" customHeight="1" thickBot="1" x14ac:dyDescent="0.25">
      <c r="A514" s="253"/>
      <c r="B514" s="185">
        <f t="shared" ref="B514:J514" si="165">SUM(B512:B513)</f>
        <v>132</v>
      </c>
      <c r="C514" s="185">
        <f t="shared" si="165"/>
        <v>0</v>
      </c>
      <c r="D514" s="185">
        <f t="shared" si="165"/>
        <v>132</v>
      </c>
      <c r="E514" s="185">
        <f t="shared" si="165"/>
        <v>6</v>
      </c>
      <c r="F514" s="185">
        <f t="shared" si="165"/>
        <v>0</v>
      </c>
      <c r="G514" s="185">
        <f t="shared" si="165"/>
        <v>6</v>
      </c>
      <c r="H514" s="185">
        <f t="shared" si="165"/>
        <v>126</v>
      </c>
      <c r="I514" s="185">
        <f t="shared" si="165"/>
        <v>0</v>
      </c>
      <c r="J514" s="185">
        <f t="shared" si="165"/>
        <v>126</v>
      </c>
      <c r="K514" s="188" t="s">
        <v>12</v>
      </c>
      <c r="L514" s="239"/>
    </row>
    <row r="515" spans="1:12" ht="15" customHeight="1" thickBot="1" x14ac:dyDescent="0.25">
      <c r="A515" s="253"/>
      <c r="B515" s="185">
        <f t="shared" ref="B515:J516" si="166">B437+B440+B443+B446+B449+B452+B455+B458+B461+B464+B467+B470+B473+B476+B479+B482+B485+B488+B491+B494+B497+B500+B503+B506+B509+B512</f>
        <v>40956</v>
      </c>
      <c r="C515" s="185">
        <f t="shared" si="166"/>
        <v>29290</v>
      </c>
      <c r="D515" s="185">
        <f t="shared" si="166"/>
        <v>11666</v>
      </c>
      <c r="E515" s="185">
        <f t="shared" si="166"/>
        <v>106</v>
      </c>
      <c r="F515" s="185">
        <f t="shared" si="166"/>
        <v>11</v>
      </c>
      <c r="G515" s="185">
        <f t="shared" si="166"/>
        <v>95</v>
      </c>
      <c r="H515" s="185">
        <f t="shared" si="166"/>
        <v>40850</v>
      </c>
      <c r="I515" s="185">
        <f t="shared" si="166"/>
        <v>29279</v>
      </c>
      <c r="J515" s="185">
        <f t="shared" si="166"/>
        <v>11571</v>
      </c>
      <c r="K515" s="188" t="s">
        <v>236</v>
      </c>
      <c r="L515" s="131"/>
    </row>
    <row r="516" spans="1:12" ht="15" customHeight="1" thickBot="1" x14ac:dyDescent="0.25">
      <c r="A516" s="253"/>
      <c r="B516" s="185">
        <f t="shared" si="166"/>
        <v>8120</v>
      </c>
      <c r="C516" s="185">
        <f t="shared" si="166"/>
        <v>8120</v>
      </c>
      <c r="D516" s="185">
        <f t="shared" si="166"/>
        <v>0</v>
      </c>
      <c r="E516" s="185">
        <f t="shared" si="166"/>
        <v>0</v>
      </c>
      <c r="F516" s="185">
        <f t="shared" si="166"/>
        <v>0</v>
      </c>
      <c r="G516" s="185">
        <f t="shared" si="166"/>
        <v>0</v>
      </c>
      <c r="H516" s="185">
        <f t="shared" si="166"/>
        <v>8120</v>
      </c>
      <c r="I516" s="185">
        <f t="shared" si="166"/>
        <v>8120</v>
      </c>
      <c r="J516" s="185">
        <f t="shared" si="166"/>
        <v>0</v>
      </c>
      <c r="K516" s="188" t="s">
        <v>237</v>
      </c>
      <c r="L516" s="132" t="s">
        <v>188</v>
      </c>
    </row>
    <row r="517" spans="1:12" ht="15" customHeight="1" thickBot="1" x14ac:dyDescent="0.25">
      <c r="A517" s="253"/>
      <c r="B517" s="185">
        <f t="shared" ref="B517:J517" si="167">SUM(B515:B516)</f>
        <v>49076</v>
      </c>
      <c r="C517" s="185">
        <f t="shared" si="167"/>
        <v>37410</v>
      </c>
      <c r="D517" s="185">
        <f t="shared" si="167"/>
        <v>11666</v>
      </c>
      <c r="E517" s="185">
        <f t="shared" si="167"/>
        <v>106</v>
      </c>
      <c r="F517" s="185">
        <f t="shared" si="167"/>
        <v>11</v>
      </c>
      <c r="G517" s="185">
        <f t="shared" si="167"/>
        <v>95</v>
      </c>
      <c r="H517" s="185">
        <f t="shared" si="167"/>
        <v>48970</v>
      </c>
      <c r="I517" s="185">
        <f t="shared" si="167"/>
        <v>37399</v>
      </c>
      <c r="J517" s="185">
        <f t="shared" si="167"/>
        <v>11571</v>
      </c>
      <c r="K517" s="188" t="s">
        <v>12</v>
      </c>
      <c r="L517" s="133"/>
    </row>
    <row r="518" spans="1:12" ht="15" customHeight="1" thickBot="1" x14ac:dyDescent="0.25">
      <c r="A518" s="253"/>
      <c r="B518" s="476" t="s">
        <v>4</v>
      </c>
      <c r="C518" s="476"/>
      <c r="D518" s="476"/>
      <c r="E518" s="476" t="s">
        <v>145</v>
      </c>
      <c r="F518" s="476"/>
      <c r="G518" s="476"/>
      <c r="H518" s="476" t="s">
        <v>146</v>
      </c>
      <c r="I518" s="476"/>
      <c r="J518" s="476"/>
      <c r="K518" s="479" t="s">
        <v>66</v>
      </c>
      <c r="L518" s="479"/>
    </row>
    <row r="519" spans="1:12" ht="15" customHeight="1" thickBot="1" x14ac:dyDescent="0.25">
      <c r="A519" s="253"/>
      <c r="B519" s="185" t="s">
        <v>227</v>
      </c>
      <c r="C519" s="185" t="s">
        <v>10</v>
      </c>
      <c r="D519" s="185" t="s">
        <v>9</v>
      </c>
      <c r="E519" s="185" t="s">
        <v>227</v>
      </c>
      <c r="F519" s="185" t="s">
        <v>10</v>
      </c>
      <c r="G519" s="185" t="s">
        <v>9</v>
      </c>
      <c r="H519" s="185" t="s">
        <v>227</v>
      </c>
      <c r="I519" s="185" t="s">
        <v>10</v>
      </c>
      <c r="J519" s="185" t="s">
        <v>9</v>
      </c>
      <c r="K519" s="480" t="s">
        <v>100</v>
      </c>
      <c r="L519" s="480"/>
    </row>
    <row r="520" spans="1:12" ht="15" customHeight="1" thickBot="1" x14ac:dyDescent="0.25">
      <c r="A520" s="253"/>
      <c r="B520" s="47">
        <f>SUM(C520:D520)</f>
        <v>1475</v>
      </c>
      <c r="C520" s="47">
        <f>I520+F520</f>
        <v>0</v>
      </c>
      <c r="D520" s="47">
        <f>J520+G520</f>
        <v>1475</v>
      </c>
      <c r="E520" s="47">
        <f>SUM(F520:G520)</f>
        <v>0</v>
      </c>
      <c r="F520" s="47">
        <v>0</v>
      </c>
      <c r="G520" s="47">
        <v>0</v>
      </c>
      <c r="H520" s="47">
        <f>SUM(I520:J520)</f>
        <v>1475</v>
      </c>
      <c r="I520" s="47">
        <v>0</v>
      </c>
      <c r="J520" s="47">
        <v>1475</v>
      </c>
      <c r="K520" s="188" t="s">
        <v>233</v>
      </c>
      <c r="L520" s="134"/>
    </row>
    <row r="521" spans="1:12" ht="15" customHeight="1" thickBot="1" x14ac:dyDescent="0.25">
      <c r="A521" s="253"/>
      <c r="B521" s="47">
        <f>SUM(C521:D521)</f>
        <v>0</v>
      </c>
      <c r="C521" s="47">
        <f>I521+F521</f>
        <v>0</v>
      </c>
      <c r="D521" s="47">
        <f>J521+G521</f>
        <v>0</v>
      </c>
      <c r="E521" s="47">
        <f>SUM(F521:G521)</f>
        <v>0</v>
      </c>
      <c r="F521" s="47">
        <v>0</v>
      </c>
      <c r="G521" s="47">
        <v>0</v>
      </c>
      <c r="H521" s="47">
        <f>SUM(I521:J521)</f>
        <v>0</v>
      </c>
      <c r="I521" s="47">
        <v>0</v>
      </c>
      <c r="J521" s="47">
        <v>0</v>
      </c>
      <c r="K521" s="188" t="s">
        <v>234</v>
      </c>
      <c r="L521" s="134" t="s">
        <v>469</v>
      </c>
    </row>
    <row r="522" spans="1:12" ht="15" customHeight="1" thickBot="1" x14ac:dyDescent="0.25">
      <c r="A522" s="253"/>
      <c r="B522" s="47">
        <f t="shared" ref="B522:J522" si="168">SUM(B520:B521)</f>
        <v>1475</v>
      </c>
      <c r="C522" s="47">
        <f t="shared" si="168"/>
        <v>0</v>
      </c>
      <c r="D522" s="47">
        <f t="shared" si="168"/>
        <v>1475</v>
      </c>
      <c r="E522" s="47">
        <f t="shared" si="168"/>
        <v>0</v>
      </c>
      <c r="F522" s="47">
        <f t="shared" si="168"/>
        <v>0</v>
      </c>
      <c r="G522" s="47">
        <f t="shared" si="168"/>
        <v>0</v>
      </c>
      <c r="H522" s="47">
        <f t="shared" si="168"/>
        <v>1475</v>
      </c>
      <c r="I522" s="47">
        <f t="shared" si="168"/>
        <v>0</v>
      </c>
      <c r="J522" s="47">
        <f t="shared" si="168"/>
        <v>1475</v>
      </c>
      <c r="K522" s="188" t="s">
        <v>12</v>
      </c>
      <c r="L522" s="239"/>
    </row>
    <row r="523" spans="1:12" ht="15" customHeight="1" thickBot="1" x14ac:dyDescent="0.25">
      <c r="A523" s="253"/>
      <c r="B523" s="47">
        <f>SUM(C523:D523)</f>
        <v>2020</v>
      </c>
      <c r="C523" s="47">
        <f>I523+F523</f>
        <v>0</v>
      </c>
      <c r="D523" s="47">
        <f>J523+G523</f>
        <v>2020</v>
      </c>
      <c r="E523" s="47">
        <f>SUM(F523:G523)</f>
        <v>32</v>
      </c>
      <c r="F523" s="47">
        <v>0</v>
      </c>
      <c r="G523" s="47">
        <v>32</v>
      </c>
      <c r="H523" s="47">
        <f>SUM(I523:J523)</f>
        <v>1988</v>
      </c>
      <c r="I523" s="47">
        <v>0</v>
      </c>
      <c r="J523" s="47">
        <v>1988</v>
      </c>
      <c r="K523" s="188" t="s">
        <v>233</v>
      </c>
      <c r="L523" s="134"/>
    </row>
    <row r="524" spans="1:12" ht="15" customHeight="1" thickBot="1" x14ac:dyDescent="0.25">
      <c r="A524" s="253"/>
      <c r="B524" s="47">
        <f>SUM(C524:D524)</f>
        <v>10</v>
      </c>
      <c r="C524" s="47">
        <f>I524+F524</f>
        <v>1</v>
      </c>
      <c r="D524" s="47">
        <f>J524+G524</f>
        <v>9</v>
      </c>
      <c r="E524" s="47">
        <f>SUM(F524:G524)</f>
        <v>0</v>
      </c>
      <c r="F524" s="47">
        <v>0</v>
      </c>
      <c r="G524" s="47">
        <v>0</v>
      </c>
      <c r="H524" s="47">
        <f>SUM(I524:J524)</f>
        <v>10</v>
      </c>
      <c r="I524" s="47">
        <v>1</v>
      </c>
      <c r="J524" s="47">
        <v>9</v>
      </c>
      <c r="K524" s="188" t="s">
        <v>234</v>
      </c>
      <c r="L524" s="134" t="s">
        <v>453</v>
      </c>
    </row>
    <row r="525" spans="1:12" ht="15" customHeight="1" thickBot="1" x14ac:dyDescent="0.25">
      <c r="A525" s="253"/>
      <c r="B525" s="47">
        <f t="shared" ref="B525:J525" si="169">SUM(B523:B524)</f>
        <v>2030</v>
      </c>
      <c r="C525" s="47">
        <f t="shared" si="169"/>
        <v>1</v>
      </c>
      <c r="D525" s="47">
        <f t="shared" si="169"/>
        <v>2029</v>
      </c>
      <c r="E525" s="47">
        <f t="shared" si="169"/>
        <v>32</v>
      </c>
      <c r="F525" s="47">
        <f t="shared" si="169"/>
        <v>0</v>
      </c>
      <c r="G525" s="47">
        <f t="shared" si="169"/>
        <v>32</v>
      </c>
      <c r="H525" s="47">
        <f t="shared" si="169"/>
        <v>1998</v>
      </c>
      <c r="I525" s="47">
        <f t="shared" si="169"/>
        <v>1</v>
      </c>
      <c r="J525" s="47">
        <f t="shared" si="169"/>
        <v>1997</v>
      </c>
      <c r="K525" s="188" t="s">
        <v>12</v>
      </c>
      <c r="L525" s="239"/>
    </row>
    <row r="526" spans="1:12" ht="15" customHeight="1" thickBot="1" x14ac:dyDescent="0.25">
      <c r="A526" s="253"/>
      <c r="B526" s="47">
        <f>SUM(C526:D526)</f>
        <v>3155</v>
      </c>
      <c r="C526" s="47">
        <f>I526+F526</f>
        <v>0</v>
      </c>
      <c r="D526" s="47">
        <f>J526+G526</f>
        <v>3155</v>
      </c>
      <c r="E526" s="47">
        <f>SUM(F526:G526)</f>
        <v>16</v>
      </c>
      <c r="F526" s="47">
        <v>0</v>
      </c>
      <c r="G526" s="47">
        <f>26-10</f>
        <v>16</v>
      </c>
      <c r="H526" s="47">
        <f>SUM(I526:J526)</f>
        <v>3139</v>
      </c>
      <c r="I526" s="47">
        <v>0</v>
      </c>
      <c r="J526" s="47">
        <f>3129+10</f>
        <v>3139</v>
      </c>
      <c r="K526" s="188" t="s">
        <v>233</v>
      </c>
      <c r="L526" s="134"/>
    </row>
    <row r="527" spans="1:12" ht="15" customHeight="1" thickBot="1" x14ac:dyDescent="0.25">
      <c r="A527" s="253"/>
      <c r="B527" s="47">
        <f>SUM(C527:D527)</f>
        <v>9</v>
      </c>
      <c r="C527" s="47">
        <f>I527+F527</f>
        <v>1</v>
      </c>
      <c r="D527" s="47">
        <f>J527+G527</f>
        <v>8</v>
      </c>
      <c r="E527" s="47">
        <f>SUM(F527:G527)</f>
        <v>0</v>
      </c>
      <c r="F527" s="47">
        <v>0</v>
      </c>
      <c r="G527" s="47">
        <v>0</v>
      </c>
      <c r="H527" s="47">
        <f>SUM(I527:J527)</f>
        <v>9</v>
      </c>
      <c r="I527" s="47">
        <v>1</v>
      </c>
      <c r="J527" s="47">
        <v>8</v>
      </c>
      <c r="K527" s="188" t="s">
        <v>234</v>
      </c>
      <c r="L527" s="134" t="s">
        <v>470</v>
      </c>
    </row>
    <row r="528" spans="1:12" ht="15" customHeight="1" thickBot="1" x14ac:dyDescent="0.25">
      <c r="A528" s="253"/>
      <c r="B528" s="47">
        <f t="shared" ref="B528:J528" si="170">SUM(B526:B527)</f>
        <v>3164</v>
      </c>
      <c r="C528" s="47">
        <f t="shared" si="170"/>
        <v>1</v>
      </c>
      <c r="D528" s="47">
        <f t="shared" si="170"/>
        <v>3163</v>
      </c>
      <c r="E528" s="47">
        <f t="shared" si="170"/>
        <v>16</v>
      </c>
      <c r="F528" s="47">
        <f t="shared" si="170"/>
        <v>0</v>
      </c>
      <c r="G528" s="47">
        <f t="shared" si="170"/>
        <v>16</v>
      </c>
      <c r="H528" s="47">
        <f t="shared" si="170"/>
        <v>3148</v>
      </c>
      <c r="I528" s="47">
        <f t="shared" si="170"/>
        <v>1</v>
      </c>
      <c r="J528" s="47">
        <f t="shared" si="170"/>
        <v>3147</v>
      </c>
      <c r="K528" s="188" t="s">
        <v>12</v>
      </c>
      <c r="L528" s="239"/>
    </row>
    <row r="529" spans="1:12" ht="15" customHeight="1" thickBot="1" x14ac:dyDescent="0.25">
      <c r="A529" s="253"/>
      <c r="B529" s="47">
        <f>SUM(C529:D529)</f>
        <v>4011</v>
      </c>
      <c r="C529" s="47">
        <f>I529+F529</f>
        <v>1628</v>
      </c>
      <c r="D529" s="47">
        <f>J529+G529</f>
        <v>2383</v>
      </c>
      <c r="E529" s="47">
        <f>SUM(F529:G529)</f>
        <v>36</v>
      </c>
      <c r="F529" s="47">
        <v>16</v>
      </c>
      <c r="G529" s="47">
        <f>40-20</f>
        <v>20</v>
      </c>
      <c r="H529" s="47">
        <f>SUM(I529:J529)</f>
        <v>3975</v>
      </c>
      <c r="I529" s="47">
        <v>1612</v>
      </c>
      <c r="J529" s="47">
        <f>2343+20</f>
        <v>2363</v>
      </c>
      <c r="K529" s="188" t="s">
        <v>233</v>
      </c>
      <c r="L529" s="134"/>
    </row>
    <row r="530" spans="1:12" ht="15" customHeight="1" thickBot="1" x14ac:dyDescent="0.25">
      <c r="A530" s="253"/>
      <c r="B530" s="47">
        <f>SUM(C530:D530)</f>
        <v>0</v>
      </c>
      <c r="C530" s="47">
        <f>I530+F530</f>
        <v>0</v>
      </c>
      <c r="D530" s="47">
        <f>J530+G530</f>
        <v>0</v>
      </c>
      <c r="E530" s="47">
        <f>SUM(F530:G530)</f>
        <v>0</v>
      </c>
      <c r="F530" s="47">
        <v>0</v>
      </c>
      <c r="G530" s="47">
        <v>0</v>
      </c>
      <c r="H530" s="47">
        <f>SUM(I530:J530)</f>
        <v>0</v>
      </c>
      <c r="I530" s="47">
        <v>0</v>
      </c>
      <c r="J530" s="47">
        <v>0</v>
      </c>
      <c r="K530" s="188" t="s">
        <v>234</v>
      </c>
      <c r="L530" s="134" t="s">
        <v>402</v>
      </c>
    </row>
    <row r="531" spans="1:12" ht="15" customHeight="1" thickBot="1" x14ac:dyDescent="0.25">
      <c r="A531" s="253"/>
      <c r="B531" s="47">
        <f t="shared" ref="B531:J531" si="171">SUM(B529:B530)</f>
        <v>4011</v>
      </c>
      <c r="C531" s="47">
        <f t="shared" si="171"/>
        <v>1628</v>
      </c>
      <c r="D531" s="47">
        <f t="shared" si="171"/>
        <v>2383</v>
      </c>
      <c r="E531" s="47">
        <f t="shared" si="171"/>
        <v>36</v>
      </c>
      <c r="F531" s="47">
        <f t="shared" si="171"/>
        <v>16</v>
      </c>
      <c r="G531" s="47">
        <f t="shared" si="171"/>
        <v>20</v>
      </c>
      <c r="H531" s="47">
        <f t="shared" si="171"/>
        <v>3975</v>
      </c>
      <c r="I531" s="47">
        <f t="shared" si="171"/>
        <v>1612</v>
      </c>
      <c r="J531" s="47">
        <f t="shared" si="171"/>
        <v>2363</v>
      </c>
      <c r="K531" s="188" t="s">
        <v>12</v>
      </c>
      <c r="L531" s="239"/>
    </row>
    <row r="532" spans="1:12" ht="15" customHeight="1" thickBot="1" x14ac:dyDescent="0.25">
      <c r="A532" s="253"/>
      <c r="B532" s="47">
        <f>SUM(C532:D532)</f>
        <v>1832</v>
      </c>
      <c r="C532" s="47">
        <f>I532+F532</f>
        <v>0</v>
      </c>
      <c r="D532" s="47">
        <f>J532+G532</f>
        <v>1832</v>
      </c>
      <c r="E532" s="47">
        <f>SUM(F532:G532)</f>
        <v>5</v>
      </c>
      <c r="F532" s="47">
        <v>0</v>
      </c>
      <c r="G532" s="47">
        <v>5</v>
      </c>
      <c r="H532" s="47">
        <f>SUM(I532:J532)</f>
        <v>1827</v>
      </c>
      <c r="I532" s="47">
        <v>0</v>
      </c>
      <c r="J532" s="47">
        <v>1827</v>
      </c>
      <c r="K532" s="188" t="s">
        <v>233</v>
      </c>
      <c r="L532" s="134"/>
    </row>
    <row r="533" spans="1:12" ht="15" customHeight="1" thickBot="1" x14ac:dyDescent="0.25">
      <c r="A533" s="253"/>
      <c r="B533" s="47">
        <f>SUM(C533:D533)</f>
        <v>0</v>
      </c>
      <c r="C533" s="47">
        <f>I533+F533</f>
        <v>0</v>
      </c>
      <c r="D533" s="47">
        <f>J533+G533</f>
        <v>0</v>
      </c>
      <c r="E533" s="47">
        <f>SUM(F533:G533)</f>
        <v>0</v>
      </c>
      <c r="F533" s="47">
        <v>0</v>
      </c>
      <c r="G533" s="47">
        <v>0</v>
      </c>
      <c r="H533" s="47">
        <f>SUM(I533:J533)</f>
        <v>0</v>
      </c>
      <c r="I533" s="47">
        <v>0</v>
      </c>
      <c r="J533" s="47">
        <v>0</v>
      </c>
      <c r="K533" s="188" t="s">
        <v>234</v>
      </c>
      <c r="L533" s="134" t="s">
        <v>472</v>
      </c>
    </row>
    <row r="534" spans="1:12" ht="15" customHeight="1" thickBot="1" x14ac:dyDescent="0.25">
      <c r="A534" s="253"/>
      <c r="B534" s="47">
        <f t="shared" ref="B534:J534" si="172">SUM(B532:B533)</f>
        <v>1832</v>
      </c>
      <c r="C534" s="47">
        <f t="shared" si="172"/>
        <v>0</v>
      </c>
      <c r="D534" s="47">
        <f t="shared" si="172"/>
        <v>1832</v>
      </c>
      <c r="E534" s="47">
        <f t="shared" si="172"/>
        <v>5</v>
      </c>
      <c r="F534" s="47">
        <f t="shared" si="172"/>
        <v>0</v>
      </c>
      <c r="G534" s="47">
        <f t="shared" si="172"/>
        <v>5</v>
      </c>
      <c r="H534" s="47">
        <f t="shared" si="172"/>
        <v>1827</v>
      </c>
      <c r="I534" s="47">
        <f t="shared" si="172"/>
        <v>0</v>
      </c>
      <c r="J534" s="47">
        <f t="shared" si="172"/>
        <v>1827</v>
      </c>
      <c r="K534" s="188" t="s">
        <v>12</v>
      </c>
      <c r="L534" s="239"/>
    </row>
    <row r="535" spans="1:12" ht="15" customHeight="1" thickBot="1" x14ac:dyDescent="0.25">
      <c r="A535" s="253"/>
      <c r="B535" s="47">
        <f>SUM(C535:D535)</f>
        <v>612</v>
      </c>
      <c r="C535" s="47">
        <f>I535+F535</f>
        <v>240</v>
      </c>
      <c r="D535" s="47">
        <f>J535+G535</f>
        <v>372</v>
      </c>
      <c r="E535" s="47">
        <f>SUM(F535:G535)</f>
        <v>3</v>
      </c>
      <c r="F535" s="47">
        <v>0</v>
      </c>
      <c r="G535" s="47">
        <v>3</v>
      </c>
      <c r="H535" s="47">
        <f>SUM(I535:J535)</f>
        <v>609</v>
      </c>
      <c r="I535" s="47">
        <v>240</v>
      </c>
      <c r="J535" s="47">
        <v>369</v>
      </c>
      <c r="K535" s="188" t="s">
        <v>233</v>
      </c>
      <c r="L535" s="134"/>
    </row>
    <row r="536" spans="1:12" ht="15" customHeight="1" thickBot="1" x14ac:dyDescent="0.25">
      <c r="A536" s="253"/>
      <c r="B536" s="47">
        <f>SUM(C536:D536)</f>
        <v>0</v>
      </c>
      <c r="C536" s="47">
        <f>I536+F536</f>
        <v>0</v>
      </c>
      <c r="D536" s="47">
        <f>J536+G536</f>
        <v>0</v>
      </c>
      <c r="E536" s="47">
        <f>SUM(F536:G536)</f>
        <v>0</v>
      </c>
      <c r="F536" s="47">
        <v>0</v>
      </c>
      <c r="G536" s="47">
        <v>0</v>
      </c>
      <c r="H536" s="47">
        <f>SUM(I536:J536)</f>
        <v>0</v>
      </c>
      <c r="I536" s="47">
        <v>0</v>
      </c>
      <c r="J536" s="47">
        <v>0</v>
      </c>
      <c r="K536" s="188" t="s">
        <v>234</v>
      </c>
      <c r="L536" s="134" t="s">
        <v>417</v>
      </c>
    </row>
    <row r="537" spans="1:12" ht="15" customHeight="1" thickBot="1" x14ac:dyDescent="0.25">
      <c r="A537" s="253"/>
      <c r="B537" s="47">
        <f t="shared" ref="B537:J537" si="173">SUM(B535:B536)</f>
        <v>612</v>
      </c>
      <c r="C537" s="47">
        <f t="shared" si="173"/>
        <v>240</v>
      </c>
      <c r="D537" s="47">
        <f t="shared" si="173"/>
        <v>372</v>
      </c>
      <c r="E537" s="47">
        <f t="shared" si="173"/>
        <v>3</v>
      </c>
      <c r="F537" s="47">
        <f t="shared" si="173"/>
        <v>0</v>
      </c>
      <c r="G537" s="47">
        <f t="shared" si="173"/>
        <v>3</v>
      </c>
      <c r="H537" s="47">
        <f t="shared" si="173"/>
        <v>609</v>
      </c>
      <c r="I537" s="47">
        <f t="shared" si="173"/>
        <v>240</v>
      </c>
      <c r="J537" s="47">
        <f t="shared" si="173"/>
        <v>369</v>
      </c>
      <c r="K537" s="188" t="s">
        <v>12</v>
      </c>
      <c r="L537" s="239"/>
    </row>
    <row r="538" spans="1:12" ht="15" customHeight="1" thickBot="1" x14ac:dyDescent="0.25">
      <c r="A538" s="253"/>
      <c r="B538" s="47">
        <f>SUM(C538:D538)</f>
        <v>1480</v>
      </c>
      <c r="C538" s="47">
        <f>I538+F538</f>
        <v>0</v>
      </c>
      <c r="D538" s="47">
        <f>J538+G538</f>
        <v>1480</v>
      </c>
      <c r="E538" s="47">
        <f>SUM(F538:G538)</f>
        <v>5</v>
      </c>
      <c r="F538" s="47">
        <v>0</v>
      </c>
      <c r="G538" s="47">
        <v>5</v>
      </c>
      <c r="H538" s="47">
        <f>SUM(I538:J538)</f>
        <v>1475</v>
      </c>
      <c r="I538" s="47">
        <v>0</v>
      </c>
      <c r="J538" s="47">
        <v>1475</v>
      </c>
      <c r="K538" s="188" t="s">
        <v>233</v>
      </c>
      <c r="L538" s="134"/>
    </row>
    <row r="539" spans="1:12" ht="15" customHeight="1" thickBot="1" x14ac:dyDescent="0.25">
      <c r="A539" s="253"/>
      <c r="B539" s="47">
        <f>SUM(C539:D539)</f>
        <v>0</v>
      </c>
      <c r="C539" s="47">
        <f>I539+F539</f>
        <v>0</v>
      </c>
      <c r="D539" s="47">
        <f>J539+G539</f>
        <v>0</v>
      </c>
      <c r="E539" s="47">
        <f>SUM(F539:G539)</f>
        <v>0</v>
      </c>
      <c r="F539" s="47">
        <v>0</v>
      </c>
      <c r="G539" s="47">
        <v>0</v>
      </c>
      <c r="H539" s="47">
        <f>SUM(I539:J539)</f>
        <v>0</v>
      </c>
      <c r="I539" s="47">
        <v>0</v>
      </c>
      <c r="J539" s="47">
        <v>0</v>
      </c>
      <c r="K539" s="188" t="s">
        <v>234</v>
      </c>
      <c r="L539" s="134" t="s">
        <v>454</v>
      </c>
    </row>
    <row r="540" spans="1:12" ht="15" customHeight="1" thickBot="1" x14ac:dyDescent="0.25">
      <c r="A540" s="253"/>
      <c r="B540" s="47">
        <f t="shared" ref="B540:J540" si="174">SUM(B538:B539)</f>
        <v>1480</v>
      </c>
      <c r="C540" s="47">
        <f t="shared" si="174"/>
        <v>0</v>
      </c>
      <c r="D540" s="47">
        <f t="shared" si="174"/>
        <v>1480</v>
      </c>
      <c r="E540" s="47">
        <f t="shared" si="174"/>
        <v>5</v>
      </c>
      <c r="F540" s="47">
        <f t="shared" si="174"/>
        <v>0</v>
      </c>
      <c r="G540" s="47">
        <f t="shared" si="174"/>
        <v>5</v>
      </c>
      <c r="H540" s="47">
        <f t="shared" si="174"/>
        <v>1475</v>
      </c>
      <c r="I540" s="47">
        <f t="shared" si="174"/>
        <v>0</v>
      </c>
      <c r="J540" s="47">
        <f t="shared" si="174"/>
        <v>1475</v>
      </c>
      <c r="K540" s="188" t="s">
        <v>12</v>
      </c>
      <c r="L540" s="239"/>
    </row>
    <row r="541" spans="1:12" ht="15" customHeight="1" thickBot="1" x14ac:dyDescent="0.25">
      <c r="A541" s="253"/>
      <c r="B541" s="47">
        <f>SUM(C541:D541)</f>
        <v>495</v>
      </c>
      <c r="C541" s="47">
        <f>I541+F541</f>
        <v>0</v>
      </c>
      <c r="D541" s="47">
        <f>J541+G541</f>
        <v>495</v>
      </c>
      <c r="E541" s="47">
        <f>SUM(F541:G541)</f>
        <v>0</v>
      </c>
      <c r="F541" s="47">
        <v>0</v>
      </c>
      <c r="G541" s="47">
        <v>0</v>
      </c>
      <c r="H541" s="47">
        <f>SUM(I541:J541)</f>
        <v>495</v>
      </c>
      <c r="I541" s="47">
        <v>0</v>
      </c>
      <c r="J541" s="47">
        <v>495</v>
      </c>
      <c r="K541" s="188" t="s">
        <v>233</v>
      </c>
      <c r="L541" s="134"/>
    </row>
    <row r="542" spans="1:12" ht="15" customHeight="1" thickBot="1" x14ac:dyDescent="0.25">
      <c r="A542" s="253"/>
      <c r="B542" s="47">
        <f>SUM(C542:D542)</f>
        <v>0</v>
      </c>
      <c r="C542" s="47">
        <f>I542+F542</f>
        <v>0</v>
      </c>
      <c r="D542" s="47">
        <f>J542+G542</f>
        <v>0</v>
      </c>
      <c r="E542" s="47">
        <f>SUM(F542:G542)</f>
        <v>0</v>
      </c>
      <c r="F542" s="47">
        <v>0</v>
      </c>
      <c r="G542" s="47">
        <v>0</v>
      </c>
      <c r="H542" s="47">
        <f>SUM(I542:J542)</f>
        <v>0</v>
      </c>
      <c r="I542" s="47">
        <v>0</v>
      </c>
      <c r="J542" s="47">
        <v>0</v>
      </c>
      <c r="K542" s="188" t="s">
        <v>234</v>
      </c>
      <c r="L542" s="134" t="s">
        <v>367</v>
      </c>
    </row>
    <row r="543" spans="1:12" ht="15" customHeight="1" thickBot="1" x14ac:dyDescent="0.25">
      <c r="A543" s="253"/>
      <c r="B543" s="47">
        <f t="shared" ref="B543:J543" si="175">SUM(B541:B542)</f>
        <v>495</v>
      </c>
      <c r="C543" s="47">
        <f t="shared" si="175"/>
        <v>0</v>
      </c>
      <c r="D543" s="47">
        <f t="shared" si="175"/>
        <v>495</v>
      </c>
      <c r="E543" s="47">
        <f t="shared" si="175"/>
        <v>0</v>
      </c>
      <c r="F543" s="47">
        <f t="shared" si="175"/>
        <v>0</v>
      </c>
      <c r="G543" s="47">
        <f t="shared" si="175"/>
        <v>0</v>
      </c>
      <c r="H543" s="47">
        <f t="shared" si="175"/>
        <v>495</v>
      </c>
      <c r="I543" s="47">
        <f t="shared" si="175"/>
        <v>0</v>
      </c>
      <c r="J543" s="47">
        <f t="shared" si="175"/>
        <v>495</v>
      </c>
      <c r="K543" s="188" t="s">
        <v>12</v>
      </c>
      <c r="L543" s="239"/>
    </row>
    <row r="544" spans="1:12" ht="15" customHeight="1" thickBot="1" x14ac:dyDescent="0.25">
      <c r="A544" s="253"/>
      <c r="B544" s="47">
        <f>SUM(C544:D544)</f>
        <v>390</v>
      </c>
      <c r="C544" s="47">
        <f>I544+F544</f>
        <v>0</v>
      </c>
      <c r="D544" s="47">
        <f>J544+G544</f>
        <v>390</v>
      </c>
      <c r="E544" s="47">
        <f>SUM(F544:G544)</f>
        <v>0</v>
      </c>
      <c r="F544" s="47">
        <v>0</v>
      </c>
      <c r="G544" s="47">
        <v>0</v>
      </c>
      <c r="H544" s="47">
        <f>SUM(I544:J544)</f>
        <v>390</v>
      </c>
      <c r="I544" s="47">
        <v>0</v>
      </c>
      <c r="J544" s="47">
        <v>390</v>
      </c>
      <c r="K544" s="188" t="s">
        <v>233</v>
      </c>
      <c r="L544" s="134"/>
    </row>
    <row r="545" spans="1:12" ht="15" customHeight="1" thickBot="1" x14ac:dyDescent="0.25">
      <c r="A545" s="253"/>
      <c r="B545" s="47">
        <f>SUM(C545:D545)</f>
        <v>0</v>
      </c>
      <c r="C545" s="47">
        <f>I545+F545</f>
        <v>0</v>
      </c>
      <c r="D545" s="47">
        <f>J545+G545</f>
        <v>0</v>
      </c>
      <c r="E545" s="47">
        <f>SUM(F545:G545)</f>
        <v>0</v>
      </c>
      <c r="F545" s="47">
        <v>0</v>
      </c>
      <c r="G545" s="47">
        <v>0</v>
      </c>
      <c r="H545" s="47">
        <f>SUM(I545:J545)</f>
        <v>0</v>
      </c>
      <c r="I545" s="47">
        <v>0</v>
      </c>
      <c r="J545" s="47">
        <v>0</v>
      </c>
      <c r="K545" s="188" t="s">
        <v>234</v>
      </c>
      <c r="L545" s="134" t="s">
        <v>473</v>
      </c>
    </row>
    <row r="546" spans="1:12" ht="15" customHeight="1" thickBot="1" x14ac:dyDescent="0.25">
      <c r="A546" s="253"/>
      <c r="B546" s="47">
        <f t="shared" ref="B546:J546" si="176">SUM(B544:B545)</f>
        <v>390</v>
      </c>
      <c r="C546" s="47">
        <f t="shared" si="176"/>
        <v>0</v>
      </c>
      <c r="D546" s="47">
        <f t="shared" si="176"/>
        <v>390</v>
      </c>
      <c r="E546" s="47">
        <f t="shared" si="176"/>
        <v>0</v>
      </c>
      <c r="F546" s="47">
        <f t="shared" si="176"/>
        <v>0</v>
      </c>
      <c r="G546" s="47">
        <f t="shared" si="176"/>
        <v>0</v>
      </c>
      <c r="H546" s="47">
        <f t="shared" si="176"/>
        <v>390</v>
      </c>
      <c r="I546" s="47">
        <f t="shared" si="176"/>
        <v>0</v>
      </c>
      <c r="J546" s="47">
        <f t="shared" si="176"/>
        <v>390</v>
      </c>
      <c r="K546" s="188" t="s">
        <v>12</v>
      </c>
      <c r="L546" s="239"/>
    </row>
    <row r="547" spans="1:12" ht="15" customHeight="1" thickBot="1" x14ac:dyDescent="0.25">
      <c r="A547" s="253"/>
      <c r="B547" s="47">
        <f>SUM(C547:D547)</f>
        <v>561</v>
      </c>
      <c r="C547" s="47">
        <f>I547+F547</f>
        <v>255</v>
      </c>
      <c r="D547" s="47">
        <f>J547+G547</f>
        <v>306</v>
      </c>
      <c r="E547" s="47">
        <f>SUM(F547:G547)</f>
        <v>0</v>
      </c>
      <c r="F547" s="47">
        <v>0</v>
      </c>
      <c r="G547" s="47">
        <v>0</v>
      </c>
      <c r="H547" s="47">
        <f>SUM(I547:J547)</f>
        <v>561</v>
      </c>
      <c r="I547" s="47">
        <v>255</v>
      </c>
      <c r="J547" s="47">
        <v>306</v>
      </c>
      <c r="K547" s="188" t="s">
        <v>233</v>
      </c>
      <c r="L547" s="134"/>
    </row>
    <row r="548" spans="1:12" ht="15" customHeight="1" thickBot="1" x14ac:dyDescent="0.25">
      <c r="A548" s="253"/>
      <c r="B548" s="47">
        <f>SUM(C548:D548)</f>
        <v>0</v>
      </c>
      <c r="C548" s="47">
        <f>I548+F548</f>
        <v>0</v>
      </c>
      <c r="D548" s="47">
        <f>J548+G548</f>
        <v>0</v>
      </c>
      <c r="E548" s="47">
        <f>SUM(F548:G548)</f>
        <v>0</v>
      </c>
      <c r="F548" s="47">
        <v>0</v>
      </c>
      <c r="G548" s="47">
        <v>0</v>
      </c>
      <c r="H548" s="47">
        <f>SUM(I548:J548)</f>
        <v>0</v>
      </c>
      <c r="I548" s="47">
        <v>0</v>
      </c>
      <c r="J548" s="47">
        <v>0</v>
      </c>
      <c r="K548" s="188" t="s">
        <v>234</v>
      </c>
      <c r="L548" s="134" t="s">
        <v>474</v>
      </c>
    </row>
    <row r="549" spans="1:12" ht="15" customHeight="1" thickBot="1" x14ac:dyDescent="0.25">
      <c r="A549" s="253"/>
      <c r="B549" s="47">
        <f t="shared" ref="B549:J549" si="177">SUM(B547:B548)</f>
        <v>561</v>
      </c>
      <c r="C549" s="47">
        <f t="shared" si="177"/>
        <v>255</v>
      </c>
      <c r="D549" s="47">
        <f t="shared" si="177"/>
        <v>306</v>
      </c>
      <c r="E549" s="47">
        <f t="shared" si="177"/>
        <v>0</v>
      </c>
      <c r="F549" s="47">
        <f t="shared" si="177"/>
        <v>0</v>
      </c>
      <c r="G549" s="47">
        <f t="shared" si="177"/>
        <v>0</v>
      </c>
      <c r="H549" s="47">
        <f t="shared" si="177"/>
        <v>561</v>
      </c>
      <c r="I549" s="47">
        <f t="shared" si="177"/>
        <v>255</v>
      </c>
      <c r="J549" s="47">
        <f t="shared" si="177"/>
        <v>306</v>
      </c>
      <c r="K549" s="188" t="s">
        <v>12</v>
      </c>
      <c r="L549" s="239"/>
    </row>
    <row r="550" spans="1:12" ht="15" customHeight="1" thickBot="1" x14ac:dyDescent="0.25">
      <c r="A550" s="253"/>
      <c r="B550" s="47">
        <f>SUM(C550:D550)</f>
        <v>175</v>
      </c>
      <c r="C550" s="47">
        <f>I550+F550</f>
        <v>25</v>
      </c>
      <c r="D550" s="47">
        <f>J550+G550</f>
        <v>150</v>
      </c>
      <c r="E550" s="47">
        <f>SUM(F550:G550)</f>
        <v>0</v>
      </c>
      <c r="F550" s="47">
        <v>0</v>
      </c>
      <c r="G550" s="47">
        <v>0</v>
      </c>
      <c r="H550" s="47">
        <f>SUM(I550:J550)</f>
        <v>175</v>
      </c>
      <c r="I550" s="47">
        <v>25</v>
      </c>
      <c r="J550" s="47">
        <v>150</v>
      </c>
      <c r="K550" s="188" t="s">
        <v>233</v>
      </c>
      <c r="L550" s="134"/>
    </row>
    <row r="551" spans="1:12" ht="15" customHeight="1" thickBot="1" x14ac:dyDescent="0.25">
      <c r="A551" s="253"/>
      <c r="B551" s="47">
        <f>SUM(C551:D551)</f>
        <v>0</v>
      </c>
      <c r="C551" s="47">
        <f>I551+F551</f>
        <v>0</v>
      </c>
      <c r="D551" s="47">
        <f>J551+G551</f>
        <v>0</v>
      </c>
      <c r="E551" s="47">
        <f>SUM(F551:G551)</f>
        <v>0</v>
      </c>
      <c r="F551" s="47">
        <v>0</v>
      </c>
      <c r="G551" s="47">
        <v>0</v>
      </c>
      <c r="H551" s="47">
        <f>SUM(I551:J551)</f>
        <v>0</v>
      </c>
      <c r="I551" s="47">
        <v>0</v>
      </c>
      <c r="J551" s="47">
        <v>0</v>
      </c>
      <c r="K551" s="188" t="s">
        <v>234</v>
      </c>
      <c r="L551" s="134" t="s">
        <v>347</v>
      </c>
    </row>
    <row r="552" spans="1:12" ht="15" customHeight="1" thickBot="1" x14ac:dyDescent="0.25">
      <c r="A552" s="253"/>
      <c r="B552" s="47">
        <f t="shared" ref="B552:J552" si="178">SUM(B550:B551)</f>
        <v>175</v>
      </c>
      <c r="C552" s="47">
        <f t="shared" si="178"/>
        <v>25</v>
      </c>
      <c r="D552" s="47">
        <f t="shared" si="178"/>
        <v>150</v>
      </c>
      <c r="E552" s="47">
        <f t="shared" si="178"/>
        <v>0</v>
      </c>
      <c r="F552" s="47">
        <f t="shared" si="178"/>
        <v>0</v>
      </c>
      <c r="G552" s="47">
        <f t="shared" si="178"/>
        <v>0</v>
      </c>
      <c r="H552" s="47">
        <f t="shared" si="178"/>
        <v>175</v>
      </c>
      <c r="I552" s="47">
        <f t="shared" si="178"/>
        <v>25</v>
      </c>
      <c r="J552" s="47">
        <f t="shared" si="178"/>
        <v>150</v>
      </c>
      <c r="K552" s="188" t="s">
        <v>12</v>
      </c>
      <c r="L552" s="239"/>
    </row>
    <row r="553" spans="1:12" ht="15" customHeight="1" thickBot="1" x14ac:dyDescent="0.25">
      <c r="A553" s="253"/>
      <c r="B553" s="47">
        <f>SUM(C553:D553)</f>
        <v>3598</v>
      </c>
      <c r="C553" s="47">
        <f>I553+F553</f>
        <v>3598</v>
      </c>
      <c r="D553" s="47">
        <f>J553+G553</f>
        <v>0</v>
      </c>
      <c r="E553" s="47">
        <f>SUM(F553:G553)</f>
        <v>5</v>
      </c>
      <c r="F553" s="47">
        <v>5</v>
      </c>
      <c r="G553" s="47">
        <v>0</v>
      </c>
      <c r="H553" s="47">
        <f>SUM(I553:J553)</f>
        <v>3593</v>
      </c>
      <c r="I553" s="47">
        <f>4092-499</f>
        <v>3593</v>
      </c>
      <c r="J553" s="47">
        <v>0</v>
      </c>
      <c r="K553" s="188" t="s">
        <v>233</v>
      </c>
      <c r="L553" s="134"/>
    </row>
    <row r="554" spans="1:12" ht="15" customHeight="1" thickBot="1" x14ac:dyDescent="0.25">
      <c r="A554" s="253"/>
      <c r="B554" s="47">
        <f>SUM(C554:D554)</f>
        <v>971</v>
      </c>
      <c r="C554" s="47">
        <f>I554+F554</f>
        <v>971</v>
      </c>
      <c r="D554" s="47">
        <f>J554+G554</f>
        <v>0</v>
      </c>
      <c r="E554" s="47">
        <f>SUM(F554:G554)</f>
        <v>0</v>
      </c>
      <c r="F554" s="47">
        <v>0</v>
      </c>
      <c r="G554" s="47">
        <v>0</v>
      </c>
      <c r="H554" s="47">
        <f>SUM(I554:J554)</f>
        <v>971</v>
      </c>
      <c r="I554" s="47">
        <v>971</v>
      </c>
      <c r="J554" s="47">
        <v>0</v>
      </c>
      <c r="K554" s="188" t="s">
        <v>234</v>
      </c>
      <c r="L554" s="134" t="s">
        <v>656</v>
      </c>
    </row>
    <row r="555" spans="1:12" ht="15" customHeight="1" thickBot="1" x14ac:dyDescent="0.25">
      <c r="A555" s="253"/>
      <c r="B555" s="47">
        <f t="shared" ref="B555:J555" si="179">SUM(B553:B554)</f>
        <v>4569</v>
      </c>
      <c r="C555" s="47">
        <f t="shared" si="179"/>
        <v>4569</v>
      </c>
      <c r="D555" s="47">
        <f t="shared" si="179"/>
        <v>0</v>
      </c>
      <c r="E555" s="47">
        <f t="shared" si="179"/>
        <v>5</v>
      </c>
      <c r="F555" s="47">
        <f t="shared" si="179"/>
        <v>5</v>
      </c>
      <c r="G555" s="47">
        <f t="shared" si="179"/>
        <v>0</v>
      </c>
      <c r="H555" s="47">
        <f t="shared" si="179"/>
        <v>4564</v>
      </c>
      <c r="I555" s="47">
        <f t="shared" si="179"/>
        <v>4564</v>
      </c>
      <c r="J555" s="47">
        <f t="shared" si="179"/>
        <v>0</v>
      </c>
      <c r="K555" s="188" t="s">
        <v>12</v>
      </c>
      <c r="L555" s="239"/>
    </row>
    <row r="556" spans="1:12" ht="15" customHeight="1" thickBot="1" x14ac:dyDescent="0.25">
      <c r="A556" s="253"/>
      <c r="B556" s="47">
        <f>SUM(C556:D556)</f>
        <v>1859</v>
      </c>
      <c r="C556" s="47">
        <f>I556+F556</f>
        <v>1859</v>
      </c>
      <c r="D556" s="47">
        <f>J556+G556</f>
        <v>0</v>
      </c>
      <c r="E556" s="47">
        <f>SUM(F556:G556)</f>
        <v>0</v>
      </c>
      <c r="F556" s="47">
        <v>0</v>
      </c>
      <c r="G556" s="47">
        <v>0</v>
      </c>
      <c r="H556" s="47">
        <f>SUM(I556:J556)</f>
        <v>1859</v>
      </c>
      <c r="I556" s="47">
        <v>1859</v>
      </c>
      <c r="J556" s="47">
        <v>0</v>
      </c>
      <c r="K556" s="188" t="s">
        <v>233</v>
      </c>
      <c r="L556" s="134"/>
    </row>
    <row r="557" spans="1:12" ht="15" customHeight="1" thickBot="1" x14ac:dyDescent="0.25">
      <c r="A557" s="253"/>
      <c r="B557" s="47">
        <f>SUM(C557:D557)</f>
        <v>0</v>
      </c>
      <c r="C557" s="47">
        <f>I557+F557</f>
        <v>0</v>
      </c>
      <c r="D557" s="47">
        <f>J557+G557</f>
        <v>0</v>
      </c>
      <c r="E557" s="47">
        <f>SUM(F557:G557)</f>
        <v>0</v>
      </c>
      <c r="F557" s="47">
        <v>0</v>
      </c>
      <c r="G557" s="47">
        <v>0</v>
      </c>
      <c r="H557" s="47">
        <f>SUM(I557:J557)</f>
        <v>0</v>
      </c>
      <c r="I557" s="47">
        <v>0</v>
      </c>
      <c r="J557" s="47">
        <v>0</v>
      </c>
      <c r="K557" s="188" t="s">
        <v>234</v>
      </c>
      <c r="L557" s="134" t="s">
        <v>475</v>
      </c>
    </row>
    <row r="558" spans="1:12" ht="15" customHeight="1" thickBot="1" x14ac:dyDescent="0.25">
      <c r="A558" s="253"/>
      <c r="B558" s="47">
        <f t="shared" ref="B558:J558" si="180">SUM(B556:B557)</f>
        <v>1859</v>
      </c>
      <c r="C558" s="47">
        <f t="shared" si="180"/>
        <v>1859</v>
      </c>
      <c r="D558" s="47">
        <f t="shared" si="180"/>
        <v>0</v>
      </c>
      <c r="E558" s="47">
        <f t="shared" si="180"/>
        <v>0</v>
      </c>
      <c r="F558" s="47">
        <f t="shared" si="180"/>
        <v>0</v>
      </c>
      <c r="G558" s="47">
        <f t="shared" si="180"/>
        <v>0</v>
      </c>
      <c r="H558" s="47">
        <f t="shared" si="180"/>
        <v>1859</v>
      </c>
      <c r="I558" s="47">
        <f t="shared" si="180"/>
        <v>1859</v>
      </c>
      <c r="J558" s="47">
        <f t="shared" si="180"/>
        <v>0</v>
      </c>
      <c r="K558" s="188" t="s">
        <v>12</v>
      </c>
      <c r="L558" s="239"/>
    </row>
    <row r="559" spans="1:12" ht="15" customHeight="1" thickBot="1" x14ac:dyDescent="0.25">
      <c r="A559" s="253"/>
      <c r="B559" s="47">
        <f>SUM(C559:D559)</f>
        <v>4363</v>
      </c>
      <c r="C559" s="47">
        <f>I559+F559</f>
        <v>4363</v>
      </c>
      <c r="D559" s="47">
        <f>J559+G559</f>
        <v>0</v>
      </c>
      <c r="E559" s="47">
        <f>SUM(F559:G559)</f>
        <v>0</v>
      </c>
      <c r="F559" s="47">
        <v>0</v>
      </c>
      <c r="G559" s="47">
        <v>0</v>
      </c>
      <c r="H559" s="47">
        <f>SUM(I559:J559)</f>
        <v>4363</v>
      </c>
      <c r="I559" s="47">
        <v>4363</v>
      </c>
      <c r="J559" s="47">
        <v>0</v>
      </c>
      <c r="K559" s="188" t="s">
        <v>233</v>
      </c>
      <c r="L559" s="134"/>
    </row>
    <row r="560" spans="1:12" ht="15" customHeight="1" thickBot="1" x14ac:dyDescent="0.25">
      <c r="A560" s="253"/>
      <c r="B560" s="47">
        <f>SUM(C560:D560)</f>
        <v>319</v>
      </c>
      <c r="C560" s="47">
        <f>I560+F560</f>
        <v>319</v>
      </c>
      <c r="D560" s="47">
        <f>J560+G560</f>
        <v>0</v>
      </c>
      <c r="E560" s="47">
        <f>SUM(F560:G560)</f>
        <v>0</v>
      </c>
      <c r="F560" s="47">
        <v>0</v>
      </c>
      <c r="G560" s="47">
        <v>0</v>
      </c>
      <c r="H560" s="47">
        <f>SUM(I560:J560)</f>
        <v>319</v>
      </c>
      <c r="I560" s="47">
        <v>319</v>
      </c>
      <c r="J560" s="47">
        <v>0</v>
      </c>
      <c r="K560" s="188" t="s">
        <v>234</v>
      </c>
      <c r="L560" s="134" t="s">
        <v>481</v>
      </c>
    </row>
    <row r="561" spans="1:12" ht="15" customHeight="1" thickBot="1" x14ac:dyDescent="0.25">
      <c r="A561" s="253"/>
      <c r="B561" s="47">
        <f t="shared" ref="B561:J561" si="181">SUM(B559:B560)</f>
        <v>4682</v>
      </c>
      <c r="C561" s="47">
        <f t="shared" si="181"/>
        <v>4682</v>
      </c>
      <c r="D561" s="47">
        <f t="shared" si="181"/>
        <v>0</v>
      </c>
      <c r="E561" s="47">
        <f t="shared" si="181"/>
        <v>0</v>
      </c>
      <c r="F561" s="47">
        <f t="shared" si="181"/>
        <v>0</v>
      </c>
      <c r="G561" s="47">
        <f t="shared" si="181"/>
        <v>0</v>
      </c>
      <c r="H561" s="47">
        <f t="shared" si="181"/>
        <v>4682</v>
      </c>
      <c r="I561" s="47">
        <f t="shared" si="181"/>
        <v>4682</v>
      </c>
      <c r="J561" s="47">
        <f t="shared" si="181"/>
        <v>0</v>
      </c>
      <c r="K561" s="188" t="s">
        <v>12</v>
      </c>
      <c r="L561" s="239"/>
    </row>
    <row r="562" spans="1:12" ht="15" customHeight="1" thickBot="1" x14ac:dyDescent="0.25">
      <c r="A562" s="253"/>
      <c r="B562" s="47">
        <f>SUM(C562:D562)</f>
        <v>1976</v>
      </c>
      <c r="C562" s="47">
        <f>I562+F562</f>
        <v>1976</v>
      </c>
      <c r="D562" s="47">
        <f>J562+G562</f>
        <v>0</v>
      </c>
      <c r="E562" s="47">
        <f>SUM(F562:G562)</f>
        <v>3</v>
      </c>
      <c r="F562" s="47">
        <v>3</v>
      </c>
      <c r="G562" s="47">
        <v>0</v>
      </c>
      <c r="H562" s="47">
        <f>SUM(I562:J562)</f>
        <v>1973</v>
      </c>
      <c r="I562" s="47">
        <v>1973</v>
      </c>
      <c r="J562" s="47">
        <v>0</v>
      </c>
      <c r="K562" s="188" t="s">
        <v>233</v>
      </c>
      <c r="L562" s="134"/>
    </row>
    <row r="563" spans="1:12" ht="15" customHeight="1" thickBot="1" x14ac:dyDescent="0.25">
      <c r="A563" s="253"/>
      <c r="B563" s="47">
        <f>SUM(C563:D563)</f>
        <v>420</v>
      </c>
      <c r="C563" s="47">
        <f>I563+F563</f>
        <v>420</v>
      </c>
      <c r="D563" s="47">
        <f>J563+G563</f>
        <v>0</v>
      </c>
      <c r="E563" s="47">
        <f>SUM(F563:G563)</f>
        <v>0</v>
      </c>
      <c r="F563" s="47">
        <v>0</v>
      </c>
      <c r="G563" s="47">
        <v>0</v>
      </c>
      <c r="H563" s="47">
        <f>SUM(I563:J563)</f>
        <v>420</v>
      </c>
      <c r="I563" s="47">
        <v>420</v>
      </c>
      <c r="J563" s="47">
        <v>0</v>
      </c>
      <c r="K563" s="188" t="s">
        <v>234</v>
      </c>
      <c r="L563" s="134" t="s">
        <v>477</v>
      </c>
    </row>
    <row r="564" spans="1:12" ht="15" customHeight="1" thickBot="1" x14ac:dyDescent="0.25">
      <c r="A564" s="253"/>
      <c r="B564" s="47">
        <f t="shared" ref="B564:J564" si="182">SUM(B562:B563)</f>
        <v>2396</v>
      </c>
      <c r="C564" s="47">
        <f t="shared" si="182"/>
        <v>2396</v>
      </c>
      <c r="D564" s="47">
        <f t="shared" si="182"/>
        <v>0</v>
      </c>
      <c r="E564" s="47">
        <f t="shared" si="182"/>
        <v>3</v>
      </c>
      <c r="F564" s="47">
        <f t="shared" si="182"/>
        <v>3</v>
      </c>
      <c r="G564" s="47">
        <f t="shared" si="182"/>
        <v>0</v>
      </c>
      <c r="H564" s="47">
        <f t="shared" si="182"/>
        <v>2393</v>
      </c>
      <c r="I564" s="47">
        <f t="shared" si="182"/>
        <v>2393</v>
      </c>
      <c r="J564" s="47">
        <f t="shared" si="182"/>
        <v>0</v>
      </c>
      <c r="K564" s="188" t="s">
        <v>12</v>
      </c>
      <c r="L564" s="239"/>
    </row>
    <row r="565" spans="1:12" ht="15" customHeight="1" thickBot="1" x14ac:dyDescent="0.25">
      <c r="A565" s="253"/>
      <c r="B565" s="47">
        <f>SUM(C565:D565)</f>
        <v>1556</v>
      </c>
      <c r="C565" s="47">
        <f>I565+F565</f>
        <v>1556</v>
      </c>
      <c r="D565" s="47">
        <f>J565+G565</f>
        <v>0</v>
      </c>
      <c r="E565" s="47">
        <f>SUM(F565:G565)</f>
        <v>0</v>
      </c>
      <c r="F565" s="47">
        <v>0</v>
      </c>
      <c r="G565" s="47">
        <v>0</v>
      </c>
      <c r="H565" s="47">
        <f>SUM(I565:J565)</f>
        <v>1556</v>
      </c>
      <c r="I565" s="47">
        <v>1556</v>
      </c>
      <c r="J565" s="47">
        <v>0</v>
      </c>
      <c r="K565" s="188" t="s">
        <v>233</v>
      </c>
      <c r="L565" s="134"/>
    </row>
    <row r="566" spans="1:12" ht="15" customHeight="1" thickBot="1" x14ac:dyDescent="0.25">
      <c r="A566" s="253"/>
      <c r="B566" s="47">
        <f>SUM(C566:D566)</f>
        <v>37</v>
      </c>
      <c r="C566" s="47">
        <f>I566+F566</f>
        <v>37</v>
      </c>
      <c r="D566" s="47">
        <f>J566+G566</f>
        <v>0</v>
      </c>
      <c r="E566" s="47">
        <f>SUM(F566:G566)</f>
        <v>0</v>
      </c>
      <c r="F566" s="47">
        <v>0</v>
      </c>
      <c r="G566" s="47">
        <v>0</v>
      </c>
      <c r="H566" s="47">
        <f>SUM(I566:J566)</f>
        <v>37</v>
      </c>
      <c r="I566" s="47">
        <v>37</v>
      </c>
      <c r="J566" s="47">
        <v>0</v>
      </c>
      <c r="K566" s="188" t="s">
        <v>234</v>
      </c>
      <c r="L566" s="134" t="s">
        <v>478</v>
      </c>
    </row>
    <row r="567" spans="1:12" ht="15" customHeight="1" thickBot="1" x14ac:dyDescent="0.25">
      <c r="A567" s="253"/>
      <c r="B567" s="47">
        <f t="shared" ref="B567:J567" si="183">SUM(B565:B566)</f>
        <v>1593</v>
      </c>
      <c r="C567" s="47">
        <f t="shared" si="183"/>
        <v>1593</v>
      </c>
      <c r="D567" s="47">
        <f t="shared" si="183"/>
        <v>0</v>
      </c>
      <c r="E567" s="47">
        <f t="shared" si="183"/>
        <v>0</v>
      </c>
      <c r="F567" s="47">
        <f t="shared" si="183"/>
        <v>0</v>
      </c>
      <c r="G567" s="47">
        <f t="shared" si="183"/>
        <v>0</v>
      </c>
      <c r="H567" s="47">
        <f t="shared" si="183"/>
        <v>1593</v>
      </c>
      <c r="I567" s="47">
        <f t="shared" si="183"/>
        <v>1593</v>
      </c>
      <c r="J567" s="47">
        <f t="shared" si="183"/>
        <v>0</v>
      </c>
      <c r="K567" s="188" t="s">
        <v>12</v>
      </c>
      <c r="L567" s="239"/>
    </row>
    <row r="568" spans="1:12" ht="15" customHeight="1" thickBot="1" x14ac:dyDescent="0.25">
      <c r="A568" s="253"/>
      <c r="B568" s="47">
        <f>SUM(C568:D568)</f>
        <v>1695</v>
      </c>
      <c r="C568" s="47">
        <f>I568+F568</f>
        <v>215</v>
      </c>
      <c r="D568" s="47">
        <f>J568+G568</f>
        <v>1480</v>
      </c>
      <c r="E568" s="47">
        <f>SUM(F568:G568)</f>
        <v>11</v>
      </c>
      <c r="F568" s="47">
        <v>0</v>
      </c>
      <c r="G568" s="47">
        <v>11</v>
      </c>
      <c r="H568" s="47">
        <f>SUM(I568:J568)</f>
        <v>1684</v>
      </c>
      <c r="I568" s="47">
        <v>215</v>
      </c>
      <c r="J568" s="47">
        <v>1469</v>
      </c>
      <c r="K568" s="188" t="s">
        <v>233</v>
      </c>
      <c r="L568" s="134"/>
    </row>
    <row r="569" spans="1:12" ht="15" customHeight="1" thickBot="1" x14ac:dyDescent="0.25">
      <c r="A569" s="253"/>
      <c r="B569" s="47">
        <f>SUM(C569:D569)</f>
        <v>0</v>
      </c>
      <c r="C569" s="47">
        <f>I569+F569</f>
        <v>0</v>
      </c>
      <c r="D569" s="47">
        <f>J569+G569</f>
        <v>0</v>
      </c>
      <c r="E569" s="47">
        <f>SUM(F569:G569)</f>
        <v>0</v>
      </c>
      <c r="F569" s="47">
        <v>0</v>
      </c>
      <c r="G569" s="47">
        <v>0</v>
      </c>
      <c r="H569" s="47">
        <f>SUM(I569:J569)</f>
        <v>0</v>
      </c>
      <c r="I569" s="47">
        <v>0</v>
      </c>
      <c r="J569" s="47">
        <v>0</v>
      </c>
      <c r="K569" s="188" t="s">
        <v>234</v>
      </c>
      <c r="L569" s="134" t="s">
        <v>424</v>
      </c>
    </row>
    <row r="570" spans="1:12" ht="15" customHeight="1" thickBot="1" x14ac:dyDescent="0.25">
      <c r="A570" s="253"/>
      <c r="B570" s="47">
        <f t="shared" ref="B570:J570" si="184">SUM(B568:B569)</f>
        <v>1695</v>
      </c>
      <c r="C570" s="47">
        <f t="shared" si="184"/>
        <v>215</v>
      </c>
      <c r="D570" s="47">
        <f t="shared" si="184"/>
        <v>1480</v>
      </c>
      <c r="E570" s="47">
        <f t="shared" si="184"/>
        <v>11</v>
      </c>
      <c r="F570" s="47">
        <f t="shared" si="184"/>
        <v>0</v>
      </c>
      <c r="G570" s="47">
        <f t="shared" si="184"/>
        <v>11</v>
      </c>
      <c r="H570" s="47">
        <f t="shared" si="184"/>
        <v>1684</v>
      </c>
      <c r="I570" s="47">
        <f t="shared" si="184"/>
        <v>215</v>
      </c>
      <c r="J570" s="47">
        <f t="shared" si="184"/>
        <v>1469</v>
      </c>
      <c r="K570" s="188" t="s">
        <v>12</v>
      </c>
      <c r="L570" s="239"/>
    </row>
    <row r="571" spans="1:12" ht="15" customHeight="1" thickBot="1" x14ac:dyDescent="0.25">
      <c r="A571" s="253"/>
      <c r="B571" s="47">
        <f>SUM(C571:D571)</f>
        <v>28</v>
      </c>
      <c r="C571" s="47">
        <f>I571+F571</f>
        <v>0</v>
      </c>
      <c r="D571" s="47">
        <f>J571+G571</f>
        <v>28</v>
      </c>
      <c r="E571" s="47">
        <f>SUM(F571:G571)</f>
        <v>0</v>
      </c>
      <c r="F571" s="47">
        <v>0</v>
      </c>
      <c r="G571" s="47">
        <v>0</v>
      </c>
      <c r="H571" s="47">
        <f>SUM(I571:J571)</f>
        <v>28</v>
      </c>
      <c r="I571" s="47">
        <v>0</v>
      </c>
      <c r="J571" s="47">
        <v>28</v>
      </c>
      <c r="K571" s="188" t="s">
        <v>233</v>
      </c>
      <c r="L571" s="134"/>
    </row>
    <row r="572" spans="1:12" ht="15" customHeight="1" thickBot="1" x14ac:dyDescent="0.25">
      <c r="A572" s="253"/>
      <c r="B572" s="47">
        <f>SUM(C572:D572)</f>
        <v>0</v>
      </c>
      <c r="C572" s="47">
        <f>I572+F572</f>
        <v>0</v>
      </c>
      <c r="D572" s="47">
        <f>J572+G572</f>
        <v>0</v>
      </c>
      <c r="E572" s="47">
        <f>SUM(F572:G572)</f>
        <v>0</v>
      </c>
      <c r="F572" s="47">
        <v>0</v>
      </c>
      <c r="G572" s="47">
        <v>0</v>
      </c>
      <c r="H572" s="47">
        <f>SUM(I572:J572)</f>
        <v>0</v>
      </c>
      <c r="I572" s="47">
        <v>0</v>
      </c>
      <c r="J572" s="47">
        <v>0</v>
      </c>
      <c r="K572" s="188" t="s">
        <v>234</v>
      </c>
      <c r="L572" s="134" t="s">
        <v>255</v>
      </c>
    </row>
    <row r="573" spans="1:12" ht="15" customHeight="1" thickBot="1" x14ac:dyDescent="0.25">
      <c r="A573" s="253"/>
      <c r="B573" s="47">
        <f t="shared" ref="B573:J573" si="185">SUM(B571:B572)</f>
        <v>28</v>
      </c>
      <c r="C573" s="47">
        <f t="shared" si="185"/>
        <v>0</v>
      </c>
      <c r="D573" s="47">
        <f t="shared" si="185"/>
        <v>28</v>
      </c>
      <c r="E573" s="47">
        <f t="shared" si="185"/>
        <v>0</v>
      </c>
      <c r="F573" s="47">
        <f t="shared" si="185"/>
        <v>0</v>
      </c>
      <c r="G573" s="47">
        <f t="shared" si="185"/>
        <v>0</v>
      </c>
      <c r="H573" s="47">
        <f t="shared" si="185"/>
        <v>28</v>
      </c>
      <c r="I573" s="47">
        <f t="shared" si="185"/>
        <v>0</v>
      </c>
      <c r="J573" s="47">
        <f t="shared" si="185"/>
        <v>28</v>
      </c>
      <c r="K573" s="188" t="s">
        <v>12</v>
      </c>
      <c r="L573" s="239"/>
    </row>
    <row r="574" spans="1:12" ht="15" customHeight="1" thickBot="1" x14ac:dyDescent="0.25">
      <c r="A574" s="253"/>
      <c r="B574" s="47">
        <f>SUM(C574:D574)</f>
        <v>48</v>
      </c>
      <c r="C574" s="47">
        <f>I574+F574</f>
        <v>0</v>
      </c>
      <c r="D574" s="47">
        <f>J574+G574</f>
        <v>48</v>
      </c>
      <c r="E574" s="47">
        <f>SUM(F574:G574)</f>
        <v>0</v>
      </c>
      <c r="F574" s="47">
        <v>0</v>
      </c>
      <c r="G574" s="47">
        <v>0</v>
      </c>
      <c r="H574" s="47">
        <f>SUM(I574:J574)</f>
        <v>48</v>
      </c>
      <c r="I574" s="47">
        <v>0</v>
      </c>
      <c r="J574" s="47">
        <v>48</v>
      </c>
      <c r="K574" s="188" t="s">
        <v>233</v>
      </c>
      <c r="L574" s="134"/>
    </row>
    <row r="575" spans="1:12" ht="15" customHeight="1" thickBot="1" x14ac:dyDescent="0.25">
      <c r="A575" s="253"/>
      <c r="B575" s="47">
        <f>SUM(C575:D575)</f>
        <v>0</v>
      </c>
      <c r="C575" s="47">
        <f>I575+F575</f>
        <v>0</v>
      </c>
      <c r="D575" s="47">
        <f>J575+G575</f>
        <v>0</v>
      </c>
      <c r="E575" s="47">
        <f>SUM(F575:G575)</f>
        <v>0</v>
      </c>
      <c r="F575" s="47">
        <v>0</v>
      </c>
      <c r="G575" s="47">
        <v>0</v>
      </c>
      <c r="H575" s="47">
        <f>SUM(I575:J575)</f>
        <v>0</v>
      </c>
      <c r="I575" s="47">
        <v>0</v>
      </c>
      <c r="J575" s="47">
        <v>0</v>
      </c>
      <c r="K575" s="188" t="s">
        <v>234</v>
      </c>
      <c r="L575" s="134" t="s">
        <v>348</v>
      </c>
    </row>
    <row r="576" spans="1:12" ht="15" customHeight="1" thickBot="1" x14ac:dyDescent="0.25">
      <c r="A576" s="253"/>
      <c r="B576" s="47">
        <f t="shared" ref="B576:J576" si="186">SUM(B574:B575)</f>
        <v>48</v>
      </c>
      <c r="C576" s="47">
        <f t="shared" si="186"/>
        <v>0</v>
      </c>
      <c r="D576" s="47">
        <f t="shared" si="186"/>
        <v>48</v>
      </c>
      <c r="E576" s="47">
        <f t="shared" si="186"/>
        <v>0</v>
      </c>
      <c r="F576" s="47">
        <f t="shared" si="186"/>
        <v>0</v>
      </c>
      <c r="G576" s="47">
        <f t="shared" si="186"/>
        <v>0</v>
      </c>
      <c r="H576" s="47">
        <f t="shared" si="186"/>
        <v>48</v>
      </c>
      <c r="I576" s="47">
        <f t="shared" si="186"/>
        <v>0</v>
      </c>
      <c r="J576" s="47">
        <f t="shared" si="186"/>
        <v>48</v>
      </c>
      <c r="K576" s="188" t="s">
        <v>12</v>
      </c>
      <c r="L576" s="239"/>
    </row>
    <row r="577" spans="1:12" ht="15" customHeight="1" thickBot="1" x14ac:dyDescent="0.25">
      <c r="A577" s="253"/>
      <c r="B577" s="47">
        <f>SUM(C577:D577)</f>
        <v>2927</v>
      </c>
      <c r="C577" s="47">
        <f>I577+F577</f>
        <v>2927</v>
      </c>
      <c r="D577" s="47">
        <f>J577+G577</f>
        <v>0</v>
      </c>
      <c r="E577" s="47">
        <f>SUM(F577:G577)</f>
        <v>0</v>
      </c>
      <c r="F577" s="47">
        <v>0</v>
      </c>
      <c r="G577" s="47">
        <v>0</v>
      </c>
      <c r="H577" s="47">
        <f>SUM(I577:J577)</f>
        <v>2927</v>
      </c>
      <c r="I577" s="47">
        <v>2927</v>
      </c>
      <c r="J577" s="47">
        <v>0</v>
      </c>
      <c r="K577" s="188" t="s">
        <v>233</v>
      </c>
      <c r="L577" s="134"/>
    </row>
    <row r="578" spans="1:12" ht="15" customHeight="1" thickBot="1" x14ac:dyDescent="0.25">
      <c r="A578" s="253"/>
      <c r="B578" s="47">
        <f>SUM(C578:D578)</f>
        <v>413</v>
      </c>
      <c r="C578" s="47">
        <f>I578+F578</f>
        <v>413</v>
      </c>
      <c r="D578" s="47">
        <f>J578+G578</f>
        <v>0</v>
      </c>
      <c r="E578" s="47">
        <f>SUM(F578:G578)</f>
        <v>0</v>
      </c>
      <c r="F578" s="47">
        <v>0</v>
      </c>
      <c r="G578" s="47">
        <v>0</v>
      </c>
      <c r="H578" s="47">
        <f>SUM(I578:J578)</f>
        <v>413</v>
      </c>
      <c r="I578" s="47">
        <v>413</v>
      </c>
      <c r="J578" s="47">
        <v>0</v>
      </c>
      <c r="K578" s="188" t="s">
        <v>234</v>
      </c>
      <c r="L578" s="134" t="s">
        <v>482</v>
      </c>
    </row>
    <row r="579" spans="1:12" ht="15" customHeight="1" thickBot="1" x14ac:dyDescent="0.25">
      <c r="A579" s="253"/>
      <c r="B579" s="47">
        <f t="shared" ref="B579:J579" si="187">SUM(B577:B578)</f>
        <v>3340</v>
      </c>
      <c r="C579" s="47">
        <f t="shared" si="187"/>
        <v>3340</v>
      </c>
      <c r="D579" s="47">
        <f t="shared" si="187"/>
        <v>0</v>
      </c>
      <c r="E579" s="47">
        <f t="shared" si="187"/>
        <v>0</v>
      </c>
      <c r="F579" s="47">
        <f t="shared" si="187"/>
        <v>0</v>
      </c>
      <c r="G579" s="47">
        <f t="shared" si="187"/>
        <v>0</v>
      </c>
      <c r="H579" s="47">
        <f t="shared" si="187"/>
        <v>3340</v>
      </c>
      <c r="I579" s="47">
        <f t="shared" si="187"/>
        <v>3340</v>
      </c>
      <c r="J579" s="47">
        <f t="shared" si="187"/>
        <v>0</v>
      </c>
      <c r="K579" s="188" t="s">
        <v>12</v>
      </c>
      <c r="L579" s="239"/>
    </row>
    <row r="580" spans="1:12" ht="15" customHeight="1" thickBot="1" x14ac:dyDescent="0.25">
      <c r="A580" s="253"/>
      <c r="B580" s="47">
        <f>SUM(C580:D580)</f>
        <v>1234</v>
      </c>
      <c r="C580" s="47">
        <f>I580+F580</f>
        <v>1234</v>
      </c>
      <c r="D580" s="47">
        <f>J580+G580</f>
        <v>0</v>
      </c>
      <c r="E580" s="47">
        <f>SUM(F580:G580)</f>
        <v>0</v>
      </c>
      <c r="F580" s="47">
        <v>0</v>
      </c>
      <c r="G580" s="47">
        <v>0</v>
      </c>
      <c r="H580" s="47">
        <f>SUM(I580:J580)</f>
        <v>1234</v>
      </c>
      <c r="I580" s="47">
        <v>1234</v>
      </c>
      <c r="J580" s="47">
        <v>0</v>
      </c>
      <c r="K580" s="188" t="s">
        <v>233</v>
      </c>
      <c r="L580" s="134"/>
    </row>
    <row r="581" spans="1:12" ht="15" customHeight="1" thickBot="1" x14ac:dyDescent="0.25">
      <c r="A581" s="253"/>
      <c r="B581" s="47">
        <f>SUM(C581:D581)</f>
        <v>0</v>
      </c>
      <c r="C581" s="47">
        <f>I581+F581</f>
        <v>0</v>
      </c>
      <c r="D581" s="47">
        <f>J581+G581</f>
        <v>0</v>
      </c>
      <c r="E581" s="47">
        <f>SUM(F581:G581)</f>
        <v>0</v>
      </c>
      <c r="F581" s="47">
        <v>0</v>
      </c>
      <c r="G581" s="47">
        <v>0</v>
      </c>
      <c r="H581" s="47">
        <f>SUM(I581:J581)</f>
        <v>0</v>
      </c>
      <c r="I581" s="47">
        <v>0</v>
      </c>
      <c r="J581" s="47">
        <v>0</v>
      </c>
      <c r="K581" s="188" t="s">
        <v>234</v>
      </c>
      <c r="L581" s="134" t="s">
        <v>476</v>
      </c>
    </row>
    <row r="582" spans="1:12" ht="15" customHeight="1" thickBot="1" x14ac:dyDescent="0.25">
      <c r="A582" s="253"/>
      <c r="B582" s="47">
        <f t="shared" ref="B582:J582" si="188">SUM(B580:B581)</f>
        <v>1234</v>
      </c>
      <c r="C582" s="47">
        <f t="shared" si="188"/>
        <v>1234</v>
      </c>
      <c r="D582" s="47">
        <f t="shared" si="188"/>
        <v>0</v>
      </c>
      <c r="E582" s="47">
        <f t="shared" si="188"/>
        <v>0</v>
      </c>
      <c r="F582" s="47">
        <f t="shared" si="188"/>
        <v>0</v>
      </c>
      <c r="G582" s="47">
        <f t="shared" si="188"/>
        <v>0</v>
      </c>
      <c r="H582" s="47">
        <f t="shared" si="188"/>
        <v>1234</v>
      </c>
      <c r="I582" s="47">
        <f t="shared" si="188"/>
        <v>1234</v>
      </c>
      <c r="J582" s="47">
        <f t="shared" si="188"/>
        <v>0</v>
      </c>
      <c r="K582" s="188" t="s">
        <v>12</v>
      </c>
      <c r="L582" s="239"/>
    </row>
    <row r="583" spans="1:12" ht="15" customHeight="1" thickBot="1" x14ac:dyDescent="0.25">
      <c r="A583" s="253"/>
      <c r="B583" s="47">
        <f>SUM(C583:D583)</f>
        <v>1168</v>
      </c>
      <c r="C583" s="47">
        <f>I583+F583</f>
        <v>1168</v>
      </c>
      <c r="D583" s="47">
        <f>J583+G583</f>
        <v>0</v>
      </c>
      <c r="E583" s="47">
        <f>SUM(F583:G583)</f>
        <v>27</v>
      </c>
      <c r="F583" s="47">
        <v>27</v>
      </c>
      <c r="G583" s="47">
        <v>0</v>
      </c>
      <c r="H583" s="47">
        <f>SUM(I583:J583)</f>
        <v>1141</v>
      </c>
      <c r="I583" s="47">
        <v>1141</v>
      </c>
      <c r="J583" s="47">
        <v>0</v>
      </c>
      <c r="K583" s="188" t="s">
        <v>233</v>
      </c>
      <c r="L583" s="134"/>
    </row>
    <row r="584" spans="1:12" ht="15" customHeight="1" thickBot="1" x14ac:dyDescent="0.25">
      <c r="A584" s="253"/>
      <c r="B584" s="47">
        <f>SUM(C584:D584)</f>
        <v>62</v>
      </c>
      <c r="C584" s="47">
        <f>I584+F584</f>
        <v>62</v>
      </c>
      <c r="D584" s="47">
        <f>J584+G584</f>
        <v>0</v>
      </c>
      <c r="E584" s="47">
        <f>SUM(F584:G584)</f>
        <v>0</v>
      </c>
      <c r="F584" s="47">
        <v>0</v>
      </c>
      <c r="G584" s="47">
        <v>0</v>
      </c>
      <c r="H584" s="47">
        <f>SUM(I584:J584)</f>
        <v>62</v>
      </c>
      <c r="I584" s="47">
        <v>62</v>
      </c>
      <c r="J584" s="47">
        <v>0</v>
      </c>
      <c r="K584" s="188" t="s">
        <v>234</v>
      </c>
      <c r="L584" s="134" t="s">
        <v>657</v>
      </c>
    </row>
    <row r="585" spans="1:12" ht="15" customHeight="1" thickBot="1" x14ac:dyDescent="0.25">
      <c r="A585" s="253"/>
      <c r="B585" s="47">
        <f t="shared" ref="B585:J585" si="189">SUM(B583:B584)</f>
        <v>1230</v>
      </c>
      <c r="C585" s="47">
        <f t="shared" si="189"/>
        <v>1230</v>
      </c>
      <c r="D585" s="47">
        <f t="shared" si="189"/>
        <v>0</v>
      </c>
      <c r="E585" s="47">
        <f t="shared" si="189"/>
        <v>27</v>
      </c>
      <c r="F585" s="47">
        <f t="shared" si="189"/>
        <v>27</v>
      </c>
      <c r="G585" s="47">
        <f t="shared" si="189"/>
        <v>0</v>
      </c>
      <c r="H585" s="47">
        <f t="shared" si="189"/>
        <v>1203</v>
      </c>
      <c r="I585" s="47">
        <f t="shared" si="189"/>
        <v>1203</v>
      </c>
      <c r="J585" s="47">
        <f t="shared" si="189"/>
        <v>0</v>
      </c>
      <c r="K585" s="188" t="s">
        <v>12</v>
      </c>
      <c r="L585" s="239"/>
    </row>
    <row r="586" spans="1:12" ht="15" customHeight="1" thickBot="1" x14ac:dyDescent="0.25">
      <c r="A586" s="253"/>
      <c r="B586" s="47">
        <f t="shared" ref="B586:J588" si="190">B520+B523+B526+B529+B532+B535+B538+B541+B544+B547+B550+B553+B556+B559+B562+B565+B568+B571+B574+B577+B580+B583</f>
        <v>36658</v>
      </c>
      <c r="C586" s="47">
        <f t="shared" si="190"/>
        <v>21044</v>
      </c>
      <c r="D586" s="47">
        <f t="shared" si="190"/>
        <v>15614</v>
      </c>
      <c r="E586" s="47">
        <f t="shared" si="190"/>
        <v>143</v>
      </c>
      <c r="F586" s="47">
        <f t="shared" si="190"/>
        <v>51</v>
      </c>
      <c r="G586" s="47">
        <f t="shared" si="190"/>
        <v>92</v>
      </c>
      <c r="H586" s="47">
        <f t="shared" si="190"/>
        <v>36515</v>
      </c>
      <c r="I586" s="47">
        <f t="shared" si="190"/>
        <v>20993</v>
      </c>
      <c r="J586" s="47">
        <f t="shared" si="190"/>
        <v>15522</v>
      </c>
      <c r="K586" s="188" t="s">
        <v>236</v>
      </c>
      <c r="L586" s="131"/>
    </row>
    <row r="587" spans="1:12" ht="15" customHeight="1" thickBot="1" x14ac:dyDescent="0.25">
      <c r="A587" s="253"/>
      <c r="B587" s="47">
        <f t="shared" si="190"/>
        <v>2241</v>
      </c>
      <c r="C587" s="47">
        <f t="shared" si="190"/>
        <v>2224</v>
      </c>
      <c r="D587" s="47">
        <f t="shared" si="190"/>
        <v>17</v>
      </c>
      <c r="E587" s="47">
        <f t="shared" si="190"/>
        <v>0</v>
      </c>
      <c r="F587" s="47">
        <f t="shared" si="190"/>
        <v>0</v>
      </c>
      <c r="G587" s="47">
        <f t="shared" si="190"/>
        <v>0</v>
      </c>
      <c r="H587" s="47">
        <f t="shared" si="190"/>
        <v>2241</v>
      </c>
      <c r="I587" s="47">
        <f t="shared" si="190"/>
        <v>2224</v>
      </c>
      <c r="J587" s="47">
        <f t="shared" si="190"/>
        <v>17</v>
      </c>
      <c r="K587" s="188" t="s">
        <v>237</v>
      </c>
      <c r="L587" s="132" t="s">
        <v>188</v>
      </c>
    </row>
    <row r="588" spans="1:12" ht="15" customHeight="1" thickBot="1" x14ac:dyDescent="0.25">
      <c r="A588" s="253"/>
      <c r="B588" s="47">
        <f t="shared" si="190"/>
        <v>38899</v>
      </c>
      <c r="C588" s="47">
        <f t="shared" si="190"/>
        <v>23268</v>
      </c>
      <c r="D588" s="47">
        <f t="shared" si="190"/>
        <v>15631</v>
      </c>
      <c r="E588" s="47">
        <f t="shared" si="190"/>
        <v>143</v>
      </c>
      <c r="F588" s="47">
        <f t="shared" si="190"/>
        <v>51</v>
      </c>
      <c r="G588" s="47">
        <f t="shared" si="190"/>
        <v>92</v>
      </c>
      <c r="H588" s="47">
        <f t="shared" si="190"/>
        <v>38756</v>
      </c>
      <c r="I588" s="47">
        <f t="shared" si="190"/>
        <v>23217</v>
      </c>
      <c r="J588" s="47">
        <f t="shared" si="190"/>
        <v>15539</v>
      </c>
      <c r="K588" s="188" t="s">
        <v>12</v>
      </c>
      <c r="L588" s="133"/>
    </row>
    <row r="589" spans="1:12" ht="15" customHeight="1" thickBot="1" x14ac:dyDescent="0.25">
      <c r="A589" s="253"/>
      <c r="B589" s="476" t="s">
        <v>4</v>
      </c>
      <c r="C589" s="476"/>
      <c r="D589" s="476"/>
      <c r="E589" s="476" t="s">
        <v>145</v>
      </c>
      <c r="F589" s="476"/>
      <c r="G589" s="476"/>
      <c r="H589" s="476" t="s">
        <v>146</v>
      </c>
      <c r="I589" s="476"/>
      <c r="J589" s="476"/>
      <c r="K589" s="479" t="s">
        <v>66</v>
      </c>
      <c r="L589" s="479"/>
    </row>
    <row r="590" spans="1:12" ht="15" customHeight="1" thickBot="1" x14ac:dyDescent="0.25">
      <c r="A590" s="253"/>
      <c r="B590" s="185" t="s">
        <v>227</v>
      </c>
      <c r="C590" s="185" t="s">
        <v>10</v>
      </c>
      <c r="D590" s="185" t="s">
        <v>9</v>
      </c>
      <c r="E590" s="185" t="s">
        <v>227</v>
      </c>
      <c r="F590" s="185" t="s">
        <v>10</v>
      </c>
      <c r="G590" s="185" t="s">
        <v>9</v>
      </c>
      <c r="H590" s="185" t="s">
        <v>227</v>
      </c>
      <c r="I590" s="185" t="s">
        <v>10</v>
      </c>
      <c r="J590" s="185" t="s">
        <v>9</v>
      </c>
      <c r="K590" s="480" t="s">
        <v>76</v>
      </c>
      <c r="L590" s="480"/>
    </row>
    <row r="591" spans="1:12" ht="15" customHeight="1" thickBot="1" x14ac:dyDescent="0.25">
      <c r="A591" s="253"/>
      <c r="B591" s="47">
        <f t="shared" ref="B591:B622" si="191">SUM(C591:D591)</f>
        <v>906</v>
      </c>
      <c r="C591" s="47">
        <f t="shared" ref="C591:D622" si="192">I591+F591</f>
        <v>0</v>
      </c>
      <c r="D591" s="47">
        <f t="shared" si="192"/>
        <v>906</v>
      </c>
      <c r="E591" s="47">
        <f t="shared" ref="E591:E654" si="193">SUM(F591:G591)</f>
        <v>9</v>
      </c>
      <c r="F591" s="47">
        <v>0</v>
      </c>
      <c r="G591" s="47">
        <v>9</v>
      </c>
      <c r="H591" s="47">
        <f t="shared" ref="H591:H654" si="194">SUM(I591:J591)</f>
        <v>897</v>
      </c>
      <c r="I591" s="47">
        <v>0</v>
      </c>
      <c r="J591" s="47">
        <f>1197-300</f>
        <v>897</v>
      </c>
      <c r="K591" s="188" t="s">
        <v>233</v>
      </c>
      <c r="L591" s="134"/>
    </row>
    <row r="592" spans="1:12" ht="15" customHeight="1" thickBot="1" x14ac:dyDescent="0.25">
      <c r="A592" s="253"/>
      <c r="B592" s="47">
        <f t="shared" si="191"/>
        <v>0</v>
      </c>
      <c r="C592" s="47">
        <f t="shared" si="192"/>
        <v>0</v>
      </c>
      <c r="D592" s="47">
        <f t="shared" si="192"/>
        <v>0</v>
      </c>
      <c r="E592" s="47">
        <f t="shared" si="193"/>
        <v>0</v>
      </c>
      <c r="F592" s="47">
        <v>0</v>
      </c>
      <c r="G592" s="47">
        <v>0</v>
      </c>
      <c r="H592" s="47">
        <f t="shared" si="194"/>
        <v>0</v>
      </c>
      <c r="I592" s="47">
        <v>0</v>
      </c>
      <c r="J592" s="47">
        <v>0</v>
      </c>
      <c r="K592" s="188" t="s">
        <v>234</v>
      </c>
      <c r="L592" s="134" t="s">
        <v>658</v>
      </c>
    </row>
    <row r="593" spans="1:12" ht="15" customHeight="1" thickBot="1" x14ac:dyDescent="0.25">
      <c r="A593" s="253"/>
      <c r="B593" s="47">
        <f t="shared" si="191"/>
        <v>906</v>
      </c>
      <c r="C593" s="47">
        <f t="shared" si="192"/>
        <v>0</v>
      </c>
      <c r="D593" s="47">
        <f t="shared" si="192"/>
        <v>906</v>
      </c>
      <c r="E593" s="47">
        <f t="shared" si="193"/>
        <v>9</v>
      </c>
      <c r="F593" s="47">
        <f>SUM(F591:F592)</f>
        <v>0</v>
      </c>
      <c r="G593" s="47">
        <f>SUM(G591:G592)</f>
        <v>9</v>
      </c>
      <c r="H593" s="47">
        <f t="shared" si="194"/>
        <v>897</v>
      </c>
      <c r="I593" s="47">
        <f>SUM(I591:I592)</f>
        <v>0</v>
      </c>
      <c r="J593" s="47">
        <f>SUM(J591:J592)</f>
        <v>897</v>
      </c>
      <c r="K593" s="188" t="s">
        <v>12</v>
      </c>
      <c r="L593" s="239"/>
    </row>
    <row r="594" spans="1:12" ht="15" customHeight="1" thickBot="1" x14ac:dyDescent="0.25">
      <c r="A594" s="253"/>
      <c r="B594" s="47">
        <f t="shared" si="191"/>
        <v>2376</v>
      </c>
      <c r="C594" s="47">
        <f t="shared" si="192"/>
        <v>1148</v>
      </c>
      <c r="D594" s="47">
        <f t="shared" si="192"/>
        <v>1228</v>
      </c>
      <c r="E594" s="47">
        <f t="shared" si="193"/>
        <v>76</v>
      </c>
      <c r="F594" s="47">
        <v>66</v>
      </c>
      <c r="G594" s="47">
        <f>17-7</f>
        <v>10</v>
      </c>
      <c r="H594" s="47">
        <f t="shared" si="194"/>
        <v>2300</v>
      </c>
      <c r="I594" s="47">
        <f>1782-700</f>
        <v>1082</v>
      </c>
      <c r="J594" s="47">
        <f>1711-500+7</f>
        <v>1218</v>
      </c>
      <c r="K594" s="188" t="s">
        <v>233</v>
      </c>
      <c r="L594" s="134"/>
    </row>
    <row r="595" spans="1:12" ht="15" customHeight="1" thickBot="1" x14ac:dyDescent="0.25">
      <c r="A595" s="253"/>
      <c r="B595" s="47">
        <f t="shared" si="191"/>
        <v>0</v>
      </c>
      <c r="C595" s="47">
        <f t="shared" si="192"/>
        <v>0</v>
      </c>
      <c r="D595" s="47">
        <f t="shared" si="192"/>
        <v>0</v>
      </c>
      <c r="E595" s="47">
        <f t="shared" si="193"/>
        <v>0</v>
      </c>
      <c r="F595" s="47">
        <v>0</v>
      </c>
      <c r="G595" s="47">
        <v>0</v>
      </c>
      <c r="H595" s="47">
        <f t="shared" si="194"/>
        <v>0</v>
      </c>
      <c r="I595" s="47">
        <v>0</v>
      </c>
      <c r="J595" s="47">
        <v>0</v>
      </c>
      <c r="K595" s="188" t="s">
        <v>234</v>
      </c>
      <c r="L595" s="134" t="s">
        <v>367</v>
      </c>
    </row>
    <row r="596" spans="1:12" ht="15" customHeight="1" thickBot="1" x14ac:dyDescent="0.25">
      <c r="A596" s="253"/>
      <c r="B596" s="47">
        <f t="shared" si="191"/>
        <v>2376</v>
      </c>
      <c r="C596" s="47">
        <f t="shared" si="192"/>
        <v>1148</v>
      </c>
      <c r="D596" s="47">
        <f t="shared" si="192"/>
        <v>1228</v>
      </c>
      <c r="E596" s="47">
        <f t="shared" si="193"/>
        <v>76</v>
      </c>
      <c r="F596" s="47">
        <f>SUM(F594:F595)</f>
        <v>66</v>
      </c>
      <c r="G596" s="47">
        <f>SUM(G594:G595)</f>
        <v>10</v>
      </c>
      <c r="H596" s="47">
        <f t="shared" si="194"/>
        <v>2300</v>
      </c>
      <c r="I596" s="47">
        <f>SUM(I594:I595)</f>
        <v>1082</v>
      </c>
      <c r="J596" s="47">
        <f>SUM(J594:J595)</f>
        <v>1218</v>
      </c>
      <c r="K596" s="188" t="s">
        <v>12</v>
      </c>
      <c r="L596" s="239"/>
    </row>
    <row r="597" spans="1:12" ht="15" customHeight="1" thickBot="1" x14ac:dyDescent="0.25">
      <c r="A597" s="253"/>
      <c r="B597" s="47">
        <f t="shared" si="191"/>
        <v>1369</v>
      </c>
      <c r="C597" s="47">
        <f t="shared" si="192"/>
        <v>744</v>
      </c>
      <c r="D597" s="47">
        <f t="shared" si="192"/>
        <v>625</v>
      </c>
      <c r="E597" s="47">
        <f t="shared" si="193"/>
        <v>9</v>
      </c>
      <c r="F597" s="47">
        <v>8</v>
      </c>
      <c r="G597" s="47">
        <v>1</v>
      </c>
      <c r="H597" s="47">
        <f t="shared" si="194"/>
        <v>1360</v>
      </c>
      <c r="I597" s="47">
        <f>1086-350</f>
        <v>736</v>
      </c>
      <c r="J597" s="47">
        <f>924-300</f>
        <v>624</v>
      </c>
      <c r="K597" s="188" t="s">
        <v>233</v>
      </c>
      <c r="L597" s="134"/>
    </row>
    <row r="598" spans="1:12" ht="15" customHeight="1" thickBot="1" x14ac:dyDescent="0.25">
      <c r="A598" s="253"/>
      <c r="B598" s="47">
        <f t="shared" si="191"/>
        <v>0</v>
      </c>
      <c r="C598" s="47">
        <f t="shared" si="192"/>
        <v>0</v>
      </c>
      <c r="D598" s="47">
        <f t="shared" si="192"/>
        <v>0</v>
      </c>
      <c r="E598" s="47">
        <f t="shared" si="193"/>
        <v>0</v>
      </c>
      <c r="F598" s="47">
        <v>0</v>
      </c>
      <c r="G598" s="47">
        <v>0</v>
      </c>
      <c r="H598" s="47">
        <f t="shared" si="194"/>
        <v>0</v>
      </c>
      <c r="I598" s="47">
        <v>0</v>
      </c>
      <c r="J598" s="47">
        <v>0</v>
      </c>
      <c r="K598" s="188" t="s">
        <v>234</v>
      </c>
      <c r="L598" s="134" t="s">
        <v>417</v>
      </c>
    </row>
    <row r="599" spans="1:12" ht="15" customHeight="1" thickBot="1" x14ac:dyDescent="0.25">
      <c r="A599" s="253"/>
      <c r="B599" s="47">
        <f t="shared" si="191"/>
        <v>1369</v>
      </c>
      <c r="C599" s="47">
        <f t="shared" si="192"/>
        <v>744</v>
      </c>
      <c r="D599" s="47">
        <f t="shared" si="192"/>
        <v>625</v>
      </c>
      <c r="E599" s="47">
        <f t="shared" si="193"/>
        <v>9</v>
      </c>
      <c r="F599" s="47">
        <f>SUM(F597:F598)</f>
        <v>8</v>
      </c>
      <c r="G599" s="47">
        <f>SUM(G597:G598)</f>
        <v>1</v>
      </c>
      <c r="H599" s="47">
        <f t="shared" si="194"/>
        <v>1360</v>
      </c>
      <c r="I599" s="47">
        <f>SUM(I597:I598)</f>
        <v>736</v>
      </c>
      <c r="J599" s="47">
        <f>SUM(J597:J598)</f>
        <v>624</v>
      </c>
      <c r="K599" s="188" t="s">
        <v>12</v>
      </c>
      <c r="L599" s="239"/>
    </row>
    <row r="600" spans="1:12" ht="15" customHeight="1" thickBot="1" x14ac:dyDescent="0.25">
      <c r="A600" s="253"/>
      <c r="B600" s="47">
        <f t="shared" si="191"/>
        <v>796</v>
      </c>
      <c r="C600" s="47">
        <f t="shared" si="192"/>
        <v>0</v>
      </c>
      <c r="D600" s="47">
        <f t="shared" si="192"/>
        <v>796</v>
      </c>
      <c r="E600" s="47">
        <f t="shared" si="193"/>
        <v>7</v>
      </c>
      <c r="F600" s="47">
        <v>0</v>
      </c>
      <c r="G600" s="47">
        <v>7</v>
      </c>
      <c r="H600" s="47">
        <f t="shared" si="194"/>
        <v>789</v>
      </c>
      <c r="I600" s="47">
        <v>0</v>
      </c>
      <c r="J600" s="47">
        <f>1189-400</f>
        <v>789</v>
      </c>
      <c r="K600" s="188" t="s">
        <v>233</v>
      </c>
      <c r="L600" s="134"/>
    </row>
    <row r="601" spans="1:12" ht="15" customHeight="1" thickBot="1" x14ac:dyDescent="0.25">
      <c r="A601" s="253"/>
      <c r="B601" s="47">
        <f t="shared" si="191"/>
        <v>0</v>
      </c>
      <c r="C601" s="47">
        <f t="shared" si="192"/>
        <v>0</v>
      </c>
      <c r="D601" s="47">
        <f t="shared" si="192"/>
        <v>0</v>
      </c>
      <c r="E601" s="47">
        <f t="shared" si="193"/>
        <v>0</v>
      </c>
      <c r="F601" s="47">
        <v>0</v>
      </c>
      <c r="G601" s="47">
        <v>0</v>
      </c>
      <c r="H601" s="47">
        <f t="shared" si="194"/>
        <v>0</v>
      </c>
      <c r="I601" s="47">
        <v>0</v>
      </c>
      <c r="J601" s="47">
        <v>0</v>
      </c>
      <c r="K601" s="188" t="s">
        <v>234</v>
      </c>
      <c r="L601" s="134" t="s">
        <v>499</v>
      </c>
    </row>
    <row r="602" spans="1:12" ht="15" customHeight="1" thickBot="1" x14ac:dyDescent="0.25">
      <c r="A602" s="253"/>
      <c r="B602" s="47">
        <f t="shared" si="191"/>
        <v>796</v>
      </c>
      <c r="C602" s="47">
        <f t="shared" si="192"/>
        <v>0</v>
      </c>
      <c r="D602" s="47">
        <f t="shared" si="192"/>
        <v>796</v>
      </c>
      <c r="E602" s="47">
        <f t="shared" si="193"/>
        <v>7</v>
      </c>
      <c r="F602" s="47">
        <f>SUM(F600:F601)</f>
        <v>0</v>
      </c>
      <c r="G602" s="47">
        <f>SUM(G600:G601)</f>
        <v>7</v>
      </c>
      <c r="H602" s="47">
        <f t="shared" si="194"/>
        <v>789</v>
      </c>
      <c r="I602" s="47">
        <f>SUM(I600:I601)</f>
        <v>0</v>
      </c>
      <c r="J602" s="47">
        <f>SUM(J600:J601)</f>
        <v>789</v>
      </c>
      <c r="K602" s="188" t="s">
        <v>12</v>
      </c>
      <c r="L602" s="239"/>
    </row>
    <row r="603" spans="1:12" ht="15" customHeight="1" thickBot="1" x14ac:dyDescent="0.25">
      <c r="A603" s="253"/>
      <c r="B603" s="47">
        <f t="shared" si="191"/>
        <v>2128</v>
      </c>
      <c r="C603" s="47">
        <f t="shared" si="192"/>
        <v>1307</v>
      </c>
      <c r="D603" s="47">
        <f t="shared" si="192"/>
        <v>821</v>
      </c>
      <c r="E603" s="47">
        <f t="shared" si="193"/>
        <v>11</v>
      </c>
      <c r="F603" s="47">
        <v>5</v>
      </c>
      <c r="G603" s="47">
        <v>6</v>
      </c>
      <c r="H603" s="47">
        <f t="shared" si="194"/>
        <v>2117</v>
      </c>
      <c r="I603" s="47">
        <f>2102-800</f>
        <v>1302</v>
      </c>
      <c r="J603" s="47">
        <f>1315-500</f>
        <v>815</v>
      </c>
      <c r="K603" s="188" t="s">
        <v>233</v>
      </c>
      <c r="L603" s="134"/>
    </row>
    <row r="604" spans="1:12" ht="15" customHeight="1" thickBot="1" x14ac:dyDescent="0.25">
      <c r="A604" s="253"/>
      <c r="B604" s="47">
        <f t="shared" si="191"/>
        <v>0</v>
      </c>
      <c r="C604" s="47">
        <f t="shared" si="192"/>
        <v>0</v>
      </c>
      <c r="D604" s="47">
        <f t="shared" si="192"/>
        <v>0</v>
      </c>
      <c r="E604" s="47">
        <f t="shared" si="193"/>
        <v>0</v>
      </c>
      <c r="F604" s="47">
        <v>0</v>
      </c>
      <c r="G604" s="47">
        <v>0</v>
      </c>
      <c r="H604" s="47">
        <f t="shared" si="194"/>
        <v>0</v>
      </c>
      <c r="I604" s="47">
        <v>0</v>
      </c>
      <c r="J604" s="47">
        <v>0</v>
      </c>
      <c r="K604" s="188" t="s">
        <v>234</v>
      </c>
      <c r="L604" s="134" t="s">
        <v>659</v>
      </c>
    </row>
    <row r="605" spans="1:12" ht="15" customHeight="1" thickBot="1" x14ac:dyDescent="0.25">
      <c r="A605" s="253"/>
      <c r="B605" s="47">
        <f t="shared" si="191"/>
        <v>2128</v>
      </c>
      <c r="C605" s="47">
        <f t="shared" si="192"/>
        <v>1307</v>
      </c>
      <c r="D605" s="47">
        <f t="shared" si="192"/>
        <v>821</v>
      </c>
      <c r="E605" s="47">
        <f t="shared" si="193"/>
        <v>11</v>
      </c>
      <c r="F605" s="47">
        <f>SUM(F603:F604)</f>
        <v>5</v>
      </c>
      <c r="G605" s="47">
        <f>SUM(G603:G604)</f>
        <v>6</v>
      </c>
      <c r="H605" s="47">
        <f t="shared" si="194"/>
        <v>2117</v>
      </c>
      <c r="I605" s="47">
        <f>SUM(I603:I604)</f>
        <v>1302</v>
      </c>
      <c r="J605" s="47">
        <f>SUM(J603:J604)</f>
        <v>815</v>
      </c>
      <c r="K605" s="188" t="s">
        <v>12</v>
      </c>
      <c r="L605" s="239"/>
    </row>
    <row r="606" spans="1:12" ht="15" customHeight="1" thickBot="1" x14ac:dyDescent="0.25">
      <c r="A606" s="253"/>
      <c r="B606" s="47">
        <f t="shared" si="191"/>
        <v>321</v>
      </c>
      <c r="C606" s="47">
        <f t="shared" si="192"/>
        <v>0</v>
      </c>
      <c r="D606" s="47">
        <f t="shared" si="192"/>
        <v>321</v>
      </c>
      <c r="E606" s="47">
        <f t="shared" si="193"/>
        <v>0</v>
      </c>
      <c r="F606" s="47">
        <v>0</v>
      </c>
      <c r="G606" s="47">
        <v>0</v>
      </c>
      <c r="H606" s="47">
        <f t="shared" si="194"/>
        <v>321</v>
      </c>
      <c r="I606" s="47">
        <v>0</v>
      </c>
      <c r="J606" s="47">
        <v>321</v>
      </c>
      <c r="K606" s="188" t="s">
        <v>233</v>
      </c>
      <c r="L606" s="134"/>
    </row>
    <row r="607" spans="1:12" ht="15" customHeight="1" thickBot="1" x14ac:dyDescent="0.25">
      <c r="A607" s="253"/>
      <c r="B607" s="47">
        <f t="shared" si="191"/>
        <v>0</v>
      </c>
      <c r="C607" s="47">
        <f t="shared" si="192"/>
        <v>0</v>
      </c>
      <c r="D607" s="47">
        <f t="shared" si="192"/>
        <v>0</v>
      </c>
      <c r="E607" s="47">
        <f t="shared" si="193"/>
        <v>0</v>
      </c>
      <c r="F607" s="47">
        <v>0</v>
      </c>
      <c r="G607" s="47">
        <v>0</v>
      </c>
      <c r="H607" s="47">
        <f t="shared" si="194"/>
        <v>0</v>
      </c>
      <c r="I607" s="47">
        <v>0</v>
      </c>
      <c r="J607" s="47">
        <v>0</v>
      </c>
      <c r="K607" s="188" t="s">
        <v>234</v>
      </c>
      <c r="L607" s="134" t="s">
        <v>454</v>
      </c>
    </row>
    <row r="608" spans="1:12" ht="15" customHeight="1" thickBot="1" x14ac:dyDescent="0.25">
      <c r="A608" s="253"/>
      <c r="B608" s="47">
        <f t="shared" si="191"/>
        <v>321</v>
      </c>
      <c r="C608" s="47">
        <f t="shared" si="192"/>
        <v>0</v>
      </c>
      <c r="D608" s="47">
        <f t="shared" si="192"/>
        <v>321</v>
      </c>
      <c r="E608" s="47">
        <f t="shared" si="193"/>
        <v>0</v>
      </c>
      <c r="F608" s="47">
        <f>SUM(F606:F607)</f>
        <v>0</v>
      </c>
      <c r="G608" s="47">
        <f>SUM(G606:G607)</f>
        <v>0</v>
      </c>
      <c r="H608" s="47">
        <f t="shared" si="194"/>
        <v>321</v>
      </c>
      <c r="I608" s="47">
        <f>SUM(I606:I607)</f>
        <v>0</v>
      </c>
      <c r="J608" s="47">
        <f>SUM(J606:J607)</f>
        <v>321</v>
      </c>
      <c r="K608" s="188" t="s">
        <v>12</v>
      </c>
      <c r="L608" s="239"/>
    </row>
    <row r="609" spans="1:12" ht="15" customHeight="1" thickBot="1" x14ac:dyDescent="0.25">
      <c r="A609" s="253"/>
      <c r="B609" s="47">
        <f t="shared" si="191"/>
        <v>2116</v>
      </c>
      <c r="C609" s="47">
        <f t="shared" si="192"/>
        <v>2116</v>
      </c>
      <c r="D609" s="47">
        <f t="shared" si="192"/>
        <v>0</v>
      </c>
      <c r="E609" s="47">
        <f t="shared" si="193"/>
        <v>0</v>
      </c>
      <c r="F609" s="47">
        <v>0</v>
      </c>
      <c r="G609" s="47">
        <v>0</v>
      </c>
      <c r="H609" s="47">
        <f t="shared" si="194"/>
        <v>2116</v>
      </c>
      <c r="I609" s="47">
        <f>3216-1100</f>
        <v>2116</v>
      </c>
      <c r="J609" s="47">
        <v>0</v>
      </c>
      <c r="K609" s="188" t="s">
        <v>233</v>
      </c>
      <c r="L609" s="134"/>
    </row>
    <row r="610" spans="1:12" ht="15" customHeight="1" thickBot="1" x14ac:dyDescent="0.25">
      <c r="A610" s="253"/>
      <c r="B610" s="47">
        <f t="shared" si="191"/>
        <v>186</v>
      </c>
      <c r="C610" s="47">
        <f t="shared" si="192"/>
        <v>186</v>
      </c>
      <c r="D610" s="47">
        <f t="shared" si="192"/>
        <v>0</v>
      </c>
      <c r="E610" s="47">
        <f t="shared" si="193"/>
        <v>0</v>
      </c>
      <c r="F610" s="47">
        <v>0</v>
      </c>
      <c r="G610" s="47">
        <v>0</v>
      </c>
      <c r="H610" s="47">
        <f t="shared" si="194"/>
        <v>186</v>
      </c>
      <c r="I610" s="47">
        <v>186</v>
      </c>
      <c r="J610" s="47">
        <v>0</v>
      </c>
      <c r="K610" s="188" t="s">
        <v>234</v>
      </c>
      <c r="L610" s="134" t="s">
        <v>484</v>
      </c>
    </row>
    <row r="611" spans="1:12" ht="15" customHeight="1" thickBot="1" x14ac:dyDescent="0.25">
      <c r="A611" s="253"/>
      <c r="B611" s="47">
        <f t="shared" si="191"/>
        <v>2302</v>
      </c>
      <c r="C611" s="47">
        <f t="shared" si="192"/>
        <v>2302</v>
      </c>
      <c r="D611" s="47">
        <f t="shared" si="192"/>
        <v>0</v>
      </c>
      <c r="E611" s="47">
        <f t="shared" si="193"/>
        <v>0</v>
      </c>
      <c r="F611" s="47">
        <f>SUM(F609:F610)</f>
        <v>0</v>
      </c>
      <c r="G611" s="47">
        <f>SUM(G609:G610)</f>
        <v>0</v>
      </c>
      <c r="H611" s="47">
        <f t="shared" si="194"/>
        <v>2302</v>
      </c>
      <c r="I611" s="47">
        <f>SUM(I609:I610)</f>
        <v>2302</v>
      </c>
      <c r="J611" s="47">
        <f>SUM(J609:J610)</f>
        <v>0</v>
      </c>
      <c r="K611" s="188" t="s">
        <v>12</v>
      </c>
      <c r="L611" s="239"/>
    </row>
    <row r="612" spans="1:12" ht="15" customHeight="1" thickBot="1" x14ac:dyDescent="0.25">
      <c r="A612" s="253"/>
      <c r="B612" s="47">
        <f t="shared" si="191"/>
        <v>2425</v>
      </c>
      <c r="C612" s="47">
        <f t="shared" si="192"/>
        <v>2425</v>
      </c>
      <c r="D612" s="47">
        <f t="shared" si="192"/>
        <v>0</v>
      </c>
      <c r="E612" s="47">
        <f t="shared" si="193"/>
        <v>6</v>
      </c>
      <c r="F612" s="47">
        <v>6</v>
      </c>
      <c r="G612" s="47">
        <v>0</v>
      </c>
      <c r="H612" s="47">
        <f t="shared" si="194"/>
        <v>2419</v>
      </c>
      <c r="I612" s="47">
        <f>3819-1400</f>
        <v>2419</v>
      </c>
      <c r="J612" s="47">
        <v>0</v>
      </c>
      <c r="K612" s="188" t="s">
        <v>233</v>
      </c>
      <c r="L612" s="134"/>
    </row>
    <row r="613" spans="1:12" ht="15" customHeight="1" thickBot="1" x14ac:dyDescent="0.25">
      <c r="A613" s="253"/>
      <c r="B613" s="47">
        <f t="shared" si="191"/>
        <v>4240</v>
      </c>
      <c r="C613" s="47">
        <f t="shared" si="192"/>
        <v>4240</v>
      </c>
      <c r="D613" s="47">
        <f t="shared" si="192"/>
        <v>0</v>
      </c>
      <c r="E613" s="47">
        <f t="shared" si="193"/>
        <v>7</v>
      </c>
      <c r="F613" s="47">
        <v>7</v>
      </c>
      <c r="G613" s="47">
        <v>0</v>
      </c>
      <c r="H613" s="47">
        <f t="shared" si="194"/>
        <v>4233</v>
      </c>
      <c r="I613" s="47">
        <f>7579-3346</f>
        <v>4233</v>
      </c>
      <c r="J613" s="47">
        <v>0</v>
      </c>
      <c r="K613" s="188" t="s">
        <v>234</v>
      </c>
      <c r="L613" s="134" t="s">
        <v>485</v>
      </c>
    </row>
    <row r="614" spans="1:12" ht="15" customHeight="1" thickBot="1" x14ac:dyDescent="0.25">
      <c r="A614" s="253"/>
      <c r="B614" s="47">
        <f t="shared" si="191"/>
        <v>6665</v>
      </c>
      <c r="C614" s="47">
        <f t="shared" si="192"/>
        <v>6665</v>
      </c>
      <c r="D614" s="47">
        <f t="shared" si="192"/>
        <v>0</v>
      </c>
      <c r="E614" s="47">
        <f t="shared" si="193"/>
        <v>13</v>
      </c>
      <c r="F614" s="47">
        <f>SUM(F612:F613)</f>
        <v>13</v>
      </c>
      <c r="G614" s="47">
        <f>SUM(G612:G613)</f>
        <v>0</v>
      </c>
      <c r="H614" s="47">
        <f t="shared" si="194"/>
        <v>6652</v>
      </c>
      <c r="I614" s="47">
        <f>SUM(I612:I613)</f>
        <v>6652</v>
      </c>
      <c r="J614" s="47">
        <f>SUM(J612:J613)</f>
        <v>0</v>
      </c>
      <c r="K614" s="188" t="s">
        <v>12</v>
      </c>
      <c r="L614" s="239"/>
    </row>
    <row r="615" spans="1:12" ht="15" customHeight="1" thickBot="1" x14ac:dyDescent="0.25">
      <c r="A615" s="253"/>
      <c r="B615" s="47">
        <f t="shared" si="191"/>
        <v>1146</v>
      </c>
      <c r="C615" s="47">
        <f t="shared" si="192"/>
        <v>1146</v>
      </c>
      <c r="D615" s="47">
        <f t="shared" si="192"/>
        <v>0</v>
      </c>
      <c r="E615" s="47">
        <f t="shared" si="193"/>
        <v>8</v>
      </c>
      <c r="F615" s="47">
        <v>8</v>
      </c>
      <c r="G615" s="47">
        <v>0</v>
      </c>
      <c r="H615" s="47">
        <f t="shared" si="194"/>
        <v>1138</v>
      </c>
      <c r="I615" s="47">
        <f>1938-800</f>
        <v>1138</v>
      </c>
      <c r="J615" s="47">
        <v>0</v>
      </c>
      <c r="K615" s="188" t="s">
        <v>233</v>
      </c>
      <c r="L615" s="134"/>
    </row>
    <row r="616" spans="1:12" ht="15" customHeight="1" thickBot="1" x14ac:dyDescent="0.25">
      <c r="A616" s="253"/>
      <c r="B616" s="47">
        <f t="shared" si="191"/>
        <v>0</v>
      </c>
      <c r="C616" s="47">
        <f t="shared" si="192"/>
        <v>0</v>
      </c>
      <c r="D616" s="47">
        <f t="shared" si="192"/>
        <v>0</v>
      </c>
      <c r="E616" s="47">
        <f t="shared" si="193"/>
        <v>0</v>
      </c>
      <c r="F616" s="47">
        <v>0</v>
      </c>
      <c r="G616" s="47">
        <v>0</v>
      </c>
      <c r="H616" s="47">
        <f t="shared" si="194"/>
        <v>0</v>
      </c>
      <c r="I616" s="47">
        <v>0</v>
      </c>
      <c r="J616" s="47">
        <v>0</v>
      </c>
      <c r="K616" s="188" t="s">
        <v>234</v>
      </c>
      <c r="L616" s="134" t="s">
        <v>486</v>
      </c>
    </row>
    <row r="617" spans="1:12" ht="15" customHeight="1" thickBot="1" x14ac:dyDescent="0.25">
      <c r="A617" s="253"/>
      <c r="B617" s="47">
        <f t="shared" si="191"/>
        <v>1146</v>
      </c>
      <c r="C617" s="47">
        <f t="shared" si="192"/>
        <v>1146</v>
      </c>
      <c r="D617" s="47">
        <f t="shared" si="192"/>
        <v>0</v>
      </c>
      <c r="E617" s="47">
        <f t="shared" si="193"/>
        <v>8</v>
      </c>
      <c r="F617" s="47">
        <f>SUM(F615:F616)</f>
        <v>8</v>
      </c>
      <c r="G617" s="47">
        <f>SUM(G615:G616)</f>
        <v>0</v>
      </c>
      <c r="H617" s="47">
        <f t="shared" si="194"/>
        <v>1138</v>
      </c>
      <c r="I617" s="47">
        <f>SUM(I615:I616)</f>
        <v>1138</v>
      </c>
      <c r="J617" s="47">
        <f>SUM(J615:J616)</f>
        <v>0</v>
      </c>
      <c r="K617" s="188" t="s">
        <v>12</v>
      </c>
      <c r="L617" s="239"/>
    </row>
    <row r="618" spans="1:12" ht="15" customHeight="1" thickBot="1" x14ac:dyDescent="0.25">
      <c r="A618" s="253"/>
      <c r="B618" s="47">
        <f t="shared" si="191"/>
        <v>3676</v>
      </c>
      <c r="C618" s="47">
        <f t="shared" si="192"/>
        <v>3676</v>
      </c>
      <c r="D618" s="47">
        <f t="shared" si="192"/>
        <v>0</v>
      </c>
      <c r="E618" s="47">
        <f t="shared" si="193"/>
        <v>0</v>
      </c>
      <c r="F618" s="47">
        <v>0</v>
      </c>
      <c r="G618" s="47">
        <v>0</v>
      </c>
      <c r="H618" s="47">
        <f t="shared" si="194"/>
        <v>3676</v>
      </c>
      <c r="I618" s="47">
        <f>3876-200</f>
        <v>3676</v>
      </c>
      <c r="J618" s="47">
        <v>0</v>
      </c>
      <c r="K618" s="188" t="s">
        <v>233</v>
      </c>
      <c r="L618" s="134"/>
    </row>
    <row r="619" spans="1:12" ht="15" customHeight="1" thickBot="1" x14ac:dyDescent="0.25">
      <c r="A619" s="253"/>
      <c r="B619" s="47">
        <f t="shared" si="191"/>
        <v>1084</v>
      </c>
      <c r="C619" s="47">
        <f t="shared" si="192"/>
        <v>1084</v>
      </c>
      <c r="D619" s="47">
        <f t="shared" si="192"/>
        <v>0</v>
      </c>
      <c r="E619" s="47">
        <f t="shared" si="193"/>
        <v>0</v>
      </c>
      <c r="F619" s="47">
        <v>0</v>
      </c>
      <c r="G619" s="47">
        <v>0</v>
      </c>
      <c r="H619" s="47">
        <f t="shared" si="194"/>
        <v>1084</v>
      </c>
      <c r="I619" s="47">
        <v>1084</v>
      </c>
      <c r="J619" s="47">
        <v>0</v>
      </c>
      <c r="K619" s="188" t="s">
        <v>234</v>
      </c>
      <c r="L619" s="134" t="s">
        <v>487</v>
      </c>
    </row>
    <row r="620" spans="1:12" ht="15" customHeight="1" thickBot="1" x14ac:dyDescent="0.25">
      <c r="A620" s="253"/>
      <c r="B620" s="47">
        <f t="shared" si="191"/>
        <v>4760</v>
      </c>
      <c r="C620" s="47">
        <f t="shared" si="192"/>
        <v>4760</v>
      </c>
      <c r="D620" s="47">
        <f t="shared" si="192"/>
        <v>0</v>
      </c>
      <c r="E620" s="47">
        <f t="shared" si="193"/>
        <v>0</v>
      </c>
      <c r="F620" s="47">
        <f>SUM(F618:F619)</f>
        <v>0</v>
      </c>
      <c r="G620" s="47">
        <f>SUM(G618:G619)</f>
        <v>0</v>
      </c>
      <c r="H620" s="47">
        <f t="shared" si="194"/>
        <v>4760</v>
      </c>
      <c r="I620" s="47">
        <f>SUM(I618:I619)</f>
        <v>4760</v>
      </c>
      <c r="J620" s="47">
        <f>SUM(J618:J619)</f>
        <v>0</v>
      </c>
      <c r="K620" s="188" t="s">
        <v>12</v>
      </c>
      <c r="L620" s="239"/>
    </row>
    <row r="621" spans="1:12" ht="15" customHeight="1" thickBot="1" x14ac:dyDescent="0.25">
      <c r="A621" s="253"/>
      <c r="B621" s="47">
        <f t="shared" si="191"/>
        <v>58</v>
      </c>
      <c r="C621" s="47">
        <f t="shared" si="192"/>
        <v>0</v>
      </c>
      <c r="D621" s="47">
        <f t="shared" si="192"/>
        <v>58</v>
      </c>
      <c r="E621" s="47">
        <f t="shared" si="193"/>
        <v>0</v>
      </c>
      <c r="F621" s="47">
        <v>0</v>
      </c>
      <c r="G621" s="47">
        <v>0</v>
      </c>
      <c r="H621" s="47">
        <f t="shared" si="194"/>
        <v>58</v>
      </c>
      <c r="I621" s="47">
        <v>0</v>
      </c>
      <c r="J621" s="47">
        <v>58</v>
      </c>
      <c r="K621" s="188" t="s">
        <v>233</v>
      </c>
      <c r="L621" s="134"/>
    </row>
    <row r="622" spans="1:12" ht="15" customHeight="1" thickBot="1" x14ac:dyDescent="0.25">
      <c r="A622" s="253"/>
      <c r="B622" s="47">
        <f t="shared" si="191"/>
        <v>0</v>
      </c>
      <c r="C622" s="47">
        <f t="shared" si="192"/>
        <v>0</v>
      </c>
      <c r="D622" s="47">
        <f t="shared" si="192"/>
        <v>0</v>
      </c>
      <c r="E622" s="47">
        <f t="shared" si="193"/>
        <v>0</v>
      </c>
      <c r="F622" s="47">
        <v>0</v>
      </c>
      <c r="G622" s="47">
        <v>0</v>
      </c>
      <c r="H622" s="47">
        <f t="shared" si="194"/>
        <v>0</v>
      </c>
      <c r="I622" s="47">
        <v>0</v>
      </c>
      <c r="J622" s="47">
        <v>0</v>
      </c>
      <c r="K622" s="188" t="s">
        <v>234</v>
      </c>
      <c r="L622" s="134" t="s">
        <v>488</v>
      </c>
    </row>
    <row r="623" spans="1:12" ht="15" customHeight="1" thickBot="1" x14ac:dyDescent="0.25">
      <c r="A623" s="253"/>
      <c r="B623" s="47">
        <f t="shared" ref="B623:B659" si="195">SUM(C623:D623)</f>
        <v>58</v>
      </c>
      <c r="C623" s="47">
        <f t="shared" ref="C623:D659" si="196">I623+F623</f>
        <v>0</v>
      </c>
      <c r="D623" s="47">
        <f t="shared" si="196"/>
        <v>58</v>
      </c>
      <c r="E623" s="47">
        <f t="shared" si="193"/>
        <v>0</v>
      </c>
      <c r="F623" s="47">
        <f>SUM(F621:F622)</f>
        <v>0</v>
      </c>
      <c r="G623" s="47">
        <f>SUM(G621:G622)</f>
        <v>0</v>
      </c>
      <c r="H623" s="47">
        <f t="shared" si="194"/>
        <v>58</v>
      </c>
      <c r="I623" s="47">
        <f>SUM(I621:I622)</f>
        <v>0</v>
      </c>
      <c r="J623" s="47">
        <f>SUM(J621:J622)</f>
        <v>58</v>
      </c>
      <c r="K623" s="188" t="s">
        <v>12</v>
      </c>
      <c r="L623" s="239"/>
    </row>
    <row r="624" spans="1:12" ht="15" customHeight="1" thickBot="1" x14ac:dyDescent="0.25">
      <c r="A624" s="253"/>
      <c r="B624" s="47">
        <f t="shared" si="195"/>
        <v>520</v>
      </c>
      <c r="C624" s="47">
        <f t="shared" si="196"/>
        <v>0</v>
      </c>
      <c r="D624" s="47">
        <f t="shared" si="196"/>
        <v>520</v>
      </c>
      <c r="E624" s="47">
        <f t="shared" si="193"/>
        <v>0</v>
      </c>
      <c r="F624" s="47">
        <v>0</v>
      </c>
      <c r="G624" s="47">
        <v>0</v>
      </c>
      <c r="H624" s="47">
        <f t="shared" si="194"/>
        <v>520</v>
      </c>
      <c r="I624" s="47">
        <v>0</v>
      </c>
      <c r="J624" s="47">
        <v>520</v>
      </c>
      <c r="K624" s="188" t="s">
        <v>233</v>
      </c>
      <c r="L624" s="134"/>
    </row>
    <row r="625" spans="1:12" ht="15" customHeight="1" thickBot="1" x14ac:dyDescent="0.25">
      <c r="A625" s="253"/>
      <c r="B625" s="47">
        <f t="shared" si="195"/>
        <v>0</v>
      </c>
      <c r="C625" s="47">
        <f t="shared" si="196"/>
        <v>0</v>
      </c>
      <c r="D625" s="47">
        <f t="shared" si="196"/>
        <v>0</v>
      </c>
      <c r="E625" s="47">
        <f t="shared" si="193"/>
        <v>0</v>
      </c>
      <c r="F625" s="47">
        <v>0</v>
      </c>
      <c r="G625" s="47">
        <v>0</v>
      </c>
      <c r="H625" s="47">
        <f t="shared" si="194"/>
        <v>0</v>
      </c>
      <c r="I625" s="47">
        <v>0</v>
      </c>
      <c r="J625" s="47">
        <v>0</v>
      </c>
      <c r="K625" s="188" t="s">
        <v>234</v>
      </c>
      <c r="L625" s="134" t="s">
        <v>660</v>
      </c>
    </row>
    <row r="626" spans="1:12" ht="15" customHeight="1" thickBot="1" x14ac:dyDescent="0.25">
      <c r="A626" s="253"/>
      <c r="B626" s="47">
        <f t="shared" si="195"/>
        <v>520</v>
      </c>
      <c r="C626" s="47">
        <f t="shared" si="196"/>
        <v>0</v>
      </c>
      <c r="D626" s="47">
        <f t="shared" si="196"/>
        <v>520</v>
      </c>
      <c r="E626" s="47">
        <f t="shared" si="193"/>
        <v>0</v>
      </c>
      <c r="F626" s="47">
        <f>SUM(F624:F625)</f>
        <v>0</v>
      </c>
      <c r="G626" s="47">
        <f>SUM(G624:G625)</f>
        <v>0</v>
      </c>
      <c r="H626" s="47">
        <f t="shared" si="194"/>
        <v>520</v>
      </c>
      <c r="I626" s="47">
        <f>SUM(I624:I625)</f>
        <v>0</v>
      </c>
      <c r="J626" s="47">
        <f>SUM(J624:J625)</f>
        <v>520</v>
      </c>
      <c r="K626" s="188" t="s">
        <v>12</v>
      </c>
      <c r="L626" s="239"/>
    </row>
    <row r="627" spans="1:12" ht="15" customHeight="1" thickBot="1" x14ac:dyDescent="0.25">
      <c r="A627" s="253"/>
      <c r="B627" s="47">
        <f t="shared" si="195"/>
        <v>667</v>
      </c>
      <c r="C627" s="47">
        <f t="shared" si="196"/>
        <v>667</v>
      </c>
      <c r="D627" s="47">
        <f t="shared" si="196"/>
        <v>0</v>
      </c>
      <c r="E627" s="47">
        <f t="shared" si="193"/>
        <v>3</v>
      </c>
      <c r="F627" s="47">
        <v>3</v>
      </c>
      <c r="G627" s="47">
        <v>0</v>
      </c>
      <c r="H627" s="47">
        <f t="shared" si="194"/>
        <v>664</v>
      </c>
      <c r="I627" s="47">
        <v>664</v>
      </c>
      <c r="J627" s="47">
        <v>0</v>
      </c>
      <c r="K627" s="188" t="s">
        <v>233</v>
      </c>
      <c r="L627" s="134"/>
    </row>
    <row r="628" spans="1:12" ht="15" customHeight="1" thickBot="1" x14ac:dyDescent="0.25">
      <c r="A628" s="253"/>
      <c r="B628" s="47">
        <f t="shared" si="195"/>
        <v>0</v>
      </c>
      <c r="C628" s="47">
        <f t="shared" si="196"/>
        <v>0</v>
      </c>
      <c r="D628" s="47">
        <f t="shared" si="196"/>
        <v>0</v>
      </c>
      <c r="E628" s="47">
        <f t="shared" si="193"/>
        <v>0</v>
      </c>
      <c r="F628" s="47">
        <v>0</v>
      </c>
      <c r="G628" s="47">
        <v>0</v>
      </c>
      <c r="H628" s="47">
        <f t="shared" si="194"/>
        <v>0</v>
      </c>
      <c r="I628" s="47">
        <v>0</v>
      </c>
      <c r="J628" s="47">
        <v>0</v>
      </c>
      <c r="K628" s="188" t="s">
        <v>234</v>
      </c>
      <c r="L628" s="134" t="s">
        <v>490</v>
      </c>
    </row>
    <row r="629" spans="1:12" ht="15" customHeight="1" thickBot="1" x14ac:dyDescent="0.25">
      <c r="A629" s="253"/>
      <c r="B629" s="47">
        <f t="shared" si="195"/>
        <v>667</v>
      </c>
      <c r="C629" s="47">
        <f t="shared" si="196"/>
        <v>667</v>
      </c>
      <c r="D629" s="47">
        <f t="shared" si="196"/>
        <v>0</v>
      </c>
      <c r="E629" s="47">
        <f t="shared" si="193"/>
        <v>3</v>
      </c>
      <c r="F629" s="47">
        <f>SUM(F627:F628)</f>
        <v>3</v>
      </c>
      <c r="G629" s="47">
        <f>SUM(G627:G628)</f>
        <v>0</v>
      </c>
      <c r="H629" s="47">
        <f t="shared" si="194"/>
        <v>664</v>
      </c>
      <c r="I629" s="47">
        <f>SUM(I627:I628)</f>
        <v>664</v>
      </c>
      <c r="J629" s="47">
        <f>SUM(J627:J628)</f>
        <v>0</v>
      </c>
      <c r="K629" s="188" t="s">
        <v>12</v>
      </c>
      <c r="L629" s="239"/>
    </row>
    <row r="630" spans="1:12" ht="15" customHeight="1" thickBot="1" x14ac:dyDescent="0.25">
      <c r="A630" s="253"/>
      <c r="B630" s="47">
        <f t="shared" si="195"/>
        <v>378</v>
      </c>
      <c r="C630" s="47">
        <f t="shared" si="196"/>
        <v>378</v>
      </c>
      <c r="D630" s="47">
        <f t="shared" si="196"/>
        <v>0</v>
      </c>
      <c r="E630" s="47">
        <f t="shared" si="193"/>
        <v>0</v>
      </c>
      <c r="F630" s="47">
        <v>0</v>
      </c>
      <c r="G630" s="47">
        <v>0</v>
      </c>
      <c r="H630" s="47">
        <f t="shared" si="194"/>
        <v>378</v>
      </c>
      <c r="I630" s="47">
        <v>378</v>
      </c>
      <c r="J630" s="47">
        <v>0</v>
      </c>
      <c r="K630" s="188" t="s">
        <v>233</v>
      </c>
      <c r="L630" s="134"/>
    </row>
    <row r="631" spans="1:12" ht="15" customHeight="1" thickBot="1" x14ac:dyDescent="0.25">
      <c r="A631" s="253"/>
      <c r="B631" s="47">
        <f t="shared" si="195"/>
        <v>0</v>
      </c>
      <c r="C631" s="47">
        <f t="shared" si="196"/>
        <v>0</v>
      </c>
      <c r="D631" s="47">
        <f t="shared" si="196"/>
        <v>0</v>
      </c>
      <c r="E631" s="47">
        <f t="shared" si="193"/>
        <v>0</v>
      </c>
      <c r="F631" s="47">
        <v>0</v>
      </c>
      <c r="G631" s="47">
        <v>0</v>
      </c>
      <c r="H631" s="47">
        <f t="shared" si="194"/>
        <v>0</v>
      </c>
      <c r="I631" s="47">
        <v>0</v>
      </c>
      <c r="J631" s="47">
        <v>0</v>
      </c>
      <c r="K631" s="188" t="s">
        <v>234</v>
      </c>
      <c r="L631" s="134" t="s">
        <v>491</v>
      </c>
    </row>
    <row r="632" spans="1:12" ht="15" customHeight="1" thickBot="1" x14ac:dyDescent="0.25">
      <c r="A632" s="253"/>
      <c r="B632" s="47">
        <f t="shared" si="195"/>
        <v>378</v>
      </c>
      <c r="C632" s="47">
        <f t="shared" si="196"/>
        <v>378</v>
      </c>
      <c r="D632" s="47">
        <f t="shared" si="196"/>
        <v>0</v>
      </c>
      <c r="E632" s="47">
        <f t="shared" si="193"/>
        <v>0</v>
      </c>
      <c r="F632" s="47">
        <f>SUM(F630:F631)</f>
        <v>0</v>
      </c>
      <c r="G632" s="47">
        <f>SUM(G630:G631)</f>
        <v>0</v>
      </c>
      <c r="H632" s="47">
        <f t="shared" si="194"/>
        <v>378</v>
      </c>
      <c r="I632" s="47">
        <f>SUM(I630:I631)</f>
        <v>378</v>
      </c>
      <c r="J632" s="47">
        <f>SUM(J630:J631)</f>
        <v>0</v>
      </c>
      <c r="K632" s="188" t="s">
        <v>12</v>
      </c>
      <c r="L632" s="239"/>
    </row>
    <row r="633" spans="1:12" ht="15" customHeight="1" thickBot="1" x14ac:dyDescent="0.25">
      <c r="A633" s="253"/>
      <c r="B633" s="47">
        <f t="shared" si="195"/>
        <v>152</v>
      </c>
      <c r="C633" s="47">
        <f t="shared" si="196"/>
        <v>152</v>
      </c>
      <c r="D633" s="47">
        <f t="shared" si="196"/>
        <v>0</v>
      </c>
      <c r="E633" s="47">
        <f t="shared" si="193"/>
        <v>5</v>
      </c>
      <c r="F633" s="47">
        <v>5</v>
      </c>
      <c r="G633" s="47">
        <v>0</v>
      </c>
      <c r="H633" s="47">
        <f t="shared" si="194"/>
        <v>147</v>
      </c>
      <c r="I633" s="47">
        <v>147</v>
      </c>
      <c r="J633" s="47">
        <v>0</v>
      </c>
      <c r="K633" s="188" t="s">
        <v>233</v>
      </c>
      <c r="L633" s="134"/>
    </row>
    <row r="634" spans="1:12" ht="15" customHeight="1" thickBot="1" x14ac:dyDescent="0.25">
      <c r="A634" s="253"/>
      <c r="B634" s="47">
        <f t="shared" si="195"/>
        <v>0</v>
      </c>
      <c r="C634" s="47">
        <f t="shared" si="196"/>
        <v>0</v>
      </c>
      <c r="D634" s="47">
        <f t="shared" si="196"/>
        <v>0</v>
      </c>
      <c r="E634" s="47">
        <f t="shared" si="193"/>
        <v>0</v>
      </c>
      <c r="F634" s="47">
        <v>0</v>
      </c>
      <c r="G634" s="47">
        <v>0</v>
      </c>
      <c r="H634" s="47">
        <f t="shared" si="194"/>
        <v>0</v>
      </c>
      <c r="I634" s="47">
        <v>0</v>
      </c>
      <c r="J634" s="47">
        <v>0</v>
      </c>
      <c r="K634" s="188" t="s">
        <v>234</v>
      </c>
      <c r="L634" s="134" t="s">
        <v>103</v>
      </c>
    </row>
    <row r="635" spans="1:12" ht="15" customHeight="1" thickBot="1" x14ac:dyDescent="0.25">
      <c r="A635" s="253"/>
      <c r="B635" s="47">
        <f t="shared" si="195"/>
        <v>152</v>
      </c>
      <c r="C635" s="47">
        <f t="shared" si="196"/>
        <v>152</v>
      </c>
      <c r="D635" s="47">
        <f t="shared" si="196"/>
        <v>0</v>
      </c>
      <c r="E635" s="47">
        <f t="shared" si="193"/>
        <v>5</v>
      </c>
      <c r="F635" s="47">
        <f>SUM(F633:F634)</f>
        <v>5</v>
      </c>
      <c r="G635" s="47">
        <f>SUM(G633:G634)</f>
        <v>0</v>
      </c>
      <c r="H635" s="47">
        <f t="shared" si="194"/>
        <v>147</v>
      </c>
      <c r="I635" s="47">
        <f>SUM(I633:I634)</f>
        <v>147</v>
      </c>
      <c r="J635" s="47">
        <f>SUM(J633:J634)</f>
        <v>0</v>
      </c>
      <c r="K635" s="188" t="s">
        <v>12</v>
      </c>
      <c r="L635" s="239"/>
    </row>
    <row r="636" spans="1:12" ht="15" customHeight="1" thickBot="1" x14ac:dyDescent="0.25">
      <c r="A636" s="253"/>
      <c r="B636" s="47">
        <f t="shared" si="195"/>
        <v>3462</v>
      </c>
      <c r="C636" s="47">
        <f t="shared" si="196"/>
        <v>2536</v>
      </c>
      <c r="D636" s="47">
        <f t="shared" si="196"/>
        <v>926</v>
      </c>
      <c r="E636" s="47">
        <f t="shared" si="193"/>
        <v>73</v>
      </c>
      <c r="F636" s="47">
        <v>54</v>
      </c>
      <c r="G636" s="47">
        <f>30-11</f>
        <v>19</v>
      </c>
      <c r="H636" s="47">
        <f t="shared" si="194"/>
        <v>3389</v>
      </c>
      <c r="I636" s="47">
        <v>2482</v>
      </c>
      <c r="J636" s="47">
        <f>1396-500+11</f>
        <v>907</v>
      </c>
      <c r="K636" s="188" t="s">
        <v>233</v>
      </c>
      <c r="L636" s="134"/>
    </row>
    <row r="637" spans="1:12" ht="15" customHeight="1" thickBot="1" x14ac:dyDescent="0.25">
      <c r="A637" s="253"/>
      <c r="B637" s="47">
        <f t="shared" si="195"/>
        <v>0</v>
      </c>
      <c r="C637" s="47">
        <f t="shared" si="196"/>
        <v>0</v>
      </c>
      <c r="D637" s="47">
        <f t="shared" si="196"/>
        <v>0</v>
      </c>
      <c r="E637" s="47">
        <f t="shared" si="193"/>
        <v>0</v>
      </c>
      <c r="F637" s="47">
        <v>0</v>
      </c>
      <c r="G637" s="47">
        <v>0</v>
      </c>
      <c r="H637" s="47">
        <f t="shared" si="194"/>
        <v>0</v>
      </c>
      <c r="I637" s="47">
        <v>0</v>
      </c>
      <c r="J637" s="47">
        <v>0</v>
      </c>
      <c r="K637" s="188" t="s">
        <v>234</v>
      </c>
      <c r="L637" s="134" t="s">
        <v>492</v>
      </c>
    </row>
    <row r="638" spans="1:12" ht="15" customHeight="1" thickBot="1" x14ac:dyDescent="0.25">
      <c r="A638" s="253"/>
      <c r="B638" s="47">
        <f t="shared" si="195"/>
        <v>3462</v>
      </c>
      <c r="C638" s="47">
        <f t="shared" si="196"/>
        <v>2536</v>
      </c>
      <c r="D638" s="47">
        <f t="shared" si="196"/>
        <v>926</v>
      </c>
      <c r="E638" s="47">
        <f t="shared" si="193"/>
        <v>73</v>
      </c>
      <c r="F638" s="47">
        <f>SUM(F636:F637)</f>
        <v>54</v>
      </c>
      <c r="G638" s="47">
        <f>SUM(G636:G637)</f>
        <v>19</v>
      </c>
      <c r="H638" s="47">
        <f t="shared" si="194"/>
        <v>3389</v>
      </c>
      <c r="I638" s="47">
        <f>SUM(I636:I637)</f>
        <v>2482</v>
      </c>
      <c r="J638" s="47">
        <f>SUM(J636:J637)</f>
        <v>907</v>
      </c>
      <c r="K638" s="188" t="s">
        <v>12</v>
      </c>
      <c r="L638" s="239"/>
    </row>
    <row r="639" spans="1:12" ht="15" customHeight="1" thickBot="1" x14ac:dyDescent="0.25">
      <c r="A639" s="253"/>
      <c r="B639" s="47">
        <f t="shared" si="195"/>
        <v>26</v>
      </c>
      <c r="C639" s="47">
        <f t="shared" si="196"/>
        <v>0</v>
      </c>
      <c r="D639" s="47">
        <f t="shared" si="196"/>
        <v>26</v>
      </c>
      <c r="E639" s="47">
        <f t="shared" si="193"/>
        <v>0</v>
      </c>
      <c r="F639" s="47">
        <v>0</v>
      </c>
      <c r="G639" s="47">
        <v>0</v>
      </c>
      <c r="H639" s="47">
        <f t="shared" si="194"/>
        <v>26</v>
      </c>
      <c r="I639" s="47">
        <v>0</v>
      </c>
      <c r="J639" s="47">
        <v>26</v>
      </c>
      <c r="K639" s="188" t="s">
        <v>233</v>
      </c>
      <c r="L639" s="134"/>
    </row>
    <row r="640" spans="1:12" ht="15" customHeight="1" thickBot="1" x14ac:dyDescent="0.25">
      <c r="A640" s="253"/>
      <c r="B640" s="47">
        <f t="shared" si="195"/>
        <v>0</v>
      </c>
      <c r="C640" s="47">
        <f t="shared" si="196"/>
        <v>0</v>
      </c>
      <c r="D640" s="47">
        <f t="shared" si="196"/>
        <v>0</v>
      </c>
      <c r="E640" s="47">
        <f t="shared" si="193"/>
        <v>0</v>
      </c>
      <c r="F640" s="47">
        <v>0</v>
      </c>
      <c r="G640" s="47">
        <v>0</v>
      </c>
      <c r="H640" s="47">
        <f t="shared" si="194"/>
        <v>0</v>
      </c>
      <c r="I640" s="47">
        <v>0</v>
      </c>
      <c r="J640" s="47">
        <v>0</v>
      </c>
      <c r="K640" s="188" t="s">
        <v>234</v>
      </c>
      <c r="L640" s="134" t="s">
        <v>348</v>
      </c>
    </row>
    <row r="641" spans="1:12" ht="15" customHeight="1" thickBot="1" x14ac:dyDescent="0.25">
      <c r="A641" s="253"/>
      <c r="B641" s="47">
        <f t="shared" si="195"/>
        <v>26</v>
      </c>
      <c r="C641" s="47">
        <f t="shared" si="196"/>
        <v>0</v>
      </c>
      <c r="D641" s="47">
        <f t="shared" si="196"/>
        <v>26</v>
      </c>
      <c r="E641" s="47">
        <f t="shared" si="193"/>
        <v>0</v>
      </c>
      <c r="F641" s="47">
        <f>SUM(F639:F640)</f>
        <v>0</v>
      </c>
      <c r="G641" s="47">
        <f>SUM(G639:G640)</f>
        <v>0</v>
      </c>
      <c r="H641" s="47">
        <f t="shared" si="194"/>
        <v>26</v>
      </c>
      <c r="I641" s="47">
        <f>SUM(I639:I640)</f>
        <v>0</v>
      </c>
      <c r="J641" s="47">
        <f>SUM(J639:J640)</f>
        <v>26</v>
      </c>
      <c r="K641" s="188" t="s">
        <v>12</v>
      </c>
      <c r="L641" s="239"/>
    </row>
    <row r="642" spans="1:12" ht="15" customHeight="1" thickBot="1" x14ac:dyDescent="0.25">
      <c r="A642" s="253"/>
      <c r="B642" s="47">
        <f t="shared" si="195"/>
        <v>1276</v>
      </c>
      <c r="C642" s="47">
        <f t="shared" si="196"/>
        <v>558</v>
      </c>
      <c r="D642" s="47">
        <f t="shared" si="196"/>
        <v>718</v>
      </c>
      <c r="E642" s="47">
        <f t="shared" si="193"/>
        <v>12</v>
      </c>
      <c r="F642" s="47">
        <v>4</v>
      </c>
      <c r="G642" s="47">
        <v>8</v>
      </c>
      <c r="H642" s="47">
        <f t="shared" si="194"/>
        <v>1264</v>
      </c>
      <c r="I642" s="47">
        <v>554</v>
      </c>
      <c r="J642" s="47">
        <f>1010-300</f>
        <v>710</v>
      </c>
      <c r="K642" s="188" t="s">
        <v>233</v>
      </c>
      <c r="L642" s="134"/>
    </row>
    <row r="643" spans="1:12" ht="15" customHeight="1" thickBot="1" x14ac:dyDescent="0.25">
      <c r="A643" s="253"/>
      <c r="B643" s="47">
        <f t="shared" si="195"/>
        <v>0</v>
      </c>
      <c r="C643" s="47">
        <f t="shared" si="196"/>
        <v>0</v>
      </c>
      <c r="D643" s="47">
        <f t="shared" si="196"/>
        <v>0</v>
      </c>
      <c r="E643" s="47">
        <f t="shared" si="193"/>
        <v>0</v>
      </c>
      <c r="F643" s="47">
        <v>0</v>
      </c>
      <c r="G643" s="47">
        <v>0</v>
      </c>
      <c r="H643" s="47">
        <f t="shared" si="194"/>
        <v>0</v>
      </c>
      <c r="I643" s="47">
        <v>0</v>
      </c>
      <c r="J643" s="47">
        <v>0</v>
      </c>
      <c r="K643" s="188" t="s">
        <v>234</v>
      </c>
      <c r="L643" s="134" t="s">
        <v>493</v>
      </c>
    </row>
    <row r="644" spans="1:12" ht="15" customHeight="1" thickBot="1" x14ac:dyDescent="0.25">
      <c r="A644" s="253"/>
      <c r="B644" s="47">
        <f t="shared" si="195"/>
        <v>1276</v>
      </c>
      <c r="C644" s="47">
        <f t="shared" si="196"/>
        <v>558</v>
      </c>
      <c r="D644" s="47">
        <f t="shared" si="196"/>
        <v>718</v>
      </c>
      <c r="E644" s="47">
        <f t="shared" si="193"/>
        <v>12</v>
      </c>
      <c r="F644" s="47">
        <f>SUM(F642:F643)</f>
        <v>4</v>
      </c>
      <c r="G644" s="47">
        <f>SUM(G642:G643)</f>
        <v>8</v>
      </c>
      <c r="H644" s="47">
        <f t="shared" si="194"/>
        <v>1264</v>
      </c>
      <c r="I644" s="47">
        <f>SUM(I642:I643)</f>
        <v>554</v>
      </c>
      <c r="J644" s="47">
        <f>SUM(J642:J643)</f>
        <v>710</v>
      </c>
      <c r="K644" s="188" t="s">
        <v>12</v>
      </c>
      <c r="L644" s="239"/>
    </row>
    <row r="645" spans="1:12" ht="15" customHeight="1" thickBot="1" x14ac:dyDescent="0.25">
      <c r="A645" s="253"/>
      <c r="B645" s="47">
        <f t="shared" si="195"/>
        <v>2666</v>
      </c>
      <c r="C645" s="47">
        <f t="shared" si="196"/>
        <v>1276</v>
      </c>
      <c r="D645" s="47">
        <f t="shared" si="196"/>
        <v>1390</v>
      </c>
      <c r="E645" s="47">
        <f t="shared" si="193"/>
        <v>14</v>
      </c>
      <c r="F645" s="47">
        <v>11</v>
      </c>
      <c r="G645" s="47">
        <v>3</v>
      </c>
      <c r="H645" s="47">
        <f t="shared" si="194"/>
        <v>2652</v>
      </c>
      <c r="I645" s="47">
        <v>1265</v>
      </c>
      <c r="J645" s="47">
        <f>2087-700</f>
        <v>1387</v>
      </c>
      <c r="K645" s="188" t="s">
        <v>233</v>
      </c>
      <c r="L645" s="134"/>
    </row>
    <row r="646" spans="1:12" ht="15" customHeight="1" thickBot="1" x14ac:dyDescent="0.25">
      <c r="A646" s="253"/>
      <c r="B646" s="47">
        <f t="shared" si="195"/>
        <v>2984</v>
      </c>
      <c r="C646" s="47">
        <f t="shared" si="196"/>
        <v>819</v>
      </c>
      <c r="D646" s="47">
        <f t="shared" si="196"/>
        <v>2165</v>
      </c>
      <c r="E646" s="47">
        <f t="shared" si="193"/>
        <v>89</v>
      </c>
      <c r="F646" s="47">
        <v>63</v>
      </c>
      <c r="G646" s="47">
        <f>37-11</f>
        <v>26</v>
      </c>
      <c r="H646" s="47">
        <f t="shared" si="194"/>
        <v>2895</v>
      </c>
      <c r="I646" s="47">
        <v>756</v>
      </c>
      <c r="J646" s="47">
        <f>8302-6174+11</f>
        <v>2139</v>
      </c>
      <c r="K646" s="188" t="s">
        <v>234</v>
      </c>
      <c r="L646" s="134" t="s">
        <v>189</v>
      </c>
    </row>
    <row r="647" spans="1:12" ht="15" customHeight="1" thickBot="1" x14ac:dyDescent="0.25">
      <c r="A647" s="253"/>
      <c r="B647" s="47">
        <f t="shared" si="195"/>
        <v>5650</v>
      </c>
      <c r="C647" s="47">
        <f t="shared" si="196"/>
        <v>2095</v>
      </c>
      <c r="D647" s="47">
        <f t="shared" si="196"/>
        <v>3555</v>
      </c>
      <c r="E647" s="47">
        <f t="shared" si="193"/>
        <v>103</v>
      </c>
      <c r="F647" s="47">
        <f>SUM(F645:F646)</f>
        <v>74</v>
      </c>
      <c r="G647" s="47">
        <f>SUM(G645:G646)</f>
        <v>29</v>
      </c>
      <c r="H647" s="47">
        <f t="shared" si="194"/>
        <v>5547</v>
      </c>
      <c r="I647" s="47">
        <f>SUM(I645:I646)</f>
        <v>2021</v>
      </c>
      <c r="J647" s="47">
        <f>SUM(J645:J646)</f>
        <v>3526</v>
      </c>
      <c r="K647" s="188" t="s">
        <v>12</v>
      </c>
      <c r="L647" s="239"/>
    </row>
    <row r="648" spans="1:12" ht="15" customHeight="1" thickBot="1" x14ac:dyDescent="0.25">
      <c r="A648" s="253"/>
      <c r="B648" s="47">
        <f t="shared" si="195"/>
        <v>25</v>
      </c>
      <c r="C648" s="47">
        <f t="shared" si="196"/>
        <v>0</v>
      </c>
      <c r="D648" s="47">
        <f t="shared" si="196"/>
        <v>25</v>
      </c>
      <c r="E648" s="47">
        <f t="shared" si="193"/>
        <v>0</v>
      </c>
      <c r="F648" s="47">
        <v>0</v>
      </c>
      <c r="G648" s="47">
        <v>0</v>
      </c>
      <c r="H648" s="47">
        <f t="shared" si="194"/>
        <v>25</v>
      </c>
      <c r="I648" s="47">
        <v>0</v>
      </c>
      <c r="J648" s="47">
        <v>25</v>
      </c>
      <c r="K648" s="188" t="s">
        <v>233</v>
      </c>
      <c r="L648" s="134"/>
    </row>
    <row r="649" spans="1:12" ht="15" customHeight="1" thickBot="1" x14ac:dyDescent="0.25">
      <c r="A649" s="253"/>
      <c r="B649" s="47">
        <f t="shared" si="195"/>
        <v>0</v>
      </c>
      <c r="C649" s="47">
        <f t="shared" si="196"/>
        <v>0</v>
      </c>
      <c r="D649" s="47">
        <f t="shared" si="196"/>
        <v>0</v>
      </c>
      <c r="E649" s="47">
        <f t="shared" si="193"/>
        <v>0</v>
      </c>
      <c r="F649" s="47">
        <v>0</v>
      </c>
      <c r="G649" s="47">
        <v>0</v>
      </c>
      <c r="H649" s="47">
        <f t="shared" si="194"/>
        <v>0</v>
      </c>
      <c r="I649" s="47">
        <v>0</v>
      </c>
      <c r="J649" s="47">
        <v>0</v>
      </c>
      <c r="K649" s="188" t="s">
        <v>234</v>
      </c>
      <c r="L649" s="134" t="s">
        <v>255</v>
      </c>
    </row>
    <row r="650" spans="1:12" ht="15" customHeight="1" thickBot="1" x14ac:dyDescent="0.25">
      <c r="A650" s="253"/>
      <c r="B650" s="47">
        <f t="shared" si="195"/>
        <v>25</v>
      </c>
      <c r="C650" s="47">
        <f t="shared" si="196"/>
        <v>0</v>
      </c>
      <c r="D650" s="47">
        <f t="shared" si="196"/>
        <v>25</v>
      </c>
      <c r="E650" s="47">
        <f t="shared" si="193"/>
        <v>0</v>
      </c>
      <c r="F650" s="47">
        <f>SUM(F648:F649)</f>
        <v>0</v>
      </c>
      <c r="G650" s="47">
        <f>SUM(G648:G649)</f>
        <v>0</v>
      </c>
      <c r="H650" s="47">
        <f t="shared" si="194"/>
        <v>25</v>
      </c>
      <c r="I650" s="47">
        <f>SUM(I648:I649)</f>
        <v>0</v>
      </c>
      <c r="J650" s="47">
        <f>SUM(J648:J649)</f>
        <v>25</v>
      </c>
      <c r="K650" s="188" t="s">
        <v>12</v>
      </c>
      <c r="L650" s="239"/>
    </row>
    <row r="651" spans="1:12" ht="15" customHeight="1" thickBot="1" x14ac:dyDescent="0.25">
      <c r="A651" s="253"/>
      <c r="B651" s="47">
        <f t="shared" si="195"/>
        <v>199</v>
      </c>
      <c r="C651" s="47">
        <f t="shared" si="196"/>
        <v>199</v>
      </c>
      <c r="D651" s="47">
        <f t="shared" si="196"/>
        <v>0</v>
      </c>
      <c r="E651" s="47">
        <f t="shared" si="193"/>
        <v>0</v>
      </c>
      <c r="F651" s="47">
        <v>0</v>
      </c>
      <c r="G651" s="47">
        <v>0</v>
      </c>
      <c r="H651" s="47">
        <f t="shared" si="194"/>
        <v>199</v>
      </c>
      <c r="I651" s="47">
        <v>199</v>
      </c>
      <c r="J651" s="47">
        <v>0</v>
      </c>
      <c r="K651" s="188" t="s">
        <v>233</v>
      </c>
      <c r="L651" s="134"/>
    </row>
    <row r="652" spans="1:12" ht="15" customHeight="1" thickBot="1" x14ac:dyDescent="0.25">
      <c r="A652" s="253"/>
      <c r="B652" s="47">
        <f t="shared" si="195"/>
        <v>0</v>
      </c>
      <c r="C652" s="47">
        <f t="shared" si="196"/>
        <v>0</v>
      </c>
      <c r="D652" s="47">
        <f t="shared" si="196"/>
        <v>0</v>
      </c>
      <c r="E652" s="47">
        <f t="shared" si="193"/>
        <v>0</v>
      </c>
      <c r="F652" s="47">
        <v>0</v>
      </c>
      <c r="G652" s="47">
        <v>0</v>
      </c>
      <c r="H652" s="47">
        <f t="shared" si="194"/>
        <v>0</v>
      </c>
      <c r="I652" s="47">
        <v>0</v>
      </c>
      <c r="J652" s="47">
        <v>0</v>
      </c>
      <c r="K652" s="188" t="s">
        <v>234</v>
      </c>
      <c r="L652" s="134" t="s">
        <v>494</v>
      </c>
    </row>
    <row r="653" spans="1:12" ht="15" customHeight="1" thickBot="1" x14ac:dyDescent="0.25">
      <c r="A653" s="253"/>
      <c r="B653" s="47">
        <f t="shared" si="195"/>
        <v>199</v>
      </c>
      <c r="C653" s="47">
        <f t="shared" si="196"/>
        <v>199</v>
      </c>
      <c r="D653" s="47">
        <f t="shared" si="196"/>
        <v>0</v>
      </c>
      <c r="E653" s="47">
        <f t="shared" si="193"/>
        <v>0</v>
      </c>
      <c r="F653" s="47">
        <f>SUM(F651:F652)</f>
        <v>0</v>
      </c>
      <c r="G653" s="47">
        <f>SUM(G651:G652)</f>
        <v>0</v>
      </c>
      <c r="H653" s="47">
        <f t="shared" si="194"/>
        <v>199</v>
      </c>
      <c r="I653" s="47">
        <f>SUM(I651:I652)</f>
        <v>199</v>
      </c>
      <c r="J653" s="47">
        <f>SUM(J651:J652)</f>
        <v>0</v>
      </c>
      <c r="K653" s="188" t="s">
        <v>12</v>
      </c>
      <c r="L653" s="239"/>
    </row>
    <row r="654" spans="1:12" ht="15" customHeight="1" thickBot="1" x14ac:dyDescent="0.25">
      <c r="A654" s="253"/>
      <c r="B654" s="47">
        <f t="shared" si="195"/>
        <v>75</v>
      </c>
      <c r="C654" s="47">
        <f t="shared" si="196"/>
        <v>75</v>
      </c>
      <c r="D654" s="47">
        <f t="shared" si="196"/>
        <v>0</v>
      </c>
      <c r="E654" s="47">
        <f t="shared" si="193"/>
        <v>0</v>
      </c>
      <c r="F654" s="47">
        <v>0</v>
      </c>
      <c r="G654" s="47">
        <v>0</v>
      </c>
      <c r="H654" s="47">
        <f t="shared" si="194"/>
        <v>75</v>
      </c>
      <c r="I654" s="47">
        <v>75</v>
      </c>
      <c r="J654" s="47">
        <v>0</v>
      </c>
      <c r="K654" s="188" t="s">
        <v>233</v>
      </c>
      <c r="L654" s="134"/>
    </row>
    <row r="655" spans="1:12" ht="15" customHeight="1" thickBot="1" x14ac:dyDescent="0.25">
      <c r="A655" s="253"/>
      <c r="B655" s="47">
        <f t="shared" si="195"/>
        <v>0</v>
      </c>
      <c r="C655" s="47">
        <f t="shared" si="196"/>
        <v>0</v>
      </c>
      <c r="D655" s="47">
        <f t="shared" si="196"/>
        <v>0</v>
      </c>
      <c r="E655" s="47">
        <f t="shared" ref="E655:E659" si="197">SUM(F655:G655)</f>
        <v>0</v>
      </c>
      <c r="F655" s="47">
        <v>0</v>
      </c>
      <c r="G655" s="47">
        <v>0</v>
      </c>
      <c r="H655" s="47">
        <f t="shared" ref="H655:H659" si="198">SUM(I655:J655)</f>
        <v>0</v>
      </c>
      <c r="I655" s="47">
        <v>0</v>
      </c>
      <c r="J655" s="47">
        <v>0</v>
      </c>
      <c r="K655" s="188" t="s">
        <v>234</v>
      </c>
      <c r="L655" s="134" t="s">
        <v>378</v>
      </c>
    </row>
    <row r="656" spans="1:12" ht="15" customHeight="1" thickBot="1" x14ac:dyDescent="0.25">
      <c r="A656" s="253"/>
      <c r="B656" s="47">
        <f t="shared" si="195"/>
        <v>75</v>
      </c>
      <c r="C656" s="47">
        <f t="shared" si="196"/>
        <v>75</v>
      </c>
      <c r="D656" s="47">
        <f t="shared" si="196"/>
        <v>0</v>
      </c>
      <c r="E656" s="47">
        <f t="shared" si="197"/>
        <v>0</v>
      </c>
      <c r="F656" s="47">
        <f>SUM(F654:F655)</f>
        <v>0</v>
      </c>
      <c r="G656" s="47">
        <f>SUM(G654:G655)</f>
        <v>0</v>
      </c>
      <c r="H656" s="47">
        <f t="shared" si="198"/>
        <v>75</v>
      </c>
      <c r="I656" s="47">
        <f>SUM(I654:I655)</f>
        <v>75</v>
      </c>
      <c r="J656" s="47">
        <f>SUM(J654:J655)</f>
        <v>0</v>
      </c>
      <c r="K656" s="188" t="s">
        <v>12</v>
      </c>
      <c r="L656" s="239"/>
    </row>
    <row r="657" spans="1:12" ht="15" customHeight="1" thickBot="1" x14ac:dyDescent="0.25">
      <c r="A657" s="253"/>
      <c r="B657" s="47">
        <f t="shared" si="195"/>
        <v>4703</v>
      </c>
      <c r="C657" s="47">
        <f t="shared" si="196"/>
        <v>4703</v>
      </c>
      <c r="D657" s="47">
        <f t="shared" si="196"/>
        <v>0</v>
      </c>
      <c r="E657" s="47">
        <f t="shared" si="197"/>
        <v>11</v>
      </c>
      <c r="F657" s="47">
        <v>11</v>
      </c>
      <c r="G657" s="47">
        <v>0</v>
      </c>
      <c r="H657" s="47">
        <f t="shared" si="198"/>
        <v>4692</v>
      </c>
      <c r="I657" s="47">
        <v>4692</v>
      </c>
      <c r="J657" s="47">
        <v>0</v>
      </c>
      <c r="K657" s="188" t="s">
        <v>233</v>
      </c>
      <c r="L657" s="134"/>
    </row>
    <row r="658" spans="1:12" ht="15" customHeight="1" thickBot="1" x14ac:dyDescent="0.25">
      <c r="A658" s="253"/>
      <c r="B658" s="47">
        <f t="shared" si="195"/>
        <v>928</v>
      </c>
      <c r="C658" s="47">
        <f t="shared" si="196"/>
        <v>928</v>
      </c>
      <c r="D658" s="47">
        <f t="shared" si="196"/>
        <v>0</v>
      </c>
      <c r="E658" s="47">
        <f t="shared" si="197"/>
        <v>8</v>
      </c>
      <c r="F658" s="47">
        <v>8</v>
      </c>
      <c r="G658" s="47">
        <v>0</v>
      </c>
      <c r="H658" s="47">
        <f t="shared" si="198"/>
        <v>920</v>
      </c>
      <c r="I658" s="47">
        <v>920</v>
      </c>
      <c r="J658" s="47">
        <v>0</v>
      </c>
      <c r="K658" s="188" t="s">
        <v>234</v>
      </c>
      <c r="L658" s="134" t="s">
        <v>495</v>
      </c>
    </row>
    <row r="659" spans="1:12" ht="15" customHeight="1" thickBot="1" x14ac:dyDescent="0.25">
      <c r="A659" s="253"/>
      <c r="B659" s="47">
        <f t="shared" si="195"/>
        <v>5631</v>
      </c>
      <c r="C659" s="47">
        <f t="shared" si="196"/>
        <v>5631</v>
      </c>
      <c r="D659" s="47">
        <f t="shared" si="196"/>
        <v>0</v>
      </c>
      <c r="E659" s="47">
        <f t="shared" si="197"/>
        <v>19</v>
      </c>
      <c r="F659" s="47">
        <f>SUM(F657:F658)</f>
        <v>19</v>
      </c>
      <c r="G659" s="47">
        <f>SUM(G657:G658)</f>
        <v>0</v>
      </c>
      <c r="H659" s="47">
        <f t="shared" si="198"/>
        <v>5612</v>
      </c>
      <c r="I659" s="47">
        <f>SUM(I657:I658)</f>
        <v>5612</v>
      </c>
      <c r="J659" s="47">
        <f>SUM(J657:J658)</f>
        <v>0</v>
      </c>
      <c r="K659" s="188" t="s">
        <v>12</v>
      </c>
      <c r="L659" s="239"/>
    </row>
    <row r="660" spans="1:12" ht="15" customHeight="1" thickBot="1" x14ac:dyDescent="0.25">
      <c r="A660" s="253"/>
      <c r="B660" s="47">
        <f t="shared" ref="B660:J662" si="199">B591+B594+B597+B600+B603+B606+B609+B612+B615+B618+B621+B624+B627+B630+B633+B636+B639+B642+B645+B648+B651+B654+B657</f>
        <v>31466</v>
      </c>
      <c r="C660" s="47">
        <f t="shared" si="199"/>
        <v>23106</v>
      </c>
      <c r="D660" s="47">
        <f t="shared" si="199"/>
        <v>8360</v>
      </c>
      <c r="E660" s="47">
        <f t="shared" si="199"/>
        <v>244</v>
      </c>
      <c r="F660" s="47">
        <f t="shared" si="199"/>
        <v>181</v>
      </c>
      <c r="G660" s="47">
        <f t="shared" si="199"/>
        <v>63</v>
      </c>
      <c r="H660" s="47">
        <f t="shared" si="199"/>
        <v>31222</v>
      </c>
      <c r="I660" s="47">
        <f t="shared" si="199"/>
        <v>22925</v>
      </c>
      <c r="J660" s="47">
        <f t="shared" si="199"/>
        <v>8297</v>
      </c>
      <c r="K660" s="188" t="s">
        <v>236</v>
      </c>
      <c r="L660" s="131"/>
    </row>
    <row r="661" spans="1:12" ht="15" customHeight="1" thickBot="1" x14ac:dyDescent="0.25">
      <c r="A661" s="253"/>
      <c r="B661" s="47">
        <f t="shared" si="199"/>
        <v>9422</v>
      </c>
      <c r="C661" s="47">
        <f t="shared" si="199"/>
        <v>7257</v>
      </c>
      <c r="D661" s="47">
        <f t="shared" si="199"/>
        <v>2165</v>
      </c>
      <c r="E661" s="47">
        <f t="shared" si="199"/>
        <v>104</v>
      </c>
      <c r="F661" s="47">
        <f t="shared" si="199"/>
        <v>78</v>
      </c>
      <c r="G661" s="47">
        <f t="shared" si="199"/>
        <v>26</v>
      </c>
      <c r="H661" s="47">
        <f t="shared" si="199"/>
        <v>9318</v>
      </c>
      <c r="I661" s="47">
        <f t="shared" si="199"/>
        <v>7179</v>
      </c>
      <c r="J661" s="47">
        <f t="shared" si="199"/>
        <v>2139</v>
      </c>
      <c r="K661" s="188" t="s">
        <v>237</v>
      </c>
      <c r="L661" s="132" t="s">
        <v>188</v>
      </c>
    </row>
    <row r="662" spans="1:12" ht="15" customHeight="1" thickBot="1" x14ac:dyDescent="0.25">
      <c r="A662" s="253"/>
      <c r="B662" s="47">
        <f t="shared" si="199"/>
        <v>40888</v>
      </c>
      <c r="C662" s="47">
        <f t="shared" si="199"/>
        <v>30363</v>
      </c>
      <c r="D662" s="47">
        <f t="shared" si="199"/>
        <v>10525</v>
      </c>
      <c r="E662" s="47">
        <f t="shared" si="199"/>
        <v>348</v>
      </c>
      <c r="F662" s="47">
        <f t="shared" si="199"/>
        <v>259</v>
      </c>
      <c r="G662" s="47">
        <f t="shared" si="199"/>
        <v>89</v>
      </c>
      <c r="H662" s="47">
        <f t="shared" si="199"/>
        <v>40540</v>
      </c>
      <c r="I662" s="47">
        <f t="shared" si="199"/>
        <v>30104</v>
      </c>
      <c r="J662" s="47">
        <f t="shared" si="199"/>
        <v>10436</v>
      </c>
      <c r="K662" s="188" t="s">
        <v>12</v>
      </c>
      <c r="L662" s="133"/>
    </row>
    <row r="663" spans="1:12" ht="15" customHeight="1" thickBot="1" x14ac:dyDescent="0.25">
      <c r="A663" s="253"/>
      <c r="B663" s="476" t="s">
        <v>4</v>
      </c>
      <c r="C663" s="476"/>
      <c r="D663" s="476"/>
      <c r="E663" s="476" t="s">
        <v>145</v>
      </c>
      <c r="F663" s="476"/>
      <c r="G663" s="476"/>
      <c r="H663" s="476" t="s">
        <v>146</v>
      </c>
      <c r="I663" s="476"/>
      <c r="J663" s="476"/>
      <c r="K663" s="479" t="s">
        <v>66</v>
      </c>
      <c r="L663" s="479"/>
    </row>
    <row r="664" spans="1:12" ht="15" customHeight="1" thickBot="1" x14ac:dyDescent="0.25">
      <c r="A664" s="253"/>
      <c r="B664" s="185" t="s">
        <v>227</v>
      </c>
      <c r="C664" s="185" t="s">
        <v>10</v>
      </c>
      <c r="D664" s="185" t="s">
        <v>9</v>
      </c>
      <c r="E664" s="185" t="s">
        <v>227</v>
      </c>
      <c r="F664" s="185" t="s">
        <v>10</v>
      </c>
      <c r="G664" s="185" t="s">
        <v>9</v>
      </c>
      <c r="H664" s="185" t="s">
        <v>227</v>
      </c>
      <c r="I664" s="185" t="s">
        <v>10</v>
      </c>
      <c r="J664" s="185" t="s">
        <v>9</v>
      </c>
      <c r="K664" s="480" t="s">
        <v>77</v>
      </c>
      <c r="L664" s="480"/>
    </row>
    <row r="665" spans="1:12" ht="15" customHeight="1" thickBot="1" x14ac:dyDescent="0.25">
      <c r="A665" s="253"/>
      <c r="B665" s="47">
        <f t="shared" ref="B665:B712" si="200">SUM(C665:D665)</f>
        <v>2485</v>
      </c>
      <c r="C665" s="47">
        <f t="shared" ref="C665:D712" si="201">I665+F665</f>
        <v>0</v>
      </c>
      <c r="D665" s="47">
        <f t="shared" si="201"/>
        <v>2485</v>
      </c>
      <c r="E665" s="47">
        <f t="shared" ref="E665:E712" si="202">SUM(F665:G665)</f>
        <v>0</v>
      </c>
      <c r="F665" s="47">
        <v>0</v>
      </c>
      <c r="G665" s="47">
        <v>0</v>
      </c>
      <c r="H665" s="47">
        <f t="shared" ref="H665:H712" si="203">SUM(I665:J665)</f>
        <v>2485</v>
      </c>
      <c r="I665" s="47">
        <v>0</v>
      </c>
      <c r="J665" s="47">
        <f>5285-2800</f>
        <v>2485</v>
      </c>
      <c r="K665" s="188" t="s">
        <v>233</v>
      </c>
      <c r="L665" s="134"/>
    </row>
    <row r="666" spans="1:12" ht="15" customHeight="1" thickBot="1" x14ac:dyDescent="0.25">
      <c r="A666" s="253"/>
      <c r="B666" s="47">
        <f t="shared" si="200"/>
        <v>0</v>
      </c>
      <c r="C666" s="47">
        <f t="shared" si="201"/>
        <v>0</v>
      </c>
      <c r="D666" s="47">
        <f t="shared" si="201"/>
        <v>0</v>
      </c>
      <c r="E666" s="47">
        <f t="shared" si="202"/>
        <v>0</v>
      </c>
      <c r="F666" s="47">
        <v>0</v>
      </c>
      <c r="G666" s="47">
        <v>0</v>
      </c>
      <c r="H666" s="47">
        <f t="shared" si="203"/>
        <v>0</v>
      </c>
      <c r="I666" s="47">
        <v>0</v>
      </c>
      <c r="J666" s="47">
        <v>0</v>
      </c>
      <c r="K666" s="188" t="s">
        <v>234</v>
      </c>
      <c r="L666" s="134" t="s">
        <v>274</v>
      </c>
    </row>
    <row r="667" spans="1:12" ht="15" customHeight="1" thickBot="1" x14ac:dyDescent="0.25">
      <c r="A667" s="253"/>
      <c r="B667" s="47">
        <f t="shared" si="200"/>
        <v>2485</v>
      </c>
      <c r="C667" s="47">
        <f t="shared" si="201"/>
        <v>0</v>
      </c>
      <c r="D667" s="47">
        <f t="shared" si="201"/>
        <v>2485</v>
      </c>
      <c r="E667" s="47">
        <f t="shared" si="202"/>
        <v>0</v>
      </c>
      <c r="F667" s="47">
        <f>SUM(F665:F666)</f>
        <v>0</v>
      </c>
      <c r="G667" s="47">
        <f>SUM(G665:G666)</f>
        <v>0</v>
      </c>
      <c r="H667" s="47">
        <f t="shared" si="203"/>
        <v>2485</v>
      </c>
      <c r="I667" s="47">
        <f>SUM(I665:I666)</f>
        <v>0</v>
      </c>
      <c r="J667" s="47">
        <f>SUM(J665:J666)</f>
        <v>2485</v>
      </c>
      <c r="K667" s="188" t="s">
        <v>12</v>
      </c>
      <c r="L667" s="239"/>
    </row>
    <row r="668" spans="1:12" ht="15" customHeight="1" thickBot="1" x14ac:dyDescent="0.25">
      <c r="A668" s="253"/>
      <c r="B668" s="47">
        <f t="shared" si="200"/>
        <v>2350</v>
      </c>
      <c r="C668" s="47">
        <f t="shared" si="201"/>
        <v>1937</v>
      </c>
      <c r="D668" s="47">
        <f t="shared" si="201"/>
        <v>413</v>
      </c>
      <c r="E668" s="47">
        <f t="shared" si="202"/>
        <v>33</v>
      </c>
      <c r="F668" s="47">
        <v>21</v>
      </c>
      <c r="G668" s="47">
        <v>12</v>
      </c>
      <c r="H668" s="47">
        <f t="shared" si="203"/>
        <v>2317</v>
      </c>
      <c r="I668" s="47">
        <f>2716-800</f>
        <v>1916</v>
      </c>
      <c r="J668" s="47">
        <f>701-300</f>
        <v>401</v>
      </c>
      <c r="K668" s="188" t="s">
        <v>233</v>
      </c>
      <c r="L668" s="134"/>
    </row>
    <row r="669" spans="1:12" ht="15" customHeight="1" thickBot="1" x14ac:dyDescent="0.25">
      <c r="A669" s="253"/>
      <c r="B669" s="47">
        <f t="shared" si="200"/>
        <v>0</v>
      </c>
      <c r="C669" s="47">
        <f t="shared" si="201"/>
        <v>0</v>
      </c>
      <c r="D669" s="47">
        <f t="shared" si="201"/>
        <v>0</v>
      </c>
      <c r="E669" s="47">
        <f t="shared" si="202"/>
        <v>0</v>
      </c>
      <c r="F669" s="47">
        <v>0</v>
      </c>
      <c r="G669" s="47">
        <v>0</v>
      </c>
      <c r="H669" s="47">
        <f t="shared" si="203"/>
        <v>0</v>
      </c>
      <c r="I669" s="47">
        <v>0</v>
      </c>
      <c r="J669" s="47">
        <v>0</v>
      </c>
      <c r="K669" s="188" t="s">
        <v>234</v>
      </c>
      <c r="L669" s="134" t="s">
        <v>496</v>
      </c>
    </row>
    <row r="670" spans="1:12" ht="15" customHeight="1" thickBot="1" x14ac:dyDescent="0.25">
      <c r="A670" s="253"/>
      <c r="B670" s="47">
        <f t="shared" si="200"/>
        <v>2350</v>
      </c>
      <c r="C670" s="47">
        <f t="shared" si="201"/>
        <v>1937</v>
      </c>
      <c r="D670" s="47">
        <f t="shared" si="201"/>
        <v>413</v>
      </c>
      <c r="E670" s="47">
        <f t="shared" si="202"/>
        <v>33</v>
      </c>
      <c r="F670" s="47">
        <f>SUM(F668:F669)</f>
        <v>21</v>
      </c>
      <c r="G670" s="47">
        <f>SUM(G668:G669)</f>
        <v>12</v>
      </c>
      <c r="H670" s="47">
        <f t="shared" si="203"/>
        <v>2317</v>
      </c>
      <c r="I670" s="47">
        <f>SUM(I668:I669)</f>
        <v>1916</v>
      </c>
      <c r="J670" s="47">
        <f>SUM(J668:J669)</f>
        <v>401</v>
      </c>
      <c r="K670" s="188" t="s">
        <v>12</v>
      </c>
      <c r="L670" s="239"/>
    </row>
    <row r="671" spans="1:12" ht="15" customHeight="1" thickBot="1" x14ac:dyDescent="0.25">
      <c r="A671" s="253"/>
      <c r="B671" s="47">
        <f t="shared" si="200"/>
        <v>2751</v>
      </c>
      <c r="C671" s="47">
        <f t="shared" si="201"/>
        <v>1540</v>
      </c>
      <c r="D671" s="47">
        <f t="shared" si="201"/>
        <v>1211</v>
      </c>
      <c r="E671" s="47">
        <f t="shared" si="202"/>
        <v>149</v>
      </c>
      <c r="F671" s="47">
        <v>111</v>
      </c>
      <c r="G671" s="47">
        <f>73-35</f>
        <v>38</v>
      </c>
      <c r="H671" s="47">
        <f t="shared" si="203"/>
        <v>2602</v>
      </c>
      <c r="I671" s="47">
        <f>2329-900</f>
        <v>1429</v>
      </c>
      <c r="J671" s="47">
        <f>1888-750+35</f>
        <v>1173</v>
      </c>
      <c r="K671" s="188" t="s">
        <v>233</v>
      </c>
      <c r="L671" s="134"/>
    </row>
    <row r="672" spans="1:12" ht="15" customHeight="1" thickBot="1" x14ac:dyDescent="0.25">
      <c r="A672" s="253"/>
      <c r="B672" s="47">
        <f t="shared" si="200"/>
        <v>1</v>
      </c>
      <c r="C672" s="47">
        <f t="shared" si="201"/>
        <v>1</v>
      </c>
      <c r="D672" s="47">
        <f t="shared" si="201"/>
        <v>0</v>
      </c>
      <c r="E672" s="47">
        <f t="shared" si="202"/>
        <v>0</v>
      </c>
      <c r="F672" s="47">
        <v>0</v>
      </c>
      <c r="G672" s="47">
        <v>0</v>
      </c>
      <c r="H672" s="47">
        <f t="shared" si="203"/>
        <v>1</v>
      </c>
      <c r="I672" s="47">
        <v>1</v>
      </c>
      <c r="J672" s="47">
        <v>0</v>
      </c>
      <c r="K672" s="188" t="s">
        <v>234</v>
      </c>
      <c r="L672" s="134" t="s">
        <v>367</v>
      </c>
    </row>
    <row r="673" spans="1:12" ht="15" customHeight="1" thickBot="1" x14ac:dyDescent="0.25">
      <c r="A673" s="253"/>
      <c r="B673" s="47">
        <f t="shared" si="200"/>
        <v>2752</v>
      </c>
      <c r="C673" s="47">
        <f t="shared" si="201"/>
        <v>1541</v>
      </c>
      <c r="D673" s="47">
        <f t="shared" si="201"/>
        <v>1211</v>
      </c>
      <c r="E673" s="47">
        <f t="shared" si="202"/>
        <v>149</v>
      </c>
      <c r="F673" s="47">
        <f>SUM(F671:F672)</f>
        <v>111</v>
      </c>
      <c r="G673" s="47">
        <f>SUM(G671:G672)</f>
        <v>38</v>
      </c>
      <c r="H673" s="47">
        <f t="shared" si="203"/>
        <v>2603</v>
      </c>
      <c r="I673" s="47">
        <f>SUM(I671:I672)</f>
        <v>1430</v>
      </c>
      <c r="J673" s="47">
        <f>SUM(J671:J672)</f>
        <v>1173</v>
      </c>
      <c r="K673" s="188" t="s">
        <v>12</v>
      </c>
      <c r="L673" s="239"/>
    </row>
    <row r="674" spans="1:12" ht="15" customHeight="1" thickBot="1" x14ac:dyDescent="0.25">
      <c r="A674" s="253"/>
      <c r="B674" s="47">
        <f t="shared" si="200"/>
        <v>329</v>
      </c>
      <c r="C674" s="47">
        <f t="shared" si="201"/>
        <v>0</v>
      </c>
      <c r="D674" s="47">
        <f t="shared" si="201"/>
        <v>329</v>
      </c>
      <c r="E674" s="47">
        <f t="shared" si="202"/>
        <v>0</v>
      </c>
      <c r="F674" s="47">
        <v>0</v>
      </c>
      <c r="G674" s="47">
        <v>0</v>
      </c>
      <c r="H674" s="47">
        <f t="shared" si="203"/>
        <v>329</v>
      </c>
      <c r="I674" s="47">
        <v>0</v>
      </c>
      <c r="J674" s="47">
        <v>329</v>
      </c>
      <c r="K674" s="188" t="s">
        <v>233</v>
      </c>
      <c r="L674" s="134"/>
    </row>
    <row r="675" spans="1:12" ht="15" customHeight="1" thickBot="1" x14ac:dyDescent="0.25">
      <c r="A675" s="253"/>
      <c r="B675" s="47">
        <f t="shared" si="200"/>
        <v>0</v>
      </c>
      <c r="C675" s="47">
        <f t="shared" si="201"/>
        <v>0</v>
      </c>
      <c r="D675" s="47">
        <f t="shared" si="201"/>
        <v>0</v>
      </c>
      <c r="E675" s="47">
        <f t="shared" si="202"/>
        <v>0</v>
      </c>
      <c r="F675" s="47">
        <v>0</v>
      </c>
      <c r="G675" s="47">
        <v>0</v>
      </c>
      <c r="H675" s="47">
        <f t="shared" si="203"/>
        <v>0</v>
      </c>
      <c r="I675" s="47">
        <v>0</v>
      </c>
      <c r="J675" s="47">
        <v>0</v>
      </c>
      <c r="K675" s="188" t="s">
        <v>234</v>
      </c>
      <c r="L675" s="134" t="s">
        <v>497</v>
      </c>
    </row>
    <row r="676" spans="1:12" ht="15" customHeight="1" thickBot="1" x14ac:dyDescent="0.25">
      <c r="A676" s="253"/>
      <c r="B676" s="47">
        <f t="shared" si="200"/>
        <v>329</v>
      </c>
      <c r="C676" s="47">
        <f t="shared" si="201"/>
        <v>0</v>
      </c>
      <c r="D676" s="47">
        <f t="shared" si="201"/>
        <v>329</v>
      </c>
      <c r="E676" s="47">
        <f t="shared" si="202"/>
        <v>0</v>
      </c>
      <c r="F676" s="47">
        <f>SUM(F674:F675)</f>
        <v>0</v>
      </c>
      <c r="G676" s="47">
        <f>SUM(G674:G675)</f>
        <v>0</v>
      </c>
      <c r="H676" s="47">
        <f t="shared" si="203"/>
        <v>329</v>
      </c>
      <c r="I676" s="47">
        <f>SUM(I674:I675)</f>
        <v>0</v>
      </c>
      <c r="J676" s="47">
        <f>SUM(J674:J675)</f>
        <v>329</v>
      </c>
      <c r="K676" s="188" t="s">
        <v>12</v>
      </c>
      <c r="L676" s="239"/>
    </row>
    <row r="677" spans="1:12" ht="15" customHeight="1" thickBot="1" x14ac:dyDescent="0.25">
      <c r="A677" s="253"/>
      <c r="B677" s="47">
        <f t="shared" si="200"/>
        <v>1600</v>
      </c>
      <c r="C677" s="47">
        <f t="shared" si="201"/>
        <v>934</v>
      </c>
      <c r="D677" s="47">
        <f t="shared" si="201"/>
        <v>666</v>
      </c>
      <c r="E677" s="47">
        <f t="shared" si="202"/>
        <v>101</v>
      </c>
      <c r="F677" s="47">
        <v>55</v>
      </c>
      <c r="G677" s="47">
        <f>61-15</f>
        <v>46</v>
      </c>
      <c r="H677" s="47">
        <f t="shared" si="203"/>
        <v>1499</v>
      </c>
      <c r="I677" s="47">
        <v>879</v>
      </c>
      <c r="J677" s="47">
        <f>955-350+15</f>
        <v>620</v>
      </c>
      <c r="K677" s="188" t="s">
        <v>233</v>
      </c>
      <c r="L677" s="134"/>
    </row>
    <row r="678" spans="1:12" ht="15" customHeight="1" thickBot="1" x14ac:dyDescent="0.25">
      <c r="A678" s="253"/>
      <c r="B678" s="47">
        <f t="shared" si="200"/>
        <v>0</v>
      </c>
      <c r="C678" s="47">
        <f t="shared" si="201"/>
        <v>0</v>
      </c>
      <c r="D678" s="47">
        <f t="shared" si="201"/>
        <v>0</v>
      </c>
      <c r="E678" s="47">
        <f t="shared" si="202"/>
        <v>0</v>
      </c>
      <c r="F678" s="47">
        <v>0</v>
      </c>
      <c r="G678" s="47">
        <v>0</v>
      </c>
      <c r="H678" s="47">
        <f t="shared" si="203"/>
        <v>0</v>
      </c>
      <c r="I678" s="47">
        <v>0</v>
      </c>
      <c r="J678" s="47">
        <v>0</v>
      </c>
      <c r="K678" s="188" t="s">
        <v>234</v>
      </c>
      <c r="L678" s="134" t="s">
        <v>498</v>
      </c>
    </row>
    <row r="679" spans="1:12" ht="15" customHeight="1" thickBot="1" x14ac:dyDescent="0.25">
      <c r="A679" s="253"/>
      <c r="B679" s="47">
        <f t="shared" si="200"/>
        <v>1600</v>
      </c>
      <c r="C679" s="47">
        <f t="shared" si="201"/>
        <v>934</v>
      </c>
      <c r="D679" s="47">
        <f t="shared" si="201"/>
        <v>666</v>
      </c>
      <c r="E679" s="47">
        <f t="shared" si="202"/>
        <v>101</v>
      </c>
      <c r="F679" s="47">
        <f>SUM(F677:F678)</f>
        <v>55</v>
      </c>
      <c r="G679" s="47">
        <f>SUM(G677:G678)</f>
        <v>46</v>
      </c>
      <c r="H679" s="47">
        <f t="shared" si="203"/>
        <v>1499</v>
      </c>
      <c r="I679" s="47">
        <f>SUM(I677:I678)</f>
        <v>879</v>
      </c>
      <c r="J679" s="47">
        <f>SUM(J677:J678)</f>
        <v>620</v>
      </c>
      <c r="K679" s="188" t="s">
        <v>12</v>
      </c>
      <c r="L679" s="239"/>
    </row>
    <row r="680" spans="1:12" ht="15" customHeight="1" thickBot="1" x14ac:dyDescent="0.25">
      <c r="A680" s="253"/>
      <c r="B680" s="47">
        <f t="shared" si="200"/>
        <v>1227</v>
      </c>
      <c r="C680" s="47">
        <f t="shared" si="201"/>
        <v>646</v>
      </c>
      <c r="D680" s="47">
        <f t="shared" si="201"/>
        <v>581</v>
      </c>
      <c r="E680" s="47">
        <f t="shared" si="202"/>
        <v>59</v>
      </c>
      <c r="F680" s="47">
        <v>24</v>
      </c>
      <c r="G680" s="47">
        <f>46-11</f>
        <v>35</v>
      </c>
      <c r="H680" s="47">
        <f t="shared" si="203"/>
        <v>1168</v>
      </c>
      <c r="I680" s="47">
        <v>622</v>
      </c>
      <c r="J680" s="47">
        <f>535+11</f>
        <v>546</v>
      </c>
      <c r="K680" s="188" t="s">
        <v>233</v>
      </c>
      <c r="L680" s="134"/>
    </row>
    <row r="681" spans="1:12" ht="15" customHeight="1" thickBot="1" x14ac:dyDescent="0.25">
      <c r="A681" s="253"/>
      <c r="B681" s="47">
        <f t="shared" si="200"/>
        <v>0</v>
      </c>
      <c r="C681" s="47">
        <f t="shared" si="201"/>
        <v>0</v>
      </c>
      <c r="D681" s="47">
        <f t="shared" si="201"/>
        <v>0</v>
      </c>
      <c r="E681" s="47">
        <f t="shared" si="202"/>
        <v>0</v>
      </c>
      <c r="F681" s="47">
        <v>0</v>
      </c>
      <c r="G681" s="47">
        <v>0</v>
      </c>
      <c r="H681" s="47">
        <f t="shared" si="203"/>
        <v>0</v>
      </c>
      <c r="I681" s="47">
        <v>0</v>
      </c>
      <c r="J681" s="47">
        <v>0</v>
      </c>
      <c r="K681" s="188" t="s">
        <v>234</v>
      </c>
      <c r="L681" s="134" t="s">
        <v>499</v>
      </c>
    </row>
    <row r="682" spans="1:12" ht="15" customHeight="1" thickBot="1" x14ac:dyDescent="0.25">
      <c r="A682" s="253"/>
      <c r="B682" s="47">
        <f t="shared" si="200"/>
        <v>1227</v>
      </c>
      <c r="C682" s="47">
        <f t="shared" si="201"/>
        <v>646</v>
      </c>
      <c r="D682" s="47">
        <f t="shared" si="201"/>
        <v>581</v>
      </c>
      <c r="E682" s="47">
        <f t="shared" si="202"/>
        <v>59</v>
      </c>
      <c r="F682" s="47">
        <f>SUM(F680:F681)</f>
        <v>24</v>
      </c>
      <c r="G682" s="47">
        <f>SUM(G680:G681)</f>
        <v>35</v>
      </c>
      <c r="H682" s="47">
        <f t="shared" si="203"/>
        <v>1168</v>
      </c>
      <c r="I682" s="47">
        <f>SUM(I680:I681)</f>
        <v>622</v>
      </c>
      <c r="J682" s="47">
        <f>SUM(J680:J681)</f>
        <v>546</v>
      </c>
      <c r="K682" s="188" t="s">
        <v>12</v>
      </c>
      <c r="L682" s="239"/>
    </row>
    <row r="683" spans="1:12" ht="15" customHeight="1" thickBot="1" x14ac:dyDescent="0.25">
      <c r="A683" s="253"/>
      <c r="B683" s="47">
        <f t="shared" si="200"/>
        <v>4588</v>
      </c>
      <c r="C683" s="47">
        <f t="shared" si="201"/>
        <v>2427</v>
      </c>
      <c r="D683" s="47">
        <f t="shared" si="201"/>
        <v>2161</v>
      </c>
      <c r="E683" s="47">
        <f t="shared" si="202"/>
        <v>157</v>
      </c>
      <c r="F683" s="47">
        <v>108</v>
      </c>
      <c r="G683" s="47">
        <f>69-20</f>
        <v>49</v>
      </c>
      <c r="H683" s="47">
        <f t="shared" si="203"/>
        <v>4431</v>
      </c>
      <c r="I683" s="47">
        <f>3221-902</f>
        <v>2319</v>
      </c>
      <c r="J683" s="47">
        <f>2892-800+20</f>
        <v>2112</v>
      </c>
      <c r="K683" s="188" t="s">
        <v>233</v>
      </c>
      <c r="L683" s="134"/>
    </row>
    <row r="684" spans="1:12" ht="15" customHeight="1" thickBot="1" x14ac:dyDescent="0.25">
      <c r="A684" s="253"/>
      <c r="B684" s="47">
        <f t="shared" si="200"/>
        <v>734</v>
      </c>
      <c r="C684" s="47">
        <f t="shared" si="201"/>
        <v>730</v>
      </c>
      <c r="D684" s="47">
        <f t="shared" si="201"/>
        <v>4</v>
      </c>
      <c r="E684" s="47">
        <f t="shared" si="202"/>
        <v>4</v>
      </c>
      <c r="F684" s="47">
        <v>0</v>
      </c>
      <c r="G684" s="47">
        <v>4</v>
      </c>
      <c r="H684" s="47">
        <f t="shared" si="203"/>
        <v>730</v>
      </c>
      <c r="I684" s="47">
        <v>730</v>
      </c>
      <c r="J684" s="47">
        <v>0</v>
      </c>
      <c r="K684" s="188" t="s">
        <v>234</v>
      </c>
      <c r="L684" s="134" t="s">
        <v>371</v>
      </c>
    </row>
    <row r="685" spans="1:12" ht="15" customHeight="1" thickBot="1" x14ac:dyDescent="0.25">
      <c r="A685" s="253"/>
      <c r="B685" s="47">
        <f t="shared" si="200"/>
        <v>5322</v>
      </c>
      <c r="C685" s="47">
        <f t="shared" si="201"/>
        <v>3157</v>
      </c>
      <c r="D685" s="47">
        <f t="shared" si="201"/>
        <v>2165</v>
      </c>
      <c r="E685" s="47">
        <f t="shared" si="202"/>
        <v>161</v>
      </c>
      <c r="F685" s="47">
        <f>SUM(F683:F684)</f>
        <v>108</v>
      </c>
      <c r="G685" s="47">
        <f>SUM(G683:G684)</f>
        <v>53</v>
      </c>
      <c r="H685" s="47">
        <f t="shared" si="203"/>
        <v>5161</v>
      </c>
      <c r="I685" s="47">
        <f>SUM(I683:I684)</f>
        <v>3049</v>
      </c>
      <c r="J685" s="47">
        <f>SUM(J683:J684)</f>
        <v>2112</v>
      </c>
      <c r="K685" s="188" t="s">
        <v>12</v>
      </c>
      <c r="L685" s="239"/>
    </row>
    <row r="686" spans="1:12" ht="15" customHeight="1" thickBot="1" x14ac:dyDescent="0.25">
      <c r="A686" s="253"/>
      <c r="B686" s="47">
        <f t="shared" si="200"/>
        <v>159</v>
      </c>
      <c r="C686" s="47">
        <f t="shared" si="201"/>
        <v>0</v>
      </c>
      <c r="D686" s="47">
        <f t="shared" si="201"/>
        <v>159</v>
      </c>
      <c r="E686" s="47">
        <f t="shared" si="202"/>
        <v>0</v>
      </c>
      <c r="F686" s="47">
        <v>0</v>
      </c>
      <c r="G686" s="47">
        <v>0</v>
      </c>
      <c r="H686" s="47">
        <f t="shared" si="203"/>
        <v>159</v>
      </c>
      <c r="I686" s="47">
        <v>0</v>
      </c>
      <c r="J686" s="47">
        <v>159</v>
      </c>
      <c r="K686" s="188" t="s">
        <v>233</v>
      </c>
      <c r="L686" s="134"/>
    </row>
    <row r="687" spans="1:12" ht="15" customHeight="1" thickBot="1" x14ac:dyDescent="0.25">
      <c r="A687" s="253"/>
      <c r="B687" s="47">
        <f t="shared" si="200"/>
        <v>0</v>
      </c>
      <c r="C687" s="47">
        <f t="shared" si="201"/>
        <v>0</v>
      </c>
      <c r="D687" s="47">
        <f t="shared" si="201"/>
        <v>0</v>
      </c>
      <c r="E687" s="47">
        <f t="shared" si="202"/>
        <v>0</v>
      </c>
      <c r="F687" s="47">
        <v>0</v>
      </c>
      <c r="G687" s="47">
        <v>0</v>
      </c>
      <c r="H687" s="47">
        <f t="shared" si="203"/>
        <v>0</v>
      </c>
      <c r="I687" s="47">
        <v>0</v>
      </c>
      <c r="J687" s="47">
        <v>0</v>
      </c>
      <c r="K687" s="188" t="s">
        <v>234</v>
      </c>
      <c r="L687" s="134" t="s">
        <v>348</v>
      </c>
    </row>
    <row r="688" spans="1:12" ht="15" customHeight="1" thickBot="1" x14ac:dyDescent="0.25">
      <c r="A688" s="253"/>
      <c r="B688" s="47">
        <f t="shared" si="200"/>
        <v>159</v>
      </c>
      <c r="C688" s="47">
        <f t="shared" si="201"/>
        <v>0</v>
      </c>
      <c r="D688" s="47">
        <f t="shared" si="201"/>
        <v>159</v>
      </c>
      <c r="E688" s="47">
        <f t="shared" si="202"/>
        <v>0</v>
      </c>
      <c r="F688" s="47">
        <f>SUM(F686:F687)</f>
        <v>0</v>
      </c>
      <c r="G688" s="47">
        <f>SUM(G686:G687)</f>
        <v>0</v>
      </c>
      <c r="H688" s="47">
        <f t="shared" si="203"/>
        <v>159</v>
      </c>
      <c r="I688" s="47">
        <f>SUM(I686:I687)</f>
        <v>0</v>
      </c>
      <c r="J688" s="47">
        <f>SUM(J686:J687)</f>
        <v>159</v>
      </c>
      <c r="K688" s="188" t="s">
        <v>12</v>
      </c>
      <c r="L688" s="239"/>
    </row>
    <row r="689" spans="1:12" ht="15" customHeight="1" thickBot="1" x14ac:dyDescent="0.25">
      <c r="A689" s="253"/>
      <c r="B689" s="47">
        <f t="shared" si="200"/>
        <v>116</v>
      </c>
      <c r="C689" s="47">
        <f t="shared" si="201"/>
        <v>0</v>
      </c>
      <c r="D689" s="47">
        <f t="shared" si="201"/>
        <v>116</v>
      </c>
      <c r="E689" s="47">
        <f t="shared" si="202"/>
        <v>4</v>
      </c>
      <c r="F689" s="47">
        <v>0</v>
      </c>
      <c r="G689" s="47">
        <v>4</v>
      </c>
      <c r="H689" s="47">
        <f t="shared" si="203"/>
        <v>112</v>
      </c>
      <c r="I689" s="47">
        <v>0</v>
      </c>
      <c r="J689" s="47">
        <v>112</v>
      </c>
      <c r="K689" s="188" t="s">
        <v>233</v>
      </c>
      <c r="L689" s="134"/>
    </row>
    <row r="690" spans="1:12" ht="15" customHeight="1" thickBot="1" x14ac:dyDescent="0.25">
      <c r="A690" s="253"/>
      <c r="B690" s="47">
        <f t="shared" si="200"/>
        <v>0</v>
      </c>
      <c r="C690" s="47">
        <f t="shared" si="201"/>
        <v>0</v>
      </c>
      <c r="D690" s="47">
        <f t="shared" si="201"/>
        <v>0</v>
      </c>
      <c r="E690" s="47">
        <f t="shared" si="202"/>
        <v>0</v>
      </c>
      <c r="F690" s="47">
        <v>0</v>
      </c>
      <c r="G690" s="47">
        <v>0</v>
      </c>
      <c r="H690" s="47">
        <f t="shared" si="203"/>
        <v>0</v>
      </c>
      <c r="I690" s="47">
        <v>0</v>
      </c>
      <c r="J690" s="47">
        <v>0</v>
      </c>
      <c r="K690" s="188" t="s">
        <v>234</v>
      </c>
      <c r="L690" s="134" t="s">
        <v>454</v>
      </c>
    </row>
    <row r="691" spans="1:12" ht="15" customHeight="1" thickBot="1" x14ac:dyDescent="0.25">
      <c r="A691" s="253"/>
      <c r="B691" s="47">
        <f t="shared" si="200"/>
        <v>116</v>
      </c>
      <c r="C691" s="47">
        <f t="shared" si="201"/>
        <v>0</v>
      </c>
      <c r="D691" s="47">
        <f t="shared" si="201"/>
        <v>116</v>
      </c>
      <c r="E691" s="47">
        <f t="shared" si="202"/>
        <v>4</v>
      </c>
      <c r="F691" s="47">
        <f>SUM(F689:F690)</f>
        <v>0</v>
      </c>
      <c r="G691" s="47">
        <f>SUM(G689:G690)</f>
        <v>4</v>
      </c>
      <c r="H691" s="47">
        <f t="shared" si="203"/>
        <v>112</v>
      </c>
      <c r="I691" s="47">
        <f>SUM(I689:I690)</f>
        <v>0</v>
      </c>
      <c r="J691" s="47">
        <f>SUM(J689:J690)</f>
        <v>112</v>
      </c>
      <c r="K691" s="188" t="s">
        <v>12</v>
      </c>
      <c r="L691" s="239"/>
    </row>
    <row r="692" spans="1:12" ht="15" customHeight="1" thickBot="1" x14ac:dyDescent="0.25">
      <c r="A692" s="253"/>
      <c r="B692" s="47">
        <f t="shared" si="200"/>
        <v>2105</v>
      </c>
      <c r="C692" s="47">
        <f t="shared" si="201"/>
        <v>2105</v>
      </c>
      <c r="D692" s="47">
        <f t="shared" si="201"/>
        <v>0</v>
      </c>
      <c r="E692" s="47">
        <f t="shared" si="202"/>
        <v>0</v>
      </c>
      <c r="F692" s="47">
        <v>0</v>
      </c>
      <c r="G692" s="47">
        <v>0</v>
      </c>
      <c r="H692" s="47">
        <f t="shared" si="203"/>
        <v>2105</v>
      </c>
      <c r="I692" s="47">
        <f>4005-1900</f>
        <v>2105</v>
      </c>
      <c r="J692" s="47">
        <v>0</v>
      </c>
      <c r="K692" s="188" t="s">
        <v>233</v>
      </c>
      <c r="L692" s="134"/>
    </row>
    <row r="693" spans="1:12" ht="15" customHeight="1" thickBot="1" x14ac:dyDescent="0.25">
      <c r="A693" s="253"/>
      <c r="B693" s="47">
        <f t="shared" si="200"/>
        <v>799</v>
      </c>
      <c r="C693" s="47">
        <f t="shared" si="201"/>
        <v>799</v>
      </c>
      <c r="D693" s="47">
        <f t="shared" si="201"/>
        <v>0</v>
      </c>
      <c r="E693" s="47">
        <f t="shared" si="202"/>
        <v>0</v>
      </c>
      <c r="F693" s="47">
        <v>0</v>
      </c>
      <c r="G693" s="47">
        <v>0</v>
      </c>
      <c r="H693" s="47">
        <f t="shared" si="203"/>
        <v>799</v>
      </c>
      <c r="I693" s="47">
        <f>1199-400</f>
        <v>799</v>
      </c>
      <c r="J693" s="47">
        <v>0</v>
      </c>
      <c r="K693" s="188" t="s">
        <v>234</v>
      </c>
      <c r="L693" s="134" t="s">
        <v>661</v>
      </c>
    </row>
    <row r="694" spans="1:12" ht="15" customHeight="1" thickBot="1" x14ac:dyDescent="0.25">
      <c r="A694" s="253"/>
      <c r="B694" s="47">
        <f t="shared" si="200"/>
        <v>2904</v>
      </c>
      <c r="C694" s="47">
        <f t="shared" si="201"/>
        <v>2904</v>
      </c>
      <c r="D694" s="47">
        <f t="shared" si="201"/>
        <v>0</v>
      </c>
      <c r="E694" s="47">
        <f t="shared" si="202"/>
        <v>0</v>
      </c>
      <c r="F694" s="47">
        <f>SUM(F692:F693)</f>
        <v>0</v>
      </c>
      <c r="G694" s="47">
        <f>SUM(G692:G693)</f>
        <v>0</v>
      </c>
      <c r="H694" s="47">
        <f t="shared" si="203"/>
        <v>2904</v>
      </c>
      <c r="I694" s="47">
        <f>SUM(I692:I693)</f>
        <v>2904</v>
      </c>
      <c r="J694" s="47">
        <f>SUM(J692:J693)</f>
        <v>0</v>
      </c>
      <c r="K694" s="188" t="s">
        <v>12</v>
      </c>
      <c r="L694" s="239"/>
    </row>
    <row r="695" spans="1:12" ht="15" customHeight="1" thickBot="1" x14ac:dyDescent="0.25">
      <c r="A695" s="253"/>
      <c r="B695" s="47">
        <f t="shared" si="200"/>
        <v>2972</v>
      </c>
      <c r="C695" s="47">
        <f t="shared" si="201"/>
        <v>2972</v>
      </c>
      <c r="D695" s="47">
        <f t="shared" si="201"/>
        <v>0</v>
      </c>
      <c r="E695" s="47">
        <f t="shared" si="202"/>
        <v>3</v>
      </c>
      <c r="F695" s="47">
        <v>3</v>
      </c>
      <c r="G695" s="47">
        <v>0</v>
      </c>
      <c r="H695" s="47">
        <f t="shared" si="203"/>
        <v>2969</v>
      </c>
      <c r="I695" s="47">
        <f>3469-500</f>
        <v>2969</v>
      </c>
      <c r="J695" s="47">
        <v>0</v>
      </c>
      <c r="K695" s="188" t="s">
        <v>233</v>
      </c>
      <c r="L695" s="134"/>
    </row>
    <row r="696" spans="1:12" ht="15" customHeight="1" thickBot="1" x14ac:dyDescent="0.25">
      <c r="A696" s="253"/>
      <c r="B696" s="47">
        <f t="shared" si="200"/>
        <v>120</v>
      </c>
      <c r="C696" s="47">
        <f t="shared" si="201"/>
        <v>120</v>
      </c>
      <c r="D696" s="47">
        <f t="shared" si="201"/>
        <v>0</v>
      </c>
      <c r="E696" s="47">
        <f t="shared" si="202"/>
        <v>0</v>
      </c>
      <c r="F696" s="47">
        <v>0</v>
      </c>
      <c r="G696" s="47">
        <v>0</v>
      </c>
      <c r="H696" s="47">
        <f t="shared" si="203"/>
        <v>120</v>
      </c>
      <c r="I696" s="47">
        <v>120</v>
      </c>
      <c r="J696" s="47">
        <v>0</v>
      </c>
      <c r="K696" s="188" t="s">
        <v>234</v>
      </c>
      <c r="L696" s="134" t="s">
        <v>662</v>
      </c>
    </row>
    <row r="697" spans="1:12" ht="15" customHeight="1" thickBot="1" x14ac:dyDescent="0.25">
      <c r="A697" s="253"/>
      <c r="B697" s="47">
        <f t="shared" si="200"/>
        <v>3092</v>
      </c>
      <c r="C697" s="47">
        <f t="shared" si="201"/>
        <v>3092</v>
      </c>
      <c r="D697" s="47">
        <f t="shared" si="201"/>
        <v>0</v>
      </c>
      <c r="E697" s="47">
        <f t="shared" si="202"/>
        <v>3</v>
      </c>
      <c r="F697" s="47">
        <f>SUM(F695:F696)</f>
        <v>3</v>
      </c>
      <c r="G697" s="47">
        <f>SUM(G695:G696)</f>
        <v>0</v>
      </c>
      <c r="H697" s="47">
        <f t="shared" si="203"/>
        <v>3089</v>
      </c>
      <c r="I697" s="47">
        <f>SUM(I695:I696)</f>
        <v>3089</v>
      </c>
      <c r="J697" s="47">
        <f>SUM(J695:J696)</f>
        <v>0</v>
      </c>
      <c r="K697" s="188" t="s">
        <v>12</v>
      </c>
      <c r="L697" s="239"/>
    </row>
    <row r="698" spans="1:12" ht="15" customHeight="1" thickBot="1" x14ac:dyDescent="0.25">
      <c r="A698" s="253"/>
      <c r="B698" s="47">
        <f t="shared" si="200"/>
        <v>15</v>
      </c>
      <c r="C698" s="47">
        <f t="shared" si="201"/>
        <v>0</v>
      </c>
      <c r="D698" s="47">
        <f t="shared" si="201"/>
        <v>15</v>
      </c>
      <c r="E698" s="47">
        <f t="shared" si="202"/>
        <v>0</v>
      </c>
      <c r="F698" s="47">
        <v>0</v>
      </c>
      <c r="G698" s="47">
        <v>0</v>
      </c>
      <c r="H698" s="47">
        <f t="shared" si="203"/>
        <v>15</v>
      </c>
      <c r="I698" s="47">
        <v>0</v>
      </c>
      <c r="J698" s="47">
        <v>15</v>
      </c>
      <c r="K698" s="188" t="s">
        <v>233</v>
      </c>
      <c r="L698" s="134"/>
    </row>
    <row r="699" spans="1:12" ht="15" customHeight="1" thickBot="1" x14ac:dyDescent="0.25">
      <c r="A699" s="253"/>
      <c r="B699" s="47">
        <f t="shared" si="200"/>
        <v>0</v>
      </c>
      <c r="C699" s="47">
        <f t="shared" si="201"/>
        <v>0</v>
      </c>
      <c r="D699" s="47">
        <f t="shared" si="201"/>
        <v>0</v>
      </c>
      <c r="E699" s="47">
        <f t="shared" si="202"/>
        <v>0</v>
      </c>
      <c r="F699" s="47">
        <v>0</v>
      </c>
      <c r="G699" s="47">
        <v>0</v>
      </c>
      <c r="H699" s="47">
        <f t="shared" si="203"/>
        <v>0</v>
      </c>
      <c r="I699" s="47">
        <v>0</v>
      </c>
      <c r="J699" s="47">
        <v>0</v>
      </c>
      <c r="K699" s="188" t="s">
        <v>234</v>
      </c>
      <c r="L699" s="134" t="s">
        <v>275</v>
      </c>
    </row>
    <row r="700" spans="1:12" ht="15" customHeight="1" thickBot="1" x14ac:dyDescent="0.25">
      <c r="A700" s="253"/>
      <c r="B700" s="47">
        <f t="shared" si="200"/>
        <v>15</v>
      </c>
      <c r="C700" s="47">
        <f t="shared" si="201"/>
        <v>0</v>
      </c>
      <c r="D700" s="47">
        <f t="shared" si="201"/>
        <v>15</v>
      </c>
      <c r="E700" s="47">
        <f t="shared" si="202"/>
        <v>0</v>
      </c>
      <c r="F700" s="47">
        <f>SUM(F698:F699)</f>
        <v>0</v>
      </c>
      <c r="G700" s="47">
        <f>SUM(G698:G699)</f>
        <v>0</v>
      </c>
      <c r="H700" s="47">
        <f t="shared" si="203"/>
        <v>15</v>
      </c>
      <c r="I700" s="47">
        <f>SUM(I698:I699)</f>
        <v>0</v>
      </c>
      <c r="J700" s="47">
        <f>SUM(J698:J699)</f>
        <v>15</v>
      </c>
      <c r="K700" s="188" t="s">
        <v>12</v>
      </c>
      <c r="L700" s="239"/>
    </row>
    <row r="701" spans="1:12" ht="15" customHeight="1" thickBot="1" x14ac:dyDescent="0.25">
      <c r="A701" s="253"/>
      <c r="B701" s="47">
        <f t="shared" si="200"/>
        <v>1886</v>
      </c>
      <c r="C701" s="47">
        <f t="shared" si="201"/>
        <v>1601</v>
      </c>
      <c r="D701" s="47">
        <f t="shared" si="201"/>
        <v>285</v>
      </c>
      <c r="E701" s="47">
        <f t="shared" si="202"/>
        <v>3</v>
      </c>
      <c r="F701" s="47">
        <v>3</v>
      </c>
      <c r="G701" s="47">
        <v>0</v>
      </c>
      <c r="H701" s="47">
        <f t="shared" si="203"/>
        <v>1883</v>
      </c>
      <c r="I701" s="47">
        <v>1598</v>
      </c>
      <c r="J701" s="47">
        <v>285</v>
      </c>
      <c r="K701" s="188" t="s">
        <v>233</v>
      </c>
      <c r="L701" s="134"/>
    </row>
    <row r="702" spans="1:12" ht="15" customHeight="1" thickBot="1" x14ac:dyDescent="0.25">
      <c r="A702" s="253"/>
      <c r="B702" s="47">
        <f t="shared" si="200"/>
        <v>67</v>
      </c>
      <c r="C702" s="47">
        <f t="shared" si="201"/>
        <v>67</v>
      </c>
      <c r="D702" s="47">
        <f t="shared" si="201"/>
        <v>0</v>
      </c>
      <c r="E702" s="47">
        <f t="shared" si="202"/>
        <v>0</v>
      </c>
      <c r="F702" s="47">
        <v>0</v>
      </c>
      <c r="G702" s="47">
        <v>0</v>
      </c>
      <c r="H702" s="47">
        <f t="shared" si="203"/>
        <v>67</v>
      </c>
      <c r="I702" s="47">
        <v>67</v>
      </c>
      <c r="J702" s="47">
        <v>0</v>
      </c>
      <c r="K702" s="188" t="s">
        <v>234</v>
      </c>
      <c r="L702" s="134" t="s">
        <v>500</v>
      </c>
    </row>
    <row r="703" spans="1:12" ht="15" customHeight="1" thickBot="1" x14ac:dyDescent="0.25">
      <c r="A703" s="253"/>
      <c r="B703" s="47">
        <f t="shared" si="200"/>
        <v>1953</v>
      </c>
      <c r="C703" s="47">
        <f t="shared" si="201"/>
        <v>1668</v>
      </c>
      <c r="D703" s="47">
        <f t="shared" si="201"/>
        <v>285</v>
      </c>
      <c r="E703" s="47">
        <f t="shared" si="202"/>
        <v>3</v>
      </c>
      <c r="F703" s="47">
        <f>SUM(F701:F702)</f>
        <v>3</v>
      </c>
      <c r="G703" s="47">
        <f>SUM(G701:G702)</f>
        <v>0</v>
      </c>
      <c r="H703" s="47">
        <f t="shared" si="203"/>
        <v>1950</v>
      </c>
      <c r="I703" s="47">
        <f>SUM(I701:I702)</f>
        <v>1665</v>
      </c>
      <c r="J703" s="47">
        <f>SUM(J701:J702)</f>
        <v>285</v>
      </c>
      <c r="K703" s="188" t="s">
        <v>12</v>
      </c>
      <c r="L703" s="239"/>
    </row>
    <row r="704" spans="1:12" ht="15" customHeight="1" thickBot="1" x14ac:dyDescent="0.25">
      <c r="A704" s="253"/>
      <c r="B704" s="47">
        <f t="shared" si="200"/>
        <v>1893</v>
      </c>
      <c r="C704" s="47">
        <f t="shared" si="201"/>
        <v>1708</v>
      </c>
      <c r="D704" s="47">
        <f t="shared" si="201"/>
        <v>185</v>
      </c>
      <c r="E704" s="47">
        <f t="shared" si="202"/>
        <v>0</v>
      </c>
      <c r="F704" s="47">
        <v>0</v>
      </c>
      <c r="G704" s="47">
        <v>0</v>
      </c>
      <c r="H704" s="47">
        <f t="shared" si="203"/>
        <v>1893</v>
      </c>
      <c r="I704" s="47">
        <v>1708</v>
      </c>
      <c r="J704" s="47">
        <v>185</v>
      </c>
      <c r="K704" s="188" t="s">
        <v>233</v>
      </c>
      <c r="L704" s="134"/>
    </row>
    <row r="705" spans="1:12" ht="15" customHeight="1" thickBot="1" x14ac:dyDescent="0.25">
      <c r="A705" s="253"/>
      <c r="B705" s="47">
        <f t="shared" si="200"/>
        <v>42</v>
      </c>
      <c r="C705" s="47">
        <f t="shared" si="201"/>
        <v>42</v>
      </c>
      <c r="D705" s="47">
        <f t="shared" si="201"/>
        <v>0</v>
      </c>
      <c r="E705" s="47">
        <f t="shared" si="202"/>
        <v>0</v>
      </c>
      <c r="F705" s="47">
        <v>0</v>
      </c>
      <c r="G705" s="47">
        <v>0</v>
      </c>
      <c r="H705" s="47">
        <f t="shared" si="203"/>
        <v>42</v>
      </c>
      <c r="I705" s="47">
        <v>42</v>
      </c>
      <c r="J705" s="47">
        <v>0</v>
      </c>
      <c r="K705" s="188" t="s">
        <v>234</v>
      </c>
      <c r="L705" s="134" t="s">
        <v>663</v>
      </c>
    </row>
    <row r="706" spans="1:12" ht="15" customHeight="1" thickBot="1" x14ac:dyDescent="0.25">
      <c r="A706" s="253"/>
      <c r="B706" s="47">
        <f t="shared" si="200"/>
        <v>1935</v>
      </c>
      <c r="C706" s="47">
        <f t="shared" si="201"/>
        <v>1750</v>
      </c>
      <c r="D706" s="47">
        <f t="shared" si="201"/>
        <v>185</v>
      </c>
      <c r="E706" s="47">
        <f t="shared" si="202"/>
        <v>0</v>
      </c>
      <c r="F706" s="47">
        <f>SUM(F704:F705)</f>
        <v>0</v>
      </c>
      <c r="G706" s="47">
        <f>SUM(G704:G705)</f>
        <v>0</v>
      </c>
      <c r="H706" s="47">
        <f t="shared" si="203"/>
        <v>1935</v>
      </c>
      <c r="I706" s="47">
        <f>SUM(I704:I705)</f>
        <v>1750</v>
      </c>
      <c r="J706" s="47">
        <f>SUM(J704:J705)</f>
        <v>185</v>
      </c>
      <c r="K706" s="188" t="s">
        <v>12</v>
      </c>
      <c r="L706" s="239"/>
    </row>
    <row r="707" spans="1:12" ht="15" customHeight="1" thickBot="1" x14ac:dyDescent="0.25">
      <c r="A707" s="253"/>
      <c r="B707" s="47">
        <f t="shared" si="200"/>
        <v>629</v>
      </c>
      <c r="C707" s="47">
        <f t="shared" si="201"/>
        <v>440</v>
      </c>
      <c r="D707" s="47">
        <f t="shared" si="201"/>
        <v>189</v>
      </c>
      <c r="E707" s="47">
        <f t="shared" si="202"/>
        <v>0</v>
      </c>
      <c r="F707" s="47">
        <v>0</v>
      </c>
      <c r="G707" s="47">
        <v>0</v>
      </c>
      <c r="H707" s="47">
        <f t="shared" si="203"/>
        <v>629</v>
      </c>
      <c r="I707" s="47">
        <v>440</v>
      </c>
      <c r="J707" s="47">
        <v>189</v>
      </c>
      <c r="K707" s="188" t="s">
        <v>233</v>
      </c>
      <c r="L707" s="134"/>
    </row>
    <row r="708" spans="1:12" ht="15" customHeight="1" thickBot="1" x14ac:dyDescent="0.25">
      <c r="A708" s="253"/>
      <c r="B708" s="47">
        <f t="shared" si="200"/>
        <v>0</v>
      </c>
      <c r="C708" s="47">
        <f t="shared" si="201"/>
        <v>0</v>
      </c>
      <c r="D708" s="47">
        <f t="shared" si="201"/>
        <v>0</v>
      </c>
      <c r="E708" s="47">
        <f t="shared" si="202"/>
        <v>0</v>
      </c>
      <c r="F708" s="47">
        <v>0</v>
      </c>
      <c r="G708" s="47">
        <v>0</v>
      </c>
      <c r="H708" s="47">
        <f t="shared" si="203"/>
        <v>0</v>
      </c>
      <c r="I708" s="47">
        <v>0</v>
      </c>
      <c r="J708" s="47">
        <v>0</v>
      </c>
      <c r="K708" s="188" t="s">
        <v>234</v>
      </c>
      <c r="L708" s="134" t="s">
        <v>502</v>
      </c>
    </row>
    <row r="709" spans="1:12" ht="15" customHeight="1" thickBot="1" x14ac:dyDescent="0.25">
      <c r="A709" s="253"/>
      <c r="B709" s="47">
        <f t="shared" si="200"/>
        <v>629</v>
      </c>
      <c r="C709" s="47">
        <f t="shared" si="201"/>
        <v>440</v>
      </c>
      <c r="D709" s="47">
        <f t="shared" si="201"/>
        <v>189</v>
      </c>
      <c r="E709" s="47">
        <f t="shared" si="202"/>
        <v>0</v>
      </c>
      <c r="F709" s="47">
        <f>SUM(F707:F708)</f>
        <v>0</v>
      </c>
      <c r="G709" s="47">
        <f>SUM(G707:G708)</f>
        <v>0</v>
      </c>
      <c r="H709" s="47">
        <f t="shared" si="203"/>
        <v>629</v>
      </c>
      <c r="I709" s="47">
        <f>SUM(I707:I708)</f>
        <v>440</v>
      </c>
      <c r="J709" s="47">
        <f>SUM(J707:J708)</f>
        <v>189</v>
      </c>
      <c r="K709" s="188" t="s">
        <v>12</v>
      </c>
      <c r="L709" s="239"/>
    </row>
    <row r="710" spans="1:12" ht="15" customHeight="1" thickBot="1" x14ac:dyDescent="0.25">
      <c r="A710" s="253"/>
      <c r="B710" s="47">
        <f t="shared" si="200"/>
        <v>126</v>
      </c>
      <c r="C710" s="47">
        <f t="shared" si="201"/>
        <v>55</v>
      </c>
      <c r="D710" s="47">
        <f t="shared" si="201"/>
        <v>71</v>
      </c>
      <c r="E710" s="47">
        <f t="shared" si="202"/>
        <v>0</v>
      </c>
      <c r="F710" s="47">
        <v>0</v>
      </c>
      <c r="G710" s="47">
        <v>0</v>
      </c>
      <c r="H710" s="47">
        <f t="shared" si="203"/>
        <v>126</v>
      </c>
      <c r="I710" s="47">
        <v>55</v>
      </c>
      <c r="J710" s="47">
        <v>71</v>
      </c>
      <c r="K710" s="188" t="s">
        <v>233</v>
      </c>
      <c r="L710" s="134"/>
    </row>
    <row r="711" spans="1:12" ht="15" customHeight="1" thickBot="1" x14ac:dyDescent="0.25">
      <c r="A711" s="253"/>
      <c r="B711" s="47">
        <f t="shared" si="200"/>
        <v>0</v>
      </c>
      <c r="C711" s="47">
        <f t="shared" si="201"/>
        <v>0</v>
      </c>
      <c r="D711" s="47">
        <f t="shared" si="201"/>
        <v>0</v>
      </c>
      <c r="E711" s="47">
        <f t="shared" si="202"/>
        <v>0</v>
      </c>
      <c r="F711" s="47">
        <v>0</v>
      </c>
      <c r="G711" s="47">
        <v>0</v>
      </c>
      <c r="H711" s="47">
        <f t="shared" si="203"/>
        <v>0</v>
      </c>
      <c r="I711" s="47">
        <v>0</v>
      </c>
      <c r="J711" s="47">
        <v>0</v>
      </c>
      <c r="K711" s="188" t="s">
        <v>234</v>
      </c>
      <c r="L711" s="134" t="s">
        <v>347</v>
      </c>
    </row>
    <row r="712" spans="1:12" ht="15" customHeight="1" thickBot="1" x14ac:dyDescent="0.25">
      <c r="A712" s="253"/>
      <c r="B712" s="47">
        <f t="shared" si="200"/>
        <v>126</v>
      </c>
      <c r="C712" s="47">
        <f t="shared" si="201"/>
        <v>55</v>
      </c>
      <c r="D712" s="47">
        <f t="shared" si="201"/>
        <v>71</v>
      </c>
      <c r="E712" s="47">
        <f t="shared" si="202"/>
        <v>0</v>
      </c>
      <c r="F712" s="47">
        <f>SUM(F710:F711)</f>
        <v>0</v>
      </c>
      <c r="G712" s="47">
        <f>SUM(G710:G711)</f>
        <v>0</v>
      </c>
      <c r="H712" s="47">
        <f t="shared" si="203"/>
        <v>126</v>
      </c>
      <c r="I712" s="47">
        <f>SUM(I710:I711)</f>
        <v>55</v>
      </c>
      <c r="J712" s="47">
        <f>SUM(J710:J711)</f>
        <v>71</v>
      </c>
      <c r="K712" s="188" t="s">
        <v>12</v>
      </c>
      <c r="L712" s="239"/>
    </row>
    <row r="713" spans="1:12" ht="15" customHeight="1" thickBot="1" x14ac:dyDescent="0.25">
      <c r="A713" s="253"/>
      <c r="B713" s="47">
        <f t="shared" ref="B713:J715" si="204">B665+B668+B671+B674+B677+B680+B683+B686+B689+B692+B695+B698+B701+B704+B707+B710</f>
        <v>25231</v>
      </c>
      <c r="C713" s="47">
        <f t="shared" si="204"/>
        <v>16365</v>
      </c>
      <c r="D713" s="47">
        <f t="shared" si="204"/>
        <v>8866</v>
      </c>
      <c r="E713" s="47">
        <f t="shared" si="204"/>
        <v>509</v>
      </c>
      <c r="F713" s="47">
        <f t="shared" si="204"/>
        <v>325</v>
      </c>
      <c r="G713" s="47">
        <f t="shared" si="204"/>
        <v>184</v>
      </c>
      <c r="H713" s="47">
        <f t="shared" si="204"/>
        <v>24722</v>
      </c>
      <c r="I713" s="47">
        <f t="shared" si="204"/>
        <v>16040</v>
      </c>
      <c r="J713" s="47">
        <f t="shared" si="204"/>
        <v>8682</v>
      </c>
      <c r="K713" s="188" t="s">
        <v>236</v>
      </c>
      <c r="L713" s="131"/>
    </row>
    <row r="714" spans="1:12" ht="15" customHeight="1" thickBot="1" x14ac:dyDescent="0.25">
      <c r="A714" s="253"/>
      <c r="B714" s="47">
        <f t="shared" si="204"/>
        <v>1763</v>
      </c>
      <c r="C714" s="47">
        <f t="shared" si="204"/>
        <v>1759</v>
      </c>
      <c r="D714" s="47">
        <f t="shared" si="204"/>
        <v>4</v>
      </c>
      <c r="E714" s="47">
        <f t="shared" si="204"/>
        <v>4</v>
      </c>
      <c r="F714" s="47">
        <f t="shared" si="204"/>
        <v>0</v>
      </c>
      <c r="G714" s="47">
        <f t="shared" si="204"/>
        <v>4</v>
      </c>
      <c r="H714" s="47">
        <f t="shared" si="204"/>
        <v>1759</v>
      </c>
      <c r="I714" s="47">
        <f t="shared" si="204"/>
        <v>1759</v>
      </c>
      <c r="J714" s="47">
        <f t="shared" si="204"/>
        <v>0</v>
      </c>
      <c r="K714" s="188" t="s">
        <v>237</v>
      </c>
      <c r="L714" s="132" t="s">
        <v>188</v>
      </c>
    </row>
    <row r="715" spans="1:12" ht="15" customHeight="1" thickBot="1" x14ac:dyDescent="0.25">
      <c r="A715" s="253"/>
      <c r="B715" s="47">
        <f t="shared" si="204"/>
        <v>26994</v>
      </c>
      <c r="C715" s="47">
        <f t="shared" si="204"/>
        <v>18124</v>
      </c>
      <c r="D715" s="47">
        <f t="shared" si="204"/>
        <v>8870</v>
      </c>
      <c r="E715" s="47">
        <f t="shared" si="204"/>
        <v>513</v>
      </c>
      <c r="F715" s="47">
        <f t="shared" si="204"/>
        <v>325</v>
      </c>
      <c r="G715" s="47">
        <f t="shared" si="204"/>
        <v>188</v>
      </c>
      <c r="H715" s="47">
        <f t="shared" si="204"/>
        <v>26481</v>
      </c>
      <c r="I715" s="47">
        <f t="shared" si="204"/>
        <v>17799</v>
      </c>
      <c r="J715" s="47">
        <f t="shared" si="204"/>
        <v>8682</v>
      </c>
      <c r="K715" s="188" t="s">
        <v>12</v>
      </c>
      <c r="L715" s="133"/>
    </row>
    <row r="716" spans="1:12" ht="15" customHeight="1" thickBot="1" x14ac:dyDescent="0.25">
      <c r="A716" s="253"/>
      <c r="B716" s="476" t="s">
        <v>4</v>
      </c>
      <c r="C716" s="476"/>
      <c r="D716" s="476"/>
      <c r="E716" s="476" t="s">
        <v>145</v>
      </c>
      <c r="F716" s="476"/>
      <c r="G716" s="476"/>
      <c r="H716" s="476" t="s">
        <v>146</v>
      </c>
      <c r="I716" s="476"/>
      <c r="J716" s="476"/>
      <c r="K716" s="479" t="s">
        <v>66</v>
      </c>
      <c r="L716" s="479"/>
    </row>
    <row r="717" spans="1:12" ht="15" customHeight="1" thickBot="1" x14ac:dyDescent="0.25">
      <c r="A717" s="253"/>
      <c r="B717" s="185" t="s">
        <v>227</v>
      </c>
      <c r="C717" s="185" t="s">
        <v>10</v>
      </c>
      <c r="D717" s="185" t="s">
        <v>9</v>
      </c>
      <c r="E717" s="185" t="s">
        <v>227</v>
      </c>
      <c r="F717" s="185" t="s">
        <v>10</v>
      </c>
      <c r="G717" s="185" t="s">
        <v>9</v>
      </c>
      <c r="H717" s="185" t="s">
        <v>227</v>
      </c>
      <c r="I717" s="185" t="s">
        <v>10</v>
      </c>
      <c r="J717" s="185" t="s">
        <v>9</v>
      </c>
      <c r="K717" s="480" t="s">
        <v>111</v>
      </c>
      <c r="L717" s="480"/>
    </row>
    <row r="718" spans="1:12" ht="15" customHeight="1" thickBot="1" x14ac:dyDescent="0.25">
      <c r="A718" s="253"/>
      <c r="B718" s="47">
        <f>SUM(C718:D718)</f>
        <v>3716</v>
      </c>
      <c r="C718" s="47">
        <f>I718+F718</f>
        <v>823</v>
      </c>
      <c r="D718" s="47">
        <f>J718+G718</f>
        <v>2893</v>
      </c>
      <c r="E718" s="47">
        <f>SUM(F718:G718)</f>
        <v>0</v>
      </c>
      <c r="F718" s="47">
        <v>0</v>
      </c>
      <c r="G718" s="47">
        <v>0</v>
      </c>
      <c r="H718" s="47">
        <f>SUM(I718:J718)</f>
        <v>3716</v>
      </c>
      <c r="I718" s="47">
        <v>823</v>
      </c>
      <c r="J718" s="47">
        <v>2893</v>
      </c>
      <c r="K718" s="188" t="s">
        <v>233</v>
      </c>
      <c r="L718" s="134"/>
    </row>
    <row r="719" spans="1:12" ht="15" customHeight="1" thickBot="1" x14ac:dyDescent="0.25">
      <c r="A719" s="253"/>
      <c r="B719" s="47">
        <f>SUM(C719:D719)</f>
        <v>0</v>
      </c>
      <c r="C719" s="47">
        <f>I719+F719</f>
        <v>0</v>
      </c>
      <c r="D719" s="47">
        <f>J719+G719</f>
        <v>0</v>
      </c>
      <c r="E719" s="47">
        <f>SUM(F719:G719)</f>
        <v>0</v>
      </c>
      <c r="F719" s="47">
        <v>0</v>
      </c>
      <c r="G719" s="47">
        <v>0</v>
      </c>
      <c r="H719" s="47">
        <f>SUM(I719:J719)</f>
        <v>0</v>
      </c>
      <c r="I719" s="47">
        <v>0</v>
      </c>
      <c r="J719" s="47">
        <v>0</v>
      </c>
      <c r="K719" s="188" t="s">
        <v>234</v>
      </c>
      <c r="L719" s="134" t="s">
        <v>367</v>
      </c>
    </row>
    <row r="720" spans="1:12" ht="15" customHeight="1" thickBot="1" x14ac:dyDescent="0.25">
      <c r="A720" s="253"/>
      <c r="B720" s="47">
        <f t="shared" ref="B720:J720" si="205">SUM(B718:B719)</f>
        <v>3716</v>
      </c>
      <c r="C720" s="47">
        <f t="shared" si="205"/>
        <v>823</v>
      </c>
      <c r="D720" s="47">
        <f t="shared" si="205"/>
        <v>2893</v>
      </c>
      <c r="E720" s="47">
        <f t="shared" si="205"/>
        <v>0</v>
      </c>
      <c r="F720" s="47">
        <f t="shared" si="205"/>
        <v>0</v>
      </c>
      <c r="G720" s="47">
        <f t="shared" si="205"/>
        <v>0</v>
      </c>
      <c r="H720" s="47">
        <f t="shared" si="205"/>
        <v>3716</v>
      </c>
      <c r="I720" s="47">
        <f t="shared" si="205"/>
        <v>823</v>
      </c>
      <c r="J720" s="47">
        <f t="shared" si="205"/>
        <v>2893</v>
      </c>
      <c r="K720" s="188" t="s">
        <v>12</v>
      </c>
      <c r="L720" s="239"/>
    </row>
    <row r="721" spans="1:12" ht="15" customHeight="1" thickBot="1" x14ac:dyDescent="0.25">
      <c r="A721" s="253"/>
      <c r="B721" s="47">
        <f>SUM(C721:D721)</f>
        <v>485</v>
      </c>
      <c r="C721" s="47">
        <f>I721+F721</f>
        <v>240</v>
      </c>
      <c r="D721" s="47">
        <f>J721+G721</f>
        <v>245</v>
      </c>
      <c r="E721" s="47">
        <f>SUM(F721:G721)</f>
        <v>0</v>
      </c>
      <c r="F721" s="47">
        <v>0</v>
      </c>
      <c r="G721" s="47">
        <v>0</v>
      </c>
      <c r="H721" s="47">
        <f>SUM(I721:J721)</f>
        <v>485</v>
      </c>
      <c r="I721" s="47">
        <v>240</v>
      </c>
      <c r="J721" s="47">
        <v>245</v>
      </c>
      <c r="K721" s="188" t="s">
        <v>233</v>
      </c>
      <c r="L721" s="134"/>
    </row>
    <row r="722" spans="1:12" ht="15" customHeight="1" thickBot="1" x14ac:dyDescent="0.25">
      <c r="A722" s="253"/>
      <c r="B722" s="47">
        <f>SUM(C722:D722)</f>
        <v>0</v>
      </c>
      <c r="C722" s="47">
        <f>I722+F722</f>
        <v>0</v>
      </c>
      <c r="D722" s="47">
        <f>J722+G722</f>
        <v>0</v>
      </c>
      <c r="E722" s="47">
        <f>SUM(F722:G722)</f>
        <v>0</v>
      </c>
      <c r="F722" s="47">
        <v>0</v>
      </c>
      <c r="G722" s="47">
        <v>0</v>
      </c>
      <c r="H722" s="47">
        <f>SUM(I722:J722)</f>
        <v>0</v>
      </c>
      <c r="I722" s="47">
        <v>0</v>
      </c>
      <c r="J722" s="47">
        <v>0</v>
      </c>
      <c r="K722" s="188" t="s">
        <v>234</v>
      </c>
      <c r="L722" s="134" t="s">
        <v>347</v>
      </c>
    </row>
    <row r="723" spans="1:12" ht="15" customHeight="1" thickBot="1" x14ac:dyDescent="0.25">
      <c r="A723" s="253"/>
      <c r="B723" s="47">
        <f t="shared" ref="B723:J723" si="206">SUM(B721:B722)</f>
        <v>485</v>
      </c>
      <c r="C723" s="47">
        <f t="shared" si="206"/>
        <v>240</v>
      </c>
      <c r="D723" s="47">
        <f t="shared" si="206"/>
        <v>245</v>
      </c>
      <c r="E723" s="47">
        <f t="shared" si="206"/>
        <v>0</v>
      </c>
      <c r="F723" s="47">
        <f t="shared" si="206"/>
        <v>0</v>
      </c>
      <c r="G723" s="47">
        <f t="shared" si="206"/>
        <v>0</v>
      </c>
      <c r="H723" s="47">
        <f t="shared" si="206"/>
        <v>485</v>
      </c>
      <c r="I723" s="47">
        <f t="shared" si="206"/>
        <v>240</v>
      </c>
      <c r="J723" s="47">
        <f t="shared" si="206"/>
        <v>245</v>
      </c>
      <c r="K723" s="188" t="s">
        <v>12</v>
      </c>
      <c r="L723" s="239"/>
    </row>
    <row r="724" spans="1:12" ht="15" customHeight="1" thickBot="1" x14ac:dyDescent="0.25">
      <c r="A724" s="253"/>
      <c r="B724" s="47">
        <f>SUM(C724:D724)</f>
        <v>361</v>
      </c>
      <c r="C724" s="47">
        <f>I724+F724</f>
        <v>0</v>
      </c>
      <c r="D724" s="47">
        <f>J724+G724</f>
        <v>361</v>
      </c>
      <c r="E724" s="47">
        <f>SUM(F724:G724)</f>
        <v>0</v>
      </c>
      <c r="F724" s="47">
        <v>0</v>
      </c>
      <c r="G724" s="47">
        <v>0</v>
      </c>
      <c r="H724" s="47">
        <f>SUM(I724:J724)</f>
        <v>361</v>
      </c>
      <c r="I724" s="47">
        <v>0</v>
      </c>
      <c r="J724" s="47">
        <v>361</v>
      </c>
      <c r="K724" s="188" t="s">
        <v>233</v>
      </c>
      <c r="L724" s="134"/>
    </row>
    <row r="725" spans="1:12" ht="15" customHeight="1" thickBot="1" x14ac:dyDescent="0.25">
      <c r="A725" s="253"/>
      <c r="B725" s="47">
        <f>SUM(C725:D725)</f>
        <v>0</v>
      </c>
      <c r="C725" s="47">
        <f>I725+F725</f>
        <v>0</v>
      </c>
      <c r="D725" s="47">
        <f>J725+G725</f>
        <v>0</v>
      </c>
      <c r="E725" s="47">
        <f>SUM(F725:G725)</f>
        <v>0</v>
      </c>
      <c r="F725" s="47">
        <v>0</v>
      </c>
      <c r="G725" s="47">
        <v>0</v>
      </c>
      <c r="H725" s="47">
        <f>SUM(I725:J725)</f>
        <v>0</v>
      </c>
      <c r="I725" s="47">
        <v>0</v>
      </c>
      <c r="J725" s="47">
        <v>0</v>
      </c>
      <c r="K725" s="188" t="s">
        <v>234</v>
      </c>
      <c r="L725" s="134" t="s">
        <v>454</v>
      </c>
    </row>
    <row r="726" spans="1:12" ht="15" customHeight="1" thickBot="1" x14ac:dyDescent="0.25">
      <c r="A726" s="253"/>
      <c r="B726" s="47">
        <f t="shared" ref="B726:J726" si="207">SUM(B724:B725)</f>
        <v>361</v>
      </c>
      <c r="C726" s="47">
        <f t="shared" si="207"/>
        <v>0</v>
      </c>
      <c r="D726" s="47">
        <f t="shared" si="207"/>
        <v>361</v>
      </c>
      <c r="E726" s="47">
        <f t="shared" si="207"/>
        <v>0</v>
      </c>
      <c r="F726" s="47">
        <f t="shared" si="207"/>
        <v>0</v>
      </c>
      <c r="G726" s="47">
        <f t="shared" si="207"/>
        <v>0</v>
      </c>
      <c r="H726" s="47">
        <f t="shared" si="207"/>
        <v>361</v>
      </c>
      <c r="I726" s="47">
        <f t="shared" si="207"/>
        <v>0</v>
      </c>
      <c r="J726" s="47">
        <f t="shared" si="207"/>
        <v>361</v>
      </c>
      <c r="K726" s="188" t="s">
        <v>12</v>
      </c>
      <c r="L726" s="239"/>
    </row>
    <row r="727" spans="1:12" ht="15" customHeight="1" thickBot="1" x14ac:dyDescent="0.25">
      <c r="A727" s="253"/>
      <c r="B727" s="47">
        <f>SUM(C727:D727)</f>
        <v>996</v>
      </c>
      <c r="C727" s="47">
        <f>I727+F727</f>
        <v>996</v>
      </c>
      <c r="D727" s="47">
        <f>J727+G727</f>
        <v>0</v>
      </c>
      <c r="E727" s="47">
        <f>SUM(F727:G727)</f>
        <v>0</v>
      </c>
      <c r="F727" s="47">
        <v>0</v>
      </c>
      <c r="G727" s="47">
        <v>0</v>
      </c>
      <c r="H727" s="47">
        <f>SUM(I727:J727)</f>
        <v>996</v>
      </c>
      <c r="I727" s="47">
        <v>996</v>
      </c>
      <c r="J727" s="47">
        <v>0</v>
      </c>
      <c r="K727" s="188" t="s">
        <v>233</v>
      </c>
      <c r="L727" s="134"/>
    </row>
    <row r="728" spans="1:12" ht="15" customHeight="1" thickBot="1" x14ac:dyDescent="0.25">
      <c r="A728" s="253"/>
      <c r="B728" s="47">
        <f>SUM(C728:D728)</f>
        <v>521</v>
      </c>
      <c r="C728" s="47">
        <f>I728+F728</f>
        <v>521</v>
      </c>
      <c r="D728" s="47">
        <f>J728+G728</f>
        <v>0</v>
      </c>
      <c r="E728" s="47">
        <f>SUM(F728:G728)</f>
        <v>0</v>
      </c>
      <c r="F728" s="47">
        <v>0</v>
      </c>
      <c r="G728" s="47">
        <v>0</v>
      </c>
      <c r="H728" s="47">
        <f>SUM(I728:J728)</f>
        <v>521</v>
      </c>
      <c r="I728" s="47">
        <v>521</v>
      </c>
      <c r="J728" s="47">
        <v>0</v>
      </c>
      <c r="K728" s="188" t="s">
        <v>234</v>
      </c>
      <c r="L728" s="134" t="s">
        <v>503</v>
      </c>
    </row>
    <row r="729" spans="1:12" ht="15" customHeight="1" thickBot="1" x14ac:dyDescent="0.25">
      <c r="A729" s="253"/>
      <c r="B729" s="47">
        <f t="shared" ref="B729:J729" si="208">SUM(B727:B728)</f>
        <v>1517</v>
      </c>
      <c r="C729" s="47">
        <f t="shared" si="208"/>
        <v>1517</v>
      </c>
      <c r="D729" s="47">
        <f t="shared" si="208"/>
        <v>0</v>
      </c>
      <c r="E729" s="47">
        <f t="shared" si="208"/>
        <v>0</v>
      </c>
      <c r="F729" s="47">
        <f t="shared" si="208"/>
        <v>0</v>
      </c>
      <c r="G729" s="47">
        <f t="shared" si="208"/>
        <v>0</v>
      </c>
      <c r="H729" s="47">
        <f t="shared" si="208"/>
        <v>1517</v>
      </c>
      <c r="I729" s="47">
        <f t="shared" si="208"/>
        <v>1517</v>
      </c>
      <c r="J729" s="47">
        <f t="shared" si="208"/>
        <v>0</v>
      </c>
      <c r="K729" s="188" t="s">
        <v>12</v>
      </c>
      <c r="L729" s="239"/>
    </row>
    <row r="730" spans="1:12" ht="15" customHeight="1" thickBot="1" x14ac:dyDescent="0.25">
      <c r="A730" s="253"/>
      <c r="B730" s="47">
        <f>SUM(C730:D730)</f>
        <v>2505</v>
      </c>
      <c r="C730" s="47">
        <f>I730+F730</f>
        <v>2505</v>
      </c>
      <c r="D730" s="47">
        <f>J730+G730</f>
        <v>0</v>
      </c>
      <c r="E730" s="47">
        <f>SUM(F730:G730)</f>
        <v>0</v>
      </c>
      <c r="F730" s="47">
        <v>0</v>
      </c>
      <c r="G730" s="47">
        <v>0</v>
      </c>
      <c r="H730" s="47">
        <f>SUM(I730:J730)</f>
        <v>2505</v>
      </c>
      <c r="I730" s="47">
        <f>5005-2500</f>
        <v>2505</v>
      </c>
      <c r="J730" s="47">
        <v>0</v>
      </c>
      <c r="K730" s="188" t="s">
        <v>233</v>
      </c>
      <c r="L730" s="134"/>
    </row>
    <row r="731" spans="1:12" ht="15" customHeight="1" thickBot="1" x14ac:dyDescent="0.25">
      <c r="A731" s="253"/>
      <c r="B731" s="47">
        <f>SUM(C731:D731)</f>
        <v>330</v>
      </c>
      <c r="C731" s="47">
        <f>I731+F731</f>
        <v>330</v>
      </c>
      <c r="D731" s="47">
        <f>J731+G731</f>
        <v>0</v>
      </c>
      <c r="E731" s="47">
        <f>SUM(F731:G731)</f>
        <v>0</v>
      </c>
      <c r="F731" s="47">
        <v>0</v>
      </c>
      <c r="G731" s="47">
        <v>0</v>
      </c>
      <c r="H731" s="47">
        <f>SUM(I731:J731)</f>
        <v>330</v>
      </c>
      <c r="I731" s="47">
        <v>330</v>
      </c>
      <c r="J731" s="47">
        <v>0</v>
      </c>
      <c r="K731" s="188" t="s">
        <v>234</v>
      </c>
      <c r="L731" s="134" t="s">
        <v>504</v>
      </c>
    </row>
    <row r="732" spans="1:12" ht="15" customHeight="1" thickBot="1" x14ac:dyDescent="0.25">
      <c r="A732" s="253"/>
      <c r="B732" s="47">
        <f t="shared" ref="B732:J732" si="209">SUM(B730:B731)</f>
        <v>2835</v>
      </c>
      <c r="C732" s="47">
        <f t="shared" si="209"/>
        <v>2835</v>
      </c>
      <c r="D732" s="47">
        <f t="shared" si="209"/>
        <v>0</v>
      </c>
      <c r="E732" s="47">
        <f t="shared" si="209"/>
        <v>0</v>
      </c>
      <c r="F732" s="47">
        <f t="shared" si="209"/>
        <v>0</v>
      </c>
      <c r="G732" s="47">
        <f t="shared" si="209"/>
        <v>0</v>
      </c>
      <c r="H732" s="47">
        <f t="shared" si="209"/>
        <v>2835</v>
      </c>
      <c r="I732" s="47">
        <f t="shared" si="209"/>
        <v>2835</v>
      </c>
      <c r="J732" s="47">
        <f t="shared" si="209"/>
        <v>0</v>
      </c>
      <c r="K732" s="188" t="s">
        <v>12</v>
      </c>
      <c r="L732" s="239"/>
    </row>
    <row r="733" spans="1:12" ht="15" customHeight="1" thickBot="1" x14ac:dyDescent="0.25">
      <c r="A733" s="253"/>
      <c r="B733" s="47">
        <f>SUM(C733:D733)</f>
        <v>1429</v>
      </c>
      <c r="C733" s="47">
        <f>I733+F733</f>
        <v>0</v>
      </c>
      <c r="D733" s="47">
        <f>J733+G733</f>
        <v>1429</v>
      </c>
      <c r="E733" s="47">
        <f>SUM(F733:G733)</f>
        <v>0</v>
      </c>
      <c r="F733" s="47">
        <v>0</v>
      </c>
      <c r="G733" s="47">
        <v>0</v>
      </c>
      <c r="H733" s="47">
        <f>SUM(I733:J733)</f>
        <v>1429</v>
      </c>
      <c r="I733" s="47">
        <v>0</v>
      </c>
      <c r="J733" s="47">
        <v>1429</v>
      </c>
      <c r="K733" s="188" t="s">
        <v>233</v>
      </c>
      <c r="L733" s="134"/>
    </row>
    <row r="734" spans="1:12" ht="15" customHeight="1" thickBot="1" x14ac:dyDescent="0.25">
      <c r="A734" s="253"/>
      <c r="B734" s="47">
        <f>SUM(C734:D734)</f>
        <v>531</v>
      </c>
      <c r="C734" s="47">
        <f>I734+F734</f>
        <v>0</v>
      </c>
      <c r="D734" s="47">
        <f>J734+G734</f>
        <v>531</v>
      </c>
      <c r="E734" s="47">
        <f>SUM(F734:G734)</f>
        <v>0</v>
      </c>
      <c r="F734" s="47">
        <v>0</v>
      </c>
      <c r="G734" s="47">
        <v>0</v>
      </c>
      <c r="H734" s="47">
        <f>SUM(I734:J734)</f>
        <v>531</v>
      </c>
      <c r="I734" s="47">
        <v>0</v>
      </c>
      <c r="J734" s="47">
        <v>531</v>
      </c>
      <c r="K734" s="188" t="s">
        <v>234</v>
      </c>
      <c r="L734" s="134" t="s">
        <v>505</v>
      </c>
    </row>
    <row r="735" spans="1:12" ht="15" customHeight="1" thickBot="1" x14ac:dyDescent="0.25">
      <c r="A735" s="253"/>
      <c r="B735" s="47">
        <f t="shared" ref="B735:J735" si="210">SUM(B733:B734)</f>
        <v>1960</v>
      </c>
      <c r="C735" s="47">
        <f t="shared" si="210"/>
        <v>0</v>
      </c>
      <c r="D735" s="47">
        <f t="shared" si="210"/>
        <v>1960</v>
      </c>
      <c r="E735" s="47">
        <f t="shared" si="210"/>
        <v>0</v>
      </c>
      <c r="F735" s="47">
        <f t="shared" si="210"/>
        <v>0</v>
      </c>
      <c r="G735" s="47">
        <f t="shared" si="210"/>
        <v>0</v>
      </c>
      <c r="H735" s="47">
        <f t="shared" si="210"/>
        <v>1960</v>
      </c>
      <c r="I735" s="47">
        <f t="shared" si="210"/>
        <v>0</v>
      </c>
      <c r="J735" s="47">
        <f t="shared" si="210"/>
        <v>1960</v>
      </c>
      <c r="K735" s="188" t="s">
        <v>12</v>
      </c>
      <c r="L735" s="239"/>
    </row>
    <row r="736" spans="1:12" ht="15" customHeight="1" thickBot="1" x14ac:dyDescent="0.25">
      <c r="A736" s="253"/>
      <c r="B736" s="47">
        <f>SUM(C736:D736)</f>
        <v>2611</v>
      </c>
      <c r="C736" s="47">
        <f>I736+F736</f>
        <v>2611</v>
      </c>
      <c r="D736" s="47">
        <f>J736+G736</f>
        <v>0</v>
      </c>
      <c r="E736" s="47">
        <f>SUM(F736:G736)</f>
        <v>15</v>
      </c>
      <c r="F736" s="47">
        <v>15</v>
      </c>
      <c r="G736" s="47">
        <v>0</v>
      </c>
      <c r="H736" s="47">
        <f>SUM(I736:J736)</f>
        <v>2596</v>
      </c>
      <c r="I736" s="47">
        <f>4096-1500</f>
        <v>2596</v>
      </c>
      <c r="J736" s="47">
        <v>0</v>
      </c>
      <c r="K736" s="188" t="s">
        <v>233</v>
      </c>
      <c r="L736" s="134"/>
    </row>
    <row r="737" spans="1:12" ht="15" customHeight="1" thickBot="1" x14ac:dyDescent="0.25">
      <c r="A737" s="253"/>
      <c r="B737" s="47">
        <f>SUM(C737:D737)</f>
        <v>61</v>
      </c>
      <c r="C737" s="47">
        <f>I737+F737</f>
        <v>61</v>
      </c>
      <c r="D737" s="47">
        <f>J737+G737</f>
        <v>0</v>
      </c>
      <c r="E737" s="47">
        <f>SUM(F737:G737)</f>
        <v>0</v>
      </c>
      <c r="F737" s="47">
        <v>0</v>
      </c>
      <c r="G737" s="47">
        <v>0</v>
      </c>
      <c r="H737" s="47">
        <f>SUM(I737:J737)</f>
        <v>61</v>
      </c>
      <c r="I737" s="47">
        <v>61</v>
      </c>
      <c r="J737" s="47">
        <v>0</v>
      </c>
      <c r="K737" s="188" t="s">
        <v>234</v>
      </c>
      <c r="L737" s="134" t="s">
        <v>506</v>
      </c>
    </row>
    <row r="738" spans="1:12" ht="15" customHeight="1" thickBot="1" x14ac:dyDescent="0.25">
      <c r="A738" s="253"/>
      <c r="B738" s="47">
        <f t="shared" ref="B738:J738" si="211">SUM(B736:B737)</f>
        <v>2672</v>
      </c>
      <c r="C738" s="47">
        <f t="shared" si="211"/>
        <v>2672</v>
      </c>
      <c r="D738" s="47">
        <f t="shared" si="211"/>
        <v>0</v>
      </c>
      <c r="E738" s="47">
        <f t="shared" si="211"/>
        <v>15</v>
      </c>
      <c r="F738" s="47">
        <f t="shared" si="211"/>
        <v>15</v>
      </c>
      <c r="G738" s="47">
        <f t="shared" si="211"/>
        <v>0</v>
      </c>
      <c r="H738" s="47">
        <f t="shared" si="211"/>
        <v>2657</v>
      </c>
      <c r="I738" s="47">
        <f t="shared" si="211"/>
        <v>2657</v>
      </c>
      <c r="J738" s="47">
        <f t="shared" si="211"/>
        <v>0</v>
      </c>
      <c r="K738" s="188" t="s">
        <v>12</v>
      </c>
      <c r="L738" s="239"/>
    </row>
    <row r="739" spans="1:12" ht="15" customHeight="1" thickBot="1" x14ac:dyDescent="0.25">
      <c r="A739" s="253"/>
      <c r="B739" s="47">
        <f>SUM(C739:D739)</f>
        <v>103</v>
      </c>
      <c r="C739" s="47">
        <f>I739+F739</f>
        <v>0</v>
      </c>
      <c r="D739" s="47">
        <f>J739+G739</f>
        <v>103</v>
      </c>
      <c r="E739" s="47">
        <f>SUM(F739:G739)</f>
        <v>0</v>
      </c>
      <c r="F739" s="47">
        <v>0</v>
      </c>
      <c r="G739" s="47">
        <v>0</v>
      </c>
      <c r="H739" s="47">
        <f>SUM(I739:J739)</f>
        <v>103</v>
      </c>
      <c r="I739" s="47">
        <v>0</v>
      </c>
      <c r="J739" s="47">
        <v>103</v>
      </c>
      <c r="K739" s="188" t="s">
        <v>233</v>
      </c>
      <c r="L739" s="134"/>
    </row>
    <row r="740" spans="1:12" ht="15" customHeight="1" thickBot="1" x14ac:dyDescent="0.25">
      <c r="A740" s="253"/>
      <c r="B740" s="47">
        <f>SUM(C740:D740)</f>
        <v>0</v>
      </c>
      <c r="C740" s="47">
        <f>I740+F740</f>
        <v>0</v>
      </c>
      <c r="D740" s="47">
        <f>J740+G740</f>
        <v>0</v>
      </c>
      <c r="E740" s="47">
        <f>SUM(F740:G740)</f>
        <v>0</v>
      </c>
      <c r="F740" s="47">
        <v>0</v>
      </c>
      <c r="G740" s="47">
        <v>0</v>
      </c>
      <c r="H740" s="47">
        <f>SUM(I740:J740)</f>
        <v>0</v>
      </c>
      <c r="I740" s="47">
        <v>0</v>
      </c>
      <c r="J740" s="47">
        <v>0</v>
      </c>
      <c r="K740" s="188" t="s">
        <v>234</v>
      </c>
      <c r="L740" s="134" t="s">
        <v>507</v>
      </c>
    </row>
    <row r="741" spans="1:12" ht="15" customHeight="1" thickBot="1" x14ac:dyDescent="0.25">
      <c r="A741" s="253"/>
      <c r="B741" s="47">
        <f t="shared" ref="B741:J741" si="212">SUM(B739:B740)</f>
        <v>103</v>
      </c>
      <c r="C741" s="47">
        <f t="shared" si="212"/>
        <v>0</v>
      </c>
      <c r="D741" s="47">
        <f t="shared" si="212"/>
        <v>103</v>
      </c>
      <c r="E741" s="47">
        <f t="shared" si="212"/>
        <v>0</v>
      </c>
      <c r="F741" s="47">
        <f t="shared" si="212"/>
        <v>0</v>
      </c>
      <c r="G741" s="47">
        <f t="shared" si="212"/>
        <v>0</v>
      </c>
      <c r="H741" s="47">
        <f t="shared" si="212"/>
        <v>103</v>
      </c>
      <c r="I741" s="47">
        <f t="shared" si="212"/>
        <v>0</v>
      </c>
      <c r="J741" s="47">
        <f t="shared" si="212"/>
        <v>103</v>
      </c>
      <c r="K741" s="188" t="s">
        <v>12</v>
      </c>
      <c r="L741" s="239"/>
    </row>
    <row r="742" spans="1:12" ht="15" customHeight="1" thickBot="1" x14ac:dyDescent="0.25">
      <c r="A742" s="253"/>
      <c r="B742" s="47">
        <f>SUM(C742:D742)</f>
        <v>228</v>
      </c>
      <c r="C742" s="47">
        <f>I742+F742</f>
        <v>228</v>
      </c>
      <c r="D742" s="47">
        <f>J742+G742</f>
        <v>0</v>
      </c>
      <c r="E742" s="47">
        <f>SUM(F742:G742)</f>
        <v>0</v>
      </c>
      <c r="F742" s="47">
        <v>0</v>
      </c>
      <c r="G742" s="47">
        <v>0</v>
      </c>
      <c r="H742" s="47">
        <f>SUM(I742:J742)</f>
        <v>228</v>
      </c>
      <c r="I742" s="47">
        <v>228</v>
      </c>
      <c r="J742" s="47">
        <v>0</v>
      </c>
      <c r="K742" s="188" t="s">
        <v>233</v>
      </c>
      <c r="L742" s="134"/>
    </row>
    <row r="743" spans="1:12" ht="15" customHeight="1" thickBot="1" x14ac:dyDescent="0.25">
      <c r="A743" s="253"/>
      <c r="B743" s="47">
        <f>SUM(C743:D743)</f>
        <v>0</v>
      </c>
      <c r="C743" s="47">
        <f>I743+F743</f>
        <v>0</v>
      </c>
      <c r="D743" s="47">
        <f>J743+G743</f>
        <v>0</v>
      </c>
      <c r="E743" s="47">
        <f>SUM(F743:G743)</f>
        <v>0</v>
      </c>
      <c r="F743" s="47">
        <v>0</v>
      </c>
      <c r="G743" s="47">
        <v>0</v>
      </c>
      <c r="H743" s="47">
        <f>SUM(I743:J743)</f>
        <v>0</v>
      </c>
      <c r="I743" s="47">
        <v>0</v>
      </c>
      <c r="J743" s="47">
        <v>0</v>
      </c>
      <c r="K743" s="188" t="s">
        <v>234</v>
      </c>
      <c r="L743" s="134" t="s">
        <v>664</v>
      </c>
    </row>
    <row r="744" spans="1:12" ht="15" customHeight="1" thickBot="1" x14ac:dyDescent="0.25">
      <c r="A744" s="253"/>
      <c r="B744" s="47">
        <f t="shared" ref="B744:J744" si="213">SUM(B742:B743)</f>
        <v>228</v>
      </c>
      <c r="C744" s="47">
        <f t="shared" si="213"/>
        <v>228</v>
      </c>
      <c r="D744" s="47">
        <f t="shared" si="213"/>
        <v>0</v>
      </c>
      <c r="E744" s="47">
        <f t="shared" si="213"/>
        <v>0</v>
      </c>
      <c r="F744" s="47">
        <f t="shared" si="213"/>
        <v>0</v>
      </c>
      <c r="G744" s="47">
        <f t="shared" si="213"/>
        <v>0</v>
      </c>
      <c r="H744" s="47">
        <f t="shared" si="213"/>
        <v>228</v>
      </c>
      <c r="I744" s="47">
        <f t="shared" si="213"/>
        <v>228</v>
      </c>
      <c r="J744" s="47">
        <f t="shared" si="213"/>
        <v>0</v>
      </c>
      <c r="K744" s="188" t="s">
        <v>12</v>
      </c>
      <c r="L744" s="239" t="s">
        <v>665</v>
      </c>
    </row>
    <row r="745" spans="1:12" ht="15" customHeight="1" thickBot="1" x14ac:dyDescent="0.25">
      <c r="A745" s="253"/>
      <c r="B745" s="47">
        <f t="shared" ref="B745:J747" si="214">B718+B721+B724+B727+B730+B733+B736+B739+B742</f>
        <v>12434</v>
      </c>
      <c r="C745" s="47">
        <f t="shared" si="214"/>
        <v>7403</v>
      </c>
      <c r="D745" s="47">
        <f t="shared" si="214"/>
        <v>5031</v>
      </c>
      <c r="E745" s="47">
        <f t="shared" si="214"/>
        <v>15</v>
      </c>
      <c r="F745" s="47">
        <f t="shared" si="214"/>
        <v>15</v>
      </c>
      <c r="G745" s="47">
        <f t="shared" si="214"/>
        <v>0</v>
      </c>
      <c r="H745" s="47">
        <f t="shared" si="214"/>
        <v>12419</v>
      </c>
      <c r="I745" s="47">
        <f t="shared" si="214"/>
        <v>7388</v>
      </c>
      <c r="J745" s="47">
        <f t="shared" si="214"/>
        <v>5031</v>
      </c>
      <c r="K745" s="188" t="s">
        <v>236</v>
      </c>
      <c r="L745" s="131"/>
    </row>
    <row r="746" spans="1:12" ht="15" customHeight="1" thickBot="1" x14ac:dyDescent="0.25">
      <c r="A746" s="253"/>
      <c r="B746" s="47">
        <f t="shared" si="214"/>
        <v>1443</v>
      </c>
      <c r="C746" s="47">
        <f t="shared" si="214"/>
        <v>912</v>
      </c>
      <c r="D746" s="47">
        <f t="shared" si="214"/>
        <v>531</v>
      </c>
      <c r="E746" s="47">
        <f t="shared" si="214"/>
        <v>0</v>
      </c>
      <c r="F746" s="47">
        <f t="shared" si="214"/>
        <v>0</v>
      </c>
      <c r="G746" s="47">
        <f t="shared" si="214"/>
        <v>0</v>
      </c>
      <c r="H746" s="47">
        <f t="shared" si="214"/>
        <v>1443</v>
      </c>
      <c r="I746" s="47">
        <f t="shared" si="214"/>
        <v>912</v>
      </c>
      <c r="J746" s="47">
        <f t="shared" si="214"/>
        <v>531</v>
      </c>
      <c r="K746" s="188" t="s">
        <v>237</v>
      </c>
      <c r="L746" s="132" t="s">
        <v>188</v>
      </c>
    </row>
    <row r="747" spans="1:12" ht="15" customHeight="1" thickBot="1" x14ac:dyDescent="0.25">
      <c r="A747" s="253"/>
      <c r="B747" s="47">
        <f t="shared" si="214"/>
        <v>13877</v>
      </c>
      <c r="C747" s="47">
        <f t="shared" si="214"/>
        <v>8315</v>
      </c>
      <c r="D747" s="47">
        <f t="shared" si="214"/>
        <v>5562</v>
      </c>
      <c r="E747" s="47">
        <f t="shared" si="214"/>
        <v>15</v>
      </c>
      <c r="F747" s="47">
        <f t="shared" si="214"/>
        <v>15</v>
      </c>
      <c r="G747" s="47">
        <f t="shared" si="214"/>
        <v>0</v>
      </c>
      <c r="H747" s="47">
        <f t="shared" si="214"/>
        <v>13862</v>
      </c>
      <c r="I747" s="47">
        <f t="shared" si="214"/>
        <v>8300</v>
      </c>
      <c r="J747" s="47">
        <f t="shared" si="214"/>
        <v>5562</v>
      </c>
      <c r="K747" s="188" t="s">
        <v>12</v>
      </c>
      <c r="L747" s="133"/>
    </row>
    <row r="748" spans="1:12" ht="15" customHeight="1" thickBot="1" x14ac:dyDescent="0.25">
      <c r="A748" s="253"/>
      <c r="B748" s="476" t="s">
        <v>4</v>
      </c>
      <c r="C748" s="476"/>
      <c r="D748" s="476"/>
      <c r="E748" s="476" t="s">
        <v>145</v>
      </c>
      <c r="F748" s="476"/>
      <c r="G748" s="476"/>
      <c r="H748" s="476" t="s">
        <v>146</v>
      </c>
      <c r="I748" s="476"/>
      <c r="J748" s="476"/>
      <c r="K748" s="479" t="s">
        <v>66</v>
      </c>
      <c r="L748" s="479"/>
    </row>
    <row r="749" spans="1:12" ht="15" customHeight="1" thickBot="1" x14ac:dyDescent="0.25">
      <c r="A749" s="253"/>
      <c r="B749" s="185" t="s">
        <v>227</v>
      </c>
      <c r="C749" s="185" t="s">
        <v>10</v>
      </c>
      <c r="D749" s="185" t="s">
        <v>9</v>
      </c>
      <c r="E749" s="185" t="s">
        <v>227</v>
      </c>
      <c r="F749" s="185" t="s">
        <v>10</v>
      </c>
      <c r="G749" s="185" t="s">
        <v>9</v>
      </c>
      <c r="H749" s="185" t="s">
        <v>227</v>
      </c>
      <c r="I749" s="185" t="s">
        <v>10</v>
      </c>
      <c r="J749" s="185" t="s">
        <v>9</v>
      </c>
      <c r="K749" s="480" t="s">
        <v>106</v>
      </c>
      <c r="L749" s="480"/>
    </row>
    <row r="750" spans="1:12" ht="15" customHeight="1" thickBot="1" x14ac:dyDescent="0.25">
      <c r="A750" s="253"/>
      <c r="B750" s="47">
        <f>SUM(C750:D750)</f>
        <v>2133</v>
      </c>
      <c r="C750" s="47">
        <f>I750+F750</f>
        <v>0</v>
      </c>
      <c r="D750" s="47">
        <f>J750+G750</f>
        <v>2133</v>
      </c>
      <c r="E750" s="47">
        <f>SUM(F750:G750)</f>
        <v>0</v>
      </c>
      <c r="F750" s="47">
        <v>0</v>
      </c>
      <c r="G750" s="47">
        <v>0</v>
      </c>
      <c r="H750" s="47">
        <f>SUM(I750:J750)</f>
        <v>2133</v>
      </c>
      <c r="I750" s="47">
        <v>0</v>
      </c>
      <c r="J750" s="47">
        <f>4133-2000</f>
        <v>2133</v>
      </c>
      <c r="K750" s="188" t="s">
        <v>233</v>
      </c>
      <c r="L750" s="134"/>
    </row>
    <row r="751" spans="1:12" ht="15" customHeight="1" thickBot="1" x14ac:dyDescent="0.25">
      <c r="A751" s="253"/>
      <c r="B751" s="47">
        <f>SUM(C751:D751)</f>
        <v>0</v>
      </c>
      <c r="C751" s="47">
        <f>I751+F751</f>
        <v>0</v>
      </c>
      <c r="D751" s="47">
        <f>J751+G751</f>
        <v>0</v>
      </c>
      <c r="E751" s="47">
        <f>SUM(F751:G751)</f>
        <v>0</v>
      </c>
      <c r="F751" s="47">
        <v>0</v>
      </c>
      <c r="G751" s="47">
        <v>0</v>
      </c>
      <c r="H751" s="47">
        <f>SUM(I751:J751)</f>
        <v>0</v>
      </c>
      <c r="I751" s="47">
        <v>0</v>
      </c>
      <c r="J751" s="47">
        <v>0</v>
      </c>
      <c r="K751" s="188" t="s">
        <v>234</v>
      </c>
      <c r="L751" s="134" t="s">
        <v>279</v>
      </c>
    </row>
    <row r="752" spans="1:12" ht="15" customHeight="1" thickBot="1" x14ac:dyDescent="0.25">
      <c r="A752" s="253"/>
      <c r="B752" s="47">
        <f t="shared" ref="B752:J752" si="215">SUM(B750:B751)</f>
        <v>2133</v>
      </c>
      <c r="C752" s="47">
        <f t="shared" si="215"/>
        <v>0</v>
      </c>
      <c r="D752" s="47">
        <f t="shared" si="215"/>
        <v>2133</v>
      </c>
      <c r="E752" s="47">
        <f t="shared" si="215"/>
        <v>0</v>
      </c>
      <c r="F752" s="47">
        <f t="shared" si="215"/>
        <v>0</v>
      </c>
      <c r="G752" s="47">
        <f t="shared" si="215"/>
        <v>0</v>
      </c>
      <c r="H752" s="47">
        <f t="shared" si="215"/>
        <v>2133</v>
      </c>
      <c r="I752" s="47">
        <f t="shared" si="215"/>
        <v>0</v>
      </c>
      <c r="J752" s="47">
        <f t="shared" si="215"/>
        <v>2133</v>
      </c>
      <c r="K752" s="188" t="s">
        <v>12</v>
      </c>
      <c r="L752" s="239"/>
    </row>
    <row r="753" spans="1:12" ht="15" customHeight="1" thickBot="1" x14ac:dyDescent="0.25">
      <c r="A753" s="253"/>
      <c r="B753" s="47">
        <f>SUM(C753:D753)</f>
        <v>878</v>
      </c>
      <c r="C753" s="47">
        <f>I753+F753</f>
        <v>0</v>
      </c>
      <c r="D753" s="47">
        <f>J753+G753</f>
        <v>878</v>
      </c>
      <c r="E753" s="47">
        <f>SUM(F753:G753)</f>
        <v>0</v>
      </c>
      <c r="F753" s="47">
        <v>0</v>
      </c>
      <c r="G753" s="47">
        <v>0</v>
      </c>
      <c r="H753" s="47">
        <f>SUM(I753:J753)</f>
        <v>878</v>
      </c>
      <c r="I753" s="47">
        <v>0</v>
      </c>
      <c r="J753" s="47">
        <f>1212-334</f>
        <v>878</v>
      </c>
      <c r="K753" s="188" t="s">
        <v>233</v>
      </c>
      <c r="L753" s="134"/>
    </row>
    <row r="754" spans="1:12" ht="15" customHeight="1" thickBot="1" x14ac:dyDescent="0.25">
      <c r="A754" s="253"/>
      <c r="B754" s="47">
        <f>SUM(C754:D754)</f>
        <v>0</v>
      </c>
      <c r="C754" s="47">
        <f>I754+F754</f>
        <v>0</v>
      </c>
      <c r="D754" s="47">
        <f>J754+G754</f>
        <v>0</v>
      </c>
      <c r="E754" s="47">
        <f>SUM(F754:G754)</f>
        <v>0</v>
      </c>
      <c r="F754" s="47">
        <v>0</v>
      </c>
      <c r="G754" s="47">
        <v>0</v>
      </c>
      <c r="H754" s="47">
        <f>SUM(I754:J754)</f>
        <v>0</v>
      </c>
      <c r="I754" s="47">
        <v>0</v>
      </c>
      <c r="J754" s="47">
        <v>0</v>
      </c>
      <c r="K754" s="188" t="s">
        <v>234</v>
      </c>
      <c r="L754" s="134" t="s">
        <v>451</v>
      </c>
    </row>
    <row r="755" spans="1:12" ht="15" customHeight="1" thickBot="1" x14ac:dyDescent="0.25">
      <c r="A755" s="253"/>
      <c r="B755" s="47">
        <f t="shared" ref="B755:J755" si="216">SUM(B753:B754)</f>
        <v>878</v>
      </c>
      <c r="C755" s="47">
        <f t="shared" si="216"/>
        <v>0</v>
      </c>
      <c r="D755" s="47">
        <f t="shared" si="216"/>
        <v>878</v>
      </c>
      <c r="E755" s="47">
        <f t="shared" si="216"/>
        <v>0</v>
      </c>
      <c r="F755" s="47">
        <f t="shared" si="216"/>
        <v>0</v>
      </c>
      <c r="G755" s="47">
        <f t="shared" si="216"/>
        <v>0</v>
      </c>
      <c r="H755" s="47">
        <f t="shared" si="216"/>
        <v>878</v>
      </c>
      <c r="I755" s="47">
        <f t="shared" si="216"/>
        <v>0</v>
      </c>
      <c r="J755" s="47">
        <f t="shared" si="216"/>
        <v>878</v>
      </c>
      <c r="K755" s="188" t="s">
        <v>12</v>
      </c>
      <c r="L755" s="239"/>
    </row>
    <row r="756" spans="1:12" ht="15" customHeight="1" thickBot="1" x14ac:dyDescent="0.25">
      <c r="A756" s="253"/>
      <c r="B756" s="47">
        <f>SUM(C756:D756)</f>
        <v>1067</v>
      </c>
      <c r="C756" s="47">
        <f>I756+F756</f>
        <v>0</v>
      </c>
      <c r="D756" s="47">
        <f>J756+G756</f>
        <v>1067</v>
      </c>
      <c r="E756" s="47">
        <f>SUM(F756:G756)</f>
        <v>0</v>
      </c>
      <c r="F756" s="47">
        <v>0</v>
      </c>
      <c r="G756" s="47">
        <v>0</v>
      </c>
      <c r="H756" s="47">
        <f>SUM(I756:J756)</f>
        <v>1067</v>
      </c>
      <c r="I756" s="47">
        <v>0</v>
      </c>
      <c r="J756" s="47">
        <f>1367-300</f>
        <v>1067</v>
      </c>
      <c r="K756" s="188" t="s">
        <v>233</v>
      </c>
      <c r="L756" s="134"/>
    </row>
    <row r="757" spans="1:12" ht="15" customHeight="1" thickBot="1" x14ac:dyDescent="0.25">
      <c r="A757" s="253"/>
      <c r="B757" s="47">
        <f>SUM(C757:D757)</f>
        <v>0</v>
      </c>
      <c r="C757" s="47">
        <f>I757+F757</f>
        <v>0</v>
      </c>
      <c r="D757" s="47">
        <f>J757+G757</f>
        <v>0</v>
      </c>
      <c r="E757" s="47">
        <f>SUM(F757:G757)</f>
        <v>0</v>
      </c>
      <c r="F757" s="47">
        <v>0</v>
      </c>
      <c r="G757" s="47">
        <v>0</v>
      </c>
      <c r="H757" s="47">
        <f>SUM(I757:J757)</f>
        <v>0</v>
      </c>
      <c r="I757" s="47">
        <v>0</v>
      </c>
      <c r="J757" s="47">
        <v>0</v>
      </c>
      <c r="K757" s="188" t="s">
        <v>234</v>
      </c>
      <c r="L757" s="134" t="s">
        <v>454</v>
      </c>
    </row>
    <row r="758" spans="1:12" ht="15" customHeight="1" thickBot="1" x14ac:dyDescent="0.25">
      <c r="A758" s="253"/>
      <c r="B758" s="47">
        <f t="shared" ref="B758:J758" si="217">SUM(B756:B757)</f>
        <v>1067</v>
      </c>
      <c r="C758" s="47">
        <f t="shared" si="217"/>
        <v>0</v>
      </c>
      <c r="D758" s="47">
        <f t="shared" si="217"/>
        <v>1067</v>
      </c>
      <c r="E758" s="47">
        <f t="shared" si="217"/>
        <v>0</v>
      </c>
      <c r="F758" s="47">
        <f t="shared" si="217"/>
        <v>0</v>
      </c>
      <c r="G758" s="47">
        <f t="shared" si="217"/>
        <v>0</v>
      </c>
      <c r="H758" s="47">
        <f t="shared" si="217"/>
        <v>1067</v>
      </c>
      <c r="I758" s="47">
        <f t="shared" si="217"/>
        <v>0</v>
      </c>
      <c r="J758" s="47">
        <f t="shared" si="217"/>
        <v>1067</v>
      </c>
      <c r="K758" s="188" t="s">
        <v>12</v>
      </c>
      <c r="L758" s="239"/>
    </row>
    <row r="759" spans="1:12" ht="15" customHeight="1" thickBot="1" x14ac:dyDescent="0.25">
      <c r="A759" s="253"/>
      <c r="B759" s="47">
        <f>SUM(C759:D759)</f>
        <v>416</v>
      </c>
      <c r="C759" s="47">
        <f>I759+F759</f>
        <v>0</v>
      </c>
      <c r="D759" s="47">
        <f>J759+G759</f>
        <v>416</v>
      </c>
      <c r="E759" s="47">
        <f>SUM(F759:G759)</f>
        <v>0</v>
      </c>
      <c r="F759" s="47">
        <v>0</v>
      </c>
      <c r="G759" s="47">
        <v>0</v>
      </c>
      <c r="H759" s="47">
        <f>SUM(I759:J759)</f>
        <v>416</v>
      </c>
      <c r="I759" s="47">
        <v>0</v>
      </c>
      <c r="J759" s="47">
        <f>516-100</f>
        <v>416</v>
      </c>
      <c r="K759" s="188" t="s">
        <v>233</v>
      </c>
      <c r="L759" s="134"/>
    </row>
    <row r="760" spans="1:12" ht="15" customHeight="1" thickBot="1" x14ac:dyDescent="0.25">
      <c r="A760" s="253"/>
      <c r="B760" s="47">
        <f>SUM(C760:D760)</f>
        <v>0</v>
      </c>
      <c r="C760" s="47">
        <f>I760+F760</f>
        <v>0</v>
      </c>
      <c r="D760" s="47">
        <f>J760+G760</f>
        <v>0</v>
      </c>
      <c r="E760" s="47">
        <f>SUM(F760:G760)</f>
        <v>0</v>
      </c>
      <c r="F760" s="47">
        <v>0</v>
      </c>
      <c r="G760" s="47">
        <v>0</v>
      </c>
      <c r="H760" s="47">
        <f>SUM(I760:J760)</f>
        <v>0</v>
      </c>
      <c r="I760" s="47">
        <v>0</v>
      </c>
      <c r="J760" s="47">
        <v>0</v>
      </c>
      <c r="K760" s="188" t="s">
        <v>234</v>
      </c>
      <c r="L760" s="134" t="s">
        <v>344</v>
      </c>
    </row>
    <row r="761" spans="1:12" ht="15" customHeight="1" thickBot="1" x14ac:dyDescent="0.25">
      <c r="A761" s="253"/>
      <c r="B761" s="47">
        <f t="shared" ref="B761:J761" si="218">SUM(B759:B760)</f>
        <v>416</v>
      </c>
      <c r="C761" s="47">
        <f t="shared" si="218"/>
        <v>0</v>
      </c>
      <c r="D761" s="47">
        <f t="shared" si="218"/>
        <v>416</v>
      </c>
      <c r="E761" s="47">
        <f t="shared" si="218"/>
        <v>0</v>
      </c>
      <c r="F761" s="47">
        <f t="shared" si="218"/>
        <v>0</v>
      </c>
      <c r="G761" s="47">
        <f t="shared" si="218"/>
        <v>0</v>
      </c>
      <c r="H761" s="47">
        <f t="shared" si="218"/>
        <v>416</v>
      </c>
      <c r="I761" s="47">
        <f t="shared" si="218"/>
        <v>0</v>
      </c>
      <c r="J761" s="47">
        <f t="shared" si="218"/>
        <v>416</v>
      </c>
      <c r="K761" s="188" t="s">
        <v>12</v>
      </c>
      <c r="L761" s="239"/>
    </row>
    <row r="762" spans="1:12" ht="15" customHeight="1" thickBot="1" x14ac:dyDescent="0.25">
      <c r="A762" s="253"/>
      <c r="B762" s="47">
        <f>SUM(C762:D762)</f>
        <v>1071</v>
      </c>
      <c r="C762" s="47">
        <f>I762+F762</f>
        <v>0</v>
      </c>
      <c r="D762" s="47">
        <f>J762+G762</f>
        <v>1071</v>
      </c>
      <c r="E762" s="47">
        <f>SUM(F762:G762)</f>
        <v>0</v>
      </c>
      <c r="F762" s="47">
        <v>0</v>
      </c>
      <c r="G762" s="47">
        <v>0</v>
      </c>
      <c r="H762" s="47">
        <f>SUM(I762:J762)</f>
        <v>1071</v>
      </c>
      <c r="I762" s="47">
        <v>0</v>
      </c>
      <c r="J762" s="47">
        <f>2171-1100</f>
        <v>1071</v>
      </c>
      <c r="K762" s="188" t="s">
        <v>233</v>
      </c>
      <c r="L762" s="134"/>
    </row>
    <row r="763" spans="1:12" ht="15" customHeight="1" thickBot="1" x14ac:dyDescent="0.25">
      <c r="A763" s="253"/>
      <c r="B763" s="47">
        <f>SUM(C763:D763)</f>
        <v>0</v>
      </c>
      <c r="C763" s="47">
        <f>I763+F763</f>
        <v>0</v>
      </c>
      <c r="D763" s="47">
        <f>J763+G763</f>
        <v>0</v>
      </c>
      <c r="E763" s="47">
        <f>SUM(F763:G763)</f>
        <v>0</v>
      </c>
      <c r="F763" s="47">
        <v>0</v>
      </c>
      <c r="G763" s="47">
        <v>0</v>
      </c>
      <c r="H763" s="47">
        <f>SUM(I763:J763)</f>
        <v>0</v>
      </c>
      <c r="I763" s="47">
        <v>0</v>
      </c>
      <c r="J763" s="47">
        <v>0</v>
      </c>
      <c r="K763" s="188" t="s">
        <v>234</v>
      </c>
      <c r="L763" s="134" t="s">
        <v>367</v>
      </c>
    </row>
    <row r="764" spans="1:12" ht="15" customHeight="1" thickBot="1" x14ac:dyDescent="0.25">
      <c r="A764" s="253"/>
      <c r="B764" s="47">
        <f t="shared" ref="B764:J764" si="219">SUM(B762:B763)</f>
        <v>1071</v>
      </c>
      <c r="C764" s="47">
        <f t="shared" si="219"/>
        <v>0</v>
      </c>
      <c r="D764" s="47">
        <f t="shared" si="219"/>
        <v>1071</v>
      </c>
      <c r="E764" s="47">
        <f t="shared" si="219"/>
        <v>0</v>
      </c>
      <c r="F764" s="47">
        <f t="shared" si="219"/>
        <v>0</v>
      </c>
      <c r="G764" s="47">
        <f t="shared" si="219"/>
        <v>0</v>
      </c>
      <c r="H764" s="47">
        <f t="shared" si="219"/>
        <v>1071</v>
      </c>
      <c r="I764" s="47">
        <f t="shared" si="219"/>
        <v>0</v>
      </c>
      <c r="J764" s="47">
        <f t="shared" si="219"/>
        <v>1071</v>
      </c>
      <c r="K764" s="188" t="s">
        <v>12</v>
      </c>
      <c r="L764" s="239"/>
    </row>
    <row r="765" spans="1:12" ht="15" customHeight="1" thickBot="1" x14ac:dyDescent="0.25">
      <c r="A765" s="253"/>
      <c r="B765" s="47">
        <f>SUM(C765:D765)</f>
        <v>595</v>
      </c>
      <c r="C765" s="47">
        <f>I765+F765</f>
        <v>0</v>
      </c>
      <c r="D765" s="47">
        <f>J765+G765</f>
        <v>595</v>
      </c>
      <c r="E765" s="47">
        <f>SUM(F765:G765)</f>
        <v>0</v>
      </c>
      <c r="F765" s="47">
        <v>0</v>
      </c>
      <c r="G765" s="47">
        <v>0</v>
      </c>
      <c r="H765" s="47">
        <f>SUM(I765:J765)</f>
        <v>595</v>
      </c>
      <c r="I765" s="47">
        <v>0</v>
      </c>
      <c r="J765" s="47">
        <f>795-200</f>
        <v>595</v>
      </c>
      <c r="K765" s="188" t="s">
        <v>233</v>
      </c>
      <c r="L765" s="134"/>
    </row>
    <row r="766" spans="1:12" ht="15" customHeight="1" thickBot="1" x14ac:dyDescent="0.25">
      <c r="A766" s="253"/>
      <c r="B766" s="47">
        <f>SUM(C766:D766)</f>
        <v>0</v>
      </c>
      <c r="C766" s="47">
        <f>I766+F766</f>
        <v>0</v>
      </c>
      <c r="D766" s="47">
        <f>J766+G766</f>
        <v>0</v>
      </c>
      <c r="E766" s="47">
        <f>SUM(F766:G766)</f>
        <v>0</v>
      </c>
      <c r="F766" s="47">
        <v>0</v>
      </c>
      <c r="G766" s="47">
        <v>0</v>
      </c>
      <c r="H766" s="47">
        <f>SUM(I766:J766)</f>
        <v>0</v>
      </c>
      <c r="I766" s="47">
        <v>0</v>
      </c>
      <c r="J766" s="47">
        <v>0</v>
      </c>
      <c r="K766" s="188" t="s">
        <v>234</v>
      </c>
      <c r="L766" s="134" t="s">
        <v>347</v>
      </c>
    </row>
    <row r="767" spans="1:12" ht="15" customHeight="1" thickBot="1" x14ac:dyDescent="0.25">
      <c r="A767" s="253"/>
      <c r="B767" s="47">
        <f t="shared" ref="B767:J767" si="220">SUM(B765:B766)</f>
        <v>595</v>
      </c>
      <c r="C767" s="47">
        <f t="shared" si="220"/>
        <v>0</v>
      </c>
      <c r="D767" s="47">
        <f t="shared" si="220"/>
        <v>595</v>
      </c>
      <c r="E767" s="47">
        <f t="shared" si="220"/>
        <v>0</v>
      </c>
      <c r="F767" s="47">
        <f t="shared" si="220"/>
        <v>0</v>
      </c>
      <c r="G767" s="47">
        <f t="shared" si="220"/>
        <v>0</v>
      </c>
      <c r="H767" s="47">
        <f t="shared" si="220"/>
        <v>595</v>
      </c>
      <c r="I767" s="47">
        <f t="shared" si="220"/>
        <v>0</v>
      </c>
      <c r="J767" s="47">
        <f t="shared" si="220"/>
        <v>595</v>
      </c>
      <c r="K767" s="188" t="s">
        <v>12</v>
      </c>
      <c r="L767" s="239"/>
    </row>
    <row r="768" spans="1:12" ht="15" customHeight="1" thickBot="1" x14ac:dyDescent="0.25">
      <c r="A768" s="253"/>
      <c r="B768" s="47">
        <f>SUM(C768:D768)</f>
        <v>3188</v>
      </c>
      <c r="C768" s="47">
        <f>I768+F768</f>
        <v>3188</v>
      </c>
      <c r="D768" s="47">
        <f>J768+G768</f>
        <v>0</v>
      </c>
      <c r="E768" s="47">
        <f>SUM(F768:G768)</f>
        <v>0</v>
      </c>
      <c r="F768" s="47">
        <v>0</v>
      </c>
      <c r="G768" s="47">
        <v>0</v>
      </c>
      <c r="H768" s="47">
        <f>SUM(I768:J768)</f>
        <v>3188</v>
      </c>
      <c r="I768" s="47">
        <f>5738-2550</f>
        <v>3188</v>
      </c>
      <c r="J768" s="47">
        <v>0</v>
      </c>
      <c r="K768" s="188" t="s">
        <v>233</v>
      </c>
      <c r="L768" s="134"/>
    </row>
    <row r="769" spans="1:12" ht="15" customHeight="1" thickBot="1" x14ac:dyDescent="0.25">
      <c r="A769" s="253"/>
      <c r="B769" s="47">
        <f>SUM(C769:D769)</f>
        <v>1179</v>
      </c>
      <c r="C769" s="47">
        <f>I769+F769</f>
        <v>1179</v>
      </c>
      <c r="D769" s="47">
        <f>J769+G769</f>
        <v>0</v>
      </c>
      <c r="E769" s="47">
        <f>SUM(F769:G769)</f>
        <v>0</v>
      </c>
      <c r="F769" s="47">
        <v>0</v>
      </c>
      <c r="G769" s="47">
        <v>0</v>
      </c>
      <c r="H769" s="47">
        <f>SUM(I769:J769)</f>
        <v>1179</v>
      </c>
      <c r="I769" s="47">
        <f>2179-1000</f>
        <v>1179</v>
      </c>
      <c r="J769" s="47">
        <v>0</v>
      </c>
      <c r="K769" s="188" t="s">
        <v>234</v>
      </c>
      <c r="L769" s="134" t="s">
        <v>509</v>
      </c>
    </row>
    <row r="770" spans="1:12" ht="15" customHeight="1" thickBot="1" x14ac:dyDescent="0.25">
      <c r="A770" s="253"/>
      <c r="B770" s="47">
        <f t="shared" ref="B770:J770" si="221">SUM(B768:B769)</f>
        <v>4367</v>
      </c>
      <c r="C770" s="47">
        <f t="shared" si="221"/>
        <v>4367</v>
      </c>
      <c r="D770" s="47">
        <f t="shared" si="221"/>
        <v>0</v>
      </c>
      <c r="E770" s="47">
        <f t="shared" si="221"/>
        <v>0</v>
      </c>
      <c r="F770" s="47">
        <f t="shared" si="221"/>
        <v>0</v>
      </c>
      <c r="G770" s="47">
        <f t="shared" si="221"/>
        <v>0</v>
      </c>
      <c r="H770" s="47">
        <f t="shared" si="221"/>
        <v>4367</v>
      </c>
      <c r="I770" s="47">
        <f t="shared" si="221"/>
        <v>4367</v>
      </c>
      <c r="J770" s="47">
        <f t="shared" si="221"/>
        <v>0</v>
      </c>
      <c r="K770" s="188" t="s">
        <v>12</v>
      </c>
      <c r="L770" s="239"/>
    </row>
    <row r="771" spans="1:12" ht="15" customHeight="1" thickBot="1" x14ac:dyDescent="0.25">
      <c r="A771" s="253"/>
      <c r="B771" s="47">
        <f>SUM(C771:D771)</f>
        <v>645</v>
      </c>
      <c r="C771" s="47">
        <f>I771+F771</f>
        <v>645</v>
      </c>
      <c r="D771" s="47">
        <f>J771+G771</f>
        <v>0</v>
      </c>
      <c r="E771" s="47">
        <f>SUM(F771:G771)</f>
        <v>8</v>
      </c>
      <c r="F771" s="47">
        <v>8</v>
      </c>
      <c r="G771" s="47">
        <v>0</v>
      </c>
      <c r="H771" s="47">
        <f>SUM(I771:J771)</f>
        <v>637</v>
      </c>
      <c r="I771" s="47">
        <f>987-350</f>
        <v>637</v>
      </c>
      <c r="J771" s="47">
        <v>0</v>
      </c>
      <c r="K771" s="188" t="s">
        <v>233</v>
      </c>
      <c r="L771" s="134"/>
    </row>
    <row r="772" spans="1:12" ht="15" customHeight="1" thickBot="1" x14ac:dyDescent="0.25">
      <c r="A772" s="253"/>
      <c r="B772" s="47">
        <f>SUM(C772:D772)</f>
        <v>0</v>
      </c>
      <c r="C772" s="47">
        <f>I772+F772</f>
        <v>0</v>
      </c>
      <c r="D772" s="47">
        <f>J772+G772</f>
        <v>0</v>
      </c>
      <c r="E772" s="47">
        <f>SUM(F772:G772)</f>
        <v>0</v>
      </c>
      <c r="F772" s="47">
        <v>0</v>
      </c>
      <c r="G772" s="47">
        <v>0</v>
      </c>
      <c r="H772" s="47">
        <f>SUM(I772:J772)</f>
        <v>0</v>
      </c>
      <c r="I772" s="47">
        <v>0</v>
      </c>
      <c r="J772" s="47">
        <v>0</v>
      </c>
      <c r="K772" s="188" t="s">
        <v>234</v>
      </c>
      <c r="L772" s="134" t="s">
        <v>510</v>
      </c>
    </row>
    <row r="773" spans="1:12" ht="15" customHeight="1" thickBot="1" x14ac:dyDescent="0.25">
      <c r="A773" s="253"/>
      <c r="B773" s="47">
        <f t="shared" ref="B773:J773" si="222">SUM(B771:B772)</f>
        <v>645</v>
      </c>
      <c r="C773" s="47">
        <f t="shared" si="222"/>
        <v>645</v>
      </c>
      <c r="D773" s="47">
        <f t="shared" si="222"/>
        <v>0</v>
      </c>
      <c r="E773" s="47">
        <f t="shared" si="222"/>
        <v>8</v>
      </c>
      <c r="F773" s="47">
        <f t="shared" si="222"/>
        <v>8</v>
      </c>
      <c r="G773" s="47">
        <f t="shared" si="222"/>
        <v>0</v>
      </c>
      <c r="H773" s="47">
        <f t="shared" si="222"/>
        <v>637</v>
      </c>
      <c r="I773" s="47">
        <f t="shared" si="222"/>
        <v>637</v>
      </c>
      <c r="J773" s="47">
        <f t="shared" si="222"/>
        <v>0</v>
      </c>
      <c r="K773" s="188" t="s">
        <v>12</v>
      </c>
      <c r="L773" s="239"/>
    </row>
    <row r="774" spans="1:12" ht="15" customHeight="1" thickBot="1" x14ac:dyDescent="0.25">
      <c r="A774" s="253"/>
      <c r="B774" s="47">
        <f>SUM(C774:D774)</f>
        <v>2720</v>
      </c>
      <c r="C774" s="47">
        <f>I774+F774</f>
        <v>2720</v>
      </c>
      <c r="D774" s="47">
        <f>J774+G774</f>
        <v>0</v>
      </c>
      <c r="E774" s="47">
        <f>SUM(F774:G774)</f>
        <v>0</v>
      </c>
      <c r="F774" s="47">
        <v>0</v>
      </c>
      <c r="G774" s="47">
        <v>0</v>
      </c>
      <c r="H774" s="47">
        <f>SUM(I774:J774)</f>
        <v>2720</v>
      </c>
      <c r="I774" s="47">
        <f>4170-1450</f>
        <v>2720</v>
      </c>
      <c r="J774" s="47">
        <v>0</v>
      </c>
      <c r="K774" s="188" t="s">
        <v>233</v>
      </c>
      <c r="L774" s="134"/>
    </row>
    <row r="775" spans="1:12" ht="15" customHeight="1" thickBot="1" x14ac:dyDescent="0.25">
      <c r="A775" s="253"/>
      <c r="B775" s="47">
        <f>SUM(C775:D775)</f>
        <v>0</v>
      </c>
      <c r="C775" s="47">
        <f>I775+F775</f>
        <v>0</v>
      </c>
      <c r="D775" s="47">
        <f>J775+G775</f>
        <v>0</v>
      </c>
      <c r="E775" s="47">
        <f>SUM(F775:G775)</f>
        <v>0</v>
      </c>
      <c r="F775" s="47">
        <v>0</v>
      </c>
      <c r="G775" s="47">
        <v>0</v>
      </c>
      <c r="H775" s="47">
        <f>SUM(I775:J775)</f>
        <v>0</v>
      </c>
      <c r="I775" s="47">
        <v>0</v>
      </c>
      <c r="J775" s="47">
        <v>0</v>
      </c>
      <c r="K775" s="188" t="s">
        <v>234</v>
      </c>
      <c r="L775" s="134" t="s">
        <v>511</v>
      </c>
    </row>
    <row r="776" spans="1:12" ht="15" customHeight="1" thickBot="1" x14ac:dyDescent="0.25">
      <c r="A776" s="253"/>
      <c r="B776" s="47">
        <f t="shared" ref="B776:J776" si="223">SUM(B774:B775)</f>
        <v>2720</v>
      </c>
      <c r="C776" s="47">
        <f t="shared" si="223"/>
        <v>2720</v>
      </c>
      <c r="D776" s="47">
        <f t="shared" si="223"/>
        <v>0</v>
      </c>
      <c r="E776" s="47">
        <f t="shared" si="223"/>
        <v>0</v>
      </c>
      <c r="F776" s="47">
        <f t="shared" si="223"/>
        <v>0</v>
      </c>
      <c r="G776" s="47">
        <f t="shared" si="223"/>
        <v>0</v>
      </c>
      <c r="H776" s="47">
        <f t="shared" si="223"/>
        <v>2720</v>
      </c>
      <c r="I776" s="47">
        <f t="shared" si="223"/>
        <v>2720</v>
      </c>
      <c r="J776" s="47">
        <f t="shared" si="223"/>
        <v>0</v>
      </c>
      <c r="K776" s="188" t="s">
        <v>12</v>
      </c>
      <c r="L776" s="239"/>
    </row>
    <row r="777" spans="1:12" ht="15" customHeight="1" thickBot="1" x14ac:dyDescent="0.25">
      <c r="A777" s="253"/>
      <c r="B777" s="47">
        <f>SUM(C777:D777)</f>
        <v>2107</v>
      </c>
      <c r="C777" s="47">
        <f>I777+F777</f>
        <v>2107</v>
      </c>
      <c r="D777" s="47">
        <f>J777+G777</f>
        <v>0</v>
      </c>
      <c r="E777" s="47">
        <f>SUM(F777:G777)</f>
        <v>0</v>
      </c>
      <c r="F777" s="47">
        <v>0</v>
      </c>
      <c r="G777" s="47">
        <v>0</v>
      </c>
      <c r="H777" s="47">
        <f>SUM(I777:J777)</f>
        <v>2107</v>
      </c>
      <c r="I777" s="47">
        <f>3807-1700</f>
        <v>2107</v>
      </c>
      <c r="J777" s="47">
        <v>0</v>
      </c>
      <c r="K777" s="188" t="s">
        <v>233</v>
      </c>
      <c r="L777" s="134"/>
    </row>
    <row r="778" spans="1:12" ht="15" customHeight="1" thickBot="1" x14ac:dyDescent="0.25">
      <c r="A778" s="253"/>
      <c r="B778" s="47">
        <f>SUM(C778:D778)</f>
        <v>1110</v>
      </c>
      <c r="C778" s="47">
        <f>I778+F778</f>
        <v>1110</v>
      </c>
      <c r="D778" s="47">
        <f>J778+G778</f>
        <v>0</v>
      </c>
      <c r="E778" s="47">
        <f>SUM(F778:G778)</f>
        <v>0</v>
      </c>
      <c r="F778" s="47">
        <v>0</v>
      </c>
      <c r="G778" s="47">
        <v>0</v>
      </c>
      <c r="H778" s="47">
        <f>SUM(I778:J778)</f>
        <v>1110</v>
      </c>
      <c r="I778" s="47">
        <f>2110-1000</f>
        <v>1110</v>
      </c>
      <c r="J778" s="47">
        <v>0</v>
      </c>
      <c r="K778" s="188" t="s">
        <v>234</v>
      </c>
      <c r="L778" s="134" t="s">
        <v>512</v>
      </c>
    </row>
    <row r="779" spans="1:12" ht="15" customHeight="1" thickBot="1" x14ac:dyDescent="0.25">
      <c r="A779" s="253"/>
      <c r="B779" s="47">
        <f t="shared" ref="B779:J779" si="224">SUM(B777:B778)</f>
        <v>3217</v>
      </c>
      <c r="C779" s="47">
        <f t="shared" si="224"/>
        <v>3217</v>
      </c>
      <c r="D779" s="47">
        <f t="shared" si="224"/>
        <v>0</v>
      </c>
      <c r="E779" s="47">
        <f t="shared" si="224"/>
        <v>0</v>
      </c>
      <c r="F779" s="47">
        <f t="shared" si="224"/>
        <v>0</v>
      </c>
      <c r="G779" s="47">
        <f t="shared" si="224"/>
        <v>0</v>
      </c>
      <c r="H779" s="47">
        <f t="shared" si="224"/>
        <v>3217</v>
      </c>
      <c r="I779" s="47">
        <f t="shared" si="224"/>
        <v>3217</v>
      </c>
      <c r="J779" s="47">
        <f t="shared" si="224"/>
        <v>0</v>
      </c>
      <c r="K779" s="188" t="s">
        <v>12</v>
      </c>
      <c r="L779" s="239"/>
    </row>
    <row r="780" spans="1:12" ht="15" customHeight="1" thickBot="1" x14ac:dyDescent="0.25">
      <c r="A780" s="253"/>
      <c r="B780" s="47">
        <f>SUM(C780:D780)</f>
        <v>3539</v>
      </c>
      <c r="C780" s="47">
        <f>I780+F780</f>
        <v>3539</v>
      </c>
      <c r="D780" s="47">
        <f>J780+G780</f>
        <v>0</v>
      </c>
      <c r="E780" s="47">
        <f>SUM(F780:G780)</f>
        <v>87</v>
      </c>
      <c r="F780" s="47">
        <v>87</v>
      </c>
      <c r="G780" s="47">
        <v>0</v>
      </c>
      <c r="H780" s="47">
        <f>SUM(I780:J780)</f>
        <v>3452</v>
      </c>
      <c r="I780" s="47">
        <f>5452-2000</f>
        <v>3452</v>
      </c>
      <c r="J780" s="47">
        <v>0</v>
      </c>
      <c r="K780" s="188" t="s">
        <v>233</v>
      </c>
      <c r="L780" s="134"/>
    </row>
    <row r="781" spans="1:12" ht="15" customHeight="1" thickBot="1" x14ac:dyDescent="0.25">
      <c r="A781" s="253"/>
      <c r="B781" s="47">
        <f>SUM(C781:D781)</f>
        <v>3081</v>
      </c>
      <c r="C781" s="47">
        <f>I781+F781</f>
        <v>3081</v>
      </c>
      <c r="D781" s="47">
        <f>J781+G781</f>
        <v>0</v>
      </c>
      <c r="E781" s="47">
        <f>SUM(F781:G781)</f>
        <v>23</v>
      </c>
      <c r="F781" s="47">
        <v>23</v>
      </c>
      <c r="G781" s="47">
        <v>0</v>
      </c>
      <c r="H781" s="47">
        <f>SUM(I781:J781)</f>
        <v>3058</v>
      </c>
      <c r="I781" s="47">
        <v>3058</v>
      </c>
      <c r="J781" s="47">
        <v>0</v>
      </c>
      <c r="K781" s="188" t="s">
        <v>234</v>
      </c>
      <c r="L781" s="134" t="s">
        <v>513</v>
      </c>
    </row>
    <row r="782" spans="1:12" ht="15" customHeight="1" thickBot="1" x14ac:dyDescent="0.25">
      <c r="A782" s="253"/>
      <c r="B782" s="47">
        <f t="shared" ref="B782:J782" si="225">SUM(B780:B781)</f>
        <v>6620</v>
      </c>
      <c r="C782" s="47">
        <f t="shared" si="225"/>
        <v>6620</v>
      </c>
      <c r="D782" s="47">
        <f t="shared" si="225"/>
        <v>0</v>
      </c>
      <c r="E782" s="47">
        <f t="shared" si="225"/>
        <v>110</v>
      </c>
      <c r="F782" s="47">
        <f t="shared" si="225"/>
        <v>110</v>
      </c>
      <c r="G782" s="47">
        <f t="shared" si="225"/>
        <v>0</v>
      </c>
      <c r="H782" s="47">
        <f t="shared" si="225"/>
        <v>6510</v>
      </c>
      <c r="I782" s="47">
        <f t="shared" si="225"/>
        <v>6510</v>
      </c>
      <c r="J782" s="47">
        <f t="shared" si="225"/>
        <v>0</v>
      </c>
      <c r="K782" s="188" t="s">
        <v>12</v>
      </c>
      <c r="L782" s="239"/>
    </row>
    <row r="783" spans="1:12" ht="15" customHeight="1" thickBot="1" x14ac:dyDescent="0.25">
      <c r="A783" s="253"/>
      <c r="B783" s="47">
        <f t="shared" ref="B783:J785" si="226">B750+B753+B756+B759+B762+B765+B768+B771+B774+B777+B780</f>
        <v>18359</v>
      </c>
      <c r="C783" s="47">
        <f t="shared" si="226"/>
        <v>12199</v>
      </c>
      <c r="D783" s="47">
        <f t="shared" si="226"/>
        <v>6160</v>
      </c>
      <c r="E783" s="47">
        <f t="shared" si="226"/>
        <v>95</v>
      </c>
      <c r="F783" s="47">
        <f t="shared" si="226"/>
        <v>95</v>
      </c>
      <c r="G783" s="47">
        <f t="shared" si="226"/>
        <v>0</v>
      </c>
      <c r="H783" s="47">
        <f t="shared" si="226"/>
        <v>18264</v>
      </c>
      <c r="I783" s="47">
        <f t="shared" si="226"/>
        <v>12104</v>
      </c>
      <c r="J783" s="47">
        <f t="shared" si="226"/>
        <v>6160</v>
      </c>
      <c r="K783" s="188" t="s">
        <v>236</v>
      </c>
      <c r="L783" s="131"/>
    </row>
    <row r="784" spans="1:12" ht="15" customHeight="1" thickBot="1" x14ac:dyDescent="0.25">
      <c r="A784" s="253"/>
      <c r="B784" s="47">
        <f t="shared" si="226"/>
        <v>5370</v>
      </c>
      <c r="C784" s="47">
        <f t="shared" si="226"/>
        <v>5370</v>
      </c>
      <c r="D784" s="47">
        <f t="shared" si="226"/>
        <v>0</v>
      </c>
      <c r="E784" s="47">
        <f t="shared" si="226"/>
        <v>23</v>
      </c>
      <c r="F784" s="47">
        <f t="shared" si="226"/>
        <v>23</v>
      </c>
      <c r="G784" s="47">
        <f t="shared" si="226"/>
        <v>0</v>
      </c>
      <c r="H784" s="47">
        <f t="shared" si="226"/>
        <v>5347</v>
      </c>
      <c r="I784" s="47">
        <f t="shared" si="226"/>
        <v>5347</v>
      </c>
      <c r="J784" s="47">
        <f t="shared" si="226"/>
        <v>0</v>
      </c>
      <c r="K784" s="188" t="s">
        <v>237</v>
      </c>
      <c r="L784" s="132" t="s">
        <v>188</v>
      </c>
    </row>
    <row r="785" spans="1:12" ht="15" customHeight="1" thickBot="1" x14ac:dyDescent="0.25">
      <c r="A785" s="253"/>
      <c r="B785" s="47">
        <f t="shared" si="226"/>
        <v>23729</v>
      </c>
      <c r="C785" s="47">
        <f t="shared" si="226"/>
        <v>17569</v>
      </c>
      <c r="D785" s="47">
        <f t="shared" si="226"/>
        <v>6160</v>
      </c>
      <c r="E785" s="47">
        <f t="shared" si="226"/>
        <v>118</v>
      </c>
      <c r="F785" s="47">
        <f t="shared" si="226"/>
        <v>118</v>
      </c>
      <c r="G785" s="47">
        <f t="shared" si="226"/>
        <v>0</v>
      </c>
      <c r="H785" s="47">
        <f t="shared" si="226"/>
        <v>23611</v>
      </c>
      <c r="I785" s="47">
        <f t="shared" si="226"/>
        <v>17451</v>
      </c>
      <c r="J785" s="47">
        <f t="shared" si="226"/>
        <v>6160</v>
      </c>
      <c r="K785" s="188" t="s">
        <v>12</v>
      </c>
      <c r="L785" s="133"/>
    </row>
    <row r="786" spans="1:12" ht="15" customHeight="1" thickBot="1" x14ac:dyDescent="0.25">
      <c r="A786" s="253"/>
      <c r="B786" s="476" t="s">
        <v>4</v>
      </c>
      <c r="C786" s="476"/>
      <c r="D786" s="476"/>
      <c r="E786" s="476" t="s">
        <v>145</v>
      </c>
      <c r="F786" s="476"/>
      <c r="G786" s="476"/>
      <c r="H786" s="476" t="s">
        <v>146</v>
      </c>
      <c r="I786" s="476"/>
      <c r="J786" s="476"/>
      <c r="K786" s="479" t="s">
        <v>66</v>
      </c>
      <c r="L786" s="479"/>
    </row>
    <row r="787" spans="1:12" ht="15" customHeight="1" thickBot="1" x14ac:dyDescent="0.25">
      <c r="A787" s="253"/>
      <c r="B787" s="185" t="s">
        <v>227</v>
      </c>
      <c r="C787" s="185" t="s">
        <v>10</v>
      </c>
      <c r="D787" s="185" t="s">
        <v>9</v>
      </c>
      <c r="E787" s="185" t="s">
        <v>227</v>
      </c>
      <c r="F787" s="185" t="s">
        <v>10</v>
      </c>
      <c r="G787" s="185" t="s">
        <v>9</v>
      </c>
      <c r="H787" s="185" t="s">
        <v>227</v>
      </c>
      <c r="I787" s="185" t="s">
        <v>10</v>
      </c>
      <c r="J787" s="185" t="s">
        <v>9</v>
      </c>
      <c r="K787" s="480" t="s">
        <v>109</v>
      </c>
      <c r="L787" s="480"/>
    </row>
    <row r="788" spans="1:12" ht="15" customHeight="1" thickBot="1" x14ac:dyDescent="0.25">
      <c r="A788" s="253"/>
      <c r="B788" s="185">
        <f>SUM(C788:D788)</f>
        <v>441</v>
      </c>
      <c r="C788" s="185">
        <f>I788+F788</f>
        <v>0</v>
      </c>
      <c r="D788" s="185">
        <f>J788+G788</f>
        <v>441</v>
      </c>
      <c r="E788" s="185">
        <f>SUM(F788:G788)</f>
        <v>0</v>
      </c>
      <c r="F788" s="185">
        <v>0</v>
      </c>
      <c r="G788" s="185">
        <v>0</v>
      </c>
      <c r="H788" s="185">
        <f>SUM(I788:J788)</f>
        <v>441</v>
      </c>
      <c r="I788" s="185">
        <v>0</v>
      </c>
      <c r="J788" s="185">
        <v>441</v>
      </c>
      <c r="K788" s="188" t="s">
        <v>233</v>
      </c>
      <c r="L788" s="248"/>
    </row>
    <row r="789" spans="1:12" ht="15" customHeight="1" thickBot="1" x14ac:dyDescent="0.25">
      <c r="A789" s="253"/>
      <c r="B789" s="185">
        <f>SUM(C789:D789)</f>
        <v>0</v>
      </c>
      <c r="C789" s="185">
        <f>I789+F789</f>
        <v>0</v>
      </c>
      <c r="D789" s="185">
        <f>J789+G789</f>
        <v>0</v>
      </c>
      <c r="E789" s="185">
        <f>SUM(F789:G789)</f>
        <v>0</v>
      </c>
      <c r="F789" s="185">
        <v>0</v>
      </c>
      <c r="G789" s="185">
        <v>0</v>
      </c>
      <c r="H789" s="185">
        <f>SUM(I789:J789)</f>
        <v>0</v>
      </c>
      <c r="I789" s="185">
        <v>0</v>
      </c>
      <c r="J789" s="185">
        <v>0</v>
      </c>
      <c r="K789" s="188" t="s">
        <v>234</v>
      </c>
      <c r="L789" s="248" t="s">
        <v>454</v>
      </c>
    </row>
    <row r="790" spans="1:12" ht="15" customHeight="1" thickBot="1" x14ac:dyDescent="0.25">
      <c r="A790" s="253"/>
      <c r="B790" s="185">
        <f t="shared" ref="B790:J790" si="227">SUM(B788:B789)</f>
        <v>441</v>
      </c>
      <c r="C790" s="185">
        <f t="shared" si="227"/>
        <v>0</v>
      </c>
      <c r="D790" s="185">
        <f t="shared" si="227"/>
        <v>441</v>
      </c>
      <c r="E790" s="185">
        <f t="shared" si="227"/>
        <v>0</v>
      </c>
      <c r="F790" s="185">
        <f t="shared" si="227"/>
        <v>0</v>
      </c>
      <c r="G790" s="185">
        <f t="shared" si="227"/>
        <v>0</v>
      </c>
      <c r="H790" s="185">
        <f t="shared" si="227"/>
        <v>441</v>
      </c>
      <c r="I790" s="185">
        <f t="shared" si="227"/>
        <v>0</v>
      </c>
      <c r="J790" s="185">
        <f t="shared" si="227"/>
        <v>441</v>
      </c>
      <c r="K790" s="188" t="s">
        <v>12</v>
      </c>
      <c r="L790" s="249"/>
    </row>
    <row r="791" spans="1:12" ht="15" customHeight="1" thickBot="1" x14ac:dyDescent="0.25">
      <c r="A791" s="253"/>
      <c r="B791" s="185">
        <f>SUM(C791:D791)</f>
        <v>764</v>
      </c>
      <c r="C791" s="185">
        <f>I791+F791</f>
        <v>470</v>
      </c>
      <c r="D791" s="185">
        <f>J791+G791</f>
        <v>294</v>
      </c>
      <c r="E791" s="185">
        <f>SUM(F791:G791)</f>
        <v>10</v>
      </c>
      <c r="F791" s="185">
        <v>0</v>
      </c>
      <c r="G791" s="185">
        <f>16-6</f>
        <v>10</v>
      </c>
      <c r="H791" s="185">
        <f>SUM(I791:J791)</f>
        <v>754</v>
      </c>
      <c r="I791" s="185">
        <v>470</v>
      </c>
      <c r="J791" s="185">
        <f>278+6</f>
        <v>284</v>
      </c>
      <c r="K791" s="188" t="s">
        <v>233</v>
      </c>
      <c r="L791" s="248"/>
    </row>
    <row r="792" spans="1:12" ht="15" customHeight="1" thickBot="1" x14ac:dyDescent="0.25">
      <c r="A792" s="253"/>
      <c r="B792" s="185">
        <f>SUM(C792:D792)</f>
        <v>0</v>
      </c>
      <c r="C792" s="185">
        <f>I792+F792</f>
        <v>0</v>
      </c>
      <c r="D792" s="185">
        <f>J792+G792</f>
        <v>0</v>
      </c>
      <c r="E792" s="185">
        <f>SUM(F792:G792)</f>
        <v>0</v>
      </c>
      <c r="F792" s="185">
        <v>0</v>
      </c>
      <c r="G792" s="185">
        <v>0</v>
      </c>
      <c r="H792" s="185">
        <f>SUM(I792:J792)</f>
        <v>0</v>
      </c>
      <c r="I792" s="185">
        <v>0</v>
      </c>
      <c r="J792" s="185">
        <v>0</v>
      </c>
      <c r="K792" s="188" t="s">
        <v>234</v>
      </c>
      <c r="L792" s="248" t="s">
        <v>514</v>
      </c>
    </row>
    <row r="793" spans="1:12" ht="15" customHeight="1" thickBot="1" x14ac:dyDescent="0.25">
      <c r="A793" s="253"/>
      <c r="B793" s="185">
        <f t="shared" ref="B793:J793" si="228">SUM(B791:B792)</f>
        <v>764</v>
      </c>
      <c r="C793" s="185">
        <f t="shared" si="228"/>
        <v>470</v>
      </c>
      <c r="D793" s="185">
        <f t="shared" si="228"/>
        <v>294</v>
      </c>
      <c r="E793" s="185">
        <f t="shared" si="228"/>
        <v>10</v>
      </c>
      <c r="F793" s="185">
        <f t="shared" si="228"/>
        <v>0</v>
      </c>
      <c r="G793" s="185">
        <f t="shared" si="228"/>
        <v>10</v>
      </c>
      <c r="H793" s="185">
        <f t="shared" si="228"/>
        <v>754</v>
      </c>
      <c r="I793" s="185">
        <f t="shared" si="228"/>
        <v>470</v>
      </c>
      <c r="J793" s="185">
        <f t="shared" si="228"/>
        <v>284</v>
      </c>
      <c r="K793" s="188" t="s">
        <v>12</v>
      </c>
      <c r="L793" s="249"/>
    </row>
    <row r="794" spans="1:12" ht="15" customHeight="1" thickBot="1" x14ac:dyDescent="0.25">
      <c r="A794" s="253"/>
      <c r="B794" s="185">
        <f>SUM(C794:D794)</f>
        <v>4446</v>
      </c>
      <c r="C794" s="185">
        <f>I794+F794</f>
        <v>4446</v>
      </c>
      <c r="D794" s="185">
        <f>J794+G794</f>
        <v>0</v>
      </c>
      <c r="E794" s="185">
        <f>SUM(F794:G794)</f>
        <v>2</v>
      </c>
      <c r="F794" s="185">
        <v>2</v>
      </c>
      <c r="G794" s="185">
        <v>0</v>
      </c>
      <c r="H794" s="185">
        <f>SUM(I794:J794)</f>
        <v>4444</v>
      </c>
      <c r="I794" s="185">
        <f>5407-963</f>
        <v>4444</v>
      </c>
      <c r="J794" s="185">
        <v>0</v>
      </c>
      <c r="K794" s="188" t="s">
        <v>233</v>
      </c>
      <c r="L794" s="248"/>
    </row>
    <row r="795" spans="1:12" ht="15" customHeight="1" thickBot="1" x14ac:dyDescent="0.25">
      <c r="A795" s="253"/>
      <c r="B795" s="185">
        <f>SUM(C795:D795)</f>
        <v>1124</v>
      </c>
      <c r="C795" s="185">
        <f>I795+F795</f>
        <v>1124</v>
      </c>
      <c r="D795" s="185">
        <f>J795+G795</f>
        <v>0</v>
      </c>
      <c r="E795" s="185">
        <f>SUM(F795:G795)</f>
        <v>0</v>
      </c>
      <c r="F795" s="185">
        <v>0</v>
      </c>
      <c r="G795" s="185">
        <v>0</v>
      </c>
      <c r="H795" s="185">
        <f>SUM(I795:J795)</f>
        <v>1124</v>
      </c>
      <c r="I795" s="185">
        <v>1124</v>
      </c>
      <c r="J795" s="185">
        <v>0</v>
      </c>
      <c r="K795" s="188" t="s">
        <v>234</v>
      </c>
      <c r="L795" s="248" t="s">
        <v>515</v>
      </c>
    </row>
    <row r="796" spans="1:12" ht="15" customHeight="1" thickBot="1" x14ac:dyDescent="0.25">
      <c r="A796" s="253"/>
      <c r="B796" s="185">
        <f t="shared" ref="B796:J796" si="229">SUM(B794:B795)</f>
        <v>5570</v>
      </c>
      <c r="C796" s="185">
        <f t="shared" si="229"/>
        <v>5570</v>
      </c>
      <c r="D796" s="185">
        <f t="shared" si="229"/>
        <v>0</v>
      </c>
      <c r="E796" s="185">
        <f t="shared" si="229"/>
        <v>2</v>
      </c>
      <c r="F796" s="185">
        <f t="shared" si="229"/>
        <v>2</v>
      </c>
      <c r="G796" s="185">
        <f t="shared" si="229"/>
        <v>0</v>
      </c>
      <c r="H796" s="185">
        <f t="shared" si="229"/>
        <v>5568</v>
      </c>
      <c r="I796" s="185">
        <f t="shared" si="229"/>
        <v>5568</v>
      </c>
      <c r="J796" s="185">
        <f t="shared" si="229"/>
        <v>0</v>
      </c>
      <c r="K796" s="188" t="s">
        <v>12</v>
      </c>
      <c r="L796" s="249"/>
    </row>
    <row r="797" spans="1:12" ht="15" customHeight="1" thickBot="1" x14ac:dyDescent="0.25">
      <c r="A797" s="253"/>
      <c r="B797" s="185">
        <f>SUM(C797:D797)</f>
        <v>4673</v>
      </c>
      <c r="C797" s="185">
        <f>I797+F797</f>
        <v>4673</v>
      </c>
      <c r="D797" s="185">
        <f>J797+G797</f>
        <v>0</v>
      </c>
      <c r="E797" s="185">
        <f>SUM(F797:G797)</f>
        <v>2</v>
      </c>
      <c r="F797" s="185">
        <v>2</v>
      </c>
      <c r="G797" s="185">
        <v>0</v>
      </c>
      <c r="H797" s="185">
        <f>SUM(I797:J797)</f>
        <v>4671</v>
      </c>
      <c r="I797" s="185">
        <v>4671</v>
      </c>
      <c r="J797" s="185">
        <v>0</v>
      </c>
      <c r="K797" s="188" t="s">
        <v>233</v>
      </c>
      <c r="L797" s="248"/>
    </row>
    <row r="798" spans="1:12" ht="15" customHeight="1" thickBot="1" x14ac:dyDescent="0.25">
      <c r="A798" s="253"/>
      <c r="B798" s="185">
        <f>SUM(C798:D798)</f>
        <v>0</v>
      </c>
      <c r="C798" s="185">
        <f>I798+F798</f>
        <v>0</v>
      </c>
      <c r="D798" s="185">
        <f>J798+G798</f>
        <v>0</v>
      </c>
      <c r="E798" s="185">
        <f>SUM(F798:G798)</f>
        <v>0</v>
      </c>
      <c r="F798" s="185">
        <v>0</v>
      </c>
      <c r="G798" s="185">
        <v>0</v>
      </c>
      <c r="H798" s="185">
        <f>SUM(I798:J798)</f>
        <v>0</v>
      </c>
      <c r="I798" s="185">
        <v>0</v>
      </c>
      <c r="J798" s="185">
        <v>0</v>
      </c>
      <c r="K798" s="188" t="s">
        <v>234</v>
      </c>
      <c r="L798" s="248" t="s">
        <v>516</v>
      </c>
    </row>
    <row r="799" spans="1:12" ht="15" customHeight="1" thickBot="1" x14ac:dyDescent="0.25">
      <c r="A799" s="253"/>
      <c r="B799" s="185">
        <f t="shared" ref="B799:J799" si="230">SUM(B797:B798)</f>
        <v>4673</v>
      </c>
      <c r="C799" s="185">
        <f t="shared" si="230"/>
        <v>4673</v>
      </c>
      <c r="D799" s="185">
        <f t="shared" si="230"/>
        <v>0</v>
      </c>
      <c r="E799" s="185">
        <f t="shared" si="230"/>
        <v>2</v>
      </c>
      <c r="F799" s="185">
        <f t="shared" si="230"/>
        <v>2</v>
      </c>
      <c r="G799" s="185">
        <f t="shared" si="230"/>
        <v>0</v>
      </c>
      <c r="H799" s="185">
        <f t="shared" si="230"/>
        <v>4671</v>
      </c>
      <c r="I799" s="185">
        <f t="shared" si="230"/>
        <v>4671</v>
      </c>
      <c r="J799" s="185">
        <f t="shared" si="230"/>
        <v>0</v>
      </c>
      <c r="K799" s="188" t="s">
        <v>12</v>
      </c>
      <c r="L799" s="249"/>
    </row>
    <row r="800" spans="1:12" ht="15" customHeight="1" thickBot="1" x14ac:dyDescent="0.25">
      <c r="A800" s="253"/>
      <c r="B800" s="185">
        <f>SUM(C800:D800)</f>
        <v>1488</v>
      </c>
      <c r="C800" s="185">
        <f>I800+F800</f>
        <v>771</v>
      </c>
      <c r="D800" s="185">
        <f>J800+G800</f>
        <v>717</v>
      </c>
      <c r="E800" s="185">
        <f>SUM(F800:G800)</f>
        <v>0</v>
      </c>
      <c r="F800" s="185">
        <v>0</v>
      </c>
      <c r="G800" s="185">
        <v>0</v>
      </c>
      <c r="H800" s="185">
        <f>SUM(I800:J800)</f>
        <v>1488</v>
      </c>
      <c r="I800" s="185">
        <f>203+568</f>
        <v>771</v>
      </c>
      <c r="J800" s="185">
        <f>767-50</f>
        <v>717</v>
      </c>
      <c r="K800" s="188" t="s">
        <v>233</v>
      </c>
      <c r="L800" s="248"/>
    </row>
    <row r="801" spans="1:12" ht="15" customHeight="1" thickBot="1" x14ac:dyDescent="0.25">
      <c r="B801" s="185">
        <f>SUM(C801:D801)</f>
        <v>0</v>
      </c>
      <c r="C801" s="185">
        <f>I801+F801</f>
        <v>0</v>
      </c>
      <c r="D801" s="185">
        <f>J801+G801</f>
        <v>0</v>
      </c>
      <c r="E801" s="185">
        <f>SUM(F801:G801)</f>
        <v>0</v>
      </c>
      <c r="F801" s="185">
        <v>0</v>
      </c>
      <c r="G801" s="185">
        <v>0</v>
      </c>
      <c r="H801" s="185">
        <f>SUM(I801:J801)</f>
        <v>0</v>
      </c>
      <c r="I801" s="185">
        <v>0</v>
      </c>
      <c r="J801" s="185">
        <v>0</v>
      </c>
      <c r="K801" s="188" t="s">
        <v>234</v>
      </c>
      <c r="L801" s="248" t="s">
        <v>108</v>
      </c>
    </row>
    <row r="802" spans="1:12" ht="15" customHeight="1" thickBot="1" x14ac:dyDescent="0.25">
      <c r="B802" s="185">
        <f t="shared" ref="B802:J802" si="231">SUM(B800:B801)</f>
        <v>1488</v>
      </c>
      <c r="C802" s="185">
        <f t="shared" si="231"/>
        <v>771</v>
      </c>
      <c r="D802" s="185">
        <f t="shared" si="231"/>
        <v>717</v>
      </c>
      <c r="E802" s="185">
        <f t="shared" si="231"/>
        <v>0</v>
      </c>
      <c r="F802" s="185">
        <f t="shared" si="231"/>
        <v>0</v>
      </c>
      <c r="G802" s="185">
        <f t="shared" si="231"/>
        <v>0</v>
      </c>
      <c r="H802" s="185">
        <f t="shared" si="231"/>
        <v>1488</v>
      </c>
      <c r="I802" s="185">
        <f t="shared" si="231"/>
        <v>771</v>
      </c>
      <c r="J802" s="185">
        <f t="shared" si="231"/>
        <v>717</v>
      </c>
      <c r="K802" s="188" t="s">
        <v>12</v>
      </c>
      <c r="L802" s="249"/>
    </row>
    <row r="803" spans="1:12" ht="15" customHeight="1" thickBot="1" x14ac:dyDescent="0.25">
      <c r="B803" s="185">
        <f>SUM(C803:D803)</f>
        <v>2375</v>
      </c>
      <c r="C803" s="185">
        <f>I803+F803</f>
        <v>0</v>
      </c>
      <c r="D803" s="185">
        <f>J803+G803</f>
        <v>2375</v>
      </c>
      <c r="E803" s="185">
        <f>SUM(F803:G803)</f>
        <v>37</v>
      </c>
      <c r="F803" s="185">
        <v>0</v>
      </c>
      <c r="G803" s="185">
        <f>57-20</f>
        <v>37</v>
      </c>
      <c r="H803" s="185">
        <f>SUM(I803:J803)</f>
        <v>2338</v>
      </c>
      <c r="I803" s="185">
        <v>0</v>
      </c>
      <c r="J803" s="185">
        <f>2918-600+20</f>
        <v>2338</v>
      </c>
      <c r="K803" s="188" t="s">
        <v>233</v>
      </c>
      <c r="L803" s="248"/>
    </row>
    <row r="804" spans="1:12" ht="15" customHeight="1" thickBot="1" x14ac:dyDescent="0.25">
      <c r="B804" s="185">
        <f>SUM(C804:D804)</f>
        <v>0</v>
      </c>
      <c r="C804" s="185">
        <f>I804+F804</f>
        <v>0</v>
      </c>
      <c r="D804" s="185">
        <f>J804+G804</f>
        <v>0</v>
      </c>
      <c r="E804" s="185">
        <f>SUM(F804:G804)</f>
        <v>0</v>
      </c>
      <c r="F804" s="185">
        <v>0</v>
      </c>
      <c r="G804" s="185">
        <v>0</v>
      </c>
      <c r="H804" s="185">
        <f>SUM(I804:J804)</f>
        <v>0</v>
      </c>
      <c r="I804" s="185">
        <v>0</v>
      </c>
      <c r="J804" s="185">
        <v>0</v>
      </c>
      <c r="K804" s="188" t="s">
        <v>234</v>
      </c>
      <c r="L804" s="248" t="s">
        <v>666</v>
      </c>
    </row>
    <row r="805" spans="1:12" ht="15" customHeight="1" thickBot="1" x14ac:dyDescent="0.25">
      <c r="B805" s="185">
        <f t="shared" ref="B805:J805" si="232">SUM(B803:B804)</f>
        <v>2375</v>
      </c>
      <c r="C805" s="185">
        <f t="shared" si="232"/>
        <v>0</v>
      </c>
      <c r="D805" s="185">
        <f t="shared" si="232"/>
        <v>2375</v>
      </c>
      <c r="E805" s="185">
        <f t="shared" si="232"/>
        <v>37</v>
      </c>
      <c r="F805" s="185">
        <f t="shared" si="232"/>
        <v>0</v>
      </c>
      <c r="G805" s="185">
        <f t="shared" si="232"/>
        <v>37</v>
      </c>
      <c r="H805" s="185">
        <f t="shared" si="232"/>
        <v>2338</v>
      </c>
      <c r="I805" s="185">
        <f t="shared" si="232"/>
        <v>0</v>
      </c>
      <c r="J805" s="185">
        <f t="shared" si="232"/>
        <v>2338</v>
      </c>
      <c r="K805" s="188" t="s">
        <v>12</v>
      </c>
      <c r="L805" s="249"/>
    </row>
    <row r="806" spans="1:12" ht="15" customHeight="1" thickBot="1" x14ac:dyDescent="0.25">
      <c r="B806" s="185">
        <f>SUM(C806:D806)</f>
        <v>38</v>
      </c>
      <c r="C806" s="185">
        <f>I806+F806</f>
        <v>19</v>
      </c>
      <c r="D806" s="185">
        <f>J806+G806</f>
        <v>19</v>
      </c>
      <c r="E806" s="185">
        <f>SUM(F806:G806)</f>
        <v>0</v>
      </c>
      <c r="F806" s="185">
        <v>0</v>
      </c>
      <c r="G806" s="185">
        <v>0</v>
      </c>
      <c r="H806" s="185">
        <f>SUM(I806:J806)</f>
        <v>38</v>
      </c>
      <c r="I806" s="185">
        <v>19</v>
      </c>
      <c r="J806" s="185">
        <v>19</v>
      </c>
      <c r="K806" s="188" t="s">
        <v>233</v>
      </c>
      <c r="L806" s="248"/>
    </row>
    <row r="807" spans="1:12" ht="15" customHeight="1" thickBot="1" x14ac:dyDescent="0.25">
      <c r="B807" s="185">
        <f>SUM(C807:D807)</f>
        <v>0</v>
      </c>
      <c r="C807" s="185">
        <f>I807+F807</f>
        <v>0</v>
      </c>
      <c r="D807" s="185">
        <f>J807+G807</f>
        <v>0</v>
      </c>
      <c r="E807" s="185">
        <f>SUM(F807:G807)</f>
        <v>0</v>
      </c>
      <c r="F807" s="185">
        <v>0</v>
      </c>
      <c r="G807" s="185">
        <v>0</v>
      </c>
      <c r="H807" s="185">
        <f>SUM(I807:J807)</f>
        <v>0</v>
      </c>
      <c r="I807" s="185">
        <v>0</v>
      </c>
      <c r="J807" s="185">
        <v>0</v>
      </c>
      <c r="K807" s="188" t="s">
        <v>234</v>
      </c>
      <c r="L807" s="248" t="s">
        <v>344</v>
      </c>
    </row>
    <row r="808" spans="1:12" ht="15" customHeight="1" thickBot="1" x14ac:dyDescent="0.25">
      <c r="B808" s="185">
        <f t="shared" ref="B808:J808" si="233">SUM(B806:B807)</f>
        <v>38</v>
      </c>
      <c r="C808" s="185">
        <f t="shared" si="233"/>
        <v>19</v>
      </c>
      <c r="D808" s="185">
        <f t="shared" si="233"/>
        <v>19</v>
      </c>
      <c r="E808" s="185">
        <f t="shared" si="233"/>
        <v>0</v>
      </c>
      <c r="F808" s="185">
        <f t="shared" si="233"/>
        <v>0</v>
      </c>
      <c r="G808" s="185">
        <f t="shared" si="233"/>
        <v>0</v>
      </c>
      <c r="H808" s="185">
        <f t="shared" si="233"/>
        <v>38</v>
      </c>
      <c r="I808" s="185">
        <f t="shared" si="233"/>
        <v>19</v>
      </c>
      <c r="J808" s="185">
        <f t="shared" si="233"/>
        <v>19</v>
      </c>
      <c r="K808" s="188" t="s">
        <v>12</v>
      </c>
      <c r="L808" s="249"/>
    </row>
    <row r="809" spans="1:12" ht="15" customHeight="1" thickBot="1" x14ac:dyDescent="0.25">
      <c r="A809" s="253"/>
      <c r="B809" s="47">
        <f>SUM(C809:D809)</f>
        <v>989</v>
      </c>
      <c r="C809" s="47">
        <f>I809+F809</f>
        <v>0</v>
      </c>
      <c r="D809" s="47">
        <f>J809+G809</f>
        <v>989</v>
      </c>
      <c r="E809" s="47">
        <f>SUM(F809:G809)</f>
        <v>2</v>
      </c>
      <c r="F809" s="47">
        <v>0</v>
      </c>
      <c r="G809" s="47">
        <v>2</v>
      </c>
      <c r="H809" s="47">
        <f>SUM(I809:J809)</f>
        <v>987</v>
      </c>
      <c r="I809" s="47">
        <v>0</v>
      </c>
      <c r="J809" s="47">
        <f>1387-400</f>
        <v>987</v>
      </c>
      <c r="K809" s="188" t="s">
        <v>233</v>
      </c>
      <c r="L809" s="215"/>
    </row>
    <row r="810" spans="1:12" ht="15" customHeight="1" thickBot="1" x14ac:dyDescent="0.25">
      <c r="A810" s="253"/>
      <c r="B810" s="47">
        <f>SUM(C810:D810)</f>
        <v>0</v>
      </c>
      <c r="C810" s="47">
        <f>I810+F810</f>
        <v>0</v>
      </c>
      <c r="D810" s="47">
        <f>J810+G810</f>
        <v>0</v>
      </c>
      <c r="E810" s="47">
        <f>SUM(F810:G810)</f>
        <v>0</v>
      </c>
      <c r="F810" s="47">
        <v>0</v>
      </c>
      <c r="G810" s="47">
        <v>0</v>
      </c>
      <c r="H810" s="47">
        <f>SUM(I810:J810)</f>
        <v>0</v>
      </c>
      <c r="I810" s="47">
        <v>0</v>
      </c>
      <c r="J810" s="47"/>
      <c r="K810" s="188" t="s">
        <v>234</v>
      </c>
      <c r="L810" s="215" t="s">
        <v>256</v>
      </c>
    </row>
    <row r="811" spans="1:12" ht="15" customHeight="1" thickBot="1" x14ac:dyDescent="0.25">
      <c r="A811" s="253"/>
      <c r="B811" s="47">
        <f t="shared" ref="B811:J811" si="234">SUM(B809:B810)</f>
        <v>989</v>
      </c>
      <c r="C811" s="47">
        <f t="shared" si="234"/>
        <v>0</v>
      </c>
      <c r="D811" s="47">
        <f t="shared" si="234"/>
        <v>989</v>
      </c>
      <c r="E811" s="47">
        <f t="shared" si="234"/>
        <v>2</v>
      </c>
      <c r="F811" s="47">
        <f t="shared" si="234"/>
        <v>0</v>
      </c>
      <c r="G811" s="47">
        <f t="shared" si="234"/>
        <v>2</v>
      </c>
      <c r="H811" s="47">
        <f t="shared" si="234"/>
        <v>987</v>
      </c>
      <c r="I811" s="47">
        <f t="shared" si="234"/>
        <v>0</v>
      </c>
      <c r="J811" s="47">
        <f t="shared" si="234"/>
        <v>987</v>
      </c>
      <c r="K811" s="188" t="s">
        <v>12</v>
      </c>
      <c r="L811" s="216"/>
    </row>
    <row r="812" spans="1:12" ht="15" customHeight="1" thickBot="1" x14ac:dyDescent="0.25">
      <c r="B812" s="185">
        <f t="shared" ref="B812:J814" si="235">B788+B791+B794+B797+B800+B803+B806+B809</f>
        <v>15214</v>
      </c>
      <c r="C812" s="185">
        <f t="shared" si="235"/>
        <v>10379</v>
      </c>
      <c r="D812" s="185">
        <f t="shared" si="235"/>
        <v>4835</v>
      </c>
      <c r="E812" s="185">
        <f t="shared" si="235"/>
        <v>53</v>
      </c>
      <c r="F812" s="185">
        <f t="shared" si="235"/>
        <v>4</v>
      </c>
      <c r="G812" s="185">
        <f t="shared" si="235"/>
        <v>49</v>
      </c>
      <c r="H812" s="185">
        <f t="shared" si="235"/>
        <v>15161</v>
      </c>
      <c r="I812" s="185">
        <f t="shared" si="235"/>
        <v>10375</v>
      </c>
      <c r="J812" s="185">
        <f t="shared" si="235"/>
        <v>4786</v>
      </c>
      <c r="K812" s="188" t="s">
        <v>236</v>
      </c>
      <c r="L812" s="250"/>
    </row>
    <row r="813" spans="1:12" ht="15" customHeight="1" thickBot="1" x14ac:dyDescent="0.25">
      <c r="B813" s="185">
        <f t="shared" si="235"/>
        <v>1124</v>
      </c>
      <c r="C813" s="185">
        <f t="shared" si="235"/>
        <v>1124</v>
      </c>
      <c r="D813" s="185">
        <f t="shared" si="235"/>
        <v>0</v>
      </c>
      <c r="E813" s="185">
        <f t="shared" si="235"/>
        <v>0</v>
      </c>
      <c r="F813" s="185">
        <f t="shared" si="235"/>
        <v>0</v>
      </c>
      <c r="G813" s="185">
        <f t="shared" si="235"/>
        <v>0</v>
      </c>
      <c r="H813" s="185">
        <f t="shared" si="235"/>
        <v>1124</v>
      </c>
      <c r="I813" s="185">
        <f t="shared" si="235"/>
        <v>1124</v>
      </c>
      <c r="J813" s="185">
        <f t="shared" si="235"/>
        <v>0</v>
      </c>
      <c r="K813" s="188" t="s">
        <v>237</v>
      </c>
      <c r="L813" s="251" t="s">
        <v>188</v>
      </c>
    </row>
    <row r="814" spans="1:12" ht="15" customHeight="1" thickBot="1" x14ac:dyDescent="0.25">
      <c r="B814" s="185">
        <f t="shared" si="235"/>
        <v>16338</v>
      </c>
      <c r="C814" s="185">
        <f t="shared" si="235"/>
        <v>11503</v>
      </c>
      <c r="D814" s="185">
        <f t="shared" si="235"/>
        <v>4835</v>
      </c>
      <c r="E814" s="185">
        <f t="shared" si="235"/>
        <v>53</v>
      </c>
      <c r="F814" s="185">
        <f t="shared" si="235"/>
        <v>4</v>
      </c>
      <c r="G814" s="185">
        <f t="shared" si="235"/>
        <v>49</v>
      </c>
      <c r="H814" s="185">
        <f t="shared" si="235"/>
        <v>16285</v>
      </c>
      <c r="I814" s="185">
        <f t="shared" si="235"/>
        <v>11499</v>
      </c>
      <c r="J814" s="185">
        <f t="shared" si="235"/>
        <v>4786</v>
      </c>
      <c r="K814" s="188" t="s">
        <v>12</v>
      </c>
      <c r="L814" s="187"/>
    </row>
    <row r="815" spans="1:12" ht="15" customHeight="1" thickBot="1" x14ac:dyDescent="0.25">
      <c r="B815" s="476" t="s">
        <v>4</v>
      </c>
      <c r="C815" s="476"/>
      <c r="D815" s="476"/>
      <c r="E815" s="476" t="s">
        <v>145</v>
      </c>
      <c r="F815" s="476"/>
      <c r="G815" s="476"/>
      <c r="H815" s="476" t="s">
        <v>146</v>
      </c>
      <c r="I815" s="476"/>
      <c r="J815" s="476"/>
      <c r="K815" s="479" t="s">
        <v>66</v>
      </c>
      <c r="L815" s="479"/>
    </row>
    <row r="816" spans="1:12" ht="15" customHeight="1" thickBot="1" x14ac:dyDescent="0.25">
      <c r="B816" s="185" t="s">
        <v>227</v>
      </c>
      <c r="C816" s="185" t="s">
        <v>10</v>
      </c>
      <c r="D816" s="185" t="s">
        <v>9</v>
      </c>
      <c r="E816" s="185" t="s">
        <v>227</v>
      </c>
      <c r="F816" s="185" t="s">
        <v>10</v>
      </c>
      <c r="G816" s="185" t="s">
        <v>9</v>
      </c>
      <c r="H816" s="185" t="s">
        <v>227</v>
      </c>
      <c r="I816" s="185" t="s">
        <v>10</v>
      </c>
      <c r="J816" s="185" t="s">
        <v>9</v>
      </c>
      <c r="K816" s="480" t="s">
        <v>115</v>
      </c>
      <c r="L816" s="480"/>
    </row>
    <row r="817" spans="1:12" ht="15" customHeight="1" thickBot="1" x14ac:dyDescent="0.25">
      <c r="A817" s="253"/>
      <c r="B817" s="47">
        <f>SUM(C817:D817)</f>
        <v>1582</v>
      </c>
      <c r="C817" s="47">
        <f>I817+F817</f>
        <v>0</v>
      </c>
      <c r="D817" s="47">
        <f>J817+G817</f>
        <v>1582</v>
      </c>
      <c r="E817" s="47">
        <f>SUM(F817:G817)</f>
        <v>0</v>
      </c>
      <c r="F817" s="47">
        <v>0</v>
      </c>
      <c r="G817" s="47">
        <v>0</v>
      </c>
      <c r="H817" s="47">
        <f>SUM(I817:J817)</f>
        <v>1582</v>
      </c>
      <c r="I817" s="47">
        <v>0</v>
      </c>
      <c r="J817" s="47">
        <f>2302-720</f>
        <v>1582</v>
      </c>
      <c r="K817" s="188" t="s">
        <v>233</v>
      </c>
      <c r="L817" s="248"/>
    </row>
    <row r="818" spans="1:12" ht="15" customHeight="1" thickBot="1" x14ac:dyDescent="0.25">
      <c r="A818" s="253"/>
      <c r="B818" s="47">
        <f>SUM(C818:D818)</f>
        <v>0</v>
      </c>
      <c r="C818" s="47">
        <f>I818+F818</f>
        <v>0</v>
      </c>
      <c r="D818" s="47">
        <f>J818+G818</f>
        <v>0</v>
      </c>
      <c r="E818" s="47">
        <f>SUM(F818:G818)</f>
        <v>0</v>
      </c>
      <c r="F818" s="47">
        <v>0</v>
      </c>
      <c r="G818" s="47">
        <v>0</v>
      </c>
      <c r="H818" s="47">
        <f>SUM(I818:J818)</f>
        <v>0</v>
      </c>
      <c r="I818" s="47">
        <v>0</v>
      </c>
      <c r="J818" s="47">
        <v>0</v>
      </c>
      <c r="K818" s="188" t="s">
        <v>234</v>
      </c>
      <c r="L818" s="248" t="s">
        <v>367</v>
      </c>
    </row>
    <row r="819" spans="1:12" ht="15" customHeight="1" thickBot="1" x14ac:dyDescent="0.25">
      <c r="A819" s="253"/>
      <c r="B819" s="47">
        <f t="shared" ref="B819:J819" si="236">SUM(B817:B818)</f>
        <v>1582</v>
      </c>
      <c r="C819" s="47">
        <f t="shared" si="236"/>
        <v>0</v>
      </c>
      <c r="D819" s="47">
        <f t="shared" si="236"/>
        <v>1582</v>
      </c>
      <c r="E819" s="47">
        <f t="shared" si="236"/>
        <v>0</v>
      </c>
      <c r="F819" s="47">
        <f t="shared" si="236"/>
        <v>0</v>
      </c>
      <c r="G819" s="47">
        <f t="shared" si="236"/>
        <v>0</v>
      </c>
      <c r="H819" s="47">
        <f t="shared" si="236"/>
        <v>1582</v>
      </c>
      <c r="I819" s="47">
        <f t="shared" si="236"/>
        <v>0</v>
      </c>
      <c r="J819" s="47">
        <f t="shared" si="236"/>
        <v>1582</v>
      </c>
      <c r="K819" s="188" t="s">
        <v>12</v>
      </c>
      <c r="L819" s="249"/>
    </row>
    <row r="820" spans="1:12" ht="15" customHeight="1" thickBot="1" x14ac:dyDescent="0.25">
      <c r="A820" s="253"/>
      <c r="B820" s="47">
        <f t="shared" ref="B820:B840" si="237">SUM(C820:D820)</f>
        <v>135</v>
      </c>
      <c r="C820" s="47">
        <f t="shared" ref="C820:D840" si="238">I820+F820</f>
        <v>41</v>
      </c>
      <c r="D820" s="47">
        <f t="shared" si="238"/>
        <v>94</v>
      </c>
      <c r="E820" s="47">
        <f t="shared" ref="E820:E840" si="239">SUM(F820:G820)</f>
        <v>0</v>
      </c>
      <c r="F820" s="47">
        <v>0</v>
      </c>
      <c r="G820" s="47">
        <v>0</v>
      </c>
      <c r="H820" s="47">
        <f t="shared" ref="H820:H840" si="240">SUM(I820:J820)</f>
        <v>135</v>
      </c>
      <c r="I820" s="47">
        <v>41</v>
      </c>
      <c r="J820" s="47">
        <v>94</v>
      </c>
      <c r="K820" s="188" t="s">
        <v>233</v>
      </c>
      <c r="L820" s="248"/>
    </row>
    <row r="821" spans="1:12" ht="15" customHeight="1" thickBot="1" x14ac:dyDescent="0.25">
      <c r="A821" s="253"/>
      <c r="B821" s="47">
        <f t="shared" si="237"/>
        <v>0</v>
      </c>
      <c r="C821" s="47">
        <f t="shared" si="238"/>
        <v>0</v>
      </c>
      <c r="D821" s="47">
        <f t="shared" si="238"/>
        <v>0</v>
      </c>
      <c r="E821" s="47">
        <f t="shared" si="239"/>
        <v>0</v>
      </c>
      <c r="F821" s="47">
        <v>0</v>
      </c>
      <c r="G821" s="47">
        <v>0</v>
      </c>
      <c r="H821" s="47">
        <f t="shared" si="240"/>
        <v>0</v>
      </c>
      <c r="I821" s="47">
        <v>0</v>
      </c>
      <c r="J821" s="47">
        <v>0</v>
      </c>
      <c r="K821" s="188" t="s">
        <v>234</v>
      </c>
      <c r="L821" s="248" t="s">
        <v>347</v>
      </c>
    </row>
    <row r="822" spans="1:12" ht="15" customHeight="1" thickBot="1" x14ac:dyDescent="0.25">
      <c r="A822" s="253"/>
      <c r="B822" s="47">
        <f t="shared" si="237"/>
        <v>135</v>
      </c>
      <c r="C822" s="47">
        <f t="shared" si="238"/>
        <v>41</v>
      </c>
      <c r="D822" s="47">
        <f t="shared" si="238"/>
        <v>94</v>
      </c>
      <c r="E822" s="47">
        <f t="shared" si="239"/>
        <v>0</v>
      </c>
      <c r="F822" s="47">
        <f>SUM(F820:F821)</f>
        <v>0</v>
      </c>
      <c r="G822" s="47">
        <f>SUM(G820:G821)</f>
        <v>0</v>
      </c>
      <c r="H822" s="47">
        <f t="shared" si="240"/>
        <v>135</v>
      </c>
      <c r="I822" s="47">
        <f>SUM(I820:I821)</f>
        <v>41</v>
      </c>
      <c r="J822" s="47">
        <f>SUM(J820:J821)</f>
        <v>94</v>
      </c>
      <c r="K822" s="188" t="s">
        <v>12</v>
      </c>
      <c r="L822" s="249"/>
    </row>
    <row r="823" spans="1:12" ht="15" customHeight="1" thickBot="1" x14ac:dyDescent="0.25">
      <c r="A823" s="253"/>
      <c r="B823" s="47">
        <f t="shared" si="237"/>
        <v>89</v>
      </c>
      <c r="C823" s="47">
        <f t="shared" si="238"/>
        <v>26</v>
      </c>
      <c r="D823" s="47">
        <f t="shared" si="238"/>
        <v>63</v>
      </c>
      <c r="E823" s="47">
        <f t="shared" si="239"/>
        <v>0</v>
      </c>
      <c r="F823" s="47">
        <v>0</v>
      </c>
      <c r="G823" s="47">
        <v>0</v>
      </c>
      <c r="H823" s="47">
        <f t="shared" si="240"/>
        <v>89</v>
      </c>
      <c r="I823" s="47">
        <v>26</v>
      </c>
      <c r="J823" s="47">
        <v>63</v>
      </c>
      <c r="K823" s="188" t="s">
        <v>233</v>
      </c>
      <c r="L823" s="248"/>
    </row>
    <row r="824" spans="1:12" ht="15" customHeight="1" thickBot="1" x14ac:dyDescent="0.25">
      <c r="A824" s="253"/>
      <c r="B824" s="47">
        <f t="shared" si="237"/>
        <v>0</v>
      </c>
      <c r="C824" s="47">
        <f t="shared" si="238"/>
        <v>0</v>
      </c>
      <c r="D824" s="47">
        <f t="shared" si="238"/>
        <v>0</v>
      </c>
      <c r="E824" s="47">
        <f t="shared" si="239"/>
        <v>0</v>
      </c>
      <c r="F824" s="47">
        <v>0</v>
      </c>
      <c r="G824" s="47">
        <v>0</v>
      </c>
      <c r="H824" s="47">
        <f t="shared" si="240"/>
        <v>0</v>
      </c>
      <c r="I824" s="47">
        <v>0</v>
      </c>
      <c r="J824" s="47">
        <v>0</v>
      </c>
      <c r="K824" s="188" t="s">
        <v>234</v>
      </c>
      <c r="L824" s="248" t="s">
        <v>344</v>
      </c>
    </row>
    <row r="825" spans="1:12" ht="15" customHeight="1" thickBot="1" x14ac:dyDescent="0.25">
      <c r="A825" s="253"/>
      <c r="B825" s="47">
        <f t="shared" si="237"/>
        <v>89</v>
      </c>
      <c r="C825" s="47">
        <f t="shared" si="238"/>
        <v>26</v>
      </c>
      <c r="D825" s="47">
        <f t="shared" si="238"/>
        <v>63</v>
      </c>
      <c r="E825" s="47">
        <f t="shared" si="239"/>
        <v>0</v>
      </c>
      <c r="F825" s="47">
        <f>SUM(F823:F824)</f>
        <v>0</v>
      </c>
      <c r="G825" s="47">
        <f>SUM(G823:G824)</f>
        <v>0</v>
      </c>
      <c r="H825" s="47">
        <f t="shared" si="240"/>
        <v>89</v>
      </c>
      <c r="I825" s="47">
        <f>SUM(I823:I824)</f>
        <v>26</v>
      </c>
      <c r="J825" s="47">
        <f>SUM(J823:J824)</f>
        <v>63</v>
      </c>
      <c r="K825" s="188" t="s">
        <v>12</v>
      </c>
      <c r="L825" s="249"/>
    </row>
    <row r="826" spans="1:12" ht="15" customHeight="1" thickBot="1" x14ac:dyDescent="0.25">
      <c r="A826" s="253"/>
      <c r="B826" s="47">
        <f t="shared" si="237"/>
        <v>4863</v>
      </c>
      <c r="C826" s="47">
        <f t="shared" si="238"/>
        <v>4863</v>
      </c>
      <c r="D826" s="47">
        <f t="shared" si="238"/>
        <v>0</v>
      </c>
      <c r="E826" s="47">
        <f t="shared" si="239"/>
        <v>0</v>
      </c>
      <c r="F826" s="47">
        <v>0</v>
      </c>
      <c r="G826" s="47">
        <v>0</v>
      </c>
      <c r="H826" s="47">
        <f t="shared" si="240"/>
        <v>4863</v>
      </c>
      <c r="I826" s="47">
        <f>6363-1500</f>
        <v>4863</v>
      </c>
      <c r="J826" s="47">
        <v>0</v>
      </c>
      <c r="K826" s="188" t="s">
        <v>233</v>
      </c>
      <c r="L826" s="248"/>
    </row>
    <row r="827" spans="1:12" ht="15" customHeight="1" thickBot="1" x14ac:dyDescent="0.25">
      <c r="A827" s="253"/>
      <c r="B827" s="47">
        <f t="shared" si="237"/>
        <v>137</v>
      </c>
      <c r="C827" s="47">
        <f t="shared" si="238"/>
        <v>137</v>
      </c>
      <c r="D827" s="47">
        <f t="shared" si="238"/>
        <v>0</v>
      </c>
      <c r="E827" s="47">
        <f t="shared" si="239"/>
        <v>0</v>
      </c>
      <c r="F827" s="47">
        <v>0</v>
      </c>
      <c r="G827" s="47">
        <v>0</v>
      </c>
      <c r="H827" s="47">
        <f t="shared" si="240"/>
        <v>137</v>
      </c>
      <c r="I827" s="47">
        <v>137</v>
      </c>
      <c r="J827" s="47">
        <v>0</v>
      </c>
      <c r="K827" s="188" t="s">
        <v>234</v>
      </c>
      <c r="L827" s="248" t="s">
        <v>517</v>
      </c>
    </row>
    <row r="828" spans="1:12" ht="15" customHeight="1" thickBot="1" x14ac:dyDescent="0.25">
      <c r="A828" s="253"/>
      <c r="B828" s="47">
        <f t="shared" si="237"/>
        <v>5000</v>
      </c>
      <c r="C828" s="47">
        <f t="shared" si="238"/>
        <v>5000</v>
      </c>
      <c r="D828" s="47">
        <f t="shared" si="238"/>
        <v>0</v>
      </c>
      <c r="E828" s="47">
        <f t="shared" si="239"/>
        <v>0</v>
      </c>
      <c r="F828" s="47">
        <f>SUM(F826:F827)</f>
        <v>0</v>
      </c>
      <c r="G828" s="47">
        <f>SUM(G826:G827)</f>
        <v>0</v>
      </c>
      <c r="H828" s="47">
        <f t="shared" si="240"/>
        <v>5000</v>
      </c>
      <c r="I828" s="47">
        <f>SUM(I826:I827)</f>
        <v>5000</v>
      </c>
      <c r="J828" s="47">
        <f>SUM(J826:J827)</f>
        <v>0</v>
      </c>
      <c r="K828" s="188" t="s">
        <v>12</v>
      </c>
      <c r="L828" s="249"/>
    </row>
    <row r="829" spans="1:12" ht="15" customHeight="1" thickBot="1" x14ac:dyDescent="0.25">
      <c r="A829" s="253"/>
      <c r="B829" s="47">
        <f t="shared" si="237"/>
        <v>72</v>
      </c>
      <c r="C829" s="47">
        <f t="shared" si="238"/>
        <v>0</v>
      </c>
      <c r="D829" s="47">
        <f t="shared" si="238"/>
        <v>72</v>
      </c>
      <c r="E829" s="47">
        <f t="shared" si="239"/>
        <v>0</v>
      </c>
      <c r="F829" s="47">
        <v>0</v>
      </c>
      <c r="G829" s="47">
        <v>0</v>
      </c>
      <c r="H829" s="47">
        <f t="shared" si="240"/>
        <v>72</v>
      </c>
      <c r="I829" s="47">
        <v>0</v>
      </c>
      <c r="J829" s="47">
        <v>72</v>
      </c>
      <c r="K829" s="188" t="s">
        <v>233</v>
      </c>
      <c r="L829" s="248"/>
    </row>
    <row r="830" spans="1:12" ht="15" customHeight="1" thickBot="1" x14ac:dyDescent="0.25">
      <c r="A830" s="253"/>
      <c r="B830" s="47">
        <f t="shared" si="237"/>
        <v>0</v>
      </c>
      <c r="C830" s="47">
        <f t="shared" si="238"/>
        <v>0</v>
      </c>
      <c r="D830" s="47">
        <f t="shared" si="238"/>
        <v>0</v>
      </c>
      <c r="E830" s="47">
        <f t="shared" si="239"/>
        <v>0</v>
      </c>
      <c r="F830" s="47">
        <v>0</v>
      </c>
      <c r="G830" s="47">
        <v>0</v>
      </c>
      <c r="H830" s="47">
        <f t="shared" si="240"/>
        <v>0</v>
      </c>
      <c r="I830" s="47">
        <v>0</v>
      </c>
      <c r="J830" s="47">
        <v>0</v>
      </c>
      <c r="K830" s="188" t="s">
        <v>234</v>
      </c>
      <c r="L830" s="248" t="s">
        <v>372</v>
      </c>
    </row>
    <row r="831" spans="1:12" ht="15" customHeight="1" thickBot="1" x14ac:dyDescent="0.25">
      <c r="A831" s="253"/>
      <c r="B831" s="47">
        <f t="shared" si="237"/>
        <v>72</v>
      </c>
      <c r="C831" s="47">
        <f t="shared" si="238"/>
        <v>0</v>
      </c>
      <c r="D831" s="47">
        <f t="shared" si="238"/>
        <v>72</v>
      </c>
      <c r="E831" s="47">
        <f t="shared" si="239"/>
        <v>0</v>
      </c>
      <c r="F831" s="47">
        <f>SUM(F829:F830)</f>
        <v>0</v>
      </c>
      <c r="G831" s="47">
        <f>SUM(G829:G830)</f>
        <v>0</v>
      </c>
      <c r="H831" s="47">
        <f t="shared" si="240"/>
        <v>72</v>
      </c>
      <c r="I831" s="47">
        <f>SUM(I829:I830)</f>
        <v>0</v>
      </c>
      <c r="J831" s="47">
        <f>SUM(J829:J830)</f>
        <v>72</v>
      </c>
      <c r="K831" s="188" t="s">
        <v>12</v>
      </c>
      <c r="L831" s="249"/>
    </row>
    <row r="832" spans="1:12" ht="15" customHeight="1" thickBot="1" x14ac:dyDescent="0.25">
      <c r="A832" s="253"/>
      <c r="B832" s="47">
        <f t="shared" si="237"/>
        <v>3551</v>
      </c>
      <c r="C832" s="47">
        <f t="shared" si="238"/>
        <v>2402</v>
      </c>
      <c r="D832" s="47">
        <f t="shared" si="238"/>
        <v>1149</v>
      </c>
      <c r="E832" s="47">
        <f t="shared" si="239"/>
        <v>0</v>
      </c>
      <c r="F832" s="47">
        <v>0</v>
      </c>
      <c r="G832" s="47">
        <v>0</v>
      </c>
      <c r="H832" s="47">
        <f t="shared" si="240"/>
        <v>3551</v>
      </c>
      <c r="I832" s="47">
        <f>2809-407</f>
        <v>2402</v>
      </c>
      <c r="J832" s="47">
        <f>1749-600</f>
        <v>1149</v>
      </c>
      <c r="K832" s="188" t="s">
        <v>233</v>
      </c>
      <c r="L832" s="248"/>
    </row>
    <row r="833" spans="1:12" ht="15" customHeight="1" thickBot="1" x14ac:dyDescent="0.25">
      <c r="A833" s="253"/>
      <c r="B833" s="47">
        <f t="shared" si="237"/>
        <v>1186</v>
      </c>
      <c r="C833" s="47">
        <f t="shared" si="238"/>
        <v>1186</v>
      </c>
      <c r="D833" s="47">
        <f t="shared" si="238"/>
        <v>0</v>
      </c>
      <c r="E833" s="47">
        <f t="shared" si="239"/>
        <v>0</v>
      </c>
      <c r="F833" s="47">
        <v>0</v>
      </c>
      <c r="G833" s="47">
        <v>0</v>
      </c>
      <c r="H833" s="47">
        <f t="shared" si="240"/>
        <v>1186</v>
      </c>
      <c r="I833" s="47">
        <v>1186</v>
      </c>
      <c r="J833" s="47">
        <v>0</v>
      </c>
      <c r="K833" s="188" t="s">
        <v>234</v>
      </c>
      <c r="L833" s="248" t="s">
        <v>518</v>
      </c>
    </row>
    <row r="834" spans="1:12" ht="15" customHeight="1" thickBot="1" x14ac:dyDescent="0.25">
      <c r="A834" s="253"/>
      <c r="B834" s="47">
        <f t="shared" si="237"/>
        <v>4737</v>
      </c>
      <c r="C834" s="47">
        <f t="shared" si="238"/>
        <v>3588</v>
      </c>
      <c r="D834" s="47">
        <f t="shared" si="238"/>
        <v>1149</v>
      </c>
      <c r="E834" s="47">
        <f t="shared" si="239"/>
        <v>0</v>
      </c>
      <c r="F834" s="47">
        <f>SUM(F832:F833)</f>
        <v>0</v>
      </c>
      <c r="G834" s="47">
        <f>SUM(G832:G833)</f>
        <v>0</v>
      </c>
      <c r="H834" s="47">
        <f t="shared" si="240"/>
        <v>4737</v>
      </c>
      <c r="I834" s="47">
        <f>SUM(I832:I833)</f>
        <v>3588</v>
      </c>
      <c r="J834" s="47">
        <f>SUM(J832:J833)</f>
        <v>1149</v>
      </c>
      <c r="K834" s="188" t="s">
        <v>12</v>
      </c>
      <c r="L834" s="249"/>
    </row>
    <row r="835" spans="1:12" ht="15" customHeight="1" thickBot="1" x14ac:dyDescent="0.25">
      <c r="A835" s="253"/>
      <c r="B835" s="47">
        <f t="shared" si="237"/>
        <v>96</v>
      </c>
      <c r="C835" s="47">
        <f t="shared" si="238"/>
        <v>0</v>
      </c>
      <c r="D835" s="47">
        <f t="shared" si="238"/>
        <v>96</v>
      </c>
      <c r="E835" s="47">
        <f t="shared" si="239"/>
        <v>0</v>
      </c>
      <c r="F835" s="47">
        <v>0</v>
      </c>
      <c r="G835" s="47">
        <v>0</v>
      </c>
      <c r="H835" s="47">
        <f t="shared" si="240"/>
        <v>96</v>
      </c>
      <c r="I835" s="47">
        <v>0</v>
      </c>
      <c r="J835" s="47">
        <v>96</v>
      </c>
      <c r="K835" s="188" t="s">
        <v>233</v>
      </c>
      <c r="L835" s="248"/>
    </row>
    <row r="836" spans="1:12" ht="15" customHeight="1" thickBot="1" x14ac:dyDescent="0.25">
      <c r="A836" s="253"/>
      <c r="B836" s="47">
        <f t="shared" si="237"/>
        <v>0</v>
      </c>
      <c r="C836" s="47">
        <f t="shared" si="238"/>
        <v>0</v>
      </c>
      <c r="D836" s="47">
        <f t="shared" si="238"/>
        <v>0</v>
      </c>
      <c r="E836" s="47">
        <f t="shared" si="239"/>
        <v>0</v>
      </c>
      <c r="F836" s="47">
        <v>0</v>
      </c>
      <c r="G836" s="47">
        <v>0</v>
      </c>
      <c r="H836" s="47">
        <f t="shared" si="240"/>
        <v>0</v>
      </c>
      <c r="I836" s="47">
        <v>0</v>
      </c>
      <c r="J836" s="47">
        <v>0</v>
      </c>
      <c r="K836" s="188" t="s">
        <v>234</v>
      </c>
      <c r="L836" s="248" t="s">
        <v>667</v>
      </c>
    </row>
    <row r="837" spans="1:12" ht="15" customHeight="1" thickBot="1" x14ac:dyDescent="0.25">
      <c r="A837" s="253"/>
      <c r="B837" s="47">
        <f t="shared" si="237"/>
        <v>96</v>
      </c>
      <c r="C837" s="47">
        <f t="shared" si="238"/>
        <v>0</v>
      </c>
      <c r="D837" s="47">
        <f t="shared" si="238"/>
        <v>96</v>
      </c>
      <c r="E837" s="47">
        <f t="shared" si="239"/>
        <v>0</v>
      </c>
      <c r="F837" s="47">
        <f>SUM(F835:F836)</f>
        <v>0</v>
      </c>
      <c r="G837" s="47">
        <f>SUM(G835:G836)</f>
        <v>0</v>
      </c>
      <c r="H837" s="47">
        <f t="shared" si="240"/>
        <v>96</v>
      </c>
      <c r="I837" s="47">
        <f>SUM(I835:I836)</f>
        <v>0</v>
      </c>
      <c r="J837" s="47">
        <f>SUM(J835:J836)</f>
        <v>96</v>
      </c>
      <c r="K837" s="188" t="s">
        <v>12</v>
      </c>
      <c r="L837" s="249"/>
    </row>
    <row r="838" spans="1:12" ht="15" customHeight="1" thickBot="1" x14ac:dyDescent="0.25">
      <c r="A838" s="253"/>
      <c r="B838" s="47">
        <f t="shared" si="237"/>
        <v>384</v>
      </c>
      <c r="C838" s="47">
        <f t="shared" si="238"/>
        <v>384</v>
      </c>
      <c r="D838" s="47">
        <f t="shared" si="238"/>
        <v>0</v>
      </c>
      <c r="E838" s="47">
        <f t="shared" si="239"/>
        <v>0</v>
      </c>
      <c r="F838" s="47">
        <v>0</v>
      </c>
      <c r="G838" s="47">
        <v>0</v>
      </c>
      <c r="H838" s="47">
        <f t="shared" si="240"/>
        <v>384</v>
      </c>
      <c r="I838" s="47">
        <v>384</v>
      </c>
      <c r="J838" s="47">
        <v>0</v>
      </c>
      <c r="K838" s="188" t="s">
        <v>233</v>
      </c>
      <c r="L838" s="248"/>
    </row>
    <row r="839" spans="1:12" ht="15" customHeight="1" thickBot="1" x14ac:dyDescent="0.25">
      <c r="A839" s="253"/>
      <c r="B839" s="47">
        <f t="shared" si="237"/>
        <v>0</v>
      </c>
      <c r="C839" s="47">
        <f t="shared" si="238"/>
        <v>0</v>
      </c>
      <c r="D839" s="47">
        <f t="shared" si="238"/>
        <v>0</v>
      </c>
      <c r="E839" s="47">
        <f t="shared" si="239"/>
        <v>0</v>
      </c>
      <c r="F839" s="47">
        <v>0</v>
      </c>
      <c r="G839" s="47">
        <v>0</v>
      </c>
      <c r="H839" s="47">
        <f t="shared" si="240"/>
        <v>0</v>
      </c>
      <c r="I839" s="47">
        <v>0</v>
      </c>
      <c r="J839" s="47">
        <v>0</v>
      </c>
      <c r="K839" s="188" t="s">
        <v>234</v>
      </c>
      <c r="L839" s="248" t="s">
        <v>408</v>
      </c>
    </row>
    <row r="840" spans="1:12" ht="15" customHeight="1" thickBot="1" x14ac:dyDescent="0.25">
      <c r="A840" s="253"/>
      <c r="B840" s="47">
        <f t="shared" si="237"/>
        <v>384</v>
      </c>
      <c r="C840" s="47">
        <f t="shared" si="238"/>
        <v>384</v>
      </c>
      <c r="D840" s="47">
        <f t="shared" si="238"/>
        <v>0</v>
      </c>
      <c r="E840" s="47">
        <f t="shared" si="239"/>
        <v>0</v>
      </c>
      <c r="F840" s="47">
        <f>SUM(F838:F839)</f>
        <v>0</v>
      </c>
      <c r="G840" s="47">
        <f>SUM(G838:G839)</f>
        <v>0</v>
      </c>
      <c r="H840" s="47">
        <f t="shared" si="240"/>
        <v>384</v>
      </c>
      <c r="I840" s="47">
        <f>SUM(I838:I839)</f>
        <v>384</v>
      </c>
      <c r="J840" s="47">
        <f>SUM(J838:J839)</f>
        <v>0</v>
      </c>
      <c r="K840" s="188" t="s">
        <v>12</v>
      </c>
      <c r="L840" s="249"/>
    </row>
    <row r="841" spans="1:12" ht="15" customHeight="1" thickBot="1" x14ac:dyDescent="0.25">
      <c r="A841" s="253"/>
      <c r="B841" s="47">
        <f t="shared" ref="B841:J843" si="241">B817+B820+B823+B826+B829+B832+B835+B838</f>
        <v>10772</v>
      </c>
      <c r="C841" s="47">
        <f t="shared" si="241"/>
        <v>7716</v>
      </c>
      <c r="D841" s="47">
        <f t="shared" si="241"/>
        <v>3056</v>
      </c>
      <c r="E841" s="47">
        <f t="shared" si="241"/>
        <v>0</v>
      </c>
      <c r="F841" s="47">
        <f t="shared" si="241"/>
        <v>0</v>
      </c>
      <c r="G841" s="47">
        <f t="shared" si="241"/>
        <v>0</v>
      </c>
      <c r="H841" s="47">
        <f t="shared" si="241"/>
        <v>10772</v>
      </c>
      <c r="I841" s="47">
        <f t="shared" si="241"/>
        <v>7716</v>
      </c>
      <c r="J841" s="47">
        <f t="shared" si="241"/>
        <v>3056</v>
      </c>
      <c r="K841" s="188" t="s">
        <v>236</v>
      </c>
      <c r="L841" s="250"/>
    </row>
    <row r="842" spans="1:12" ht="15" customHeight="1" thickBot="1" x14ac:dyDescent="0.25">
      <c r="A842" s="253"/>
      <c r="B842" s="47">
        <f t="shared" si="241"/>
        <v>1323</v>
      </c>
      <c r="C842" s="47">
        <f t="shared" si="241"/>
        <v>1323</v>
      </c>
      <c r="D842" s="47">
        <f t="shared" si="241"/>
        <v>0</v>
      </c>
      <c r="E842" s="47">
        <f t="shared" si="241"/>
        <v>0</v>
      </c>
      <c r="F842" s="47">
        <f t="shared" si="241"/>
        <v>0</v>
      </c>
      <c r="G842" s="47">
        <f t="shared" si="241"/>
        <v>0</v>
      </c>
      <c r="H842" s="47">
        <f t="shared" si="241"/>
        <v>1323</v>
      </c>
      <c r="I842" s="47">
        <f t="shared" si="241"/>
        <v>1323</v>
      </c>
      <c r="J842" s="47">
        <f t="shared" si="241"/>
        <v>0</v>
      </c>
      <c r="K842" s="188" t="s">
        <v>237</v>
      </c>
      <c r="L842" s="251" t="s">
        <v>188</v>
      </c>
    </row>
    <row r="843" spans="1:12" ht="15" customHeight="1" thickBot="1" x14ac:dyDescent="0.25">
      <c r="A843" s="253"/>
      <c r="B843" s="47">
        <f t="shared" si="241"/>
        <v>12095</v>
      </c>
      <c r="C843" s="47">
        <f t="shared" si="241"/>
        <v>9039</v>
      </c>
      <c r="D843" s="47">
        <f t="shared" si="241"/>
        <v>3056</v>
      </c>
      <c r="E843" s="47">
        <f t="shared" si="241"/>
        <v>0</v>
      </c>
      <c r="F843" s="47">
        <f t="shared" si="241"/>
        <v>0</v>
      </c>
      <c r="G843" s="47">
        <f t="shared" si="241"/>
        <v>0</v>
      </c>
      <c r="H843" s="47">
        <f t="shared" si="241"/>
        <v>12095</v>
      </c>
      <c r="I843" s="47">
        <f t="shared" si="241"/>
        <v>9039</v>
      </c>
      <c r="J843" s="47">
        <f t="shared" si="241"/>
        <v>3056</v>
      </c>
      <c r="K843" s="188" t="s">
        <v>12</v>
      </c>
      <c r="L843" s="187"/>
    </row>
    <row r="844" spans="1:12" ht="15" customHeight="1" thickBot="1" x14ac:dyDescent="0.25">
      <c r="A844" s="253"/>
      <c r="B844" s="476" t="s">
        <v>4</v>
      </c>
      <c r="C844" s="476"/>
      <c r="D844" s="476"/>
      <c r="E844" s="476" t="s">
        <v>145</v>
      </c>
      <c r="F844" s="476"/>
      <c r="G844" s="476"/>
      <c r="H844" s="476" t="s">
        <v>146</v>
      </c>
      <c r="I844" s="476"/>
      <c r="J844" s="476"/>
      <c r="K844" s="479" t="s">
        <v>66</v>
      </c>
      <c r="L844" s="479"/>
    </row>
    <row r="845" spans="1:12" ht="15" customHeight="1" thickBot="1" x14ac:dyDescent="0.25">
      <c r="A845" s="253"/>
      <c r="B845" s="185" t="s">
        <v>227</v>
      </c>
      <c r="C845" s="185" t="s">
        <v>10</v>
      </c>
      <c r="D845" s="185" t="s">
        <v>9</v>
      </c>
      <c r="E845" s="185" t="s">
        <v>227</v>
      </c>
      <c r="F845" s="185" t="s">
        <v>10</v>
      </c>
      <c r="G845" s="185" t="s">
        <v>9</v>
      </c>
      <c r="H845" s="185" t="s">
        <v>227</v>
      </c>
      <c r="I845" s="185" t="s">
        <v>10</v>
      </c>
      <c r="J845" s="185" t="s">
        <v>9</v>
      </c>
      <c r="K845" s="480" t="s">
        <v>117</v>
      </c>
      <c r="L845" s="480"/>
    </row>
    <row r="846" spans="1:12" ht="15" customHeight="1" thickBot="1" x14ac:dyDescent="0.25">
      <c r="A846" s="253"/>
      <c r="B846" s="47">
        <f>SUM(C846:D846)</f>
        <v>2172</v>
      </c>
      <c r="C846" s="47">
        <f>I846+F846</f>
        <v>0</v>
      </c>
      <c r="D846" s="47">
        <f>J846+G846</f>
        <v>2172</v>
      </c>
      <c r="E846" s="47">
        <f>SUM(F846:G846)</f>
        <v>0</v>
      </c>
      <c r="F846" s="47">
        <v>0</v>
      </c>
      <c r="G846" s="47">
        <v>0</v>
      </c>
      <c r="H846" s="47">
        <f>SUM(I846:J846)</f>
        <v>2172</v>
      </c>
      <c r="I846" s="47">
        <v>0</v>
      </c>
      <c r="J846" s="47">
        <f>5378-3206</f>
        <v>2172</v>
      </c>
      <c r="K846" s="188" t="s">
        <v>233</v>
      </c>
      <c r="L846" s="134"/>
    </row>
    <row r="847" spans="1:12" ht="15" customHeight="1" thickBot="1" x14ac:dyDescent="0.25">
      <c r="A847" s="253"/>
      <c r="B847" s="47">
        <f>SUM(C847:D847)</f>
        <v>0</v>
      </c>
      <c r="C847" s="47">
        <f>I847+F847</f>
        <v>0</v>
      </c>
      <c r="D847" s="47">
        <f>J847+G847</f>
        <v>0</v>
      </c>
      <c r="E847" s="47">
        <f>SUM(F847:G847)</f>
        <v>0</v>
      </c>
      <c r="F847" s="47">
        <v>0</v>
      </c>
      <c r="G847" s="47">
        <v>0</v>
      </c>
      <c r="H847" s="47">
        <f>SUM(I847:J847)</f>
        <v>0</v>
      </c>
      <c r="I847" s="47">
        <v>0</v>
      </c>
      <c r="J847" s="47">
        <v>0</v>
      </c>
      <c r="K847" s="188" t="s">
        <v>234</v>
      </c>
      <c r="L847" s="134" t="s">
        <v>520</v>
      </c>
    </row>
    <row r="848" spans="1:12" ht="15" customHeight="1" thickBot="1" x14ac:dyDescent="0.25">
      <c r="A848" s="253"/>
      <c r="B848" s="47">
        <f t="shared" ref="B848:J848" si="242">SUM(B846:B847)</f>
        <v>2172</v>
      </c>
      <c r="C848" s="47">
        <f t="shared" si="242"/>
        <v>0</v>
      </c>
      <c r="D848" s="47">
        <f t="shared" si="242"/>
        <v>2172</v>
      </c>
      <c r="E848" s="47">
        <f t="shared" si="242"/>
        <v>0</v>
      </c>
      <c r="F848" s="47">
        <f t="shared" si="242"/>
        <v>0</v>
      </c>
      <c r="G848" s="47">
        <f t="shared" si="242"/>
        <v>0</v>
      </c>
      <c r="H848" s="47">
        <f t="shared" si="242"/>
        <v>2172</v>
      </c>
      <c r="I848" s="47">
        <f t="shared" si="242"/>
        <v>0</v>
      </c>
      <c r="J848" s="47">
        <f t="shared" si="242"/>
        <v>2172</v>
      </c>
      <c r="K848" s="188" t="s">
        <v>12</v>
      </c>
      <c r="L848" s="239"/>
    </row>
    <row r="849" spans="1:12" ht="15" customHeight="1" thickBot="1" x14ac:dyDescent="0.25">
      <c r="A849" s="253"/>
      <c r="B849" s="47">
        <f>SUM(C849:D849)</f>
        <v>1283</v>
      </c>
      <c r="C849" s="47">
        <f>I849+F849</f>
        <v>498</v>
      </c>
      <c r="D849" s="47">
        <f>J849+G849</f>
        <v>785</v>
      </c>
      <c r="E849" s="47">
        <f>SUM(F849:G849)</f>
        <v>0</v>
      </c>
      <c r="F849" s="47">
        <v>0</v>
      </c>
      <c r="G849" s="47">
        <v>0</v>
      </c>
      <c r="H849" s="47">
        <f>SUM(I849:J849)</f>
        <v>1283</v>
      </c>
      <c r="I849" s="47">
        <v>498</v>
      </c>
      <c r="J849" s="47">
        <f>1585-800</f>
        <v>785</v>
      </c>
      <c r="K849" s="188" t="s">
        <v>233</v>
      </c>
      <c r="L849" s="134"/>
    </row>
    <row r="850" spans="1:12" ht="15" customHeight="1" thickBot="1" x14ac:dyDescent="0.25">
      <c r="A850" s="253"/>
      <c r="B850" s="47">
        <f>SUM(C850:D850)</f>
        <v>0</v>
      </c>
      <c r="C850" s="47">
        <f>I850+F850</f>
        <v>0</v>
      </c>
      <c r="D850" s="47">
        <f>J850+G850</f>
        <v>0</v>
      </c>
      <c r="E850" s="47">
        <f>SUM(F850:G850)</f>
        <v>0</v>
      </c>
      <c r="F850" s="47">
        <v>0</v>
      </c>
      <c r="G850" s="47">
        <v>0</v>
      </c>
      <c r="H850" s="47">
        <f>SUM(I850:J850)</f>
        <v>0</v>
      </c>
      <c r="I850" s="47">
        <v>0</v>
      </c>
      <c r="J850" s="47">
        <v>0</v>
      </c>
      <c r="K850" s="188" t="s">
        <v>234</v>
      </c>
      <c r="L850" s="134" t="s">
        <v>367</v>
      </c>
    </row>
    <row r="851" spans="1:12" ht="15" customHeight="1" thickBot="1" x14ac:dyDescent="0.25">
      <c r="A851" s="253"/>
      <c r="B851" s="47">
        <f t="shared" ref="B851:J851" si="243">SUM(B849:B850)</f>
        <v>1283</v>
      </c>
      <c r="C851" s="47">
        <f t="shared" si="243"/>
        <v>498</v>
      </c>
      <c r="D851" s="47">
        <f t="shared" si="243"/>
        <v>785</v>
      </c>
      <c r="E851" s="47">
        <f t="shared" si="243"/>
        <v>0</v>
      </c>
      <c r="F851" s="47">
        <f t="shared" si="243"/>
        <v>0</v>
      </c>
      <c r="G851" s="47">
        <f t="shared" si="243"/>
        <v>0</v>
      </c>
      <c r="H851" s="47">
        <f t="shared" si="243"/>
        <v>1283</v>
      </c>
      <c r="I851" s="47">
        <f t="shared" si="243"/>
        <v>498</v>
      </c>
      <c r="J851" s="47">
        <f t="shared" si="243"/>
        <v>785</v>
      </c>
      <c r="K851" s="188" t="s">
        <v>12</v>
      </c>
      <c r="L851" s="239"/>
    </row>
    <row r="852" spans="1:12" ht="15" customHeight="1" thickBot="1" x14ac:dyDescent="0.25">
      <c r="A852" s="253"/>
      <c r="B852" s="47">
        <f>SUM(C852:D852)</f>
        <v>418</v>
      </c>
      <c r="C852" s="47">
        <f>I852+F852</f>
        <v>0</v>
      </c>
      <c r="D852" s="47">
        <f>J852+G852</f>
        <v>418</v>
      </c>
      <c r="E852" s="47">
        <f>SUM(F852:G852)</f>
        <v>0</v>
      </c>
      <c r="F852" s="47">
        <v>0</v>
      </c>
      <c r="G852" s="47">
        <v>0</v>
      </c>
      <c r="H852" s="47">
        <f>SUM(I852:J852)</f>
        <v>418</v>
      </c>
      <c r="I852" s="47">
        <v>0</v>
      </c>
      <c r="J852" s="47">
        <f>818-400</f>
        <v>418</v>
      </c>
      <c r="K852" s="188" t="s">
        <v>233</v>
      </c>
      <c r="L852" s="134"/>
    </row>
    <row r="853" spans="1:12" ht="15" customHeight="1" thickBot="1" x14ac:dyDescent="0.25">
      <c r="A853" s="253"/>
      <c r="B853" s="47">
        <f>SUM(C853:D853)</f>
        <v>0</v>
      </c>
      <c r="C853" s="47">
        <f>I853+F853</f>
        <v>0</v>
      </c>
      <c r="D853" s="47">
        <f>J853+G853</f>
        <v>0</v>
      </c>
      <c r="E853" s="47">
        <f>SUM(F853:G853)</f>
        <v>0</v>
      </c>
      <c r="F853" s="47">
        <v>0</v>
      </c>
      <c r="G853" s="47">
        <v>0</v>
      </c>
      <c r="H853" s="47">
        <f>SUM(I853:J853)</f>
        <v>0</v>
      </c>
      <c r="I853" s="47">
        <v>0</v>
      </c>
      <c r="J853" s="47">
        <v>0</v>
      </c>
      <c r="K853" s="188" t="s">
        <v>234</v>
      </c>
      <c r="L853" s="134" t="s">
        <v>454</v>
      </c>
    </row>
    <row r="854" spans="1:12" ht="15" customHeight="1" thickBot="1" x14ac:dyDescent="0.25">
      <c r="A854" s="253"/>
      <c r="B854" s="47">
        <f t="shared" ref="B854:J854" si="244">SUM(B852:B853)</f>
        <v>418</v>
      </c>
      <c r="C854" s="47">
        <f t="shared" si="244"/>
        <v>0</v>
      </c>
      <c r="D854" s="47">
        <f t="shared" si="244"/>
        <v>418</v>
      </c>
      <c r="E854" s="47">
        <f t="shared" si="244"/>
        <v>0</v>
      </c>
      <c r="F854" s="47">
        <f t="shared" si="244"/>
        <v>0</v>
      </c>
      <c r="G854" s="47">
        <f t="shared" si="244"/>
        <v>0</v>
      </c>
      <c r="H854" s="47">
        <f t="shared" si="244"/>
        <v>418</v>
      </c>
      <c r="I854" s="47">
        <f t="shared" si="244"/>
        <v>0</v>
      </c>
      <c r="J854" s="47">
        <f t="shared" si="244"/>
        <v>418</v>
      </c>
      <c r="K854" s="188" t="s">
        <v>12</v>
      </c>
      <c r="L854" s="239"/>
    </row>
    <row r="855" spans="1:12" ht="15" customHeight="1" thickBot="1" x14ac:dyDescent="0.25">
      <c r="A855" s="253"/>
      <c r="B855" s="47">
        <f>SUM(C855:D855)</f>
        <v>216</v>
      </c>
      <c r="C855" s="47">
        <f>I855+F855</f>
        <v>72</v>
      </c>
      <c r="D855" s="47">
        <f>J855+G855</f>
        <v>144</v>
      </c>
      <c r="E855" s="47">
        <f>SUM(F855:G855)</f>
        <v>0</v>
      </c>
      <c r="F855" s="47">
        <v>0</v>
      </c>
      <c r="G855" s="47">
        <v>0</v>
      </c>
      <c r="H855" s="47">
        <f>SUM(I855:J855)</f>
        <v>216</v>
      </c>
      <c r="I855" s="47">
        <v>72</v>
      </c>
      <c r="J855" s="47">
        <f>344-200</f>
        <v>144</v>
      </c>
      <c r="K855" s="188" t="s">
        <v>233</v>
      </c>
      <c r="L855" s="134"/>
    </row>
    <row r="856" spans="1:12" ht="15" customHeight="1" thickBot="1" x14ac:dyDescent="0.25">
      <c r="A856" s="253"/>
      <c r="B856" s="47">
        <f>SUM(C856:D856)</f>
        <v>0</v>
      </c>
      <c r="C856" s="47">
        <f>I856+F856</f>
        <v>0</v>
      </c>
      <c r="D856" s="47">
        <f>J856+G856</f>
        <v>0</v>
      </c>
      <c r="E856" s="47">
        <f>SUM(F856:G856)</f>
        <v>0</v>
      </c>
      <c r="F856" s="47">
        <v>0</v>
      </c>
      <c r="G856" s="47">
        <v>0</v>
      </c>
      <c r="H856" s="47">
        <f>SUM(I856:J856)</f>
        <v>0</v>
      </c>
      <c r="I856" s="47">
        <v>0</v>
      </c>
      <c r="J856" s="47">
        <v>0</v>
      </c>
      <c r="K856" s="188" t="s">
        <v>234</v>
      </c>
      <c r="L856" s="134" t="s">
        <v>347</v>
      </c>
    </row>
    <row r="857" spans="1:12" ht="15" customHeight="1" thickBot="1" x14ac:dyDescent="0.25">
      <c r="A857" s="253"/>
      <c r="B857" s="47">
        <f t="shared" ref="B857:J857" si="245">SUM(B855:B856)</f>
        <v>216</v>
      </c>
      <c r="C857" s="47">
        <f t="shared" si="245"/>
        <v>72</v>
      </c>
      <c r="D857" s="47">
        <f t="shared" si="245"/>
        <v>144</v>
      </c>
      <c r="E857" s="47">
        <f t="shared" si="245"/>
        <v>0</v>
      </c>
      <c r="F857" s="47">
        <f t="shared" si="245"/>
        <v>0</v>
      </c>
      <c r="G857" s="47">
        <f t="shared" si="245"/>
        <v>0</v>
      </c>
      <c r="H857" s="47">
        <f t="shared" si="245"/>
        <v>216</v>
      </c>
      <c r="I857" s="47">
        <f t="shared" si="245"/>
        <v>72</v>
      </c>
      <c r="J857" s="47">
        <f t="shared" si="245"/>
        <v>144</v>
      </c>
      <c r="K857" s="188" t="s">
        <v>12</v>
      </c>
      <c r="L857" s="239"/>
    </row>
    <row r="858" spans="1:12" ht="15" customHeight="1" thickBot="1" x14ac:dyDescent="0.25">
      <c r="A858" s="253"/>
      <c r="B858" s="47">
        <f>SUM(C858:D858)</f>
        <v>2387</v>
      </c>
      <c r="C858" s="47">
        <f>I858+F858</f>
        <v>2387</v>
      </c>
      <c r="D858" s="47">
        <f>J858+G858</f>
        <v>0</v>
      </c>
      <c r="E858" s="47">
        <f>SUM(F858:G858)</f>
        <v>4</v>
      </c>
      <c r="F858" s="47">
        <v>4</v>
      </c>
      <c r="G858" s="47">
        <v>0</v>
      </c>
      <c r="H858" s="47">
        <f>SUM(I858:J858)</f>
        <v>2383</v>
      </c>
      <c r="I858" s="47">
        <v>2383</v>
      </c>
      <c r="J858" s="47">
        <v>0</v>
      </c>
      <c r="K858" s="188" t="s">
        <v>233</v>
      </c>
      <c r="L858" s="134"/>
    </row>
    <row r="859" spans="1:12" ht="15" customHeight="1" thickBot="1" x14ac:dyDescent="0.25">
      <c r="A859" s="253"/>
      <c r="B859" s="47">
        <f>SUM(C859:D859)</f>
        <v>288</v>
      </c>
      <c r="C859" s="47">
        <f>I859+F859</f>
        <v>288</v>
      </c>
      <c r="D859" s="47">
        <f>J859+G859</f>
        <v>0</v>
      </c>
      <c r="E859" s="47">
        <f>SUM(F859:G859)</f>
        <v>0</v>
      </c>
      <c r="F859" s="47">
        <v>0</v>
      </c>
      <c r="G859" s="47">
        <v>0</v>
      </c>
      <c r="H859" s="47">
        <f>SUM(I859:J859)</f>
        <v>288</v>
      </c>
      <c r="I859" s="47">
        <v>288</v>
      </c>
      <c r="J859" s="47">
        <v>0</v>
      </c>
      <c r="K859" s="188" t="s">
        <v>234</v>
      </c>
      <c r="L859" s="134" t="s">
        <v>521</v>
      </c>
    </row>
    <row r="860" spans="1:12" ht="15" customHeight="1" thickBot="1" x14ac:dyDescent="0.25">
      <c r="A860" s="253"/>
      <c r="B860" s="47">
        <f t="shared" ref="B860:J860" si="246">SUM(B858:B859)</f>
        <v>2675</v>
      </c>
      <c r="C860" s="47">
        <f t="shared" si="246"/>
        <v>2675</v>
      </c>
      <c r="D860" s="47">
        <f t="shared" si="246"/>
        <v>0</v>
      </c>
      <c r="E860" s="47">
        <f t="shared" si="246"/>
        <v>4</v>
      </c>
      <c r="F860" s="47">
        <f t="shared" si="246"/>
        <v>4</v>
      </c>
      <c r="G860" s="47">
        <f t="shared" si="246"/>
        <v>0</v>
      </c>
      <c r="H860" s="47">
        <f t="shared" si="246"/>
        <v>2671</v>
      </c>
      <c r="I860" s="47">
        <f t="shared" si="246"/>
        <v>2671</v>
      </c>
      <c r="J860" s="47">
        <f t="shared" si="246"/>
        <v>0</v>
      </c>
      <c r="K860" s="188" t="s">
        <v>12</v>
      </c>
      <c r="L860" s="239"/>
    </row>
    <row r="861" spans="1:12" ht="15" customHeight="1" thickBot="1" x14ac:dyDescent="0.25">
      <c r="A861" s="253"/>
      <c r="B861" s="47">
        <f>SUM(C861:D861)</f>
        <v>1317</v>
      </c>
      <c r="C861" s="47">
        <f>I861+F861</f>
        <v>1317</v>
      </c>
      <c r="D861" s="47">
        <f>J861+G861</f>
        <v>0</v>
      </c>
      <c r="E861" s="47">
        <f>SUM(F861:G861)</f>
        <v>0</v>
      </c>
      <c r="F861" s="47">
        <v>0</v>
      </c>
      <c r="G861" s="47">
        <v>0</v>
      </c>
      <c r="H861" s="47">
        <f>SUM(I861:J861)</f>
        <v>1317</v>
      </c>
      <c r="I861" s="47">
        <v>1317</v>
      </c>
      <c r="J861" s="47">
        <v>0</v>
      </c>
      <c r="K861" s="188" t="s">
        <v>233</v>
      </c>
      <c r="L861" s="134"/>
    </row>
    <row r="862" spans="1:12" ht="15" customHeight="1" thickBot="1" x14ac:dyDescent="0.25">
      <c r="A862" s="253"/>
      <c r="B862" s="47">
        <f>SUM(C862:D862)</f>
        <v>31</v>
      </c>
      <c r="C862" s="47">
        <f>I862+F862</f>
        <v>31</v>
      </c>
      <c r="D862" s="47">
        <f>J862+G862</f>
        <v>0</v>
      </c>
      <c r="E862" s="47">
        <f>SUM(F862:G862)</f>
        <v>0</v>
      </c>
      <c r="F862" s="47">
        <v>0</v>
      </c>
      <c r="G862" s="47">
        <v>0</v>
      </c>
      <c r="H862" s="47">
        <f>SUM(I862:J862)</f>
        <v>31</v>
      </c>
      <c r="I862" s="47">
        <v>31</v>
      </c>
      <c r="J862" s="47">
        <v>0</v>
      </c>
      <c r="K862" s="188" t="s">
        <v>234</v>
      </c>
      <c r="L862" s="134" t="s">
        <v>522</v>
      </c>
    </row>
    <row r="863" spans="1:12" ht="15" customHeight="1" thickBot="1" x14ac:dyDescent="0.25">
      <c r="A863" s="253"/>
      <c r="B863" s="47">
        <f t="shared" ref="B863:J863" si="247">SUM(B861:B862)</f>
        <v>1348</v>
      </c>
      <c r="C863" s="47">
        <f t="shared" si="247"/>
        <v>1348</v>
      </c>
      <c r="D863" s="47">
        <f t="shared" si="247"/>
        <v>0</v>
      </c>
      <c r="E863" s="47">
        <f t="shared" si="247"/>
        <v>0</v>
      </c>
      <c r="F863" s="47">
        <f t="shared" si="247"/>
        <v>0</v>
      </c>
      <c r="G863" s="47">
        <f t="shared" si="247"/>
        <v>0</v>
      </c>
      <c r="H863" s="47">
        <f t="shared" si="247"/>
        <v>1348</v>
      </c>
      <c r="I863" s="47">
        <f t="shared" si="247"/>
        <v>1348</v>
      </c>
      <c r="J863" s="47">
        <f t="shared" si="247"/>
        <v>0</v>
      </c>
      <c r="K863" s="188" t="s">
        <v>12</v>
      </c>
      <c r="L863" s="239"/>
    </row>
    <row r="864" spans="1:12" ht="15" customHeight="1" thickBot="1" x14ac:dyDescent="0.25">
      <c r="A864" s="253"/>
      <c r="B864" s="47">
        <f>SUM(C864:D864)</f>
        <v>2069</v>
      </c>
      <c r="C864" s="47">
        <f>I864+F864</f>
        <v>2069</v>
      </c>
      <c r="D864" s="47">
        <f>J864+G864</f>
        <v>0</v>
      </c>
      <c r="E864" s="47">
        <f>SUM(F864:G864)</f>
        <v>1</v>
      </c>
      <c r="F864" s="47">
        <v>1</v>
      </c>
      <c r="G864" s="47">
        <v>0</v>
      </c>
      <c r="H864" s="47">
        <f>SUM(I864:J864)</f>
        <v>2068</v>
      </c>
      <c r="I864" s="47">
        <v>2068</v>
      </c>
      <c r="J864" s="47">
        <v>0</v>
      </c>
      <c r="K864" s="188" t="s">
        <v>233</v>
      </c>
      <c r="L864" s="134"/>
    </row>
    <row r="865" spans="1:12" ht="15" customHeight="1" thickBot="1" x14ac:dyDescent="0.25">
      <c r="A865" s="253"/>
      <c r="B865" s="47">
        <f>SUM(C865:D865)</f>
        <v>0</v>
      </c>
      <c r="C865" s="47">
        <f>I865+F865</f>
        <v>0</v>
      </c>
      <c r="D865" s="47">
        <f>J865+G865</f>
        <v>0</v>
      </c>
      <c r="E865" s="47">
        <f>SUM(F865:G865)</f>
        <v>0</v>
      </c>
      <c r="F865" s="47">
        <v>0</v>
      </c>
      <c r="G865" s="47">
        <v>0</v>
      </c>
      <c r="H865" s="47">
        <f>SUM(I865:J865)</f>
        <v>0</v>
      </c>
      <c r="I865" s="47">
        <v>0</v>
      </c>
      <c r="J865" s="47">
        <v>0</v>
      </c>
      <c r="K865" s="188" t="s">
        <v>234</v>
      </c>
      <c r="L865" s="134" t="s">
        <v>523</v>
      </c>
    </row>
    <row r="866" spans="1:12" ht="15" customHeight="1" thickBot="1" x14ac:dyDescent="0.25">
      <c r="A866" s="253"/>
      <c r="B866" s="47">
        <f t="shared" ref="B866:J866" si="248">SUM(B864:B865)</f>
        <v>2069</v>
      </c>
      <c r="C866" s="47">
        <f t="shared" si="248"/>
        <v>2069</v>
      </c>
      <c r="D866" s="47">
        <f t="shared" si="248"/>
        <v>0</v>
      </c>
      <c r="E866" s="47">
        <f t="shared" si="248"/>
        <v>1</v>
      </c>
      <c r="F866" s="47">
        <f t="shared" si="248"/>
        <v>1</v>
      </c>
      <c r="G866" s="47">
        <f t="shared" si="248"/>
        <v>0</v>
      </c>
      <c r="H866" s="47">
        <f t="shared" si="248"/>
        <v>2068</v>
      </c>
      <c r="I866" s="47">
        <f t="shared" si="248"/>
        <v>2068</v>
      </c>
      <c r="J866" s="47">
        <f t="shared" si="248"/>
        <v>0</v>
      </c>
      <c r="K866" s="188" t="s">
        <v>12</v>
      </c>
      <c r="L866" s="239"/>
    </row>
    <row r="867" spans="1:12" ht="15" customHeight="1" thickBot="1" x14ac:dyDescent="0.25">
      <c r="A867" s="253"/>
      <c r="B867" s="47">
        <f>SUM(C867:D867)</f>
        <v>2301</v>
      </c>
      <c r="C867" s="47">
        <f>I867+F867</f>
        <v>2301</v>
      </c>
      <c r="D867" s="47">
        <f>J867+G867</f>
        <v>0</v>
      </c>
      <c r="E867" s="47">
        <f>SUM(F867:G867)</f>
        <v>0</v>
      </c>
      <c r="F867" s="47">
        <v>0</v>
      </c>
      <c r="G867" s="47">
        <v>0</v>
      </c>
      <c r="H867" s="47">
        <f>SUM(I867:J867)</f>
        <v>2301</v>
      </c>
      <c r="I867" s="47">
        <v>2301</v>
      </c>
      <c r="J867" s="47">
        <v>0</v>
      </c>
      <c r="K867" s="188" t="s">
        <v>233</v>
      </c>
      <c r="L867" s="134"/>
    </row>
    <row r="868" spans="1:12" ht="15" customHeight="1" thickBot="1" x14ac:dyDescent="0.25">
      <c r="A868" s="253"/>
      <c r="B868" s="47">
        <f>SUM(C868:D868)</f>
        <v>74</v>
      </c>
      <c r="C868" s="47">
        <f>I868+F868</f>
        <v>74</v>
      </c>
      <c r="D868" s="47">
        <f>J868+G868</f>
        <v>0</v>
      </c>
      <c r="E868" s="47">
        <f>SUM(F868:G868)</f>
        <v>0</v>
      </c>
      <c r="F868" s="47">
        <v>0</v>
      </c>
      <c r="G868" s="47">
        <v>0</v>
      </c>
      <c r="H868" s="47">
        <f>SUM(I868:J868)</f>
        <v>74</v>
      </c>
      <c r="I868" s="47">
        <v>74</v>
      </c>
      <c r="J868" s="47">
        <v>0</v>
      </c>
      <c r="K868" s="188" t="s">
        <v>234</v>
      </c>
      <c r="L868" s="134" t="s">
        <v>668</v>
      </c>
    </row>
    <row r="869" spans="1:12" ht="15" customHeight="1" thickBot="1" x14ac:dyDescent="0.25">
      <c r="A869" s="253"/>
      <c r="B869" s="47">
        <f t="shared" ref="B869:J869" si="249">SUM(B867:B868)</f>
        <v>2375</v>
      </c>
      <c r="C869" s="47">
        <f t="shared" si="249"/>
        <v>2375</v>
      </c>
      <c r="D869" s="47">
        <f t="shared" si="249"/>
        <v>0</v>
      </c>
      <c r="E869" s="47">
        <f t="shared" si="249"/>
        <v>0</v>
      </c>
      <c r="F869" s="47">
        <f t="shared" si="249"/>
        <v>0</v>
      </c>
      <c r="G869" s="47">
        <f t="shared" si="249"/>
        <v>0</v>
      </c>
      <c r="H869" s="47">
        <f t="shared" si="249"/>
        <v>2375</v>
      </c>
      <c r="I869" s="47">
        <f t="shared" si="249"/>
        <v>2375</v>
      </c>
      <c r="J869" s="47">
        <f t="shared" si="249"/>
        <v>0</v>
      </c>
      <c r="K869" s="188" t="s">
        <v>12</v>
      </c>
      <c r="L869" s="239"/>
    </row>
    <row r="870" spans="1:12" ht="15" customHeight="1" thickBot="1" x14ac:dyDescent="0.25">
      <c r="A870" s="253"/>
      <c r="B870" s="47">
        <f t="shared" ref="B870:J872" si="250">B846+B849+B852+B855+B858+B861+B867+B864</f>
        <v>12163</v>
      </c>
      <c r="C870" s="47">
        <f t="shared" si="250"/>
        <v>8644</v>
      </c>
      <c r="D870" s="47">
        <f t="shared" si="250"/>
        <v>3519</v>
      </c>
      <c r="E870" s="47">
        <f t="shared" si="250"/>
        <v>5</v>
      </c>
      <c r="F870" s="47">
        <f t="shared" si="250"/>
        <v>5</v>
      </c>
      <c r="G870" s="47">
        <f t="shared" si="250"/>
        <v>0</v>
      </c>
      <c r="H870" s="47">
        <f t="shared" si="250"/>
        <v>12158</v>
      </c>
      <c r="I870" s="47">
        <f t="shared" si="250"/>
        <v>8639</v>
      </c>
      <c r="J870" s="47">
        <f t="shared" si="250"/>
        <v>3519</v>
      </c>
      <c r="K870" s="188" t="s">
        <v>236</v>
      </c>
      <c r="L870" s="131"/>
    </row>
    <row r="871" spans="1:12" ht="15" customHeight="1" thickBot="1" x14ac:dyDescent="0.25">
      <c r="A871" s="253"/>
      <c r="B871" s="47">
        <f t="shared" si="250"/>
        <v>393</v>
      </c>
      <c r="C871" s="47">
        <f t="shared" si="250"/>
        <v>393</v>
      </c>
      <c r="D871" s="47">
        <f t="shared" si="250"/>
        <v>0</v>
      </c>
      <c r="E871" s="47">
        <f t="shared" si="250"/>
        <v>0</v>
      </c>
      <c r="F871" s="47">
        <f t="shared" si="250"/>
        <v>0</v>
      </c>
      <c r="G871" s="47">
        <f t="shared" si="250"/>
        <v>0</v>
      </c>
      <c r="H871" s="47">
        <f t="shared" si="250"/>
        <v>393</v>
      </c>
      <c r="I871" s="47">
        <f t="shared" si="250"/>
        <v>393</v>
      </c>
      <c r="J871" s="47">
        <f t="shared" si="250"/>
        <v>0</v>
      </c>
      <c r="K871" s="188" t="s">
        <v>237</v>
      </c>
      <c r="L871" s="132" t="s">
        <v>188</v>
      </c>
    </row>
    <row r="872" spans="1:12" ht="15" customHeight="1" thickBot="1" x14ac:dyDescent="0.25">
      <c r="A872" s="253"/>
      <c r="B872" s="47">
        <f t="shared" si="250"/>
        <v>12556</v>
      </c>
      <c r="C872" s="47">
        <f t="shared" si="250"/>
        <v>9037</v>
      </c>
      <c r="D872" s="47">
        <f t="shared" si="250"/>
        <v>3519</v>
      </c>
      <c r="E872" s="47">
        <f t="shared" si="250"/>
        <v>5</v>
      </c>
      <c r="F872" s="47">
        <f t="shared" si="250"/>
        <v>5</v>
      </c>
      <c r="G872" s="47">
        <f t="shared" si="250"/>
        <v>0</v>
      </c>
      <c r="H872" s="47">
        <f t="shared" si="250"/>
        <v>12551</v>
      </c>
      <c r="I872" s="47">
        <f t="shared" si="250"/>
        <v>9032</v>
      </c>
      <c r="J872" s="47">
        <f t="shared" si="250"/>
        <v>3519</v>
      </c>
      <c r="K872" s="188" t="s">
        <v>12</v>
      </c>
      <c r="L872" s="133"/>
    </row>
    <row r="873" spans="1:12" ht="15" customHeight="1" thickBot="1" x14ac:dyDescent="0.25">
      <c r="A873" s="253"/>
      <c r="B873" s="476" t="s">
        <v>4</v>
      </c>
      <c r="C873" s="476"/>
      <c r="D873" s="476"/>
      <c r="E873" s="476" t="s">
        <v>145</v>
      </c>
      <c r="F873" s="476"/>
      <c r="G873" s="476"/>
      <c r="H873" s="476" t="s">
        <v>146</v>
      </c>
      <c r="I873" s="476"/>
      <c r="J873" s="476"/>
      <c r="K873" s="479" t="s">
        <v>66</v>
      </c>
      <c r="L873" s="479"/>
    </row>
    <row r="874" spans="1:12" ht="15" customHeight="1" thickBot="1" x14ac:dyDescent="0.25">
      <c r="A874" s="253"/>
      <c r="B874" s="185" t="s">
        <v>227</v>
      </c>
      <c r="C874" s="185" t="s">
        <v>10</v>
      </c>
      <c r="D874" s="185" t="s">
        <v>9</v>
      </c>
      <c r="E874" s="185" t="s">
        <v>227</v>
      </c>
      <c r="F874" s="185" t="s">
        <v>10</v>
      </c>
      <c r="G874" s="185" t="s">
        <v>9</v>
      </c>
      <c r="H874" s="185" t="s">
        <v>227</v>
      </c>
      <c r="I874" s="185" t="s">
        <v>10</v>
      </c>
      <c r="J874" s="185" t="s">
        <v>9</v>
      </c>
      <c r="K874" s="480" t="s">
        <v>119</v>
      </c>
      <c r="L874" s="480"/>
    </row>
    <row r="875" spans="1:12" ht="15" customHeight="1" thickBot="1" x14ac:dyDescent="0.25">
      <c r="A875" s="253"/>
      <c r="B875" s="47">
        <f>SUM(C875:D875)</f>
        <v>2116</v>
      </c>
      <c r="C875" s="47">
        <f>I875+F875</f>
        <v>2116</v>
      </c>
      <c r="D875" s="47">
        <f>J875+G875</f>
        <v>0</v>
      </c>
      <c r="E875" s="47">
        <f>SUM(F875:G875)</f>
        <v>9</v>
      </c>
      <c r="F875" s="47">
        <v>9</v>
      </c>
      <c r="G875" s="47">
        <v>0</v>
      </c>
      <c r="H875" s="47">
        <f>SUM(I875:J875)</f>
        <v>2107</v>
      </c>
      <c r="I875" s="47">
        <f>4707-2600</f>
        <v>2107</v>
      </c>
      <c r="J875" s="47">
        <v>0</v>
      </c>
      <c r="K875" s="188" t="s">
        <v>233</v>
      </c>
      <c r="L875" s="134"/>
    </row>
    <row r="876" spans="1:12" ht="15" customHeight="1" thickBot="1" x14ac:dyDescent="0.25">
      <c r="A876" s="253"/>
      <c r="B876" s="47">
        <f>SUM(C876:D876)</f>
        <v>431</v>
      </c>
      <c r="C876" s="47">
        <f>I876+F876</f>
        <v>431</v>
      </c>
      <c r="D876" s="47">
        <f>J876+G876</f>
        <v>0</v>
      </c>
      <c r="E876" s="47">
        <f>SUM(F876:G876)</f>
        <v>6</v>
      </c>
      <c r="F876" s="47">
        <v>6</v>
      </c>
      <c r="G876" s="47">
        <v>0</v>
      </c>
      <c r="H876" s="47">
        <f>SUM(I876:J876)</f>
        <v>425</v>
      </c>
      <c r="I876" s="47">
        <f>825-400</f>
        <v>425</v>
      </c>
      <c r="J876" s="47">
        <v>0</v>
      </c>
      <c r="K876" s="188" t="s">
        <v>234</v>
      </c>
      <c r="L876" s="134" t="s">
        <v>525</v>
      </c>
    </row>
    <row r="877" spans="1:12" ht="15" customHeight="1" thickBot="1" x14ac:dyDescent="0.25">
      <c r="A877" s="253"/>
      <c r="B877" s="47">
        <f t="shared" ref="B877:J877" si="251">SUM(B875:B876)</f>
        <v>2547</v>
      </c>
      <c r="C877" s="47">
        <f t="shared" si="251"/>
        <v>2547</v>
      </c>
      <c r="D877" s="47">
        <f t="shared" si="251"/>
        <v>0</v>
      </c>
      <c r="E877" s="47">
        <f t="shared" si="251"/>
        <v>15</v>
      </c>
      <c r="F877" s="47">
        <f t="shared" si="251"/>
        <v>15</v>
      </c>
      <c r="G877" s="47">
        <f t="shared" si="251"/>
        <v>0</v>
      </c>
      <c r="H877" s="47">
        <f t="shared" si="251"/>
        <v>2532</v>
      </c>
      <c r="I877" s="47">
        <f t="shared" si="251"/>
        <v>2532</v>
      </c>
      <c r="J877" s="47">
        <f t="shared" si="251"/>
        <v>0</v>
      </c>
      <c r="K877" s="188" t="s">
        <v>12</v>
      </c>
      <c r="L877" s="239"/>
    </row>
    <row r="878" spans="1:12" ht="15" customHeight="1" thickBot="1" x14ac:dyDescent="0.25">
      <c r="A878" s="253"/>
      <c r="B878" s="47">
        <f>SUM(C878:D878)</f>
        <v>850</v>
      </c>
      <c r="C878" s="47">
        <f>I878+F878</f>
        <v>850</v>
      </c>
      <c r="D878" s="47">
        <f>J878+G878</f>
        <v>0</v>
      </c>
      <c r="E878" s="47">
        <f>SUM(F878:G878)</f>
        <v>0</v>
      </c>
      <c r="F878" s="47">
        <v>0</v>
      </c>
      <c r="G878" s="47">
        <v>0</v>
      </c>
      <c r="H878" s="47">
        <f>SUM(I878:J878)</f>
        <v>850</v>
      </c>
      <c r="I878" s="47">
        <f>1450-600</f>
        <v>850</v>
      </c>
      <c r="J878" s="47">
        <v>0</v>
      </c>
      <c r="K878" s="188" t="s">
        <v>233</v>
      </c>
      <c r="L878" s="134"/>
    </row>
    <row r="879" spans="1:12" ht="15" customHeight="1" thickBot="1" x14ac:dyDescent="0.25">
      <c r="A879" s="253"/>
      <c r="B879" s="47">
        <f>SUM(C879:D879)</f>
        <v>55</v>
      </c>
      <c r="C879" s="47">
        <f>I879+F879</f>
        <v>55</v>
      </c>
      <c r="D879" s="47">
        <f>J879+G879</f>
        <v>0</v>
      </c>
      <c r="E879" s="47">
        <f>SUM(F879:G879)</f>
        <v>0</v>
      </c>
      <c r="F879" s="47">
        <v>0</v>
      </c>
      <c r="G879" s="47">
        <v>0</v>
      </c>
      <c r="H879" s="47">
        <f>SUM(I879:J879)</f>
        <v>55</v>
      </c>
      <c r="I879" s="47">
        <v>55</v>
      </c>
      <c r="J879" s="47">
        <v>0</v>
      </c>
      <c r="K879" s="188" t="s">
        <v>234</v>
      </c>
      <c r="L879" s="134" t="s">
        <v>526</v>
      </c>
    </row>
    <row r="880" spans="1:12" ht="15" customHeight="1" thickBot="1" x14ac:dyDescent="0.25">
      <c r="A880" s="253"/>
      <c r="B880" s="47">
        <f t="shared" ref="B880:J880" si="252">SUM(B878:B879)</f>
        <v>905</v>
      </c>
      <c r="C880" s="47">
        <f t="shared" si="252"/>
        <v>905</v>
      </c>
      <c r="D880" s="47">
        <f t="shared" si="252"/>
        <v>0</v>
      </c>
      <c r="E880" s="47">
        <f t="shared" si="252"/>
        <v>0</v>
      </c>
      <c r="F880" s="47">
        <f t="shared" si="252"/>
        <v>0</v>
      </c>
      <c r="G880" s="47">
        <f t="shared" si="252"/>
        <v>0</v>
      </c>
      <c r="H880" s="47">
        <f t="shared" si="252"/>
        <v>905</v>
      </c>
      <c r="I880" s="47">
        <f t="shared" si="252"/>
        <v>905</v>
      </c>
      <c r="J880" s="47">
        <f t="shared" si="252"/>
        <v>0</v>
      </c>
      <c r="K880" s="188" t="s">
        <v>12</v>
      </c>
      <c r="L880" s="239"/>
    </row>
    <row r="881" spans="1:12" ht="15" customHeight="1" thickBot="1" x14ac:dyDescent="0.25">
      <c r="A881" s="253"/>
      <c r="B881" s="47">
        <f>SUM(C881:D881)</f>
        <v>635</v>
      </c>
      <c r="C881" s="47">
        <f>I881+F881</f>
        <v>143</v>
      </c>
      <c r="D881" s="47">
        <f>J881+G881</f>
        <v>492</v>
      </c>
      <c r="E881" s="47">
        <f>SUM(F881:G881)</f>
        <v>1</v>
      </c>
      <c r="F881" s="47">
        <v>0</v>
      </c>
      <c r="G881" s="47">
        <v>1</v>
      </c>
      <c r="H881" s="47">
        <f>SUM(I881:J881)</f>
        <v>634</v>
      </c>
      <c r="I881" s="47">
        <v>143</v>
      </c>
      <c r="J881" s="47">
        <f>1151-660</f>
        <v>491</v>
      </c>
      <c r="K881" s="188" t="s">
        <v>233</v>
      </c>
      <c r="L881" s="134"/>
    </row>
    <row r="882" spans="1:12" ht="15" customHeight="1" thickBot="1" x14ac:dyDescent="0.25">
      <c r="A882" s="253"/>
      <c r="B882" s="47">
        <f>SUM(C882:D882)</f>
        <v>0</v>
      </c>
      <c r="C882" s="47">
        <f>I882+F882</f>
        <v>0</v>
      </c>
      <c r="D882" s="47">
        <f>J882+G882</f>
        <v>0</v>
      </c>
      <c r="E882" s="47">
        <f>SUM(F882:G882)</f>
        <v>0</v>
      </c>
      <c r="F882" s="47">
        <v>0</v>
      </c>
      <c r="G882" s="47">
        <v>0</v>
      </c>
      <c r="H882" s="47">
        <f>SUM(I882:J882)</f>
        <v>0</v>
      </c>
      <c r="I882" s="47">
        <v>0</v>
      </c>
      <c r="J882" s="47">
        <v>0</v>
      </c>
      <c r="K882" s="188" t="s">
        <v>234</v>
      </c>
      <c r="L882" s="134" t="s">
        <v>527</v>
      </c>
    </row>
    <row r="883" spans="1:12" ht="15" customHeight="1" thickBot="1" x14ac:dyDescent="0.25">
      <c r="A883" s="253"/>
      <c r="B883" s="47">
        <f t="shared" ref="B883:J883" si="253">SUM(B881:B882)</f>
        <v>635</v>
      </c>
      <c r="C883" s="47">
        <f t="shared" si="253"/>
        <v>143</v>
      </c>
      <c r="D883" s="47">
        <f t="shared" si="253"/>
        <v>492</v>
      </c>
      <c r="E883" s="47">
        <f t="shared" si="253"/>
        <v>1</v>
      </c>
      <c r="F883" s="47">
        <f t="shared" si="253"/>
        <v>0</v>
      </c>
      <c r="G883" s="47">
        <f t="shared" si="253"/>
        <v>1</v>
      </c>
      <c r="H883" s="47">
        <f t="shared" si="253"/>
        <v>634</v>
      </c>
      <c r="I883" s="47">
        <f t="shared" si="253"/>
        <v>143</v>
      </c>
      <c r="J883" s="47">
        <f t="shared" si="253"/>
        <v>491</v>
      </c>
      <c r="K883" s="188" t="s">
        <v>12</v>
      </c>
      <c r="L883" s="239"/>
    </row>
    <row r="884" spans="1:12" ht="15" customHeight="1" thickBot="1" x14ac:dyDescent="0.25">
      <c r="A884" s="253"/>
      <c r="B884" s="47">
        <f>SUM(C884:D884)</f>
        <v>397</v>
      </c>
      <c r="C884" s="47">
        <f>I884+F884</f>
        <v>140</v>
      </c>
      <c r="D884" s="47">
        <f>J884+G884</f>
        <v>257</v>
      </c>
      <c r="E884" s="47">
        <f>SUM(F884:G884)</f>
        <v>0</v>
      </c>
      <c r="F884" s="47">
        <v>0</v>
      </c>
      <c r="G884" s="47">
        <v>0</v>
      </c>
      <c r="H884" s="47">
        <f>SUM(I884:J884)</f>
        <v>397</v>
      </c>
      <c r="I884" s="47">
        <v>140</v>
      </c>
      <c r="J884" s="47">
        <f>507-250</f>
        <v>257</v>
      </c>
      <c r="K884" s="188" t="s">
        <v>233</v>
      </c>
      <c r="L884" s="134"/>
    </row>
    <row r="885" spans="1:12" ht="15" customHeight="1" thickBot="1" x14ac:dyDescent="0.25">
      <c r="A885" s="253"/>
      <c r="B885" s="47">
        <f>SUM(C885:D885)</f>
        <v>0</v>
      </c>
      <c r="C885" s="47">
        <f>I885+F885</f>
        <v>0</v>
      </c>
      <c r="D885" s="47">
        <f>J885+G885</f>
        <v>0</v>
      </c>
      <c r="E885" s="47">
        <f>SUM(F885:G885)</f>
        <v>0</v>
      </c>
      <c r="F885" s="47">
        <v>0</v>
      </c>
      <c r="G885" s="47">
        <v>0</v>
      </c>
      <c r="H885" s="47">
        <f>SUM(I885:J885)</f>
        <v>0</v>
      </c>
      <c r="I885" s="47">
        <v>0</v>
      </c>
      <c r="J885" s="47">
        <v>0</v>
      </c>
      <c r="K885" s="188" t="s">
        <v>234</v>
      </c>
      <c r="L885" s="134" t="s">
        <v>528</v>
      </c>
    </row>
    <row r="886" spans="1:12" ht="15" customHeight="1" thickBot="1" x14ac:dyDescent="0.25">
      <c r="A886" s="253"/>
      <c r="B886" s="47">
        <f t="shared" ref="B886:J886" si="254">SUM(B884:B885)</f>
        <v>397</v>
      </c>
      <c r="C886" s="47">
        <f t="shared" si="254"/>
        <v>140</v>
      </c>
      <c r="D886" s="47">
        <f t="shared" si="254"/>
        <v>257</v>
      </c>
      <c r="E886" s="47">
        <f t="shared" si="254"/>
        <v>0</v>
      </c>
      <c r="F886" s="47">
        <f t="shared" si="254"/>
        <v>0</v>
      </c>
      <c r="G886" s="47">
        <f t="shared" si="254"/>
        <v>0</v>
      </c>
      <c r="H886" s="47">
        <f t="shared" si="254"/>
        <v>397</v>
      </c>
      <c r="I886" s="47">
        <f t="shared" si="254"/>
        <v>140</v>
      </c>
      <c r="J886" s="47">
        <f t="shared" si="254"/>
        <v>257</v>
      </c>
      <c r="K886" s="188" t="s">
        <v>12</v>
      </c>
      <c r="L886" s="239"/>
    </row>
    <row r="887" spans="1:12" ht="15" customHeight="1" thickBot="1" x14ac:dyDescent="0.25">
      <c r="A887" s="253"/>
      <c r="B887" s="47">
        <f>SUM(C887:D887)</f>
        <v>64</v>
      </c>
      <c r="C887" s="47">
        <f>I887+F887</f>
        <v>0</v>
      </c>
      <c r="D887" s="47">
        <f>J887+G887</f>
        <v>64</v>
      </c>
      <c r="E887" s="47">
        <f>SUM(F887:G887)</f>
        <v>0</v>
      </c>
      <c r="F887" s="47">
        <v>0</v>
      </c>
      <c r="G887" s="47">
        <v>0</v>
      </c>
      <c r="H887" s="47">
        <f>SUM(I887:J887)</f>
        <v>64</v>
      </c>
      <c r="I887" s="47">
        <v>0</v>
      </c>
      <c r="J887" s="47">
        <f>124-60</f>
        <v>64</v>
      </c>
      <c r="K887" s="188" t="s">
        <v>233</v>
      </c>
      <c r="L887" s="134"/>
    </row>
    <row r="888" spans="1:12" ht="15" customHeight="1" thickBot="1" x14ac:dyDescent="0.25">
      <c r="A888" s="253"/>
      <c r="B888" s="47">
        <f>SUM(C888:D888)</f>
        <v>0</v>
      </c>
      <c r="C888" s="47">
        <f>I888+F888</f>
        <v>0</v>
      </c>
      <c r="D888" s="47">
        <f>J888+G888</f>
        <v>0</v>
      </c>
      <c r="E888" s="47">
        <f>SUM(F888:G888)</f>
        <v>0</v>
      </c>
      <c r="F888" s="47">
        <v>0</v>
      </c>
      <c r="G888" s="47">
        <v>0</v>
      </c>
      <c r="H888" s="47">
        <f>SUM(I888:J888)</f>
        <v>0</v>
      </c>
      <c r="I888" s="47">
        <v>0</v>
      </c>
      <c r="J888" s="47">
        <v>0</v>
      </c>
      <c r="K888" s="188" t="s">
        <v>234</v>
      </c>
      <c r="L888" s="134" t="s">
        <v>451</v>
      </c>
    </row>
    <row r="889" spans="1:12" ht="15" customHeight="1" thickBot="1" x14ac:dyDescent="0.25">
      <c r="A889" s="253"/>
      <c r="B889" s="47">
        <f t="shared" ref="B889:J889" si="255">SUM(B887:B888)</f>
        <v>64</v>
      </c>
      <c r="C889" s="47">
        <f t="shared" si="255"/>
        <v>0</v>
      </c>
      <c r="D889" s="47">
        <f t="shared" si="255"/>
        <v>64</v>
      </c>
      <c r="E889" s="47">
        <f t="shared" si="255"/>
        <v>0</v>
      </c>
      <c r="F889" s="47">
        <f t="shared" si="255"/>
        <v>0</v>
      </c>
      <c r="G889" s="47">
        <f t="shared" si="255"/>
        <v>0</v>
      </c>
      <c r="H889" s="47">
        <f t="shared" si="255"/>
        <v>64</v>
      </c>
      <c r="I889" s="47">
        <f t="shared" si="255"/>
        <v>0</v>
      </c>
      <c r="J889" s="47">
        <f t="shared" si="255"/>
        <v>64</v>
      </c>
      <c r="K889" s="188" t="s">
        <v>12</v>
      </c>
      <c r="L889" s="239"/>
    </row>
    <row r="890" spans="1:12" ht="15" customHeight="1" thickBot="1" x14ac:dyDescent="0.25">
      <c r="A890" s="253"/>
      <c r="B890" s="47">
        <f>SUM(C890:D890)</f>
        <v>79</v>
      </c>
      <c r="C890" s="47">
        <f>I890+F890</f>
        <v>0</v>
      </c>
      <c r="D890" s="47">
        <f>J890+G890</f>
        <v>79</v>
      </c>
      <c r="E890" s="47">
        <f>SUM(F890:G890)</f>
        <v>1</v>
      </c>
      <c r="F890" s="47">
        <v>0</v>
      </c>
      <c r="G890" s="47">
        <v>1</v>
      </c>
      <c r="H890" s="47">
        <f>SUM(I890:J890)</f>
        <v>78</v>
      </c>
      <c r="I890" s="47">
        <v>0</v>
      </c>
      <c r="J890" s="47">
        <f>158-80</f>
        <v>78</v>
      </c>
      <c r="K890" s="188" t="s">
        <v>233</v>
      </c>
      <c r="L890" s="134"/>
    </row>
    <row r="891" spans="1:12" ht="15" customHeight="1" thickBot="1" x14ac:dyDescent="0.25">
      <c r="A891" s="253"/>
      <c r="B891" s="47">
        <f>SUM(C891:D891)</f>
        <v>0</v>
      </c>
      <c r="C891" s="47">
        <f>I891+F891</f>
        <v>0</v>
      </c>
      <c r="D891" s="47">
        <f>J891+G891</f>
        <v>0</v>
      </c>
      <c r="E891" s="47">
        <f>SUM(F891:G891)</f>
        <v>0</v>
      </c>
      <c r="F891" s="47">
        <v>0</v>
      </c>
      <c r="G891" s="47">
        <v>0</v>
      </c>
      <c r="H891" s="47">
        <f>SUM(I891:J891)</f>
        <v>0</v>
      </c>
      <c r="I891" s="47">
        <v>0</v>
      </c>
      <c r="J891" s="47">
        <v>0</v>
      </c>
      <c r="K891" s="188" t="s">
        <v>234</v>
      </c>
      <c r="L891" s="134" t="s">
        <v>378</v>
      </c>
    </row>
    <row r="892" spans="1:12" ht="15" customHeight="1" thickBot="1" x14ac:dyDescent="0.25">
      <c r="A892" s="253"/>
      <c r="B892" s="47">
        <f t="shared" ref="B892:J892" si="256">SUM(B890:B891)</f>
        <v>79</v>
      </c>
      <c r="C892" s="47">
        <f t="shared" si="256"/>
        <v>0</v>
      </c>
      <c r="D892" s="47">
        <f t="shared" si="256"/>
        <v>79</v>
      </c>
      <c r="E892" s="47">
        <f t="shared" si="256"/>
        <v>1</v>
      </c>
      <c r="F892" s="47">
        <f t="shared" si="256"/>
        <v>0</v>
      </c>
      <c r="G892" s="47">
        <f t="shared" si="256"/>
        <v>1</v>
      </c>
      <c r="H892" s="47">
        <f t="shared" si="256"/>
        <v>78</v>
      </c>
      <c r="I892" s="47">
        <f t="shared" si="256"/>
        <v>0</v>
      </c>
      <c r="J892" s="47">
        <f t="shared" si="256"/>
        <v>78</v>
      </c>
      <c r="K892" s="188" t="s">
        <v>12</v>
      </c>
      <c r="L892" s="239"/>
    </row>
    <row r="893" spans="1:12" ht="15" customHeight="1" thickBot="1" x14ac:dyDescent="0.25">
      <c r="A893" s="253"/>
      <c r="B893" s="47">
        <f>SUM(C893:D893)</f>
        <v>2845</v>
      </c>
      <c r="C893" s="47">
        <f>I893+F893</f>
        <v>2727</v>
      </c>
      <c r="D893" s="47">
        <f>J893+G893</f>
        <v>118</v>
      </c>
      <c r="E893" s="47">
        <f>SUM(F893:G893)</f>
        <v>16</v>
      </c>
      <c r="F893" s="47">
        <v>16</v>
      </c>
      <c r="G893" s="47">
        <v>0</v>
      </c>
      <c r="H893" s="47">
        <f>SUM(I893:J893)</f>
        <v>2829</v>
      </c>
      <c r="I893" s="47">
        <f>5616-2905</f>
        <v>2711</v>
      </c>
      <c r="J893" s="47">
        <f>268-150</f>
        <v>118</v>
      </c>
      <c r="K893" s="188" t="s">
        <v>233</v>
      </c>
      <c r="L893" s="134"/>
    </row>
    <row r="894" spans="1:12" ht="15" customHeight="1" thickBot="1" x14ac:dyDescent="0.25">
      <c r="A894" s="253"/>
      <c r="B894" s="47">
        <f>SUM(C894:D894)</f>
        <v>0</v>
      </c>
      <c r="C894" s="47">
        <f>I894+F894</f>
        <v>0</v>
      </c>
      <c r="D894" s="47">
        <f>J894+G894</f>
        <v>0</v>
      </c>
      <c r="E894" s="47">
        <f>SUM(F894:G894)</f>
        <v>0</v>
      </c>
      <c r="F894" s="47">
        <v>0</v>
      </c>
      <c r="G894" s="47">
        <v>0</v>
      </c>
      <c r="H894" s="47">
        <f>SUM(I894:J894)</f>
        <v>0</v>
      </c>
      <c r="I894" s="47">
        <v>0</v>
      </c>
      <c r="J894" s="47">
        <v>0</v>
      </c>
      <c r="K894" s="188" t="s">
        <v>234</v>
      </c>
      <c r="L894" s="134" t="s">
        <v>455</v>
      </c>
    </row>
    <row r="895" spans="1:12" ht="15" customHeight="1" thickBot="1" x14ac:dyDescent="0.25">
      <c r="A895" s="253"/>
      <c r="B895" s="47">
        <f t="shared" ref="B895:J895" si="257">SUM(B893:B894)</f>
        <v>2845</v>
      </c>
      <c r="C895" s="47">
        <f t="shared" si="257"/>
        <v>2727</v>
      </c>
      <c r="D895" s="47">
        <f t="shared" si="257"/>
        <v>118</v>
      </c>
      <c r="E895" s="47">
        <f t="shared" si="257"/>
        <v>16</v>
      </c>
      <c r="F895" s="47">
        <f t="shared" si="257"/>
        <v>16</v>
      </c>
      <c r="G895" s="47">
        <f t="shared" si="257"/>
        <v>0</v>
      </c>
      <c r="H895" s="47">
        <f t="shared" si="257"/>
        <v>2829</v>
      </c>
      <c r="I895" s="47">
        <f t="shared" si="257"/>
        <v>2711</v>
      </c>
      <c r="J895" s="47">
        <f t="shared" si="257"/>
        <v>118</v>
      </c>
      <c r="K895" s="188" t="s">
        <v>12</v>
      </c>
      <c r="L895" s="239"/>
    </row>
    <row r="896" spans="1:12" ht="15" customHeight="1" thickBot="1" x14ac:dyDescent="0.25">
      <c r="A896" s="253"/>
      <c r="B896" s="47">
        <f t="shared" ref="B896:J898" si="258">B875+B878+B881+B884+B887+B890+B893</f>
        <v>6986</v>
      </c>
      <c r="C896" s="47">
        <f t="shared" si="258"/>
        <v>5976</v>
      </c>
      <c r="D896" s="47">
        <f t="shared" si="258"/>
        <v>1010</v>
      </c>
      <c r="E896" s="47">
        <f t="shared" si="258"/>
        <v>27</v>
      </c>
      <c r="F896" s="47">
        <f t="shared" si="258"/>
        <v>25</v>
      </c>
      <c r="G896" s="47">
        <f t="shared" si="258"/>
        <v>2</v>
      </c>
      <c r="H896" s="47">
        <f t="shared" si="258"/>
        <v>6959</v>
      </c>
      <c r="I896" s="47">
        <f t="shared" si="258"/>
        <v>5951</v>
      </c>
      <c r="J896" s="47">
        <f t="shared" si="258"/>
        <v>1008</v>
      </c>
      <c r="K896" s="188" t="s">
        <v>236</v>
      </c>
      <c r="L896" s="131"/>
    </row>
    <row r="897" spans="1:12" ht="15" customHeight="1" thickBot="1" x14ac:dyDescent="0.25">
      <c r="A897" s="253"/>
      <c r="B897" s="47">
        <f t="shared" si="258"/>
        <v>486</v>
      </c>
      <c r="C897" s="47">
        <f t="shared" si="258"/>
        <v>486</v>
      </c>
      <c r="D897" s="47">
        <f t="shared" si="258"/>
        <v>0</v>
      </c>
      <c r="E897" s="47">
        <f t="shared" si="258"/>
        <v>6</v>
      </c>
      <c r="F897" s="47">
        <f t="shared" si="258"/>
        <v>6</v>
      </c>
      <c r="G897" s="47">
        <f t="shared" si="258"/>
        <v>0</v>
      </c>
      <c r="H897" s="47">
        <f t="shared" si="258"/>
        <v>480</v>
      </c>
      <c r="I897" s="47">
        <f t="shared" si="258"/>
        <v>480</v>
      </c>
      <c r="J897" s="47">
        <f t="shared" si="258"/>
        <v>0</v>
      </c>
      <c r="K897" s="188" t="s">
        <v>237</v>
      </c>
      <c r="L897" s="132" t="s">
        <v>188</v>
      </c>
    </row>
    <row r="898" spans="1:12" ht="15" customHeight="1" thickBot="1" x14ac:dyDescent="0.25">
      <c r="A898" s="253"/>
      <c r="B898" s="47">
        <f t="shared" si="258"/>
        <v>7472</v>
      </c>
      <c r="C898" s="47">
        <f t="shared" si="258"/>
        <v>6462</v>
      </c>
      <c r="D898" s="47">
        <f t="shared" si="258"/>
        <v>1010</v>
      </c>
      <c r="E898" s="47">
        <f t="shared" si="258"/>
        <v>33</v>
      </c>
      <c r="F898" s="47">
        <f t="shared" si="258"/>
        <v>31</v>
      </c>
      <c r="G898" s="47">
        <f t="shared" si="258"/>
        <v>2</v>
      </c>
      <c r="H898" s="47">
        <f t="shared" si="258"/>
        <v>7439</v>
      </c>
      <c r="I898" s="47">
        <f t="shared" si="258"/>
        <v>6431</v>
      </c>
      <c r="J898" s="47">
        <f t="shared" si="258"/>
        <v>1008</v>
      </c>
      <c r="K898" s="188" t="s">
        <v>12</v>
      </c>
      <c r="L898" s="133"/>
    </row>
    <row r="899" spans="1:12" ht="15" customHeight="1" thickBot="1" x14ac:dyDescent="0.25">
      <c r="A899" s="253"/>
      <c r="B899" s="476" t="s">
        <v>4</v>
      </c>
      <c r="C899" s="476"/>
      <c r="D899" s="476"/>
      <c r="E899" s="476" t="s">
        <v>145</v>
      </c>
      <c r="F899" s="476"/>
      <c r="G899" s="476"/>
      <c r="H899" s="476" t="s">
        <v>146</v>
      </c>
      <c r="I899" s="476"/>
      <c r="J899" s="476"/>
      <c r="K899" s="479" t="s">
        <v>66</v>
      </c>
      <c r="L899" s="479"/>
    </row>
    <row r="900" spans="1:12" ht="15" customHeight="1" thickBot="1" x14ac:dyDescent="0.25">
      <c r="A900" s="253"/>
      <c r="B900" s="185" t="s">
        <v>227</v>
      </c>
      <c r="C900" s="185" t="s">
        <v>10</v>
      </c>
      <c r="D900" s="185" t="s">
        <v>9</v>
      </c>
      <c r="E900" s="185" t="s">
        <v>227</v>
      </c>
      <c r="F900" s="185" t="s">
        <v>10</v>
      </c>
      <c r="G900" s="185" t="s">
        <v>9</v>
      </c>
      <c r="H900" s="185" t="s">
        <v>227</v>
      </c>
      <c r="I900" s="185" t="s">
        <v>10</v>
      </c>
      <c r="J900" s="185" t="s">
        <v>9</v>
      </c>
      <c r="K900" s="480" t="s">
        <v>121</v>
      </c>
      <c r="L900" s="480"/>
    </row>
    <row r="901" spans="1:12" ht="15" customHeight="1" thickBot="1" x14ac:dyDescent="0.25">
      <c r="A901" s="253"/>
      <c r="B901" s="47">
        <f>SUM(C901:D901)</f>
        <v>1908</v>
      </c>
      <c r="C901" s="47">
        <f>I901+F901</f>
        <v>1908</v>
      </c>
      <c r="D901" s="47">
        <f>J901+G901</f>
        <v>0</v>
      </c>
      <c r="E901" s="47">
        <f>SUM(F901:G901)</f>
        <v>49</v>
      </c>
      <c r="F901" s="47">
        <v>49</v>
      </c>
      <c r="G901" s="47">
        <v>0</v>
      </c>
      <c r="H901" s="47">
        <f>SUM(I901:J901)</f>
        <v>1859</v>
      </c>
      <c r="I901" s="47">
        <f>2459-600</f>
        <v>1859</v>
      </c>
      <c r="J901" s="47">
        <v>0</v>
      </c>
      <c r="K901" s="188" t="s">
        <v>233</v>
      </c>
      <c r="L901" s="134"/>
    </row>
    <row r="902" spans="1:12" ht="15" customHeight="1" thickBot="1" x14ac:dyDescent="0.25">
      <c r="A902" s="253"/>
      <c r="B902" s="47">
        <f>SUM(C902:D902)</f>
        <v>0</v>
      </c>
      <c r="C902" s="47">
        <f>I902+F902</f>
        <v>0</v>
      </c>
      <c r="D902" s="47">
        <f>J902+G902</f>
        <v>0</v>
      </c>
      <c r="E902" s="47">
        <f>SUM(F902:G902)</f>
        <v>0</v>
      </c>
      <c r="F902" s="47">
        <v>0</v>
      </c>
      <c r="G902" s="47">
        <v>0</v>
      </c>
      <c r="H902" s="47">
        <f>SUM(I902:J902)</f>
        <v>0</v>
      </c>
      <c r="I902" s="47">
        <v>0</v>
      </c>
      <c r="J902" s="47">
        <v>0</v>
      </c>
      <c r="K902" s="188" t="s">
        <v>234</v>
      </c>
      <c r="L902" s="134" t="s">
        <v>529</v>
      </c>
    </row>
    <row r="903" spans="1:12" ht="15" customHeight="1" thickBot="1" x14ac:dyDescent="0.25">
      <c r="A903" s="253"/>
      <c r="B903" s="47">
        <f t="shared" ref="B903:J903" si="259">SUM(B901:B902)</f>
        <v>1908</v>
      </c>
      <c r="C903" s="47">
        <f t="shared" si="259"/>
        <v>1908</v>
      </c>
      <c r="D903" s="47">
        <f t="shared" si="259"/>
        <v>0</v>
      </c>
      <c r="E903" s="47">
        <f t="shared" si="259"/>
        <v>49</v>
      </c>
      <c r="F903" s="47">
        <f t="shared" si="259"/>
        <v>49</v>
      </c>
      <c r="G903" s="47">
        <f t="shared" si="259"/>
        <v>0</v>
      </c>
      <c r="H903" s="47">
        <f t="shared" si="259"/>
        <v>1859</v>
      </c>
      <c r="I903" s="47">
        <f t="shared" si="259"/>
        <v>1859</v>
      </c>
      <c r="J903" s="47">
        <f t="shared" si="259"/>
        <v>0</v>
      </c>
      <c r="K903" s="188" t="s">
        <v>12</v>
      </c>
      <c r="L903" s="239"/>
    </row>
    <row r="904" spans="1:12" ht="15" customHeight="1" thickBot="1" x14ac:dyDescent="0.25">
      <c r="A904" s="253"/>
      <c r="B904" s="47">
        <f>SUM(C904:D904)</f>
        <v>1753</v>
      </c>
      <c r="C904" s="47">
        <f>I904+F904</f>
        <v>1753</v>
      </c>
      <c r="D904" s="47">
        <f>J904+G904</f>
        <v>0</v>
      </c>
      <c r="E904" s="47">
        <f>SUM(F904:G904)</f>
        <v>158</v>
      </c>
      <c r="F904" s="47">
        <v>158</v>
      </c>
      <c r="G904" s="47">
        <v>0</v>
      </c>
      <c r="H904" s="47">
        <f>SUM(I904:J904)</f>
        <v>1595</v>
      </c>
      <c r="I904" s="47">
        <f>2395-800</f>
        <v>1595</v>
      </c>
      <c r="J904" s="47">
        <v>0</v>
      </c>
      <c r="K904" s="188" t="s">
        <v>233</v>
      </c>
      <c r="L904" s="134"/>
    </row>
    <row r="905" spans="1:12" ht="15" customHeight="1" thickBot="1" x14ac:dyDescent="0.25">
      <c r="A905" s="253"/>
      <c r="B905" s="47">
        <f>SUM(C905:D905)</f>
        <v>909</v>
      </c>
      <c r="C905" s="47">
        <f>I905+F905</f>
        <v>909</v>
      </c>
      <c r="D905" s="47">
        <f>J905+G905</f>
        <v>0</v>
      </c>
      <c r="E905" s="47">
        <f>SUM(F905:G905)</f>
        <v>1</v>
      </c>
      <c r="F905" s="47">
        <v>1</v>
      </c>
      <c r="G905" s="47">
        <v>0</v>
      </c>
      <c r="H905" s="47">
        <f>SUM(I905:J905)</f>
        <v>908</v>
      </c>
      <c r="I905" s="47">
        <v>908</v>
      </c>
      <c r="J905" s="47">
        <v>0</v>
      </c>
      <c r="K905" s="188" t="s">
        <v>234</v>
      </c>
      <c r="L905" s="134" t="s">
        <v>530</v>
      </c>
    </row>
    <row r="906" spans="1:12" ht="15" customHeight="1" thickBot="1" x14ac:dyDescent="0.25">
      <c r="A906" s="253"/>
      <c r="B906" s="47">
        <f t="shared" ref="B906:J906" si="260">SUM(B904:B905)</f>
        <v>2662</v>
      </c>
      <c r="C906" s="47">
        <f t="shared" si="260"/>
        <v>2662</v>
      </c>
      <c r="D906" s="47">
        <f t="shared" si="260"/>
        <v>0</v>
      </c>
      <c r="E906" s="47">
        <f t="shared" si="260"/>
        <v>159</v>
      </c>
      <c r="F906" s="47">
        <f t="shared" si="260"/>
        <v>159</v>
      </c>
      <c r="G906" s="47">
        <f t="shared" si="260"/>
        <v>0</v>
      </c>
      <c r="H906" s="47">
        <f t="shared" si="260"/>
        <v>2503</v>
      </c>
      <c r="I906" s="47">
        <f t="shared" si="260"/>
        <v>2503</v>
      </c>
      <c r="J906" s="47">
        <f t="shared" si="260"/>
        <v>0</v>
      </c>
      <c r="K906" s="188" t="s">
        <v>12</v>
      </c>
      <c r="L906" s="239"/>
    </row>
    <row r="907" spans="1:12" ht="15" customHeight="1" thickBot="1" x14ac:dyDescent="0.25">
      <c r="A907" s="253"/>
      <c r="B907" s="47">
        <f>SUM(C907:D907)</f>
        <v>1226</v>
      </c>
      <c r="C907" s="47">
        <f>I907+F907</f>
        <v>1226</v>
      </c>
      <c r="D907" s="47">
        <f>J907+G907</f>
        <v>0</v>
      </c>
      <c r="E907" s="47">
        <f>SUM(F907:G907)</f>
        <v>0</v>
      </c>
      <c r="F907" s="47">
        <v>0</v>
      </c>
      <c r="G907" s="47">
        <v>0</v>
      </c>
      <c r="H907" s="47">
        <f>SUM(I907:J907)</f>
        <v>1226</v>
      </c>
      <c r="I907" s="47">
        <f>1726-500</f>
        <v>1226</v>
      </c>
      <c r="J907" s="47">
        <v>0</v>
      </c>
      <c r="K907" s="188" t="s">
        <v>233</v>
      </c>
      <c r="L907" s="134"/>
    </row>
    <row r="908" spans="1:12" ht="15" customHeight="1" thickBot="1" x14ac:dyDescent="0.25">
      <c r="A908" s="253"/>
      <c r="B908" s="47">
        <f>SUM(C908:D908)</f>
        <v>0</v>
      </c>
      <c r="C908" s="47">
        <f>I908+F908</f>
        <v>0</v>
      </c>
      <c r="D908" s="47">
        <f>J908+G908</f>
        <v>0</v>
      </c>
      <c r="E908" s="47">
        <f>SUM(F908:G908)</f>
        <v>0</v>
      </c>
      <c r="F908" s="47">
        <v>0</v>
      </c>
      <c r="G908" s="47">
        <v>0</v>
      </c>
      <c r="H908" s="47">
        <f>SUM(I908:J908)</f>
        <v>0</v>
      </c>
      <c r="I908" s="47">
        <v>0</v>
      </c>
      <c r="J908" s="47">
        <v>0</v>
      </c>
      <c r="K908" s="188" t="s">
        <v>234</v>
      </c>
      <c r="L908" s="134" t="s">
        <v>531</v>
      </c>
    </row>
    <row r="909" spans="1:12" ht="15" customHeight="1" thickBot="1" x14ac:dyDescent="0.25">
      <c r="A909" s="253"/>
      <c r="B909" s="47">
        <f t="shared" ref="B909:J909" si="261">SUM(B907:B908)</f>
        <v>1226</v>
      </c>
      <c r="C909" s="47">
        <f t="shared" si="261"/>
        <v>1226</v>
      </c>
      <c r="D909" s="47">
        <f t="shared" si="261"/>
        <v>0</v>
      </c>
      <c r="E909" s="47">
        <f t="shared" si="261"/>
        <v>0</v>
      </c>
      <c r="F909" s="47">
        <f t="shared" si="261"/>
        <v>0</v>
      </c>
      <c r="G909" s="47">
        <f t="shared" si="261"/>
        <v>0</v>
      </c>
      <c r="H909" s="47">
        <f t="shared" si="261"/>
        <v>1226</v>
      </c>
      <c r="I909" s="47">
        <f t="shared" si="261"/>
        <v>1226</v>
      </c>
      <c r="J909" s="47">
        <f t="shared" si="261"/>
        <v>0</v>
      </c>
      <c r="K909" s="188" t="s">
        <v>12</v>
      </c>
      <c r="L909" s="239"/>
    </row>
    <row r="910" spans="1:12" ht="15" customHeight="1" thickBot="1" x14ac:dyDescent="0.25">
      <c r="A910" s="253"/>
      <c r="B910" s="47">
        <f>SUM(C910:D910)</f>
        <v>1285</v>
      </c>
      <c r="C910" s="47">
        <f>I910+F910</f>
        <v>1285</v>
      </c>
      <c r="D910" s="47">
        <f>J910+G910</f>
        <v>0</v>
      </c>
      <c r="E910" s="47">
        <f>SUM(F910:G910)</f>
        <v>15</v>
      </c>
      <c r="F910" s="47">
        <v>15</v>
      </c>
      <c r="G910" s="47">
        <v>0</v>
      </c>
      <c r="H910" s="47">
        <f>SUM(I910:J910)</f>
        <v>1270</v>
      </c>
      <c r="I910" s="47">
        <f>1870-600</f>
        <v>1270</v>
      </c>
      <c r="J910" s="47">
        <v>0</v>
      </c>
      <c r="K910" s="188" t="s">
        <v>233</v>
      </c>
      <c r="L910" s="134"/>
    </row>
    <row r="911" spans="1:12" ht="15" customHeight="1" thickBot="1" x14ac:dyDescent="0.25">
      <c r="A911" s="253"/>
      <c r="B911" s="47">
        <f>SUM(C911:D911)</f>
        <v>0</v>
      </c>
      <c r="C911" s="47">
        <f>I911+F911</f>
        <v>0</v>
      </c>
      <c r="D911" s="47">
        <f>J911+G911</f>
        <v>0</v>
      </c>
      <c r="E911" s="47">
        <f>SUM(F911:G911)</f>
        <v>0</v>
      </c>
      <c r="F911" s="47">
        <v>0</v>
      </c>
      <c r="G911" s="47">
        <v>0</v>
      </c>
      <c r="H911" s="47">
        <f>SUM(I911:J911)</f>
        <v>0</v>
      </c>
      <c r="I911" s="47">
        <v>0</v>
      </c>
      <c r="J911" s="47">
        <v>0</v>
      </c>
      <c r="K911" s="188" t="s">
        <v>234</v>
      </c>
      <c r="L911" s="134" t="s">
        <v>532</v>
      </c>
    </row>
    <row r="912" spans="1:12" ht="15" customHeight="1" thickBot="1" x14ac:dyDescent="0.25">
      <c r="A912" s="253"/>
      <c r="B912" s="47">
        <f t="shared" ref="B912:J912" si="262">SUM(B910:B911)</f>
        <v>1285</v>
      </c>
      <c r="C912" s="47">
        <f t="shared" si="262"/>
        <v>1285</v>
      </c>
      <c r="D912" s="47">
        <f t="shared" si="262"/>
        <v>0</v>
      </c>
      <c r="E912" s="47">
        <f t="shared" si="262"/>
        <v>15</v>
      </c>
      <c r="F912" s="47">
        <f t="shared" si="262"/>
        <v>15</v>
      </c>
      <c r="G912" s="47">
        <f t="shared" si="262"/>
        <v>0</v>
      </c>
      <c r="H912" s="47">
        <f t="shared" si="262"/>
        <v>1270</v>
      </c>
      <c r="I912" s="47">
        <f t="shared" si="262"/>
        <v>1270</v>
      </c>
      <c r="J912" s="47">
        <f t="shared" si="262"/>
        <v>0</v>
      </c>
      <c r="K912" s="188" t="s">
        <v>12</v>
      </c>
      <c r="L912" s="239"/>
    </row>
    <row r="913" spans="1:12" ht="15" customHeight="1" thickBot="1" x14ac:dyDescent="0.25">
      <c r="A913" s="253"/>
      <c r="B913" s="47">
        <f>SUM(C913:D913)</f>
        <v>1567</v>
      </c>
      <c r="C913" s="47">
        <f>I913+F913</f>
        <v>1567</v>
      </c>
      <c r="D913" s="47">
        <f>J913+G913</f>
        <v>0</v>
      </c>
      <c r="E913" s="47">
        <f>SUM(F913:G913)</f>
        <v>35</v>
      </c>
      <c r="F913" s="47">
        <v>35</v>
      </c>
      <c r="G913" s="47">
        <v>0</v>
      </c>
      <c r="H913" s="47">
        <f>SUM(I913:J913)</f>
        <v>1532</v>
      </c>
      <c r="I913" s="47">
        <f>2232-700</f>
        <v>1532</v>
      </c>
      <c r="J913" s="47">
        <v>0</v>
      </c>
      <c r="K913" s="188" t="s">
        <v>233</v>
      </c>
      <c r="L913" s="134"/>
    </row>
    <row r="914" spans="1:12" ht="15" customHeight="1" thickBot="1" x14ac:dyDescent="0.25">
      <c r="A914" s="253"/>
      <c r="B914" s="47">
        <f>SUM(C914:D914)</f>
        <v>839</v>
      </c>
      <c r="C914" s="47">
        <f>I914+F914</f>
        <v>839</v>
      </c>
      <c r="D914" s="47">
        <f>J914+G914</f>
        <v>0</v>
      </c>
      <c r="E914" s="47">
        <f>SUM(F914:G914)</f>
        <v>5</v>
      </c>
      <c r="F914" s="47">
        <v>5</v>
      </c>
      <c r="G914" s="47">
        <v>0</v>
      </c>
      <c r="H914" s="47">
        <f>SUM(I914:J914)</f>
        <v>834</v>
      </c>
      <c r="I914" s="47">
        <v>834</v>
      </c>
      <c r="J914" s="47">
        <v>0</v>
      </c>
      <c r="K914" s="188" t="s">
        <v>234</v>
      </c>
      <c r="L914" s="134" t="s">
        <v>533</v>
      </c>
    </row>
    <row r="915" spans="1:12" ht="15" customHeight="1" thickBot="1" x14ac:dyDescent="0.25">
      <c r="A915" s="253"/>
      <c r="B915" s="47">
        <f t="shared" ref="B915:J915" si="263">SUM(B913:B914)</f>
        <v>2406</v>
      </c>
      <c r="C915" s="47">
        <f t="shared" si="263"/>
        <v>2406</v>
      </c>
      <c r="D915" s="47">
        <f t="shared" si="263"/>
        <v>0</v>
      </c>
      <c r="E915" s="47">
        <f t="shared" si="263"/>
        <v>40</v>
      </c>
      <c r="F915" s="47">
        <f t="shared" si="263"/>
        <v>40</v>
      </c>
      <c r="G915" s="47">
        <f t="shared" si="263"/>
        <v>0</v>
      </c>
      <c r="H915" s="47">
        <f t="shared" si="263"/>
        <v>2366</v>
      </c>
      <c r="I915" s="47">
        <f t="shared" si="263"/>
        <v>2366</v>
      </c>
      <c r="J915" s="47">
        <f t="shared" si="263"/>
        <v>0</v>
      </c>
      <c r="K915" s="188" t="s">
        <v>12</v>
      </c>
      <c r="L915" s="239"/>
    </row>
    <row r="916" spans="1:12" ht="15" customHeight="1" thickBot="1" x14ac:dyDescent="0.25">
      <c r="A916" s="253"/>
      <c r="B916" s="47">
        <f>SUM(C916:D916)</f>
        <v>969</v>
      </c>
      <c r="C916" s="47">
        <f>I916+F916</f>
        <v>969</v>
      </c>
      <c r="D916" s="47">
        <f>J916+G916</f>
        <v>0</v>
      </c>
      <c r="E916" s="47">
        <f>SUM(F916:G916)</f>
        <v>0</v>
      </c>
      <c r="F916" s="47">
        <v>0</v>
      </c>
      <c r="G916" s="47">
        <v>0</v>
      </c>
      <c r="H916" s="47">
        <f>SUM(I916:J916)</f>
        <v>969</v>
      </c>
      <c r="I916" s="47">
        <f>1469-500</f>
        <v>969</v>
      </c>
      <c r="J916" s="47">
        <v>0</v>
      </c>
      <c r="K916" s="188" t="s">
        <v>233</v>
      </c>
      <c r="L916" s="134"/>
    </row>
    <row r="917" spans="1:12" ht="15" customHeight="1" thickBot="1" x14ac:dyDescent="0.25">
      <c r="A917" s="253"/>
      <c r="B917" s="47">
        <f>SUM(C917:D917)</f>
        <v>135</v>
      </c>
      <c r="C917" s="47">
        <f>I917+F917</f>
        <v>135</v>
      </c>
      <c r="D917" s="47">
        <f>J917+G917</f>
        <v>0</v>
      </c>
      <c r="E917" s="47">
        <f>SUM(F917:G917)</f>
        <v>0</v>
      </c>
      <c r="F917" s="47">
        <v>0</v>
      </c>
      <c r="G917" s="47">
        <v>0</v>
      </c>
      <c r="H917" s="47">
        <f>SUM(I917:J917)</f>
        <v>135</v>
      </c>
      <c r="I917" s="47">
        <v>135</v>
      </c>
      <c r="J917" s="47">
        <v>0</v>
      </c>
      <c r="K917" s="188" t="s">
        <v>234</v>
      </c>
      <c r="L917" s="134" t="s">
        <v>534</v>
      </c>
    </row>
    <row r="918" spans="1:12" ht="15" customHeight="1" thickBot="1" x14ac:dyDescent="0.25">
      <c r="A918" s="253"/>
      <c r="B918" s="47">
        <f t="shared" ref="B918:J918" si="264">SUM(B916:B917)</f>
        <v>1104</v>
      </c>
      <c r="C918" s="47">
        <f t="shared" si="264"/>
        <v>1104</v>
      </c>
      <c r="D918" s="47">
        <f t="shared" si="264"/>
        <v>0</v>
      </c>
      <c r="E918" s="47">
        <f t="shared" si="264"/>
        <v>0</v>
      </c>
      <c r="F918" s="47">
        <f t="shared" si="264"/>
        <v>0</v>
      </c>
      <c r="G918" s="47">
        <f t="shared" si="264"/>
        <v>0</v>
      </c>
      <c r="H918" s="47">
        <f t="shared" si="264"/>
        <v>1104</v>
      </c>
      <c r="I918" s="47">
        <f t="shared" si="264"/>
        <v>1104</v>
      </c>
      <c r="J918" s="47">
        <f t="shared" si="264"/>
        <v>0</v>
      </c>
      <c r="K918" s="188" t="s">
        <v>12</v>
      </c>
      <c r="L918" s="239"/>
    </row>
    <row r="919" spans="1:12" ht="15" customHeight="1" thickBot="1" x14ac:dyDescent="0.25">
      <c r="A919" s="253"/>
      <c r="B919" s="47">
        <f>SUM(C919:D919)</f>
        <v>782</v>
      </c>
      <c r="C919" s="47">
        <f>I919+F919</f>
        <v>782</v>
      </c>
      <c r="D919" s="47">
        <f>J919+G919</f>
        <v>0</v>
      </c>
      <c r="E919" s="47">
        <f>SUM(F919:G919)</f>
        <v>0</v>
      </c>
      <c r="F919" s="47">
        <v>0</v>
      </c>
      <c r="G919" s="47">
        <v>0</v>
      </c>
      <c r="H919" s="47">
        <f>SUM(I919:J919)</f>
        <v>782</v>
      </c>
      <c r="I919" s="47">
        <f>1282-500</f>
        <v>782</v>
      </c>
      <c r="J919" s="47">
        <v>0</v>
      </c>
      <c r="K919" s="188" t="s">
        <v>233</v>
      </c>
      <c r="L919" s="134"/>
    </row>
    <row r="920" spans="1:12" ht="15" customHeight="1" thickBot="1" x14ac:dyDescent="0.25">
      <c r="A920" s="253"/>
      <c r="B920" s="47">
        <f>SUM(C920:D920)</f>
        <v>48</v>
      </c>
      <c r="C920" s="47">
        <f>I920+F920</f>
        <v>48</v>
      </c>
      <c r="D920" s="47">
        <f>J920+G920</f>
        <v>0</v>
      </c>
      <c r="E920" s="47">
        <f>SUM(F920:G920)</f>
        <v>0</v>
      </c>
      <c r="F920" s="47">
        <v>0</v>
      </c>
      <c r="G920" s="47">
        <v>0</v>
      </c>
      <c r="H920" s="47">
        <f>SUM(I920:J920)</f>
        <v>48</v>
      </c>
      <c r="I920" s="47">
        <v>48</v>
      </c>
      <c r="J920" s="47">
        <v>0</v>
      </c>
      <c r="K920" s="188" t="s">
        <v>234</v>
      </c>
      <c r="L920" s="134" t="s">
        <v>535</v>
      </c>
    </row>
    <row r="921" spans="1:12" ht="15" customHeight="1" thickBot="1" x14ac:dyDescent="0.25">
      <c r="A921" s="253"/>
      <c r="B921" s="47">
        <f t="shared" ref="B921:J921" si="265">SUM(B919:B920)</f>
        <v>830</v>
      </c>
      <c r="C921" s="47">
        <f t="shared" si="265"/>
        <v>830</v>
      </c>
      <c r="D921" s="47">
        <f t="shared" si="265"/>
        <v>0</v>
      </c>
      <c r="E921" s="47">
        <f t="shared" si="265"/>
        <v>0</v>
      </c>
      <c r="F921" s="47">
        <f t="shared" si="265"/>
        <v>0</v>
      </c>
      <c r="G921" s="47">
        <f t="shared" si="265"/>
        <v>0</v>
      </c>
      <c r="H921" s="47">
        <f t="shared" si="265"/>
        <v>830</v>
      </c>
      <c r="I921" s="47">
        <f t="shared" si="265"/>
        <v>830</v>
      </c>
      <c r="J921" s="47">
        <f t="shared" si="265"/>
        <v>0</v>
      </c>
      <c r="K921" s="188" t="s">
        <v>12</v>
      </c>
      <c r="L921" s="239"/>
    </row>
    <row r="922" spans="1:12" ht="15" customHeight="1" thickBot="1" x14ac:dyDescent="0.25">
      <c r="A922" s="253"/>
      <c r="B922" s="47">
        <f>SUM(C922:D922)</f>
        <v>663</v>
      </c>
      <c r="C922" s="47">
        <f>I922+F922</f>
        <v>663</v>
      </c>
      <c r="D922" s="47">
        <f>J922+G922</f>
        <v>0</v>
      </c>
      <c r="E922" s="47">
        <f>SUM(F922:G922)</f>
        <v>0</v>
      </c>
      <c r="F922" s="47">
        <v>0</v>
      </c>
      <c r="G922" s="47">
        <v>0</v>
      </c>
      <c r="H922" s="47">
        <f>SUM(I922:J922)</f>
        <v>663</v>
      </c>
      <c r="I922" s="47">
        <v>663</v>
      </c>
      <c r="J922" s="47">
        <v>0</v>
      </c>
      <c r="K922" s="188" t="s">
        <v>233</v>
      </c>
      <c r="L922" s="134"/>
    </row>
    <row r="923" spans="1:12" ht="15" customHeight="1" thickBot="1" x14ac:dyDescent="0.25">
      <c r="A923" s="253"/>
      <c r="B923" s="47">
        <f>SUM(C923:D923)</f>
        <v>80</v>
      </c>
      <c r="C923" s="47">
        <f>I923+F923</f>
        <v>80</v>
      </c>
      <c r="D923" s="47">
        <f>J923+G923</f>
        <v>0</v>
      </c>
      <c r="E923" s="47">
        <f>SUM(F923:G923)</f>
        <v>0</v>
      </c>
      <c r="F923" s="47">
        <v>0</v>
      </c>
      <c r="G923" s="47">
        <v>0</v>
      </c>
      <c r="H923" s="47">
        <f>SUM(I923:J923)</f>
        <v>80</v>
      </c>
      <c r="I923" s="47">
        <v>80</v>
      </c>
      <c r="J923" s="47">
        <v>0</v>
      </c>
      <c r="K923" s="188" t="s">
        <v>234</v>
      </c>
      <c r="L923" s="134" t="s">
        <v>536</v>
      </c>
    </row>
    <row r="924" spans="1:12" ht="15" customHeight="1" thickBot="1" x14ac:dyDescent="0.25">
      <c r="A924" s="253"/>
      <c r="B924" s="47">
        <f t="shared" ref="B924:J924" si="266">SUM(B922:B923)</f>
        <v>743</v>
      </c>
      <c r="C924" s="47">
        <f t="shared" si="266"/>
        <v>743</v>
      </c>
      <c r="D924" s="47">
        <f t="shared" si="266"/>
        <v>0</v>
      </c>
      <c r="E924" s="47">
        <f t="shared" si="266"/>
        <v>0</v>
      </c>
      <c r="F924" s="47">
        <f t="shared" si="266"/>
        <v>0</v>
      </c>
      <c r="G924" s="47">
        <f t="shared" si="266"/>
        <v>0</v>
      </c>
      <c r="H924" s="47">
        <f t="shared" si="266"/>
        <v>743</v>
      </c>
      <c r="I924" s="47">
        <f t="shared" si="266"/>
        <v>743</v>
      </c>
      <c r="J924" s="47">
        <f t="shared" si="266"/>
        <v>0</v>
      </c>
      <c r="K924" s="188" t="s">
        <v>12</v>
      </c>
      <c r="L924" s="239"/>
    </row>
    <row r="925" spans="1:12" ht="15" customHeight="1" thickBot="1" x14ac:dyDescent="0.25">
      <c r="A925" s="253"/>
      <c r="B925" s="47">
        <f>SUM(C925:D925)</f>
        <v>782</v>
      </c>
      <c r="C925" s="47">
        <f>I925+F925</f>
        <v>782</v>
      </c>
      <c r="D925" s="47">
        <f>J925+G925</f>
        <v>0</v>
      </c>
      <c r="E925" s="47">
        <f>SUM(F925:G925)</f>
        <v>0</v>
      </c>
      <c r="F925" s="47">
        <v>0</v>
      </c>
      <c r="G925" s="47">
        <v>0</v>
      </c>
      <c r="H925" s="47">
        <f>SUM(I925:J925)</f>
        <v>782</v>
      </c>
      <c r="I925" s="47">
        <f>1082-300</f>
        <v>782</v>
      </c>
      <c r="J925" s="47">
        <v>0</v>
      </c>
      <c r="K925" s="188" t="s">
        <v>233</v>
      </c>
      <c r="L925" s="134"/>
    </row>
    <row r="926" spans="1:12" ht="15" customHeight="1" thickBot="1" x14ac:dyDescent="0.25">
      <c r="A926" s="253"/>
      <c r="B926" s="47">
        <f>SUM(C926:D926)</f>
        <v>471</v>
      </c>
      <c r="C926" s="47">
        <f>I926+F926</f>
        <v>471</v>
      </c>
      <c r="D926" s="47">
        <f>J926+G926</f>
        <v>0</v>
      </c>
      <c r="E926" s="47">
        <f>SUM(F926:G926)</f>
        <v>0</v>
      </c>
      <c r="F926" s="47">
        <v>0</v>
      </c>
      <c r="G926" s="47">
        <v>0</v>
      </c>
      <c r="H926" s="47">
        <f>SUM(I926:J926)</f>
        <v>471</v>
      </c>
      <c r="I926" s="47">
        <v>471</v>
      </c>
      <c r="J926" s="47">
        <v>0</v>
      </c>
      <c r="K926" s="188" t="s">
        <v>234</v>
      </c>
      <c r="L926" s="134" t="s">
        <v>537</v>
      </c>
    </row>
    <row r="927" spans="1:12" ht="15" customHeight="1" thickBot="1" x14ac:dyDescent="0.25">
      <c r="A927" s="253"/>
      <c r="B927" s="47">
        <f t="shared" ref="B927:J927" si="267">SUM(B925:B926)</f>
        <v>1253</v>
      </c>
      <c r="C927" s="47">
        <f t="shared" si="267"/>
        <v>1253</v>
      </c>
      <c r="D927" s="47">
        <f t="shared" si="267"/>
        <v>0</v>
      </c>
      <c r="E927" s="47">
        <f t="shared" si="267"/>
        <v>0</v>
      </c>
      <c r="F927" s="47">
        <f t="shared" si="267"/>
        <v>0</v>
      </c>
      <c r="G927" s="47">
        <f t="shared" si="267"/>
        <v>0</v>
      </c>
      <c r="H927" s="47">
        <f t="shared" si="267"/>
        <v>1253</v>
      </c>
      <c r="I927" s="47">
        <f t="shared" si="267"/>
        <v>1253</v>
      </c>
      <c r="J927" s="47">
        <f t="shared" si="267"/>
        <v>0</v>
      </c>
      <c r="K927" s="188" t="s">
        <v>12</v>
      </c>
      <c r="L927" s="239"/>
    </row>
    <row r="928" spans="1:12" ht="15" customHeight="1" thickBot="1" x14ac:dyDescent="0.25">
      <c r="A928" s="253"/>
      <c r="B928" s="47">
        <f>SUM(C928:D928)</f>
        <v>1420</v>
      </c>
      <c r="C928" s="47">
        <f>I928+F928</f>
        <v>1420</v>
      </c>
      <c r="D928" s="47">
        <f>J928+G928</f>
        <v>0</v>
      </c>
      <c r="E928" s="47">
        <f>SUM(F928:G928)</f>
        <v>30</v>
      </c>
      <c r="F928" s="47">
        <v>30</v>
      </c>
      <c r="G928" s="47">
        <v>0</v>
      </c>
      <c r="H928" s="47">
        <f>SUM(I928:J928)</f>
        <v>1390</v>
      </c>
      <c r="I928" s="47">
        <f>1990-600</f>
        <v>1390</v>
      </c>
      <c r="J928" s="47">
        <v>0</v>
      </c>
      <c r="K928" s="188" t="s">
        <v>233</v>
      </c>
      <c r="L928" s="134"/>
    </row>
    <row r="929" spans="1:12" ht="15" customHeight="1" thickBot="1" x14ac:dyDescent="0.25">
      <c r="A929" s="253"/>
      <c r="B929" s="47">
        <f>SUM(C929:D929)</f>
        <v>67</v>
      </c>
      <c r="C929" s="47">
        <f>I929+F929</f>
        <v>67</v>
      </c>
      <c r="D929" s="47">
        <f>J929+G929</f>
        <v>0</v>
      </c>
      <c r="E929" s="47">
        <f>SUM(F929:G929)</f>
        <v>0</v>
      </c>
      <c r="F929" s="47">
        <v>0</v>
      </c>
      <c r="G929" s="47">
        <v>0</v>
      </c>
      <c r="H929" s="47">
        <f>SUM(I929:J929)</f>
        <v>67</v>
      </c>
      <c r="I929" s="47">
        <v>67</v>
      </c>
      <c r="J929" s="47">
        <v>0</v>
      </c>
      <c r="K929" s="188" t="s">
        <v>234</v>
      </c>
      <c r="L929" s="134" t="s">
        <v>538</v>
      </c>
    </row>
    <row r="930" spans="1:12" ht="15" customHeight="1" thickBot="1" x14ac:dyDescent="0.25">
      <c r="A930" s="253"/>
      <c r="B930" s="47">
        <f t="shared" ref="B930:J930" si="268">SUM(B928:B929)</f>
        <v>1487</v>
      </c>
      <c r="C930" s="47">
        <f t="shared" si="268"/>
        <v>1487</v>
      </c>
      <c r="D930" s="47">
        <f t="shared" si="268"/>
        <v>0</v>
      </c>
      <c r="E930" s="47">
        <f t="shared" si="268"/>
        <v>30</v>
      </c>
      <c r="F930" s="47">
        <f t="shared" si="268"/>
        <v>30</v>
      </c>
      <c r="G930" s="47">
        <f t="shared" si="268"/>
        <v>0</v>
      </c>
      <c r="H930" s="47">
        <f t="shared" si="268"/>
        <v>1457</v>
      </c>
      <c r="I930" s="47">
        <f t="shared" si="268"/>
        <v>1457</v>
      </c>
      <c r="J930" s="47">
        <f t="shared" si="268"/>
        <v>0</v>
      </c>
      <c r="K930" s="188" t="s">
        <v>12</v>
      </c>
      <c r="L930" s="239"/>
    </row>
    <row r="931" spans="1:12" ht="15" customHeight="1" thickBot="1" x14ac:dyDescent="0.25">
      <c r="A931" s="253"/>
      <c r="B931" s="47">
        <f>SUM(C931:D931)</f>
        <v>731</v>
      </c>
      <c r="C931" s="47">
        <f>I931+F931</f>
        <v>731</v>
      </c>
      <c r="D931" s="47">
        <f>J931+G931</f>
        <v>0</v>
      </c>
      <c r="E931" s="47">
        <f>SUM(F931:G931)</f>
        <v>0</v>
      </c>
      <c r="F931" s="47">
        <v>0</v>
      </c>
      <c r="G931" s="47">
        <v>0</v>
      </c>
      <c r="H931" s="47">
        <f>SUM(I931:J931)</f>
        <v>731</v>
      </c>
      <c r="I931" s="47">
        <f>1131-400</f>
        <v>731</v>
      </c>
      <c r="J931" s="47">
        <v>0</v>
      </c>
      <c r="K931" s="188" t="s">
        <v>233</v>
      </c>
      <c r="L931" s="134"/>
    </row>
    <row r="932" spans="1:12" ht="15" customHeight="1" thickBot="1" x14ac:dyDescent="0.25">
      <c r="A932" s="253"/>
      <c r="B932" s="47">
        <f>SUM(C932:D932)</f>
        <v>158</v>
      </c>
      <c r="C932" s="47">
        <f>I932+F932</f>
        <v>158</v>
      </c>
      <c r="D932" s="47">
        <f>J932+G932</f>
        <v>0</v>
      </c>
      <c r="E932" s="47">
        <f>SUM(F932:G932)</f>
        <v>0</v>
      </c>
      <c r="F932" s="47">
        <v>0</v>
      </c>
      <c r="G932" s="47">
        <v>0</v>
      </c>
      <c r="H932" s="47">
        <f>SUM(I932:J932)</f>
        <v>158</v>
      </c>
      <c r="I932" s="47">
        <v>158</v>
      </c>
      <c r="J932" s="47">
        <v>0</v>
      </c>
      <c r="K932" s="188" t="s">
        <v>234</v>
      </c>
      <c r="L932" s="134" t="s">
        <v>539</v>
      </c>
    </row>
    <row r="933" spans="1:12" ht="15" customHeight="1" thickBot="1" x14ac:dyDescent="0.25">
      <c r="A933" s="253"/>
      <c r="B933" s="47">
        <f t="shared" ref="B933:J933" si="269">SUM(B931:B932)</f>
        <v>889</v>
      </c>
      <c r="C933" s="47">
        <f t="shared" si="269"/>
        <v>889</v>
      </c>
      <c r="D933" s="47">
        <f t="shared" si="269"/>
        <v>0</v>
      </c>
      <c r="E933" s="47">
        <f t="shared" si="269"/>
        <v>0</v>
      </c>
      <c r="F933" s="47">
        <f t="shared" si="269"/>
        <v>0</v>
      </c>
      <c r="G933" s="47">
        <f t="shared" si="269"/>
        <v>0</v>
      </c>
      <c r="H933" s="47">
        <f t="shared" si="269"/>
        <v>889</v>
      </c>
      <c r="I933" s="47">
        <f t="shared" si="269"/>
        <v>889</v>
      </c>
      <c r="J933" s="47">
        <f t="shared" si="269"/>
        <v>0</v>
      </c>
      <c r="K933" s="188" t="s">
        <v>12</v>
      </c>
      <c r="L933" s="239"/>
    </row>
    <row r="934" spans="1:12" ht="15" customHeight="1" thickBot="1" x14ac:dyDescent="0.25">
      <c r="A934" s="253"/>
      <c r="B934" s="47">
        <f>SUM(C934:D934)</f>
        <v>1469</v>
      </c>
      <c r="C934" s="47">
        <f>I934+F934</f>
        <v>1469</v>
      </c>
      <c r="D934" s="47">
        <f>J934+G934</f>
        <v>0</v>
      </c>
      <c r="E934" s="47">
        <f>SUM(F934:G934)</f>
        <v>0</v>
      </c>
      <c r="F934" s="47">
        <v>0</v>
      </c>
      <c r="G934" s="47">
        <v>0</v>
      </c>
      <c r="H934" s="47">
        <f>SUM(I934:J934)</f>
        <v>1469</v>
      </c>
      <c r="I934" s="47">
        <f>2169-700</f>
        <v>1469</v>
      </c>
      <c r="J934" s="47">
        <v>0</v>
      </c>
      <c r="K934" s="188" t="s">
        <v>233</v>
      </c>
      <c r="L934" s="134"/>
    </row>
    <row r="935" spans="1:12" ht="15" customHeight="1" thickBot="1" x14ac:dyDescent="0.25">
      <c r="A935" s="253"/>
      <c r="B935" s="47">
        <f>SUM(C935:D935)</f>
        <v>481</v>
      </c>
      <c r="C935" s="47">
        <f>I935+F935</f>
        <v>481</v>
      </c>
      <c r="D935" s="47">
        <f>J935+G935</f>
        <v>0</v>
      </c>
      <c r="E935" s="47">
        <f>SUM(F935:G935)</f>
        <v>0</v>
      </c>
      <c r="F935" s="47">
        <v>0</v>
      </c>
      <c r="G935" s="47">
        <v>0</v>
      </c>
      <c r="H935" s="47">
        <f>SUM(I935:J935)</f>
        <v>481</v>
      </c>
      <c r="I935" s="47">
        <v>481</v>
      </c>
      <c r="J935" s="47">
        <v>0</v>
      </c>
      <c r="K935" s="188" t="s">
        <v>234</v>
      </c>
      <c r="L935" s="134" t="s">
        <v>540</v>
      </c>
    </row>
    <row r="936" spans="1:12" ht="15" customHeight="1" thickBot="1" x14ac:dyDescent="0.25">
      <c r="A936" s="253"/>
      <c r="B936" s="47">
        <f t="shared" ref="B936:J936" si="270">SUM(B934:B935)</f>
        <v>1950</v>
      </c>
      <c r="C936" s="47">
        <f t="shared" si="270"/>
        <v>1950</v>
      </c>
      <c r="D936" s="47">
        <f t="shared" si="270"/>
        <v>0</v>
      </c>
      <c r="E936" s="47">
        <f t="shared" si="270"/>
        <v>0</v>
      </c>
      <c r="F936" s="47">
        <f t="shared" si="270"/>
        <v>0</v>
      </c>
      <c r="G936" s="47">
        <f t="shared" si="270"/>
        <v>0</v>
      </c>
      <c r="H936" s="47">
        <f t="shared" si="270"/>
        <v>1950</v>
      </c>
      <c r="I936" s="47">
        <f t="shared" si="270"/>
        <v>1950</v>
      </c>
      <c r="J936" s="47">
        <f t="shared" si="270"/>
        <v>0</v>
      </c>
      <c r="K936" s="188" t="s">
        <v>12</v>
      </c>
      <c r="L936" s="239"/>
    </row>
    <row r="937" spans="1:12" ht="15" customHeight="1" thickBot="1" x14ac:dyDescent="0.25">
      <c r="A937" s="253"/>
      <c r="B937" s="47">
        <f>SUM(C937:D937)</f>
        <v>1310</v>
      </c>
      <c r="C937" s="47">
        <f>I937+F937</f>
        <v>1310</v>
      </c>
      <c r="D937" s="47">
        <f>J937+G937</f>
        <v>0</v>
      </c>
      <c r="E937" s="47">
        <f>SUM(F937:G937)</f>
        <v>0</v>
      </c>
      <c r="F937" s="47">
        <v>0</v>
      </c>
      <c r="G937" s="47">
        <v>0</v>
      </c>
      <c r="H937" s="47">
        <f>SUM(I937:J937)</f>
        <v>1310</v>
      </c>
      <c r="I937" s="47">
        <f>1810-500</f>
        <v>1310</v>
      </c>
      <c r="J937" s="47">
        <v>0</v>
      </c>
      <c r="K937" s="188" t="s">
        <v>233</v>
      </c>
      <c r="L937" s="134"/>
    </row>
    <row r="938" spans="1:12" ht="15" customHeight="1" thickBot="1" x14ac:dyDescent="0.25">
      <c r="A938" s="253"/>
      <c r="B938" s="47">
        <f>SUM(C938:D938)</f>
        <v>556</v>
      </c>
      <c r="C938" s="47">
        <f>I938+F938</f>
        <v>556</v>
      </c>
      <c r="D938" s="47">
        <f>J938+G938</f>
        <v>0</v>
      </c>
      <c r="E938" s="47">
        <f>SUM(F938:G938)</f>
        <v>0</v>
      </c>
      <c r="F938" s="47">
        <v>0</v>
      </c>
      <c r="G938" s="47">
        <v>0</v>
      </c>
      <c r="H938" s="47">
        <f>SUM(I938:J938)</f>
        <v>556</v>
      </c>
      <c r="I938" s="47">
        <v>556</v>
      </c>
      <c r="J938" s="47">
        <v>0</v>
      </c>
      <c r="K938" s="188" t="s">
        <v>234</v>
      </c>
      <c r="L938" s="134" t="s">
        <v>541</v>
      </c>
    </row>
    <row r="939" spans="1:12" ht="15" customHeight="1" thickBot="1" x14ac:dyDescent="0.25">
      <c r="A939" s="253"/>
      <c r="B939" s="47">
        <f t="shared" ref="B939:J939" si="271">SUM(B937:B938)</f>
        <v>1866</v>
      </c>
      <c r="C939" s="47">
        <f t="shared" si="271"/>
        <v>1866</v>
      </c>
      <c r="D939" s="47">
        <f t="shared" si="271"/>
        <v>0</v>
      </c>
      <c r="E939" s="47">
        <f t="shared" si="271"/>
        <v>0</v>
      </c>
      <c r="F939" s="47">
        <f t="shared" si="271"/>
        <v>0</v>
      </c>
      <c r="G939" s="47">
        <f t="shared" si="271"/>
        <v>0</v>
      </c>
      <c r="H939" s="47">
        <f t="shared" si="271"/>
        <v>1866</v>
      </c>
      <c r="I939" s="47">
        <f t="shared" si="271"/>
        <v>1866</v>
      </c>
      <c r="J939" s="47">
        <f t="shared" si="271"/>
        <v>0</v>
      </c>
      <c r="K939" s="188" t="s">
        <v>12</v>
      </c>
      <c r="L939" s="239"/>
    </row>
    <row r="940" spans="1:12" ht="15" customHeight="1" thickBot="1" x14ac:dyDescent="0.25">
      <c r="A940" s="253"/>
      <c r="B940" s="47">
        <f>SUM(C940:D940)</f>
        <v>1766</v>
      </c>
      <c r="C940" s="47">
        <f>I940+F940</f>
        <v>1766</v>
      </c>
      <c r="D940" s="47">
        <f>J940+G940</f>
        <v>0</v>
      </c>
      <c r="E940" s="47">
        <f>SUM(F940:G940)</f>
        <v>20</v>
      </c>
      <c r="F940" s="47">
        <v>20</v>
      </c>
      <c r="G940" s="47">
        <v>0</v>
      </c>
      <c r="H940" s="47">
        <f>SUM(I940:J940)</f>
        <v>1746</v>
      </c>
      <c r="I940" s="47">
        <v>1746</v>
      </c>
      <c r="J940" s="47">
        <v>0</v>
      </c>
      <c r="K940" s="188" t="s">
        <v>233</v>
      </c>
      <c r="L940" s="134"/>
    </row>
    <row r="941" spans="1:12" ht="15" customHeight="1" thickBot="1" x14ac:dyDescent="0.25">
      <c r="A941" s="253"/>
      <c r="B941" s="47">
        <f>SUM(C941:D941)</f>
        <v>221</v>
      </c>
      <c r="C941" s="47">
        <f>I941+F941</f>
        <v>221</v>
      </c>
      <c r="D941" s="47">
        <f>J941+G941</f>
        <v>0</v>
      </c>
      <c r="E941" s="47">
        <f>SUM(F941:G941)</f>
        <v>0</v>
      </c>
      <c r="F941" s="47">
        <v>0</v>
      </c>
      <c r="G941" s="47">
        <v>0</v>
      </c>
      <c r="H941" s="47">
        <f>SUM(I941:J941)</f>
        <v>221</v>
      </c>
      <c r="I941" s="47">
        <v>221</v>
      </c>
      <c r="J941" s="47">
        <v>0</v>
      </c>
      <c r="K941" s="188" t="s">
        <v>234</v>
      </c>
      <c r="L941" s="134" t="s">
        <v>542</v>
      </c>
    </row>
    <row r="942" spans="1:12" ht="15" customHeight="1" thickBot="1" x14ac:dyDescent="0.25">
      <c r="A942" s="253"/>
      <c r="B942" s="47">
        <f t="shared" ref="B942:J942" si="272">SUM(B940:B941)</f>
        <v>1987</v>
      </c>
      <c r="C942" s="47">
        <f t="shared" si="272"/>
        <v>1987</v>
      </c>
      <c r="D942" s="47">
        <f t="shared" si="272"/>
        <v>0</v>
      </c>
      <c r="E942" s="47">
        <f t="shared" si="272"/>
        <v>20</v>
      </c>
      <c r="F942" s="47">
        <f t="shared" si="272"/>
        <v>20</v>
      </c>
      <c r="G942" s="47">
        <f t="shared" si="272"/>
        <v>0</v>
      </c>
      <c r="H942" s="47">
        <f t="shared" si="272"/>
        <v>1967</v>
      </c>
      <c r="I942" s="47">
        <f t="shared" si="272"/>
        <v>1967</v>
      </c>
      <c r="J942" s="47">
        <f t="shared" si="272"/>
        <v>0</v>
      </c>
      <c r="K942" s="188" t="s">
        <v>12</v>
      </c>
      <c r="L942" s="239"/>
    </row>
    <row r="943" spans="1:12" ht="15" customHeight="1" thickBot="1" x14ac:dyDescent="0.25">
      <c r="A943" s="253"/>
      <c r="B943" s="47">
        <f>SUM(C943:D943)</f>
        <v>2220</v>
      </c>
      <c r="C943" s="47">
        <f>I943+F943</f>
        <v>2220</v>
      </c>
      <c r="D943" s="47">
        <f>J943+G943</f>
        <v>0</v>
      </c>
      <c r="E943" s="47">
        <f>SUM(F943:G943)</f>
        <v>0</v>
      </c>
      <c r="F943" s="47">
        <v>0</v>
      </c>
      <c r="G943" s="47">
        <v>0</v>
      </c>
      <c r="H943" s="47">
        <f>SUM(I943:J943)</f>
        <v>2220</v>
      </c>
      <c r="I943" s="47">
        <v>2220</v>
      </c>
      <c r="J943" s="47">
        <v>0</v>
      </c>
      <c r="K943" s="188" t="s">
        <v>233</v>
      </c>
      <c r="L943" s="134"/>
    </row>
    <row r="944" spans="1:12" ht="15" customHeight="1" thickBot="1" x14ac:dyDescent="0.25">
      <c r="A944" s="253"/>
      <c r="B944" s="47">
        <f>SUM(C944:D944)</f>
        <v>351</v>
      </c>
      <c r="C944" s="47">
        <f>I944+F944</f>
        <v>351</v>
      </c>
      <c r="D944" s="47">
        <f>J944+G944</f>
        <v>0</v>
      </c>
      <c r="E944" s="47">
        <f>SUM(F944:G944)</f>
        <v>0</v>
      </c>
      <c r="F944" s="47">
        <v>0</v>
      </c>
      <c r="G944" s="47">
        <v>0</v>
      </c>
      <c r="H944" s="47">
        <f>SUM(I944:J944)</f>
        <v>351</v>
      </c>
      <c r="I944" s="47">
        <v>351</v>
      </c>
      <c r="J944" s="47">
        <v>0</v>
      </c>
      <c r="K944" s="188" t="s">
        <v>234</v>
      </c>
      <c r="L944" s="134" t="s">
        <v>543</v>
      </c>
    </row>
    <row r="945" spans="1:12" ht="15" customHeight="1" thickBot="1" x14ac:dyDescent="0.25">
      <c r="A945" s="253"/>
      <c r="B945" s="47">
        <f t="shared" ref="B945:J945" si="273">SUM(B943:B944)</f>
        <v>2571</v>
      </c>
      <c r="C945" s="47">
        <f t="shared" si="273"/>
        <v>2571</v>
      </c>
      <c r="D945" s="47">
        <f t="shared" si="273"/>
        <v>0</v>
      </c>
      <c r="E945" s="47">
        <f t="shared" si="273"/>
        <v>0</v>
      </c>
      <c r="F945" s="47">
        <f t="shared" si="273"/>
        <v>0</v>
      </c>
      <c r="G945" s="47">
        <f t="shared" si="273"/>
        <v>0</v>
      </c>
      <c r="H945" s="47">
        <f t="shared" si="273"/>
        <v>2571</v>
      </c>
      <c r="I945" s="47">
        <f t="shared" si="273"/>
        <v>2571</v>
      </c>
      <c r="J945" s="47">
        <f t="shared" si="273"/>
        <v>0</v>
      </c>
      <c r="K945" s="188" t="s">
        <v>12</v>
      </c>
      <c r="L945" s="239"/>
    </row>
    <row r="946" spans="1:12" ht="15" customHeight="1" thickBot="1" x14ac:dyDescent="0.25">
      <c r="A946" s="253"/>
      <c r="B946" s="47">
        <f>SUM(C946:D946)</f>
        <v>1982</v>
      </c>
      <c r="C946" s="47">
        <f>I946+F946</f>
        <v>1982</v>
      </c>
      <c r="D946" s="47">
        <f>J946+G946</f>
        <v>0</v>
      </c>
      <c r="E946" s="47">
        <f>SUM(F946:G946)</f>
        <v>0</v>
      </c>
      <c r="F946" s="47">
        <v>0</v>
      </c>
      <c r="G946" s="47">
        <v>0</v>
      </c>
      <c r="H946" s="47">
        <f>SUM(I946:J946)</f>
        <v>1982</v>
      </c>
      <c r="I946" s="47">
        <f>2282-300</f>
        <v>1982</v>
      </c>
      <c r="J946" s="47">
        <v>0</v>
      </c>
      <c r="K946" s="188" t="s">
        <v>233</v>
      </c>
      <c r="L946" s="134"/>
    </row>
    <row r="947" spans="1:12" ht="15" customHeight="1" thickBot="1" x14ac:dyDescent="0.25">
      <c r="A947" s="253"/>
      <c r="B947" s="47">
        <f>SUM(C947:D947)</f>
        <v>546</v>
      </c>
      <c r="C947" s="47">
        <f>I947+F947</f>
        <v>546</v>
      </c>
      <c r="D947" s="47">
        <f>J947+G947</f>
        <v>0</v>
      </c>
      <c r="E947" s="47">
        <f>SUM(F947:G947)</f>
        <v>4</v>
      </c>
      <c r="F947" s="47">
        <v>4</v>
      </c>
      <c r="G947" s="47">
        <v>0</v>
      </c>
      <c r="H947" s="47">
        <f>SUM(I947:J947)</f>
        <v>542</v>
      </c>
      <c r="I947" s="47">
        <v>542</v>
      </c>
      <c r="J947" s="47">
        <v>0</v>
      </c>
      <c r="K947" s="188" t="s">
        <v>234</v>
      </c>
      <c r="L947" s="134" t="s">
        <v>544</v>
      </c>
    </row>
    <row r="948" spans="1:12" ht="15" customHeight="1" thickBot="1" x14ac:dyDescent="0.25">
      <c r="A948" s="253"/>
      <c r="B948" s="47">
        <f t="shared" ref="B948:J948" si="274">SUM(B946:B947)</f>
        <v>2528</v>
      </c>
      <c r="C948" s="47">
        <f t="shared" si="274"/>
        <v>2528</v>
      </c>
      <c r="D948" s="47">
        <f t="shared" si="274"/>
        <v>0</v>
      </c>
      <c r="E948" s="47">
        <f t="shared" si="274"/>
        <v>4</v>
      </c>
      <c r="F948" s="47">
        <f t="shared" si="274"/>
        <v>4</v>
      </c>
      <c r="G948" s="47">
        <f t="shared" si="274"/>
        <v>0</v>
      </c>
      <c r="H948" s="47">
        <f t="shared" si="274"/>
        <v>2524</v>
      </c>
      <c r="I948" s="47">
        <f t="shared" si="274"/>
        <v>2524</v>
      </c>
      <c r="J948" s="47">
        <f t="shared" si="274"/>
        <v>0</v>
      </c>
      <c r="K948" s="188" t="s">
        <v>12</v>
      </c>
      <c r="L948" s="239"/>
    </row>
    <row r="949" spans="1:12" ht="15" customHeight="1" thickBot="1" x14ac:dyDescent="0.25">
      <c r="A949" s="253"/>
      <c r="B949" s="47">
        <f>SUM(C949:D949)</f>
        <v>541</v>
      </c>
      <c r="C949" s="47">
        <f>I949+F949</f>
        <v>541</v>
      </c>
      <c r="D949" s="47">
        <f>J949+G949</f>
        <v>0</v>
      </c>
      <c r="E949" s="47">
        <f>SUM(F949:G949)</f>
        <v>0</v>
      </c>
      <c r="F949" s="47">
        <v>0</v>
      </c>
      <c r="G949" s="47">
        <v>0</v>
      </c>
      <c r="H949" s="47">
        <f>SUM(I949:J949)</f>
        <v>541</v>
      </c>
      <c r="I949" s="47">
        <v>541</v>
      </c>
      <c r="J949" s="47">
        <v>0</v>
      </c>
      <c r="K949" s="188" t="s">
        <v>233</v>
      </c>
      <c r="L949" s="134"/>
    </row>
    <row r="950" spans="1:12" ht="15" customHeight="1" thickBot="1" x14ac:dyDescent="0.25">
      <c r="A950" s="253"/>
      <c r="B950" s="47">
        <f>SUM(C950:D950)</f>
        <v>30</v>
      </c>
      <c r="C950" s="47">
        <f>I950+F950</f>
        <v>30</v>
      </c>
      <c r="D950" s="47">
        <f>J950+G950</f>
        <v>0</v>
      </c>
      <c r="E950" s="47">
        <f>SUM(F950:G950)</f>
        <v>0</v>
      </c>
      <c r="F950" s="47">
        <v>0</v>
      </c>
      <c r="G950" s="47">
        <v>0</v>
      </c>
      <c r="H950" s="47">
        <f>SUM(I950:J950)</f>
        <v>30</v>
      </c>
      <c r="I950" s="47">
        <v>30</v>
      </c>
      <c r="J950" s="47">
        <v>0</v>
      </c>
      <c r="K950" s="188" t="s">
        <v>234</v>
      </c>
      <c r="L950" s="134" t="s">
        <v>669</v>
      </c>
    </row>
    <row r="951" spans="1:12" ht="15" customHeight="1" thickBot="1" x14ac:dyDescent="0.25">
      <c r="A951" s="253"/>
      <c r="B951" s="47">
        <f t="shared" ref="B951:J951" si="275">SUM(B949:B950)</f>
        <v>571</v>
      </c>
      <c r="C951" s="47">
        <f t="shared" si="275"/>
        <v>571</v>
      </c>
      <c r="D951" s="47">
        <f t="shared" si="275"/>
        <v>0</v>
      </c>
      <c r="E951" s="47">
        <f t="shared" si="275"/>
        <v>0</v>
      </c>
      <c r="F951" s="47">
        <f t="shared" si="275"/>
        <v>0</v>
      </c>
      <c r="G951" s="47">
        <f t="shared" si="275"/>
        <v>0</v>
      </c>
      <c r="H951" s="47">
        <f t="shared" si="275"/>
        <v>571</v>
      </c>
      <c r="I951" s="47">
        <f t="shared" si="275"/>
        <v>571</v>
      </c>
      <c r="J951" s="47">
        <f t="shared" si="275"/>
        <v>0</v>
      </c>
      <c r="K951" s="188" t="s">
        <v>12</v>
      </c>
      <c r="L951" s="239"/>
    </row>
    <row r="952" spans="1:12" ht="15" customHeight="1" thickBot="1" x14ac:dyDescent="0.25">
      <c r="A952" s="253"/>
      <c r="B952" s="47">
        <f>SUM(C952:D952)</f>
        <v>565</v>
      </c>
      <c r="C952" s="47">
        <f>I952+F952</f>
        <v>565</v>
      </c>
      <c r="D952" s="47">
        <f>J952+G952</f>
        <v>0</v>
      </c>
      <c r="E952" s="47">
        <f>SUM(F952:G952)</f>
        <v>0</v>
      </c>
      <c r="F952" s="47">
        <v>0</v>
      </c>
      <c r="G952" s="47">
        <v>0</v>
      </c>
      <c r="H952" s="47">
        <f>SUM(I952:J952)</f>
        <v>565</v>
      </c>
      <c r="I952" s="47">
        <v>565</v>
      </c>
      <c r="J952" s="47">
        <v>0</v>
      </c>
      <c r="K952" s="188" t="s">
        <v>233</v>
      </c>
      <c r="L952" s="134"/>
    </row>
    <row r="953" spans="1:12" ht="15" customHeight="1" thickBot="1" x14ac:dyDescent="0.25">
      <c r="A953" s="253"/>
      <c r="B953" s="47">
        <f>SUM(C953:D953)</f>
        <v>0</v>
      </c>
      <c r="C953" s="47">
        <f>I953+F953</f>
        <v>0</v>
      </c>
      <c r="D953" s="47">
        <f>J953+G953</f>
        <v>0</v>
      </c>
      <c r="E953" s="47">
        <f>SUM(F953:G953)</f>
        <v>0</v>
      </c>
      <c r="F953" s="47">
        <v>0</v>
      </c>
      <c r="G953" s="47">
        <v>0</v>
      </c>
      <c r="H953" s="47">
        <f>SUM(I953:J953)</f>
        <v>0</v>
      </c>
      <c r="I953" s="47">
        <v>0</v>
      </c>
      <c r="J953" s="47">
        <v>0</v>
      </c>
      <c r="K953" s="188" t="s">
        <v>234</v>
      </c>
      <c r="L953" s="134" t="s">
        <v>546</v>
      </c>
    </row>
    <row r="954" spans="1:12" ht="15" customHeight="1" thickBot="1" x14ac:dyDescent="0.25">
      <c r="A954" s="253"/>
      <c r="B954" s="47">
        <f t="shared" ref="B954:J954" si="276">SUM(B952:B953)</f>
        <v>565</v>
      </c>
      <c r="C954" s="47">
        <f t="shared" si="276"/>
        <v>565</v>
      </c>
      <c r="D954" s="47">
        <f t="shared" si="276"/>
        <v>0</v>
      </c>
      <c r="E954" s="47">
        <f t="shared" si="276"/>
        <v>0</v>
      </c>
      <c r="F954" s="47">
        <f t="shared" si="276"/>
        <v>0</v>
      </c>
      <c r="G954" s="47">
        <f t="shared" si="276"/>
        <v>0</v>
      </c>
      <c r="H954" s="47">
        <f t="shared" si="276"/>
        <v>565</v>
      </c>
      <c r="I954" s="47">
        <f t="shared" si="276"/>
        <v>565</v>
      </c>
      <c r="J954" s="47">
        <f t="shared" si="276"/>
        <v>0</v>
      </c>
      <c r="K954" s="188" t="s">
        <v>12</v>
      </c>
      <c r="L954" s="239"/>
    </row>
    <row r="955" spans="1:12" ht="15" customHeight="1" thickBot="1" x14ac:dyDescent="0.25">
      <c r="A955" s="253"/>
      <c r="B955" s="47">
        <f>SUM(C955:D955)</f>
        <v>1787</v>
      </c>
      <c r="C955" s="47">
        <f>I955+F955</f>
        <v>1787</v>
      </c>
      <c r="D955" s="47">
        <f>J955+G955</f>
        <v>0</v>
      </c>
      <c r="E955" s="47">
        <f>SUM(F955:G955)</f>
        <v>0</v>
      </c>
      <c r="F955" s="47">
        <v>0</v>
      </c>
      <c r="G955" s="47">
        <v>0</v>
      </c>
      <c r="H955" s="47">
        <f>SUM(I955:J955)</f>
        <v>1787</v>
      </c>
      <c r="I955" s="47">
        <v>1787</v>
      </c>
      <c r="J955" s="47">
        <v>0</v>
      </c>
      <c r="K955" s="188" t="s">
        <v>233</v>
      </c>
      <c r="L955" s="134"/>
    </row>
    <row r="956" spans="1:12" ht="15" customHeight="1" thickBot="1" x14ac:dyDescent="0.25">
      <c r="A956" s="253"/>
      <c r="B956" s="47">
        <f>SUM(C956:D956)</f>
        <v>465</v>
      </c>
      <c r="C956" s="47">
        <f>I956+F956</f>
        <v>465</v>
      </c>
      <c r="D956" s="47">
        <f>J956+G956</f>
        <v>0</v>
      </c>
      <c r="E956" s="47">
        <f>SUM(F956:G956)</f>
        <v>0</v>
      </c>
      <c r="F956" s="47">
        <v>0</v>
      </c>
      <c r="G956" s="47">
        <v>0</v>
      </c>
      <c r="H956" s="47">
        <f>SUM(I956:J956)</f>
        <v>465</v>
      </c>
      <c r="I956" s="47">
        <v>465</v>
      </c>
      <c r="J956" s="47">
        <v>0</v>
      </c>
      <c r="K956" s="188" t="s">
        <v>234</v>
      </c>
      <c r="L956" s="134" t="s">
        <v>547</v>
      </c>
    </row>
    <row r="957" spans="1:12" ht="15" customHeight="1" thickBot="1" x14ac:dyDescent="0.25">
      <c r="A957" s="253"/>
      <c r="B957" s="47">
        <f t="shared" ref="B957:J957" si="277">SUM(B955:B956)</f>
        <v>2252</v>
      </c>
      <c r="C957" s="47">
        <f t="shared" si="277"/>
        <v>2252</v>
      </c>
      <c r="D957" s="47">
        <f t="shared" si="277"/>
        <v>0</v>
      </c>
      <c r="E957" s="47">
        <f t="shared" si="277"/>
        <v>0</v>
      </c>
      <c r="F957" s="47">
        <f t="shared" si="277"/>
        <v>0</v>
      </c>
      <c r="G957" s="47">
        <f t="shared" si="277"/>
        <v>0</v>
      </c>
      <c r="H957" s="47">
        <f t="shared" si="277"/>
        <v>2252</v>
      </c>
      <c r="I957" s="47">
        <f t="shared" si="277"/>
        <v>2252</v>
      </c>
      <c r="J957" s="47">
        <f t="shared" si="277"/>
        <v>0</v>
      </c>
      <c r="K957" s="188" t="s">
        <v>12</v>
      </c>
      <c r="L957" s="239"/>
    </row>
    <row r="958" spans="1:12" ht="15" customHeight="1" thickBot="1" x14ac:dyDescent="0.25">
      <c r="A958" s="253"/>
      <c r="B958" s="47">
        <f>SUM(C958:D958)</f>
        <v>1238</v>
      </c>
      <c r="C958" s="47">
        <f>I958+F958</f>
        <v>1238</v>
      </c>
      <c r="D958" s="47">
        <f>J958+G958</f>
        <v>0</v>
      </c>
      <c r="E958" s="47">
        <f>SUM(F958:G958)</f>
        <v>0</v>
      </c>
      <c r="F958" s="47">
        <v>0</v>
      </c>
      <c r="G958" s="47">
        <v>0</v>
      </c>
      <c r="H958" s="47">
        <f>SUM(I958:J958)</f>
        <v>1238</v>
      </c>
      <c r="I958" s="47">
        <v>1238</v>
      </c>
      <c r="J958" s="47">
        <v>0</v>
      </c>
      <c r="K958" s="188" t="s">
        <v>233</v>
      </c>
      <c r="L958" s="134"/>
    </row>
    <row r="959" spans="1:12" ht="15" customHeight="1" thickBot="1" x14ac:dyDescent="0.25">
      <c r="A959" s="253"/>
      <c r="B959" s="47">
        <f>SUM(C959:D959)</f>
        <v>0</v>
      </c>
      <c r="C959" s="47">
        <f>I959+F959</f>
        <v>0</v>
      </c>
      <c r="D959" s="47">
        <f>J959+G959</f>
        <v>0</v>
      </c>
      <c r="E959" s="47">
        <f>SUM(F959:G959)</f>
        <v>0</v>
      </c>
      <c r="F959" s="47">
        <v>0</v>
      </c>
      <c r="G959" s="47">
        <v>0</v>
      </c>
      <c r="H959" s="47">
        <f>SUM(I959:J959)</f>
        <v>0</v>
      </c>
      <c r="I959" s="47">
        <v>0</v>
      </c>
      <c r="J959" s="47">
        <v>0</v>
      </c>
      <c r="K959" s="188" t="s">
        <v>234</v>
      </c>
      <c r="L959" s="134" t="s">
        <v>548</v>
      </c>
    </row>
    <row r="960" spans="1:12" ht="15" customHeight="1" thickBot="1" x14ac:dyDescent="0.25">
      <c r="A960" s="253"/>
      <c r="B960" s="47">
        <f t="shared" ref="B960:J960" si="278">SUM(B958:B959)</f>
        <v>1238</v>
      </c>
      <c r="C960" s="47">
        <f t="shared" si="278"/>
        <v>1238</v>
      </c>
      <c r="D960" s="47">
        <f t="shared" si="278"/>
        <v>0</v>
      </c>
      <c r="E960" s="47">
        <f t="shared" si="278"/>
        <v>0</v>
      </c>
      <c r="F960" s="47">
        <f t="shared" si="278"/>
        <v>0</v>
      </c>
      <c r="G960" s="47">
        <f t="shared" si="278"/>
        <v>0</v>
      </c>
      <c r="H960" s="47">
        <f t="shared" si="278"/>
        <v>1238</v>
      </c>
      <c r="I960" s="47">
        <f t="shared" si="278"/>
        <v>1238</v>
      </c>
      <c r="J960" s="47">
        <f t="shared" si="278"/>
        <v>0</v>
      </c>
      <c r="K960" s="188" t="s">
        <v>12</v>
      </c>
      <c r="L960" s="239"/>
    </row>
    <row r="961" spans="1:12" ht="15" customHeight="1" thickBot="1" x14ac:dyDescent="0.25">
      <c r="A961" s="253"/>
      <c r="B961" s="47">
        <f>SUM(C961:D961)</f>
        <v>3125</v>
      </c>
      <c r="C961" s="47">
        <f>I961+F961</f>
        <v>3125</v>
      </c>
      <c r="D961" s="47">
        <f>J961+G961</f>
        <v>0</v>
      </c>
      <c r="E961" s="47">
        <f>SUM(F961:G961)</f>
        <v>15</v>
      </c>
      <c r="F961" s="47">
        <v>15</v>
      </c>
      <c r="G961" s="47">
        <v>0</v>
      </c>
      <c r="H961" s="47">
        <f>SUM(I961:J961)</f>
        <v>3110</v>
      </c>
      <c r="I961" s="47">
        <v>3110</v>
      </c>
      <c r="J961" s="47">
        <v>0</v>
      </c>
      <c r="K961" s="188" t="s">
        <v>233</v>
      </c>
      <c r="L961" s="134"/>
    </row>
    <row r="962" spans="1:12" ht="15" customHeight="1" thickBot="1" x14ac:dyDescent="0.25">
      <c r="A962" s="253"/>
      <c r="B962" s="47">
        <f>SUM(C962:D962)</f>
        <v>821</v>
      </c>
      <c r="C962" s="47">
        <f>I962+F962</f>
        <v>821</v>
      </c>
      <c r="D962" s="47">
        <f>J962+G962</f>
        <v>0</v>
      </c>
      <c r="E962" s="47">
        <f>SUM(F962:G962)</f>
        <v>0</v>
      </c>
      <c r="F962" s="47">
        <v>0</v>
      </c>
      <c r="G962" s="47">
        <v>0</v>
      </c>
      <c r="H962" s="47">
        <f>SUM(I962:J962)</f>
        <v>821</v>
      </c>
      <c r="I962" s="47">
        <v>821</v>
      </c>
      <c r="J962" s="47">
        <v>0</v>
      </c>
      <c r="K962" s="188" t="s">
        <v>234</v>
      </c>
      <c r="L962" s="134" t="s">
        <v>549</v>
      </c>
    </row>
    <row r="963" spans="1:12" ht="15" customHeight="1" thickBot="1" x14ac:dyDescent="0.25">
      <c r="A963" s="253"/>
      <c r="B963" s="47">
        <f t="shared" ref="B963:J963" si="279">SUM(B961:B962)</f>
        <v>3946</v>
      </c>
      <c r="C963" s="47">
        <f t="shared" si="279"/>
        <v>3946</v>
      </c>
      <c r="D963" s="47">
        <f t="shared" si="279"/>
        <v>0</v>
      </c>
      <c r="E963" s="47">
        <f t="shared" si="279"/>
        <v>15</v>
      </c>
      <c r="F963" s="47">
        <f t="shared" si="279"/>
        <v>15</v>
      </c>
      <c r="G963" s="47">
        <f t="shared" si="279"/>
        <v>0</v>
      </c>
      <c r="H963" s="47">
        <f t="shared" si="279"/>
        <v>3931</v>
      </c>
      <c r="I963" s="47">
        <f t="shared" si="279"/>
        <v>3931</v>
      </c>
      <c r="J963" s="47">
        <f t="shared" si="279"/>
        <v>0</v>
      </c>
      <c r="K963" s="188" t="s">
        <v>12</v>
      </c>
      <c r="L963" s="239"/>
    </row>
    <row r="964" spans="1:12" ht="15" customHeight="1" thickBot="1" x14ac:dyDescent="0.25">
      <c r="A964" s="253"/>
      <c r="B964" s="47">
        <f>SUM(C964:D964)</f>
        <v>1395</v>
      </c>
      <c r="C964" s="47">
        <f>I964+F964</f>
        <v>1395</v>
      </c>
      <c r="D964" s="47">
        <f>J964+G964</f>
        <v>0</v>
      </c>
      <c r="E964" s="47">
        <f>SUM(F964:G964)</f>
        <v>2</v>
      </c>
      <c r="F964" s="47">
        <v>2</v>
      </c>
      <c r="G964" s="47">
        <v>0</v>
      </c>
      <c r="H964" s="47">
        <f>SUM(I964:J964)</f>
        <v>1393</v>
      </c>
      <c r="I964" s="47">
        <v>1393</v>
      </c>
      <c r="J964" s="47">
        <v>0</v>
      </c>
      <c r="K964" s="188" t="s">
        <v>233</v>
      </c>
      <c r="L964" s="134"/>
    </row>
    <row r="965" spans="1:12" ht="15" customHeight="1" thickBot="1" x14ac:dyDescent="0.25">
      <c r="A965" s="253"/>
      <c r="B965" s="47">
        <f>SUM(C965:D965)</f>
        <v>0</v>
      </c>
      <c r="C965" s="47">
        <f>I965+F965</f>
        <v>0</v>
      </c>
      <c r="D965" s="47">
        <f>J965+G965</f>
        <v>0</v>
      </c>
      <c r="E965" s="47">
        <f>SUM(F965:G965)</f>
        <v>0</v>
      </c>
      <c r="F965" s="47">
        <v>0</v>
      </c>
      <c r="G965" s="47">
        <v>0</v>
      </c>
      <c r="H965" s="47">
        <f>SUM(I965:J965)</f>
        <v>0</v>
      </c>
      <c r="I965" s="47">
        <v>0</v>
      </c>
      <c r="J965" s="47">
        <v>0</v>
      </c>
      <c r="K965" s="188" t="s">
        <v>234</v>
      </c>
      <c r="L965" s="134" t="s">
        <v>550</v>
      </c>
    </row>
    <row r="966" spans="1:12" ht="15" customHeight="1" thickBot="1" x14ac:dyDescent="0.25">
      <c r="A966" s="253"/>
      <c r="B966" s="47">
        <f t="shared" ref="B966:J966" si="280">SUM(B964:B965)</f>
        <v>1395</v>
      </c>
      <c r="C966" s="47">
        <f t="shared" si="280"/>
        <v>1395</v>
      </c>
      <c r="D966" s="47">
        <f t="shared" si="280"/>
        <v>0</v>
      </c>
      <c r="E966" s="47">
        <f t="shared" si="280"/>
        <v>2</v>
      </c>
      <c r="F966" s="47">
        <f t="shared" si="280"/>
        <v>2</v>
      </c>
      <c r="G966" s="47">
        <f t="shared" si="280"/>
        <v>0</v>
      </c>
      <c r="H966" s="47">
        <f t="shared" si="280"/>
        <v>1393</v>
      </c>
      <c r="I966" s="47">
        <f t="shared" si="280"/>
        <v>1393</v>
      </c>
      <c r="J966" s="47">
        <f t="shared" si="280"/>
        <v>0</v>
      </c>
      <c r="K966" s="188" t="s">
        <v>12</v>
      </c>
      <c r="L966" s="239"/>
    </row>
    <row r="967" spans="1:12" ht="15" customHeight="1" thickBot="1" x14ac:dyDescent="0.25">
      <c r="A967" s="253"/>
      <c r="B967" s="47">
        <f>SUM(C967:D967)</f>
        <v>813</v>
      </c>
      <c r="C967" s="47">
        <f>I967+F967</f>
        <v>813</v>
      </c>
      <c r="D967" s="47">
        <f>J967+G967</f>
        <v>0</v>
      </c>
      <c r="E967" s="47">
        <f>SUM(F967:G967)</f>
        <v>0</v>
      </c>
      <c r="F967" s="47">
        <v>0</v>
      </c>
      <c r="G967" s="47">
        <v>0</v>
      </c>
      <c r="H967" s="47">
        <f>SUM(I967:J967)</f>
        <v>813</v>
      </c>
      <c r="I967" s="47">
        <v>813</v>
      </c>
      <c r="J967" s="47">
        <v>0</v>
      </c>
      <c r="K967" s="188" t="s">
        <v>233</v>
      </c>
      <c r="L967" s="134"/>
    </row>
    <row r="968" spans="1:12" ht="15" customHeight="1" thickBot="1" x14ac:dyDescent="0.25">
      <c r="A968" s="253"/>
      <c r="B968" s="47">
        <f>SUM(C968:D968)</f>
        <v>91</v>
      </c>
      <c r="C968" s="47">
        <f>I968+F968</f>
        <v>91</v>
      </c>
      <c r="D968" s="47">
        <f>J968+G968</f>
        <v>0</v>
      </c>
      <c r="E968" s="47">
        <f>SUM(F968:G968)</f>
        <v>0</v>
      </c>
      <c r="F968" s="47">
        <v>0</v>
      </c>
      <c r="G968" s="47">
        <v>0</v>
      </c>
      <c r="H968" s="47">
        <f>SUM(I968:J968)</f>
        <v>91</v>
      </c>
      <c r="I968" s="47">
        <v>91</v>
      </c>
      <c r="J968" s="47">
        <v>0</v>
      </c>
      <c r="K968" s="188" t="s">
        <v>234</v>
      </c>
      <c r="L968" s="134" t="s">
        <v>551</v>
      </c>
    </row>
    <row r="969" spans="1:12" ht="15" customHeight="1" thickBot="1" x14ac:dyDescent="0.25">
      <c r="A969" s="253"/>
      <c r="B969" s="47">
        <f t="shared" ref="B969:J969" si="281">SUM(B967:B968)</f>
        <v>904</v>
      </c>
      <c r="C969" s="47">
        <f t="shared" si="281"/>
        <v>904</v>
      </c>
      <c r="D969" s="47">
        <f t="shared" si="281"/>
        <v>0</v>
      </c>
      <c r="E969" s="47">
        <f t="shared" si="281"/>
        <v>0</v>
      </c>
      <c r="F969" s="47">
        <f t="shared" si="281"/>
        <v>0</v>
      </c>
      <c r="G969" s="47">
        <f t="shared" si="281"/>
        <v>0</v>
      </c>
      <c r="H969" s="47">
        <f t="shared" si="281"/>
        <v>904</v>
      </c>
      <c r="I969" s="47">
        <f t="shared" si="281"/>
        <v>904</v>
      </c>
      <c r="J969" s="47">
        <f t="shared" si="281"/>
        <v>0</v>
      </c>
      <c r="K969" s="188" t="s">
        <v>12</v>
      </c>
      <c r="L969" s="239"/>
    </row>
    <row r="970" spans="1:12" ht="15" customHeight="1" thickBot="1" x14ac:dyDescent="0.25">
      <c r="A970" s="253"/>
      <c r="B970" s="47">
        <f>SUM(C970:D970)</f>
        <v>1737</v>
      </c>
      <c r="C970" s="47">
        <f>I970+F970</f>
        <v>1737</v>
      </c>
      <c r="D970" s="47">
        <f>J970+G970</f>
        <v>0</v>
      </c>
      <c r="E970" s="47">
        <f>SUM(F970:G970)</f>
        <v>0</v>
      </c>
      <c r="F970" s="47">
        <v>0</v>
      </c>
      <c r="G970" s="47">
        <v>0</v>
      </c>
      <c r="H970" s="47">
        <f>SUM(I970:J970)</f>
        <v>1737</v>
      </c>
      <c r="I970" s="47">
        <v>1737</v>
      </c>
      <c r="J970" s="47">
        <v>0</v>
      </c>
      <c r="K970" s="188" t="s">
        <v>233</v>
      </c>
      <c r="L970" s="134"/>
    </row>
    <row r="971" spans="1:12" ht="15" customHeight="1" thickBot="1" x14ac:dyDescent="0.25">
      <c r="A971" s="253"/>
      <c r="B971" s="47">
        <f>SUM(C971:D971)</f>
        <v>457</v>
      </c>
      <c r="C971" s="47">
        <f>I971+F971</f>
        <v>457</v>
      </c>
      <c r="D971" s="47">
        <f>J971+G971</f>
        <v>0</v>
      </c>
      <c r="E971" s="47">
        <f>SUM(F971:G971)</f>
        <v>0</v>
      </c>
      <c r="F971" s="47">
        <v>0</v>
      </c>
      <c r="G971" s="47">
        <v>0</v>
      </c>
      <c r="H971" s="47">
        <f>SUM(I971:J971)</f>
        <v>457</v>
      </c>
      <c r="I971" s="47">
        <v>457</v>
      </c>
      <c r="J971" s="47">
        <v>0</v>
      </c>
      <c r="K971" s="188" t="s">
        <v>234</v>
      </c>
      <c r="L971" s="134" t="s">
        <v>552</v>
      </c>
    </row>
    <row r="972" spans="1:12" ht="15" customHeight="1" thickBot="1" x14ac:dyDescent="0.25">
      <c r="A972" s="253"/>
      <c r="B972" s="47">
        <f t="shared" ref="B972:J972" si="282">SUM(B970:B971)</f>
        <v>2194</v>
      </c>
      <c r="C972" s="47">
        <f t="shared" si="282"/>
        <v>2194</v>
      </c>
      <c r="D972" s="47">
        <f t="shared" si="282"/>
        <v>0</v>
      </c>
      <c r="E972" s="47">
        <f t="shared" si="282"/>
        <v>0</v>
      </c>
      <c r="F972" s="47">
        <f t="shared" si="282"/>
        <v>0</v>
      </c>
      <c r="G972" s="47">
        <f t="shared" si="282"/>
        <v>0</v>
      </c>
      <c r="H972" s="47">
        <f t="shared" si="282"/>
        <v>2194</v>
      </c>
      <c r="I972" s="47">
        <f t="shared" si="282"/>
        <v>2194</v>
      </c>
      <c r="J972" s="47">
        <f t="shared" si="282"/>
        <v>0</v>
      </c>
      <c r="K972" s="188" t="s">
        <v>12</v>
      </c>
      <c r="L972" s="239"/>
    </row>
    <row r="973" spans="1:12" ht="15" customHeight="1" thickBot="1" x14ac:dyDescent="0.25">
      <c r="A973" s="253"/>
      <c r="B973" s="47">
        <f>SUM(C973:D973)</f>
        <v>977</v>
      </c>
      <c r="C973" s="47">
        <f>I973+F973</f>
        <v>977</v>
      </c>
      <c r="D973" s="47">
        <f>J973+G973</f>
        <v>0</v>
      </c>
      <c r="E973" s="47">
        <f>SUM(F973:G973)</f>
        <v>2</v>
      </c>
      <c r="F973" s="47">
        <v>2</v>
      </c>
      <c r="G973" s="47">
        <v>0</v>
      </c>
      <c r="H973" s="47">
        <f>SUM(I973:J973)</f>
        <v>975</v>
      </c>
      <c r="I973" s="47">
        <v>975</v>
      </c>
      <c r="J973" s="47">
        <v>0</v>
      </c>
      <c r="K973" s="188" t="s">
        <v>233</v>
      </c>
      <c r="L973" s="134"/>
    </row>
    <row r="974" spans="1:12" ht="15" customHeight="1" thickBot="1" x14ac:dyDescent="0.25">
      <c r="A974" s="253"/>
      <c r="B974" s="47">
        <f>SUM(C974:D974)</f>
        <v>0</v>
      </c>
      <c r="C974" s="47">
        <f>I974+F974</f>
        <v>0</v>
      </c>
      <c r="D974" s="47">
        <f>J974+G974</f>
        <v>0</v>
      </c>
      <c r="E974" s="47">
        <f>SUM(F974:G974)</f>
        <v>0</v>
      </c>
      <c r="F974" s="47">
        <v>0</v>
      </c>
      <c r="G974" s="47">
        <v>0</v>
      </c>
      <c r="H974" s="47">
        <f>SUM(I974:J974)</f>
        <v>0</v>
      </c>
      <c r="I974" s="47">
        <v>0</v>
      </c>
      <c r="J974" s="47">
        <v>0</v>
      </c>
      <c r="K974" s="188" t="s">
        <v>234</v>
      </c>
      <c r="L974" s="134" t="s">
        <v>455</v>
      </c>
    </row>
    <row r="975" spans="1:12" ht="15" customHeight="1" thickBot="1" x14ac:dyDescent="0.25">
      <c r="A975" s="253"/>
      <c r="B975" s="47">
        <f t="shared" ref="B975:J975" si="283">SUM(B973:B974)</f>
        <v>977</v>
      </c>
      <c r="C975" s="47">
        <f t="shared" si="283"/>
        <v>977</v>
      </c>
      <c r="D975" s="47">
        <f t="shared" si="283"/>
        <v>0</v>
      </c>
      <c r="E975" s="47">
        <f t="shared" si="283"/>
        <v>2</v>
      </c>
      <c r="F975" s="47">
        <f t="shared" si="283"/>
        <v>2</v>
      </c>
      <c r="G975" s="47">
        <f t="shared" si="283"/>
        <v>0</v>
      </c>
      <c r="H975" s="47">
        <f t="shared" si="283"/>
        <v>975</v>
      </c>
      <c r="I975" s="47">
        <f t="shared" si="283"/>
        <v>975</v>
      </c>
      <c r="J975" s="47">
        <f t="shared" si="283"/>
        <v>0</v>
      </c>
      <c r="K975" s="188" t="s">
        <v>12</v>
      </c>
      <c r="L975" s="239"/>
    </row>
    <row r="976" spans="1:12" ht="15" customHeight="1" thickBot="1" x14ac:dyDescent="0.25">
      <c r="A976" s="253"/>
      <c r="B976" s="47">
        <f>SUM(C976:D976)</f>
        <v>404</v>
      </c>
      <c r="C976" s="47">
        <f>I976+F976</f>
        <v>404</v>
      </c>
      <c r="D976" s="47">
        <f>J976+G976</f>
        <v>0</v>
      </c>
      <c r="E976" s="47">
        <f>SUM(F976:G976)</f>
        <v>2</v>
      </c>
      <c r="F976" s="47">
        <v>2</v>
      </c>
      <c r="G976" s="47">
        <v>0</v>
      </c>
      <c r="H976" s="47">
        <f>SUM(I976:J976)</f>
        <v>402</v>
      </c>
      <c r="I976" s="47">
        <v>402</v>
      </c>
      <c r="J976" s="47">
        <v>0</v>
      </c>
      <c r="K976" s="188" t="s">
        <v>233</v>
      </c>
      <c r="L976" s="134"/>
    </row>
    <row r="977" spans="1:12" ht="15" customHeight="1" thickBot="1" x14ac:dyDescent="0.25">
      <c r="A977" s="253"/>
      <c r="B977" s="47">
        <f>SUM(C977:D977)</f>
        <v>0</v>
      </c>
      <c r="C977" s="47">
        <f>I977+F977</f>
        <v>0</v>
      </c>
      <c r="D977" s="47">
        <f>J977+G977</f>
        <v>0</v>
      </c>
      <c r="E977" s="47">
        <f>SUM(F977:G977)</f>
        <v>0</v>
      </c>
      <c r="F977" s="47">
        <v>0</v>
      </c>
      <c r="G977" s="47">
        <v>0</v>
      </c>
      <c r="H977" s="47">
        <f>SUM(I977:J977)</f>
        <v>0</v>
      </c>
      <c r="I977" s="47">
        <v>0</v>
      </c>
      <c r="J977" s="47">
        <v>0</v>
      </c>
      <c r="K977" s="188" t="s">
        <v>234</v>
      </c>
      <c r="L977" s="134" t="s">
        <v>670</v>
      </c>
    </row>
    <row r="978" spans="1:12" ht="15" customHeight="1" thickBot="1" x14ac:dyDescent="0.25">
      <c r="A978" s="253"/>
      <c r="B978" s="47">
        <f t="shared" ref="B978:J978" si="284">SUM(B976:B977)</f>
        <v>404</v>
      </c>
      <c r="C978" s="47">
        <f t="shared" si="284"/>
        <v>404</v>
      </c>
      <c r="D978" s="47">
        <f t="shared" si="284"/>
        <v>0</v>
      </c>
      <c r="E978" s="47">
        <f t="shared" si="284"/>
        <v>2</v>
      </c>
      <c r="F978" s="47">
        <f t="shared" si="284"/>
        <v>2</v>
      </c>
      <c r="G978" s="47">
        <f t="shared" si="284"/>
        <v>0</v>
      </c>
      <c r="H978" s="47">
        <f t="shared" si="284"/>
        <v>402</v>
      </c>
      <c r="I978" s="47">
        <f t="shared" si="284"/>
        <v>402</v>
      </c>
      <c r="J978" s="47">
        <f t="shared" si="284"/>
        <v>0</v>
      </c>
      <c r="K978" s="188" t="s">
        <v>12</v>
      </c>
      <c r="L978" s="239"/>
    </row>
    <row r="979" spans="1:12" ht="15" customHeight="1" thickBot="1" x14ac:dyDescent="0.25">
      <c r="A979" s="253"/>
      <c r="B979" s="47">
        <f>SUM(C979:D979)</f>
        <v>447</v>
      </c>
      <c r="C979" s="47">
        <f>I979+F979</f>
        <v>447</v>
      </c>
      <c r="D979" s="47">
        <f>J979+G979</f>
        <v>0</v>
      </c>
      <c r="E979" s="47">
        <f>SUM(F979:G979)</f>
        <v>2</v>
      </c>
      <c r="F979" s="47">
        <v>2</v>
      </c>
      <c r="G979" s="47">
        <v>0</v>
      </c>
      <c r="H979" s="47">
        <f>SUM(I979:J979)</f>
        <v>445</v>
      </c>
      <c r="I979" s="47">
        <v>445</v>
      </c>
      <c r="J979" s="47">
        <v>0</v>
      </c>
      <c r="K979" s="188" t="s">
        <v>233</v>
      </c>
      <c r="L979" s="134"/>
    </row>
    <row r="980" spans="1:12" ht="15" customHeight="1" thickBot="1" x14ac:dyDescent="0.25">
      <c r="A980" s="253"/>
      <c r="B980" s="47">
        <f>SUM(C980:D980)</f>
        <v>0</v>
      </c>
      <c r="C980" s="47">
        <f>I980+F980</f>
        <v>0</v>
      </c>
      <c r="D980" s="47">
        <f>J980+G980</f>
        <v>0</v>
      </c>
      <c r="E980" s="47">
        <f>SUM(F980:G980)</f>
        <v>0</v>
      </c>
      <c r="F980" s="47">
        <v>0</v>
      </c>
      <c r="G980" s="47">
        <v>0</v>
      </c>
      <c r="H980" s="47">
        <f>SUM(I980:J980)</f>
        <v>0</v>
      </c>
      <c r="I980" s="47">
        <v>0</v>
      </c>
      <c r="J980" s="47">
        <v>0</v>
      </c>
      <c r="K980" s="188" t="s">
        <v>234</v>
      </c>
      <c r="L980" s="134" t="s">
        <v>637</v>
      </c>
    </row>
    <row r="981" spans="1:12" ht="15" customHeight="1" thickBot="1" x14ac:dyDescent="0.25">
      <c r="A981" s="253"/>
      <c r="B981" s="47">
        <f t="shared" ref="B981:J981" si="285">SUM(B979:B980)</f>
        <v>447</v>
      </c>
      <c r="C981" s="47">
        <f t="shared" si="285"/>
        <v>447</v>
      </c>
      <c r="D981" s="47">
        <f t="shared" si="285"/>
        <v>0</v>
      </c>
      <c r="E981" s="47">
        <f t="shared" si="285"/>
        <v>2</v>
      </c>
      <c r="F981" s="47">
        <f t="shared" si="285"/>
        <v>2</v>
      </c>
      <c r="G981" s="47">
        <f t="shared" si="285"/>
        <v>0</v>
      </c>
      <c r="H981" s="47">
        <f t="shared" si="285"/>
        <v>445</v>
      </c>
      <c r="I981" s="47">
        <f t="shared" si="285"/>
        <v>445</v>
      </c>
      <c r="J981" s="47">
        <f t="shared" si="285"/>
        <v>0</v>
      </c>
      <c r="K981" s="188" t="s">
        <v>12</v>
      </c>
      <c r="L981" s="239"/>
    </row>
    <row r="982" spans="1:12" ht="15" customHeight="1" thickBot="1" x14ac:dyDescent="0.25">
      <c r="A982" s="253"/>
      <c r="B982" s="47">
        <f>SUM(C982:D982)</f>
        <v>367</v>
      </c>
      <c r="C982" s="47">
        <f>I982+F982</f>
        <v>367</v>
      </c>
      <c r="D982" s="47">
        <f>J982+G982</f>
        <v>0</v>
      </c>
      <c r="E982" s="47">
        <f>SUM(F982:G982)</f>
        <v>2</v>
      </c>
      <c r="F982" s="47">
        <v>2</v>
      </c>
      <c r="G982" s="47">
        <v>0</v>
      </c>
      <c r="H982" s="47">
        <f>SUM(I982:J982)</f>
        <v>365</v>
      </c>
      <c r="I982" s="47">
        <v>365</v>
      </c>
      <c r="J982" s="47">
        <v>0</v>
      </c>
      <c r="K982" s="188" t="s">
        <v>233</v>
      </c>
      <c r="L982" s="134"/>
    </row>
    <row r="983" spans="1:12" ht="15" customHeight="1" thickBot="1" x14ac:dyDescent="0.25">
      <c r="A983" s="253"/>
      <c r="B983" s="47">
        <f>SUM(C983:D983)</f>
        <v>0</v>
      </c>
      <c r="C983" s="47">
        <f>I983+F983</f>
        <v>0</v>
      </c>
      <c r="D983" s="47">
        <f>J983+G983</f>
        <v>0</v>
      </c>
      <c r="E983" s="47">
        <f>SUM(F983:G983)</f>
        <v>0</v>
      </c>
      <c r="F983" s="47">
        <v>0</v>
      </c>
      <c r="G983" s="47">
        <v>0</v>
      </c>
      <c r="H983" s="47">
        <f>SUM(I983:J983)</f>
        <v>0</v>
      </c>
      <c r="I983" s="47">
        <v>0</v>
      </c>
      <c r="J983" s="47">
        <v>0</v>
      </c>
      <c r="K983" s="188" t="s">
        <v>234</v>
      </c>
      <c r="L983" s="134" t="s">
        <v>554</v>
      </c>
    </row>
    <row r="984" spans="1:12" ht="15" customHeight="1" thickBot="1" x14ac:dyDescent="0.25">
      <c r="A984" s="253"/>
      <c r="B984" s="47">
        <f t="shared" ref="B984:J984" si="286">SUM(B982:B983)</f>
        <v>367</v>
      </c>
      <c r="C984" s="47">
        <f t="shared" si="286"/>
        <v>367</v>
      </c>
      <c r="D984" s="47">
        <f t="shared" si="286"/>
        <v>0</v>
      </c>
      <c r="E984" s="47">
        <f t="shared" si="286"/>
        <v>2</v>
      </c>
      <c r="F984" s="47">
        <f t="shared" si="286"/>
        <v>2</v>
      </c>
      <c r="G984" s="47">
        <f t="shared" si="286"/>
        <v>0</v>
      </c>
      <c r="H984" s="47">
        <f t="shared" si="286"/>
        <v>365</v>
      </c>
      <c r="I984" s="47">
        <f t="shared" si="286"/>
        <v>365</v>
      </c>
      <c r="J984" s="47">
        <f t="shared" si="286"/>
        <v>0</v>
      </c>
      <c r="K984" s="188" t="s">
        <v>12</v>
      </c>
      <c r="L984" s="239"/>
    </row>
    <row r="985" spans="1:12" ht="15" customHeight="1" thickBot="1" x14ac:dyDescent="0.25">
      <c r="A985" s="253"/>
      <c r="B985" s="47">
        <f>SUM(C985:D985)</f>
        <v>76</v>
      </c>
      <c r="C985" s="47">
        <f>I985+F985</f>
        <v>76</v>
      </c>
      <c r="D985" s="47">
        <f>J985+G985</f>
        <v>0</v>
      </c>
      <c r="E985" s="47">
        <f>SUM(F985:G985)</f>
        <v>0</v>
      </c>
      <c r="F985" s="47">
        <v>0</v>
      </c>
      <c r="G985" s="47">
        <v>0</v>
      </c>
      <c r="H985" s="47">
        <f>SUM(I985:J985)</f>
        <v>76</v>
      </c>
      <c r="I985" s="47">
        <v>76</v>
      </c>
      <c r="J985" s="47">
        <v>0</v>
      </c>
      <c r="K985" s="188" t="s">
        <v>233</v>
      </c>
      <c r="L985" s="134"/>
    </row>
    <row r="986" spans="1:12" ht="15" customHeight="1" thickBot="1" x14ac:dyDescent="0.25">
      <c r="A986" s="253"/>
      <c r="B986" s="47">
        <f>SUM(C986:D986)</f>
        <v>0</v>
      </c>
      <c r="C986" s="47">
        <f>I986+F986</f>
        <v>0</v>
      </c>
      <c r="D986" s="47">
        <f>J986+G986</f>
        <v>0</v>
      </c>
      <c r="E986" s="47">
        <f>SUM(F986:G986)</f>
        <v>0</v>
      </c>
      <c r="F986" s="47">
        <v>0</v>
      </c>
      <c r="G986" s="47">
        <v>0</v>
      </c>
      <c r="H986" s="47">
        <f>SUM(I986:J986)</f>
        <v>0</v>
      </c>
      <c r="I986" s="47">
        <v>0</v>
      </c>
      <c r="J986" s="47">
        <v>0</v>
      </c>
      <c r="K986" s="188" t="s">
        <v>234</v>
      </c>
      <c r="L986" s="134" t="s">
        <v>555</v>
      </c>
    </row>
    <row r="987" spans="1:12" ht="15" customHeight="1" thickBot="1" x14ac:dyDescent="0.25">
      <c r="A987" s="253"/>
      <c r="B987" s="47">
        <f t="shared" ref="B987:J987" si="287">SUM(B985:B986)</f>
        <v>76</v>
      </c>
      <c r="C987" s="47">
        <f t="shared" si="287"/>
        <v>76</v>
      </c>
      <c r="D987" s="47">
        <f t="shared" si="287"/>
        <v>0</v>
      </c>
      <c r="E987" s="47">
        <f t="shared" si="287"/>
        <v>0</v>
      </c>
      <c r="F987" s="47">
        <f t="shared" si="287"/>
        <v>0</v>
      </c>
      <c r="G987" s="47">
        <f t="shared" si="287"/>
        <v>0</v>
      </c>
      <c r="H987" s="47">
        <f t="shared" si="287"/>
        <v>76</v>
      </c>
      <c r="I987" s="47">
        <f t="shared" si="287"/>
        <v>76</v>
      </c>
      <c r="J987" s="47">
        <f t="shared" si="287"/>
        <v>0</v>
      </c>
      <c r="K987" s="188" t="s">
        <v>12</v>
      </c>
      <c r="L987" s="239"/>
    </row>
    <row r="988" spans="1:12" ht="15" customHeight="1" thickBot="1" x14ac:dyDescent="0.25">
      <c r="A988" s="253"/>
      <c r="B988" s="47">
        <f>SUM(C988:D988)</f>
        <v>39</v>
      </c>
      <c r="C988" s="47">
        <f>I988+F988</f>
        <v>39</v>
      </c>
      <c r="D988" s="47">
        <f>J988+G988</f>
        <v>0</v>
      </c>
      <c r="E988" s="47">
        <f>SUM(F988:G988)</f>
        <v>0</v>
      </c>
      <c r="F988" s="47">
        <v>0</v>
      </c>
      <c r="G988" s="47">
        <v>0</v>
      </c>
      <c r="H988" s="47">
        <f>SUM(I988:J988)</f>
        <v>39</v>
      </c>
      <c r="I988" s="47">
        <v>39</v>
      </c>
      <c r="J988" s="47">
        <v>0</v>
      </c>
      <c r="K988" s="188" t="s">
        <v>233</v>
      </c>
      <c r="L988" s="134"/>
    </row>
    <row r="989" spans="1:12" ht="15" customHeight="1" thickBot="1" x14ac:dyDescent="0.25">
      <c r="A989" s="253"/>
      <c r="B989" s="47">
        <f>SUM(C989:D989)</f>
        <v>0</v>
      </c>
      <c r="C989" s="47">
        <f>I989+F989</f>
        <v>0</v>
      </c>
      <c r="D989" s="47">
        <f>J989+G989</f>
        <v>0</v>
      </c>
      <c r="E989" s="47">
        <f>SUM(F989:G989)</f>
        <v>0</v>
      </c>
      <c r="F989" s="47">
        <v>0</v>
      </c>
      <c r="G989" s="47">
        <v>0</v>
      </c>
      <c r="H989" s="47">
        <f>SUM(I989:J989)</f>
        <v>0</v>
      </c>
      <c r="I989" s="47">
        <v>0</v>
      </c>
      <c r="J989" s="47">
        <v>0</v>
      </c>
      <c r="K989" s="188" t="s">
        <v>234</v>
      </c>
      <c r="L989" s="134" t="s">
        <v>348</v>
      </c>
    </row>
    <row r="990" spans="1:12" ht="15" customHeight="1" thickBot="1" x14ac:dyDescent="0.25">
      <c r="A990" s="253"/>
      <c r="B990" s="47">
        <f t="shared" ref="B990:J990" si="288">SUM(B988:B989)</f>
        <v>39</v>
      </c>
      <c r="C990" s="47">
        <f t="shared" si="288"/>
        <v>39</v>
      </c>
      <c r="D990" s="47">
        <f t="shared" si="288"/>
        <v>0</v>
      </c>
      <c r="E990" s="47">
        <f t="shared" si="288"/>
        <v>0</v>
      </c>
      <c r="F990" s="47">
        <f t="shared" si="288"/>
        <v>0</v>
      </c>
      <c r="G990" s="47">
        <f t="shared" si="288"/>
        <v>0</v>
      </c>
      <c r="H990" s="47">
        <f t="shared" si="288"/>
        <v>39</v>
      </c>
      <c r="I990" s="47">
        <f t="shared" si="288"/>
        <v>39</v>
      </c>
      <c r="J990" s="47">
        <f t="shared" si="288"/>
        <v>0</v>
      </c>
      <c r="K990" s="188" t="s">
        <v>12</v>
      </c>
      <c r="L990" s="239"/>
    </row>
    <row r="991" spans="1:12" ht="15" customHeight="1" thickBot="1" x14ac:dyDescent="0.25">
      <c r="A991" s="253"/>
      <c r="B991" s="47">
        <f>SUM(C991:D991)</f>
        <v>37</v>
      </c>
      <c r="C991" s="47">
        <f>I991+F991</f>
        <v>37</v>
      </c>
      <c r="D991" s="47">
        <f>J991+G991</f>
        <v>0</v>
      </c>
      <c r="E991" s="47">
        <f>SUM(F991:G991)</f>
        <v>0</v>
      </c>
      <c r="F991" s="47">
        <v>0</v>
      </c>
      <c r="G991" s="47">
        <v>0</v>
      </c>
      <c r="H991" s="47">
        <f>SUM(I991:J991)</f>
        <v>37</v>
      </c>
      <c r="I991" s="47">
        <v>37</v>
      </c>
      <c r="J991" s="47">
        <v>0</v>
      </c>
      <c r="K991" s="188" t="s">
        <v>233</v>
      </c>
      <c r="L991" s="134"/>
    </row>
    <row r="992" spans="1:12" ht="15" customHeight="1" thickBot="1" x14ac:dyDescent="0.25">
      <c r="A992" s="253"/>
      <c r="B992" s="47">
        <f>SUM(C992:D992)</f>
        <v>0</v>
      </c>
      <c r="C992" s="47">
        <f>I992+F992</f>
        <v>0</v>
      </c>
      <c r="D992" s="47">
        <f>J992+G992</f>
        <v>0</v>
      </c>
      <c r="E992" s="47">
        <f>SUM(F992:G992)</f>
        <v>0</v>
      </c>
      <c r="F992" s="47">
        <v>0</v>
      </c>
      <c r="G992" s="47">
        <v>0</v>
      </c>
      <c r="H992" s="47">
        <f>SUM(I992:J992)</f>
        <v>0</v>
      </c>
      <c r="I992" s="47">
        <v>0</v>
      </c>
      <c r="J992" s="47">
        <v>0</v>
      </c>
      <c r="K992" s="188" t="s">
        <v>234</v>
      </c>
      <c r="L992" s="134" t="s">
        <v>377</v>
      </c>
    </row>
    <row r="993" spans="1:12" ht="15" customHeight="1" thickBot="1" x14ac:dyDescent="0.25">
      <c r="A993" s="253"/>
      <c r="B993" s="47">
        <f t="shared" ref="B993:J993" si="289">SUM(B991:B992)</f>
        <v>37</v>
      </c>
      <c r="C993" s="47">
        <f t="shared" si="289"/>
        <v>37</v>
      </c>
      <c r="D993" s="47">
        <f t="shared" si="289"/>
        <v>0</v>
      </c>
      <c r="E993" s="47">
        <f t="shared" si="289"/>
        <v>0</v>
      </c>
      <c r="F993" s="47">
        <f t="shared" si="289"/>
        <v>0</v>
      </c>
      <c r="G993" s="47">
        <f t="shared" si="289"/>
        <v>0</v>
      </c>
      <c r="H993" s="47">
        <f t="shared" si="289"/>
        <v>37</v>
      </c>
      <c r="I993" s="47">
        <f t="shared" si="289"/>
        <v>37</v>
      </c>
      <c r="J993" s="47">
        <f t="shared" si="289"/>
        <v>0</v>
      </c>
      <c r="K993" s="188" t="s">
        <v>12</v>
      </c>
      <c r="L993" s="239"/>
    </row>
    <row r="994" spans="1:12" ht="15" customHeight="1" thickBot="1" x14ac:dyDescent="0.25">
      <c r="A994" s="253"/>
      <c r="B994" s="47">
        <f>SUM(C994:D994)</f>
        <v>430</v>
      </c>
      <c r="C994" s="47">
        <f>I994+F994</f>
        <v>430</v>
      </c>
      <c r="D994" s="47">
        <f>J994+G994</f>
        <v>0</v>
      </c>
      <c r="E994" s="47">
        <f>SUM(F994:G994)</f>
        <v>0</v>
      </c>
      <c r="F994" s="47">
        <v>0</v>
      </c>
      <c r="G994" s="47">
        <v>0</v>
      </c>
      <c r="H994" s="47">
        <f>SUM(I994:J994)</f>
        <v>430</v>
      </c>
      <c r="I994" s="47">
        <v>430</v>
      </c>
      <c r="J994" s="47">
        <v>0</v>
      </c>
      <c r="K994" s="188" t="s">
        <v>233</v>
      </c>
      <c r="L994" s="134"/>
    </row>
    <row r="995" spans="1:12" ht="15" customHeight="1" thickBot="1" x14ac:dyDescent="0.25">
      <c r="A995" s="253"/>
      <c r="B995" s="47">
        <f>SUM(C995:D995)</f>
        <v>0</v>
      </c>
      <c r="C995" s="47">
        <f>I995+F995</f>
        <v>0</v>
      </c>
      <c r="D995" s="47">
        <f>J995+G995</f>
        <v>0</v>
      </c>
      <c r="E995" s="47">
        <f>SUM(F995:G995)</f>
        <v>0</v>
      </c>
      <c r="F995" s="47">
        <v>0</v>
      </c>
      <c r="G995" s="47">
        <v>0</v>
      </c>
      <c r="H995" s="47">
        <f>SUM(I995:J995)</f>
        <v>0</v>
      </c>
      <c r="I995" s="47">
        <v>0</v>
      </c>
      <c r="J995" s="47">
        <v>0</v>
      </c>
      <c r="K995" s="188" t="s">
        <v>234</v>
      </c>
      <c r="L995" s="134" t="s">
        <v>557</v>
      </c>
    </row>
    <row r="996" spans="1:12" ht="15" customHeight="1" thickBot="1" x14ac:dyDescent="0.25">
      <c r="A996" s="253"/>
      <c r="B996" s="47">
        <f t="shared" ref="B996:J996" si="290">SUM(B994:B995)</f>
        <v>430</v>
      </c>
      <c r="C996" s="47">
        <f t="shared" si="290"/>
        <v>430</v>
      </c>
      <c r="D996" s="47">
        <f t="shared" si="290"/>
        <v>0</v>
      </c>
      <c r="E996" s="47">
        <f t="shared" si="290"/>
        <v>0</v>
      </c>
      <c r="F996" s="47">
        <f t="shared" si="290"/>
        <v>0</v>
      </c>
      <c r="G996" s="47">
        <f t="shared" si="290"/>
        <v>0</v>
      </c>
      <c r="H996" s="47">
        <f t="shared" si="290"/>
        <v>430</v>
      </c>
      <c r="I996" s="47">
        <f t="shared" si="290"/>
        <v>430</v>
      </c>
      <c r="J996" s="47">
        <f t="shared" si="290"/>
        <v>0</v>
      </c>
      <c r="K996" s="188" t="s">
        <v>12</v>
      </c>
      <c r="L996" s="239"/>
    </row>
    <row r="997" spans="1:12" ht="15" customHeight="1" thickBot="1" x14ac:dyDescent="0.25">
      <c r="A997" s="253"/>
      <c r="B997" s="185">
        <f t="shared" ref="B997:J999" si="291">B901+B904+B907+B910+B913+B916+B919+B922+B925+B928+B931+B934+B937+B940+B943+B946+B949+B952+B955+B958+B961+B964+B967+B970+B973+B976+B979+B982+B985+B988+B991+B994</f>
        <v>35811</v>
      </c>
      <c r="C997" s="185">
        <f t="shared" si="291"/>
        <v>35811</v>
      </c>
      <c r="D997" s="185">
        <f t="shared" si="291"/>
        <v>0</v>
      </c>
      <c r="E997" s="185">
        <f t="shared" si="291"/>
        <v>332</v>
      </c>
      <c r="F997" s="185">
        <f t="shared" si="291"/>
        <v>332</v>
      </c>
      <c r="G997" s="185">
        <f t="shared" si="291"/>
        <v>0</v>
      </c>
      <c r="H997" s="185">
        <f t="shared" si="291"/>
        <v>35479</v>
      </c>
      <c r="I997" s="185">
        <f t="shared" si="291"/>
        <v>35479</v>
      </c>
      <c r="J997" s="185">
        <f t="shared" si="291"/>
        <v>0</v>
      </c>
      <c r="K997" s="188" t="s">
        <v>236</v>
      </c>
      <c r="L997" s="131"/>
    </row>
    <row r="998" spans="1:12" ht="15" customHeight="1" thickBot="1" x14ac:dyDescent="0.25">
      <c r="A998" s="253"/>
      <c r="B998" s="185">
        <f t="shared" si="291"/>
        <v>6726</v>
      </c>
      <c r="C998" s="185">
        <f t="shared" si="291"/>
        <v>6726</v>
      </c>
      <c r="D998" s="185">
        <f t="shared" si="291"/>
        <v>0</v>
      </c>
      <c r="E998" s="185">
        <f t="shared" si="291"/>
        <v>10</v>
      </c>
      <c r="F998" s="185">
        <f t="shared" si="291"/>
        <v>10</v>
      </c>
      <c r="G998" s="185">
        <f t="shared" si="291"/>
        <v>0</v>
      </c>
      <c r="H998" s="185">
        <f t="shared" si="291"/>
        <v>6716</v>
      </c>
      <c r="I998" s="185">
        <f t="shared" si="291"/>
        <v>6716</v>
      </c>
      <c r="J998" s="185">
        <f t="shared" si="291"/>
        <v>0</v>
      </c>
      <c r="K998" s="188" t="s">
        <v>237</v>
      </c>
      <c r="L998" s="132" t="s">
        <v>188</v>
      </c>
    </row>
    <row r="999" spans="1:12" ht="15" customHeight="1" thickBot="1" x14ac:dyDescent="0.25">
      <c r="A999" s="253"/>
      <c r="B999" s="185">
        <f t="shared" si="291"/>
        <v>42537</v>
      </c>
      <c r="C999" s="185">
        <f t="shared" si="291"/>
        <v>42537</v>
      </c>
      <c r="D999" s="185">
        <f t="shared" si="291"/>
        <v>0</v>
      </c>
      <c r="E999" s="185">
        <f t="shared" si="291"/>
        <v>342</v>
      </c>
      <c r="F999" s="185">
        <f t="shared" si="291"/>
        <v>342</v>
      </c>
      <c r="G999" s="185">
        <f t="shared" si="291"/>
        <v>0</v>
      </c>
      <c r="H999" s="185">
        <f t="shared" si="291"/>
        <v>42195</v>
      </c>
      <c r="I999" s="185">
        <f t="shared" si="291"/>
        <v>42195</v>
      </c>
      <c r="J999" s="185">
        <f t="shared" si="291"/>
        <v>0</v>
      </c>
      <c r="K999" s="188" t="s">
        <v>12</v>
      </c>
      <c r="L999" s="133"/>
    </row>
    <row r="1000" spans="1:12" ht="15" customHeight="1" thickBot="1" x14ac:dyDescent="0.25">
      <c r="A1000" s="253"/>
      <c r="B1000" s="476" t="s">
        <v>4</v>
      </c>
      <c r="C1000" s="476"/>
      <c r="D1000" s="476"/>
      <c r="E1000" s="476" t="s">
        <v>145</v>
      </c>
      <c r="F1000" s="476"/>
      <c r="G1000" s="476"/>
      <c r="H1000" s="476" t="s">
        <v>146</v>
      </c>
      <c r="I1000" s="476"/>
      <c r="J1000" s="476"/>
      <c r="K1000" s="479" t="s">
        <v>66</v>
      </c>
      <c r="L1000" s="479"/>
    </row>
    <row r="1001" spans="1:12" ht="15" customHeight="1" thickBot="1" x14ac:dyDescent="0.25">
      <c r="A1001" s="253"/>
      <c r="B1001" s="185" t="s">
        <v>227</v>
      </c>
      <c r="C1001" s="185" t="s">
        <v>10</v>
      </c>
      <c r="D1001" s="185" t="s">
        <v>9</v>
      </c>
      <c r="E1001" s="185" t="s">
        <v>227</v>
      </c>
      <c r="F1001" s="185" t="s">
        <v>10</v>
      </c>
      <c r="G1001" s="185" t="s">
        <v>9</v>
      </c>
      <c r="H1001" s="185" t="s">
        <v>227</v>
      </c>
      <c r="I1001" s="185" t="s">
        <v>10</v>
      </c>
      <c r="J1001" s="185" t="s">
        <v>9</v>
      </c>
      <c r="K1001" s="480" t="s">
        <v>123</v>
      </c>
      <c r="L1001" s="480"/>
    </row>
    <row r="1002" spans="1:12" ht="15" customHeight="1" thickBot="1" x14ac:dyDescent="0.25">
      <c r="A1002" s="253"/>
      <c r="B1002" s="47">
        <f>SUM(C1002:D1002)</f>
        <v>689</v>
      </c>
      <c r="C1002" s="47">
        <f>I1002+F1002</f>
        <v>0</v>
      </c>
      <c r="D1002" s="47">
        <f>J1002+G1002</f>
        <v>689</v>
      </c>
      <c r="E1002" s="47">
        <f>SUM(F1002:G1002)</f>
        <v>0</v>
      </c>
      <c r="F1002" s="47">
        <v>0</v>
      </c>
      <c r="G1002" s="47">
        <v>0</v>
      </c>
      <c r="H1002" s="47">
        <f>SUM(I1002:J1002)</f>
        <v>689</v>
      </c>
      <c r="I1002" s="47">
        <v>0</v>
      </c>
      <c r="J1002" s="47">
        <v>689</v>
      </c>
      <c r="K1002" s="188" t="s">
        <v>233</v>
      </c>
      <c r="L1002" s="134"/>
    </row>
    <row r="1003" spans="1:12" ht="15" customHeight="1" thickBot="1" x14ac:dyDescent="0.25">
      <c r="A1003" s="253"/>
      <c r="B1003" s="47">
        <f>SUM(C1003:D1003)</f>
        <v>0</v>
      </c>
      <c r="C1003" s="47">
        <f>I1003+F1003</f>
        <v>0</v>
      </c>
      <c r="D1003" s="47">
        <f>J1003+G1003</f>
        <v>0</v>
      </c>
      <c r="E1003" s="47">
        <f>SUM(F1003:G1003)</f>
        <v>0</v>
      </c>
      <c r="F1003" s="47">
        <v>0</v>
      </c>
      <c r="G1003" s="47">
        <v>0</v>
      </c>
      <c r="H1003" s="47">
        <f>SUM(I1003:J1003)</f>
        <v>0</v>
      </c>
      <c r="I1003" s="47">
        <v>0</v>
      </c>
      <c r="J1003" s="47">
        <v>0</v>
      </c>
      <c r="K1003" s="188" t="s">
        <v>234</v>
      </c>
      <c r="L1003" s="134" t="s">
        <v>558</v>
      </c>
    </row>
    <row r="1004" spans="1:12" ht="15" customHeight="1" thickBot="1" x14ac:dyDescent="0.25">
      <c r="A1004" s="253"/>
      <c r="B1004" s="47">
        <f t="shared" ref="B1004:J1004" si="292">SUM(B1002:B1003)</f>
        <v>689</v>
      </c>
      <c r="C1004" s="47">
        <f t="shared" si="292"/>
        <v>0</v>
      </c>
      <c r="D1004" s="47">
        <f t="shared" si="292"/>
        <v>689</v>
      </c>
      <c r="E1004" s="47">
        <f t="shared" si="292"/>
        <v>0</v>
      </c>
      <c r="F1004" s="47">
        <f t="shared" si="292"/>
        <v>0</v>
      </c>
      <c r="G1004" s="47">
        <f t="shared" si="292"/>
        <v>0</v>
      </c>
      <c r="H1004" s="47">
        <f t="shared" si="292"/>
        <v>689</v>
      </c>
      <c r="I1004" s="47">
        <f t="shared" si="292"/>
        <v>0</v>
      </c>
      <c r="J1004" s="47">
        <f t="shared" si="292"/>
        <v>689</v>
      </c>
      <c r="K1004" s="188" t="s">
        <v>12</v>
      </c>
      <c r="L1004" s="239"/>
    </row>
    <row r="1005" spans="1:12" ht="15" customHeight="1" thickBot="1" x14ac:dyDescent="0.25">
      <c r="A1005" s="253"/>
      <c r="B1005" s="47">
        <f>SUM(C1005:D1005)</f>
        <v>1320</v>
      </c>
      <c r="C1005" s="47">
        <f>I1005+F1005</f>
        <v>0</v>
      </c>
      <c r="D1005" s="47">
        <f>J1005+G1005</f>
        <v>1320</v>
      </c>
      <c r="E1005" s="47">
        <f>SUM(F1005:G1005)</f>
        <v>0</v>
      </c>
      <c r="F1005" s="47">
        <v>0</v>
      </c>
      <c r="G1005" s="47">
        <v>0</v>
      </c>
      <c r="H1005" s="47">
        <f>SUM(I1005:J1005)</f>
        <v>1320</v>
      </c>
      <c r="I1005" s="47">
        <v>0</v>
      </c>
      <c r="J1005" s="47">
        <v>1320</v>
      </c>
      <c r="K1005" s="188" t="s">
        <v>233</v>
      </c>
      <c r="L1005" s="134"/>
    </row>
    <row r="1006" spans="1:12" ht="15" customHeight="1" thickBot="1" x14ac:dyDescent="0.25">
      <c r="A1006" s="253"/>
      <c r="B1006" s="47">
        <f>SUM(C1006:D1006)</f>
        <v>0</v>
      </c>
      <c r="C1006" s="47">
        <f>I1006+F1006</f>
        <v>0</v>
      </c>
      <c r="D1006" s="47">
        <f>J1006+G1006</f>
        <v>0</v>
      </c>
      <c r="E1006" s="47">
        <f>SUM(F1006:G1006)</f>
        <v>0</v>
      </c>
      <c r="F1006" s="47">
        <v>0</v>
      </c>
      <c r="G1006" s="47">
        <v>0</v>
      </c>
      <c r="H1006" s="47">
        <f>SUM(I1006:J1006)</f>
        <v>0</v>
      </c>
      <c r="I1006" s="47">
        <v>0</v>
      </c>
      <c r="J1006" s="47">
        <v>0</v>
      </c>
      <c r="K1006" s="188" t="s">
        <v>234</v>
      </c>
      <c r="L1006" s="134" t="s">
        <v>286</v>
      </c>
    </row>
    <row r="1007" spans="1:12" ht="15" customHeight="1" thickBot="1" x14ac:dyDescent="0.25">
      <c r="A1007" s="253"/>
      <c r="B1007" s="47">
        <f t="shared" ref="B1007:J1007" si="293">SUM(B1005:B1006)</f>
        <v>1320</v>
      </c>
      <c r="C1007" s="47">
        <f t="shared" si="293"/>
        <v>0</v>
      </c>
      <c r="D1007" s="47">
        <f t="shared" si="293"/>
        <v>1320</v>
      </c>
      <c r="E1007" s="47">
        <f t="shared" si="293"/>
        <v>0</v>
      </c>
      <c r="F1007" s="47">
        <f t="shared" si="293"/>
        <v>0</v>
      </c>
      <c r="G1007" s="47">
        <f t="shared" si="293"/>
        <v>0</v>
      </c>
      <c r="H1007" s="47">
        <f t="shared" si="293"/>
        <v>1320</v>
      </c>
      <c r="I1007" s="47">
        <f t="shared" si="293"/>
        <v>0</v>
      </c>
      <c r="J1007" s="47">
        <f t="shared" si="293"/>
        <v>1320</v>
      </c>
      <c r="K1007" s="188" t="s">
        <v>12</v>
      </c>
      <c r="L1007" s="239"/>
    </row>
    <row r="1008" spans="1:12" ht="15" customHeight="1" thickBot="1" x14ac:dyDescent="0.25">
      <c r="A1008" s="253"/>
      <c r="B1008" s="47">
        <f>SUM(C1008:D1008)</f>
        <v>2170</v>
      </c>
      <c r="C1008" s="47">
        <f>I1008+F1008</f>
        <v>2170</v>
      </c>
      <c r="D1008" s="47">
        <f>J1008+G1008</f>
        <v>0</v>
      </c>
      <c r="E1008" s="47">
        <f>SUM(F1008:G1008)</f>
        <v>0</v>
      </c>
      <c r="F1008" s="47">
        <v>0</v>
      </c>
      <c r="G1008" s="47">
        <v>0</v>
      </c>
      <c r="H1008" s="47">
        <f>SUM(I1008:J1008)</f>
        <v>2170</v>
      </c>
      <c r="I1008" s="47">
        <f>4170-2000</f>
        <v>2170</v>
      </c>
      <c r="J1008" s="47">
        <v>0</v>
      </c>
      <c r="K1008" s="188" t="s">
        <v>233</v>
      </c>
      <c r="L1008" s="134"/>
    </row>
    <row r="1009" spans="1:12" ht="15" customHeight="1" thickBot="1" x14ac:dyDescent="0.25">
      <c r="A1009" s="253"/>
      <c r="B1009" s="47">
        <f>SUM(C1009:D1009)</f>
        <v>184</v>
      </c>
      <c r="C1009" s="47">
        <f>I1009+F1009</f>
        <v>184</v>
      </c>
      <c r="D1009" s="47">
        <f>J1009+G1009</f>
        <v>0</v>
      </c>
      <c r="E1009" s="47">
        <f>SUM(F1009:G1009)</f>
        <v>0</v>
      </c>
      <c r="F1009" s="47">
        <v>0</v>
      </c>
      <c r="G1009" s="47">
        <v>0</v>
      </c>
      <c r="H1009" s="47">
        <f>SUM(I1009:J1009)</f>
        <v>184</v>
      </c>
      <c r="I1009" s="47">
        <v>184</v>
      </c>
      <c r="J1009" s="47">
        <v>0</v>
      </c>
      <c r="K1009" s="188" t="s">
        <v>234</v>
      </c>
      <c r="L1009" s="134" t="s">
        <v>559</v>
      </c>
    </row>
    <row r="1010" spans="1:12" ht="15" customHeight="1" thickBot="1" x14ac:dyDescent="0.25">
      <c r="A1010" s="253"/>
      <c r="B1010" s="47">
        <f t="shared" ref="B1010:J1010" si="294">SUM(B1008:B1009)</f>
        <v>2354</v>
      </c>
      <c r="C1010" s="47">
        <f t="shared" si="294"/>
        <v>2354</v>
      </c>
      <c r="D1010" s="47">
        <f t="shared" si="294"/>
        <v>0</v>
      </c>
      <c r="E1010" s="47">
        <f t="shared" si="294"/>
        <v>0</v>
      </c>
      <c r="F1010" s="47">
        <f t="shared" si="294"/>
        <v>0</v>
      </c>
      <c r="G1010" s="47">
        <f t="shared" si="294"/>
        <v>0</v>
      </c>
      <c r="H1010" s="47">
        <f t="shared" si="294"/>
        <v>2354</v>
      </c>
      <c r="I1010" s="47">
        <f t="shared" si="294"/>
        <v>2354</v>
      </c>
      <c r="J1010" s="47">
        <f t="shared" si="294"/>
        <v>0</v>
      </c>
      <c r="K1010" s="188" t="s">
        <v>12</v>
      </c>
      <c r="L1010" s="239"/>
    </row>
    <row r="1011" spans="1:12" ht="15" customHeight="1" thickBot="1" x14ac:dyDescent="0.25">
      <c r="A1011" s="253"/>
      <c r="B1011" s="47">
        <f>SUM(C1011:D1011)</f>
        <v>1816</v>
      </c>
      <c r="C1011" s="47">
        <f>I1011+F1011</f>
        <v>1816</v>
      </c>
      <c r="D1011" s="47">
        <f>J1011+G1011</f>
        <v>0</v>
      </c>
      <c r="E1011" s="47">
        <f>SUM(F1011:G1011)</f>
        <v>0</v>
      </c>
      <c r="F1011" s="47">
        <v>0</v>
      </c>
      <c r="G1011" s="47">
        <v>0</v>
      </c>
      <c r="H1011" s="47">
        <f>SUM(I1011:J1011)</f>
        <v>1816</v>
      </c>
      <c r="I1011" s="47">
        <f>2816-1000</f>
        <v>1816</v>
      </c>
      <c r="J1011" s="47">
        <v>0</v>
      </c>
      <c r="K1011" s="188" t="s">
        <v>233</v>
      </c>
      <c r="L1011" s="134"/>
    </row>
    <row r="1012" spans="1:12" ht="15" customHeight="1" thickBot="1" x14ac:dyDescent="0.25">
      <c r="A1012" s="253"/>
      <c r="B1012" s="47">
        <f>SUM(C1012:D1012)</f>
        <v>284</v>
      </c>
      <c r="C1012" s="47">
        <f>I1012+F1012</f>
        <v>284</v>
      </c>
      <c r="D1012" s="47">
        <f>J1012+G1012</f>
        <v>0</v>
      </c>
      <c r="E1012" s="47">
        <f>SUM(F1012:G1012)</f>
        <v>0</v>
      </c>
      <c r="F1012" s="47">
        <v>0</v>
      </c>
      <c r="G1012" s="47">
        <v>0</v>
      </c>
      <c r="H1012" s="47">
        <f>SUM(I1012:J1012)</f>
        <v>284</v>
      </c>
      <c r="I1012" s="47">
        <v>284</v>
      </c>
      <c r="J1012" s="47">
        <v>0</v>
      </c>
      <c r="K1012" s="188" t="s">
        <v>234</v>
      </c>
      <c r="L1012" s="134" t="s">
        <v>560</v>
      </c>
    </row>
    <row r="1013" spans="1:12" ht="15" customHeight="1" thickBot="1" x14ac:dyDescent="0.25">
      <c r="A1013" s="253"/>
      <c r="B1013" s="47">
        <f t="shared" ref="B1013:J1013" si="295">SUM(B1011:B1012)</f>
        <v>2100</v>
      </c>
      <c r="C1013" s="47">
        <f t="shared" si="295"/>
        <v>2100</v>
      </c>
      <c r="D1013" s="47">
        <f t="shared" si="295"/>
        <v>0</v>
      </c>
      <c r="E1013" s="47">
        <f t="shared" si="295"/>
        <v>0</v>
      </c>
      <c r="F1013" s="47">
        <f t="shared" si="295"/>
        <v>0</v>
      </c>
      <c r="G1013" s="47">
        <f t="shared" si="295"/>
        <v>0</v>
      </c>
      <c r="H1013" s="47">
        <f t="shared" si="295"/>
        <v>2100</v>
      </c>
      <c r="I1013" s="47">
        <f t="shared" si="295"/>
        <v>2100</v>
      </c>
      <c r="J1013" s="47">
        <f t="shared" si="295"/>
        <v>0</v>
      </c>
      <c r="K1013" s="188" t="s">
        <v>12</v>
      </c>
      <c r="L1013" s="239"/>
    </row>
    <row r="1014" spans="1:12" ht="15" customHeight="1" thickBot="1" x14ac:dyDescent="0.25">
      <c r="A1014" s="253"/>
      <c r="B1014" s="47">
        <f>SUM(C1014:D1014)</f>
        <v>77</v>
      </c>
      <c r="C1014" s="47">
        <f>I1014+F1014</f>
        <v>0</v>
      </c>
      <c r="D1014" s="47">
        <f>J1014+G1014</f>
        <v>77</v>
      </c>
      <c r="E1014" s="47">
        <f>SUM(F1014:G1014)</f>
        <v>0</v>
      </c>
      <c r="F1014" s="47">
        <v>0</v>
      </c>
      <c r="G1014" s="47">
        <v>0</v>
      </c>
      <c r="H1014" s="47">
        <f>SUM(I1014:J1014)</f>
        <v>77</v>
      </c>
      <c r="I1014" s="47">
        <v>0</v>
      </c>
      <c r="J1014" s="47">
        <v>77</v>
      </c>
      <c r="K1014" s="188" t="s">
        <v>233</v>
      </c>
      <c r="L1014" s="134"/>
    </row>
    <row r="1015" spans="1:12" ht="15" customHeight="1" thickBot="1" x14ac:dyDescent="0.25">
      <c r="A1015" s="253"/>
      <c r="B1015" s="47">
        <f>SUM(C1015:D1015)</f>
        <v>0</v>
      </c>
      <c r="C1015" s="47">
        <f>I1015+F1015</f>
        <v>0</v>
      </c>
      <c r="D1015" s="47">
        <f>J1015+G1015</f>
        <v>0</v>
      </c>
      <c r="E1015" s="47">
        <f>SUM(F1015:G1015)</f>
        <v>0</v>
      </c>
      <c r="F1015" s="47">
        <v>0</v>
      </c>
      <c r="G1015" s="47">
        <v>0</v>
      </c>
      <c r="H1015" s="47">
        <f>SUM(I1015:J1015)</f>
        <v>0</v>
      </c>
      <c r="I1015" s="47">
        <v>0</v>
      </c>
      <c r="J1015" s="47">
        <v>0</v>
      </c>
      <c r="K1015" s="188" t="s">
        <v>234</v>
      </c>
      <c r="L1015" s="134" t="s">
        <v>372</v>
      </c>
    </row>
    <row r="1016" spans="1:12" ht="15" customHeight="1" thickBot="1" x14ac:dyDescent="0.25">
      <c r="A1016" s="253"/>
      <c r="B1016" s="47">
        <f t="shared" ref="B1016:J1016" si="296">SUM(B1014:B1015)</f>
        <v>77</v>
      </c>
      <c r="C1016" s="47">
        <f t="shared" si="296"/>
        <v>0</v>
      </c>
      <c r="D1016" s="47">
        <f t="shared" si="296"/>
        <v>77</v>
      </c>
      <c r="E1016" s="47">
        <f t="shared" si="296"/>
        <v>0</v>
      </c>
      <c r="F1016" s="47">
        <f t="shared" si="296"/>
        <v>0</v>
      </c>
      <c r="G1016" s="47">
        <f t="shared" si="296"/>
        <v>0</v>
      </c>
      <c r="H1016" s="47">
        <f t="shared" si="296"/>
        <v>77</v>
      </c>
      <c r="I1016" s="47">
        <f t="shared" si="296"/>
        <v>0</v>
      </c>
      <c r="J1016" s="47">
        <f t="shared" si="296"/>
        <v>77</v>
      </c>
      <c r="K1016" s="188" t="s">
        <v>12</v>
      </c>
      <c r="L1016" s="239"/>
    </row>
    <row r="1017" spans="1:12" ht="15" customHeight="1" thickBot="1" x14ac:dyDescent="0.25">
      <c r="A1017" s="253"/>
      <c r="B1017" s="47">
        <f>SUM(C1017:D1017)</f>
        <v>62</v>
      </c>
      <c r="C1017" s="47">
        <f>I1017+F1017</f>
        <v>31</v>
      </c>
      <c r="D1017" s="47">
        <f>J1017+G1017</f>
        <v>31</v>
      </c>
      <c r="E1017" s="47">
        <f>SUM(F1017:G1017)</f>
        <v>0</v>
      </c>
      <c r="F1017" s="47">
        <v>0</v>
      </c>
      <c r="G1017" s="47">
        <v>0</v>
      </c>
      <c r="H1017" s="47">
        <f>SUM(I1017:J1017)</f>
        <v>62</v>
      </c>
      <c r="I1017" s="47">
        <v>31</v>
      </c>
      <c r="J1017" s="47">
        <v>31</v>
      </c>
      <c r="K1017" s="188" t="s">
        <v>233</v>
      </c>
      <c r="L1017" s="134"/>
    </row>
    <row r="1018" spans="1:12" ht="15" customHeight="1" thickBot="1" x14ac:dyDescent="0.25">
      <c r="A1018" s="253"/>
      <c r="B1018" s="47">
        <f>SUM(C1018:D1018)</f>
        <v>0</v>
      </c>
      <c r="C1018" s="47">
        <f>I1018+F1018</f>
        <v>0</v>
      </c>
      <c r="D1018" s="47">
        <f>J1018+G1018</f>
        <v>0</v>
      </c>
      <c r="E1018" s="47">
        <f>SUM(F1018:G1018)</f>
        <v>0</v>
      </c>
      <c r="F1018" s="47">
        <v>0</v>
      </c>
      <c r="G1018" s="47">
        <v>0</v>
      </c>
      <c r="H1018" s="47">
        <f>SUM(I1018:J1018)</f>
        <v>0</v>
      </c>
      <c r="I1018" s="47">
        <v>0</v>
      </c>
      <c r="J1018" s="47">
        <v>0</v>
      </c>
      <c r="K1018" s="188" t="s">
        <v>234</v>
      </c>
      <c r="L1018" s="134" t="s">
        <v>344</v>
      </c>
    </row>
    <row r="1019" spans="1:12" ht="15" customHeight="1" thickBot="1" x14ac:dyDescent="0.25">
      <c r="A1019" s="253"/>
      <c r="B1019" s="47">
        <f t="shared" ref="B1019:J1019" si="297">SUM(B1017:B1018)</f>
        <v>62</v>
      </c>
      <c r="C1019" s="47">
        <f t="shared" si="297"/>
        <v>31</v>
      </c>
      <c r="D1019" s="47">
        <f t="shared" si="297"/>
        <v>31</v>
      </c>
      <c r="E1019" s="47">
        <f t="shared" si="297"/>
        <v>0</v>
      </c>
      <c r="F1019" s="47">
        <f t="shared" si="297"/>
        <v>0</v>
      </c>
      <c r="G1019" s="47">
        <f t="shared" si="297"/>
        <v>0</v>
      </c>
      <c r="H1019" s="47">
        <f t="shared" si="297"/>
        <v>62</v>
      </c>
      <c r="I1019" s="47">
        <f t="shared" si="297"/>
        <v>31</v>
      </c>
      <c r="J1019" s="47">
        <f t="shared" si="297"/>
        <v>31</v>
      </c>
      <c r="K1019" s="188" t="s">
        <v>12</v>
      </c>
      <c r="L1019" s="239"/>
    </row>
    <row r="1020" spans="1:12" ht="15" customHeight="1" thickBot="1" x14ac:dyDescent="0.25">
      <c r="A1020" s="253"/>
      <c r="B1020" s="47">
        <f>SUM(C1020:D1020)</f>
        <v>64</v>
      </c>
      <c r="C1020" s="47">
        <f>I1020+F1020</f>
        <v>34</v>
      </c>
      <c r="D1020" s="47">
        <f>J1020+G1020</f>
        <v>30</v>
      </c>
      <c r="E1020" s="47">
        <f>SUM(F1020:G1020)</f>
        <v>0</v>
      </c>
      <c r="F1020" s="47">
        <v>0</v>
      </c>
      <c r="G1020" s="47">
        <v>0</v>
      </c>
      <c r="H1020" s="47">
        <f>SUM(I1020:J1020)</f>
        <v>64</v>
      </c>
      <c r="I1020" s="47">
        <v>34</v>
      </c>
      <c r="J1020" s="47">
        <v>30</v>
      </c>
      <c r="K1020" s="188" t="s">
        <v>233</v>
      </c>
      <c r="L1020" s="134"/>
    </row>
    <row r="1021" spans="1:12" ht="15" customHeight="1" thickBot="1" x14ac:dyDescent="0.25">
      <c r="A1021" s="253"/>
      <c r="B1021" s="47">
        <f>SUM(C1021:D1021)</f>
        <v>0</v>
      </c>
      <c r="C1021" s="47">
        <f>I1021+F1021</f>
        <v>0</v>
      </c>
      <c r="D1021" s="47">
        <f>J1021+G1021</f>
        <v>0</v>
      </c>
      <c r="E1021" s="47">
        <f>SUM(F1021:G1021)</f>
        <v>0</v>
      </c>
      <c r="F1021" s="47">
        <v>0</v>
      </c>
      <c r="G1021" s="47">
        <v>0</v>
      </c>
      <c r="H1021" s="47">
        <f>SUM(I1021:J1021)</f>
        <v>0</v>
      </c>
      <c r="I1021" s="47">
        <v>0</v>
      </c>
      <c r="J1021" s="47">
        <v>0</v>
      </c>
      <c r="K1021" s="188" t="s">
        <v>234</v>
      </c>
      <c r="L1021" s="134" t="s">
        <v>671</v>
      </c>
    </row>
    <row r="1022" spans="1:12" ht="15" customHeight="1" thickBot="1" x14ac:dyDescent="0.25">
      <c r="A1022" s="253"/>
      <c r="B1022" s="47">
        <f t="shared" ref="B1022:J1022" si="298">SUM(B1020:B1021)</f>
        <v>64</v>
      </c>
      <c r="C1022" s="47">
        <f t="shared" si="298"/>
        <v>34</v>
      </c>
      <c r="D1022" s="47">
        <f t="shared" si="298"/>
        <v>30</v>
      </c>
      <c r="E1022" s="47">
        <f t="shared" si="298"/>
        <v>0</v>
      </c>
      <c r="F1022" s="47">
        <f t="shared" si="298"/>
        <v>0</v>
      </c>
      <c r="G1022" s="47">
        <f t="shared" si="298"/>
        <v>0</v>
      </c>
      <c r="H1022" s="47">
        <f t="shared" si="298"/>
        <v>64</v>
      </c>
      <c r="I1022" s="47">
        <f t="shared" si="298"/>
        <v>34</v>
      </c>
      <c r="J1022" s="47">
        <f t="shared" si="298"/>
        <v>30</v>
      </c>
      <c r="K1022" s="188" t="s">
        <v>12</v>
      </c>
      <c r="L1022" s="239"/>
    </row>
    <row r="1023" spans="1:12" ht="15" customHeight="1" thickBot="1" x14ac:dyDescent="0.25">
      <c r="A1023" s="253"/>
      <c r="B1023" s="47">
        <f>SUM(C1023:D1023)</f>
        <v>70</v>
      </c>
      <c r="C1023" s="47">
        <f>I1023+F1023</f>
        <v>45</v>
      </c>
      <c r="D1023" s="47">
        <f>J1023+G1023</f>
        <v>25</v>
      </c>
      <c r="E1023" s="47">
        <f>SUM(F1023:G1023)</f>
        <v>0</v>
      </c>
      <c r="F1023" s="47">
        <v>0</v>
      </c>
      <c r="G1023" s="47">
        <v>0</v>
      </c>
      <c r="H1023" s="47">
        <f>SUM(I1023:J1023)</f>
        <v>70</v>
      </c>
      <c r="I1023" s="47">
        <v>45</v>
      </c>
      <c r="J1023" s="47">
        <v>25</v>
      </c>
      <c r="K1023" s="188" t="s">
        <v>233</v>
      </c>
      <c r="L1023" s="134"/>
    </row>
    <row r="1024" spans="1:12" ht="15" customHeight="1" thickBot="1" x14ac:dyDescent="0.25">
      <c r="A1024" s="253"/>
      <c r="B1024" s="47">
        <f>SUM(C1024:D1024)</f>
        <v>0</v>
      </c>
      <c r="C1024" s="47">
        <f>I1024+F1024</f>
        <v>0</v>
      </c>
      <c r="D1024" s="47">
        <f>J1024+G1024</f>
        <v>0</v>
      </c>
      <c r="E1024" s="47">
        <f>SUM(F1024:G1024)</f>
        <v>0</v>
      </c>
      <c r="F1024" s="47">
        <v>0</v>
      </c>
      <c r="G1024" s="47">
        <v>0</v>
      </c>
      <c r="H1024" s="47">
        <f>SUM(I1024:J1024)</f>
        <v>0</v>
      </c>
      <c r="I1024" s="47">
        <v>0</v>
      </c>
      <c r="J1024" s="47">
        <v>0</v>
      </c>
      <c r="K1024" s="188" t="s">
        <v>234</v>
      </c>
      <c r="L1024" s="134" t="s">
        <v>562</v>
      </c>
    </row>
    <row r="1025" spans="1:12" ht="15" customHeight="1" thickBot="1" x14ac:dyDescent="0.25">
      <c r="A1025" s="253"/>
      <c r="B1025" s="47">
        <f t="shared" ref="B1025:J1025" si="299">SUM(B1023:B1024)</f>
        <v>70</v>
      </c>
      <c r="C1025" s="47">
        <f t="shared" si="299"/>
        <v>45</v>
      </c>
      <c r="D1025" s="47">
        <f t="shared" si="299"/>
        <v>25</v>
      </c>
      <c r="E1025" s="47">
        <f t="shared" si="299"/>
        <v>0</v>
      </c>
      <c r="F1025" s="47">
        <f t="shared" si="299"/>
        <v>0</v>
      </c>
      <c r="G1025" s="47">
        <f t="shared" si="299"/>
        <v>0</v>
      </c>
      <c r="H1025" s="47">
        <f t="shared" si="299"/>
        <v>70</v>
      </c>
      <c r="I1025" s="47">
        <f t="shared" si="299"/>
        <v>45</v>
      </c>
      <c r="J1025" s="47">
        <f t="shared" si="299"/>
        <v>25</v>
      </c>
      <c r="K1025" s="188" t="s">
        <v>12</v>
      </c>
      <c r="L1025" s="239"/>
    </row>
    <row r="1026" spans="1:12" ht="15" customHeight="1" thickBot="1" x14ac:dyDescent="0.25">
      <c r="A1026" s="253"/>
      <c r="B1026" s="47">
        <f t="shared" ref="B1026:J1028" si="300">B1002+B1005+B1008+B1011+B1014+B1017+B1020+B1023</f>
        <v>6268</v>
      </c>
      <c r="C1026" s="47">
        <f t="shared" si="300"/>
        <v>4096</v>
      </c>
      <c r="D1026" s="47">
        <f t="shared" si="300"/>
        <v>2172</v>
      </c>
      <c r="E1026" s="47">
        <f t="shared" si="300"/>
        <v>0</v>
      </c>
      <c r="F1026" s="47">
        <f t="shared" si="300"/>
        <v>0</v>
      </c>
      <c r="G1026" s="47">
        <f t="shared" si="300"/>
        <v>0</v>
      </c>
      <c r="H1026" s="47">
        <f t="shared" si="300"/>
        <v>6268</v>
      </c>
      <c r="I1026" s="47">
        <f t="shared" si="300"/>
        <v>4096</v>
      </c>
      <c r="J1026" s="47">
        <f t="shared" si="300"/>
        <v>2172</v>
      </c>
      <c r="K1026" s="188" t="s">
        <v>236</v>
      </c>
      <c r="L1026" s="131"/>
    </row>
    <row r="1027" spans="1:12" ht="15" customHeight="1" thickBot="1" x14ac:dyDescent="0.25">
      <c r="A1027" s="253"/>
      <c r="B1027" s="47">
        <f t="shared" si="300"/>
        <v>468</v>
      </c>
      <c r="C1027" s="47">
        <f t="shared" si="300"/>
        <v>468</v>
      </c>
      <c r="D1027" s="47">
        <f t="shared" si="300"/>
        <v>0</v>
      </c>
      <c r="E1027" s="47">
        <f t="shared" si="300"/>
        <v>0</v>
      </c>
      <c r="F1027" s="47">
        <f t="shared" si="300"/>
        <v>0</v>
      </c>
      <c r="G1027" s="47">
        <f t="shared" si="300"/>
        <v>0</v>
      </c>
      <c r="H1027" s="47">
        <f t="shared" si="300"/>
        <v>468</v>
      </c>
      <c r="I1027" s="47">
        <f t="shared" si="300"/>
        <v>468</v>
      </c>
      <c r="J1027" s="47">
        <f t="shared" si="300"/>
        <v>0</v>
      </c>
      <c r="K1027" s="188" t="s">
        <v>237</v>
      </c>
      <c r="L1027" s="132" t="s">
        <v>188</v>
      </c>
    </row>
    <row r="1028" spans="1:12" ht="15" customHeight="1" thickBot="1" x14ac:dyDescent="0.25">
      <c r="A1028" s="253"/>
      <c r="B1028" s="47">
        <f t="shared" si="300"/>
        <v>6736</v>
      </c>
      <c r="C1028" s="47">
        <f t="shared" si="300"/>
        <v>4564</v>
      </c>
      <c r="D1028" s="47">
        <f t="shared" si="300"/>
        <v>2172</v>
      </c>
      <c r="E1028" s="47">
        <f t="shared" si="300"/>
        <v>0</v>
      </c>
      <c r="F1028" s="47">
        <f t="shared" si="300"/>
        <v>0</v>
      </c>
      <c r="G1028" s="47">
        <f t="shared" si="300"/>
        <v>0</v>
      </c>
      <c r="H1028" s="47">
        <f t="shared" si="300"/>
        <v>6736</v>
      </c>
      <c r="I1028" s="47">
        <f t="shared" si="300"/>
        <v>4564</v>
      </c>
      <c r="J1028" s="47">
        <f t="shared" si="300"/>
        <v>2172</v>
      </c>
      <c r="K1028" s="188" t="s">
        <v>12</v>
      </c>
      <c r="L1028" s="133"/>
    </row>
    <row r="1029" spans="1:12" ht="15" customHeight="1" thickBot="1" x14ac:dyDescent="0.25">
      <c r="A1029" s="253"/>
      <c r="B1029" s="547" t="s">
        <v>4</v>
      </c>
      <c r="C1029" s="548"/>
      <c r="D1029" s="549"/>
      <c r="E1029" s="547" t="s">
        <v>145</v>
      </c>
      <c r="F1029" s="548"/>
      <c r="G1029" s="549"/>
      <c r="H1029" s="547" t="s">
        <v>146</v>
      </c>
      <c r="I1029" s="548"/>
      <c r="J1029" s="549"/>
      <c r="K1029" s="545" t="s">
        <v>66</v>
      </c>
      <c r="L1029" s="546"/>
    </row>
    <row r="1030" spans="1:12" ht="15" customHeight="1" thickBot="1" x14ac:dyDescent="0.25">
      <c r="A1030" s="253"/>
      <c r="B1030" s="185" t="s">
        <v>227</v>
      </c>
      <c r="C1030" s="185" t="s">
        <v>10</v>
      </c>
      <c r="D1030" s="185" t="s">
        <v>9</v>
      </c>
      <c r="E1030" s="185" t="s">
        <v>227</v>
      </c>
      <c r="F1030" s="185" t="s">
        <v>10</v>
      </c>
      <c r="G1030" s="185" t="s">
        <v>9</v>
      </c>
      <c r="H1030" s="185" t="s">
        <v>227</v>
      </c>
      <c r="I1030" s="185" t="s">
        <v>10</v>
      </c>
      <c r="J1030" s="185" t="s">
        <v>9</v>
      </c>
      <c r="K1030" s="545" t="s">
        <v>148</v>
      </c>
      <c r="L1030" s="546"/>
    </row>
    <row r="1031" spans="1:12" ht="15" customHeight="1" thickBot="1" x14ac:dyDescent="0.25">
      <c r="A1031" s="253"/>
      <c r="B1031" s="47">
        <f>SUM(C1031:D1031)</f>
        <v>469</v>
      </c>
      <c r="C1031" s="47">
        <f>I1031+F1031</f>
        <v>0</v>
      </c>
      <c r="D1031" s="47">
        <f>J1031+G1031</f>
        <v>469</v>
      </c>
      <c r="E1031" s="47">
        <f>SUM(F1031:G1031)</f>
        <v>0</v>
      </c>
      <c r="F1031" s="47">
        <v>0</v>
      </c>
      <c r="G1031" s="47">
        <v>0</v>
      </c>
      <c r="H1031" s="47">
        <f>SUM(I1031:J1031)</f>
        <v>469</v>
      </c>
      <c r="I1031" s="47">
        <v>0</v>
      </c>
      <c r="J1031" s="47">
        <v>469</v>
      </c>
      <c r="K1031" s="188" t="s">
        <v>233</v>
      </c>
      <c r="L1031" s="134"/>
    </row>
    <row r="1032" spans="1:12" ht="15" customHeight="1" thickBot="1" x14ac:dyDescent="0.25">
      <c r="A1032" s="253"/>
      <c r="B1032" s="47">
        <f t="shared" ref="B1032:B1044" si="301">SUM(C1032:D1032)</f>
        <v>0</v>
      </c>
      <c r="C1032" s="47">
        <f t="shared" ref="C1032:D1044" si="302">I1032+F1032</f>
        <v>0</v>
      </c>
      <c r="D1032" s="47">
        <f t="shared" si="302"/>
        <v>0</v>
      </c>
      <c r="E1032" s="47">
        <f t="shared" ref="E1032:E1044" si="303">SUM(F1032:G1032)</f>
        <v>0</v>
      </c>
      <c r="F1032" s="47">
        <v>0</v>
      </c>
      <c r="G1032" s="47">
        <v>0</v>
      </c>
      <c r="H1032" s="47">
        <f t="shared" ref="H1032:H1044" si="304">SUM(I1032:J1032)</f>
        <v>0</v>
      </c>
      <c r="I1032" s="47">
        <v>0</v>
      </c>
      <c r="J1032" s="47">
        <v>0</v>
      </c>
      <c r="K1032" s="188" t="s">
        <v>234</v>
      </c>
      <c r="L1032" s="134" t="s">
        <v>344</v>
      </c>
    </row>
    <row r="1033" spans="1:12" ht="15" customHeight="1" thickBot="1" x14ac:dyDescent="0.25">
      <c r="A1033" s="253"/>
      <c r="B1033" s="47">
        <f t="shared" ref="B1033:I1033" si="305">SUM(B1031:B1032)</f>
        <v>469</v>
      </c>
      <c r="C1033" s="47">
        <f t="shared" si="305"/>
        <v>0</v>
      </c>
      <c r="D1033" s="47">
        <f t="shared" si="305"/>
        <v>469</v>
      </c>
      <c r="E1033" s="47">
        <f t="shared" si="305"/>
        <v>0</v>
      </c>
      <c r="F1033" s="47">
        <f t="shared" si="305"/>
        <v>0</v>
      </c>
      <c r="G1033" s="47">
        <f t="shared" si="305"/>
        <v>0</v>
      </c>
      <c r="H1033" s="47">
        <f t="shared" si="305"/>
        <v>469</v>
      </c>
      <c r="I1033" s="47">
        <f t="shared" si="305"/>
        <v>0</v>
      </c>
      <c r="J1033" s="47">
        <f>SUM(J1031:J1032)</f>
        <v>469</v>
      </c>
      <c r="K1033" s="188" t="s">
        <v>12</v>
      </c>
      <c r="L1033" s="239"/>
    </row>
    <row r="1034" spans="1:12" ht="15" customHeight="1" thickBot="1" x14ac:dyDescent="0.25">
      <c r="A1034" s="253"/>
      <c r="B1034" s="47">
        <f t="shared" si="301"/>
        <v>523</v>
      </c>
      <c r="C1034" s="47">
        <f t="shared" si="302"/>
        <v>523</v>
      </c>
      <c r="D1034" s="47">
        <f t="shared" si="302"/>
        <v>0</v>
      </c>
      <c r="E1034" s="47">
        <f t="shared" si="303"/>
        <v>0</v>
      </c>
      <c r="F1034" s="47">
        <v>0</v>
      </c>
      <c r="G1034" s="47">
        <v>0</v>
      </c>
      <c r="H1034" s="47">
        <f t="shared" si="304"/>
        <v>523</v>
      </c>
      <c r="I1034" s="47">
        <v>523</v>
      </c>
      <c r="J1034" s="47">
        <v>0</v>
      </c>
      <c r="K1034" s="188" t="s">
        <v>233</v>
      </c>
      <c r="L1034" s="134"/>
    </row>
    <row r="1035" spans="1:12" ht="15" customHeight="1" thickBot="1" x14ac:dyDescent="0.25">
      <c r="A1035" s="253"/>
      <c r="B1035" s="47">
        <f t="shared" si="301"/>
        <v>0</v>
      </c>
      <c r="C1035" s="47">
        <f t="shared" si="302"/>
        <v>0</v>
      </c>
      <c r="D1035" s="47">
        <f t="shared" si="302"/>
        <v>0</v>
      </c>
      <c r="E1035" s="47">
        <f t="shared" si="303"/>
        <v>0</v>
      </c>
      <c r="F1035" s="47">
        <v>0</v>
      </c>
      <c r="G1035" s="47">
        <v>0</v>
      </c>
      <c r="H1035" s="47">
        <f t="shared" si="304"/>
        <v>0</v>
      </c>
      <c r="I1035" s="47">
        <v>0</v>
      </c>
      <c r="J1035" s="47">
        <v>0</v>
      </c>
      <c r="K1035" s="188" t="s">
        <v>234</v>
      </c>
      <c r="L1035" s="134" t="s">
        <v>563</v>
      </c>
    </row>
    <row r="1036" spans="1:12" ht="15" customHeight="1" thickBot="1" x14ac:dyDescent="0.25">
      <c r="A1036" s="253"/>
      <c r="B1036" s="47">
        <f t="shared" ref="B1036:I1036" si="306">SUM(B1034:B1035)</f>
        <v>523</v>
      </c>
      <c r="C1036" s="47">
        <f t="shared" si="306"/>
        <v>523</v>
      </c>
      <c r="D1036" s="47">
        <f t="shared" si="306"/>
        <v>0</v>
      </c>
      <c r="E1036" s="47">
        <f t="shared" si="306"/>
        <v>0</v>
      </c>
      <c r="F1036" s="47">
        <f t="shared" si="306"/>
        <v>0</v>
      </c>
      <c r="G1036" s="47">
        <f t="shared" si="306"/>
        <v>0</v>
      </c>
      <c r="H1036" s="47">
        <f t="shared" si="306"/>
        <v>523</v>
      </c>
      <c r="I1036" s="47">
        <f t="shared" si="306"/>
        <v>523</v>
      </c>
      <c r="J1036" s="47">
        <f>SUM(J1034:J1035)</f>
        <v>0</v>
      </c>
      <c r="K1036" s="188" t="s">
        <v>12</v>
      </c>
      <c r="L1036" s="239"/>
    </row>
    <row r="1037" spans="1:12" ht="15" customHeight="1" thickBot="1" x14ac:dyDescent="0.25">
      <c r="A1037" s="253"/>
      <c r="B1037" s="47">
        <f t="shared" si="301"/>
        <v>247</v>
      </c>
      <c r="C1037" s="47">
        <f t="shared" si="302"/>
        <v>247</v>
      </c>
      <c r="D1037" s="47">
        <f t="shared" si="302"/>
        <v>0</v>
      </c>
      <c r="E1037" s="47">
        <f t="shared" si="303"/>
        <v>0</v>
      </c>
      <c r="F1037" s="47">
        <v>0</v>
      </c>
      <c r="G1037" s="47">
        <v>0</v>
      </c>
      <c r="H1037" s="47">
        <f t="shared" si="304"/>
        <v>247</v>
      </c>
      <c r="I1037" s="47">
        <v>247</v>
      </c>
      <c r="J1037" s="47">
        <v>0</v>
      </c>
      <c r="K1037" s="188" t="s">
        <v>233</v>
      </c>
      <c r="L1037" s="134"/>
    </row>
    <row r="1038" spans="1:12" ht="15" customHeight="1" thickBot="1" x14ac:dyDescent="0.25">
      <c r="A1038" s="253"/>
      <c r="B1038" s="47">
        <f t="shared" si="301"/>
        <v>0</v>
      </c>
      <c r="C1038" s="47">
        <f t="shared" si="302"/>
        <v>0</v>
      </c>
      <c r="D1038" s="47">
        <f t="shared" si="302"/>
        <v>0</v>
      </c>
      <c r="E1038" s="47">
        <f t="shared" si="303"/>
        <v>0</v>
      </c>
      <c r="F1038" s="47">
        <v>0</v>
      </c>
      <c r="G1038" s="47">
        <v>0</v>
      </c>
      <c r="H1038" s="47">
        <f t="shared" si="304"/>
        <v>0</v>
      </c>
      <c r="I1038" s="47">
        <v>0</v>
      </c>
      <c r="J1038" s="47">
        <v>0</v>
      </c>
      <c r="K1038" s="188" t="s">
        <v>234</v>
      </c>
      <c r="L1038" s="134" t="s">
        <v>564</v>
      </c>
    </row>
    <row r="1039" spans="1:12" ht="15" customHeight="1" thickBot="1" x14ac:dyDescent="0.25">
      <c r="A1039" s="253"/>
      <c r="B1039" s="47">
        <f t="shared" ref="B1039:I1039" si="307">SUM(B1037:B1038)</f>
        <v>247</v>
      </c>
      <c r="C1039" s="47">
        <f t="shared" si="307"/>
        <v>247</v>
      </c>
      <c r="D1039" s="47">
        <f t="shared" si="307"/>
        <v>0</v>
      </c>
      <c r="E1039" s="47">
        <f t="shared" si="307"/>
        <v>0</v>
      </c>
      <c r="F1039" s="47">
        <f t="shared" si="307"/>
        <v>0</v>
      </c>
      <c r="G1039" s="47">
        <f t="shared" si="307"/>
        <v>0</v>
      </c>
      <c r="H1039" s="47">
        <f t="shared" si="307"/>
        <v>247</v>
      </c>
      <c r="I1039" s="47">
        <f t="shared" si="307"/>
        <v>247</v>
      </c>
      <c r="J1039" s="47">
        <f>SUM(J1037:J1038)</f>
        <v>0</v>
      </c>
      <c r="K1039" s="188" t="s">
        <v>12</v>
      </c>
      <c r="L1039" s="239"/>
    </row>
    <row r="1040" spans="1:12" ht="15" customHeight="1" thickBot="1" x14ac:dyDescent="0.25">
      <c r="A1040" s="253"/>
      <c r="B1040" s="47">
        <f t="shared" si="301"/>
        <v>20</v>
      </c>
      <c r="C1040" s="47">
        <f t="shared" si="302"/>
        <v>20</v>
      </c>
      <c r="D1040" s="47">
        <f t="shared" si="302"/>
        <v>0</v>
      </c>
      <c r="E1040" s="47">
        <f t="shared" si="303"/>
        <v>0</v>
      </c>
      <c r="F1040" s="47">
        <v>0</v>
      </c>
      <c r="G1040" s="47">
        <v>0</v>
      </c>
      <c r="H1040" s="47">
        <f t="shared" si="304"/>
        <v>20</v>
      </c>
      <c r="I1040" s="47">
        <v>20</v>
      </c>
      <c r="J1040" s="47">
        <v>0</v>
      </c>
      <c r="K1040" s="188" t="s">
        <v>233</v>
      </c>
      <c r="L1040" s="134"/>
    </row>
    <row r="1041" spans="1:12" ht="15" customHeight="1" thickBot="1" x14ac:dyDescent="0.25">
      <c r="A1041" s="253"/>
      <c r="B1041" s="47">
        <f t="shared" si="301"/>
        <v>0</v>
      </c>
      <c r="C1041" s="47">
        <f t="shared" si="302"/>
        <v>0</v>
      </c>
      <c r="D1041" s="47">
        <f t="shared" si="302"/>
        <v>0</v>
      </c>
      <c r="E1041" s="47">
        <f t="shared" si="303"/>
        <v>0</v>
      </c>
      <c r="F1041" s="47">
        <v>0</v>
      </c>
      <c r="G1041" s="47">
        <v>0</v>
      </c>
      <c r="H1041" s="47">
        <f t="shared" si="304"/>
        <v>0</v>
      </c>
      <c r="I1041" s="47">
        <v>0</v>
      </c>
      <c r="J1041" s="47">
        <v>0</v>
      </c>
      <c r="K1041" s="188" t="s">
        <v>234</v>
      </c>
      <c r="L1041" s="134" t="s">
        <v>565</v>
      </c>
    </row>
    <row r="1042" spans="1:12" ht="15" customHeight="1" thickBot="1" x14ac:dyDescent="0.25">
      <c r="A1042" s="253"/>
      <c r="B1042" s="47">
        <f t="shared" ref="B1042:I1042" si="308">SUM(B1040:B1041)</f>
        <v>20</v>
      </c>
      <c r="C1042" s="47">
        <f t="shared" si="308"/>
        <v>20</v>
      </c>
      <c r="D1042" s="47">
        <f t="shared" si="308"/>
        <v>0</v>
      </c>
      <c r="E1042" s="47">
        <f t="shared" si="308"/>
        <v>0</v>
      </c>
      <c r="F1042" s="47">
        <f t="shared" si="308"/>
        <v>0</v>
      </c>
      <c r="G1042" s="47">
        <f t="shared" si="308"/>
        <v>0</v>
      </c>
      <c r="H1042" s="47">
        <f t="shared" si="308"/>
        <v>20</v>
      </c>
      <c r="I1042" s="47">
        <f t="shared" si="308"/>
        <v>20</v>
      </c>
      <c r="J1042" s="47">
        <f>SUM(J1040:J1041)</f>
        <v>0</v>
      </c>
      <c r="K1042" s="188" t="s">
        <v>12</v>
      </c>
      <c r="L1042" s="239"/>
    </row>
    <row r="1043" spans="1:12" ht="15" customHeight="1" thickBot="1" x14ac:dyDescent="0.25">
      <c r="A1043" s="253"/>
      <c r="B1043" s="47">
        <f t="shared" si="301"/>
        <v>56</v>
      </c>
      <c r="C1043" s="47">
        <f t="shared" si="302"/>
        <v>0</v>
      </c>
      <c r="D1043" s="47">
        <f t="shared" si="302"/>
        <v>56</v>
      </c>
      <c r="E1043" s="47">
        <f t="shared" si="303"/>
        <v>0</v>
      </c>
      <c r="F1043" s="47">
        <v>0</v>
      </c>
      <c r="G1043" s="47">
        <v>0</v>
      </c>
      <c r="H1043" s="47">
        <f t="shared" si="304"/>
        <v>56</v>
      </c>
      <c r="I1043" s="47">
        <v>0</v>
      </c>
      <c r="J1043" s="47">
        <v>56</v>
      </c>
      <c r="K1043" s="188" t="s">
        <v>233</v>
      </c>
      <c r="L1043" s="134"/>
    </row>
    <row r="1044" spans="1:12" ht="15" customHeight="1" thickBot="1" x14ac:dyDescent="0.25">
      <c r="A1044" s="253"/>
      <c r="B1044" s="47">
        <f t="shared" si="301"/>
        <v>0</v>
      </c>
      <c r="C1044" s="47">
        <f t="shared" si="302"/>
        <v>0</v>
      </c>
      <c r="D1044" s="47">
        <f t="shared" si="302"/>
        <v>0</v>
      </c>
      <c r="E1044" s="47">
        <f t="shared" si="303"/>
        <v>0</v>
      </c>
      <c r="F1044" s="47">
        <v>0</v>
      </c>
      <c r="G1044" s="47">
        <v>0</v>
      </c>
      <c r="H1044" s="47">
        <f t="shared" si="304"/>
        <v>0</v>
      </c>
      <c r="I1044" s="47">
        <v>0</v>
      </c>
      <c r="J1044" s="47">
        <v>0</v>
      </c>
      <c r="K1044" s="188" t="s">
        <v>234</v>
      </c>
      <c r="L1044" s="134" t="s">
        <v>378</v>
      </c>
    </row>
    <row r="1045" spans="1:12" ht="15" customHeight="1" thickBot="1" x14ac:dyDescent="0.25">
      <c r="A1045" s="253"/>
      <c r="B1045" s="47">
        <f t="shared" ref="B1045:I1045" si="309">SUM(B1043:B1044)</f>
        <v>56</v>
      </c>
      <c r="C1045" s="47">
        <f t="shared" si="309"/>
        <v>0</v>
      </c>
      <c r="D1045" s="47">
        <f t="shared" si="309"/>
        <v>56</v>
      </c>
      <c r="E1045" s="47">
        <f t="shared" si="309"/>
        <v>0</v>
      </c>
      <c r="F1045" s="47">
        <f t="shared" si="309"/>
        <v>0</v>
      </c>
      <c r="G1045" s="47">
        <f t="shared" si="309"/>
        <v>0</v>
      </c>
      <c r="H1045" s="47">
        <f t="shared" si="309"/>
        <v>56</v>
      </c>
      <c r="I1045" s="47">
        <f t="shared" si="309"/>
        <v>0</v>
      </c>
      <c r="J1045" s="47">
        <f>SUM(J1043:J1044)</f>
        <v>56</v>
      </c>
      <c r="K1045" s="188" t="s">
        <v>12</v>
      </c>
      <c r="L1045" s="239"/>
    </row>
    <row r="1046" spans="1:12" ht="15" customHeight="1" thickBot="1" x14ac:dyDescent="0.25">
      <c r="A1046" s="253"/>
      <c r="B1046" s="47">
        <f t="shared" ref="B1046:J1048" si="310">B1031+B1034+B1037+B1040+B1043</f>
        <v>1315</v>
      </c>
      <c r="C1046" s="47">
        <f t="shared" si="310"/>
        <v>790</v>
      </c>
      <c r="D1046" s="47">
        <f t="shared" si="310"/>
        <v>525</v>
      </c>
      <c r="E1046" s="47">
        <f t="shared" si="310"/>
        <v>0</v>
      </c>
      <c r="F1046" s="47">
        <f t="shared" si="310"/>
        <v>0</v>
      </c>
      <c r="G1046" s="47">
        <f t="shared" si="310"/>
        <v>0</v>
      </c>
      <c r="H1046" s="47">
        <f t="shared" si="310"/>
        <v>1315</v>
      </c>
      <c r="I1046" s="47">
        <f t="shared" si="310"/>
        <v>790</v>
      </c>
      <c r="J1046" s="47">
        <f>J1031+J1034+J1037+J1040+J1043</f>
        <v>525</v>
      </c>
      <c r="K1046" s="188" t="s">
        <v>236</v>
      </c>
      <c r="L1046" s="131"/>
    </row>
    <row r="1047" spans="1:12" ht="15" customHeight="1" thickBot="1" x14ac:dyDescent="0.25">
      <c r="A1047" s="253"/>
      <c r="B1047" s="47">
        <f t="shared" si="310"/>
        <v>0</v>
      </c>
      <c r="C1047" s="47">
        <f t="shared" si="310"/>
        <v>0</v>
      </c>
      <c r="D1047" s="47">
        <f t="shared" si="310"/>
        <v>0</v>
      </c>
      <c r="E1047" s="47">
        <f t="shared" si="310"/>
        <v>0</v>
      </c>
      <c r="F1047" s="47">
        <f t="shared" si="310"/>
        <v>0</v>
      </c>
      <c r="G1047" s="47">
        <f t="shared" si="310"/>
        <v>0</v>
      </c>
      <c r="H1047" s="47">
        <f t="shared" si="310"/>
        <v>0</v>
      </c>
      <c r="I1047" s="47">
        <f t="shared" si="310"/>
        <v>0</v>
      </c>
      <c r="J1047" s="47">
        <f t="shared" si="310"/>
        <v>0</v>
      </c>
      <c r="K1047" s="188" t="s">
        <v>237</v>
      </c>
      <c r="L1047" s="132" t="s">
        <v>188</v>
      </c>
    </row>
    <row r="1048" spans="1:12" ht="15" customHeight="1" thickBot="1" x14ac:dyDescent="0.25">
      <c r="A1048" s="253"/>
      <c r="B1048" s="47">
        <f t="shared" si="310"/>
        <v>1315</v>
      </c>
      <c r="C1048" s="47">
        <f t="shared" si="310"/>
        <v>790</v>
      </c>
      <c r="D1048" s="47">
        <f t="shared" si="310"/>
        <v>525</v>
      </c>
      <c r="E1048" s="47">
        <f t="shared" si="310"/>
        <v>0</v>
      </c>
      <c r="F1048" s="47">
        <f t="shared" si="310"/>
        <v>0</v>
      </c>
      <c r="G1048" s="47">
        <f t="shared" si="310"/>
        <v>0</v>
      </c>
      <c r="H1048" s="47">
        <f t="shared" si="310"/>
        <v>1315</v>
      </c>
      <c r="I1048" s="47">
        <f t="shared" si="310"/>
        <v>790</v>
      </c>
      <c r="J1048" s="47">
        <f t="shared" si="310"/>
        <v>525</v>
      </c>
      <c r="K1048" s="188" t="s">
        <v>12</v>
      </c>
      <c r="L1048" s="133"/>
    </row>
    <row r="1049" spans="1:12" ht="15" customHeight="1" thickBot="1" x14ac:dyDescent="0.25">
      <c r="A1049" s="253"/>
      <c r="B1049" s="476" t="s">
        <v>4</v>
      </c>
      <c r="C1049" s="476"/>
      <c r="D1049" s="476"/>
      <c r="E1049" s="476" t="s">
        <v>145</v>
      </c>
      <c r="F1049" s="476"/>
      <c r="G1049" s="476"/>
      <c r="H1049" s="476" t="s">
        <v>146</v>
      </c>
      <c r="I1049" s="476"/>
      <c r="J1049" s="476"/>
      <c r="K1049" s="479" t="s">
        <v>66</v>
      </c>
      <c r="L1049" s="479"/>
    </row>
    <row r="1050" spans="1:12" ht="15" customHeight="1" thickBot="1" x14ac:dyDescent="0.25">
      <c r="A1050" s="253"/>
      <c r="B1050" s="185" t="s">
        <v>227</v>
      </c>
      <c r="C1050" s="185" t="s">
        <v>10</v>
      </c>
      <c r="D1050" s="185" t="s">
        <v>9</v>
      </c>
      <c r="E1050" s="185" t="s">
        <v>227</v>
      </c>
      <c r="F1050" s="185" t="s">
        <v>10</v>
      </c>
      <c r="G1050" s="185" t="s">
        <v>9</v>
      </c>
      <c r="H1050" s="185" t="s">
        <v>227</v>
      </c>
      <c r="I1050" s="185" t="s">
        <v>10</v>
      </c>
      <c r="J1050" s="185" t="s">
        <v>9</v>
      </c>
      <c r="K1050" s="480" t="s">
        <v>155</v>
      </c>
      <c r="L1050" s="480"/>
    </row>
    <row r="1051" spans="1:12" ht="15" customHeight="1" thickBot="1" x14ac:dyDescent="0.25">
      <c r="A1051" s="253"/>
      <c r="B1051" s="47">
        <f t="shared" ref="B1051:D1052" si="311">H1051+E1051</f>
        <v>2124</v>
      </c>
      <c r="C1051" s="47">
        <f t="shared" si="311"/>
        <v>1261</v>
      </c>
      <c r="D1051" s="47">
        <f t="shared" si="311"/>
        <v>863</v>
      </c>
      <c r="E1051" s="47">
        <f>G1051+F1051</f>
        <v>0</v>
      </c>
      <c r="F1051" s="47">
        <v>0</v>
      </c>
      <c r="G1051" s="47">
        <v>0</v>
      </c>
      <c r="H1051" s="47">
        <f>J1051+I1051</f>
        <v>2124</v>
      </c>
      <c r="I1051" s="47">
        <v>1261</v>
      </c>
      <c r="J1051" s="47">
        <v>863</v>
      </c>
      <c r="K1051" s="188" t="s">
        <v>233</v>
      </c>
      <c r="L1051" s="134"/>
    </row>
    <row r="1052" spans="1:12" ht="15" customHeight="1" thickBot="1" x14ac:dyDescent="0.25">
      <c r="A1052" s="253"/>
      <c r="B1052" s="47">
        <f t="shared" si="311"/>
        <v>0</v>
      </c>
      <c r="C1052" s="47">
        <f t="shared" si="311"/>
        <v>0</v>
      </c>
      <c r="D1052" s="47">
        <f t="shared" si="311"/>
        <v>0</v>
      </c>
      <c r="E1052" s="47">
        <f>G1052+F1052</f>
        <v>0</v>
      </c>
      <c r="F1052" s="47">
        <v>0</v>
      </c>
      <c r="G1052" s="47">
        <v>0</v>
      </c>
      <c r="H1052" s="47">
        <f>J1052+I1052</f>
        <v>0</v>
      </c>
      <c r="I1052" s="47">
        <v>0</v>
      </c>
      <c r="J1052" s="47">
        <v>0</v>
      </c>
      <c r="K1052" s="188" t="s">
        <v>234</v>
      </c>
      <c r="L1052" s="134" t="s">
        <v>127</v>
      </c>
    </row>
    <row r="1053" spans="1:12" ht="15" customHeight="1" thickBot="1" x14ac:dyDescent="0.25">
      <c r="A1053" s="253"/>
      <c r="B1053" s="47">
        <f t="shared" ref="B1053:J1053" si="312">B1051+B1052</f>
        <v>2124</v>
      </c>
      <c r="C1053" s="47">
        <f t="shared" si="312"/>
        <v>1261</v>
      </c>
      <c r="D1053" s="47">
        <f t="shared" si="312"/>
        <v>863</v>
      </c>
      <c r="E1053" s="47">
        <f t="shared" si="312"/>
        <v>0</v>
      </c>
      <c r="F1053" s="47">
        <f t="shared" si="312"/>
        <v>0</v>
      </c>
      <c r="G1053" s="47">
        <f t="shared" si="312"/>
        <v>0</v>
      </c>
      <c r="H1053" s="47">
        <f t="shared" si="312"/>
        <v>2124</v>
      </c>
      <c r="I1053" s="47">
        <f t="shared" si="312"/>
        <v>1261</v>
      </c>
      <c r="J1053" s="47">
        <f t="shared" si="312"/>
        <v>863</v>
      </c>
      <c r="K1053" s="188" t="s">
        <v>12</v>
      </c>
      <c r="L1053" s="239"/>
    </row>
    <row r="1054" spans="1:12" ht="15" customHeight="1" thickBot="1" x14ac:dyDescent="0.25">
      <c r="A1054" s="253"/>
      <c r="B1054" s="47">
        <f t="shared" ref="B1054:D1055" si="313">H1054+E1054</f>
        <v>13257</v>
      </c>
      <c r="C1054" s="47">
        <f t="shared" si="313"/>
        <v>6017</v>
      </c>
      <c r="D1054" s="47">
        <f t="shared" si="313"/>
        <v>7240</v>
      </c>
      <c r="E1054" s="47">
        <f>G1054+F1054</f>
        <v>3456</v>
      </c>
      <c r="F1054" s="47">
        <v>1784</v>
      </c>
      <c r="G1054" s="47">
        <v>1672</v>
      </c>
      <c r="H1054" s="47">
        <f>J1054+I1054</f>
        <v>9801</v>
      </c>
      <c r="I1054" s="47">
        <v>4233</v>
      </c>
      <c r="J1054" s="47">
        <v>5568</v>
      </c>
      <c r="K1054" s="188" t="s">
        <v>233</v>
      </c>
      <c r="L1054" s="134"/>
    </row>
    <row r="1055" spans="1:12" ht="15" customHeight="1" thickBot="1" x14ac:dyDescent="0.25">
      <c r="A1055" s="253"/>
      <c r="B1055" s="47">
        <f t="shared" si="313"/>
        <v>0</v>
      </c>
      <c r="C1055" s="47">
        <f t="shared" si="313"/>
        <v>0</v>
      </c>
      <c r="D1055" s="47">
        <f t="shared" si="313"/>
        <v>0</v>
      </c>
      <c r="E1055" s="47">
        <f>G1055+F1055</f>
        <v>0</v>
      </c>
      <c r="F1055" s="47">
        <v>0</v>
      </c>
      <c r="G1055" s="47">
        <v>0</v>
      </c>
      <c r="H1055" s="47">
        <f>J1055+I1055</f>
        <v>0</v>
      </c>
      <c r="I1055" s="47">
        <v>0</v>
      </c>
      <c r="J1055" s="47">
        <v>0</v>
      </c>
      <c r="K1055" s="188" t="s">
        <v>234</v>
      </c>
      <c r="L1055" s="134" t="s">
        <v>128</v>
      </c>
    </row>
    <row r="1056" spans="1:12" ht="15" customHeight="1" thickBot="1" x14ac:dyDescent="0.25">
      <c r="A1056" s="253"/>
      <c r="B1056" s="47">
        <f t="shared" ref="B1056:J1056" si="314">B1054+B1055</f>
        <v>13257</v>
      </c>
      <c r="C1056" s="47">
        <f t="shared" si="314"/>
        <v>6017</v>
      </c>
      <c r="D1056" s="47">
        <f t="shared" si="314"/>
        <v>7240</v>
      </c>
      <c r="E1056" s="47">
        <f t="shared" si="314"/>
        <v>3456</v>
      </c>
      <c r="F1056" s="47">
        <f t="shared" si="314"/>
        <v>1784</v>
      </c>
      <c r="G1056" s="47">
        <f t="shared" si="314"/>
        <v>1672</v>
      </c>
      <c r="H1056" s="47">
        <f t="shared" si="314"/>
        <v>9801</v>
      </c>
      <c r="I1056" s="47">
        <f t="shared" si="314"/>
        <v>4233</v>
      </c>
      <c r="J1056" s="47">
        <f t="shared" si="314"/>
        <v>5568</v>
      </c>
      <c r="K1056" s="188" t="s">
        <v>12</v>
      </c>
      <c r="L1056" s="239"/>
    </row>
    <row r="1057" spans="1:12" ht="15" customHeight="1" thickBot="1" x14ac:dyDescent="0.25">
      <c r="A1057" s="253"/>
      <c r="B1057" s="47">
        <f t="shared" ref="B1057:D1058" si="315">H1057+E1057</f>
        <v>1256</v>
      </c>
      <c r="C1057" s="47">
        <f t="shared" si="315"/>
        <v>602</v>
      </c>
      <c r="D1057" s="47">
        <f t="shared" si="315"/>
        <v>654</v>
      </c>
      <c r="E1057" s="47">
        <f>G1057+F1057</f>
        <v>87</v>
      </c>
      <c r="F1057" s="47">
        <v>36</v>
      </c>
      <c r="G1057" s="47">
        <v>51</v>
      </c>
      <c r="H1057" s="47">
        <f>J1057+I1057</f>
        <v>1169</v>
      </c>
      <c r="I1057" s="47">
        <v>566</v>
      </c>
      <c r="J1057" s="47">
        <v>603</v>
      </c>
      <c r="K1057" s="188" t="s">
        <v>233</v>
      </c>
      <c r="L1057" s="134"/>
    </row>
    <row r="1058" spans="1:12" ht="15" customHeight="1" thickBot="1" x14ac:dyDescent="0.25">
      <c r="A1058" s="253"/>
      <c r="B1058" s="47">
        <f t="shared" si="315"/>
        <v>0</v>
      </c>
      <c r="C1058" s="47">
        <f t="shared" si="315"/>
        <v>0</v>
      </c>
      <c r="D1058" s="47">
        <f t="shared" si="315"/>
        <v>0</v>
      </c>
      <c r="E1058" s="47">
        <f>G1058+F1058</f>
        <v>0</v>
      </c>
      <c r="F1058" s="47">
        <v>0</v>
      </c>
      <c r="G1058" s="47">
        <v>0</v>
      </c>
      <c r="H1058" s="47">
        <f>J1058+I1058</f>
        <v>0</v>
      </c>
      <c r="I1058" s="47">
        <v>0</v>
      </c>
      <c r="J1058" s="47">
        <v>0</v>
      </c>
      <c r="K1058" s="188" t="s">
        <v>234</v>
      </c>
      <c r="L1058" s="134" t="s">
        <v>129</v>
      </c>
    </row>
    <row r="1059" spans="1:12" ht="15" customHeight="1" thickBot="1" x14ac:dyDescent="0.25">
      <c r="A1059" s="253"/>
      <c r="B1059" s="47">
        <f t="shared" ref="B1059:J1059" si="316">B1057+B1058</f>
        <v>1256</v>
      </c>
      <c r="C1059" s="47">
        <f t="shared" si="316"/>
        <v>602</v>
      </c>
      <c r="D1059" s="47">
        <f t="shared" si="316"/>
        <v>654</v>
      </c>
      <c r="E1059" s="47">
        <f t="shared" si="316"/>
        <v>87</v>
      </c>
      <c r="F1059" s="47">
        <f t="shared" si="316"/>
        <v>36</v>
      </c>
      <c r="G1059" s="47">
        <f t="shared" si="316"/>
        <v>51</v>
      </c>
      <c r="H1059" s="47">
        <f t="shared" si="316"/>
        <v>1169</v>
      </c>
      <c r="I1059" s="47">
        <f t="shared" si="316"/>
        <v>566</v>
      </c>
      <c r="J1059" s="47">
        <f t="shared" si="316"/>
        <v>603</v>
      </c>
      <c r="K1059" s="188" t="s">
        <v>12</v>
      </c>
      <c r="L1059" s="239"/>
    </row>
    <row r="1060" spans="1:12" ht="15" customHeight="1" thickBot="1" x14ac:dyDescent="0.25">
      <c r="A1060" s="253"/>
      <c r="B1060" s="47">
        <f t="shared" ref="B1060:D1061" si="317">H1060+E1060</f>
        <v>88</v>
      </c>
      <c r="C1060" s="47">
        <f t="shared" si="317"/>
        <v>0</v>
      </c>
      <c r="D1060" s="47">
        <f t="shared" si="317"/>
        <v>88</v>
      </c>
      <c r="E1060" s="47">
        <f>G1060+F1060</f>
        <v>36</v>
      </c>
      <c r="F1060" s="47">
        <v>0</v>
      </c>
      <c r="G1060" s="47">
        <v>36</v>
      </c>
      <c r="H1060" s="47">
        <f>J1060+I1060</f>
        <v>52</v>
      </c>
      <c r="I1060" s="47">
        <v>0</v>
      </c>
      <c r="J1060" s="47">
        <v>52</v>
      </c>
      <c r="K1060" s="188" t="s">
        <v>233</v>
      </c>
      <c r="L1060" s="134"/>
    </row>
    <row r="1061" spans="1:12" ht="15" customHeight="1" thickBot="1" x14ac:dyDescent="0.25">
      <c r="A1061" s="253"/>
      <c r="B1061" s="47">
        <f t="shared" si="317"/>
        <v>0</v>
      </c>
      <c r="C1061" s="47">
        <f t="shared" si="317"/>
        <v>0</v>
      </c>
      <c r="D1061" s="47">
        <f t="shared" si="317"/>
        <v>0</v>
      </c>
      <c r="E1061" s="47">
        <f>G1061+F1061</f>
        <v>0</v>
      </c>
      <c r="F1061" s="47">
        <v>0</v>
      </c>
      <c r="G1061" s="47">
        <v>0</v>
      </c>
      <c r="H1061" s="47">
        <f>J1061+I1061</f>
        <v>0</v>
      </c>
      <c r="I1061" s="47">
        <v>0</v>
      </c>
      <c r="J1061" s="47">
        <v>0</v>
      </c>
      <c r="K1061" s="188" t="s">
        <v>234</v>
      </c>
      <c r="L1061" s="134" t="s">
        <v>132</v>
      </c>
    </row>
    <row r="1062" spans="1:12" ht="15" customHeight="1" thickBot="1" x14ac:dyDescent="0.25">
      <c r="A1062" s="253"/>
      <c r="B1062" s="47">
        <f t="shared" ref="B1062:J1062" si="318">B1060+B1061</f>
        <v>88</v>
      </c>
      <c r="C1062" s="47">
        <f t="shared" si="318"/>
        <v>0</v>
      </c>
      <c r="D1062" s="47">
        <f t="shared" si="318"/>
        <v>88</v>
      </c>
      <c r="E1062" s="47">
        <f t="shared" si="318"/>
        <v>36</v>
      </c>
      <c r="F1062" s="47">
        <f t="shared" si="318"/>
        <v>0</v>
      </c>
      <c r="G1062" s="47">
        <f t="shared" si="318"/>
        <v>36</v>
      </c>
      <c r="H1062" s="47">
        <f t="shared" si="318"/>
        <v>52</v>
      </c>
      <c r="I1062" s="47">
        <f t="shared" si="318"/>
        <v>0</v>
      </c>
      <c r="J1062" s="47">
        <f t="shared" si="318"/>
        <v>52</v>
      </c>
      <c r="K1062" s="188" t="s">
        <v>12</v>
      </c>
      <c r="L1062" s="239"/>
    </row>
    <row r="1063" spans="1:12" ht="15" customHeight="1" thickBot="1" x14ac:dyDescent="0.25">
      <c r="A1063" s="253"/>
      <c r="B1063" s="47">
        <f t="shared" ref="B1063:D1064" si="319">H1063+E1063</f>
        <v>1083</v>
      </c>
      <c r="C1063" s="47">
        <f t="shared" si="319"/>
        <v>516</v>
      </c>
      <c r="D1063" s="47">
        <f t="shared" si="319"/>
        <v>567</v>
      </c>
      <c r="E1063" s="47">
        <f>G1063+F1063</f>
        <v>140</v>
      </c>
      <c r="F1063" s="47">
        <v>49</v>
      </c>
      <c r="G1063" s="47">
        <v>91</v>
      </c>
      <c r="H1063" s="47">
        <f>J1063+I1063</f>
        <v>943</v>
      </c>
      <c r="I1063" s="47">
        <v>467</v>
      </c>
      <c r="J1063" s="47">
        <v>476</v>
      </c>
      <c r="K1063" s="188" t="s">
        <v>233</v>
      </c>
      <c r="L1063" s="134"/>
    </row>
    <row r="1064" spans="1:12" ht="15" customHeight="1" thickBot="1" x14ac:dyDescent="0.25">
      <c r="A1064" s="253"/>
      <c r="B1064" s="47">
        <f t="shared" si="319"/>
        <v>0</v>
      </c>
      <c r="C1064" s="47">
        <f t="shared" si="319"/>
        <v>0</v>
      </c>
      <c r="D1064" s="47">
        <f t="shared" si="319"/>
        <v>0</v>
      </c>
      <c r="E1064" s="47">
        <f>G1064+F1064</f>
        <v>0</v>
      </c>
      <c r="F1064" s="47">
        <v>0</v>
      </c>
      <c r="G1064" s="47">
        <v>0</v>
      </c>
      <c r="H1064" s="47">
        <f>J1064+I1064</f>
        <v>0</v>
      </c>
      <c r="I1064" s="47">
        <v>0</v>
      </c>
      <c r="J1064" s="47">
        <v>0</v>
      </c>
      <c r="K1064" s="188" t="s">
        <v>234</v>
      </c>
      <c r="L1064" s="134" t="s">
        <v>131</v>
      </c>
    </row>
    <row r="1065" spans="1:12" ht="15" customHeight="1" thickBot="1" x14ac:dyDescent="0.25">
      <c r="A1065" s="253"/>
      <c r="B1065" s="47">
        <f t="shared" ref="B1065:J1065" si="320">B1063+B1064</f>
        <v>1083</v>
      </c>
      <c r="C1065" s="47">
        <f t="shared" si="320"/>
        <v>516</v>
      </c>
      <c r="D1065" s="47">
        <f t="shared" si="320"/>
        <v>567</v>
      </c>
      <c r="E1065" s="47">
        <f t="shared" si="320"/>
        <v>140</v>
      </c>
      <c r="F1065" s="47">
        <f t="shared" si="320"/>
        <v>49</v>
      </c>
      <c r="G1065" s="47">
        <f t="shared" si="320"/>
        <v>91</v>
      </c>
      <c r="H1065" s="47">
        <f t="shared" si="320"/>
        <v>943</v>
      </c>
      <c r="I1065" s="47">
        <f t="shared" si="320"/>
        <v>467</v>
      </c>
      <c r="J1065" s="47">
        <f t="shared" si="320"/>
        <v>476</v>
      </c>
      <c r="K1065" s="188" t="s">
        <v>12</v>
      </c>
      <c r="L1065" s="239"/>
    </row>
    <row r="1066" spans="1:12" ht="15" customHeight="1" thickBot="1" x14ac:dyDescent="0.25">
      <c r="A1066" s="253"/>
      <c r="B1066" s="47">
        <f t="shared" ref="B1066:D1067" si="321">H1066+E1066</f>
        <v>452</v>
      </c>
      <c r="C1066" s="47">
        <f t="shared" si="321"/>
        <v>452</v>
      </c>
      <c r="D1066" s="47">
        <f t="shared" si="321"/>
        <v>0</v>
      </c>
      <c r="E1066" s="47">
        <f>G1066+F1066</f>
        <v>144</v>
      </c>
      <c r="F1066" s="47">
        <v>144</v>
      </c>
      <c r="G1066" s="47">
        <v>0</v>
      </c>
      <c r="H1066" s="47">
        <f>J1066+I1066</f>
        <v>308</v>
      </c>
      <c r="I1066" s="47">
        <v>308</v>
      </c>
      <c r="J1066" s="47">
        <v>0</v>
      </c>
      <c r="K1066" s="188" t="s">
        <v>233</v>
      </c>
      <c r="L1066" s="134"/>
    </row>
    <row r="1067" spans="1:12" ht="15" customHeight="1" thickBot="1" x14ac:dyDescent="0.25">
      <c r="A1067" s="253"/>
      <c r="B1067" s="47">
        <f t="shared" si="321"/>
        <v>0</v>
      </c>
      <c r="C1067" s="47">
        <f t="shared" si="321"/>
        <v>0</v>
      </c>
      <c r="D1067" s="47">
        <f t="shared" si="321"/>
        <v>0</v>
      </c>
      <c r="E1067" s="47">
        <f>G1067+F1067</f>
        <v>0</v>
      </c>
      <c r="F1067" s="47">
        <v>0</v>
      </c>
      <c r="G1067" s="47">
        <v>0</v>
      </c>
      <c r="H1067" s="47">
        <f>J1067+I1067</f>
        <v>0</v>
      </c>
      <c r="I1067" s="47">
        <v>0</v>
      </c>
      <c r="J1067" s="47">
        <v>0</v>
      </c>
      <c r="K1067" s="188" t="s">
        <v>234</v>
      </c>
      <c r="L1067" s="134" t="s">
        <v>130</v>
      </c>
    </row>
    <row r="1068" spans="1:12" ht="15" customHeight="1" thickBot="1" x14ac:dyDescent="0.25">
      <c r="A1068" s="253"/>
      <c r="B1068" s="47">
        <f t="shared" ref="B1068:J1068" si="322">B1066+B1067</f>
        <v>452</v>
      </c>
      <c r="C1068" s="47">
        <f t="shared" si="322"/>
        <v>452</v>
      </c>
      <c r="D1068" s="47">
        <f t="shared" si="322"/>
        <v>0</v>
      </c>
      <c r="E1068" s="47">
        <f t="shared" si="322"/>
        <v>144</v>
      </c>
      <c r="F1068" s="47">
        <f t="shared" si="322"/>
        <v>144</v>
      </c>
      <c r="G1068" s="47">
        <f t="shared" si="322"/>
        <v>0</v>
      </c>
      <c r="H1068" s="47">
        <f t="shared" si="322"/>
        <v>308</v>
      </c>
      <c r="I1068" s="47">
        <f t="shared" si="322"/>
        <v>308</v>
      </c>
      <c r="J1068" s="47">
        <f t="shared" si="322"/>
        <v>0</v>
      </c>
      <c r="K1068" s="188" t="s">
        <v>12</v>
      </c>
      <c r="L1068" s="239"/>
    </row>
    <row r="1069" spans="1:12" ht="15" customHeight="1" thickBot="1" x14ac:dyDescent="0.25">
      <c r="A1069" s="253"/>
      <c r="B1069" s="47">
        <f t="shared" ref="B1069:D1070" si="323">H1069+E1069</f>
        <v>814</v>
      </c>
      <c r="C1069" s="47">
        <f t="shared" si="323"/>
        <v>814</v>
      </c>
      <c r="D1069" s="47">
        <f t="shared" si="323"/>
        <v>0</v>
      </c>
      <c r="E1069" s="47">
        <f>G1069+F1069</f>
        <v>257</v>
      </c>
      <c r="F1069" s="47">
        <v>257</v>
      </c>
      <c r="G1069" s="47">
        <v>0</v>
      </c>
      <c r="H1069" s="47">
        <f>J1069+I1069</f>
        <v>557</v>
      </c>
      <c r="I1069" s="47">
        <v>557</v>
      </c>
      <c r="J1069" s="47">
        <v>0</v>
      </c>
      <c r="K1069" s="188" t="s">
        <v>233</v>
      </c>
      <c r="L1069" s="134"/>
    </row>
    <row r="1070" spans="1:12" ht="15" customHeight="1" thickBot="1" x14ac:dyDescent="0.25">
      <c r="A1070" s="253"/>
      <c r="B1070" s="47">
        <f t="shared" si="323"/>
        <v>0</v>
      </c>
      <c r="C1070" s="47">
        <f t="shared" si="323"/>
        <v>0</v>
      </c>
      <c r="D1070" s="47">
        <f t="shared" si="323"/>
        <v>0</v>
      </c>
      <c r="E1070" s="47">
        <f>G1070+F1070</f>
        <v>0</v>
      </c>
      <c r="F1070" s="47">
        <v>0</v>
      </c>
      <c r="G1070" s="47">
        <v>0</v>
      </c>
      <c r="H1070" s="47">
        <f>J1070+I1070</f>
        <v>0</v>
      </c>
      <c r="I1070" s="47">
        <v>0</v>
      </c>
      <c r="J1070" s="47">
        <v>0</v>
      </c>
      <c r="K1070" s="188" t="s">
        <v>234</v>
      </c>
      <c r="L1070" s="134" t="s">
        <v>133</v>
      </c>
    </row>
    <row r="1071" spans="1:12" ht="15" customHeight="1" thickBot="1" x14ac:dyDescent="0.25">
      <c r="A1071" s="253"/>
      <c r="B1071" s="47">
        <f t="shared" ref="B1071:J1071" si="324">B1069+B1070</f>
        <v>814</v>
      </c>
      <c r="C1071" s="47">
        <f t="shared" si="324"/>
        <v>814</v>
      </c>
      <c r="D1071" s="47">
        <f t="shared" si="324"/>
        <v>0</v>
      </c>
      <c r="E1071" s="47">
        <f t="shared" si="324"/>
        <v>257</v>
      </c>
      <c r="F1071" s="47">
        <f t="shared" si="324"/>
        <v>257</v>
      </c>
      <c r="G1071" s="47">
        <f t="shared" si="324"/>
        <v>0</v>
      </c>
      <c r="H1071" s="47">
        <f t="shared" si="324"/>
        <v>557</v>
      </c>
      <c r="I1071" s="47">
        <f t="shared" si="324"/>
        <v>557</v>
      </c>
      <c r="J1071" s="47">
        <f t="shared" si="324"/>
        <v>0</v>
      </c>
      <c r="K1071" s="188" t="s">
        <v>12</v>
      </c>
      <c r="L1071" s="239"/>
    </row>
    <row r="1072" spans="1:12" ht="15" customHeight="1" thickBot="1" x14ac:dyDescent="0.25">
      <c r="A1072" s="253"/>
      <c r="B1072" s="47">
        <f t="shared" ref="B1072:D1073" si="325">H1072+E1072</f>
        <v>276</v>
      </c>
      <c r="C1072" s="47">
        <f t="shared" si="325"/>
        <v>0</v>
      </c>
      <c r="D1072" s="47">
        <f t="shared" si="325"/>
        <v>276</v>
      </c>
      <c r="E1072" s="47">
        <f>G1072+F1072</f>
        <v>4</v>
      </c>
      <c r="F1072" s="47">
        <v>0</v>
      </c>
      <c r="G1072" s="47">
        <v>4</v>
      </c>
      <c r="H1072" s="47">
        <f>J1072+I1072</f>
        <v>272</v>
      </c>
      <c r="I1072" s="47">
        <v>0</v>
      </c>
      <c r="J1072" s="47">
        <v>272</v>
      </c>
      <c r="K1072" s="188" t="s">
        <v>233</v>
      </c>
      <c r="L1072" s="134"/>
    </row>
    <row r="1073" spans="1:12" ht="15" customHeight="1" thickBot="1" x14ac:dyDescent="0.25">
      <c r="A1073" s="253"/>
      <c r="B1073" s="47">
        <f t="shared" si="325"/>
        <v>0</v>
      </c>
      <c r="C1073" s="47">
        <f t="shared" si="325"/>
        <v>0</v>
      </c>
      <c r="D1073" s="47">
        <f t="shared" si="325"/>
        <v>0</v>
      </c>
      <c r="E1073" s="47">
        <f>G1073+F1073</f>
        <v>0</v>
      </c>
      <c r="F1073" s="47">
        <v>0</v>
      </c>
      <c r="G1073" s="47">
        <v>0</v>
      </c>
      <c r="H1073" s="47">
        <f>J1073+I1073</f>
        <v>0</v>
      </c>
      <c r="I1073" s="47">
        <v>0</v>
      </c>
      <c r="J1073" s="47">
        <v>0</v>
      </c>
      <c r="K1073" s="188" t="s">
        <v>234</v>
      </c>
      <c r="L1073" s="134" t="s">
        <v>134</v>
      </c>
    </row>
    <row r="1074" spans="1:12" ht="15" customHeight="1" thickBot="1" x14ac:dyDescent="0.25">
      <c r="A1074" s="253"/>
      <c r="B1074" s="47">
        <f t="shared" ref="B1074:J1074" si="326">B1072+B1073</f>
        <v>276</v>
      </c>
      <c r="C1074" s="47">
        <f t="shared" si="326"/>
        <v>0</v>
      </c>
      <c r="D1074" s="47">
        <f t="shared" si="326"/>
        <v>276</v>
      </c>
      <c r="E1074" s="47">
        <f t="shared" si="326"/>
        <v>4</v>
      </c>
      <c r="F1074" s="47">
        <f t="shared" si="326"/>
        <v>0</v>
      </c>
      <c r="G1074" s="47">
        <f t="shared" si="326"/>
        <v>4</v>
      </c>
      <c r="H1074" s="47">
        <f t="shared" si="326"/>
        <v>272</v>
      </c>
      <c r="I1074" s="47">
        <f t="shared" si="326"/>
        <v>0</v>
      </c>
      <c r="J1074" s="47">
        <f t="shared" si="326"/>
        <v>272</v>
      </c>
      <c r="K1074" s="188" t="s">
        <v>12</v>
      </c>
      <c r="L1074" s="239"/>
    </row>
    <row r="1075" spans="1:12" ht="15" customHeight="1" thickBot="1" x14ac:dyDescent="0.25">
      <c r="A1075" s="253"/>
      <c r="B1075" s="47">
        <f t="shared" ref="B1075:D1076" si="327">H1075+E1075</f>
        <v>55</v>
      </c>
      <c r="C1075" s="47">
        <f t="shared" si="327"/>
        <v>0</v>
      </c>
      <c r="D1075" s="47">
        <f t="shared" si="327"/>
        <v>55</v>
      </c>
      <c r="E1075" s="47">
        <f>G1075+F1075</f>
        <v>15</v>
      </c>
      <c r="F1075" s="47">
        <v>0</v>
      </c>
      <c r="G1075" s="47">
        <v>15</v>
      </c>
      <c r="H1075" s="47">
        <f>J1075+I1075</f>
        <v>40</v>
      </c>
      <c r="I1075" s="47">
        <v>0</v>
      </c>
      <c r="J1075" s="47">
        <v>40</v>
      </c>
      <c r="K1075" s="188" t="s">
        <v>233</v>
      </c>
      <c r="L1075" s="134"/>
    </row>
    <row r="1076" spans="1:12" ht="15" customHeight="1" thickBot="1" x14ac:dyDescent="0.25">
      <c r="A1076" s="253"/>
      <c r="B1076" s="47">
        <f t="shared" si="327"/>
        <v>0</v>
      </c>
      <c r="C1076" s="47">
        <f t="shared" si="327"/>
        <v>0</v>
      </c>
      <c r="D1076" s="47">
        <f t="shared" si="327"/>
        <v>0</v>
      </c>
      <c r="E1076" s="47">
        <f>G1076+F1076</f>
        <v>0</v>
      </c>
      <c r="F1076" s="47">
        <v>0</v>
      </c>
      <c r="G1076" s="47">
        <v>0</v>
      </c>
      <c r="H1076" s="47">
        <f>J1076+I1076</f>
        <v>0</v>
      </c>
      <c r="I1076" s="47">
        <v>0</v>
      </c>
      <c r="J1076" s="47">
        <v>0</v>
      </c>
      <c r="K1076" s="188" t="s">
        <v>234</v>
      </c>
      <c r="L1076" s="134" t="s">
        <v>201</v>
      </c>
    </row>
    <row r="1077" spans="1:12" ht="15" customHeight="1" thickBot="1" x14ac:dyDescent="0.25">
      <c r="A1077" s="253"/>
      <c r="B1077" s="47">
        <f t="shared" ref="B1077:J1077" si="328">B1075+B1076</f>
        <v>55</v>
      </c>
      <c r="C1077" s="47">
        <f t="shared" si="328"/>
        <v>0</v>
      </c>
      <c r="D1077" s="47">
        <f t="shared" si="328"/>
        <v>55</v>
      </c>
      <c r="E1077" s="47">
        <f t="shared" si="328"/>
        <v>15</v>
      </c>
      <c r="F1077" s="47">
        <f t="shared" si="328"/>
        <v>0</v>
      </c>
      <c r="G1077" s="47">
        <f t="shared" si="328"/>
        <v>15</v>
      </c>
      <c r="H1077" s="47">
        <f t="shared" si="328"/>
        <v>40</v>
      </c>
      <c r="I1077" s="47">
        <f t="shared" si="328"/>
        <v>0</v>
      </c>
      <c r="J1077" s="47">
        <f t="shared" si="328"/>
        <v>40</v>
      </c>
      <c r="K1077" s="188" t="s">
        <v>12</v>
      </c>
      <c r="L1077" s="239"/>
    </row>
    <row r="1078" spans="1:12" ht="15" customHeight="1" thickBot="1" x14ac:dyDescent="0.25">
      <c r="A1078" s="253"/>
      <c r="B1078" s="47">
        <f t="shared" ref="B1078:D1079" si="329">H1078+E1078</f>
        <v>269</v>
      </c>
      <c r="C1078" s="47">
        <f t="shared" si="329"/>
        <v>0</v>
      </c>
      <c r="D1078" s="47">
        <f t="shared" si="329"/>
        <v>269</v>
      </c>
      <c r="E1078" s="47">
        <f>G1078+F1078</f>
        <v>4</v>
      </c>
      <c r="F1078" s="47">
        <v>0</v>
      </c>
      <c r="G1078" s="47">
        <v>4</v>
      </c>
      <c r="H1078" s="47">
        <f>J1078+I1078</f>
        <v>265</v>
      </c>
      <c r="I1078" s="47">
        <v>0</v>
      </c>
      <c r="J1078" s="47">
        <v>265</v>
      </c>
      <c r="K1078" s="188" t="s">
        <v>233</v>
      </c>
      <c r="L1078" s="134"/>
    </row>
    <row r="1079" spans="1:12" ht="15" customHeight="1" thickBot="1" x14ac:dyDescent="0.25">
      <c r="A1079" s="253"/>
      <c r="B1079" s="47">
        <f t="shared" si="329"/>
        <v>0</v>
      </c>
      <c r="C1079" s="47">
        <f t="shared" si="329"/>
        <v>0</v>
      </c>
      <c r="D1079" s="47">
        <f t="shared" si="329"/>
        <v>0</v>
      </c>
      <c r="E1079" s="47">
        <f>G1079+F1079</f>
        <v>0</v>
      </c>
      <c r="F1079" s="47">
        <v>0</v>
      </c>
      <c r="G1079" s="47">
        <v>0</v>
      </c>
      <c r="H1079" s="47">
        <f>J1079+I1079</f>
        <v>0</v>
      </c>
      <c r="I1079" s="47">
        <v>0</v>
      </c>
      <c r="J1079" s="47">
        <v>0</v>
      </c>
      <c r="K1079" s="188" t="s">
        <v>234</v>
      </c>
      <c r="L1079" s="134" t="s">
        <v>135</v>
      </c>
    </row>
    <row r="1080" spans="1:12" ht="15" customHeight="1" thickBot="1" x14ac:dyDescent="0.25">
      <c r="A1080" s="253"/>
      <c r="B1080" s="47">
        <f t="shared" ref="B1080:J1080" si="330">B1078+B1079</f>
        <v>269</v>
      </c>
      <c r="C1080" s="47">
        <f t="shared" si="330"/>
        <v>0</v>
      </c>
      <c r="D1080" s="47">
        <f t="shared" si="330"/>
        <v>269</v>
      </c>
      <c r="E1080" s="47">
        <f t="shared" si="330"/>
        <v>4</v>
      </c>
      <c r="F1080" s="47">
        <f t="shared" si="330"/>
        <v>0</v>
      </c>
      <c r="G1080" s="47">
        <f t="shared" si="330"/>
        <v>4</v>
      </c>
      <c r="H1080" s="47">
        <f t="shared" si="330"/>
        <v>265</v>
      </c>
      <c r="I1080" s="47">
        <f t="shared" si="330"/>
        <v>0</v>
      </c>
      <c r="J1080" s="47">
        <f t="shared" si="330"/>
        <v>265</v>
      </c>
      <c r="K1080" s="188" t="s">
        <v>12</v>
      </c>
      <c r="L1080" s="239"/>
    </row>
    <row r="1081" spans="1:12" ht="15" customHeight="1" thickBot="1" x14ac:dyDescent="0.25">
      <c r="A1081" s="253"/>
      <c r="B1081" s="47">
        <f t="shared" ref="B1081:D1082" si="331">H1081+E1081</f>
        <v>1542</v>
      </c>
      <c r="C1081" s="47">
        <f t="shared" si="331"/>
        <v>504</v>
      </c>
      <c r="D1081" s="47">
        <f t="shared" si="331"/>
        <v>1038</v>
      </c>
      <c r="E1081" s="47">
        <f>G1081+F1081</f>
        <v>300</v>
      </c>
      <c r="F1081" s="47">
        <v>87</v>
      </c>
      <c r="G1081" s="47">
        <v>213</v>
      </c>
      <c r="H1081" s="47">
        <f>J1081+I1081</f>
        <v>1242</v>
      </c>
      <c r="I1081" s="47">
        <v>417</v>
      </c>
      <c r="J1081" s="47">
        <v>825</v>
      </c>
      <c r="K1081" s="188" t="s">
        <v>233</v>
      </c>
      <c r="L1081" s="134"/>
    </row>
    <row r="1082" spans="1:12" ht="15" customHeight="1" thickBot="1" x14ac:dyDescent="0.25">
      <c r="A1082" s="253"/>
      <c r="B1082" s="47">
        <f t="shared" si="331"/>
        <v>0</v>
      </c>
      <c r="C1082" s="47">
        <f t="shared" si="331"/>
        <v>0</v>
      </c>
      <c r="D1082" s="47">
        <f t="shared" si="331"/>
        <v>0</v>
      </c>
      <c r="E1082" s="47">
        <f>G1082+F1082</f>
        <v>0</v>
      </c>
      <c r="F1082" s="47">
        <v>0</v>
      </c>
      <c r="G1082" s="47">
        <v>0</v>
      </c>
      <c r="H1082" s="47">
        <f>J1082+I1082</f>
        <v>0</v>
      </c>
      <c r="I1082" s="47">
        <v>0</v>
      </c>
      <c r="J1082" s="47">
        <v>0</v>
      </c>
      <c r="K1082" s="188" t="s">
        <v>234</v>
      </c>
      <c r="L1082" s="134" t="s">
        <v>136</v>
      </c>
    </row>
    <row r="1083" spans="1:12" ht="15" customHeight="1" thickBot="1" x14ac:dyDescent="0.25">
      <c r="A1083" s="253"/>
      <c r="B1083" s="47">
        <f t="shared" ref="B1083:J1083" si="332">B1081+B1082</f>
        <v>1542</v>
      </c>
      <c r="C1083" s="47">
        <f t="shared" si="332"/>
        <v>504</v>
      </c>
      <c r="D1083" s="47">
        <f t="shared" si="332"/>
        <v>1038</v>
      </c>
      <c r="E1083" s="47">
        <f t="shared" si="332"/>
        <v>300</v>
      </c>
      <c r="F1083" s="47">
        <f t="shared" si="332"/>
        <v>87</v>
      </c>
      <c r="G1083" s="47">
        <f t="shared" si="332"/>
        <v>213</v>
      </c>
      <c r="H1083" s="47">
        <f t="shared" si="332"/>
        <v>1242</v>
      </c>
      <c r="I1083" s="47">
        <f t="shared" si="332"/>
        <v>417</v>
      </c>
      <c r="J1083" s="47">
        <f t="shared" si="332"/>
        <v>825</v>
      </c>
      <c r="K1083" s="188" t="s">
        <v>12</v>
      </c>
      <c r="L1083" s="239"/>
    </row>
    <row r="1084" spans="1:12" ht="15" customHeight="1" thickBot="1" x14ac:dyDescent="0.25">
      <c r="A1084" s="253"/>
      <c r="B1084" s="47">
        <f t="shared" ref="B1084:D1085" si="333">H1084+E1084</f>
        <v>285</v>
      </c>
      <c r="C1084" s="47">
        <f t="shared" si="333"/>
        <v>134</v>
      </c>
      <c r="D1084" s="47">
        <f t="shared" si="333"/>
        <v>151</v>
      </c>
      <c r="E1084" s="47">
        <f>G1084+F1084</f>
        <v>19</v>
      </c>
      <c r="F1084" s="47">
        <v>18</v>
      </c>
      <c r="G1084" s="47">
        <v>1</v>
      </c>
      <c r="H1084" s="47">
        <f>J1084+I1084</f>
        <v>266</v>
      </c>
      <c r="I1084" s="47">
        <v>116</v>
      </c>
      <c r="J1084" s="47">
        <v>150</v>
      </c>
      <c r="K1084" s="188" t="s">
        <v>233</v>
      </c>
      <c r="L1084" s="134"/>
    </row>
    <row r="1085" spans="1:12" ht="15" customHeight="1" thickBot="1" x14ac:dyDescent="0.25">
      <c r="A1085" s="253"/>
      <c r="B1085" s="47">
        <f t="shared" si="333"/>
        <v>0</v>
      </c>
      <c r="C1085" s="47">
        <f t="shared" si="333"/>
        <v>0</v>
      </c>
      <c r="D1085" s="47">
        <f t="shared" si="333"/>
        <v>0</v>
      </c>
      <c r="E1085" s="47">
        <f>G1085+F1085</f>
        <v>0</v>
      </c>
      <c r="F1085" s="47">
        <v>0</v>
      </c>
      <c r="G1085" s="47">
        <v>0</v>
      </c>
      <c r="H1085" s="47">
        <f>J1085+I1085</f>
        <v>0</v>
      </c>
      <c r="I1085" s="47">
        <v>0</v>
      </c>
      <c r="J1085" s="47">
        <v>0</v>
      </c>
      <c r="K1085" s="188" t="s">
        <v>234</v>
      </c>
      <c r="L1085" s="134" t="s">
        <v>137</v>
      </c>
    </row>
    <row r="1086" spans="1:12" ht="15" customHeight="1" thickBot="1" x14ac:dyDescent="0.25">
      <c r="A1086" s="253"/>
      <c r="B1086" s="47">
        <f t="shared" ref="B1086:J1086" si="334">B1084+B1085</f>
        <v>285</v>
      </c>
      <c r="C1086" s="47">
        <f t="shared" si="334"/>
        <v>134</v>
      </c>
      <c r="D1086" s="47">
        <f t="shared" si="334"/>
        <v>151</v>
      </c>
      <c r="E1086" s="47">
        <f t="shared" si="334"/>
        <v>19</v>
      </c>
      <c r="F1086" s="47">
        <f t="shared" si="334"/>
        <v>18</v>
      </c>
      <c r="G1086" s="47">
        <f t="shared" si="334"/>
        <v>1</v>
      </c>
      <c r="H1086" s="47">
        <f t="shared" si="334"/>
        <v>266</v>
      </c>
      <c r="I1086" s="47">
        <f t="shared" si="334"/>
        <v>116</v>
      </c>
      <c r="J1086" s="47">
        <f t="shared" si="334"/>
        <v>150</v>
      </c>
      <c r="K1086" s="188" t="s">
        <v>12</v>
      </c>
      <c r="L1086" s="239"/>
    </row>
    <row r="1087" spans="1:12" ht="15" customHeight="1" thickBot="1" x14ac:dyDescent="0.25">
      <c r="A1087" s="253"/>
      <c r="B1087" s="47">
        <f t="shared" ref="B1087:D1088" si="335">H1087+E1087</f>
        <v>1245</v>
      </c>
      <c r="C1087" s="47">
        <f t="shared" si="335"/>
        <v>704</v>
      </c>
      <c r="D1087" s="47">
        <f t="shared" si="335"/>
        <v>541</v>
      </c>
      <c r="E1087" s="47">
        <f>G1087+F1087</f>
        <v>258</v>
      </c>
      <c r="F1087" s="47">
        <v>161</v>
      </c>
      <c r="G1087" s="47">
        <v>97</v>
      </c>
      <c r="H1087" s="47">
        <f>J1087+I1087</f>
        <v>987</v>
      </c>
      <c r="I1087" s="47">
        <v>543</v>
      </c>
      <c r="J1087" s="47">
        <v>444</v>
      </c>
      <c r="K1087" s="188" t="s">
        <v>233</v>
      </c>
      <c r="L1087" s="134"/>
    </row>
    <row r="1088" spans="1:12" ht="15" customHeight="1" thickBot="1" x14ac:dyDescent="0.25">
      <c r="A1088" s="253"/>
      <c r="B1088" s="47">
        <f t="shared" si="335"/>
        <v>0</v>
      </c>
      <c r="C1088" s="47">
        <f t="shared" si="335"/>
        <v>0</v>
      </c>
      <c r="D1088" s="47">
        <f t="shared" si="335"/>
        <v>0</v>
      </c>
      <c r="E1088" s="47">
        <f>G1088+F1088</f>
        <v>0</v>
      </c>
      <c r="F1088" s="47">
        <v>0</v>
      </c>
      <c r="G1088" s="47">
        <v>0</v>
      </c>
      <c r="H1088" s="47">
        <f>J1088+I1088</f>
        <v>0</v>
      </c>
      <c r="I1088" s="47">
        <v>0</v>
      </c>
      <c r="J1088" s="47">
        <v>0</v>
      </c>
      <c r="K1088" s="188" t="s">
        <v>234</v>
      </c>
      <c r="L1088" s="134" t="s">
        <v>672</v>
      </c>
    </row>
    <row r="1089" spans="1:12" ht="15" customHeight="1" thickBot="1" x14ac:dyDescent="0.25">
      <c r="A1089" s="253"/>
      <c r="B1089" s="47">
        <f t="shared" ref="B1089:J1089" si="336">B1087+B1088</f>
        <v>1245</v>
      </c>
      <c r="C1089" s="47">
        <f t="shared" si="336"/>
        <v>704</v>
      </c>
      <c r="D1089" s="47">
        <f t="shared" si="336"/>
        <v>541</v>
      </c>
      <c r="E1089" s="47">
        <f t="shared" si="336"/>
        <v>258</v>
      </c>
      <c r="F1089" s="47">
        <f t="shared" si="336"/>
        <v>161</v>
      </c>
      <c r="G1089" s="47">
        <f t="shared" si="336"/>
        <v>97</v>
      </c>
      <c r="H1089" s="47">
        <f t="shared" si="336"/>
        <v>987</v>
      </c>
      <c r="I1089" s="47">
        <f t="shared" si="336"/>
        <v>543</v>
      </c>
      <c r="J1089" s="47">
        <f t="shared" si="336"/>
        <v>444</v>
      </c>
      <c r="K1089" s="188" t="s">
        <v>12</v>
      </c>
      <c r="L1089" s="239"/>
    </row>
    <row r="1090" spans="1:12" ht="15" customHeight="1" thickBot="1" x14ac:dyDescent="0.25">
      <c r="A1090" s="253"/>
      <c r="B1090" s="47">
        <f t="shared" ref="B1090:D1091" si="337">H1090+E1090</f>
        <v>1172</v>
      </c>
      <c r="C1090" s="47">
        <f t="shared" si="337"/>
        <v>576</v>
      </c>
      <c r="D1090" s="47">
        <f t="shared" si="337"/>
        <v>596</v>
      </c>
      <c r="E1090" s="47">
        <f>G1090+F1090</f>
        <v>341</v>
      </c>
      <c r="F1090" s="47">
        <v>175</v>
      </c>
      <c r="G1090" s="47">
        <v>166</v>
      </c>
      <c r="H1090" s="47">
        <f>J1090+I1090</f>
        <v>831</v>
      </c>
      <c r="I1090" s="47">
        <v>401</v>
      </c>
      <c r="J1090" s="47">
        <v>430</v>
      </c>
      <c r="K1090" s="188" t="s">
        <v>233</v>
      </c>
      <c r="L1090" s="134"/>
    </row>
    <row r="1091" spans="1:12" ht="15" customHeight="1" thickBot="1" x14ac:dyDescent="0.25">
      <c r="A1091" s="253"/>
      <c r="B1091" s="47">
        <f t="shared" si="337"/>
        <v>0</v>
      </c>
      <c r="C1091" s="47">
        <f t="shared" si="337"/>
        <v>0</v>
      </c>
      <c r="D1091" s="47">
        <f t="shared" si="337"/>
        <v>0</v>
      </c>
      <c r="E1091" s="47">
        <f>G1091+F1091</f>
        <v>0</v>
      </c>
      <c r="F1091" s="47">
        <v>0</v>
      </c>
      <c r="G1091" s="47">
        <v>0</v>
      </c>
      <c r="H1091" s="47">
        <f>J1091+I1091</f>
        <v>0</v>
      </c>
      <c r="I1091" s="47">
        <v>0</v>
      </c>
      <c r="J1091" s="47">
        <v>0</v>
      </c>
      <c r="K1091" s="188" t="s">
        <v>234</v>
      </c>
      <c r="L1091" s="134" t="s">
        <v>138</v>
      </c>
    </row>
    <row r="1092" spans="1:12" ht="15" customHeight="1" thickBot="1" x14ac:dyDescent="0.25">
      <c r="A1092" s="253"/>
      <c r="B1092" s="47">
        <f t="shared" ref="B1092:J1092" si="338">B1090+B1091</f>
        <v>1172</v>
      </c>
      <c r="C1092" s="47">
        <f t="shared" si="338"/>
        <v>576</v>
      </c>
      <c r="D1092" s="47">
        <f t="shared" si="338"/>
        <v>596</v>
      </c>
      <c r="E1092" s="47">
        <f t="shared" si="338"/>
        <v>341</v>
      </c>
      <c r="F1092" s="47">
        <f t="shared" si="338"/>
        <v>175</v>
      </c>
      <c r="G1092" s="47">
        <f t="shared" si="338"/>
        <v>166</v>
      </c>
      <c r="H1092" s="47">
        <f t="shared" si="338"/>
        <v>831</v>
      </c>
      <c r="I1092" s="47">
        <f t="shared" si="338"/>
        <v>401</v>
      </c>
      <c r="J1092" s="47">
        <f t="shared" si="338"/>
        <v>430</v>
      </c>
      <c r="K1092" s="188" t="s">
        <v>12</v>
      </c>
      <c r="L1092" s="239"/>
    </row>
    <row r="1093" spans="1:12" ht="15" customHeight="1" thickBot="1" x14ac:dyDescent="0.25">
      <c r="A1093" s="253"/>
      <c r="B1093" s="47">
        <f t="shared" ref="B1093:D1094" si="339">H1093+E1093</f>
        <v>319</v>
      </c>
      <c r="C1093" s="47">
        <f t="shared" si="339"/>
        <v>78</v>
      </c>
      <c r="D1093" s="47">
        <f t="shared" si="339"/>
        <v>241</v>
      </c>
      <c r="E1093" s="47">
        <f>G1093+F1093</f>
        <v>53</v>
      </c>
      <c r="F1093" s="47">
        <v>9</v>
      </c>
      <c r="G1093" s="47">
        <v>44</v>
      </c>
      <c r="H1093" s="47">
        <f>J1093+I1093</f>
        <v>266</v>
      </c>
      <c r="I1093" s="47">
        <v>69</v>
      </c>
      <c r="J1093" s="47">
        <v>197</v>
      </c>
      <c r="K1093" s="188" t="s">
        <v>233</v>
      </c>
      <c r="L1093" s="134"/>
    </row>
    <row r="1094" spans="1:12" ht="15" customHeight="1" thickBot="1" x14ac:dyDescent="0.25">
      <c r="A1094" s="253"/>
      <c r="B1094" s="47">
        <f t="shared" si="339"/>
        <v>0</v>
      </c>
      <c r="C1094" s="47">
        <f t="shared" si="339"/>
        <v>0</v>
      </c>
      <c r="D1094" s="47">
        <f t="shared" si="339"/>
        <v>0</v>
      </c>
      <c r="E1094" s="47">
        <f>G1094+F1094</f>
        <v>0</v>
      </c>
      <c r="F1094" s="47">
        <v>0</v>
      </c>
      <c r="G1094" s="47">
        <v>0</v>
      </c>
      <c r="H1094" s="47">
        <f>J1094+I1094</f>
        <v>0</v>
      </c>
      <c r="I1094" s="47">
        <v>0</v>
      </c>
      <c r="J1094" s="47">
        <v>0</v>
      </c>
      <c r="K1094" s="188" t="s">
        <v>234</v>
      </c>
      <c r="L1094" s="134" t="s">
        <v>139</v>
      </c>
    </row>
    <row r="1095" spans="1:12" ht="15" customHeight="1" thickBot="1" x14ac:dyDescent="0.25">
      <c r="A1095" s="253"/>
      <c r="B1095" s="47">
        <f t="shared" ref="B1095:J1095" si="340">B1093+B1094</f>
        <v>319</v>
      </c>
      <c r="C1095" s="47">
        <f t="shared" si="340"/>
        <v>78</v>
      </c>
      <c r="D1095" s="47">
        <f t="shared" si="340"/>
        <v>241</v>
      </c>
      <c r="E1095" s="47">
        <f t="shared" si="340"/>
        <v>53</v>
      </c>
      <c r="F1095" s="47">
        <f t="shared" si="340"/>
        <v>9</v>
      </c>
      <c r="G1095" s="47">
        <f t="shared" si="340"/>
        <v>44</v>
      </c>
      <c r="H1095" s="47">
        <f t="shared" si="340"/>
        <v>266</v>
      </c>
      <c r="I1095" s="47">
        <f t="shared" si="340"/>
        <v>69</v>
      </c>
      <c r="J1095" s="47">
        <f t="shared" si="340"/>
        <v>197</v>
      </c>
      <c r="K1095" s="188" t="s">
        <v>12</v>
      </c>
      <c r="L1095" s="239"/>
    </row>
    <row r="1096" spans="1:12" ht="15" customHeight="1" thickBot="1" x14ac:dyDescent="0.25">
      <c r="A1096" s="253"/>
      <c r="B1096" s="47">
        <f t="shared" ref="B1096:D1097" si="341">H1096+E1096</f>
        <v>479</v>
      </c>
      <c r="C1096" s="47">
        <f t="shared" si="341"/>
        <v>178</v>
      </c>
      <c r="D1096" s="47">
        <f t="shared" si="341"/>
        <v>301</v>
      </c>
      <c r="E1096" s="47">
        <f>G1096+F1096</f>
        <v>38</v>
      </c>
      <c r="F1096" s="47">
        <v>14</v>
      </c>
      <c r="G1096" s="47">
        <v>24</v>
      </c>
      <c r="H1096" s="47">
        <f>J1096+I1096</f>
        <v>441</v>
      </c>
      <c r="I1096" s="47">
        <v>164</v>
      </c>
      <c r="J1096" s="47">
        <v>277</v>
      </c>
      <c r="K1096" s="188" t="s">
        <v>233</v>
      </c>
      <c r="L1096" s="134"/>
    </row>
    <row r="1097" spans="1:12" ht="15" customHeight="1" thickBot="1" x14ac:dyDescent="0.25">
      <c r="A1097" s="253"/>
      <c r="B1097" s="47">
        <f t="shared" si="341"/>
        <v>0</v>
      </c>
      <c r="C1097" s="47">
        <f t="shared" si="341"/>
        <v>0</v>
      </c>
      <c r="D1097" s="47">
        <f t="shared" si="341"/>
        <v>0</v>
      </c>
      <c r="E1097" s="47">
        <f>G1097+F1097</f>
        <v>0</v>
      </c>
      <c r="F1097" s="47">
        <v>0</v>
      </c>
      <c r="G1097" s="47">
        <v>0</v>
      </c>
      <c r="H1097" s="47">
        <f>J1097+I1097</f>
        <v>0</v>
      </c>
      <c r="I1097" s="47">
        <v>0</v>
      </c>
      <c r="J1097" s="47">
        <v>0</v>
      </c>
      <c r="K1097" s="188" t="s">
        <v>234</v>
      </c>
      <c r="L1097" s="134" t="s">
        <v>140</v>
      </c>
    </row>
    <row r="1098" spans="1:12" ht="15" customHeight="1" thickBot="1" x14ac:dyDescent="0.25">
      <c r="A1098" s="253"/>
      <c r="B1098" s="47">
        <f t="shared" ref="B1098:J1098" si="342">B1096+B1097</f>
        <v>479</v>
      </c>
      <c r="C1098" s="47">
        <f t="shared" si="342"/>
        <v>178</v>
      </c>
      <c r="D1098" s="47">
        <f t="shared" si="342"/>
        <v>301</v>
      </c>
      <c r="E1098" s="47">
        <f t="shared" si="342"/>
        <v>38</v>
      </c>
      <c r="F1098" s="47">
        <f t="shared" si="342"/>
        <v>14</v>
      </c>
      <c r="G1098" s="47">
        <f t="shared" si="342"/>
        <v>24</v>
      </c>
      <c r="H1098" s="47">
        <f t="shared" si="342"/>
        <v>441</v>
      </c>
      <c r="I1098" s="47">
        <f t="shared" si="342"/>
        <v>164</v>
      </c>
      <c r="J1098" s="47">
        <f t="shared" si="342"/>
        <v>277</v>
      </c>
      <c r="K1098" s="188" t="s">
        <v>12</v>
      </c>
      <c r="L1098" s="239"/>
    </row>
    <row r="1099" spans="1:12" ht="15" customHeight="1" thickBot="1" x14ac:dyDescent="0.25">
      <c r="A1099" s="253"/>
      <c r="B1099" s="47">
        <f t="shared" ref="B1099:D1100" si="343">H1099+E1099</f>
        <v>287</v>
      </c>
      <c r="C1099" s="47">
        <f t="shared" si="343"/>
        <v>145</v>
      </c>
      <c r="D1099" s="47">
        <f t="shared" si="343"/>
        <v>142</v>
      </c>
      <c r="E1099" s="47">
        <f>G1099+F1099</f>
        <v>0</v>
      </c>
      <c r="F1099" s="47">
        <v>0</v>
      </c>
      <c r="G1099" s="47">
        <v>0</v>
      </c>
      <c r="H1099" s="47">
        <f>J1099+I1099</f>
        <v>287</v>
      </c>
      <c r="I1099" s="47">
        <v>145</v>
      </c>
      <c r="J1099" s="47">
        <v>142</v>
      </c>
      <c r="K1099" s="188" t="s">
        <v>233</v>
      </c>
      <c r="L1099" s="134"/>
    </row>
    <row r="1100" spans="1:12" ht="15" customHeight="1" thickBot="1" x14ac:dyDescent="0.25">
      <c r="A1100" s="253"/>
      <c r="B1100" s="47">
        <f t="shared" si="343"/>
        <v>0</v>
      </c>
      <c r="C1100" s="47">
        <f t="shared" si="343"/>
        <v>0</v>
      </c>
      <c r="D1100" s="47">
        <f t="shared" si="343"/>
        <v>0</v>
      </c>
      <c r="E1100" s="47">
        <f>G1100+F1100</f>
        <v>0</v>
      </c>
      <c r="F1100" s="47">
        <v>0</v>
      </c>
      <c r="G1100" s="47">
        <v>0</v>
      </c>
      <c r="H1100" s="47">
        <f>J1100+I1100</f>
        <v>0</v>
      </c>
      <c r="I1100" s="47">
        <v>0</v>
      </c>
      <c r="J1100" s="47">
        <v>0</v>
      </c>
      <c r="K1100" s="188" t="s">
        <v>234</v>
      </c>
      <c r="L1100" s="134" t="s">
        <v>192</v>
      </c>
    </row>
    <row r="1101" spans="1:12" ht="15" customHeight="1" thickBot="1" x14ac:dyDescent="0.25">
      <c r="A1101" s="253"/>
      <c r="B1101" s="47">
        <f t="shared" ref="B1101:J1101" si="344">B1099+B1100</f>
        <v>287</v>
      </c>
      <c r="C1101" s="47">
        <f t="shared" si="344"/>
        <v>145</v>
      </c>
      <c r="D1101" s="47">
        <f t="shared" si="344"/>
        <v>142</v>
      </c>
      <c r="E1101" s="47">
        <f t="shared" si="344"/>
        <v>0</v>
      </c>
      <c r="F1101" s="47">
        <f t="shared" si="344"/>
        <v>0</v>
      </c>
      <c r="G1101" s="47">
        <f t="shared" si="344"/>
        <v>0</v>
      </c>
      <c r="H1101" s="47">
        <f t="shared" si="344"/>
        <v>287</v>
      </c>
      <c r="I1101" s="47">
        <f t="shared" si="344"/>
        <v>145</v>
      </c>
      <c r="J1101" s="47">
        <f t="shared" si="344"/>
        <v>142</v>
      </c>
      <c r="K1101" s="188" t="s">
        <v>12</v>
      </c>
      <c r="L1101" s="239"/>
    </row>
    <row r="1102" spans="1:12" ht="15" customHeight="1" thickBot="1" x14ac:dyDescent="0.25">
      <c r="A1102" s="253"/>
      <c r="B1102" s="47">
        <f t="shared" ref="B1102:D1103" si="345">H1102+E1102</f>
        <v>211</v>
      </c>
      <c r="C1102" s="47">
        <f t="shared" si="345"/>
        <v>211</v>
      </c>
      <c r="D1102" s="47">
        <f t="shared" si="345"/>
        <v>0</v>
      </c>
      <c r="E1102" s="47">
        <f>G1102+F1102</f>
        <v>10</v>
      </c>
      <c r="F1102" s="47">
        <v>10</v>
      </c>
      <c r="G1102" s="47">
        <v>0</v>
      </c>
      <c r="H1102" s="47">
        <f>J1102+I1102</f>
        <v>201</v>
      </c>
      <c r="I1102" s="47">
        <v>201</v>
      </c>
      <c r="J1102" s="47">
        <v>0</v>
      </c>
      <c r="K1102" s="188" t="s">
        <v>233</v>
      </c>
      <c r="L1102" s="134"/>
    </row>
    <row r="1103" spans="1:12" ht="15" customHeight="1" thickBot="1" x14ac:dyDescent="0.25">
      <c r="A1103" s="253"/>
      <c r="B1103" s="47">
        <f t="shared" si="345"/>
        <v>0</v>
      </c>
      <c r="C1103" s="47">
        <f t="shared" si="345"/>
        <v>0</v>
      </c>
      <c r="D1103" s="47">
        <f t="shared" si="345"/>
        <v>0</v>
      </c>
      <c r="E1103" s="47">
        <f>G1103+F1103</f>
        <v>0</v>
      </c>
      <c r="F1103" s="47">
        <v>0</v>
      </c>
      <c r="G1103" s="47">
        <v>0</v>
      </c>
      <c r="H1103" s="47">
        <f>J1103+I1103</f>
        <v>0</v>
      </c>
      <c r="I1103" s="47">
        <v>0</v>
      </c>
      <c r="J1103" s="47">
        <v>0</v>
      </c>
      <c r="K1103" s="188" t="s">
        <v>234</v>
      </c>
      <c r="L1103" s="134" t="s">
        <v>193</v>
      </c>
    </row>
    <row r="1104" spans="1:12" ht="15" customHeight="1" thickBot="1" x14ac:dyDescent="0.25">
      <c r="A1104" s="253"/>
      <c r="B1104" s="47">
        <f t="shared" ref="B1104:J1104" si="346">B1102+B1103</f>
        <v>211</v>
      </c>
      <c r="C1104" s="47">
        <f t="shared" si="346"/>
        <v>211</v>
      </c>
      <c r="D1104" s="47">
        <f t="shared" si="346"/>
        <v>0</v>
      </c>
      <c r="E1104" s="47">
        <f t="shared" si="346"/>
        <v>10</v>
      </c>
      <c r="F1104" s="47">
        <f t="shared" si="346"/>
        <v>10</v>
      </c>
      <c r="G1104" s="47">
        <f t="shared" si="346"/>
        <v>0</v>
      </c>
      <c r="H1104" s="47">
        <f t="shared" si="346"/>
        <v>201</v>
      </c>
      <c r="I1104" s="47">
        <f t="shared" si="346"/>
        <v>201</v>
      </c>
      <c r="J1104" s="47">
        <f t="shared" si="346"/>
        <v>0</v>
      </c>
      <c r="K1104" s="188" t="s">
        <v>12</v>
      </c>
      <c r="L1104" s="239"/>
    </row>
    <row r="1105" spans="1:12" ht="15" customHeight="1" thickBot="1" x14ac:dyDescent="0.25">
      <c r="A1105" s="253"/>
      <c r="B1105" s="47">
        <f t="shared" ref="B1105:D1106" si="347">H1105+E1105</f>
        <v>132</v>
      </c>
      <c r="C1105" s="47">
        <f t="shared" si="347"/>
        <v>132</v>
      </c>
      <c r="D1105" s="47">
        <f t="shared" si="347"/>
        <v>0</v>
      </c>
      <c r="E1105" s="47">
        <f>G1105+F1105</f>
        <v>0</v>
      </c>
      <c r="F1105" s="47">
        <v>0</v>
      </c>
      <c r="G1105" s="47">
        <v>0</v>
      </c>
      <c r="H1105" s="47">
        <f>J1105+I1105</f>
        <v>132</v>
      </c>
      <c r="I1105" s="47">
        <v>132</v>
      </c>
      <c r="J1105" s="47">
        <v>0</v>
      </c>
      <c r="K1105" s="188" t="s">
        <v>233</v>
      </c>
      <c r="L1105" s="134"/>
    </row>
    <row r="1106" spans="1:12" ht="15" customHeight="1" thickBot="1" x14ac:dyDescent="0.25">
      <c r="A1106" s="253"/>
      <c r="B1106" s="47">
        <f t="shared" si="347"/>
        <v>0</v>
      </c>
      <c r="C1106" s="47">
        <f t="shared" si="347"/>
        <v>0</v>
      </c>
      <c r="D1106" s="47">
        <f t="shared" si="347"/>
        <v>0</v>
      </c>
      <c r="E1106" s="47">
        <f>G1106+F1106</f>
        <v>0</v>
      </c>
      <c r="F1106" s="47">
        <v>0</v>
      </c>
      <c r="G1106" s="47">
        <v>0</v>
      </c>
      <c r="H1106" s="47">
        <f>J1106+I1106</f>
        <v>0</v>
      </c>
      <c r="I1106" s="47">
        <v>0</v>
      </c>
      <c r="J1106" s="47">
        <v>0</v>
      </c>
      <c r="K1106" s="188" t="s">
        <v>234</v>
      </c>
      <c r="L1106" s="134" t="s">
        <v>141</v>
      </c>
    </row>
    <row r="1107" spans="1:12" ht="15" customHeight="1" thickBot="1" x14ac:dyDescent="0.25">
      <c r="A1107" s="253"/>
      <c r="B1107" s="47">
        <f t="shared" ref="B1107:J1107" si="348">B1105+B1106</f>
        <v>132</v>
      </c>
      <c r="C1107" s="47">
        <f t="shared" si="348"/>
        <v>132</v>
      </c>
      <c r="D1107" s="47">
        <f t="shared" si="348"/>
        <v>0</v>
      </c>
      <c r="E1107" s="47">
        <f t="shared" si="348"/>
        <v>0</v>
      </c>
      <c r="F1107" s="47">
        <f t="shared" si="348"/>
        <v>0</v>
      </c>
      <c r="G1107" s="47">
        <f t="shared" si="348"/>
        <v>0</v>
      </c>
      <c r="H1107" s="47">
        <f t="shared" si="348"/>
        <v>132</v>
      </c>
      <c r="I1107" s="47">
        <f t="shared" si="348"/>
        <v>132</v>
      </c>
      <c r="J1107" s="47">
        <f t="shared" si="348"/>
        <v>0</v>
      </c>
      <c r="K1107" s="188" t="s">
        <v>12</v>
      </c>
      <c r="L1107" s="239"/>
    </row>
    <row r="1108" spans="1:12" ht="15" customHeight="1" thickBot="1" x14ac:dyDescent="0.25">
      <c r="A1108" s="253"/>
      <c r="B1108" s="47">
        <f t="shared" ref="B1108:D1109" si="349">H1108+E1108</f>
        <v>96</v>
      </c>
      <c r="C1108" s="47">
        <f t="shared" si="349"/>
        <v>84</v>
      </c>
      <c r="D1108" s="47">
        <f t="shared" si="349"/>
        <v>12</v>
      </c>
      <c r="E1108" s="47">
        <f>G1108+F1108</f>
        <v>0</v>
      </c>
      <c r="F1108" s="47">
        <v>0</v>
      </c>
      <c r="G1108" s="47">
        <v>0</v>
      </c>
      <c r="H1108" s="47">
        <f>J1108+I1108</f>
        <v>96</v>
      </c>
      <c r="I1108" s="47">
        <v>84</v>
      </c>
      <c r="J1108" s="47">
        <v>12</v>
      </c>
      <c r="K1108" s="188" t="s">
        <v>233</v>
      </c>
      <c r="L1108" s="550" t="s">
        <v>203</v>
      </c>
    </row>
    <row r="1109" spans="1:12" ht="15" customHeight="1" thickBot="1" x14ac:dyDescent="0.25">
      <c r="A1109" s="253"/>
      <c r="B1109" s="47">
        <f t="shared" si="349"/>
        <v>0</v>
      </c>
      <c r="C1109" s="47">
        <f t="shared" si="349"/>
        <v>0</v>
      </c>
      <c r="D1109" s="47">
        <f t="shared" si="349"/>
        <v>0</v>
      </c>
      <c r="E1109" s="47">
        <f>G1109+F1109</f>
        <v>0</v>
      </c>
      <c r="F1109" s="47">
        <v>0</v>
      </c>
      <c r="G1109" s="47">
        <v>0</v>
      </c>
      <c r="H1109" s="47">
        <f>J1109+I1109</f>
        <v>0</v>
      </c>
      <c r="I1109" s="47">
        <v>0</v>
      </c>
      <c r="J1109" s="47">
        <v>0</v>
      </c>
      <c r="K1109" s="188" t="s">
        <v>234</v>
      </c>
      <c r="L1109" s="551"/>
    </row>
    <row r="1110" spans="1:12" ht="15" customHeight="1" thickBot="1" x14ac:dyDescent="0.25">
      <c r="A1110" s="253"/>
      <c r="B1110" s="47">
        <f t="shared" ref="B1110:J1110" si="350">B1108+B1109</f>
        <v>96</v>
      </c>
      <c r="C1110" s="47">
        <f t="shared" si="350"/>
        <v>84</v>
      </c>
      <c r="D1110" s="47">
        <f t="shared" si="350"/>
        <v>12</v>
      </c>
      <c r="E1110" s="47">
        <f t="shared" si="350"/>
        <v>0</v>
      </c>
      <c r="F1110" s="47">
        <f t="shared" si="350"/>
        <v>0</v>
      </c>
      <c r="G1110" s="47">
        <f t="shared" si="350"/>
        <v>0</v>
      </c>
      <c r="H1110" s="47">
        <f t="shared" si="350"/>
        <v>96</v>
      </c>
      <c r="I1110" s="47">
        <f t="shared" si="350"/>
        <v>84</v>
      </c>
      <c r="J1110" s="47">
        <f t="shared" si="350"/>
        <v>12</v>
      </c>
      <c r="K1110" s="188" t="s">
        <v>12</v>
      </c>
      <c r="L1110" s="552"/>
    </row>
    <row r="1111" spans="1:12" ht="15" customHeight="1" thickBot="1" x14ac:dyDescent="0.25">
      <c r="A1111" s="253"/>
      <c r="B1111" s="47">
        <f t="shared" ref="B1111:D1112" si="351">H1111+E1111</f>
        <v>247</v>
      </c>
      <c r="C1111" s="47">
        <f t="shared" si="351"/>
        <v>186</v>
      </c>
      <c r="D1111" s="47">
        <f t="shared" si="351"/>
        <v>61</v>
      </c>
      <c r="E1111" s="47">
        <f>G1111+F1111</f>
        <v>22</v>
      </c>
      <c r="F1111" s="47">
        <v>14</v>
      </c>
      <c r="G1111" s="47">
        <v>8</v>
      </c>
      <c r="H1111" s="47">
        <f>J1111+I1111</f>
        <v>225</v>
      </c>
      <c r="I1111" s="47">
        <v>172</v>
      </c>
      <c r="J1111" s="47">
        <v>53</v>
      </c>
      <c r="K1111" s="188" t="s">
        <v>233</v>
      </c>
      <c r="L1111" s="134"/>
    </row>
    <row r="1112" spans="1:12" ht="15" customHeight="1" thickBot="1" x14ac:dyDescent="0.25">
      <c r="A1112" s="253"/>
      <c r="B1112" s="47">
        <f t="shared" si="351"/>
        <v>0</v>
      </c>
      <c r="C1112" s="47">
        <f t="shared" si="351"/>
        <v>0</v>
      </c>
      <c r="D1112" s="47">
        <f t="shared" si="351"/>
        <v>0</v>
      </c>
      <c r="E1112" s="47">
        <f>G1112+F1112</f>
        <v>0</v>
      </c>
      <c r="F1112" s="47">
        <v>0</v>
      </c>
      <c r="G1112" s="47">
        <v>0</v>
      </c>
      <c r="H1112" s="47">
        <f>J1112+I1112</f>
        <v>0</v>
      </c>
      <c r="I1112" s="47">
        <v>0</v>
      </c>
      <c r="J1112" s="47">
        <v>0</v>
      </c>
      <c r="K1112" s="188" t="s">
        <v>234</v>
      </c>
      <c r="L1112" s="134" t="s">
        <v>194</v>
      </c>
    </row>
    <row r="1113" spans="1:12" ht="15" customHeight="1" thickBot="1" x14ac:dyDescent="0.25">
      <c r="A1113" s="253"/>
      <c r="B1113" s="47">
        <f t="shared" ref="B1113:J1113" si="352">B1111+B1112</f>
        <v>247</v>
      </c>
      <c r="C1113" s="47">
        <f t="shared" si="352"/>
        <v>186</v>
      </c>
      <c r="D1113" s="47">
        <f t="shared" si="352"/>
        <v>61</v>
      </c>
      <c r="E1113" s="47">
        <f t="shared" si="352"/>
        <v>22</v>
      </c>
      <c r="F1113" s="47">
        <f t="shared" si="352"/>
        <v>14</v>
      </c>
      <c r="G1113" s="47">
        <f t="shared" si="352"/>
        <v>8</v>
      </c>
      <c r="H1113" s="47">
        <f t="shared" si="352"/>
        <v>225</v>
      </c>
      <c r="I1113" s="47">
        <f t="shared" si="352"/>
        <v>172</v>
      </c>
      <c r="J1113" s="47">
        <f t="shared" si="352"/>
        <v>53</v>
      </c>
      <c r="K1113" s="188" t="s">
        <v>12</v>
      </c>
      <c r="L1113" s="239"/>
    </row>
    <row r="1114" spans="1:12" ht="15" customHeight="1" thickBot="1" x14ac:dyDescent="0.25">
      <c r="A1114" s="253"/>
      <c r="B1114" s="47">
        <f t="shared" ref="B1114:D1115" si="353">H1114+E1114</f>
        <v>41</v>
      </c>
      <c r="C1114" s="47">
        <f t="shared" si="353"/>
        <v>41</v>
      </c>
      <c r="D1114" s="47">
        <f t="shared" si="353"/>
        <v>0</v>
      </c>
      <c r="E1114" s="47">
        <f>G1114+F1114</f>
        <v>11</v>
      </c>
      <c r="F1114" s="47">
        <v>11</v>
      </c>
      <c r="G1114" s="47">
        <v>0</v>
      </c>
      <c r="H1114" s="47">
        <f>J1114+I1114</f>
        <v>30</v>
      </c>
      <c r="I1114" s="47">
        <v>30</v>
      </c>
      <c r="J1114" s="47">
        <v>0</v>
      </c>
      <c r="K1114" s="188" t="s">
        <v>233</v>
      </c>
      <c r="L1114" s="134"/>
    </row>
    <row r="1115" spans="1:12" ht="15" customHeight="1" thickBot="1" x14ac:dyDescent="0.25">
      <c r="A1115" s="253"/>
      <c r="B1115" s="47">
        <f t="shared" si="353"/>
        <v>0</v>
      </c>
      <c r="C1115" s="47">
        <f t="shared" si="353"/>
        <v>0</v>
      </c>
      <c r="D1115" s="47">
        <f t="shared" si="353"/>
        <v>0</v>
      </c>
      <c r="E1115" s="47">
        <f>G1115+F1115</f>
        <v>0</v>
      </c>
      <c r="F1115" s="47">
        <v>0</v>
      </c>
      <c r="G1115" s="47">
        <v>0</v>
      </c>
      <c r="H1115" s="47">
        <f>J1115+I1115</f>
        <v>0</v>
      </c>
      <c r="I1115" s="47">
        <v>0</v>
      </c>
      <c r="J1115" s="47">
        <v>0</v>
      </c>
      <c r="K1115" s="188" t="s">
        <v>234</v>
      </c>
      <c r="L1115" s="134" t="s">
        <v>195</v>
      </c>
    </row>
    <row r="1116" spans="1:12" ht="15" customHeight="1" thickBot="1" x14ac:dyDescent="0.25">
      <c r="A1116" s="253"/>
      <c r="B1116" s="47">
        <f t="shared" ref="B1116:J1116" si="354">B1114+B1115</f>
        <v>41</v>
      </c>
      <c r="C1116" s="47">
        <f t="shared" si="354"/>
        <v>41</v>
      </c>
      <c r="D1116" s="47">
        <f t="shared" si="354"/>
        <v>0</v>
      </c>
      <c r="E1116" s="47">
        <f t="shared" si="354"/>
        <v>11</v>
      </c>
      <c r="F1116" s="47">
        <f t="shared" si="354"/>
        <v>11</v>
      </c>
      <c r="G1116" s="47">
        <f t="shared" si="354"/>
        <v>0</v>
      </c>
      <c r="H1116" s="47">
        <f t="shared" si="354"/>
        <v>30</v>
      </c>
      <c r="I1116" s="47">
        <f t="shared" si="354"/>
        <v>30</v>
      </c>
      <c r="J1116" s="47">
        <f t="shared" si="354"/>
        <v>0</v>
      </c>
      <c r="K1116" s="188" t="s">
        <v>12</v>
      </c>
      <c r="L1116" s="239"/>
    </row>
    <row r="1117" spans="1:12" ht="15" customHeight="1" thickBot="1" x14ac:dyDescent="0.25">
      <c r="A1117" s="253"/>
      <c r="B1117" s="47">
        <f t="shared" ref="B1117:J1119" si="355">B1051+B1054+B1057+B1066+B1063+B1060+B1069+B1072+B1078+B1081+B1084+B1087+B1090+B1093+B1096+B1075+B1099+B1102+B1105+B1108+B1111+B1114</f>
        <v>25730</v>
      </c>
      <c r="C1117" s="47">
        <f t="shared" si="355"/>
        <v>12635</v>
      </c>
      <c r="D1117" s="47">
        <f t="shared" si="355"/>
        <v>13095</v>
      </c>
      <c r="E1117" s="47">
        <f t="shared" si="355"/>
        <v>5195</v>
      </c>
      <c r="F1117" s="47">
        <f t="shared" si="355"/>
        <v>2769</v>
      </c>
      <c r="G1117" s="47">
        <f t="shared" si="355"/>
        <v>2426</v>
      </c>
      <c r="H1117" s="47">
        <f t="shared" si="355"/>
        <v>20535</v>
      </c>
      <c r="I1117" s="47">
        <f t="shared" si="355"/>
        <v>9866</v>
      </c>
      <c r="J1117" s="47">
        <f t="shared" si="355"/>
        <v>10669</v>
      </c>
      <c r="K1117" s="188" t="s">
        <v>236</v>
      </c>
      <c r="L1117" s="131"/>
    </row>
    <row r="1118" spans="1:12" ht="15" customHeight="1" thickBot="1" x14ac:dyDescent="0.25">
      <c r="A1118" s="253"/>
      <c r="B1118" s="47">
        <f t="shared" si="355"/>
        <v>0</v>
      </c>
      <c r="C1118" s="47">
        <f t="shared" si="355"/>
        <v>0</v>
      </c>
      <c r="D1118" s="47">
        <f t="shared" si="355"/>
        <v>0</v>
      </c>
      <c r="E1118" s="47">
        <f t="shared" si="355"/>
        <v>0</v>
      </c>
      <c r="F1118" s="47">
        <f t="shared" si="355"/>
        <v>0</v>
      </c>
      <c r="G1118" s="47">
        <f t="shared" si="355"/>
        <v>0</v>
      </c>
      <c r="H1118" s="47">
        <f t="shared" si="355"/>
        <v>0</v>
      </c>
      <c r="I1118" s="47">
        <f t="shared" si="355"/>
        <v>0</v>
      </c>
      <c r="J1118" s="47">
        <f t="shared" si="355"/>
        <v>0</v>
      </c>
      <c r="K1118" s="188" t="s">
        <v>237</v>
      </c>
      <c r="L1118" s="132" t="s">
        <v>188</v>
      </c>
    </row>
    <row r="1119" spans="1:12" ht="15" customHeight="1" thickBot="1" x14ac:dyDescent="0.25">
      <c r="A1119" s="253"/>
      <c r="B1119" s="47">
        <f t="shared" si="355"/>
        <v>25730</v>
      </c>
      <c r="C1119" s="47">
        <f t="shared" si="355"/>
        <v>12635</v>
      </c>
      <c r="D1119" s="47">
        <f t="shared" si="355"/>
        <v>13095</v>
      </c>
      <c r="E1119" s="47">
        <f t="shared" si="355"/>
        <v>5195</v>
      </c>
      <c r="F1119" s="47">
        <f t="shared" si="355"/>
        <v>2769</v>
      </c>
      <c r="G1119" s="47">
        <f t="shared" si="355"/>
        <v>2426</v>
      </c>
      <c r="H1119" s="47">
        <f t="shared" si="355"/>
        <v>20535</v>
      </c>
      <c r="I1119" s="47">
        <f t="shared" si="355"/>
        <v>9866</v>
      </c>
      <c r="J1119" s="47">
        <f t="shared" si="355"/>
        <v>10669</v>
      </c>
      <c r="K1119" s="188" t="s">
        <v>12</v>
      </c>
      <c r="L1119" s="133"/>
    </row>
    <row r="1120" spans="1:12" ht="15" customHeight="1" thickBot="1" x14ac:dyDescent="0.25">
      <c r="A1120" s="253"/>
      <c r="B1120" s="476" t="s">
        <v>4</v>
      </c>
      <c r="C1120" s="476"/>
      <c r="D1120" s="476"/>
      <c r="E1120" s="476" t="s">
        <v>145</v>
      </c>
      <c r="F1120" s="476"/>
      <c r="G1120" s="476"/>
      <c r="H1120" s="476" t="s">
        <v>146</v>
      </c>
      <c r="I1120" s="476"/>
      <c r="J1120" s="476"/>
      <c r="K1120" s="479" t="s">
        <v>66</v>
      </c>
      <c r="L1120" s="479"/>
    </row>
    <row r="1121" spans="1:12" ht="15" customHeight="1" thickBot="1" x14ac:dyDescent="0.25">
      <c r="A1121" s="253"/>
      <c r="B1121" s="185" t="s">
        <v>227</v>
      </c>
      <c r="C1121" s="185" t="s">
        <v>10</v>
      </c>
      <c r="D1121" s="185" t="s">
        <v>9</v>
      </c>
      <c r="E1121" s="185" t="s">
        <v>227</v>
      </c>
      <c r="F1121" s="185" t="s">
        <v>10</v>
      </c>
      <c r="G1121" s="185" t="s">
        <v>9</v>
      </c>
      <c r="H1121" s="185" t="s">
        <v>227</v>
      </c>
      <c r="I1121" s="185" t="s">
        <v>10</v>
      </c>
      <c r="J1121" s="185" t="s">
        <v>9</v>
      </c>
      <c r="K1121" s="480" t="s">
        <v>151</v>
      </c>
      <c r="L1121" s="480"/>
    </row>
    <row r="1122" spans="1:12" ht="15" customHeight="1" thickBot="1" x14ac:dyDescent="0.25">
      <c r="A1122" s="253"/>
      <c r="B1122" s="47">
        <f>SUM(C1122:D1122)</f>
        <v>1352</v>
      </c>
      <c r="C1122" s="47">
        <f t="shared" ref="C1122:D1124" si="356">I1122+F1122</f>
        <v>0</v>
      </c>
      <c r="D1122" s="47">
        <f t="shared" si="356"/>
        <v>1352</v>
      </c>
      <c r="E1122" s="47">
        <f>SUM(F1122:G1122)</f>
        <v>0</v>
      </c>
      <c r="F1122" s="47">
        <v>0</v>
      </c>
      <c r="G1122" s="47">
        <v>0</v>
      </c>
      <c r="H1122" s="47">
        <f>SUM(I1122:J1122)</f>
        <v>1352</v>
      </c>
      <c r="I1122" s="47">
        <v>0</v>
      </c>
      <c r="J1122" s="47">
        <v>1352</v>
      </c>
      <c r="K1122" s="188" t="s">
        <v>233</v>
      </c>
      <c r="L1122" s="134"/>
    </row>
    <row r="1123" spans="1:12" ht="15" customHeight="1" thickBot="1" x14ac:dyDescent="0.25">
      <c r="A1123" s="253"/>
      <c r="B1123" s="47">
        <f>SUM(C1123:D1123)</f>
        <v>0</v>
      </c>
      <c r="C1123" s="47">
        <f t="shared" si="356"/>
        <v>0</v>
      </c>
      <c r="D1123" s="47">
        <f t="shared" si="356"/>
        <v>0</v>
      </c>
      <c r="E1123" s="47">
        <f>SUM(F1123:G1123)</f>
        <v>0</v>
      </c>
      <c r="F1123" s="47">
        <v>0</v>
      </c>
      <c r="G1123" s="47">
        <v>0</v>
      </c>
      <c r="H1123" s="47">
        <f>SUM(I1123:J1123)</f>
        <v>0</v>
      </c>
      <c r="I1123" s="47">
        <v>0</v>
      </c>
      <c r="J1123" s="47">
        <v>0</v>
      </c>
      <c r="K1123" s="188" t="s">
        <v>234</v>
      </c>
      <c r="L1123" s="134" t="s">
        <v>290</v>
      </c>
    </row>
    <row r="1124" spans="1:12" ht="15" customHeight="1" thickBot="1" x14ac:dyDescent="0.25">
      <c r="A1124" s="253"/>
      <c r="B1124" s="47">
        <f>SUM(C1124:D1124)</f>
        <v>1352</v>
      </c>
      <c r="C1124" s="47">
        <f t="shared" si="356"/>
        <v>0</v>
      </c>
      <c r="D1124" s="47">
        <f t="shared" si="356"/>
        <v>1352</v>
      </c>
      <c r="E1124" s="47">
        <f>SUM(F1124:G1124)</f>
        <v>0</v>
      </c>
      <c r="F1124" s="47">
        <f>SUM(F1122:F1123)</f>
        <v>0</v>
      </c>
      <c r="G1124" s="47">
        <f>SUM(G1122:G1123)</f>
        <v>0</v>
      </c>
      <c r="H1124" s="47">
        <f>SUM(I1124:J1124)</f>
        <v>1352</v>
      </c>
      <c r="I1124" s="47">
        <f>SUM(I1122:I1123)</f>
        <v>0</v>
      </c>
      <c r="J1124" s="47">
        <f>SUM(J1122:J1123)</f>
        <v>1352</v>
      </c>
      <c r="K1124" s="188" t="s">
        <v>12</v>
      </c>
      <c r="L1124" s="239"/>
    </row>
    <row r="1125" spans="1:12" ht="15" customHeight="1" thickBot="1" x14ac:dyDescent="0.25">
      <c r="A1125" s="253"/>
      <c r="B1125" s="47">
        <f t="shared" ref="B1125:J1127" si="357">B1122</f>
        <v>1352</v>
      </c>
      <c r="C1125" s="47">
        <f t="shared" si="357"/>
        <v>0</v>
      </c>
      <c r="D1125" s="47">
        <f t="shared" si="357"/>
        <v>1352</v>
      </c>
      <c r="E1125" s="47">
        <f t="shared" si="357"/>
        <v>0</v>
      </c>
      <c r="F1125" s="47">
        <f t="shared" si="357"/>
        <v>0</v>
      </c>
      <c r="G1125" s="47">
        <f t="shared" si="357"/>
        <v>0</v>
      </c>
      <c r="H1125" s="47">
        <f t="shared" si="357"/>
        <v>1352</v>
      </c>
      <c r="I1125" s="47">
        <f t="shared" si="357"/>
        <v>0</v>
      </c>
      <c r="J1125" s="47">
        <f t="shared" si="357"/>
        <v>1352</v>
      </c>
      <c r="K1125" s="188" t="s">
        <v>236</v>
      </c>
      <c r="L1125" s="131"/>
    </row>
    <row r="1126" spans="1:12" ht="15" customHeight="1" thickBot="1" x14ac:dyDescent="0.25">
      <c r="A1126" s="253"/>
      <c r="B1126" s="47">
        <f t="shared" si="357"/>
        <v>0</v>
      </c>
      <c r="C1126" s="47">
        <f t="shared" si="357"/>
        <v>0</v>
      </c>
      <c r="D1126" s="47">
        <f t="shared" si="357"/>
        <v>0</v>
      </c>
      <c r="E1126" s="47">
        <f t="shared" si="357"/>
        <v>0</v>
      </c>
      <c r="F1126" s="47">
        <f t="shared" si="357"/>
        <v>0</v>
      </c>
      <c r="G1126" s="47">
        <f t="shared" si="357"/>
        <v>0</v>
      </c>
      <c r="H1126" s="47">
        <f t="shared" si="357"/>
        <v>0</v>
      </c>
      <c r="I1126" s="47">
        <f t="shared" si="357"/>
        <v>0</v>
      </c>
      <c r="J1126" s="47">
        <f t="shared" si="357"/>
        <v>0</v>
      </c>
      <c r="K1126" s="188" t="s">
        <v>237</v>
      </c>
      <c r="L1126" s="132" t="s">
        <v>188</v>
      </c>
    </row>
    <row r="1127" spans="1:12" ht="15" customHeight="1" thickBot="1" x14ac:dyDescent="0.25">
      <c r="A1127" s="253"/>
      <c r="B1127" s="47">
        <f t="shared" si="357"/>
        <v>1352</v>
      </c>
      <c r="C1127" s="47">
        <f t="shared" si="357"/>
        <v>0</v>
      </c>
      <c r="D1127" s="47">
        <f t="shared" si="357"/>
        <v>1352</v>
      </c>
      <c r="E1127" s="47">
        <f t="shared" si="357"/>
        <v>0</v>
      </c>
      <c r="F1127" s="47">
        <f t="shared" si="357"/>
        <v>0</v>
      </c>
      <c r="G1127" s="47">
        <f t="shared" si="357"/>
        <v>0</v>
      </c>
      <c r="H1127" s="47">
        <f t="shared" si="357"/>
        <v>1352</v>
      </c>
      <c r="I1127" s="47">
        <f t="shared" si="357"/>
        <v>0</v>
      </c>
      <c r="J1127" s="47">
        <f t="shared" si="357"/>
        <v>1352</v>
      </c>
      <c r="K1127" s="188" t="s">
        <v>12</v>
      </c>
      <c r="L1127" s="133"/>
    </row>
    <row r="1128" spans="1:12" ht="15" customHeight="1" thickBot="1" x14ac:dyDescent="0.25">
      <c r="A1128" s="253"/>
      <c r="B1128" s="476" t="s">
        <v>4</v>
      </c>
      <c r="C1128" s="476"/>
      <c r="D1128" s="476"/>
      <c r="E1128" s="476" t="s">
        <v>145</v>
      </c>
      <c r="F1128" s="476"/>
      <c r="G1128" s="476"/>
      <c r="H1128" s="476" t="s">
        <v>146</v>
      </c>
      <c r="I1128" s="476"/>
      <c r="J1128" s="476"/>
      <c r="K1128" s="479" t="s">
        <v>66</v>
      </c>
      <c r="L1128" s="479"/>
    </row>
    <row r="1129" spans="1:12" ht="15" customHeight="1" thickBot="1" x14ac:dyDescent="0.25">
      <c r="A1129" s="253"/>
      <c r="B1129" s="185" t="s">
        <v>227</v>
      </c>
      <c r="C1129" s="185" t="s">
        <v>10</v>
      </c>
      <c r="D1129" s="185" t="s">
        <v>9</v>
      </c>
      <c r="E1129" s="185" t="s">
        <v>227</v>
      </c>
      <c r="F1129" s="185" t="s">
        <v>10</v>
      </c>
      <c r="G1129" s="185" t="s">
        <v>9</v>
      </c>
      <c r="H1129" s="185" t="s">
        <v>227</v>
      </c>
      <c r="I1129" s="185" t="s">
        <v>10</v>
      </c>
      <c r="J1129" s="185" t="s">
        <v>9</v>
      </c>
      <c r="K1129" s="480" t="s">
        <v>228</v>
      </c>
      <c r="L1129" s="480"/>
    </row>
    <row r="1130" spans="1:12" ht="15" customHeight="1" thickBot="1" x14ac:dyDescent="0.25">
      <c r="A1130" s="253"/>
      <c r="B1130" s="47">
        <f>SUM(C1130:D1130)</f>
        <v>976</v>
      </c>
      <c r="C1130" s="47">
        <f>I1130+F1130</f>
        <v>0</v>
      </c>
      <c r="D1130" s="47">
        <f>J1130+G1130</f>
        <v>976</v>
      </c>
      <c r="E1130" s="47">
        <f>SUM(F1130:G1130)</f>
        <v>0</v>
      </c>
      <c r="F1130" s="47">
        <v>0</v>
      </c>
      <c r="G1130" s="47">
        <v>0</v>
      </c>
      <c r="H1130" s="47">
        <f>SUM(I1130:J1130)</f>
        <v>976</v>
      </c>
      <c r="I1130" s="47">
        <v>0</v>
      </c>
      <c r="J1130" s="47">
        <v>976</v>
      </c>
      <c r="K1130" s="188" t="s">
        <v>233</v>
      </c>
      <c r="L1130" s="248"/>
    </row>
    <row r="1131" spans="1:12" ht="15" customHeight="1" thickBot="1" x14ac:dyDescent="0.25">
      <c r="A1131" s="253"/>
      <c r="B1131" s="47">
        <f>SUM(C1131:D1131)</f>
        <v>0</v>
      </c>
      <c r="C1131" s="47">
        <f>I1131+F1131</f>
        <v>0</v>
      </c>
      <c r="D1131" s="47">
        <f>J1131+G1131</f>
        <v>0</v>
      </c>
      <c r="E1131" s="47">
        <f>SUM(F1131:G1131)</f>
        <v>0</v>
      </c>
      <c r="F1131" s="47">
        <v>0</v>
      </c>
      <c r="G1131" s="47">
        <v>0</v>
      </c>
      <c r="H1131" s="47">
        <f>SUM(I1131:J1131)</f>
        <v>0</v>
      </c>
      <c r="I1131" s="47">
        <v>0</v>
      </c>
      <c r="J1131" s="47">
        <v>0</v>
      </c>
      <c r="K1131" s="188" t="s">
        <v>234</v>
      </c>
      <c r="L1131" s="248" t="s">
        <v>334</v>
      </c>
    </row>
    <row r="1132" spans="1:12" ht="15" customHeight="1" thickBot="1" x14ac:dyDescent="0.25">
      <c r="A1132" s="253"/>
      <c r="B1132" s="47">
        <f t="shared" ref="B1132:J1132" si="358">SUM(B1130:B1131)</f>
        <v>976</v>
      </c>
      <c r="C1132" s="47">
        <f t="shared" si="358"/>
        <v>0</v>
      </c>
      <c r="D1132" s="47">
        <f t="shared" si="358"/>
        <v>976</v>
      </c>
      <c r="E1132" s="47">
        <f t="shared" si="358"/>
        <v>0</v>
      </c>
      <c r="F1132" s="47">
        <f t="shared" si="358"/>
        <v>0</v>
      </c>
      <c r="G1132" s="47">
        <f t="shared" si="358"/>
        <v>0</v>
      </c>
      <c r="H1132" s="47">
        <f t="shared" si="358"/>
        <v>976</v>
      </c>
      <c r="I1132" s="47">
        <f t="shared" si="358"/>
        <v>0</v>
      </c>
      <c r="J1132" s="47">
        <f t="shared" si="358"/>
        <v>976</v>
      </c>
      <c r="K1132" s="188" t="s">
        <v>12</v>
      </c>
      <c r="L1132" s="249"/>
    </row>
    <row r="1133" spans="1:12" ht="15" customHeight="1" thickBot="1" x14ac:dyDescent="0.25">
      <c r="A1133" s="253"/>
      <c r="B1133" s="47">
        <f>SUM(C1133:D1133)</f>
        <v>345</v>
      </c>
      <c r="C1133" s="47">
        <f>I1133+F1133</f>
        <v>0</v>
      </c>
      <c r="D1133" s="47">
        <f>J1133+G1133</f>
        <v>345</v>
      </c>
      <c r="E1133" s="47">
        <f>SUM(F1133:G1133)</f>
        <v>0</v>
      </c>
      <c r="F1133" s="47">
        <v>0</v>
      </c>
      <c r="G1133" s="47">
        <v>0</v>
      </c>
      <c r="H1133" s="47">
        <f>SUM(I1133:J1133)</f>
        <v>345</v>
      </c>
      <c r="I1133" s="47">
        <v>0</v>
      </c>
      <c r="J1133" s="47">
        <v>345</v>
      </c>
      <c r="K1133" s="188" t="s">
        <v>233</v>
      </c>
      <c r="L1133" s="248"/>
    </row>
    <row r="1134" spans="1:12" ht="15" customHeight="1" thickBot="1" x14ac:dyDescent="0.25">
      <c r="A1134" s="253"/>
      <c r="B1134" s="47">
        <f>SUM(C1134:D1134)</f>
        <v>0</v>
      </c>
      <c r="C1134" s="47">
        <f>I1134+F1134</f>
        <v>0</v>
      </c>
      <c r="D1134" s="47">
        <f>J1134+G1134</f>
        <v>0</v>
      </c>
      <c r="E1134" s="47">
        <f>SUM(F1134:G1134)</f>
        <v>0</v>
      </c>
      <c r="F1134" s="47">
        <v>0</v>
      </c>
      <c r="G1134" s="47">
        <v>0</v>
      </c>
      <c r="H1134" s="47">
        <f>SUM(I1134:J1134)</f>
        <v>0</v>
      </c>
      <c r="I1134" s="47">
        <v>0</v>
      </c>
      <c r="J1134" s="47">
        <v>0</v>
      </c>
      <c r="K1134" s="188" t="s">
        <v>234</v>
      </c>
      <c r="L1134" s="248" t="s">
        <v>335</v>
      </c>
    </row>
    <row r="1135" spans="1:12" ht="15" customHeight="1" thickBot="1" x14ac:dyDescent="0.25">
      <c r="A1135" s="253"/>
      <c r="B1135" s="47">
        <f t="shared" ref="B1135:J1135" si="359">SUM(B1133:B1134)</f>
        <v>345</v>
      </c>
      <c r="C1135" s="47">
        <f t="shared" si="359"/>
        <v>0</v>
      </c>
      <c r="D1135" s="47">
        <f t="shared" si="359"/>
        <v>345</v>
      </c>
      <c r="E1135" s="47">
        <f t="shared" si="359"/>
        <v>0</v>
      </c>
      <c r="F1135" s="47">
        <f t="shared" si="359"/>
        <v>0</v>
      </c>
      <c r="G1135" s="47">
        <f t="shared" si="359"/>
        <v>0</v>
      </c>
      <c r="H1135" s="47">
        <f t="shared" si="359"/>
        <v>345</v>
      </c>
      <c r="I1135" s="47">
        <f t="shared" si="359"/>
        <v>0</v>
      </c>
      <c r="J1135" s="47">
        <f t="shared" si="359"/>
        <v>345</v>
      </c>
      <c r="K1135" s="188" t="s">
        <v>12</v>
      </c>
      <c r="L1135" s="249"/>
    </row>
    <row r="1136" spans="1:12" ht="15" customHeight="1" thickBot="1" x14ac:dyDescent="0.25">
      <c r="A1136" s="253"/>
      <c r="B1136" s="47">
        <f>SUM(C1136:D1136)</f>
        <v>1651</v>
      </c>
      <c r="C1136" s="47">
        <f>I1136+F1136</f>
        <v>982</v>
      </c>
      <c r="D1136" s="47">
        <f>J1136+G1136</f>
        <v>669</v>
      </c>
      <c r="E1136" s="47">
        <f>SUM(F1136:G1136)</f>
        <v>17</v>
      </c>
      <c r="F1136" s="47">
        <v>12</v>
      </c>
      <c r="G1136" s="47">
        <v>5</v>
      </c>
      <c r="H1136" s="47">
        <f>SUM(I1136:J1136)</f>
        <v>1634</v>
      </c>
      <c r="I1136" s="47">
        <v>970</v>
      </c>
      <c r="J1136" s="47">
        <v>664</v>
      </c>
      <c r="K1136" s="188" t="s">
        <v>233</v>
      </c>
      <c r="L1136" s="248"/>
    </row>
    <row r="1137" spans="1:12" ht="15" customHeight="1" thickBot="1" x14ac:dyDescent="0.25">
      <c r="A1137" s="253"/>
      <c r="B1137" s="47">
        <f>SUM(C1137:D1137)</f>
        <v>0</v>
      </c>
      <c r="C1137" s="47">
        <f>I1137+F1137</f>
        <v>0</v>
      </c>
      <c r="D1137" s="47">
        <f>J1137+G1137</f>
        <v>0</v>
      </c>
      <c r="E1137" s="47">
        <f>SUM(F1137:G1137)</f>
        <v>0</v>
      </c>
      <c r="F1137" s="47">
        <v>0</v>
      </c>
      <c r="G1137" s="47">
        <v>0</v>
      </c>
      <c r="H1137" s="47">
        <f>SUM(I1137:J1137)</f>
        <v>0</v>
      </c>
      <c r="I1137" s="47">
        <v>0</v>
      </c>
      <c r="J1137" s="47">
        <v>0</v>
      </c>
      <c r="K1137" s="188" t="s">
        <v>234</v>
      </c>
      <c r="L1137" s="248" t="s">
        <v>572</v>
      </c>
    </row>
    <row r="1138" spans="1:12" ht="15" customHeight="1" thickBot="1" x14ac:dyDescent="0.25">
      <c r="A1138" s="253"/>
      <c r="B1138" s="47">
        <f t="shared" ref="B1138:J1138" si="360">SUM(B1136:B1137)</f>
        <v>1651</v>
      </c>
      <c r="C1138" s="47">
        <f t="shared" si="360"/>
        <v>982</v>
      </c>
      <c r="D1138" s="47">
        <f t="shared" si="360"/>
        <v>669</v>
      </c>
      <c r="E1138" s="47">
        <f t="shared" si="360"/>
        <v>17</v>
      </c>
      <c r="F1138" s="47">
        <f t="shared" si="360"/>
        <v>12</v>
      </c>
      <c r="G1138" s="47">
        <f t="shared" si="360"/>
        <v>5</v>
      </c>
      <c r="H1138" s="47">
        <f t="shared" si="360"/>
        <v>1634</v>
      </c>
      <c r="I1138" s="47">
        <f t="shared" si="360"/>
        <v>970</v>
      </c>
      <c r="J1138" s="47">
        <f t="shared" si="360"/>
        <v>664</v>
      </c>
      <c r="K1138" s="188" t="s">
        <v>12</v>
      </c>
      <c r="L1138" s="249"/>
    </row>
    <row r="1139" spans="1:12" ht="15" customHeight="1" thickBot="1" x14ac:dyDescent="0.25">
      <c r="A1139" s="253"/>
      <c r="B1139" s="47">
        <f>SUM(C1139:D1139)</f>
        <v>1626</v>
      </c>
      <c r="C1139" s="47">
        <f>I1139+F1139</f>
        <v>758</v>
      </c>
      <c r="D1139" s="47">
        <f>J1139+G1139</f>
        <v>868</v>
      </c>
      <c r="E1139" s="47">
        <f>SUM(F1139:G1139)</f>
        <v>10</v>
      </c>
      <c r="F1139" s="47">
        <v>6</v>
      </c>
      <c r="G1139" s="47">
        <v>4</v>
      </c>
      <c r="H1139" s="47">
        <f>SUM(I1139:J1139)</f>
        <v>1616</v>
      </c>
      <c r="I1139" s="47">
        <v>752</v>
      </c>
      <c r="J1139" s="47">
        <v>864</v>
      </c>
      <c r="K1139" s="188" t="s">
        <v>233</v>
      </c>
      <c r="L1139" s="248"/>
    </row>
    <row r="1140" spans="1:12" ht="15" customHeight="1" thickBot="1" x14ac:dyDescent="0.25">
      <c r="A1140" s="253"/>
      <c r="B1140" s="47">
        <f>SUM(C1140:D1140)</f>
        <v>0</v>
      </c>
      <c r="C1140" s="47">
        <f>I1140+F1140</f>
        <v>0</v>
      </c>
      <c r="D1140" s="47">
        <f>J1140+G1140</f>
        <v>0</v>
      </c>
      <c r="E1140" s="47">
        <f>SUM(F1140:G1140)</f>
        <v>0</v>
      </c>
      <c r="F1140" s="47">
        <v>0</v>
      </c>
      <c r="G1140" s="47">
        <v>0</v>
      </c>
      <c r="H1140" s="47">
        <f>SUM(I1140:J1140)</f>
        <v>0</v>
      </c>
      <c r="I1140" s="47">
        <v>0</v>
      </c>
      <c r="J1140" s="47">
        <v>0</v>
      </c>
      <c r="K1140" s="188" t="s">
        <v>234</v>
      </c>
      <c r="L1140" s="248" t="s">
        <v>573</v>
      </c>
    </row>
    <row r="1141" spans="1:12" ht="15" customHeight="1" thickBot="1" x14ac:dyDescent="0.25">
      <c r="A1141" s="253"/>
      <c r="B1141" s="47">
        <f t="shared" ref="B1141:J1141" si="361">SUM(B1139:B1140)</f>
        <v>1626</v>
      </c>
      <c r="C1141" s="47">
        <f t="shared" si="361"/>
        <v>758</v>
      </c>
      <c r="D1141" s="47">
        <f t="shared" si="361"/>
        <v>868</v>
      </c>
      <c r="E1141" s="47">
        <f t="shared" si="361"/>
        <v>10</v>
      </c>
      <c r="F1141" s="47">
        <f t="shared" si="361"/>
        <v>6</v>
      </c>
      <c r="G1141" s="47">
        <f t="shared" si="361"/>
        <v>4</v>
      </c>
      <c r="H1141" s="47">
        <f t="shared" si="361"/>
        <v>1616</v>
      </c>
      <c r="I1141" s="47">
        <f t="shared" si="361"/>
        <v>752</v>
      </c>
      <c r="J1141" s="47">
        <f t="shared" si="361"/>
        <v>864</v>
      </c>
      <c r="K1141" s="188" t="s">
        <v>12</v>
      </c>
      <c r="L1141" s="249"/>
    </row>
    <row r="1142" spans="1:12" ht="15" customHeight="1" thickBot="1" x14ac:dyDescent="0.25">
      <c r="A1142" s="253"/>
      <c r="B1142" s="47">
        <f t="shared" ref="B1142:J1144" si="362">B1130+B1133+B1136+B1139</f>
        <v>4598</v>
      </c>
      <c r="C1142" s="47">
        <f t="shared" si="362"/>
        <v>1740</v>
      </c>
      <c r="D1142" s="47">
        <f t="shared" si="362"/>
        <v>2858</v>
      </c>
      <c r="E1142" s="47">
        <f t="shared" si="362"/>
        <v>27</v>
      </c>
      <c r="F1142" s="47">
        <f t="shared" si="362"/>
        <v>18</v>
      </c>
      <c r="G1142" s="47">
        <f t="shared" si="362"/>
        <v>9</v>
      </c>
      <c r="H1142" s="47">
        <f t="shared" si="362"/>
        <v>4571</v>
      </c>
      <c r="I1142" s="47">
        <f t="shared" si="362"/>
        <v>1722</v>
      </c>
      <c r="J1142" s="47">
        <f t="shared" si="362"/>
        <v>2849</v>
      </c>
      <c r="K1142" s="188" t="s">
        <v>236</v>
      </c>
      <c r="L1142" s="250"/>
    </row>
    <row r="1143" spans="1:12" ht="15" customHeight="1" thickBot="1" x14ac:dyDescent="0.25">
      <c r="A1143" s="253"/>
      <c r="B1143" s="47">
        <f t="shared" si="362"/>
        <v>0</v>
      </c>
      <c r="C1143" s="47">
        <f t="shared" si="362"/>
        <v>0</v>
      </c>
      <c r="D1143" s="47">
        <f t="shared" si="362"/>
        <v>0</v>
      </c>
      <c r="E1143" s="47">
        <f t="shared" si="362"/>
        <v>0</v>
      </c>
      <c r="F1143" s="47">
        <f t="shared" si="362"/>
        <v>0</v>
      </c>
      <c r="G1143" s="47">
        <f t="shared" si="362"/>
        <v>0</v>
      </c>
      <c r="H1143" s="47">
        <f t="shared" si="362"/>
        <v>0</v>
      </c>
      <c r="I1143" s="47">
        <f t="shared" si="362"/>
        <v>0</v>
      </c>
      <c r="J1143" s="47">
        <f t="shared" si="362"/>
        <v>0</v>
      </c>
      <c r="K1143" s="188" t="s">
        <v>237</v>
      </c>
      <c r="L1143" s="251" t="s">
        <v>188</v>
      </c>
    </row>
    <row r="1144" spans="1:12" ht="15" customHeight="1" thickBot="1" x14ac:dyDescent="0.25">
      <c r="A1144" s="253"/>
      <c r="B1144" s="47">
        <f t="shared" si="362"/>
        <v>4598</v>
      </c>
      <c r="C1144" s="47">
        <f t="shared" si="362"/>
        <v>1740</v>
      </c>
      <c r="D1144" s="47">
        <f t="shared" si="362"/>
        <v>2858</v>
      </c>
      <c r="E1144" s="47">
        <f t="shared" si="362"/>
        <v>27</v>
      </c>
      <c r="F1144" s="47">
        <f t="shared" si="362"/>
        <v>18</v>
      </c>
      <c r="G1144" s="47">
        <f t="shared" si="362"/>
        <v>9</v>
      </c>
      <c r="H1144" s="47">
        <f t="shared" si="362"/>
        <v>4571</v>
      </c>
      <c r="I1144" s="47">
        <f t="shared" si="362"/>
        <v>1722</v>
      </c>
      <c r="J1144" s="47">
        <f t="shared" si="362"/>
        <v>2849</v>
      </c>
      <c r="K1144" s="188" t="s">
        <v>12</v>
      </c>
      <c r="L1144" s="187"/>
    </row>
    <row r="1145" spans="1:12" ht="15" customHeight="1" thickBot="1" x14ac:dyDescent="0.25">
      <c r="A1145" s="253"/>
      <c r="B1145" s="476" t="s">
        <v>4</v>
      </c>
      <c r="C1145" s="476"/>
      <c r="D1145" s="476"/>
      <c r="E1145" s="476" t="s">
        <v>145</v>
      </c>
      <c r="F1145" s="476"/>
      <c r="G1145" s="476"/>
      <c r="H1145" s="476" t="s">
        <v>146</v>
      </c>
      <c r="I1145" s="476"/>
      <c r="J1145" s="476"/>
      <c r="K1145" s="479" t="s">
        <v>66</v>
      </c>
      <c r="L1145" s="479"/>
    </row>
    <row r="1146" spans="1:12" ht="15" customHeight="1" thickBot="1" x14ac:dyDescent="0.25">
      <c r="A1146" s="253"/>
      <c r="B1146" s="185" t="s">
        <v>227</v>
      </c>
      <c r="C1146" s="185" t="s">
        <v>10</v>
      </c>
      <c r="D1146" s="185" t="s">
        <v>9</v>
      </c>
      <c r="E1146" s="185" t="s">
        <v>227</v>
      </c>
      <c r="F1146" s="185" t="s">
        <v>10</v>
      </c>
      <c r="G1146" s="185" t="s">
        <v>9</v>
      </c>
      <c r="H1146" s="185" t="s">
        <v>227</v>
      </c>
      <c r="I1146" s="185" t="s">
        <v>10</v>
      </c>
      <c r="J1146" s="185" t="s">
        <v>9</v>
      </c>
      <c r="K1146" s="480" t="s">
        <v>152</v>
      </c>
      <c r="L1146" s="480"/>
    </row>
    <row r="1147" spans="1:12" ht="15" customHeight="1" thickBot="1" x14ac:dyDescent="0.25">
      <c r="A1147" s="253"/>
      <c r="B1147" s="47">
        <f>SUM(C1147:D1147)</f>
        <v>133</v>
      </c>
      <c r="C1147" s="47">
        <f>I1147+F1147</f>
        <v>63</v>
      </c>
      <c r="D1147" s="47">
        <f>J1147+G1147</f>
        <v>70</v>
      </c>
      <c r="E1147" s="47">
        <f>SUM(F1147:G1147)</f>
        <v>0</v>
      </c>
      <c r="F1147" s="47">
        <v>0</v>
      </c>
      <c r="G1147" s="47">
        <v>0</v>
      </c>
      <c r="H1147" s="47">
        <f>SUM(I1147:J1147)</f>
        <v>133</v>
      </c>
      <c r="I1147" s="47">
        <v>63</v>
      </c>
      <c r="J1147" s="47">
        <v>70</v>
      </c>
      <c r="K1147" s="188" t="s">
        <v>233</v>
      </c>
      <c r="L1147" s="248"/>
    </row>
    <row r="1148" spans="1:12" ht="15" customHeight="1" thickBot="1" x14ac:dyDescent="0.25">
      <c r="A1148" s="253"/>
      <c r="B1148" s="47">
        <f>SUM(C1148:D1148)</f>
        <v>0</v>
      </c>
      <c r="C1148" s="47">
        <f>I1148+F1148</f>
        <v>0</v>
      </c>
      <c r="D1148" s="47">
        <f>J1148+G1148</f>
        <v>0</v>
      </c>
      <c r="E1148" s="47">
        <f>SUM(F1148:G1148)</f>
        <v>0</v>
      </c>
      <c r="F1148" s="47">
        <v>0</v>
      </c>
      <c r="G1148" s="47">
        <v>0</v>
      </c>
      <c r="H1148" s="47">
        <f>SUM(I1148:J1148)</f>
        <v>0</v>
      </c>
      <c r="I1148" s="47">
        <v>0</v>
      </c>
      <c r="J1148" s="47">
        <v>0</v>
      </c>
      <c r="K1148" s="188" t="s">
        <v>234</v>
      </c>
      <c r="L1148" s="248" t="s">
        <v>336</v>
      </c>
    </row>
    <row r="1149" spans="1:12" ht="15" customHeight="1" thickBot="1" x14ac:dyDescent="0.25">
      <c r="A1149" s="253"/>
      <c r="B1149" s="47">
        <f t="shared" ref="B1149:J1149" si="363">SUM(B1147:B1148)</f>
        <v>133</v>
      </c>
      <c r="C1149" s="47">
        <f t="shared" si="363"/>
        <v>63</v>
      </c>
      <c r="D1149" s="47">
        <f t="shared" si="363"/>
        <v>70</v>
      </c>
      <c r="E1149" s="47">
        <f t="shared" si="363"/>
        <v>0</v>
      </c>
      <c r="F1149" s="47">
        <f t="shared" si="363"/>
        <v>0</v>
      </c>
      <c r="G1149" s="47">
        <f t="shared" si="363"/>
        <v>0</v>
      </c>
      <c r="H1149" s="47">
        <f t="shared" si="363"/>
        <v>133</v>
      </c>
      <c r="I1149" s="47">
        <f t="shared" si="363"/>
        <v>63</v>
      </c>
      <c r="J1149" s="47">
        <f t="shared" si="363"/>
        <v>70</v>
      </c>
      <c r="K1149" s="188" t="s">
        <v>12</v>
      </c>
      <c r="L1149" s="249"/>
    </row>
    <row r="1150" spans="1:12" ht="15" customHeight="1" thickBot="1" x14ac:dyDescent="0.25">
      <c r="A1150" s="253"/>
      <c r="B1150" s="47">
        <f t="shared" ref="B1150:J1152" si="364">B1147</f>
        <v>133</v>
      </c>
      <c r="C1150" s="47">
        <f t="shared" si="364"/>
        <v>63</v>
      </c>
      <c r="D1150" s="47">
        <f t="shared" si="364"/>
        <v>70</v>
      </c>
      <c r="E1150" s="47">
        <f t="shared" si="364"/>
        <v>0</v>
      </c>
      <c r="F1150" s="47">
        <f t="shared" si="364"/>
        <v>0</v>
      </c>
      <c r="G1150" s="47">
        <f t="shared" si="364"/>
        <v>0</v>
      </c>
      <c r="H1150" s="47">
        <f t="shared" si="364"/>
        <v>133</v>
      </c>
      <c r="I1150" s="47">
        <f t="shared" si="364"/>
        <v>63</v>
      </c>
      <c r="J1150" s="47">
        <f t="shared" si="364"/>
        <v>70</v>
      </c>
      <c r="K1150" s="188" t="s">
        <v>236</v>
      </c>
      <c r="L1150" s="250"/>
    </row>
    <row r="1151" spans="1:12" ht="15" customHeight="1" thickBot="1" x14ac:dyDescent="0.25">
      <c r="A1151" s="253"/>
      <c r="B1151" s="47">
        <f t="shared" si="364"/>
        <v>0</v>
      </c>
      <c r="C1151" s="47">
        <f t="shared" si="364"/>
        <v>0</v>
      </c>
      <c r="D1151" s="47">
        <f t="shared" si="364"/>
        <v>0</v>
      </c>
      <c r="E1151" s="47">
        <f t="shared" si="364"/>
        <v>0</v>
      </c>
      <c r="F1151" s="47">
        <f t="shared" si="364"/>
        <v>0</v>
      </c>
      <c r="G1151" s="47">
        <f t="shared" si="364"/>
        <v>0</v>
      </c>
      <c r="H1151" s="47">
        <f t="shared" si="364"/>
        <v>0</v>
      </c>
      <c r="I1151" s="47">
        <f t="shared" si="364"/>
        <v>0</v>
      </c>
      <c r="J1151" s="47">
        <f t="shared" si="364"/>
        <v>0</v>
      </c>
      <c r="K1151" s="188" t="s">
        <v>237</v>
      </c>
      <c r="L1151" s="251" t="s">
        <v>188</v>
      </c>
    </row>
    <row r="1152" spans="1:12" ht="15" customHeight="1" thickBot="1" x14ac:dyDescent="0.25">
      <c r="A1152" s="253"/>
      <c r="B1152" s="47">
        <f t="shared" si="364"/>
        <v>133</v>
      </c>
      <c r="C1152" s="47">
        <f t="shared" si="364"/>
        <v>63</v>
      </c>
      <c r="D1152" s="47">
        <f t="shared" si="364"/>
        <v>70</v>
      </c>
      <c r="E1152" s="47">
        <f t="shared" si="364"/>
        <v>0</v>
      </c>
      <c r="F1152" s="47">
        <f t="shared" si="364"/>
        <v>0</v>
      </c>
      <c r="G1152" s="47">
        <f t="shared" si="364"/>
        <v>0</v>
      </c>
      <c r="H1152" s="47">
        <f t="shared" si="364"/>
        <v>133</v>
      </c>
      <c r="I1152" s="47">
        <f t="shared" si="364"/>
        <v>63</v>
      </c>
      <c r="J1152" s="47">
        <f t="shared" si="364"/>
        <v>70</v>
      </c>
      <c r="K1152" s="188" t="s">
        <v>12</v>
      </c>
      <c r="L1152" s="187"/>
    </row>
  </sheetData>
  <mergeCells count="123">
    <mergeCell ref="K1146:L1146"/>
    <mergeCell ref="B1128:D1128"/>
    <mergeCell ref="E1128:G1128"/>
    <mergeCell ref="H1128:J1128"/>
    <mergeCell ref="K1128:L1128"/>
    <mergeCell ref="K1129:L1129"/>
    <mergeCell ref="B1145:D1145"/>
    <mergeCell ref="E1145:G1145"/>
    <mergeCell ref="H1145:J1145"/>
    <mergeCell ref="K1145:L1145"/>
    <mergeCell ref="L1108:L1110"/>
    <mergeCell ref="B1120:D1120"/>
    <mergeCell ref="E1120:G1120"/>
    <mergeCell ref="H1120:J1120"/>
    <mergeCell ref="K1120:L1120"/>
    <mergeCell ref="K1121:L1121"/>
    <mergeCell ref="K1030:L1030"/>
    <mergeCell ref="B1049:D1049"/>
    <mergeCell ref="E1049:G1049"/>
    <mergeCell ref="H1049:J1049"/>
    <mergeCell ref="K1049:L1049"/>
    <mergeCell ref="K1050:L1050"/>
    <mergeCell ref="B1000:D1000"/>
    <mergeCell ref="E1000:G1000"/>
    <mergeCell ref="H1000:J1000"/>
    <mergeCell ref="K1000:L1000"/>
    <mergeCell ref="K1001:L1001"/>
    <mergeCell ref="B1029:D1029"/>
    <mergeCell ref="E1029:G1029"/>
    <mergeCell ref="H1029:J1029"/>
    <mergeCell ref="K1029:L1029"/>
    <mergeCell ref="K874:L874"/>
    <mergeCell ref="B899:D899"/>
    <mergeCell ref="E899:G899"/>
    <mergeCell ref="H899:J899"/>
    <mergeCell ref="K899:L899"/>
    <mergeCell ref="K900:L900"/>
    <mergeCell ref="B844:D844"/>
    <mergeCell ref="E844:G844"/>
    <mergeCell ref="H844:J844"/>
    <mergeCell ref="K844:L844"/>
    <mergeCell ref="K845:L845"/>
    <mergeCell ref="B873:D873"/>
    <mergeCell ref="E873:G873"/>
    <mergeCell ref="H873:J873"/>
    <mergeCell ref="K873:L873"/>
    <mergeCell ref="K787:L787"/>
    <mergeCell ref="B815:D815"/>
    <mergeCell ref="E815:G815"/>
    <mergeCell ref="H815:J815"/>
    <mergeCell ref="K815:L815"/>
    <mergeCell ref="K816:L816"/>
    <mergeCell ref="B748:D748"/>
    <mergeCell ref="E748:G748"/>
    <mergeCell ref="H748:J748"/>
    <mergeCell ref="K748:L748"/>
    <mergeCell ref="K749:L749"/>
    <mergeCell ref="B786:D786"/>
    <mergeCell ref="E786:G786"/>
    <mergeCell ref="H786:J786"/>
    <mergeCell ref="K786:L786"/>
    <mergeCell ref="K664:L664"/>
    <mergeCell ref="B716:D716"/>
    <mergeCell ref="E716:G716"/>
    <mergeCell ref="H716:J716"/>
    <mergeCell ref="K716:L716"/>
    <mergeCell ref="K717:L717"/>
    <mergeCell ref="B589:D589"/>
    <mergeCell ref="E589:G589"/>
    <mergeCell ref="H589:J589"/>
    <mergeCell ref="K589:L589"/>
    <mergeCell ref="K590:L590"/>
    <mergeCell ref="B663:D663"/>
    <mergeCell ref="E663:G663"/>
    <mergeCell ref="H663:J663"/>
    <mergeCell ref="K663:L663"/>
    <mergeCell ref="K436:L436"/>
    <mergeCell ref="B518:D518"/>
    <mergeCell ref="E518:G518"/>
    <mergeCell ref="H518:J518"/>
    <mergeCell ref="K518:L518"/>
    <mergeCell ref="K519:L519"/>
    <mergeCell ref="B352:D352"/>
    <mergeCell ref="E352:G352"/>
    <mergeCell ref="H352:J352"/>
    <mergeCell ref="K352:L352"/>
    <mergeCell ref="K353:L353"/>
    <mergeCell ref="B435:D435"/>
    <mergeCell ref="E435:G435"/>
    <mergeCell ref="H435:J435"/>
    <mergeCell ref="K435:L435"/>
    <mergeCell ref="B326:D326"/>
    <mergeCell ref="E326:G326"/>
    <mergeCell ref="H326:J326"/>
    <mergeCell ref="K326:L326"/>
    <mergeCell ref="K327:L327"/>
    <mergeCell ref="B127:D127"/>
    <mergeCell ref="E127:G127"/>
    <mergeCell ref="H127:J127"/>
    <mergeCell ref="K127:L127"/>
    <mergeCell ref="K128:L128"/>
    <mergeCell ref="B249:D249"/>
    <mergeCell ref="E249:G249"/>
    <mergeCell ref="H249:J249"/>
    <mergeCell ref="K249:L249"/>
    <mergeCell ref="K87:L87"/>
    <mergeCell ref="L109:L111"/>
    <mergeCell ref="B66:D66"/>
    <mergeCell ref="E66:G66"/>
    <mergeCell ref="H66:J66"/>
    <mergeCell ref="K66:L66"/>
    <mergeCell ref="K67:L67"/>
    <mergeCell ref="K250:L250"/>
    <mergeCell ref="B2:L2"/>
    <mergeCell ref="B4:D4"/>
    <mergeCell ref="E4:G4"/>
    <mergeCell ref="H4:J4"/>
    <mergeCell ref="K4:L4"/>
    <mergeCell ref="K5:L5"/>
    <mergeCell ref="B86:D86"/>
    <mergeCell ref="E86:G86"/>
    <mergeCell ref="H86:J86"/>
    <mergeCell ref="K86:L86"/>
  </mergeCells>
  <printOptions horizontalCentered="1" verticalCentered="1"/>
  <pageMargins left="0.39370078740157499" right="0.39370078740157499" top="0.44" bottom="0.16" header="0.17" footer="8.07"/>
  <pageSetup paperSize="9" scale="85" orientation="landscape" r:id="rId1"/>
  <headerFooter alignWithMargins="0"/>
  <rowBreaks count="10" manualBreakCount="10">
    <brk id="65" min="1" max="11" man="1"/>
    <brk id="126" min="1" max="11" man="1"/>
    <brk id="248" min="1" max="11" man="1"/>
    <brk id="325" min="1" max="11" man="1"/>
    <brk id="434" min="1" max="11" man="1"/>
    <brk id="588" min="1" max="11" man="1"/>
    <brk id="715" min="1" max="11" man="1"/>
    <brk id="872" min="1" max="11" man="1"/>
    <brk id="999" min="1" max="11" man="1"/>
    <brk id="1119" min="1" max="11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M387"/>
  <sheetViews>
    <sheetView showGridLines="0" zoomScaleSheetLayoutView="100" workbookViewId="0">
      <selection activeCell="O1" sqref="O1:U1048576"/>
    </sheetView>
  </sheetViews>
  <sheetFormatPr defaultColWidth="9.125" defaultRowHeight="17.25" customHeight="1" x14ac:dyDescent="0.2"/>
  <cols>
    <col min="1" max="1" width="9.125" style="2"/>
    <col min="2" max="2" width="6.75" style="98" customWidth="1"/>
    <col min="3" max="11" width="7.25" style="211" customWidth="1"/>
    <col min="12" max="12" width="9.125" style="98"/>
    <col min="13" max="13" width="31.125" style="277" bestFit="1" customWidth="1"/>
    <col min="14" max="16384" width="9.125" style="2"/>
  </cols>
  <sheetData>
    <row r="2" spans="3:13" ht="17.25" customHeight="1" x14ac:dyDescent="0.2">
      <c r="C2" s="553" t="s">
        <v>673</v>
      </c>
      <c r="D2" s="553"/>
      <c r="E2" s="553"/>
      <c r="F2" s="553"/>
      <c r="G2" s="553"/>
      <c r="H2" s="553"/>
      <c r="I2" s="553"/>
      <c r="J2" s="553"/>
      <c r="K2" s="553"/>
      <c r="L2" s="553"/>
      <c r="M2" s="553"/>
    </row>
    <row r="3" spans="3:13" ht="17.25" customHeight="1" thickBot="1" x14ac:dyDescent="0.25"/>
    <row r="4" spans="3:13" ht="17.25" customHeight="1" thickBot="1" x14ac:dyDescent="0.25">
      <c r="C4" s="476" t="s">
        <v>4</v>
      </c>
      <c r="D4" s="476"/>
      <c r="E4" s="476"/>
      <c r="F4" s="476" t="s">
        <v>145</v>
      </c>
      <c r="G4" s="476"/>
      <c r="H4" s="476"/>
      <c r="I4" s="476" t="s">
        <v>146</v>
      </c>
      <c r="J4" s="476"/>
      <c r="K4" s="476"/>
      <c r="L4" s="479" t="s">
        <v>66</v>
      </c>
      <c r="M4" s="479"/>
    </row>
    <row r="5" spans="3:13" ht="17.25" customHeight="1" thickBot="1" x14ac:dyDescent="0.25">
      <c r="C5" s="185" t="s">
        <v>227</v>
      </c>
      <c r="D5" s="185" t="s">
        <v>10</v>
      </c>
      <c r="E5" s="185" t="s">
        <v>9</v>
      </c>
      <c r="F5" s="185" t="s">
        <v>227</v>
      </c>
      <c r="G5" s="185" t="s">
        <v>10</v>
      </c>
      <c r="H5" s="185" t="s">
        <v>9</v>
      </c>
      <c r="I5" s="185" t="s">
        <v>227</v>
      </c>
      <c r="J5" s="185" t="s">
        <v>10</v>
      </c>
      <c r="K5" s="185" t="s">
        <v>9</v>
      </c>
      <c r="L5" s="480" t="s">
        <v>68</v>
      </c>
      <c r="M5" s="480"/>
    </row>
    <row r="6" spans="3:13" ht="17.25" customHeight="1" thickBot="1" x14ac:dyDescent="0.25">
      <c r="C6" s="47">
        <f>SUM(D6:E6)</f>
        <v>61</v>
      </c>
      <c r="D6" s="47">
        <f>J6+G6</f>
        <v>6</v>
      </c>
      <c r="E6" s="47">
        <f>K6+H6</f>
        <v>55</v>
      </c>
      <c r="F6" s="47">
        <f>SUM(G6:H6)</f>
        <v>0</v>
      </c>
      <c r="G6" s="47">
        <v>0</v>
      </c>
      <c r="H6" s="47">
        <v>0</v>
      </c>
      <c r="I6" s="47">
        <f>SUM(J6:K6)</f>
        <v>61</v>
      </c>
      <c r="J6" s="47">
        <v>6</v>
      </c>
      <c r="K6" s="47">
        <v>55</v>
      </c>
      <c r="L6" s="188" t="s">
        <v>56</v>
      </c>
      <c r="M6" s="134"/>
    </row>
    <row r="7" spans="3:13" ht="17.25" customHeight="1" thickBot="1" x14ac:dyDescent="0.25">
      <c r="C7" s="47">
        <f t="shared" ref="C7:C41" si="0">SUM(D7:E7)</f>
        <v>111</v>
      </c>
      <c r="D7" s="47">
        <f t="shared" ref="D7:E41" si="1">J7+G7</f>
        <v>35</v>
      </c>
      <c r="E7" s="47">
        <f t="shared" si="1"/>
        <v>76</v>
      </c>
      <c r="F7" s="47">
        <f t="shared" ref="F7:F41" si="2">SUM(G7:H7)</f>
        <v>21</v>
      </c>
      <c r="G7" s="47">
        <v>7</v>
      </c>
      <c r="H7" s="47">
        <v>14</v>
      </c>
      <c r="I7" s="47">
        <f t="shared" ref="I7:I41" si="3">SUM(J7:K7)</f>
        <v>90</v>
      </c>
      <c r="J7" s="47">
        <v>28</v>
      </c>
      <c r="K7" s="47">
        <v>62</v>
      </c>
      <c r="L7" s="188" t="s">
        <v>57</v>
      </c>
      <c r="M7" s="134" t="s">
        <v>339</v>
      </c>
    </row>
    <row r="8" spans="3:13" ht="17.25" customHeight="1" thickBot="1" x14ac:dyDescent="0.25">
      <c r="C8" s="47">
        <f t="shared" si="0"/>
        <v>56</v>
      </c>
      <c r="D8" s="47">
        <f t="shared" si="1"/>
        <v>0</v>
      </c>
      <c r="E8" s="47">
        <f t="shared" si="1"/>
        <v>56</v>
      </c>
      <c r="F8" s="47">
        <f t="shared" si="2"/>
        <v>11</v>
      </c>
      <c r="G8" s="47">
        <v>0</v>
      </c>
      <c r="H8" s="47">
        <v>11</v>
      </c>
      <c r="I8" s="47">
        <f t="shared" si="3"/>
        <v>45</v>
      </c>
      <c r="J8" s="47">
        <v>0</v>
      </c>
      <c r="K8" s="47">
        <v>45</v>
      </c>
      <c r="L8" s="188" t="s">
        <v>59</v>
      </c>
      <c r="M8" s="135"/>
    </row>
    <row r="9" spans="3:13" ht="17.25" customHeight="1" thickBot="1" x14ac:dyDescent="0.25">
      <c r="C9" s="47">
        <f t="shared" si="0"/>
        <v>193</v>
      </c>
      <c r="D9" s="47">
        <f t="shared" si="1"/>
        <v>51</v>
      </c>
      <c r="E9" s="47">
        <f t="shared" si="1"/>
        <v>142</v>
      </c>
      <c r="F9" s="47">
        <f t="shared" si="2"/>
        <v>22</v>
      </c>
      <c r="G9" s="47">
        <v>6</v>
      </c>
      <c r="H9" s="47">
        <v>16</v>
      </c>
      <c r="I9" s="47">
        <f t="shared" si="3"/>
        <v>171</v>
      </c>
      <c r="J9" s="47">
        <v>45</v>
      </c>
      <c r="K9" s="47">
        <f>226-100</f>
        <v>126</v>
      </c>
      <c r="L9" s="188" t="s">
        <v>56</v>
      </c>
      <c r="M9" s="134"/>
    </row>
    <row r="10" spans="3:13" ht="17.25" customHeight="1" thickBot="1" x14ac:dyDescent="0.25">
      <c r="C10" s="47">
        <f t="shared" si="0"/>
        <v>397</v>
      </c>
      <c r="D10" s="47">
        <f t="shared" si="1"/>
        <v>157</v>
      </c>
      <c r="E10" s="47">
        <f t="shared" si="1"/>
        <v>240</v>
      </c>
      <c r="F10" s="47">
        <f t="shared" si="2"/>
        <v>14</v>
      </c>
      <c r="G10" s="47">
        <v>11</v>
      </c>
      <c r="H10" s="47">
        <v>3</v>
      </c>
      <c r="I10" s="47">
        <f t="shared" si="3"/>
        <v>383</v>
      </c>
      <c r="J10" s="47">
        <f>246-100</f>
        <v>146</v>
      </c>
      <c r="K10" s="47">
        <f>337-100</f>
        <v>237</v>
      </c>
      <c r="L10" s="188" t="s">
        <v>57</v>
      </c>
      <c r="M10" s="134" t="s">
        <v>340</v>
      </c>
    </row>
    <row r="11" spans="3:13" ht="17.25" customHeight="1" thickBot="1" x14ac:dyDescent="0.25">
      <c r="C11" s="47">
        <f t="shared" si="0"/>
        <v>470</v>
      </c>
      <c r="D11" s="47">
        <f t="shared" si="1"/>
        <v>121</v>
      </c>
      <c r="E11" s="47">
        <f t="shared" si="1"/>
        <v>349</v>
      </c>
      <c r="F11" s="47">
        <f t="shared" si="2"/>
        <v>1</v>
      </c>
      <c r="G11" s="47">
        <v>1</v>
      </c>
      <c r="H11" s="47">
        <v>0</v>
      </c>
      <c r="I11" s="47">
        <f t="shared" si="3"/>
        <v>469</v>
      </c>
      <c r="J11" s="47">
        <f>220-100</f>
        <v>120</v>
      </c>
      <c r="K11" s="47">
        <f>522-120-53</f>
        <v>349</v>
      </c>
      <c r="L11" s="188" t="s">
        <v>59</v>
      </c>
      <c r="M11" s="135"/>
    </row>
    <row r="12" spans="3:13" ht="17.25" customHeight="1" thickBot="1" x14ac:dyDescent="0.25">
      <c r="C12" s="47">
        <f t="shared" si="0"/>
        <v>48</v>
      </c>
      <c r="D12" s="47">
        <f t="shared" si="1"/>
        <v>22</v>
      </c>
      <c r="E12" s="47">
        <f t="shared" si="1"/>
        <v>26</v>
      </c>
      <c r="F12" s="47">
        <f t="shared" si="2"/>
        <v>18</v>
      </c>
      <c r="G12" s="47">
        <v>2</v>
      </c>
      <c r="H12" s="47">
        <v>16</v>
      </c>
      <c r="I12" s="47">
        <f t="shared" si="3"/>
        <v>30</v>
      </c>
      <c r="J12" s="47">
        <v>20</v>
      </c>
      <c r="K12" s="47">
        <v>10</v>
      </c>
      <c r="L12" s="188" t="s">
        <v>56</v>
      </c>
      <c r="M12" s="134"/>
    </row>
    <row r="13" spans="3:13" ht="17.25" customHeight="1" thickBot="1" x14ac:dyDescent="0.25">
      <c r="C13" s="47">
        <f t="shared" si="0"/>
        <v>67</v>
      </c>
      <c r="D13" s="47">
        <f t="shared" si="1"/>
        <v>31</v>
      </c>
      <c r="E13" s="47">
        <f t="shared" si="1"/>
        <v>36</v>
      </c>
      <c r="F13" s="47">
        <f t="shared" si="2"/>
        <v>10</v>
      </c>
      <c r="G13" s="47">
        <v>4</v>
      </c>
      <c r="H13" s="47">
        <v>6</v>
      </c>
      <c r="I13" s="47">
        <f t="shared" si="3"/>
        <v>57</v>
      </c>
      <c r="J13" s="47">
        <v>27</v>
      </c>
      <c r="K13" s="47">
        <v>30</v>
      </c>
      <c r="L13" s="188" t="s">
        <v>57</v>
      </c>
      <c r="M13" s="134" t="s">
        <v>341</v>
      </c>
    </row>
    <row r="14" spans="3:13" ht="17.25" customHeight="1" thickBot="1" x14ac:dyDescent="0.25">
      <c r="C14" s="47">
        <f t="shared" si="0"/>
        <v>0</v>
      </c>
      <c r="D14" s="47">
        <f t="shared" si="1"/>
        <v>0</v>
      </c>
      <c r="E14" s="47">
        <f t="shared" si="1"/>
        <v>0</v>
      </c>
      <c r="F14" s="47">
        <f t="shared" si="2"/>
        <v>0</v>
      </c>
      <c r="G14" s="47">
        <v>0</v>
      </c>
      <c r="H14" s="47">
        <v>0</v>
      </c>
      <c r="I14" s="47">
        <f t="shared" si="3"/>
        <v>0</v>
      </c>
      <c r="J14" s="47">
        <v>0</v>
      </c>
      <c r="K14" s="47">
        <v>0</v>
      </c>
      <c r="L14" s="188" t="s">
        <v>59</v>
      </c>
      <c r="M14" s="135"/>
    </row>
    <row r="15" spans="3:13" ht="17.25" customHeight="1" thickBot="1" x14ac:dyDescent="0.25">
      <c r="C15" s="47">
        <f t="shared" si="0"/>
        <v>0</v>
      </c>
      <c r="D15" s="47">
        <f t="shared" si="1"/>
        <v>0</v>
      </c>
      <c r="E15" s="47">
        <f t="shared" si="1"/>
        <v>0</v>
      </c>
      <c r="F15" s="47">
        <f t="shared" si="2"/>
        <v>0</v>
      </c>
      <c r="G15" s="47">
        <v>0</v>
      </c>
      <c r="H15" s="47">
        <v>0</v>
      </c>
      <c r="I15" s="47">
        <f t="shared" si="3"/>
        <v>0</v>
      </c>
      <c r="J15" s="47">
        <v>0</v>
      </c>
      <c r="K15" s="47">
        <v>0</v>
      </c>
      <c r="L15" s="188" t="s">
        <v>56</v>
      </c>
      <c r="M15" s="134"/>
    </row>
    <row r="16" spans="3:13" ht="17.25" customHeight="1" thickBot="1" x14ac:dyDescent="0.25">
      <c r="C16" s="47">
        <f t="shared" si="0"/>
        <v>56</v>
      </c>
      <c r="D16" s="47">
        <f t="shared" si="1"/>
        <v>52</v>
      </c>
      <c r="E16" s="47">
        <f t="shared" si="1"/>
        <v>4</v>
      </c>
      <c r="F16" s="47">
        <f t="shared" si="2"/>
        <v>0</v>
      </c>
      <c r="G16" s="47">
        <v>0</v>
      </c>
      <c r="H16" s="47">
        <v>0</v>
      </c>
      <c r="I16" s="47">
        <f t="shared" si="3"/>
        <v>56</v>
      </c>
      <c r="J16" s="47">
        <v>52</v>
      </c>
      <c r="K16" s="47">
        <v>4</v>
      </c>
      <c r="L16" s="188" t="s">
        <v>57</v>
      </c>
      <c r="M16" s="134" t="s">
        <v>342</v>
      </c>
    </row>
    <row r="17" spans="3:13" ht="17.25" customHeight="1" thickBot="1" x14ac:dyDescent="0.25">
      <c r="C17" s="47">
        <f t="shared" si="0"/>
        <v>0</v>
      </c>
      <c r="D17" s="47">
        <f t="shared" si="1"/>
        <v>0</v>
      </c>
      <c r="E17" s="47">
        <f t="shared" si="1"/>
        <v>0</v>
      </c>
      <c r="F17" s="47">
        <f t="shared" si="2"/>
        <v>0</v>
      </c>
      <c r="G17" s="47">
        <v>0</v>
      </c>
      <c r="H17" s="47">
        <v>0</v>
      </c>
      <c r="I17" s="47">
        <f t="shared" si="3"/>
        <v>0</v>
      </c>
      <c r="J17" s="47">
        <v>0</v>
      </c>
      <c r="K17" s="47">
        <v>0</v>
      </c>
      <c r="L17" s="188" t="s">
        <v>59</v>
      </c>
      <c r="M17" s="135"/>
    </row>
    <row r="18" spans="3:13" ht="17.25" customHeight="1" thickBot="1" x14ac:dyDescent="0.25">
      <c r="C18" s="47">
        <f t="shared" si="0"/>
        <v>0</v>
      </c>
      <c r="D18" s="47">
        <f t="shared" si="1"/>
        <v>0</v>
      </c>
      <c r="E18" s="47">
        <f t="shared" si="1"/>
        <v>0</v>
      </c>
      <c r="F18" s="47">
        <f t="shared" si="2"/>
        <v>0</v>
      </c>
      <c r="G18" s="47">
        <v>0</v>
      </c>
      <c r="H18" s="47">
        <v>0</v>
      </c>
      <c r="I18" s="47">
        <f t="shared" si="3"/>
        <v>0</v>
      </c>
      <c r="J18" s="47">
        <v>0</v>
      </c>
      <c r="K18" s="47">
        <v>0</v>
      </c>
      <c r="L18" s="188" t="s">
        <v>56</v>
      </c>
      <c r="M18" s="134"/>
    </row>
    <row r="19" spans="3:13" ht="17.25" customHeight="1" thickBot="1" x14ac:dyDescent="0.25">
      <c r="C19" s="47">
        <f t="shared" si="0"/>
        <v>9</v>
      </c>
      <c r="D19" s="47">
        <f t="shared" si="1"/>
        <v>0</v>
      </c>
      <c r="E19" s="47">
        <f t="shared" si="1"/>
        <v>9</v>
      </c>
      <c r="F19" s="47">
        <f t="shared" si="2"/>
        <v>0</v>
      </c>
      <c r="G19" s="47">
        <v>0</v>
      </c>
      <c r="H19" s="47">
        <v>0</v>
      </c>
      <c r="I19" s="47">
        <f t="shared" si="3"/>
        <v>9</v>
      </c>
      <c r="J19" s="47">
        <v>0</v>
      </c>
      <c r="K19" s="47">
        <v>9</v>
      </c>
      <c r="L19" s="188" t="s">
        <v>57</v>
      </c>
      <c r="M19" s="134" t="s">
        <v>343</v>
      </c>
    </row>
    <row r="20" spans="3:13" ht="17.25" customHeight="1" thickBot="1" x14ac:dyDescent="0.25">
      <c r="C20" s="47">
        <f t="shared" si="0"/>
        <v>0</v>
      </c>
      <c r="D20" s="47">
        <f t="shared" si="1"/>
        <v>0</v>
      </c>
      <c r="E20" s="47">
        <f t="shared" si="1"/>
        <v>0</v>
      </c>
      <c r="F20" s="47">
        <f t="shared" si="2"/>
        <v>0</v>
      </c>
      <c r="G20" s="47">
        <v>0</v>
      </c>
      <c r="H20" s="47">
        <v>0</v>
      </c>
      <c r="I20" s="47">
        <f t="shared" si="3"/>
        <v>0</v>
      </c>
      <c r="J20" s="47">
        <v>0</v>
      </c>
      <c r="K20" s="47">
        <v>0</v>
      </c>
      <c r="L20" s="188" t="s">
        <v>59</v>
      </c>
      <c r="M20" s="135"/>
    </row>
    <row r="21" spans="3:13" ht="17.25" customHeight="1" thickBot="1" x14ac:dyDescent="0.25">
      <c r="C21" s="47">
        <f t="shared" si="0"/>
        <v>5</v>
      </c>
      <c r="D21" s="47">
        <f t="shared" si="1"/>
        <v>5</v>
      </c>
      <c r="E21" s="47">
        <f t="shared" si="1"/>
        <v>0</v>
      </c>
      <c r="F21" s="47">
        <f t="shared" si="2"/>
        <v>0</v>
      </c>
      <c r="G21" s="47">
        <v>0</v>
      </c>
      <c r="H21" s="47">
        <v>0</v>
      </c>
      <c r="I21" s="47">
        <f t="shared" si="3"/>
        <v>5</v>
      </c>
      <c r="J21" s="47">
        <v>5</v>
      </c>
      <c r="K21" s="47">
        <v>0</v>
      </c>
      <c r="L21" s="188" t="s">
        <v>56</v>
      </c>
      <c r="M21" s="134"/>
    </row>
    <row r="22" spans="3:13" ht="17.25" customHeight="1" thickBot="1" x14ac:dyDescent="0.25">
      <c r="C22" s="47">
        <f t="shared" si="0"/>
        <v>27</v>
      </c>
      <c r="D22" s="47">
        <f t="shared" si="1"/>
        <v>23</v>
      </c>
      <c r="E22" s="47">
        <f t="shared" si="1"/>
        <v>4</v>
      </c>
      <c r="F22" s="47">
        <f t="shared" si="2"/>
        <v>0</v>
      </c>
      <c r="G22" s="47">
        <v>0</v>
      </c>
      <c r="H22" s="47">
        <v>0</v>
      </c>
      <c r="I22" s="47">
        <f t="shared" si="3"/>
        <v>27</v>
      </c>
      <c r="J22" s="47">
        <v>23</v>
      </c>
      <c r="K22" s="47">
        <v>4</v>
      </c>
      <c r="L22" s="188" t="s">
        <v>57</v>
      </c>
      <c r="M22" s="134" t="s">
        <v>345</v>
      </c>
    </row>
    <row r="23" spans="3:13" ht="17.25" customHeight="1" thickBot="1" x14ac:dyDescent="0.25">
      <c r="C23" s="47">
        <f t="shared" si="0"/>
        <v>0</v>
      </c>
      <c r="D23" s="47">
        <f t="shared" si="1"/>
        <v>0</v>
      </c>
      <c r="E23" s="47">
        <f t="shared" si="1"/>
        <v>0</v>
      </c>
      <c r="F23" s="47">
        <f t="shared" si="2"/>
        <v>0</v>
      </c>
      <c r="G23" s="47">
        <v>0</v>
      </c>
      <c r="H23" s="47">
        <v>0</v>
      </c>
      <c r="I23" s="47">
        <f t="shared" si="3"/>
        <v>0</v>
      </c>
      <c r="J23" s="47">
        <v>0</v>
      </c>
      <c r="K23" s="47">
        <v>0</v>
      </c>
      <c r="L23" s="188" t="s">
        <v>59</v>
      </c>
      <c r="M23" s="135"/>
    </row>
    <row r="24" spans="3:13" ht="17.25" customHeight="1" thickBot="1" x14ac:dyDescent="0.25">
      <c r="C24" s="47">
        <f t="shared" si="0"/>
        <v>44</v>
      </c>
      <c r="D24" s="47">
        <f t="shared" si="1"/>
        <v>24</v>
      </c>
      <c r="E24" s="47">
        <f t="shared" si="1"/>
        <v>20</v>
      </c>
      <c r="F24" s="47">
        <f t="shared" si="2"/>
        <v>0</v>
      </c>
      <c r="G24" s="47">
        <v>0</v>
      </c>
      <c r="H24" s="47">
        <v>0</v>
      </c>
      <c r="I24" s="47">
        <f t="shared" si="3"/>
        <v>44</v>
      </c>
      <c r="J24" s="47">
        <f>34-10</f>
        <v>24</v>
      </c>
      <c r="K24" s="47">
        <v>20</v>
      </c>
      <c r="L24" s="188" t="s">
        <v>56</v>
      </c>
      <c r="M24" s="134"/>
    </row>
    <row r="25" spans="3:13" ht="17.25" customHeight="1" thickBot="1" x14ac:dyDescent="0.25">
      <c r="C25" s="47">
        <f t="shared" si="0"/>
        <v>183</v>
      </c>
      <c r="D25" s="47">
        <f t="shared" si="1"/>
        <v>43</v>
      </c>
      <c r="E25" s="47">
        <f t="shared" si="1"/>
        <v>140</v>
      </c>
      <c r="F25" s="47">
        <f t="shared" si="2"/>
        <v>58</v>
      </c>
      <c r="G25" s="47">
        <v>3</v>
      </c>
      <c r="H25" s="47">
        <v>55</v>
      </c>
      <c r="I25" s="47">
        <f t="shared" si="3"/>
        <v>125</v>
      </c>
      <c r="J25" s="47">
        <f>50-10</f>
        <v>40</v>
      </c>
      <c r="K25" s="47">
        <f>105-20</f>
        <v>85</v>
      </c>
      <c r="L25" s="188" t="s">
        <v>57</v>
      </c>
      <c r="M25" s="134" t="s">
        <v>346</v>
      </c>
    </row>
    <row r="26" spans="3:13" ht="17.25" customHeight="1" thickBot="1" x14ac:dyDescent="0.25">
      <c r="C26" s="47">
        <f t="shared" si="0"/>
        <v>0</v>
      </c>
      <c r="D26" s="47">
        <f t="shared" si="1"/>
        <v>0</v>
      </c>
      <c r="E26" s="47">
        <f t="shared" si="1"/>
        <v>0</v>
      </c>
      <c r="F26" s="47">
        <f t="shared" si="2"/>
        <v>0</v>
      </c>
      <c r="G26" s="47">
        <v>0</v>
      </c>
      <c r="H26" s="47">
        <v>0</v>
      </c>
      <c r="I26" s="47">
        <f t="shared" si="3"/>
        <v>0</v>
      </c>
      <c r="J26" s="47">
        <v>0</v>
      </c>
      <c r="K26" s="47">
        <v>0</v>
      </c>
      <c r="L26" s="188" t="s">
        <v>59</v>
      </c>
      <c r="M26" s="135"/>
    </row>
    <row r="27" spans="3:13" ht="17.25" customHeight="1" thickBot="1" x14ac:dyDescent="0.25">
      <c r="C27" s="47">
        <f t="shared" si="0"/>
        <v>0</v>
      </c>
      <c r="D27" s="47">
        <f t="shared" si="1"/>
        <v>0</v>
      </c>
      <c r="E27" s="47">
        <f t="shared" si="1"/>
        <v>0</v>
      </c>
      <c r="F27" s="47">
        <f t="shared" si="2"/>
        <v>0</v>
      </c>
      <c r="G27" s="47">
        <v>0</v>
      </c>
      <c r="H27" s="47">
        <v>0</v>
      </c>
      <c r="I27" s="47">
        <f t="shared" si="3"/>
        <v>0</v>
      </c>
      <c r="J27" s="47">
        <v>0</v>
      </c>
      <c r="K27" s="47">
        <v>0</v>
      </c>
      <c r="L27" s="188" t="s">
        <v>56</v>
      </c>
      <c r="M27" s="134"/>
    </row>
    <row r="28" spans="3:13" ht="17.25" customHeight="1" thickBot="1" x14ac:dyDescent="0.25">
      <c r="C28" s="47">
        <f t="shared" si="0"/>
        <v>87</v>
      </c>
      <c r="D28" s="47">
        <f t="shared" si="1"/>
        <v>0</v>
      </c>
      <c r="E28" s="47">
        <f t="shared" si="1"/>
        <v>87</v>
      </c>
      <c r="F28" s="47">
        <f t="shared" si="2"/>
        <v>0</v>
      </c>
      <c r="G28" s="47">
        <v>0</v>
      </c>
      <c r="H28" s="47">
        <v>0</v>
      </c>
      <c r="I28" s="47">
        <f t="shared" si="3"/>
        <v>87</v>
      </c>
      <c r="J28" s="47">
        <v>0</v>
      </c>
      <c r="K28" s="47">
        <v>87</v>
      </c>
      <c r="L28" s="188" t="s">
        <v>57</v>
      </c>
      <c r="M28" s="134" t="s">
        <v>576</v>
      </c>
    </row>
    <row r="29" spans="3:13" ht="17.25" customHeight="1" thickBot="1" x14ac:dyDescent="0.25">
      <c r="C29" s="47">
        <f t="shared" si="0"/>
        <v>0</v>
      </c>
      <c r="D29" s="47">
        <f t="shared" si="1"/>
        <v>0</v>
      </c>
      <c r="E29" s="47">
        <f t="shared" si="1"/>
        <v>0</v>
      </c>
      <c r="F29" s="47">
        <f t="shared" si="2"/>
        <v>0</v>
      </c>
      <c r="G29" s="47">
        <v>0</v>
      </c>
      <c r="H29" s="47">
        <v>0</v>
      </c>
      <c r="I29" s="47">
        <f t="shared" si="3"/>
        <v>0</v>
      </c>
      <c r="J29" s="47">
        <v>0</v>
      </c>
      <c r="K29" s="47">
        <v>0</v>
      </c>
      <c r="L29" s="188" t="s">
        <v>59</v>
      </c>
      <c r="M29" s="135"/>
    </row>
    <row r="30" spans="3:13" ht="17.25" customHeight="1" thickBot="1" x14ac:dyDescent="0.25">
      <c r="C30" s="47">
        <f t="shared" si="0"/>
        <v>11</v>
      </c>
      <c r="D30" s="47">
        <f t="shared" si="1"/>
        <v>11</v>
      </c>
      <c r="E30" s="47">
        <f t="shared" si="1"/>
        <v>0</v>
      </c>
      <c r="F30" s="47">
        <f t="shared" si="2"/>
        <v>0</v>
      </c>
      <c r="G30" s="47">
        <v>0</v>
      </c>
      <c r="H30" s="47">
        <v>0</v>
      </c>
      <c r="I30" s="47">
        <f t="shared" si="3"/>
        <v>11</v>
      </c>
      <c r="J30" s="47">
        <v>11</v>
      </c>
      <c r="K30" s="47">
        <v>0</v>
      </c>
      <c r="L30" s="188" t="s">
        <v>56</v>
      </c>
      <c r="M30" s="134"/>
    </row>
    <row r="31" spans="3:13" ht="17.25" customHeight="1" thickBot="1" x14ac:dyDescent="0.25">
      <c r="C31" s="47">
        <f t="shared" si="0"/>
        <v>100</v>
      </c>
      <c r="D31" s="47">
        <f t="shared" si="1"/>
        <v>100</v>
      </c>
      <c r="E31" s="47">
        <f t="shared" si="1"/>
        <v>0</v>
      </c>
      <c r="F31" s="47">
        <f t="shared" si="2"/>
        <v>0</v>
      </c>
      <c r="G31" s="47">
        <v>0</v>
      </c>
      <c r="H31" s="47">
        <v>0</v>
      </c>
      <c r="I31" s="47">
        <f t="shared" si="3"/>
        <v>100</v>
      </c>
      <c r="J31" s="47">
        <f>136-36</f>
        <v>100</v>
      </c>
      <c r="K31" s="47">
        <v>0</v>
      </c>
      <c r="L31" s="188" t="s">
        <v>57</v>
      </c>
      <c r="M31" s="134" t="s">
        <v>350</v>
      </c>
    </row>
    <row r="32" spans="3:13" ht="17.25" customHeight="1" thickBot="1" x14ac:dyDescent="0.25">
      <c r="C32" s="47">
        <f t="shared" si="0"/>
        <v>0</v>
      </c>
      <c r="D32" s="47">
        <f t="shared" si="1"/>
        <v>0</v>
      </c>
      <c r="E32" s="47">
        <f t="shared" si="1"/>
        <v>0</v>
      </c>
      <c r="F32" s="47">
        <f t="shared" si="2"/>
        <v>0</v>
      </c>
      <c r="G32" s="47">
        <v>0</v>
      </c>
      <c r="H32" s="47">
        <v>0</v>
      </c>
      <c r="I32" s="47">
        <f t="shared" si="3"/>
        <v>0</v>
      </c>
      <c r="J32" s="47">
        <v>0</v>
      </c>
      <c r="K32" s="47">
        <v>0</v>
      </c>
      <c r="L32" s="188" t="s">
        <v>59</v>
      </c>
      <c r="M32" s="135"/>
    </row>
    <row r="33" spans="1:13" ht="17.25" customHeight="1" thickBot="1" x14ac:dyDescent="0.25">
      <c r="C33" s="47">
        <f t="shared" si="0"/>
        <v>8</v>
      </c>
      <c r="D33" s="47">
        <f t="shared" si="1"/>
        <v>8</v>
      </c>
      <c r="E33" s="47">
        <f t="shared" si="1"/>
        <v>0</v>
      </c>
      <c r="F33" s="47">
        <f t="shared" si="2"/>
        <v>0</v>
      </c>
      <c r="G33" s="47">
        <v>0</v>
      </c>
      <c r="H33" s="47">
        <v>0</v>
      </c>
      <c r="I33" s="47">
        <f t="shared" si="3"/>
        <v>8</v>
      </c>
      <c r="J33" s="47">
        <v>8</v>
      </c>
      <c r="K33" s="47">
        <v>0</v>
      </c>
      <c r="L33" s="188" t="s">
        <v>56</v>
      </c>
      <c r="M33" s="134"/>
    </row>
    <row r="34" spans="1:13" ht="17.25" customHeight="1" thickBot="1" x14ac:dyDescent="0.25">
      <c r="C34" s="47">
        <f t="shared" si="0"/>
        <v>3</v>
      </c>
      <c r="D34" s="47">
        <f t="shared" si="1"/>
        <v>3</v>
      </c>
      <c r="E34" s="47">
        <f t="shared" si="1"/>
        <v>0</v>
      </c>
      <c r="F34" s="47">
        <f t="shared" si="2"/>
        <v>0</v>
      </c>
      <c r="G34" s="47">
        <v>0</v>
      </c>
      <c r="H34" s="47">
        <v>0</v>
      </c>
      <c r="I34" s="47">
        <f t="shared" si="3"/>
        <v>3</v>
      </c>
      <c r="J34" s="47">
        <v>3</v>
      </c>
      <c r="K34" s="47">
        <v>0</v>
      </c>
      <c r="L34" s="188" t="s">
        <v>57</v>
      </c>
      <c r="M34" s="134" t="s">
        <v>351</v>
      </c>
    </row>
    <row r="35" spans="1:13" ht="17.25" customHeight="1" thickBot="1" x14ac:dyDescent="0.25">
      <c r="C35" s="47">
        <f t="shared" si="0"/>
        <v>0</v>
      </c>
      <c r="D35" s="47">
        <f t="shared" si="1"/>
        <v>0</v>
      </c>
      <c r="E35" s="47">
        <f t="shared" si="1"/>
        <v>0</v>
      </c>
      <c r="F35" s="47">
        <f t="shared" si="2"/>
        <v>0</v>
      </c>
      <c r="G35" s="47">
        <v>0</v>
      </c>
      <c r="H35" s="47">
        <v>0</v>
      </c>
      <c r="I35" s="47">
        <f t="shared" si="3"/>
        <v>0</v>
      </c>
      <c r="J35" s="47">
        <v>0</v>
      </c>
      <c r="K35" s="47">
        <v>0</v>
      </c>
      <c r="L35" s="188" t="s">
        <v>59</v>
      </c>
      <c r="M35" s="135"/>
    </row>
    <row r="36" spans="1:13" ht="17.25" customHeight="1" thickBot="1" x14ac:dyDescent="0.25">
      <c r="C36" s="47">
        <f t="shared" si="0"/>
        <v>0</v>
      </c>
      <c r="D36" s="47">
        <f t="shared" si="1"/>
        <v>0</v>
      </c>
      <c r="E36" s="47">
        <f t="shared" si="1"/>
        <v>0</v>
      </c>
      <c r="F36" s="47">
        <f t="shared" si="2"/>
        <v>0</v>
      </c>
      <c r="G36" s="47">
        <v>0</v>
      </c>
      <c r="H36" s="47">
        <v>0</v>
      </c>
      <c r="I36" s="47">
        <f t="shared" si="3"/>
        <v>0</v>
      </c>
      <c r="J36" s="47">
        <v>0</v>
      </c>
      <c r="K36" s="47">
        <v>0</v>
      </c>
      <c r="L36" s="188" t="s">
        <v>56</v>
      </c>
      <c r="M36" s="134"/>
    </row>
    <row r="37" spans="1:13" ht="17.25" customHeight="1" thickBot="1" x14ac:dyDescent="0.25">
      <c r="C37" s="47">
        <f t="shared" si="0"/>
        <v>0</v>
      </c>
      <c r="D37" s="47">
        <f t="shared" si="1"/>
        <v>0</v>
      </c>
      <c r="E37" s="47">
        <f t="shared" si="1"/>
        <v>0</v>
      </c>
      <c r="F37" s="47">
        <f t="shared" si="2"/>
        <v>0</v>
      </c>
      <c r="G37" s="47">
        <v>0</v>
      </c>
      <c r="H37" s="47">
        <v>0</v>
      </c>
      <c r="I37" s="47">
        <f t="shared" si="3"/>
        <v>0</v>
      </c>
      <c r="J37" s="47">
        <v>0</v>
      </c>
      <c r="K37" s="47">
        <v>0</v>
      </c>
      <c r="L37" s="188" t="s">
        <v>57</v>
      </c>
      <c r="M37" s="134" t="s">
        <v>250</v>
      </c>
    </row>
    <row r="38" spans="1:13" ht="17.25" customHeight="1" thickBot="1" x14ac:dyDescent="0.25">
      <c r="C38" s="47">
        <f t="shared" si="0"/>
        <v>14</v>
      </c>
      <c r="D38" s="47">
        <f t="shared" si="1"/>
        <v>0</v>
      </c>
      <c r="E38" s="47">
        <f t="shared" si="1"/>
        <v>14</v>
      </c>
      <c r="F38" s="47">
        <f t="shared" si="2"/>
        <v>0</v>
      </c>
      <c r="G38" s="47">
        <v>0</v>
      </c>
      <c r="H38" s="47">
        <v>0</v>
      </c>
      <c r="I38" s="47">
        <f t="shared" si="3"/>
        <v>14</v>
      </c>
      <c r="J38" s="47">
        <v>0</v>
      </c>
      <c r="K38" s="47">
        <v>14</v>
      </c>
      <c r="L38" s="188" t="s">
        <v>59</v>
      </c>
      <c r="M38" s="135"/>
    </row>
    <row r="39" spans="1:13" ht="17.25" customHeight="1" thickBot="1" x14ac:dyDescent="0.25">
      <c r="C39" s="47">
        <f t="shared" si="0"/>
        <v>146</v>
      </c>
      <c r="D39" s="47">
        <f t="shared" si="1"/>
        <v>146</v>
      </c>
      <c r="E39" s="47">
        <f t="shared" si="1"/>
        <v>0</v>
      </c>
      <c r="F39" s="47">
        <f t="shared" si="2"/>
        <v>0</v>
      </c>
      <c r="G39" s="47">
        <v>0</v>
      </c>
      <c r="H39" s="47">
        <v>0</v>
      </c>
      <c r="I39" s="47">
        <f t="shared" si="3"/>
        <v>146</v>
      </c>
      <c r="J39" s="47">
        <f>181-25-10</f>
        <v>146</v>
      </c>
      <c r="K39" s="47">
        <v>0</v>
      </c>
      <c r="L39" s="188" t="s">
        <v>56</v>
      </c>
      <c r="M39" s="134"/>
    </row>
    <row r="40" spans="1:13" ht="17.25" customHeight="1" thickBot="1" x14ac:dyDescent="0.25">
      <c r="C40" s="47">
        <f t="shared" si="0"/>
        <v>122</v>
      </c>
      <c r="D40" s="47">
        <f t="shared" si="1"/>
        <v>122</v>
      </c>
      <c r="E40" s="47">
        <f t="shared" si="1"/>
        <v>0</v>
      </c>
      <c r="F40" s="47">
        <f t="shared" si="2"/>
        <v>6</v>
      </c>
      <c r="G40" s="47">
        <v>6</v>
      </c>
      <c r="H40" s="47">
        <v>0</v>
      </c>
      <c r="I40" s="47">
        <f t="shared" si="3"/>
        <v>116</v>
      </c>
      <c r="J40" s="47">
        <f>216-100</f>
        <v>116</v>
      </c>
      <c r="K40" s="47">
        <v>0</v>
      </c>
      <c r="L40" s="188" t="s">
        <v>57</v>
      </c>
      <c r="M40" s="134" t="s">
        <v>355</v>
      </c>
    </row>
    <row r="41" spans="1:13" ht="17.25" customHeight="1" thickBot="1" x14ac:dyDescent="0.25">
      <c r="C41" s="47">
        <f t="shared" si="0"/>
        <v>0</v>
      </c>
      <c r="D41" s="47">
        <f t="shared" si="1"/>
        <v>0</v>
      </c>
      <c r="E41" s="47">
        <f t="shared" si="1"/>
        <v>0</v>
      </c>
      <c r="F41" s="47">
        <f t="shared" si="2"/>
        <v>0</v>
      </c>
      <c r="G41" s="47">
        <v>0</v>
      </c>
      <c r="H41" s="47">
        <v>0</v>
      </c>
      <c r="I41" s="47">
        <f t="shared" si="3"/>
        <v>0</v>
      </c>
      <c r="J41" s="47">
        <v>0</v>
      </c>
      <c r="K41" s="47">
        <v>0</v>
      </c>
      <c r="L41" s="188" t="s">
        <v>59</v>
      </c>
      <c r="M41" s="135"/>
    </row>
    <row r="42" spans="1:13" ht="17.25" customHeight="1" thickBot="1" x14ac:dyDescent="0.25">
      <c r="C42" s="47">
        <f t="shared" ref="C42:K44" si="4">C6+C9+C12+C15+C18+C21+C24+C27+C30+C33+C36+C39</f>
        <v>516</v>
      </c>
      <c r="D42" s="47">
        <f t="shared" si="4"/>
        <v>273</v>
      </c>
      <c r="E42" s="47">
        <f t="shared" si="4"/>
        <v>243</v>
      </c>
      <c r="F42" s="47">
        <f t="shared" si="4"/>
        <v>40</v>
      </c>
      <c r="G42" s="47">
        <f t="shared" si="4"/>
        <v>8</v>
      </c>
      <c r="H42" s="47">
        <f t="shared" si="4"/>
        <v>32</v>
      </c>
      <c r="I42" s="47">
        <f t="shared" si="4"/>
        <v>476</v>
      </c>
      <c r="J42" s="47">
        <f t="shared" si="4"/>
        <v>265</v>
      </c>
      <c r="K42" s="47">
        <f>K6+K9+K12+K15+K18+K21+K24+K27+K30+K33+K36+K39</f>
        <v>211</v>
      </c>
      <c r="L42" s="188" t="s">
        <v>243</v>
      </c>
      <c r="M42" s="131"/>
    </row>
    <row r="43" spans="1:13" ht="17.25" customHeight="1" thickBot="1" x14ac:dyDescent="0.25">
      <c r="C43" s="47">
        <f t="shared" si="4"/>
        <v>1162</v>
      </c>
      <c r="D43" s="47">
        <f t="shared" si="4"/>
        <v>566</v>
      </c>
      <c r="E43" s="47">
        <f t="shared" si="4"/>
        <v>596</v>
      </c>
      <c r="F43" s="47">
        <f t="shared" si="4"/>
        <v>109</v>
      </c>
      <c r="G43" s="47">
        <f t="shared" si="4"/>
        <v>31</v>
      </c>
      <c r="H43" s="47">
        <f t="shared" si="4"/>
        <v>78</v>
      </c>
      <c r="I43" s="47">
        <f t="shared" si="4"/>
        <v>1053</v>
      </c>
      <c r="J43" s="47">
        <f t="shared" si="4"/>
        <v>535</v>
      </c>
      <c r="K43" s="47">
        <f t="shared" si="4"/>
        <v>518</v>
      </c>
      <c r="L43" s="188" t="s">
        <v>57</v>
      </c>
      <c r="M43" s="132" t="s">
        <v>244</v>
      </c>
    </row>
    <row r="44" spans="1:13" ht="17.25" customHeight="1" thickBot="1" x14ac:dyDescent="0.25">
      <c r="C44" s="47">
        <f t="shared" si="4"/>
        <v>540</v>
      </c>
      <c r="D44" s="47">
        <f t="shared" si="4"/>
        <v>121</v>
      </c>
      <c r="E44" s="47">
        <f t="shared" si="4"/>
        <v>419</v>
      </c>
      <c r="F44" s="47">
        <f t="shared" si="4"/>
        <v>12</v>
      </c>
      <c r="G44" s="47">
        <f t="shared" si="4"/>
        <v>1</v>
      </c>
      <c r="H44" s="47">
        <f t="shared" si="4"/>
        <v>11</v>
      </c>
      <c r="I44" s="47">
        <f t="shared" si="4"/>
        <v>528</v>
      </c>
      <c r="J44" s="47">
        <f t="shared" si="4"/>
        <v>120</v>
      </c>
      <c r="K44" s="47">
        <f t="shared" si="4"/>
        <v>408</v>
      </c>
      <c r="L44" s="188" t="s">
        <v>59</v>
      </c>
      <c r="M44" s="133"/>
    </row>
    <row r="45" spans="1:13" ht="17.25" customHeight="1" thickBot="1" x14ac:dyDescent="0.25">
      <c r="A45" s="82"/>
      <c r="C45" s="47">
        <f t="shared" ref="C45:J45" si="5">SUM(C42:C44)</f>
        <v>2218</v>
      </c>
      <c r="D45" s="47">
        <f t="shared" si="5"/>
        <v>960</v>
      </c>
      <c r="E45" s="47">
        <f t="shared" si="5"/>
        <v>1258</v>
      </c>
      <c r="F45" s="47">
        <f t="shared" si="5"/>
        <v>161</v>
      </c>
      <c r="G45" s="47">
        <f t="shared" si="5"/>
        <v>40</v>
      </c>
      <c r="H45" s="47">
        <f t="shared" si="5"/>
        <v>121</v>
      </c>
      <c r="I45" s="47">
        <f t="shared" si="5"/>
        <v>2057</v>
      </c>
      <c r="J45" s="47">
        <f t="shared" si="5"/>
        <v>920</v>
      </c>
      <c r="K45" s="47">
        <f>SUM(K42:K44)</f>
        <v>1137</v>
      </c>
      <c r="L45" s="500" t="s">
        <v>245</v>
      </c>
      <c r="M45" s="500"/>
    </row>
    <row r="46" spans="1:13" ht="17.25" customHeight="1" thickBot="1" x14ac:dyDescent="0.25">
      <c r="C46" s="476" t="s">
        <v>4</v>
      </c>
      <c r="D46" s="476"/>
      <c r="E46" s="476"/>
      <c r="F46" s="476" t="s">
        <v>145</v>
      </c>
      <c r="G46" s="476"/>
      <c r="H46" s="476"/>
      <c r="I46" s="476" t="s">
        <v>146</v>
      </c>
      <c r="J46" s="476"/>
      <c r="K46" s="476"/>
      <c r="L46" s="479" t="s">
        <v>66</v>
      </c>
      <c r="M46" s="479"/>
    </row>
    <row r="47" spans="1:13" ht="17.25" customHeight="1" thickBot="1" x14ac:dyDescent="0.25">
      <c r="C47" s="185" t="s">
        <v>227</v>
      </c>
      <c r="D47" s="185" t="s">
        <v>10</v>
      </c>
      <c r="E47" s="185" t="s">
        <v>9</v>
      </c>
      <c r="F47" s="185" t="s">
        <v>227</v>
      </c>
      <c r="G47" s="185" t="s">
        <v>10</v>
      </c>
      <c r="H47" s="185" t="s">
        <v>9</v>
      </c>
      <c r="I47" s="185" t="s">
        <v>227</v>
      </c>
      <c r="J47" s="185" t="s">
        <v>10</v>
      </c>
      <c r="K47" s="185" t="s">
        <v>9</v>
      </c>
      <c r="L47" s="480" t="s">
        <v>147</v>
      </c>
      <c r="M47" s="480"/>
    </row>
    <row r="48" spans="1:13" ht="17.25" customHeight="1" thickBot="1" x14ac:dyDescent="0.25">
      <c r="C48" s="47">
        <f>SUM(D48:E48)</f>
        <v>70</v>
      </c>
      <c r="D48" s="47">
        <f>J48+G48</f>
        <v>0</v>
      </c>
      <c r="E48" s="47">
        <f>K48+H48</f>
        <v>70</v>
      </c>
      <c r="F48" s="47">
        <f>SUM(G48:H48)</f>
        <v>49</v>
      </c>
      <c r="G48" s="47">
        <v>0</v>
      </c>
      <c r="H48" s="47">
        <v>49</v>
      </c>
      <c r="I48" s="47">
        <f>SUM(J48:K48)</f>
        <v>21</v>
      </c>
      <c r="J48" s="47">
        <v>0</v>
      </c>
      <c r="K48" s="47">
        <f>51-20-10</f>
        <v>21</v>
      </c>
      <c r="L48" s="188" t="s">
        <v>56</v>
      </c>
      <c r="M48" s="134"/>
    </row>
    <row r="49" spans="3:13" ht="17.25" customHeight="1" thickBot="1" x14ac:dyDescent="0.25">
      <c r="C49" s="47">
        <f t="shared" ref="C49:C62" si="6">SUM(D49:E49)</f>
        <v>108</v>
      </c>
      <c r="D49" s="47">
        <f t="shared" ref="D49:E62" si="7">J49+G49</f>
        <v>0</v>
      </c>
      <c r="E49" s="47">
        <f t="shared" si="7"/>
        <v>108</v>
      </c>
      <c r="F49" s="47">
        <f t="shared" ref="F49:F62" si="8">SUM(G49:H49)</f>
        <v>89</v>
      </c>
      <c r="G49" s="47">
        <v>0</v>
      </c>
      <c r="H49" s="47">
        <v>89</v>
      </c>
      <c r="I49" s="47">
        <f t="shared" ref="I49:I62" si="9">SUM(J49:K49)</f>
        <v>19</v>
      </c>
      <c r="J49" s="47">
        <v>0</v>
      </c>
      <c r="K49" s="47">
        <f>49-20-10</f>
        <v>19</v>
      </c>
      <c r="L49" s="188" t="s">
        <v>57</v>
      </c>
      <c r="M49" s="134" t="s">
        <v>356</v>
      </c>
    </row>
    <row r="50" spans="3:13" ht="17.25" customHeight="1" thickBot="1" x14ac:dyDescent="0.25">
      <c r="C50" s="47">
        <f t="shared" si="6"/>
        <v>0</v>
      </c>
      <c r="D50" s="47">
        <f t="shared" si="7"/>
        <v>0</v>
      </c>
      <c r="E50" s="47">
        <f t="shared" si="7"/>
        <v>0</v>
      </c>
      <c r="F50" s="47">
        <f t="shared" si="8"/>
        <v>0</v>
      </c>
      <c r="G50" s="47">
        <v>0</v>
      </c>
      <c r="H50" s="47">
        <v>0</v>
      </c>
      <c r="I50" s="47">
        <f t="shared" si="9"/>
        <v>0</v>
      </c>
      <c r="J50" s="47">
        <v>0</v>
      </c>
      <c r="K50" s="47">
        <v>0</v>
      </c>
      <c r="L50" s="188" t="s">
        <v>59</v>
      </c>
      <c r="M50" s="135"/>
    </row>
    <row r="51" spans="3:13" ht="17.25" customHeight="1" thickBot="1" x14ac:dyDescent="0.25">
      <c r="C51" s="47">
        <f t="shared" si="6"/>
        <v>62</v>
      </c>
      <c r="D51" s="47">
        <f t="shared" si="7"/>
        <v>0</v>
      </c>
      <c r="E51" s="47">
        <f t="shared" si="7"/>
        <v>62</v>
      </c>
      <c r="F51" s="47">
        <f t="shared" si="8"/>
        <v>43</v>
      </c>
      <c r="G51" s="47">
        <v>0</v>
      </c>
      <c r="H51" s="47">
        <v>43</v>
      </c>
      <c r="I51" s="47">
        <f t="shared" si="9"/>
        <v>19</v>
      </c>
      <c r="J51" s="47">
        <v>0</v>
      </c>
      <c r="K51" s="47">
        <f>65-31-15</f>
        <v>19</v>
      </c>
      <c r="L51" s="188" t="s">
        <v>56</v>
      </c>
      <c r="M51" s="134"/>
    </row>
    <row r="52" spans="3:13" ht="17.25" customHeight="1" thickBot="1" x14ac:dyDescent="0.25">
      <c r="C52" s="47">
        <f t="shared" si="6"/>
        <v>40</v>
      </c>
      <c r="D52" s="47">
        <f t="shared" si="7"/>
        <v>0</v>
      </c>
      <c r="E52" s="47">
        <f t="shared" si="7"/>
        <v>40</v>
      </c>
      <c r="F52" s="47">
        <f t="shared" si="8"/>
        <v>20</v>
      </c>
      <c r="G52" s="47">
        <v>0</v>
      </c>
      <c r="H52" s="47">
        <f>120-100</f>
        <v>20</v>
      </c>
      <c r="I52" s="47">
        <f t="shared" si="9"/>
        <v>20</v>
      </c>
      <c r="J52" s="47">
        <v>0</v>
      </c>
      <c r="K52" s="47">
        <f>121-66-35</f>
        <v>20</v>
      </c>
      <c r="L52" s="188" t="s">
        <v>57</v>
      </c>
      <c r="M52" s="134" t="s">
        <v>357</v>
      </c>
    </row>
    <row r="53" spans="3:13" ht="17.25" customHeight="1" thickBot="1" x14ac:dyDescent="0.25">
      <c r="C53" s="47">
        <f t="shared" si="6"/>
        <v>0</v>
      </c>
      <c r="D53" s="47">
        <f t="shared" si="7"/>
        <v>0</v>
      </c>
      <c r="E53" s="47">
        <f t="shared" si="7"/>
        <v>0</v>
      </c>
      <c r="F53" s="47">
        <f t="shared" si="8"/>
        <v>0</v>
      </c>
      <c r="G53" s="47">
        <v>0</v>
      </c>
      <c r="H53" s="47">
        <v>0</v>
      </c>
      <c r="I53" s="47">
        <f t="shared" si="9"/>
        <v>0</v>
      </c>
      <c r="J53" s="47">
        <v>0</v>
      </c>
      <c r="K53" s="47">
        <v>0</v>
      </c>
      <c r="L53" s="188" t="s">
        <v>59</v>
      </c>
      <c r="M53" s="135"/>
    </row>
    <row r="54" spans="3:13" ht="17.25" customHeight="1" thickBot="1" x14ac:dyDescent="0.25">
      <c r="C54" s="47">
        <f t="shared" si="6"/>
        <v>68</v>
      </c>
      <c r="D54" s="47">
        <f t="shared" si="7"/>
        <v>0</v>
      </c>
      <c r="E54" s="47">
        <f t="shared" si="7"/>
        <v>68</v>
      </c>
      <c r="F54" s="47">
        <f t="shared" si="8"/>
        <v>32</v>
      </c>
      <c r="G54" s="47">
        <v>0</v>
      </c>
      <c r="H54" s="47">
        <v>32</v>
      </c>
      <c r="I54" s="47">
        <f t="shared" si="9"/>
        <v>36</v>
      </c>
      <c r="J54" s="47">
        <v>0</v>
      </c>
      <c r="K54" s="47">
        <f>126-60-30</f>
        <v>36</v>
      </c>
      <c r="L54" s="188" t="s">
        <v>56</v>
      </c>
      <c r="M54" s="134"/>
    </row>
    <row r="55" spans="3:13" ht="17.25" customHeight="1" thickBot="1" x14ac:dyDescent="0.25">
      <c r="C55" s="47">
        <f t="shared" si="6"/>
        <v>42</v>
      </c>
      <c r="D55" s="47">
        <f t="shared" si="7"/>
        <v>0</v>
      </c>
      <c r="E55" s="47">
        <f t="shared" si="7"/>
        <v>42</v>
      </c>
      <c r="F55" s="47">
        <f t="shared" si="8"/>
        <v>16</v>
      </c>
      <c r="G55" s="47">
        <v>0</v>
      </c>
      <c r="H55" s="47">
        <f>106-90</f>
        <v>16</v>
      </c>
      <c r="I55" s="47">
        <f t="shared" si="9"/>
        <v>26</v>
      </c>
      <c r="J55" s="47">
        <v>0</v>
      </c>
      <c r="K55" s="47">
        <f>322-200-66-30</f>
        <v>26</v>
      </c>
      <c r="L55" s="188" t="s">
        <v>57</v>
      </c>
      <c r="M55" s="134" t="s">
        <v>358</v>
      </c>
    </row>
    <row r="56" spans="3:13" ht="17.25" customHeight="1" thickBot="1" x14ac:dyDescent="0.25">
      <c r="C56" s="47">
        <f t="shared" si="6"/>
        <v>43</v>
      </c>
      <c r="D56" s="47">
        <f t="shared" si="7"/>
        <v>0</v>
      </c>
      <c r="E56" s="47">
        <f t="shared" si="7"/>
        <v>43</v>
      </c>
      <c r="F56" s="47">
        <f t="shared" si="8"/>
        <v>17</v>
      </c>
      <c r="G56" s="47">
        <v>0</v>
      </c>
      <c r="H56" s="47">
        <f>27-10</f>
        <v>17</v>
      </c>
      <c r="I56" s="47">
        <f t="shared" si="9"/>
        <v>26</v>
      </c>
      <c r="J56" s="47">
        <v>0</v>
      </c>
      <c r="K56" s="47">
        <f>46-20</f>
        <v>26</v>
      </c>
      <c r="L56" s="188" t="s">
        <v>59</v>
      </c>
      <c r="M56" s="135"/>
    </row>
    <row r="57" spans="3:13" ht="17.25" customHeight="1" thickBot="1" x14ac:dyDescent="0.25">
      <c r="C57" s="47">
        <f t="shared" si="6"/>
        <v>42</v>
      </c>
      <c r="D57" s="47">
        <f t="shared" si="7"/>
        <v>0</v>
      </c>
      <c r="E57" s="47">
        <f t="shared" si="7"/>
        <v>42</v>
      </c>
      <c r="F57" s="47">
        <f t="shared" si="8"/>
        <v>14</v>
      </c>
      <c r="G57" s="47">
        <v>0</v>
      </c>
      <c r="H57" s="47">
        <f>24-10</f>
        <v>14</v>
      </c>
      <c r="I57" s="47">
        <f t="shared" si="9"/>
        <v>28</v>
      </c>
      <c r="J57" s="47">
        <v>0</v>
      </c>
      <c r="K57" s="47">
        <f>93-45-20</f>
        <v>28</v>
      </c>
      <c r="L57" s="188" t="s">
        <v>56</v>
      </c>
      <c r="M57" s="134"/>
    </row>
    <row r="58" spans="3:13" ht="17.25" customHeight="1" thickBot="1" x14ac:dyDescent="0.25">
      <c r="C58" s="47">
        <f t="shared" si="6"/>
        <v>63</v>
      </c>
      <c r="D58" s="47">
        <f t="shared" si="7"/>
        <v>0</v>
      </c>
      <c r="E58" s="47">
        <f t="shared" si="7"/>
        <v>63</v>
      </c>
      <c r="F58" s="47">
        <f t="shared" si="8"/>
        <v>28</v>
      </c>
      <c r="G58" s="47">
        <v>0</v>
      </c>
      <c r="H58" s="47">
        <f>65-37</f>
        <v>28</v>
      </c>
      <c r="I58" s="47">
        <f t="shared" si="9"/>
        <v>35</v>
      </c>
      <c r="J58" s="47">
        <v>0</v>
      </c>
      <c r="K58" s="47">
        <f>155-80-20-20</f>
        <v>35</v>
      </c>
      <c r="L58" s="188" t="s">
        <v>57</v>
      </c>
      <c r="M58" s="134" t="s">
        <v>359</v>
      </c>
    </row>
    <row r="59" spans="3:13" ht="17.25" customHeight="1" thickBot="1" x14ac:dyDescent="0.25">
      <c r="C59" s="47">
        <f t="shared" si="6"/>
        <v>44</v>
      </c>
      <c r="D59" s="47">
        <f t="shared" si="7"/>
        <v>0</v>
      </c>
      <c r="E59" s="47">
        <f t="shared" si="7"/>
        <v>44</v>
      </c>
      <c r="F59" s="47">
        <f t="shared" si="8"/>
        <v>31</v>
      </c>
      <c r="G59" s="47">
        <v>0</v>
      </c>
      <c r="H59" s="47">
        <v>31</v>
      </c>
      <c r="I59" s="47">
        <f t="shared" si="9"/>
        <v>13</v>
      </c>
      <c r="J59" s="47">
        <v>0</v>
      </c>
      <c r="K59" s="47">
        <f>103-50-20-20</f>
        <v>13</v>
      </c>
      <c r="L59" s="188" t="s">
        <v>59</v>
      </c>
      <c r="M59" s="135"/>
    </row>
    <row r="60" spans="3:13" ht="17.25" customHeight="1" thickBot="1" x14ac:dyDescent="0.25">
      <c r="C60" s="47">
        <f t="shared" si="6"/>
        <v>68</v>
      </c>
      <c r="D60" s="47">
        <f t="shared" si="7"/>
        <v>0</v>
      </c>
      <c r="E60" s="47">
        <f t="shared" si="7"/>
        <v>68</v>
      </c>
      <c r="F60" s="47">
        <f t="shared" si="8"/>
        <v>41</v>
      </c>
      <c r="G60" s="47">
        <v>0</v>
      </c>
      <c r="H60" s="47">
        <v>41</v>
      </c>
      <c r="I60" s="47">
        <f t="shared" si="9"/>
        <v>27</v>
      </c>
      <c r="J60" s="47">
        <v>0</v>
      </c>
      <c r="K60" s="47">
        <f>102-40-35</f>
        <v>27</v>
      </c>
      <c r="L60" s="188" t="s">
        <v>56</v>
      </c>
      <c r="M60" s="134"/>
    </row>
    <row r="61" spans="3:13" ht="17.25" customHeight="1" thickBot="1" x14ac:dyDescent="0.25">
      <c r="C61" s="47">
        <f t="shared" si="6"/>
        <v>91</v>
      </c>
      <c r="D61" s="47">
        <f t="shared" si="7"/>
        <v>0</v>
      </c>
      <c r="E61" s="47">
        <f t="shared" si="7"/>
        <v>91</v>
      </c>
      <c r="F61" s="47">
        <f t="shared" si="8"/>
        <v>47</v>
      </c>
      <c r="G61" s="47">
        <v>0</v>
      </c>
      <c r="H61" s="47">
        <f>82-25-10</f>
        <v>47</v>
      </c>
      <c r="I61" s="47">
        <f t="shared" si="9"/>
        <v>44</v>
      </c>
      <c r="J61" s="47">
        <v>0</v>
      </c>
      <c r="K61" s="47">
        <f>99-55</f>
        <v>44</v>
      </c>
      <c r="L61" s="188" t="s">
        <v>57</v>
      </c>
      <c r="M61" s="134" t="s">
        <v>360</v>
      </c>
    </row>
    <row r="62" spans="3:13" ht="17.25" customHeight="1" thickBot="1" x14ac:dyDescent="0.25">
      <c r="C62" s="47">
        <f t="shared" si="6"/>
        <v>30</v>
      </c>
      <c r="D62" s="47">
        <f t="shared" si="7"/>
        <v>0</v>
      </c>
      <c r="E62" s="47">
        <f t="shared" si="7"/>
        <v>30</v>
      </c>
      <c r="F62" s="47">
        <f t="shared" si="8"/>
        <v>30</v>
      </c>
      <c r="G62" s="47">
        <v>0</v>
      </c>
      <c r="H62" s="47">
        <v>30</v>
      </c>
      <c r="I62" s="47">
        <f t="shared" si="9"/>
        <v>0</v>
      </c>
      <c r="J62" s="47">
        <v>0</v>
      </c>
      <c r="K62" s="47">
        <v>0</v>
      </c>
      <c r="L62" s="188" t="s">
        <v>59</v>
      </c>
      <c r="M62" s="135"/>
    </row>
    <row r="63" spans="3:13" ht="17.25" customHeight="1" thickBot="1" x14ac:dyDescent="0.25">
      <c r="C63" s="47">
        <f t="shared" ref="C63:K65" si="10">C48+C51+C54+C57+C60</f>
        <v>310</v>
      </c>
      <c r="D63" s="47">
        <f t="shared" si="10"/>
        <v>0</v>
      </c>
      <c r="E63" s="47">
        <f t="shared" si="10"/>
        <v>310</v>
      </c>
      <c r="F63" s="47">
        <f t="shared" si="10"/>
        <v>179</v>
      </c>
      <c r="G63" s="47">
        <f t="shared" si="10"/>
        <v>0</v>
      </c>
      <c r="H63" s="47">
        <f t="shared" si="10"/>
        <v>179</v>
      </c>
      <c r="I63" s="47">
        <f t="shared" si="10"/>
        <v>131</v>
      </c>
      <c r="J63" s="47">
        <f t="shared" si="10"/>
        <v>0</v>
      </c>
      <c r="K63" s="47">
        <f>K48+K51+K54+K57+K60</f>
        <v>131</v>
      </c>
      <c r="L63" s="188" t="s">
        <v>243</v>
      </c>
      <c r="M63" s="131"/>
    </row>
    <row r="64" spans="3:13" ht="17.25" customHeight="1" thickBot="1" x14ac:dyDescent="0.25">
      <c r="C64" s="47">
        <f t="shared" si="10"/>
        <v>344</v>
      </c>
      <c r="D64" s="47">
        <f t="shared" si="10"/>
        <v>0</v>
      </c>
      <c r="E64" s="47">
        <f t="shared" si="10"/>
        <v>344</v>
      </c>
      <c r="F64" s="47">
        <f t="shared" si="10"/>
        <v>200</v>
      </c>
      <c r="G64" s="47">
        <f t="shared" si="10"/>
        <v>0</v>
      </c>
      <c r="H64" s="47">
        <f t="shared" si="10"/>
        <v>200</v>
      </c>
      <c r="I64" s="47">
        <f t="shared" si="10"/>
        <v>144</v>
      </c>
      <c r="J64" s="47">
        <f t="shared" si="10"/>
        <v>0</v>
      </c>
      <c r="K64" s="47">
        <f t="shared" si="10"/>
        <v>144</v>
      </c>
      <c r="L64" s="188" t="s">
        <v>57</v>
      </c>
      <c r="M64" s="132" t="s">
        <v>244</v>
      </c>
    </row>
    <row r="65" spans="3:13" ht="17.25" customHeight="1" thickBot="1" x14ac:dyDescent="0.25">
      <c r="C65" s="47">
        <f t="shared" si="10"/>
        <v>117</v>
      </c>
      <c r="D65" s="47">
        <f t="shared" si="10"/>
        <v>0</v>
      </c>
      <c r="E65" s="47">
        <f t="shared" si="10"/>
        <v>117</v>
      </c>
      <c r="F65" s="47">
        <f t="shared" si="10"/>
        <v>78</v>
      </c>
      <c r="G65" s="47">
        <f t="shared" si="10"/>
        <v>0</v>
      </c>
      <c r="H65" s="47">
        <f t="shared" si="10"/>
        <v>78</v>
      </c>
      <c r="I65" s="47">
        <f t="shared" si="10"/>
        <v>39</v>
      </c>
      <c r="J65" s="47">
        <f t="shared" si="10"/>
        <v>0</v>
      </c>
      <c r="K65" s="47">
        <f t="shared" si="10"/>
        <v>39</v>
      </c>
      <c r="L65" s="188" t="s">
        <v>59</v>
      </c>
      <c r="M65" s="133"/>
    </row>
    <row r="66" spans="3:13" ht="17.25" customHeight="1" thickBot="1" x14ac:dyDescent="0.25">
      <c r="C66" s="47">
        <f t="shared" ref="C66:J66" si="11">SUM(C63:C65)</f>
        <v>771</v>
      </c>
      <c r="D66" s="47">
        <f t="shared" si="11"/>
        <v>0</v>
      </c>
      <c r="E66" s="47">
        <f t="shared" si="11"/>
        <v>771</v>
      </c>
      <c r="F66" s="47">
        <f t="shared" si="11"/>
        <v>457</v>
      </c>
      <c r="G66" s="47">
        <f t="shared" si="11"/>
        <v>0</v>
      </c>
      <c r="H66" s="47">
        <f t="shared" si="11"/>
        <v>457</v>
      </c>
      <c r="I66" s="47">
        <f t="shared" si="11"/>
        <v>314</v>
      </c>
      <c r="J66" s="47">
        <f t="shared" si="11"/>
        <v>0</v>
      </c>
      <c r="K66" s="47">
        <f>SUM(K63:K65)</f>
        <v>314</v>
      </c>
      <c r="L66" s="500" t="s">
        <v>245</v>
      </c>
      <c r="M66" s="500"/>
    </row>
    <row r="67" spans="3:13" ht="17.25" customHeight="1" thickBot="1" x14ac:dyDescent="0.25">
      <c r="C67" s="477" t="s">
        <v>4</v>
      </c>
      <c r="D67" s="477"/>
      <c r="E67" s="477"/>
      <c r="F67" s="477" t="s">
        <v>145</v>
      </c>
      <c r="G67" s="477"/>
      <c r="H67" s="477"/>
      <c r="I67" s="477" t="s">
        <v>146</v>
      </c>
      <c r="J67" s="477"/>
      <c r="K67" s="477"/>
      <c r="L67" s="482" t="s">
        <v>66</v>
      </c>
      <c r="M67" s="482"/>
    </row>
    <row r="68" spans="3:13" ht="17.25" customHeight="1" thickBot="1" x14ac:dyDescent="0.25">
      <c r="C68" s="204" t="s">
        <v>227</v>
      </c>
      <c r="D68" s="204" t="s">
        <v>10</v>
      </c>
      <c r="E68" s="204" t="s">
        <v>9</v>
      </c>
      <c r="F68" s="204" t="s">
        <v>227</v>
      </c>
      <c r="G68" s="204" t="s">
        <v>10</v>
      </c>
      <c r="H68" s="204" t="s">
        <v>9</v>
      </c>
      <c r="I68" s="204" t="s">
        <v>227</v>
      </c>
      <c r="J68" s="204" t="s">
        <v>10</v>
      </c>
      <c r="K68" s="204" t="s">
        <v>9</v>
      </c>
      <c r="L68" s="481" t="s">
        <v>70</v>
      </c>
      <c r="M68" s="481"/>
    </row>
    <row r="69" spans="3:13" ht="17.25" customHeight="1" thickBot="1" x14ac:dyDescent="0.25">
      <c r="C69" s="206">
        <f>SUM(D69:E69)</f>
        <v>69</v>
      </c>
      <c r="D69" s="206">
        <f>J69+G69</f>
        <v>0</v>
      </c>
      <c r="E69" s="206">
        <f>K69+H69</f>
        <v>69</v>
      </c>
      <c r="F69" s="206">
        <f>SUM(G69:H69)</f>
        <v>1</v>
      </c>
      <c r="G69" s="206">
        <v>0</v>
      </c>
      <c r="H69" s="206">
        <v>1</v>
      </c>
      <c r="I69" s="206">
        <f>SUM(J69:K69)</f>
        <v>68</v>
      </c>
      <c r="J69" s="206">
        <v>0</v>
      </c>
      <c r="K69" s="206">
        <v>68</v>
      </c>
      <c r="L69" s="220" t="s">
        <v>56</v>
      </c>
      <c r="M69" s="278"/>
    </row>
    <row r="70" spans="3:13" ht="17.25" customHeight="1" thickBot="1" x14ac:dyDescent="0.25">
      <c r="C70" s="206">
        <f t="shared" ref="C70:C98" si="12">SUM(D70:E70)</f>
        <v>269</v>
      </c>
      <c r="D70" s="206">
        <f t="shared" ref="D70:E98" si="13">J70+G70</f>
        <v>0</v>
      </c>
      <c r="E70" s="206">
        <f t="shared" si="13"/>
        <v>269</v>
      </c>
      <c r="F70" s="206">
        <f t="shared" ref="F70:F98" si="14">SUM(G70:H70)</f>
        <v>6</v>
      </c>
      <c r="G70" s="206">
        <v>0</v>
      </c>
      <c r="H70" s="206">
        <v>6</v>
      </c>
      <c r="I70" s="206">
        <f t="shared" ref="I70:I98" si="15">SUM(J70:K70)</f>
        <v>263</v>
      </c>
      <c r="J70" s="206">
        <v>0</v>
      </c>
      <c r="K70" s="206">
        <f>363-100</f>
        <v>263</v>
      </c>
      <c r="L70" s="220" t="s">
        <v>57</v>
      </c>
      <c r="M70" s="278" t="s">
        <v>577</v>
      </c>
    </row>
    <row r="71" spans="3:13" ht="17.25" customHeight="1" thickBot="1" x14ac:dyDescent="0.25">
      <c r="C71" s="206">
        <f t="shared" si="12"/>
        <v>0</v>
      </c>
      <c r="D71" s="206">
        <f t="shared" si="13"/>
        <v>0</v>
      </c>
      <c r="E71" s="206">
        <f t="shared" si="13"/>
        <v>0</v>
      </c>
      <c r="F71" s="206">
        <f t="shared" si="14"/>
        <v>0</v>
      </c>
      <c r="G71" s="206">
        <v>0</v>
      </c>
      <c r="H71" s="206">
        <v>0</v>
      </c>
      <c r="I71" s="206">
        <f t="shared" si="15"/>
        <v>0</v>
      </c>
      <c r="J71" s="206">
        <v>0</v>
      </c>
      <c r="K71" s="206">
        <v>0</v>
      </c>
      <c r="L71" s="220" t="s">
        <v>59</v>
      </c>
      <c r="M71" s="279"/>
    </row>
    <row r="72" spans="3:13" ht="17.25" customHeight="1" thickBot="1" x14ac:dyDescent="0.25">
      <c r="C72" s="206">
        <f t="shared" si="12"/>
        <v>38</v>
      </c>
      <c r="D72" s="206">
        <f t="shared" si="13"/>
        <v>15</v>
      </c>
      <c r="E72" s="206">
        <f t="shared" si="13"/>
        <v>23</v>
      </c>
      <c r="F72" s="206">
        <f t="shared" si="14"/>
        <v>1</v>
      </c>
      <c r="G72" s="206">
        <v>0</v>
      </c>
      <c r="H72" s="206">
        <v>1</v>
      </c>
      <c r="I72" s="206">
        <f t="shared" si="15"/>
        <v>37</v>
      </c>
      <c r="J72" s="206">
        <v>15</v>
      </c>
      <c r="K72" s="206">
        <v>22</v>
      </c>
      <c r="L72" s="220" t="s">
        <v>56</v>
      </c>
      <c r="M72" s="278"/>
    </row>
    <row r="73" spans="3:13" ht="17.25" customHeight="1" thickBot="1" x14ac:dyDescent="0.25">
      <c r="C73" s="206">
        <f t="shared" si="12"/>
        <v>212</v>
      </c>
      <c r="D73" s="206">
        <f t="shared" si="13"/>
        <v>100</v>
      </c>
      <c r="E73" s="206">
        <f t="shared" si="13"/>
        <v>112</v>
      </c>
      <c r="F73" s="206">
        <f t="shared" si="14"/>
        <v>4</v>
      </c>
      <c r="G73" s="206">
        <v>0</v>
      </c>
      <c r="H73" s="206">
        <v>4</v>
      </c>
      <c r="I73" s="206">
        <f t="shared" si="15"/>
        <v>208</v>
      </c>
      <c r="J73" s="206">
        <f>150-50</f>
        <v>100</v>
      </c>
      <c r="K73" s="206">
        <v>108</v>
      </c>
      <c r="L73" s="220" t="s">
        <v>57</v>
      </c>
      <c r="M73" s="278" t="s">
        <v>358</v>
      </c>
    </row>
    <row r="74" spans="3:13" ht="17.25" customHeight="1" thickBot="1" x14ac:dyDescent="0.25">
      <c r="C74" s="206">
        <f t="shared" si="12"/>
        <v>0</v>
      </c>
      <c r="D74" s="206">
        <f t="shared" si="13"/>
        <v>0</v>
      </c>
      <c r="E74" s="206">
        <f t="shared" si="13"/>
        <v>0</v>
      </c>
      <c r="F74" s="206">
        <f t="shared" si="14"/>
        <v>0</v>
      </c>
      <c r="G74" s="206">
        <v>0</v>
      </c>
      <c r="H74" s="206">
        <v>0</v>
      </c>
      <c r="I74" s="206">
        <f t="shared" si="15"/>
        <v>0</v>
      </c>
      <c r="J74" s="206">
        <v>0</v>
      </c>
      <c r="K74" s="206">
        <v>0</v>
      </c>
      <c r="L74" s="220" t="s">
        <v>59</v>
      </c>
      <c r="M74" s="279"/>
    </row>
    <row r="75" spans="3:13" ht="17.25" customHeight="1" thickBot="1" x14ac:dyDescent="0.25">
      <c r="C75" s="206">
        <f t="shared" si="12"/>
        <v>27</v>
      </c>
      <c r="D75" s="206">
        <f t="shared" si="13"/>
        <v>11</v>
      </c>
      <c r="E75" s="206">
        <f t="shared" si="13"/>
        <v>16</v>
      </c>
      <c r="F75" s="206">
        <f t="shared" si="14"/>
        <v>1</v>
      </c>
      <c r="G75" s="206">
        <v>0</v>
      </c>
      <c r="H75" s="206">
        <v>1</v>
      </c>
      <c r="I75" s="206">
        <f t="shared" si="15"/>
        <v>26</v>
      </c>
      <c r="J75" s="206">
        <v>11</v>
      </c>
      <c r="K75" s="206">
        <v>15</v>
      </c>
      <c r="L75" s="220" t="s">
        <v>56</v>
      </c>
      <c r="M75" s="278"/>
    </row>
    <row r="76" spans="3:13" ht="17.25" customHeight="1" thickBot="1" x14ac:dyDescent="0.25">
      <c r="C76" s="206">
        <f t="shared" si="12"/>
        <v>164</v>
      </c>
      <c r="D76" s="206">
        <f t="shared" si="13"/>
        <v>56</v>
      </c>
      <c r="E76" s="206">
        <f t="shared" si="13"/>
        <v>108</v>
      </c>
      <c r="F76" s="206">
        <f t="shared" si="14"/>
        <v>2</v>
      </c>
      <c r="G76" s="206">
        <v>1</v>
      </c>
      <c r="H76" s="206">
        <v>1</v>
      </c>
      <c r="I76" s="206">
        <f t="shared" si="15"/>
        <v>162</v>
      </c>
      <c r="J76" s="206">
        <v>55</v>
      </c>
      <c r="K76" s="206">
        <f>107</f>
        <v>107</v>
      </c>
      <c r="L76" s="220" t="s">
        <v>57</v>
      </c>
      <c r="M76" s="278" t="s">
        <v>579</v>
      </c>
    </row>
    <row r="77" spans="3:13" ht="17.25" customHeight="1" thickBot="1" x14ac:dyDescent="0.25">
      <c r="C77" s="206">
        <f t="shared" si="12"/>
        <v>0</v>
      </c>
      <c r="D77" s="206">
        <f t="shared" si="13"/>
        <v>0</v>
      </c>
      <c r="E77" s="206">
        <f t="shared" si="13"/>
        <v>0</v>
      </c>
      <c r="F77" s="206">
        <f t="shared" si="14"/>
        <v>0</v>
      </c>
      <c r="G77" s="206">
        <v>0</v>
      </c>
      <c r="H77" s="206">
        <v>0</v>
      </c>
      <c r="I77" s="206">
        <f t="shared" si="15"/>
        <v>0</v>
      </c>
      <c r="J77" s="206">
        <v>0</v>
      </c>
      <c r="K77" s="206">
        <v>0</v>
      </c>
      <c r="L77" s="220" t="s">
        <v>59</v>
      </c>
      <c r="M77" s="279"/>
    </row>
    <row r="78" spans="3:13" ht="17.25" customHeight="1" thickBot="1" x14ac:dyDescent="0.25">
      <c r="C78" s="206">
        <f t="shared" si="12"/>
        <v>21</v>
      </c>
      <c r="D78" s="206">
        <f t="shared" si="13"/>
        <v>11</v>
      </c>
      <c r="E78" s="206">
        <f t="shared" si="13"/>
        <v>10</v>
      </c>
      <c r="F78" s="206">
        <f t="shared" si="14"/>
        <v>1</v>
      </c>
      <c r="G78" s="206">
        <v>0</v>
      </c>
      <c r="H78" s="206">
        <v>1</v>
      </c>
      <c r="I78" s="206">
        <f t="shared" si="15"/>
        <v>20</v>
      </c>
      <c r="J78" s="206">
        <v>11</v>
      </c>
      <c r="K78" s="206">
        <v>9</v>
      </c>
      <c r="L78" s="220" t="s">
        <v>56</v>
      </c>
      <c r="M78" s="278"/>
    </row>
    <row r="79" spans="3:13" ht="17.25" customHeight="1" thickBot="1" x14ac:dyDescent="0.25">
      <c r="C79" s="206">
        <f t="shared" si="12"/>
        <v>84</v>
      </c>
      <c r="D79" s="206">
        <f t="shared" si="13"/>
        <v>36</v>
      </c>
      <c r="E79" s="206">
        <f t="shared" si="13"/>
        <v>48</v>
      </c>
      <c r="F79" s="206">
        <f t="shared" si="14"/>
        <v>6</v>
      </c>
      <c r="G79" s="206">
        <v>1</v>
      </c>
      <c r="H79" s="206">
        <v>5</v>
      </c>
      <c r="I79" s="206">
        <f t="shared" si="15"/>
        <v>78</v>
      </c>
      <c r="J79" s="206">
        <f>55-20</f>
        <v>35</v>
      </c>
      <c r="K79" s="206">
        <v>43</v>
      </c>
      <c r="L79" s="220" t="s">
        <v>57</v>
      </c>
      <c r="M79" s="278" t="s">
        <v>580</v>
      </c>
    </row>
    <row r="80" spans="3:13" ht="17.25" customHeight="1" thickBot="1" x14ac:dyDescent="0.25">
      <c r="C80" s="206">
        <f t="shared" si="12"/>
        <v>0</v>
      </c>
      <c r="D80" s="206">
        <f t="shared" si="13"/>
        <v>0</v>
      </c>
      <c r="E80" s="206">
        <f t="shared" si="13"/>
        <v>0</v>
      </c>
      <c r="F80" s="206">
        <f t="shared" si="14"/>
        <v>0</v>
      </c>
      <c r="G80" s="206">
        <v>0</v>
      </c>
      <c r="H80" s="206">
        <v>0</v>
      </c>
      <c r="I80" s="206">
        <f t="shared" si="15"/>
        <v>0</v>
      </c>
      <c r="J80" s="206">
        <v>0</v>
      </c>
      <c r="K80" s="206">
        <v>0</v>
      </c>
      <c r="L80" s="220" t="s">
        <v>59</v>
      </c>
      <c r="M80" s="279"/>
    </row>
    <row r="81" spans="2:13" ht="17.25" customHeight="1" thickBot="1" x14ac:dyDescent="0.25">
      <c r="C81" s="206">
        <f t="shared" si="12"/>
        <v>27</v>
      </c>
      <c r="D81" s="206">
        <f t="shared" si="13"/>
        <v>2</v>
      </c>
      <c r="E81" s="206">
        <f t="shared" si="13"/>
        <v>25</v>
      </c>
      <c r="F81" s="206">
        <f t="shared" si="14"/>
        <v>1</v>
      </c>
      <c r="G81" s="206">
        <v>1</v>
      </c>
      <c r="H81" s="206">
        <v>0</v>
      </c>
      <c r="I81" s="206">
        <f t="shared" si="15"/>
        <v>26</v>
      </c>
      <c r="J81" s="206">
        <v>1</v>
      </c>
      <c r="K81" s="206">
        <v>25</v>
      </c>
      <c r="L81" s="220" t="s">
        <v>56</v>
      </c>
      <c r="M81" s="278"/>
    </row>
    <row r="82" spans="2:13" ht="17.25" customHeight="1" thickBot="1" x14ac:dyDescent="0.25">
      <c r="C82" s="206">
        <f t="shared" si="12"/>
        <v>93</v>
      </c>
      <c r="D82" s="206">
        <f t="shared" si="13"/>
        <v>31</v>
      </c>
      <c r="E82" s="206">
        <f t="shared" si="13"/>
        <v>62</v>
      </c>
      <c r="F82" s="206">
        <f t="shared" si="14"/>
        <v>3</v>
      </c>
      <c r="G82" s="206">
        <v>1</v>
      </c>
      <c r="H82" s="206">
        <v>2</v>
      </c>
      <c r="I82" s="206">
        <f t="shared" si="15"/>
        <v>90</v>
      </c>
      <c r="J82" s="206">
        <f>60-30</f>
        <v>30</v>
      </c>
      <c r="K82" s="206">
        <f>110-50</f>
        <v>60</v>
      </c>
      <c r="L82" s="220" t="s">
        <v>57</v>
      </c>
      <c r="M82" s="278" t="s">
        <v>636</v>
      </c>
    </row>
    <row r="83" spans="2:13" ht="17.25" customHeight="1" thickBot="1" x14ac:dyDescent="0.25">
      <c r="C83" s="206">
        <f t="shared" si="12"/>
        <v>0</v>
      </c>
      <c r="D83" s="206">
        <f t="shared" si="13"/>
        <v>0</v>
      </c>
      <c r="E83" s="206">
        <f t="shared" si="13"/>
        <v>0</v>
      </c>
      <c r="F83" s="206">
        <f t="shared" si="14"/>
        <v>0</v>
      </c>
      <c r="G83" s="206">
        <v>0</v>
      </c>
      <c r="H83" s="206">
        <v>0</v>
      </c>
      <c r="I83" s="206">
        <f t="shared" si="15"/>
        <v>0</v>
      </c>
      <c r="J83" s="206">
        <v>0</v>
      </c>
      <c r="K83" s="206">
        <v>0</v>
      </c>
      <c r="L83" s="220" t="s">
        <v>59</v>
      </c>
      <c r="M83" s="279"/>
    </row>
    <row r="84" spans="2:13" ht="17.25" customHeight="1" thickBot="1" x14ac:dyDescent="0.25">
      <c r="C84" s="206">
        <f t="shared" si="12"/>
        <v>65</v>
      </c>
      <c r="D84" s="206">
        <f t="shared" si="13"/>
        <v>31</v>
      </c>
      <c r="E84" s="206">
        <f t="shared" si="13"/>
        <v>34</v>
      </c>
      <c r="F84" s="206">
        <f t="shared" si="14"/>
        <v>0</v>
      </c>
      <c r="G84" s="206">
        <v>0</v>
      </c>
      <c r="H84" s="206">
        <v>0</v>
      </c>
      <c r="I84" s="206">
        <f t="shared" si="15"/>
        <v>65</v>
      </c>
      <c r="J84" s="206">
        <v>31</v>
      </c>
      <c r="K84" s="206">
        <v>34</v>
      </c>
      <c r="L84" s="220" t="s">
        <v>56</v>
      </c>
      <c r="M84" s="278"/>
    </row>
    <row r="85" spans="2:13" ht="17.25" customHeight="1" thickBot="1" x14ac:dyDescent="0.25">
      <c r="C85" s="206">
        <f t="shared" si="12"/>
        <v>429</v>
      </c>
      <c r="D85" s="206">
        <f t="shared" si="13"/>
        <v>152</v>
      </c>
      <c r="E85" s="206">
        <f t="shared" si="13"/>
        <v>277</v>
      </c>
      <c r="F85" s="206">
        <f t="shared" si="14"/>
        <v>0</v>
      </c>
      <c r="G85" s="206">
        <v>0</v>
      </c>
      <c r="H85" s="206">
        <v>0</v>
      </c>
      <c r="I85" s="206">
        <f t="shared" si="15"/>
        <v>429</v>
      </c>
      <c r="J85" s="206">
        <f>412-210-50</f>
        <v>152</v>
      </c>
      <c r="K85" s="206">
        <f>377-100</f>
        <v>277</v>
      </c>
      <c r="L85" s="220" t="s">
        <v>57</v>
      </c>
      <c r="M85" s="278" t="s">
        <v>363</v>
      </c>
    </row>
    <row r="86" spans="2:13" ht="17.25" customHeight="1" thickBot="1" x14ac:dyDescent="0.25">
      <c r="C86" s="206">
        <f t="shared" si="12"/>
        <v>0</v>
      </c>
      <c r="D86" s="206">
        <f t="shared" si="13"/>
        <v>0</v>
      </c>
      <c r="E86" s="206">
        <f t="shared" si="13"/>
        <v>0</v>
      </c>
      <c r="F86" s="206">
        <f t="shared" si="14"/>
        <v>0</v>
      </c>
      <c r="G86" s="206">
        <v>0</v>
      </c>
      <c r="H86" s="206">
        <v>0</v>
      </c>
      <c r="I86" s="206">
        <f t="shared" si="15"/>
        <v>0</v>
      </c>
      <c r="J86" s="206">
        <v>0</v>
      </c>
      <c r="K86" s="206">
        <v>0</v>
      </c>
      <c r="L86" s="220" t="s">
        <v>59</v>
      </c>
      <c r="M86" s="279"/>
    </row>
    <row r="87" spans="2:13" ht="17.25" customHeight="1" thickBot="1" x14ac:dyDescent="0.25">
      <c r="C87" s="206">
        <f t="shared" si="12"/>
        <v>0</v>
      </c>
      <c r="D87" s="206">
        <f t="shared" si="13"/>
        <v>0</v>
      </c>
      <c r="E87" s="206">
        <f t="shared" si="13"/>
        <v>0</v>
      </c>
      <c r="F87" s="206">
        <f t="shared" si="14"/>
        <v>0</v>
      </c>
      <c r="G87" s="206">
        <v>0</v>
      </c>
      <c r="H87" s="206">
        <v>0</v>
      </c>
      <c r="I87" s="206">
        <f t="shared" si="15"/>
        <v>0</v>
      </c>
      <c r="J87" s="206">
        <v>0</v>
      </c>
      <c r="K87" s="206">
        <v>0</v>
      </c>
      <c r="L87" s="220" t="s">
        <v>56</v>
      </c>
      <c r="M87" s="278"/>
    </row>
    <row r="88" spans="2:13" ht="17.25" customHeight="1" thickBot="1" x14ac:dyDescent="0.25">
      <c r="C88" s="206">
        <f t="shared" si="12"/>
        <v>96</v>
      </c>
      <c r="D88" s="206">
        <f t="shared" si="13"/>
        <v>69</v>
      </c>
      <c r="E88" s="206">
        <f t="shared" si="13"/>
        <v>27</v>
      </c>
      <c r="F88" s="206">
        <f t="shared" si="14"/>
        <v>0</v>
      </c>
      <c r="G88" s="206">
        <v>0</v>
      </c>
      <c r="H88" s="206">
        <v>0</v>
      </c>
      <c r="I88" s="206">
        <f t="shared" si="15"/>
        <v>96</v>
      </c>
      <c r="J88" s="206">
        <f>119-50</f>
        <v>69</v>
      </c>
      <c r="K88" s="206">
        <v>27</v>
      </c>
      <c r="L88" s="220" t="s">
        <v>57</v>
      </c>
      <c r="M88" s="278" t="s">
        <v>583</v>
      </c>
    </row>
    <row r="89" spans="2:13" ht="17.25" customHeight="1" thickBot="1" x14ac:dyDescent="0.25">
      <c r="C89" s="206">
        <f t="shared" si="12"/>
        <v>0</v>
      </c>
      <c r="D89" s="206">
        <f t="shared" si="13"/>
        <v>0</v>
      </c>
      <c r="E89" s="206">
        <f t="shared" si="13"/>
        <v>0</v>
      </c>
      <c r="F89" s="206">
        <f t="shared" si="14"/>
        <v>0</v>
      </c>
      <c r="G89" s="206">
        <v>0</v>
      </c>
      <c r="H89" s="206">
        <v>0</v>
      </c>
      <c r="I89" s="206">
        <f t="shared" si="15"/>
        <v>0</v>
      </c>
      <c r="J89" s="206">
        <v>0</v>
      </c>
      <c r="K89" s="206">
        <v>0</v>
      </c>
      <c r="L89" s="220" t="s">
        <v>59</v>
      </c>
      <c r="M89" s="279"/>
    </row>
    <row r="90" spans="2:13" s="56" customFormat="1" ht="17.25" customHeight="1" thickBot="1" x14ac:dyDescent="0.25">
      <c r="B90" s="253"/>
      <c r="C90" s="47">
        <f t="shared" si="12"/>
        <v>0</v>
      </c>
      <c r="D90" s="206">
        <f t="shared" si="13"/>
        <v>0</v>
      </c>
      <c r="E90" s="206">
        <f t="shared" si="13"/>
        <v>0</v>
      </c>
      <c r="F90" s="47">
        <f t="shared" si="14"/>
        <v>0</v>
      </c>
      <c r="G90" s="47">
        <v>0</v>
      </c>
      <c r="H90" s="47">
        <v>0</v>
      </c>
      <c r="I90" s="206">
        <f t="shared" si="15"/>
        <v>0</v>
      </c>
      <c r="J90" s="47">
        <v>0</v>
      </c>
      <c r="K90" s="47">
        <v>0</v>
      </c>
      <c r="L90" s="188" t="s">
        <v>56</v>
      </c>
      <c r="M90" s="134"/>
    </row>
    <row r="91" spans="2:13" s="56" customFormat="1" ht="17.25" customHeight="1" thickBot="1" x14ac:dyDescent="0.25">
      <c r="B91" s="253"/>
      <c r="C91" s="47">
        <f t="shared" si="12"/>
        <v>17</v>
      </c>
      <c r="D91" s="206">
        <f t="shared" si="13"/>
        <v>0</v>
      </c>
      <c r="E91" s="206">
        <f t="shared" si="13"/>
        <v>17</v>
      </c>
      <c r="F91" s="47">
        <f t="shared" si="14"/>
        <v>0</v>
      </c>
      <c r="G91" s="47">
        <v>0</v>
      </c>
      <c r="H91" s="47">
        <v>0</v>
      </c>
      <c r="I91" s="206">
        <f t="shared" si="15"/>
        <v>17</v>
      </c>
      <c r="J91" s="47">
        <v>0</v>
      </c>
      <c r="K91" s="47">
        <v>17</v>
      </c>
      <c r="L91" s="188" t="s">
        <v>57</v>
      </c>
      <c r="M91" s="134" t="s">
        <v>584</v>
      </c>
    </row>
    <row r="92" spans="2:13" s="56" customFormat="1" ht="17.25" customHeight="1" thickBot="1" x14ac:dyDescent="0.25">
      <c r="B92" s="253"/>
      <c r="C92" s="47">
        <f t="shared" si="12"/>
        <v>0</v>
      </c>
      <c r="D92" s="206">
        <f t="shared" si="13"/>
        <v>0</v>
      </c>
      <c r="E92" s="206">
        <f t="shared" si="13"/>
        <v>0</v>
      </c>
      <c r="F92" s="47">
        <f t="shared" si="14"/>
        <v>0</v>
      </c>
      <c r="G92" s="47">
        <v>0</v>
      </c>
      <c r="H92" s="47">
        <v>0</v>
      </c>
      <c r="I92" s="206">
        <f t="shared" si="15"/>
        <v>0</v>
      </c>
      <c r="J92" s="47">
        <v>0</v>
      </c>
      <c r="K92" s="47">
        <v>0</v>
      </c>
      <c r="L92" s="188" t="s">
        <v>59</v>
      </c>
      <c r="M92" s="135"/>
    </row>
    <row r="93" spans="2:13" ht="17.25" customHeight="1" thickBot="1" x14ac:dyDescent="0.25">
      <c r="C93" s="206">
        <f t="shared" si="12"/>
        <v>0</v>
      </c>
      <c r="D93" s="206">
        <f t="shared" si="13"/>
        <v>0</v>
      </c>
      <c r="E93" s="206">
        <f t="shared" si="13"/>
        <v>0</v>
      </c>
      <c r="F93" s="206">
        <f t="shared" si="14"/>
        <v>0</v>
      </c>
      <c r="G93" s="206">
        <v>0</v>
      </c>
      <c r="H93" s="206">
        <v>0</v>
      </c>
      <c r="I93" s="206">
        <f t="shared" si="15"/>
        <v>0</v>
      </c>
      <c r="J93" s="206">
        <v>0</v>
      </c>
      <c r="K93" s="206">
        <v>0</v>
      </c>
      <c r="L93" s="220" t="s">
        <v>56</v>
      </c>
      <c r="M93" s="278"/>
    </row>
    <row r="94" spans="2:13" ht="17.25" customHeight="1" thickBot="1" x14ac:dyDescent="0.25">
      <c r="C94" s="206">
        <f t="shared" si="12"/>
        <v>65</v>
      </c>
      <c r="D94" s="206">
        <f t="shared" si="13"/>
        <v>28</v>
      </c>
      <c r="E94" s="206">
        <f t="shared" si="13"/>
        <v>37</v>
      </c>
      <c r="F94" s="206">
        <f t="shared" si="14"/>
        <v>0</v>
      </c>
      <c r="G94" s="206">
        <v>0</v>
      </c>
      <c r="H94" s="206">
        <v>0</v>
      </c>
      <c r="I94" s="206">
        <f t="shared" si="15"/>
        <v>65</v>
      </c>
      <c r="J94" s="206">
        <v>28</v>
      </c>
      <c r="K94" s="206">
        <v>37</v>
      </c>
      <c r="L94" s="220" t="s">
        <v>57</v>
      </c>
      <c r="M94" s="278" t="s">
        <v>585</v>
      </c>
    </row>
    <row r="95" spans="2:13" ht="17.25" customHeight="1" thickBot="1" x14ac:dyDescent="0.25">
      <c r="C95" s="206">
        <f t="shared" si="12"/>
        <v>0</v>
      </c>
      <c r="D95" s="206">
        <f t="shared" si="13"/>
        <v>0</v>
      </c>
      <c r="E95" s="206">
        <f t="shared" si="13"/>
        <v>0</v>
      </c>
      <c r="F95" s="206">
        <f t="shared" si="14"/>
        <v>0</v>
      </c>
      <c r="G95" s="206">
        <v>0</v>
      </c>
      <c r="H95" s="206">
        <v>0</v>
      </c>
      <c r="I95" s="206">
        <f t="shared" si="15"/>
        <v>0</v>
      </c>
      <c r="J95" s="206">
        <v>0</v>
      </c>
      <c r="K95" s="206">
        <v>0</v>
      </c>
      <c r="L95" s="220" t="s">
        <v>59</v>
      </c>
      <c r="M95" s="279"/>
    </row>
    <row r="96" spans="2:13" ht="17.25" customHeight="1" thickBot="1" x14ac:dyDescent="0.25">
      <c r="C96" s="206">
        <f t="shared" si="12"/>
        <v>92</v>
      </c>
      <c r="D96" s="206">
        <f t="shared" si="13"/>
        <v>6</v>
      </c>
      <c r="E96" s="206">
        <f t="shared" si="13"/>
        <v>86</v>
      </c>
      <c r="F96" s="206">
        <f t="shared" si="14"/>
        <v>0</v>
      </c>
      <c r="G96" s="206">
        <v>0</v>
      </c>
      <c r="H96" s="206">
        <v>0</v>
      </c>
      <c r="I96" s="206">
        <f t="shared" si="15"/>
        <v>92</v>
      </c>
      <c r="J96" s="206">
        <v>6</v>
      </c>
      <c r="K96" s="206">
        <v>86</v>
      </c>
      <c r="L96" s="220" t="s">
        <v>56</v>
      </c>
      <c r="M96" s="278"/>
    </row>
    <row r="97" spans="3:13" ht="17.25" customHeight="1" thickBot="1" x14ac:dyDescent="0.25">
      <c r="C97" s="206">
        <f t="shared" si="12"/>
        <v>905</v>
      </c>
      <c r="D97" s="206">
        <f t="shared" si="13"/>
        <v>272</v>
      </c>
      <c r="E97" s="206">
        <f t="shared" si="13"/>
        <v>633</v>
      </c>
      <c r="F97" s="206">
        <f t="shared" si="14"/>
        <v>0</v>
      </c>
      <c r="G97" s="206">
        <v>0</v>
      </c>
      <c r="H97" s="206">
        <v>0</v>
      </c>
      <c r="I97" s="206">
        <f t="shared" si="15"/>
        <v>905</v>
      </c>
      <c r="J97" s="206">
        <f>472-150-50</f>
        <v>272</v>
      </c>
      <c r="K97" s="206">
        <f>683-50</f>
        <v>633</v>
      </c>
      <c r="L97" s="220" t="s">
        <v>57</v>
      </c>
      <c r="M97" s="278" t="s">
        <v>69</v>
      </c>
    </row>
    <row r="98" spans="3:13" ht="17.25" customHeight="1" thickBot="1" x14ac:dyDescent="0.25">
      <c r="C98" s="206">
        <f t="shared" si="12"/>
        <v>0</v>
      </c>
      <c r="D98" s="206">
        <f t="shared" si="13"/>
        <v>0</v>
      </c>
      <c r="E98" s="206">
        <f t="shared" si="13"/>
        <v>0</v>
      </c>
      <c r="F98" s="206">
        <f t="shared" si="14"/>
        <v>0</v>
      </c>
      <c r="G98" s="206">
        <v>0</v>
      </c>
      <c r="H98" s="206">
        <v>0</v>
      </c>
      <c r="I98" s="206">
        <f t="shared" si="15"/>
        <v>0</v>
      </c>
      <c r="J98" s="206">
        <v>0</v>
      </c>
      <c r="K98" s="206">
        <v>0</v>
      </c>
      <c r="L98" s="220" t="s">
        <v>59</v>
      </c>
      <c r="M98" s="279"/>
    </row>
    <row r="99" spans="3:13" ht="17.25" customHeight="1" thickBot="1" x14ac:dyDescent="0.25">
      <c r="C99" s="206">
        <f t="shared" ref="C99:K101" si="16">C69+C72+C75+C78+C81+C84+C87+C90+C93+C96</f>
        <v>339</v>
      </c>
      <c r="D99" s="206">
        <f t="shared" si="16"/>
        <v>76</v>
      </c>
      <c r="E99" s="206">
        <f t="shared" si="16"/>
        <v>263</v>
      </c>
      <c r="F99" s="206">
        <f t="shared" si="16"/>
        <v>5</v>
      </c>
      <c r="G99" s="206">
        <f t="shared" si="16"/>
        <v>1</v>
      </c>
      <c r="H99" s="206">
        <f t="shared" si="16"/>
        <v>4</v>
      </c>
      <c r="I99" s="206">
        <f t="shared" si="16"/>
        <v>334</v>
      </c>
      <c r="J99" s="206">
        <f t="shared" si="16"/>
        <v>75</v>
      </c>
      <c r="K99" s="206">
        <f>K69+K72+K75+K78+K81+K84+K87+K90+K93+K96</f>
        <v>259</v>
      </c>
      <c r="L99" s="220" t="s">
        <v>243</v>
      </c>
      <c r="M99" s="280"/>
    </row>
    <row r="100" spans="3:13" ht="17.25" customHeight="1" thickBot="1" x14ac:dyDescent="0.25">
      <c r="C100" s="206">
        <f t="shared" si="16"/>
        <v>2334</v>
      </c>
      <c r="D100" s="206">
        <f t="shared" si="16"/>
        <v>744</v>
      </c>
      <c r="E100" s="206">
        <f t="shared" si="16"/>
        <v>1590</v>
      </c>
      <c r="F100" s="206">
        <f t="shared" si="16"/>
        <v>21</v>
      </c>
      <c r="G100" s="206">
        <f t="shared" si="16"/>
        <v>3</v>
      </c>
      <c r="H100" s="206">
        <f t="shared" si="16"/>
        <v>18</v>
      </c>
      <c r="I100" s="206">
        <f t="shared" si="16"/>
        <v>2313</v>
      </c>
      <c r="J100" s="206">
        <f t="shared" si="16"/>
        <v>741</v>
      </c>
      <c r="K100" s="206">
        <f t="shared" si="16"/>
        <v>1572</v>
      </c>
      <c r="L100" s="220" t="s">
        <v>57</v>
      </c>
      <c r="M100" s="281" t="s">
        <v>244</v>
      </c>
    </row>
    <row r="101" spans="3:13" ht="17.25" customHeight="1" thickBot="1" x14ac:dyDescent="0.25">
      <c r="C101" s="206">
        <f t="shared" si="16"/>
        <v>0</v>
      </c>
      <c r="D101" s="206">
        <f t="shared" si="16"/>
        <v>0</v>
      </c>
      <c r="E101" s="206">
        <f t="shared" si="16"/>
        <v>0</v>
      </c>
      <c r="F101" s="206">
        <f t="shared" si="16"/>
        <v>0</v>
      </c>
      <c r="G101" s="206">
        <f t="shared" si="16"/>
        <v>0</v>
      </c>
      <c r="H101" s="206">
        <f t="shared" si="16"/>
        <v>0</v>
      </c>
      <c r="I101" s="206">
        <f t="shared" si="16"/>
        <v>0</v>
      </c>
      <c r="J101" s="206">
        <f t="shared" si="16"/>
        <v>0</v>
      </c>
      <c r="K101" s="206">
        <f t="shared" si="16"/>
        <v>0</v>
      </c>
      <c r="L101" s="220" t="s">
        <v>59</v>
      </c>
      <c r="M101" s="282"/>
    </row>
    <row r="102" spans="3:13" ht="17.25" customHeight="1" thickBot="1" x14ac:dyDescent="0.25">
      <c r="C102" s="206">
        <f t="shared" ref="C102:J102" si="17">SUM(C99:C101)</f>
        <v>2673</v>
      </c>
      <c r="D102" s="206">
        <f t="shared" si="17"/>
        <v>820</v>
      </c>
      <c r="E102" s="206">
        <f t="shared" si="17"/>
        <v>1853</v>
      </c>
      <c r="F102" s="206">
        <f t="shared" si="17"/>
        <v>26</v>
      </c>
      <c r="G102" s="206">
        <f t="shared" si="17"/>
        <v>4</v>
      </c>
      <c r="H102" s="206">
        <f t="shared" si="17"/>
        <v>22</v>
      </c>
      <c r="I102" s="206">
        <f t="shared" si="17"/>
        <v>2647</v>
      </c>
      <c r="J102" s="206">
        <f t="shared" si="17"/>
        <v>816</v>
      </c>
      <c r="K102" s="206">
        <f>SUM(K99:K101)</f>
        <v>1831</v>
      </c>
      <c r="L102" s="554" t="s">
        <v>245</v>
      </c>
      <c r="M102" s="554"/>
    </row>
    <row r="103" spans="3:13" ht="17.25" customHeight="1" thickBot="1" x14ac:dyDescent="0.25">
      <c r="C103" s="477" t="s">
        <v>4</v>
      </c>
      <c r="D103" s="477"/>
      <c r="E103" s="477"/>
      <c r="F103" s="477" t="s">
        <v>145</v>
      </c>
      <c r="G103" s="477"/>
      <c r="H103" s="477"/>
      <c r="I103" s="477" t="s">
        <v>146</v>
      </c>
      <c r="J103" s="477"/>
      <c r="K103" s="477"/>
      <c r="L103" s="482" t="s">
        <v>66</v>
      </c>
      <c r="M103" s="482"/>
    </row>
    <row r="104" spans="3:13" ht="17.25" customHeight="1" thickBot="1" x14ac:dyDescent="0.25">
      <c r="C104" s="204" t="s">
        <v>227</v>
      </c>
      <c r="D104" s="204" t="s">
        <v>10</v>
      </c>
      <c r="E104" s="204" t="s">
        <v>9</v>
      </c>
      <c r="F104" s="204" t="s">
        <v>227</v>
      </c>
      <c r="G104" s="204" t="s">
        <v>10</v>
      </c>
      <c r="H104" s="204" t="s">
        <v>9</v>
      </c>
      <c r="I104" s="204" t="s">
        <v>227</v>
      </c>
      <c r="J104" s="204" t="s">
        <v>10</v>
      </c>
      <c r="K104" s="204" t="s">
        <v>9</v>
      </c>
      <c r="L104" s="481" t="s">
        <v>72</v>
      </c>
      <c r="M104" s="481"/>
    </row>
    <row r="105" spans="3:13" ht="17.25" customHeight="1" thickBot="1" x14ac:dyDescent="0.25">
      <c r="C105" s="206">
        <f>SUM(D105:E105)</f>
        <v>172</v>
      </c>
      <c r="D105" s="206">
        <f>J105+G105</f>
        <v>88</v>
      </c>
      <c r="E105" s="206">
        <f>K105+H105</f>
        <v>84</v>
      </c>
      <c r="F105" s="206">
        <f>SUM(G105:H105)</f>
        <v>9</v>
      </c>
      <c r="G105" s="206">
        <v>0</v>
      </c>
      <c r="H105" s="206">
        <v>9</v>
      </c>
      <c r="I105" s="206">
        <f>SUM(J105:K105)</f>
        <v>163</v>
      </c>
      <c r="J105" s="206">
        <v>88</v>
      </c>
      <c r="K105" s="206">
        <v>75</v>
      </c>
      <c r="L105" s="220" t="s">
        <v>56</v>
      </c>
      <c r="M105" s="278"/>
    </row>
    <row r="106" spans="3:13" ht="17.25" customHeight="1" thickBot="1" x14ac:dyDescent="0.25">
      <c r="C106" s="206">
        <f t="shared" ref="C106:C149" si="18">SUM(D106:E106)</f>
        <v>736</v>
      </c>
      <c r="D106" s="206">
        <f t="shared" ref="D106:E149" si="19">J106+G106</f>
        <v>421</v>
      </c>
      <c r="E106" s="206">
        <f t="shared" si="19"/>
        <v>315</v>
      </c>
      <c r="F106" s="206">
        <f t="shared" ref="F106:F149" si="20">SUM(G106:H106)</f>
        <v>43</v>
      </c>
      <c r="G106" s="206">
        <v>8</v>
      </c>
      <c r="H106" s="206">
        <v>35</v>
      </c>
      <c r="I106" s="206">
        <f t="shared" ref="I106:I149" si="21">SUM(J106:K106)</f>
        <v>693</v>
      </c>
      <c r="J106" s="206">
        <v>413</v>
      </c>
      <c r="K106" s="206">
        <v>280</v>
      </c>
      <c r="L106" s="220" t="s">
        <v>57</v>
      </c>
      <c r="M106" s="278" t="s">
        <v>371</v>
      </c>
    </row>
    <row r="107" spans="3:13" ht="17.25" customHeight="1" thickBot="1" x14ac:dyDescent="0.25">
      <c r="C107" s="206">
        <f t="shared" si="18"/>
        <v>0</v>
      </c>
      <c r="D107" s="206">
        <f t="shared" si="19"/>
        <v>0</v>
      </c>
      <c r="E107" s="206">
        <f t="shared" si="19"/>
        <v>0</v>
      </c>
      <c r="F107" s="206">
        <f t="shared" si="20"/>
        <v>0</v>
      </c>
      <c r="G107" s="206">
        <v>0</v>
      </c>
      <c r="H107" s="206">
        <v>0</v>
      </c>
      <c r="I107" s="206">
        <f t="shared" si="21"/>
        <v>0</v>
      </c>
      <c r="J107" s="206">
        <v>0</v>
      </c>
      <c r="K107" s="206">
        <v>0</v>
      </c>
      <c r="L107" s="220" t="s">
        <v>59</v>
      </c>
      <c r="M107" s="279"/>
    </row>
    <row r="108" spans="3:13" ht="17.25" customHeight="1" thickBot="1" x14ac:dyDescent="0.25">
      <c r="C108" s="206">
        <f t="shared" si="18"/>
        <v>137</v>
      </c>
      <c r="D108" s="206">
        <f t="shared" si="19"/>
        <v>63</v>
      </c>
      <c r="E108" s="206">
        <f t="shared" si="19"/>
        <v>74</v>
      </c>
      <c r="F108" s="206">
        <f t="shared" si="20"/>
        <v>47</v>
      </c>
      <c r="G108" s="206">
        <v>16</v>
      </c>
      <c r="H108" s="206">
        <v>31</v>
      </c>
      <c r="I108" s="206">
        <f t="shared" si="21"/>
        <v>90</v>
      </c>
      <c r="J108" s="206">
        <v>47</v>
      </c>
      <c r="K108" s="206">
        <v>43</v>
      </c>
      <c r="L108" s="220" t="s">
        <v>56</v>
      </c>
      <c r="M108" s="278"/>
    </row>
    <row r="109" spans="3:13" ht="17.25" customHeight="1" thickBot="1" x14ac:dyDescent="0.25">
      <c r="C109" s="206">
        <f t="shared" si="18"/>
        <v>470</v>
      </c>
      <c r="D109" s="206">
        <f t="shared" si="19"/>
        <v>121</v>
      </c>
      <c r="E109" s="206">
        <f t="shared" si="19"/>
        <v>349</v>
      </c>
      <c r="F109" s="206">
        <f t="shared" si="20"/>
        <v>82</v>
      </c>
      <c r="G109" s="206">
        <v>39</v>
      </c>
      <c r="H109" s="206">
        <v>43</v>
      </c>
      <c r="I109" s="206">
        <f t="shared" si="21"/>
        <v>388</v>
      </c>
      <c r="J109" s="206">
        <v>82</v>
      </c>
      <c r="K109" s="206">
        <v>306</v>
      </c>
      <c r="L109" s="220" t="s">
        <v>57</v>
      </c>
      <c r="M109" s="278" t="s">
        <v>367</v>
      </c>
    </row>
    <row r="110" spans="3:13" ht="17.25" customHeight="1" thickBot="1" x14ac:dyDescent="0.25">
      <c r="C110" s="206">
        <f t="shared" si="18"/>
        <v>0</v>
      </c>
      <c r="D110" s="206">
        <f t="shared" si="19"/>
        <v>0</v>
      </c>
      <c r="E110" s="206">
        <f t="shared" si="19"/>
        <v>0</v>
      </c>
      <c r="F110" s="206">
        <f t="shared" si="20"/>
        <v>0</v>
      </c>
      <c r="G110" s="206">
        <v>0</v>
      </c>
      <c r="H110" s="206">
        <v>0</v>
      </c>
      <c r="I110" s="206">
        <f t="shared" si="21"/>
        <v>0</v>
      </c>
      <c r="J110" s="206">
        <v>0</v>
      </c>
      <c r="K110" s="206">
        <v>0</v>
      </c>
      <c r="L110" s="220" t="s">
        <v>59</v>
      </c>
      <c r="M110" s="279"/>
    </row>
    <row r="111" spans="3:13" ht="17.25" customHeight="1" thickBot="1" x14ac:dyDescent="0.25">
      <c r="C111" s="206">
        <f t="shared" si="18"/>
        <v>35</v>
      </c>
      <c r="D111" s="206">
        <f t="shared" si="19"/>
        <v>8</v>
      </c>
      <c r="E111" s="206">
        <f t="shared" si="19"/>
        <v>27</v>
      </c>
      <c r="F111" s="206">
        <f t="shared" si="20"/>
        <v>3</v>
      </c>
      <c r="G111" s="206">
        <v>0</v>
      </c>
      <c r="H111" s="206">
        <v>3</v>
      </c>
      <c r="I111" s="206">
        <f t="shared" si="21"/>
        <v>32</v>
      </c>
      <c r="J111" s="206">
        <v>8</v>
      </c>
      <c r="K111" s="206">
        <v>24</v>
      </c>
      <c r="L111" s="220" t="s">
        <v>56</v>
      </c>
      <c r="M111" s="278"/>
    </row>
    <row r="112" spans="3:13" ht="17.25" customHeight="1" thickBot="1" x14ac:dyDescent="0.25">
      <c r="C112" s="206">
        <f t="shared" si="18"/>
        <v>490</v>
      </c>
      <c r="D112" s="206">
        <f t="shared" si="19"/>
        <v>101</v>
      </c>
      <c r="E112" s="206">
        <f t="shared" si="19"/>
        <v>389</v>
      </c>
      <c r="F112" s="206">
        <f t="shared" si="20"/>
        <v>29</v>
      </c>
      <c r="G112" s="206">
        <v>15</v>
      </c>
      <c r="H112" s="206">
        <v>14</v>
      </c>
      <c r="I112" s="206">
        <f t="shared" si="21"/>
        <v>461</v>
      </c>
      <c r="J112" s="206">
        <v>86</v>
      </c>
      <c r="K112" s="206">
        <v>375</v>
      </c>
      <c r="L112" s="220" t="s">
        <v>57</v>
      </c>
      <c r="M112" s="278" t="s">
        <v>674</v>
      </c>
    </row>
    <row r="113" spans="3:13" ht="17.25" customHeight="1" thickBot="1" x14ac:dyDescent="0.25">
      <c r="C113" s="206">
        <f t="shared" si="18"/>
        <v>0</v>
      </c>
      <c r="D113" s="206">
        <f t="shared" si="19"/>
        <v>0</v>
      </c>
      <c r="E113" s="206">
        <f t="shared" si="19"/>
        <v>0</v>
      </c>
      <c r="F113" s="206">
        <f t="shared" si="20"/>
        <v>0</v>
      </c>
      <c r="G113" s="206">
        <v>0</v>
      </c>
      <c r="H113" s="206">
        <v>0</v>
      </c>
      <c r="I113" s="206">
        <f t="shared" si="21"/>
        <v>0</v>
      </c>
      <c r="J113" s="206">
        <v>0</v>
      </c>
      <c r="K113" s="206">
        <v>0</v>
      </c>
      <c r="L113" s="220" t="s">
        <v>59</v>
      </c>
      <c r="M113" s="279"/>
    </row>
    <row r="114" spans="3:13" ht="17.25" customHeight="1" thickBot="1" x14ac:dyDescent="0.25">
      <c r="C114" s="206">
        <f t="shared" si="18"/>
        <v>15</v>
      </c>
      <c r="D114" s="206">
        <f t="shared" si="19"/>
        <v>7</v>
      </c>
      <c r="E114" s="206">
        <f t="shared" si="19"/>
        <v>8</v>
      </c>
      <c r="F114" s="206">
        <f t="shared" si="20"/>
        <v>2</v>
      </c>
      <c r="G114" s="206">
        <v>0</v>
      </c>
      <c r="H114" s="206">
        <v>2</v>
      </c>
      <c r="I114" s="206">
        <f t="shared" si="21"/>
        <v>13</v>
      </c>
      <c r="J114" s="206">
        <v>7</v>
      </c>
      <c r="K114" s="206">
        <v>6</v>
      </c>
      <c r="L114" s="220" t="s">
        <v>56</v>
      </c>
      <c r="M114" s="278"/>
    </row>
    <row r="115" spans="3:13" ht="17.25" customHeight="1" thickBot="1" x14ac:dyDescent="0.25">
      <c r="C115" s="206">
        <f t="shared" si="18"/>
        <v>157</v>
      </c>
      <c r="D115" s="206">
        <f t="shared" si="19"/>
        <v>88</v>
      </c>
      <c r="E115" s="206">
        <f t="shared" si="19"/>
        <v>69</v>
      </c>
      <c r="F115" s="206">
        <f t="shared" si="20"/>
        <v>43</v>
      </c>
      <c r="G115" s="206">
        <v>15</v>
      </c>
      <c r="H115" s="206">
        <v>28</v>
      </c>
      <c r="I115" s="206">
        <f t="shared" si="21"/>
        <v>114</v>
      </c>
      <c r="J115" s="206">
        <v>73</v>
      </c>
      <c r="K115" s="206">
        <v>41</v>
      </c>
      <c r="L115" s="220" t="s">
        <v>57</v>
      </c>
      <c r="M115" s="278" t="s">
        <v>348</v>
      </c>
    </row>
    <row r="116" spans="3:13" ht="17.25" customHeight="1" thickBot="1" x14ac:dyDescent="0.25">
      <c r="C116" s="206">
        <f t="shared" si="18"/>
        <v>0</v>
      </c>
      <c r="D116" s="206">
        <f t="shared" si="19"/>
        <v>0</v>
      </c>
      <c r="E116" s="206">
        <f t="shared" si="19"/>
        <v>0</v>
      </c>
      <c r="F116" s="206">
        <f t="shared" si="20"/>
        <v>0</v>
      </c>
      <c r="G116" s="206">
        <v>0</v>
      </c>
      <c r="H116" s="206">
        <v>0</v>
      </c>
      <c r="I116" s="206">
        <f t="shared" si="21"/>
        <v>0</v>
      </c>
      <c r="J116" s="206">
        <v>0</v>
      </c>
      <c r="K116" s="206">
        <v>0</v>
      </c>
      <c r="L116" s="220" t="s">
        <v>59</v>
      </c>
      <c r="M116" s="279"/>
    </row>
    <row r="117" spans="3:13" ht="17.25" customHeight="1" thickBot="1" x14ac:dyDescent="0.25">
      <c r="C117" s="206">
        <f t="shared" si="18"/>
        <v>24</v>
      </c>
      <c r="D117" s="206">
        <f t="shared" si="19"/>
        <v>0</v>
      </c>
      <c r="E117" s="206">
        <f t="shared" si="19"/>
        <v>24</v>
      </c>
      <c r="F117" s="206">
        <f t="shared" si="20"/>
        <v>15</v>
      </c>
      <c r="G117" s="206">
        <v>0</v>
      </c>
      <c r="H117" s="206">
        <v>15</v>
      </c>
      <c r="I117" s="206">
        <f t="shared" si="21"/>
        <v>9</v>
      </c>
      <c r="J117" s="206">
        <v>0</v>
      </c>
      <c r="K117" s="206">
        <v>9</v>
      </c>
      <c r="L117" s="220" t="s">
        <v>56</v>
      </c>
      <c r="M117" s="278"/>
    </row>
    <row r="118" spans="3:13" ht="17.25" customHeight="1" thickBot="1" x14ac:dyDescent="0.25">
      <c r="C118" s="206">
        <f t="shared" si="18"/>
        <v>164</v>
      </c>
      <c r="D118" s="206">
        <f t="shared" si="19"/>
        <v>0</v>
      </c>
      <c r="E118" s="206">
        <f t="shared" si="19"/>
        <v>164</v>
      </c>
      <c r="F118" s="206">
        <f t="shared" si="20"/>
        <v>79</v>
      </c>
      <c r="G118" s="206">
        <v>0</v>
      </c>
      <c r="H118" s="206">
        <v>79</v>
      </c>
      <c r="I118" s="206">
        <f t="shared" si="21"/>
        <v>85</v>
      </c>
      <c r="J118" s="206">
        <v>0</v>
      </c>
      <c r="K118" s="206">
        <v>85</v>
      </c>
      <c r="L118" s="220" t="s">
        <v>57</v>
      </c>
      <c r="M118" s="278" t="s">
        <v>454</v>
      </c>
    </row>
    <row r="119" spans="3:13" ht="17.25" customHeight="1" thickBot="1" x14ac:dyDescent="0.25">
      <c r="C119" s="206">
        <f t="shared" si="18"/>
        <v>0</v>
      </c>
      <c r="D119" s="206">
        <f t="shared" si="19"/>
        <v>0</v>
      </c>
      <c r="E119" s="206">
        <f t="shared" si="19"/>
        <v>0</v>
      </c>
      <c r="F119" s="206">
        <f t="shared" si="20"/>
        <v>0</v>
      </c>
      <c r="G119" s="206">
        <v>0</v>
      </c>
      <c r="H119" s="206">
        <v>0</v>
      </c>
      <c r="I119" s="206">
        <f t="shared" si="21"/>
        <v>0</v>
      </c>
      <c r="J119" s="206">
        <v>0</v>
      </c>
      <c r="K119" s="206">
        <v>0</v>
      </c>
      <c r="L119" s="220" t="s">
        <v>59</v>
      </c>
      <c r="M119" s="279"/>
    </row>
    <row r="120" spans="3:13" ht="17.25" customHeight="1" thickBot="1" x14ac:dyDescent="0.25">
      <c r="C120" s="206">
        <f t="shared" si="18"/>
        <v>36</v>
      </c>
      <c r="D120" s="206">
        <f t="shared" si="19"/>
        <v>10</v>
      </c>
      <c r="E120" s="206">
        <f t="shared" si="19"/>
        <v>26</v>
      </c>
      <c r="F120" s="206">
        <f t="shared" si="20"/>
        <v>19</v>
      </c>
      <c r="G120" s="206">
        <v>1</v>
      </c>
      <c r="H120" s="206">
        <v>18</v>
      </c>
      <c r="I120" s="206">
        <f t="shared" si="21"/>
        <v>17</v>
      </c>
      <c r="J120" s="206">
        <v>9</v>
      </c>
      <c r="K120" s="206">
        <v>8</v>
      </c>
      <c r="L120" s="220" t="s">
        <v>56</v>
      </c>
      <c r="M120" s="278"/>
    </row>
    <row r="121" spans="3:13" ht="17.25" customHeight="1" thickBot="1" x14ac:dyDescent="0.25">
      <c r="C121" s="206">
        <f t="shared" si="18"/>
        <v>172</v>
      </c>
      <c r="D121" s="206">
        <f t="shared" si="19"/>
        <v>28</v>
      </c>
      <c r="E121" s="206">
        <f t="shared" si="19"/>
        <v>144</v>
      </c>
      <c r="F121" s="206">
        <f t="shared" si="20"/>
        <v>54</v>
      </c>
      <c r="G121" s="206">
        <v>0</v>
      </c>
      <c r="H121" s="206">
        <v>54</v>
      </c>
      <c r="I121" s="206">
        <f t="shared" si="21"/>
        <v>118</v>
      </c>
      <c r="J121" s="206">
        <v>28</v>
      </c>
      <c r="K121" s="206">
        <v>90</v>
      </c>
      <c r="L121" s="220" t="s">
        <v>57</v>
      </c>
      <c r="M121" s="278" t="s">
        <v>586</v>
      </c>
    </row>
    <row r="122" spans="3:13" ht="17.25" customHeight="1" thickBot="1" x14ac:dyDescent="0.25">
      <c r="C122" s="206">
        <f t="shared" si="18"/>
        <v>0</v>
      </c>
      <c r="D122" s="206">
        <f t="shared" si="19"/>
        <v>0</v>
      </c>
      <c r="E122" s="206">
        <f t="shared" si="19"/>
        <v>0</v>
      </c>
      <c r="F122" s="206">
        <f t="shared" si="20"/>
        <v>0</v>
      </c>
      <c r="G122" s="206">
        <v>0</v>
      </c>
      <c r="H122" s="206">
        <v>0</v>
      </c>
      <c r="I122" s="206">
        <f t="shared" si="21"/>
        <v>0</v>
      </c>
      <c r="J122" s="206">
        <v>0</v>
      </c>
      <c r="K122" s="206">
        <v>0</v>
      </c>
      <c r="L122" s="220" t="s">
        <v>59</v>
      </c>
      <c r="M122" s="279"/>
    </row>
    <row r="123" spans="3:13" ht="17.25" customHeight="1" thickBot="1" x14ac:dyDescent="0.25">
      <c r="C123" s="206">
        <f t="shared" si="18"/>
        <v>13</v>
      </c>
      <c r="D123" s="206">
        <f t="shared" si="19"/>
        <v>6</v>
      </c>
      <c r="E123" s="206">
        <f t="shared" si="19"/>
        <v>7</v>
      </c>
      <c r="F123" s="206">
        <f t="shared" si="20"/>
        <v>4</v>
      </c>
      <c r="G123" s="206">
        <v>1</v>
      </c>
      <c r="H123" s="206">
        <v>3</v>
      </c>
      <c r="I123" s="206">
        <f t="shared" si="21"/>
        <v>9</v>
      </c>
      <c r="J123" s="206">
        <v>5</v>
      </c>
      <c r="K123" s="206">
        <v>4</v>
      </c>
      <c r="L123" s="220" t="s">
        <v>56</v>
      </c>
      <c r="M123" s="278"/>
    </row>
    <row r="124" spans="3:13" ht="17.25" customHeight="1" thickBot="1" x14ac:dyDescent="0.25">
      <c r="C124" s="206">
        <f t="shared" si="18"/>
        <v>106</v>
      </c>
      <c r="D124" s="206">
        <f t="shared" si="19"/>
        <v>87</v>
      </c>
      <c r="E124" s="206">
        <f t="shared" si="19"/>
        <v>19</v>
      </c>
      <c r="F124" s="206">
        <f t="shared" si="20"/>
        <v>30</v>
      </c>
      <c r="G124" s="206">
        <v>14</v>
      </c>
      <c r="H124" s="206">
        <v>16</v>
      </c>
      <c r="I124" s="206">
        <f t="shared" si="21"/>
        <v>76</v>
      </c>
      <c r="J124" s="206">
        <v>73</v>
      </c>
      <c r="K124" s="206">
        <v>3</v>
      </c>
      <c r="L124" s="220" t="s">
        <v>57</v>
      </c>
      <c r="M124" s="278" t="s">
        <v>344</v>
      </c>
    </row>
    <row r="125" spans="3:13" ht="17.25" customHeight="1" thickBot="1" x14ac:dyDescent="0.25">
      <c r="C125" s="206">
        <f t="shared" si="18"/>
        <v>19</v>
      </c>
      <c r="D125" s="206">
        <f t="shared" si="19"/>
        <v>8</v>
      </c>
      <c r="E125" s="206">
        <f t="shared" si="19"/>
        <v>11</v>
      </c>
      <c r="F125" s="206">
        <f t="shared" si="20"/>
        <v>1</v>
      </c>
      <c r="G125" s="206">
        <v>1</v>
      </c>
      <c r="H125" s="206">
        <v>0</v>
      </c>
      <c r="I125" s="206">
        <f t="shared" si="21"/>
        <v>18</v>
      </c>
      <c r="J125" s="206">
        <v>7</v>
      </c>
      <c r="K125" s="206">
        <v>11</v>
      </c>
      <c r="L125" s="220" t="s">
        <v>59</v>
      </c>
      <c r="M125" s="279"/>
    </row>
    <row r="126" spans="3:13" ht="17.25" customHeight="1" thickBot="1" x14ac:dyDescent="0.25">
      <c r="C126" s="206">
        <f t="shared" si="18"/>
        <v>0</v>
      </c>
      <c r="D126" s="206">
        <f t="shared" si="19"/>
        <v>0</v>
      </c>
      <c r="E126" s="206">
        <f t="shared" si="19"/>
        <v>0</v>
      </c>
      <c r="F126" s="206">
        <f t="shared" si="20"/>
        <v>0</v>
      </c>
      <c r="G126" s="206">
        <v>0</v>
      </c>
      <c r="H126" s="206">
        <v>0</v>
      </c>
      <c r="I126" s="206">
        <f t="shared" si="21"/>
        <v>0</v>
      </c>
      <c r="J126" s="206">
        <v>0</v>
      </c>
      <c r="K126" s="206">
        <v>0</v>
      </c>
      <c r="L126" s="220" t="s">
        <v>56</v>
      </c>
      <c r="M126" s="278"/>
    </row>
    <row r="127" spans="3:13" ht="17.25" customHeight="1" thickBot="1" x14ac:dyDescent="0.25">
      <c r="C127" s="206">
        <f t="shared" si="18"/>
        <v>43</v>
      </c>
      <c r="D127" s="206">
        <f t="shared" si="19"/>
        <v>38</v>
      </c>
      <c r="E127" s="206">
        <f t="shared" si="19"/>
        <v>5</v>
      </c>
      <c r="F127" s="206">
        <f t="shared" si="20"/>
        <v>2</v>
      </c>
      <c r="G127" s="206">
        <v>1</v>
      </c>
      <c r="H127" s="206">
        <v>1</v>
      </c>
      <c r="I127" s="206">
        <f t="shared" si="21"/>
        <v>41</v>
      </c>
      <c r="J127" s="206">
        <v>37</v>
      </c>
      <c r="K127" s="206">
        <v>4</v>
      </c>
      <c r="L127" s="220" t="s">
        <v>57</v>
      </c>
      <c r="M127" s="278" t="s">
        <v>406</v>
      </c>
    </row>
    <row r="128" spans="3:13" ht="17.25" customHeight="1" thickBot="1" x14ac:dyDescent="0.25">
      <c r="C128" s="206">
        <f t="shared" si="18"/>
        <v>0</v>
      </c>
      <c r="D128" s="206">
        <f t="shared" si="19"/>
        <v>0</v>
      </c>
      <c r="E128" s="206">
        <f t="shared" si="19"/>
        <v>0</v>
      </c>
      <c r="F128" s="206">
        <f t="shared" si="20"/>
        <v>0</v>
      </c>
      <c r="G128" s="206">
        <v>0</v>
      </c>
      <c r="H128" s="206">
        <v>0</v>
      </c>
      <c r="I128" s="206">
        <f t="shared" si="21"/>
        <v>0</v>
      </c>
      <c r="J128" s="206">
        <v>0</v>
      </c>
      <c r="K128" s="206">
        <v>0</v>
      </c>
      <c r="L128" s="220" t="s">
        <v>59</v>
      </c>
      <c r="M128" s="279"/>
    </row>
    <row r="129" spans="3:13" ht="17.25" customHeight="1" thickBot="1" x14ac:dyDescent="0.25">
      <c r="C129" s="206">
        <f t="shared" si="18"/>
        <v>0</v>
      </c>
      <c r="D129" s="206">
        <f t="shared" si="19"/>
        <v>0</v>
      </c>
      <c r="E129" s="206">
        <f t="shared" si="19"/>
        <v>0</v>
      </c>
      <c r="F129" s="206">
        <f t="shared" si="20"/>
        <v>0</v>
      </c>
      <c r="G129" s="206">
        <v>0</v>
      </c>
      <c r="H129" s="206">
        <v>0</v>
      </c>
      <c r="I129" s="206">
        <f t="shared" si="21"/>
        <v>0</v>
      </c>
      <c r="J129" s="206">
        <v>0</v>
      </c>
      <c r="K129" s="206">
        <v>0</v>
      </c>
      <c r="L129" s="220" t="s">
        <v>56</v>
      </c>
      <c r="M129" s="278"/>
    </row>
    <row r="130" spans="3:13" ht="17.25" customHeight="1" thickBot="1" x14ac:dyDescent="0.25">
      <c r="C130" s="206">
        <f t="shared" si="18"/>
        <v>105</v>
      </c>
      <c r="D130" s="206">
        <f t="shared" si="19"/>
        <v>59</v>
      </c>
      <c r="E130" s="206">
        <f t="shared" si="19"/>
        <v>46</v>
      </c>
      <c r="F130" s="206">
        <f t="shared" si="20"/>
        <v>3</v>
      </c>
      <c r="G130" s="206">
        <v>2</v>
      </c>
      <c r="H130" s="206">
        <v>1</v>
      </c>
      <c r="I130" s="206">
        <f t="shared" si="21"/>
        <v>102</v>
      </c>
      <c r="J130" s="206">
        <v>57</v>
      </c>
      <c r="K130" s="206">
        <v>45</v>
      </c>
      <c r="L130" s="220" t="s">
        <v>57</v>
      </c>
      <c r="M130" s="278" t="s">
        <v>347</v>
      </c>
    </row>
    <row r="131" spans="3:13" ht="17.25" customHeight="1" thickBot="1" x14ac:dyDescent="0.25">
      <c r="C131" s="206">
        <f t="shared" si="18"/>
        <v>0</v>
      </c>
      <c r="D131" s="206">
        <f t="shared" si="19"/>
        <v>0</v>
      </c>
      <c r="E131" s="206">
        <f t="shared" si="19"/>
        <v>0</v>
      </c>
      <c r="F131" s="206">
        <f t="shared" si="20"/>
        <v>0</v>
      </c>
      <c r="G131" s="206">
        <v>0</v>
      </c>
      <c r="H131" s="206">
        <v>0</v>
      </c>
      <c r="I131" s="206">
        <f t="shared" si="21"/>
        <v>0</v>
      </c>
      <c r="J131" s="206">
        <v>0</v>
      </c>
      <c r="K131" s="206">
        <v>0</v>
      </c>
      <c r="L131" s="220" t="s">
        <v>59</v>
      </c>
      <c r="M131" s="279"/>
    </row>
    <row r="132" spans="3:13" ht="17.25" customHeight="1" thickBot="1" x14ac:dyDescent="0.25">
      <c r="C132" s="206">
        <f t="shared" si="18"/>
        <v>0</v>
      </c>
      <c r="D132" s="206">
        <f t="shared" si="19"/>
        <v>0</v>
      </c>
      <c r="E132" s="206">
        <f t="shared" si="19"/>
        <v>0</v>
      </c>
      <c r="F132" s="206">
        <f t="shared" si="20"/>
        <v>0</v>
      </c>
      <c r="G132" s="206">
        <v>0</v>
      </c>
      <c r="H132" s="206">
        <v>0</v>
      </c>
      <c r="I132" s="206">
        <f t="shared" si="21"/>
        <v>0</v>
      </c>
      <c r="J132" s="206">
        <v>0</v>
      </c>
      <c r="K132" s="206">
        <v>0</v>
      </c>
      <c r="L132" s="220" t="s">
        <v>56</v>
      </c>
      <c r="M132" s="278"/>
    </row>
    <row r="133" spans="3:13" ht="17.25" customHeight="1" thickBot="1" x14ac:dyDescent="0.25">
      <c r="C133" s="206">
        <f t="shared" si="18"/>
        <v>11</v>
      </c>
      <c r="D133" s="206">
        <f t="shared" si="19"/>
        <v>0</v>
      </c>
      <c r="E133" s="206">
        <f t="shared" si="19"/>
        <v>11</v>
      </c>
      <c r="F133" s="206">
        <f t="shared" si="20"/>
        <v>0</v>
      </c>
      <c r="G133" s="206">
        <v>0</v>
      </c>
      <c r="H133" s="206">
        <v>0</v>
      </c>
      <c r="I133" s="206">
        <f t="shared" si="21"/>
        <v>11</v>
      </c>
      <c r="J133" s="206">
        <v>0</v>
      </c>
      <c r="K133" s="206">
        <v>11</v>
      </c>
      <c r="L133" s="220" t="s">
        <v>57</v>
      </c>
      <c r="M133" s="278" t="s">
        <v>675</v>
      </c>
    </row>
    <row r="134" spans="3:13" ht="17.25" customHeight="1" thickBot="1" x14ac:dyDescent="0.25">
      <c r="C134" s="206">
        <f t="shared" si="18"/>
        <v>0</v>
      </c>
      <c r="D134" s="206">
        <f t="shared" si="19"/>
        <v>0</v>
      </c>
      <c r="E134" s="206">
        <f t="shared" si="19"/>
        <v>0</v>
      </c>
      <c r="F134" s="206">
        <f t="shared" si="20"/>
        <v>0</v>
      </c>
      <c r="G134" s="206">
        <v>0</v>
      </c>
      <c r="H134" s="206">
        <v>0</v>
      </c>
      <c r="I134" s="206">
        <f t="shared" si="21"/>
        <v>0</v>
      </c>
      <c r="J134" s="206">
        <v>0</v>
      </c>
      <c r="K134" s="206">
        <v>0</v>
      </c>
      <c r="L134" s="220" t="s">
        <v>59</v>
      </c>
      <c r="M134" s="279"/>
    </row>
    <row r="135" spans="3:13" ht="17.25" customHeight="1" thickBot="1" x14ac:dyDescent="0.25">
      <c r="C135" s="206">
        <f t="shared" si="18"/>
        <v>45</v>
      </c>
      <c r="D135" s="206">
        <f t="shared" si="19"/>
        <v>9</v>
      </c>
      <c r="E135" s="206">
        <f t="shared" si="19"/>
        <v>36</v>
      </c>
      <c r="F135" s="206">
        <f t="shared" si="20"/>
        <v>29</v>
      </c>
      <c r="G135" s="206">
        <v>1</v>
      </c>
      <c r="H135" s="206">
        <v>28</v>
      </c>
      <c r="I135" s="206">
        <f t="shared" si="21"/>
        <v>16</v>
      </c>
      <c r="J135" s="206">
        <v>8</v>
      </c>
      <c r="K135" s="206">
        <v>8</v>
      </c>
      <c r="L135" s="220" t="s">
        <v>56</v>
      </c>
      <c r="M135" s="278"/>
    </row>
    <row r="136" spans="3:13" ht="17.25" customHeight="1" thickBot="1" x14ac:dyDescent="0.25">
      <c r="C136" s="206">
        <f t="shared" si="18"/>
        <v>144</v>
      </c>
      <c r="D136" s="206">
        <f t="shared" si="19"/>
        <v>55</v>
      </c>
      <c r="E136" s="206">
        <f t="shared" si="19"/>
        <v>89</v>
      </c>
      <c r="F136" s="206">
        <f t="shared" si="20"/>
        <v>35</v>
      </c>
      <c r="G136" s="206">
        <v>5</v>
      </c>
      <c r="H136" s="206">
        <v>30</v>
      </c>
      <c r="I136" s="206">
        <f t="shared" si="21"/>
        <v>109</v>
      </c>
      <c r="J136" s="206">
        <v>50</v>
      </c>
      <c r="K136" s="206">
        <v>59</v>
      </c>
      <c r="L136" s="220" t="s">
        <v>57</v>
      </c>
      <c r="M136" s="278" t="s">
        <v>365</v>
      </c>
    </row>
    <row r="137" spans="3:13" ht="17.25" customHeight="1" thickBot="1" x14ac:dyDescent="0.25">
      <c r="C137" s="206">
        <f t="shared" si="18"/>
        <v>0</v>
      </c>
      <c r="D137" s="206">
        <f t="shared" si="19"/>
        <v>0</v>
      </c>
      <c r="E137" s="206">
        <f t="shared" si="19"/>
        <v>0</v>
      </c>
      <c r="F137" s="206">
        <f t="shared" si="20"/>
        <v>0</v>
      </c>
      <c r="G137" s="206">
        <v>0</v>
      </c>
      <c r="H137" s="206">
        <v>0</v>
      </c>
      <c r="I137" s="206">
        <f t="shared" si="21"/>
        <v>0</v>
      </c>
      <c r="J137" s="206">
        <v>0</v>
      </c>
      <c r="K137" s="206">
        <v>0</v>
      </c>
      <c r="L137" s="220" t="s">
        <v>59</v>
      </c>
      <c r="M137" s="279"/>
    </row>
    <row r="138" spans="3:13" ht="17.25" customHeight="1" thickBot="1" x14ac:dyDescent="0.25">
      <c r="C138" s="206">
        <f t="shared" si="18"/>
        <v>5</v>
      </c>
      <c r="D138" s="206">
        <f t="shared" si="19"/>
        <v>0</v>
      </c>
      <c r="E138" s="206">
        <f t="shared" si="19"/>
        <v>5</v>
      </c>
      <c r="F138" s="206">
        <f t="shared" si="20"/>
        <v>1</v>
      </c>
      <c r="G138" s="206">
        <v>0</v>
      </c>
      <c r="H138" s="206">
        <v>1</v>
      </c>
      <c r="I138" s="206">
        <f t="shared" si="21"/>
        <v>4</v>
      </c>
      <c r="J138" s="206">
        <v>0</v>
      </c>
      <c r="K138" s="206">
        <v>4</v>
      </c>
      <c r="L138" s="220" t="s">
        <v>56</v>
      </c>
      <c r="M138" s="278"/>
    </row>
    <row r="139" spans="3:13" ht="17.25" customHeight="1" thickBot="1" x14ac:dyDescent="0.25">
      <c r="C139" s="206">
        <f t="shared" si="18"/>
        <v>116</v>
      </c>
      <c r="D139" s="206">
        <f t="shared" si="19"/>
        <v>0</v>
      </c>
      <c r="E139" s="206">
        <f t="shared" si="19"/>
        <v>116</v>
      </c>
      <c r="F139" s="206">
        <f t="shared" si="20"/>
        <v>5</v>
      </c>
      <c r="G139" s="206">
        <v>0</v>
      </c>
      <c r="H139" s="206">
        <v>5</v>
      </c>
      <c r="I139" s="206">
        <f t="shared" si="21"/>
        <v>111</v>
      </c>
      <c r="J139" s="206">
        <v>0</v>
      </c>
      <c r="K139" s="206">
        <v>111</v>
      </c>
      <c r="L139" s="220" t="s">
        <v>57</v>
      </c>
      <c r="M139" s="278" t="s">
        <v>380</v>
      </c>
    </row>
    <row r="140" spans="3:13" ht="17.25" customHeight="1" thickBot="1" x14ac:dyDescent="0.25">
      <c r="C140" s="206">
        <f t="shared" si="18"/>
        <v>0</v>
      </c>
      <c r="D140" s="206">
        <f t="shared" si="19"/>
        <v>0</v>
      </c>
      <c r="E140" s="206">
        <f t="shared" si="19"/>
        <v>0</v>
      </c>
      <c r="F140" s="206">
        <f t="shared" si="20"/>
        <v>0</v>
      </c>
      <c r="G140" s="206">
        <v>0</v>
      </c>
      <c r="H140" s="206">
        <v>0</v>
      </c>
      <c r="I140" s="206">
        <f t="shared" si="21"/>
        <v>0</v>
      </c>
      <c r="J140" s="206">
        <v>0</v>
      </c>
      <c r="K140" s="206">
        <v>0</v>
      </c>
      <c r="L140" s="220" t="s">
        <v>59</v>
      </c>
      <c r="M140" s="279"/>
    </row>
    <row r="141" spans="3:13" ht="17.25" customHeight="1" thickBot="1" x14ac:dyDescent="0.25">
      <c r="C141" s="206">
        <f t="shared" si="18"/>
        <v>62</v>
      </c>
      <c r="D141" s="206">
        <f t="shared" si="19"/>
        <v>62</v>
      </c>
      <c r="E141" s="206">
        <f t="shared" si="19"/>
        <v>0</v>
      </c>
      <c r="F141" s="206">
        <f t="shared" si="20"/>
        <v>3</v>
      </c>
      <c r="G141" s="206">
        <v>3</v>
      </c>
      <c r="H141" s="206">
        <v>0</v>
      </c>
      <c r="I141" s="206">
        <f t="shared" si="21"/>
        <v>59</v>
      </c>
      <c r="J141" s="206">
        <v>59</v>
      </c>
      <c r="K141" s="206">
        <v>0</v>
      </c>
      <c r="L141" s="220" t="s">
        <v>56</v>
      </c>
      <c r="M141" s="278"/>
    </row>
    <row r="142" spans="3:13" ht="17.25" customHeight="1" thickBot="1" x14ac:dyDescent="0.25">
      <c r="C142" s="206">
        <f t="shared" si="18"/>
        <v>0</v>
      </c>
      <c r="D142" s="206">
        <f t="shared" si="19"/>
        <v>0</v>
      </c>
      <c r="E142" s="206">
        <f t="shared" si="19"/>
        <v>0</v>
      </c>
      <c r="F142" s="206">
        <f t="shared" si="20"/>
        <v>0</v>
      </c>
      <c r="G142" s="206">
        <v>0</v>
      </c>
      <c r="H142" s="206">
        <v>0</v>
      </c>
      <c r="I142" s="206">
        <f t="shared" si="21"/>
        <v>0</v>
      </c>
      <c r="J142" s="206">
        <v>0</v>
      </c>
      <c r="K142" s="206">
        <v>0</v>
      </c>
      <c r="L142" s="220" t="s">
        <v>57</v>
      </c>
      <c r="M142" s="278" t="s">
        <v>377</v>
      </c>
    </row>
    <row r="143" spans="3:13" ht="17.25" customHeight="1" thickBot="1" x14ac:dyDescent="0.25">
      <c r="C143" s="206">
        <f t="shared" si="18"/>
        <v>0</v>
      </c>
      <c r="D143" s="206">
        <f t="shared" si="19"/>
        <v>0</v>
      </c>
      <c r="E143" s="206">
        <f t="shared" si="19"/>
        <v>0</v>
      </c>
      <c r="F143" s="206">
        <f t="shared" si="20"/>
        <v>0</v>
      </c>
      <c r="G143" s="206">
        <v>0</v>
      </c>
      <c r="H143" s="206">
        <v>0</v>
      </c>
      <c r="I143" s="206">
        <f t="shared" si="21"/>
        <v>0</v>
      </c>
      <c r="J143" s="206">
        <v>0</v>
      </c>
      <c r="K143" s="206">
        <v>0</v>
      </c>
      <c r="L143" s="220" t="s">
        <v>59</v>
      </c>
      <c r="M143" s="279"/>
    </row>
    <row r="144" spans="3:13" ht="17.25" customHeight="1" thickBot="1" x14ac:dyDescent="0.25">
      <c r="C144" s="206">
        <f t="shared" si="18"/>
        <v>17</v>
      </c>
      <c r="D144" s="206">
        <f t="shared" si="19"/>
        <v>11</v>
      </c>
      <c r="E144" s="206">
        <f t="shared" si="19"/>
        <v>6</v>
      </c>
      <c r="F144" s="206">
        <f t="shared" si="20"/>
        <v>3</v>
      </c>
      <c r="G144" s="206">
        <v>1</v>
      </c>
      <c r="H144" s="206">
        <v>2</v>
      </c>
      <c r="I144" s="206">
        <f t="shared" si="21"/>
        <v>14</v>
      </c>
      <c r="J144" s="206">
        <v>10</v>
      </c>
      <c r="K144" s="206">
        <v>4</v>
      </c>
      <c r="L144" s="220" t="s">
        <v>56</v>
      </c>
      <c r="M144" s="278"/>
    </row>
    <row r="145" spans="3:13" ht="17.25" customHeight="1" thickBot="1" x14ac:dyDescent="0.25">
      <c r="C145" s="206">
        <f t="shared" si="18"/>
        <v>61</v>
      </c>
      <c r="D145" s="206">
        <f t="shared" si="19"/>
        <v>38</v>
      </c>
      <c r="E145" s="206">
        <f t="shared" si="19"/>
        <v>23</v>
      </c>
      <c r="F145" s="206">
        <f t="shared" si="20"/>
        <v>4</v>
      </c>
      <c r="G145" s="206">
        <v>2</v>
      </c>
      <c r="H145" s="206">
        <v>2</v>
      </c>
      <c r="I145" s="206">
        <f t="shared" si="21"/>
        <v>57</v>
      </c>
      <c r="J145" s="206">
        <v>36</v>
      </c>
      <c r="K145" s="206">
        <v>21</v>
      </c>
      <c r="L145" s="220" t="s">
        <v>57</v>
      </c>
      <c r="M145" s="278" t="s">
        <v>379</v>
      </c>
    </row>
    <row r="146" spans="3:13" ht="17.25" customHeight="1" thickBot="1" x14ac:dyDescent="0.25">
      <c r="C146" s="206">
        <f t="shared" si="18"/>
        <v>0</v>
      </c>
      <c r="D146" s="206">
        <f t="shared" si="19"/>
        <v>0</v>
      </c>
      <c r="E146" s="206">
        <f t="shared" si="19"/>
        <v>0</v>
      </c>
      <c r="F146" s="206">
        <f t="shared" si="20"/>
        <v>0</v>
      </c>
      <c r="G146" s="206">
        <v>0</v>
      </c>
      <c r="H146" s="206">
        <v>0</v>
      </c>
      <c r="I146" s="206">
        <f t="shared" si="21"/>
        <v>0</v>
      </c>
      <c r="J146" s="206">
        <v>0</v>
      </c>
      <c r="K146" s="206">
        <v>0</v>
      </c>
      <c r="L146" s="220" t="s">
        <v>59</v>
      </c>
      <c r="M146" s="279"/>
    </row>
    <row r="147" spans="3:13" ht="17.25" customHeight="1" thickBot="1" x14ac:dyDescent="0.25">
      <c r="C147" s="206">
        <f t="shared" si="18"/>
        <v>216</v>
      </c>
      <c r="D147" s="206">
        <f t="shared" si="19"/>
        <v>26</v>
      </c>
      <c r="E147" s="206">
        <f t="shared" si="19"/>
        <v>190</v>
      </c>
      <c r="F147" s="206">
        <f t="shared" si="20"/>
        <v>12</v>
      </c>
      <c r="G147" s="206">
        <v>1</v>
      </c>
      <c r="H147" s="206">
        <v>11</v>
      </c>
      <c r="I147" s="206">
        <f t="shared" si="21"/>
        <v>204</v>
      </c>
      <c r="J147" s="206">
        <v>25</v>
      </c>
      <c r="K147" s="206">
        <v>179</v>
      </c>
      <c r="L147" s="220" t="s">
        <v>56</v>
      </c>
      <c r="M147" s="278"/>
    </row>
    <row r="148" spans="3:13" ht="17.25" customHeight="1" thickBot="1" x14ac:dyDescent="0.25">
      <c r="C148" s="206">
        <f t="shared" si="18"/>
        <v>1037</v>
      </c>
      <c r="D148" s="206">
        <f t="shared" si="19"/>
        <v>298</v>
      </c>
      <c r="E148" s="206">
        <f t="shared" si="19"/>
        <v>739</v>
      </c>
      <c r="F148" s="206">
        <f t="shared" si="20"/>
        <v>57</v>
      </c>
      <c r="G148" s="206">
        <v>11</v>
      </c>
      <c r="H148" s="206">
        <v>46</v>
      </c>
      <c r="I148" s="206">
        <f t="shared" si="21"/>
        <v>980</v>
      </c>
      <c r="J148" s="206">
        <v>287</v>
      </c>
      <c r="K148" s="206">
        <v>693</v>
      </c>
      <c r="L148" s="220" t="s">
        <v>57</v>
      </c>
      <c r="M148" s="278" t="s">
        <v>376</v>
      </c>
    </row>
    <row r="149" spans="3:13" ht="17.25" customHeight="1" thickBot="1" x14ac:dyDescent="0.25">
      <c r="C149" s="206">
        <f t="shared" si="18"/>
        <v>0</v>
      </c>
      <c r="D149" s="206">
        <f t="shared" si="19"/>
        <v>0</v>
      </c>
      <c r="E149" s="206">
        <f t="shared" si="19"/>
        <v>0</v>
      </c>
      <c r="F149" s="206">
        <f t="shared" si="20"/>
        <v>0</v>
      </c>
      <c r="G149" s="206">
        <v>0</v>
      </c>
      <c r="H149" s="206">
        <v>0</v>
      </c>
      <c r="I149" s="206">
        <f t="shared" si="21"/>
        <v>0</v>
      </c>
      <c r="J149" s="206">
        <v>0</v>
      </c>
      <c r="K149" s="206">
        <v>0</v>
      </c>
      <c r="L149" s="220" t="s">
        <v>59</v>
      </c>
      <c r="M149" s="279"/>
    </row>
    <row r="150" spans="3:13" ht="17.25" customHeight="1" thickBot="1" x14ac:dyDescent="0.25">
      <c r="C150" s="206">
        <f t="shared" ref="C150:K152" si="22">C105+C108+C111+C114+C117+C120+C123+C126+C129+C132+C135+C138+C141+C144+C147</f>
        <v>777</v>
      </c>
      <c r="D150" s="206">
        <f t="shared" si="22"/>
        <v>290</v>
      </c>
      <c r="E150" s="206">
        <f t="shared" si="22"/>
        <v>487</v>
      </c>
      <c r="F150" s="206">
        <f t="shared" si="22"/>
        <v>147</v>
      </c>
      <c r="G150" s="206">
        <f t="shared" si="22"/>
        <v>24</v>
      </c>
      <c r="H150" s="206">
        <f t="shared" si="22"/>
        <v>123</v>
      </c>
      <c r="I150" s="206">
        <f t="shared" si="22"/>
        <v>630</v>
      </c>
      <c r="J150" s="206">
        <f t="shared" si="22"/>
        <v>266</v>
      </c>
      <c r="K150" s="206">
        <f>K105+K108+K111+K114+K117+K120+K123+K126+K129+K132+K135+K138+K141+K144+K147</f>
        <v>364</v>
      </c>
      <c r="L150" s="220" t="s">
        <v>243</v>
      </c>
      <c r="M150" s="280"/>
    </row>
    <row r="151" spans="3:13" ht="17.25" customHeight="1" thickBot="1" x14ac:dyDescent="0.25">
      <c r="C151" s="206">
        <f t="shared" si="22"/>
        <v>3812</v>
      </c>
      <c r="D151" s="206">
        <f t="shared" si="22"/>
        <v>1334</v>
      </c>
      <c r="E151" s="206">
        <f t="shared" si="22"/>
        <v>2478</v>
      </c>
      <c r="F151" s="206">
        <f t="shared" si="22"/>
        <v>466</v>
      </c>
      <c r="G151" s="206">
        <f t="shared" si="22"/>
        <v>112</v>
      </c>
      <c r="H151" s="206">
        <f t="shared" si="22"/>
        <v>354</v>
      </c>
      <c r="I151" s="206">
        <f t="shared" si="22"/>
        <v>3346</v>
      </c>
      <c r="J151" s="206">
        <f t="shared" si="22"/>
        <v>1222</v>
      </c>
      <c r="K151" s="206">
        <f t="shared" si="22"/>
        <v>2124</v>
      </c>
      <c r="L151" s="220" t="s">
        <v>57</v>
      </c>
      <c r="M151" s="281" t="s">
        <v>244</v>
      </c>
    </row>
    <row r="152" spans="3:13" ht="17.25" customHeight="1" thickBot="1" x14ac:dyDescent="0.25">
      <c r="C152" s="206">
        <f t="shared" si="22"/>
        <v>19</v>
      </c>
      <c r="D152" s="206">
        <f t="shared" si="22"/>
        <v>8</v>
      </c>
      <c r="E152" s="206">
        <f t="shared" si="22"/>
        <v>11</v>
      </c>
      <c r="F152" s="206">
        <f t="shared" si="22"/>
        <v>1</v>
      </c>
      <c r="G152" s="206">
        <f t="shared" si="22"/>
        <v>1</v>
      </c>
      <c r="H152" s="206">
        <f t="shared" si="22"/>
        <v>0</v>
      </c>
      <c r="I152" s="206">
        <f t="shared" si="22"/>
        <v>18</v>
      </c>
      <c r="J152" s="206">
        <f t="shared" si="22"/>
        <v>7</v>
      </c>
      <c r="K152" s="206">
        <f t="shared" si="22"/>
        <v>11</v>
      </c>
      <c r="L152" s="220" t="s">
        <v>59</v>
      </c>
      <c r="M152" s="282"/>
    </row>
    <row r="153" spans="3:13" ht="17.25" customHeight="1" thickBot="1" x14ac:dyDescent="0.25">
      <c r="C153" s="206">
        <f t="shared" ref="C153:J153" si="23">SUM(C150:C152)</f>
        <v>4608</v>
      </c>
      <c r="D153" s="206">
        <f t="shared" si="23"/>
        <v>1632</v>
      </c>
      <c r="E153" s="206">
        <f t="shared" si="23"/>
        <v>2976</v>
      </c>
      <c r="F153" s="206">
        <f t="shared" si="23"/>
        <v>614</v>
      </c>
      <c r="G153" s="206">
        <f t="shared" si="23"/>
        <v>137</v>
      </c>
      <c r="H153" s="206">
        <f t="shared" si="23"/>
        <v>477</v>
      </c>
      <c r="I153" s="206">
        <f t="shared" si="23"/>
        <v>3994</v>
      </c>
      <c r="J153" s="206">
        <f t="shared" si="23"/>
        <v>1495</v>
      </c>
      <c r="K153" s="206">
        <f>SUM(K150:K152)</f>
        <v>2499</v>
      </c>
      <c r="L153" s="554" t="s">
        <v>245</v>
      </c>
      <c r="M153" s="554"/>
    </row>
    <row r="154" spans="3:13" ht="17.25" customHeight="1" thickBot="1" x14ac:dyDescent="0.25">
      <c r="C154" s="477" t="s">
        <v>4</v>
      </c>
      <c r="D154" s="477"/>
      <c r="E154" s="477"/>
      <c r="F154" s="477" t="s">
        <v>145</v>
      </c>
      <c r="G154" s="477"/>
      <c r="H154" s="477"/>
      <c r="I154" s="477" t="s">
        <v>146</v>
      </c>
      <c r="J154" s="477"/>
      <c r="K154" s="477"/>
      <c r="L154" s="482" t="s">
        <v>66</v>
      </c>
      <c r="M154" s="482"/>
    </row>
    <row r="155" spans="3:13" ht="17.25" customHeight="1" thickBot="1" x14ac:dyDescent="0.25">
      <c r="C155" s="204" t="s">
        <v>227</v>
      </c>
      <c r="D155" s="204" t="s">
        <v>10</v>
      </c>
      <c r="E155" s="204" t="s">
        <v>9</v>
      </c>
      <c r="F155" s="204" t="s">
        <v>227</v>
      </c>
      <c r="G155" s="204" t="s">
        <v>10</v>
      </c>
      <c r="H155" s="204" t="s">
        <v>9</v>
      </c>
      <c r="I155" s="204" t="s">
        <v>227</v>
      </c>
      <c r="J155" s="204" t="s">
        <v>10</v>
      </c>
      <c r="K155" s="204" t="s">
        <v>9</v>
      </c>
      <c r="L155" s="481" t="s">
        <v>73</v>
      </c>
      <c r="M155" s="481"/>
    </row>
    <row r="156" spans="3:13" ht="17.25" customHeight="1" thickBot="1" x14ac:dyDescent="0.25">
      <c r="C156" s="206">
        <f>SUM(D156:E156)</f>
        <v>0</v>
      </c>
      <c r="D156" s="206">
        <f>J156+G156</f>
        <v>0</v>
      </c>
      <c r="E156" s="206">
        <f>K156+H156</f>
        <v>0</v>
      </c>
      <c r="F156" s="206">
        <f>SUM(G156:H156)</f>
        <v>0</v>
      </c>
      <c r="G156" s="206">
        <v>0</v>
      </c>
      <c r="H156" s="206">
        <v>0</v>
      </c>
      <c r="I156" s="206">
        <f>SUM(J156:K156)</f>
        <v>0</v>
      </c>
      <c r="J156" s="206">
        <v>0</v>
      </c>
      <c r="K156" s="206">
        <v>0</v>
      </c>
      <c r="L156" s="220" t="s">
        <v>56</v>
      </c>
      <c r="M156" s="278"/>
    </row>
    <row r="157" spans="3:13" ht="17.25" customHeight="1" thickBot="1" x14ac:dyDescent="0.25">
      <c r="C157" s="206">
        <f t="shared" ref="C157:C200" si="24">SUM(D157:E157)</f>
        <v>553</v>
      </c>
      <c r="D157" s="206">
        <f t="shared" ref="D157:E200" si="25">J157+G157</f>
        <v>201</v>
      </c>
      <c r="E157" s="206">
        <f t="shared" si="25"/>
        <v>352</v>
      </c>
      <c r="F157" s="206">
        <f t="shared" ref="F157:F200" si="26">SUM(G157:H157)</f>
        <v>38</v>
      </c>
      <c r="G157" s="206">
        <v>12</v>
      </c>
      <c r="H157" s="206">
        <v>26</v>
      </c>
      <c r="I157" s="206">
        <f t="shared" ref="I157:I200" si="27">SUM(J157:K157)</f>
        <v>515</v>
      </c>
      <c r="J157" s="206">
        <f>229-40</f>
        <v>189</v>
      </c>
      <c r="K157" s="206">
        <f>456-100-30</f>
        <v>326</v>
      </c>
      <c r="L157" s="220" t="s">
        <v>57</v>
      </c>
      <c r="M157" s="278" t="s">
        <v>402</v>
      </c>
    </row>
    <row r="158" spans="3:13" ht="17.25" customHeight="1" thickBot="1" x14ac:dyDescent="0.25">
      <c r="C158" s="206">
        <f t="shared" si="24"/>
        <v>0</v>
      </c>
      <c r="D158" s="206">
        <f t="shared" si="25"/>
        <v>0</v>
      </c>
      <c r="E158" s="206">
        <f t="shared" si="25"/>
        <v>0</v>
      </c>
      <c r="F158" s="206">
        <f t="shared" si="26"/>
        <v>0</v>
      </c>
      <c r="G158" s="206">
        <v>0</v>
      </c>
      <c r="H158" s="206">
        <v>0</v>
      </c>
      <c r="I158" s="206">
        <f t="shared" si="27"/>
        <v>0</v>
      </c>
      <c r="J158" s="206">
        <v>0</v>
      </c>
      <c r="K158" s="206">
        <v>0</v>
      </c>
      <c r="L158" s="220" t="s">
        <v>59</v>
      </c>
      <c r="M158" s="279"/>
    </row>
    <row r="159" spans="3:13" ht="17.25" customHeight="1" thickBot="1" x14ac:dyDescent="0.25">
      <c r="C159" s="206">
        <f t="shared" si="24"/>
        <v>28</v>
      </c>
      <c r="D159" s="206">
        <f t="shared" si="25"/>
        <v>9</v>
      </c>
      <c r="E159" s="206">
        <f t="shared" si="25"/>
        <v>19</v>
      </c>
      <c r="F159" s="206">
        <f t="shared" si="26"/>
        <v>0</v>
      </c>
      <c r="G159" s="206">
        <v>0</v>
      </c>
      <c r="H159" s="206">
        <v>0</v>
      </c>
      <c r="I159" s="206">
        <f t="shared" si="27"/>
        <v>28</v>
      </c>
      <c r="J159" s="206">
        <v>9</v>
      </c>
      <c r="K159" s="206">
        <v>19</v>
      </c>
      <c r="L159" s="220" t="s">
        <v>56</v>
      </c>
      <c r="M159" s="278"/>
    </row>
    <row r="160" spans="3:13" ht="17.25" customHeight="1" thickBot="1" x14ac:dyDescent="0.25">
      <c r="C160" s="206">
        <f t="shared" si="24"/>
        <v>178</v>
      </c>
      <c r="D160" s="206">
        <f t="shared" si="25"/>
        <v>125</v>
      </c>
      <c r="E160" s="206">
        <f t="shared" si="25"/>
        <v>53</v>
      </c>
      <c r="F160" s="206">
        <f t="shared" si="26"/>
        <v>8</v>
      </c>
      <c r="G160" s="206">
        <v>3</v>
      </c>
      <c r="H160" s="206">
        <v>5</v>
      </c>
      <c r="I160" s="206">
        <f t="shared" si="27"/>
        <v>170</v>
      </c>
      <c r="J160" s="206">
        <f>122</f>
        <v>122</v>
      </c>
      <c r="K160" s="206">
        <f>58-10</f>
        <v>48</v>
      </c>
      <c r="L160" s="220" t="s">
        <v>57</v>
      </c>
      <c r="M160" s="278" t="s">
        <v>403</v>
      </c>
    </row>
    <row r="161" spans="3:13" ht="17.25" customHeight="1" thickBot="1" x14ac:dyDescent="0.25">
      <c r="C161" s="206">
        <f t="shared" si="24"/>
        <v>0</v>
      </c>
      <c r="D161" s="206">
        <f t="shared" si="25"/>
        <v>0</v>
      </c>
      <c r="E161" s="206">
        <f t="shared" si="25"/>
        <v>0</v>
      </c>
      <c r="F161" s="206">
        <f t="shared" si="26"/>
        <v>0</v>
      </c>
      <c r="G161" s="206">
        <v>0</v>
      </c>
      <c r="H161" s="206">
        <v>0</v>
      </c>
      <c r="I161" s="206">
        <f t="shared" si="27"/>
        <v>0</v>
      </c>
      <c r="J161" s="206">
        <v>0</v>
      </c>
      <c r="K161" s="206">
        <v>0</v>
      </c>
      <c r="L161" s="220" t="s">
        <v>59</v>
      </c>
      <c r="M161" s="279"/>
    </row>
    <row r="162" spans="3:13" ht="17.25" customHeight="1" thickBot="1" x14ac:dyDescent="0.25">
      <c r="C162" s="206">
        <f t="shared" si="24"/>
        <v>41</v>
      </c>
      <c r="D162" s="206">
        <f t="shared" si="25"/>
        <v>15</v>
      </c>
      <c r="E162" s="206">
        <f t="shared" si="25"/>
        <v>26</v>
      </c>
      <c r="F162" s="206">
        <f t="shared" si="26"/>
        <v>7</v>
      </c>
      <c r="G162" s="206">
        <v>0</v>
      </c>
      <c r="H162" s="206">
        <v>7</v>
      </c>
      <c r="I162" s="206">
        <f t="shared" si="27"/>
        <v>34</v>
      </c>
      <c r="J162" s="206">
        <v>15</v>
      </c>
      <c r="K162" s="206">
        <v>19</v>
      </c>
      <c r="L162" s="220" t="s">
        <v>56</v>
      </c>
      <c r="M162" s="281"/>
    </row>
    <row r="163" spans="3:13" ht="17.25" customHeight="1" thickBot="1" x14ac:dyDescent="0.25">
      <c r="C163" s="206">
        <f t="shared" si="24"/>
        <v>215</v>
      </c>
      <c r="D163" s="206">
        <f t="shared" si="25"/>
        <v>156</v>
      </c>
      <c r="E163" s="206">
        <f t="shared" si="25"/>
        <v>59</v>
      </c>
      <c r="F163" s="206">
        <f t="shared" si="26"/>
        <v>52</v>
      </c>
      <c r="G163" s="206">
        <v>32</v>
      </c>
      <c r="H163" s="206">
        <v>20</v>
      </c>
      <c r="I163" s="206">
        <f t="shared" si="27"/>
        <v>163</v>
      </c>
      <c r="J163" s="206">
        <f>224-100</f>
        <v>124</v>
      </c>
      <c r="K163" s="206">
        <f>49-10</f>
        <v>39</v>
      </c>
      <c r="L163" s="220" t="s">
        <v>57</v>
      </c>
      <c r="M163" s="278" t="s">
        <v>367</v>
      </c>
    </row>
    <row r="164" spans="3:13" ht="17.25" customHeight="1" thickBot="1" x14ac:dyDescent="0.25">
      <c r="C164" s="206">
        <f t="shared" si="24"/>
        <v>0</v>
      </c>
      <c r="D164" s="206">
        <f t="shared" si="25"/>
        <v>0</v>
      </c>
      <c r="E164" s="206">
        <f t="shared" si="25"/>
        <v>0</v>
      </c>
      <c r="F164" s="206">
        <f t="shared" si="26"/>
        <v>0</v>
      </c>
      <c r="G164" s="206">
        <v>0</v>
      </c>
      <c r="H164" s="206">
        <v>0</v>
      </c>
      <c r="I164" s="206">
        <f t="shared" si="27"/>
        <v>0</v>
      </c>
      <c r="J164" s="206">
        <v>0</v>
      </c>
      <c r="K164" s="206">
        <v>0</v>
      </c>
      <c r="L164" s="220" t="s">
        <v>59</v>
      </c>
      <c r="M164" s="279"/>
    </row>
    <row r="165" spans="3:13" ht="17.25" customHeight="1" thickBot="1" x14ac:dyDescent="0.25">
      <c r="C165" s="206">
        <f t="shared" si="24"/>
        <v>13</v>
      </c>
      <c r="D165" s="206">
        <f t="shared" si="25"/>
        <v>0</v>
      </c>
      <c r="E165" s="206">
        <f t="shared" si="25"/>
        <v>13</v>
      </c>
      <c r="F165" s="206">
        <f t="shared" si="26"/>
        <v>0</v>
      </c>
      <c r="G165" s="206">
        <v>0</v>
      </c>
      <c r="H165" s="206">
        <v>0</v>
      </c>
      <c r="I165" s="206">
        <f t="shared" si="27"/>
        <v>13</v>
      </c>
      <c r="J165" s="206">
        <v>0</v>
      </c>
      <c r="K165" s="206">
        <v>13</v>
      </c>
      <c r="L165" s="220" t="s">
        <v>56</v>
      </c>
      <c r="M165" s="278"/>
    </row>
    <row r="166" spans="3:13" ht="17.25" customHeight="1" thickBot="1" x14ac:dyDescent="0.25">
      <c r="C166" s="206">
        <f t="shared" si="24"/>
        <v>73</v>
      </c>
      <c r="D166" s="206">
        <f t="shared" si="25"/>
        <v>0</v>
      </c>
      <c r="E166" s="206">
        <f t="shared" si="25"/>
        <v>73</v>
      </c>
      <c r="F166" s="206">
        <f t="shared" si="26"/>
        <v>15</v>
      </c>
      <c r="G166" s="206">
        <v>0</v>
      </c>
      <c r="H166" s="206">
        <v>15</v>
      </c>
      <c r="I166" s="206">
        <f t="shared" si="27"/>
        <v>58</v>
      </c>
      <c r="J166" s="206">
        <v>0</v>
      </c>
      <c r="K166" s="206">
        <f>148-90</f>
        <v>58</v>
      </c>
      <c r="L166" s="220" t="s">
        <v>57</v>
      </c>
      <c r="M166" s="278" t="s">
        <v>588</v>
      </c>
    </row>
    <row r="167" spans="3:13" ht="17.25" customHeight="1" thickBot="1" x14ac:dyDescent="0.25">
      <c r="C167" s="206">
        <f t="shared" si="24"/>
        <v>0</v>
      </c>
      <c r="D167" s="206">
        <f t="shared" si="25"/>
        <v>0</v>
      </c>
      <c r="E167" s="206">
        <f t="shared" si="25"/>
        <v>0</v>
      </c>
      <c r="F167" s="206">
        <f t="shared" si="26"/>
        <v>0</v>
      </c>
      <c r="G167" s="206">
        <v>0</v>
      </c>
      <c r="H167" s="206">
        <v>0</v>
      </c>
      <c r="I167" s="206">
        <f t="shared" si="27"/>
        <v>0</v>
      </c>
      <c r="J167" s="206">
        <v>0</v>
      </c>
      <c r="K167" s="206">
        <v>0</v>
      </c>
      <c r="L167" s="220" t="s">
        <v>59</v>
      </c>
      <c r="M167" s="279"/>
    </row>
    <row r="168" spans="3:13" ht="17.25" customHeight="1" thickBot="1" x14ac:dyDescent="0.25">
      <c r="C168" s="206">
        <f t="shared" si="24"/>
        <v>0</v>
      </c>
      <c r="D168" s="206">
        <f t="shared" si="25"/>
        <v>0</v>
      </c>
      <c r="E168" s="206">
        <f t="shared" si="25"/>
        <v>0</v>
      </c>
      <c r="F168" s="206">
        <f t="shared" si="26"/>
        <v>0</v>
      </c>
      <c r="G168" s="206">
        <v>0</v>
      </c>
      <c r="H168" s="206">
        <v>0</v>
      </c>
      <c r="I168" s="206">
        <f t="shared" si="27"/>
        <v>0</v>
      </c>
      <c r="J168" s="206">
        <v>0</v>
      </c>
      <c r="K168" s="206">
        <v>0</v>
      </c>
      <c r="L168" s="220" t="s">
        <v>56</v>
      </c>
      <c r="M168" s="278"/>
    </row>
    <row r="169" spans="3:13" ht="17.25" customHeight="1" thickBot="1" x14ac:dyDescent="0.25">
      <c r="C169" s="206">
        <f t="shared" si="24"/>
        <v>63</v>
      </c>
      <c r="D169" s="206">
        <f t="shared" si="25"/>
        <v>40</v>
      </c>
      <c r="E169" s="206">
        <f t="shared" si="25"/>
        <v>23</v>
      </c>
      <c r="F169" s="206">
        <f t="shared" si="26"/>
        <v>11</v>
      </c>
      <c r="G169" s="206">
        <v>5</v>
      </c>
      <c r="H169" s="206">
        <v>6</v>
      </c>
      <c r="I169" s="206">
        <f t="shared" si="27"/>
        <v>52</v>
      </c>
      <c r="J169" s="206">
        <v>35</v>
      </c>
      <c r="K169" s="206">
        <v>17</v>
      </c>
      <c r="L169" s="220" t="s">
        <v>57</v>
      </c>
      <c r="M169" s="278" t="s">
        <v>587</v>
      </c>
    </row>
    <row r="170" spans="3:13" ht="17.25" customHeight="1" thickBot="1" x14ac:dyDescent="0.25">
      <c r="C170" s="206">
        <f t="shared" si="24"/>
        <v>0</v>
      </c>
      <c r="D170" s="206">
        <f t="shared" si="25"/>
        <v>0</v>
      </c>
      <c r="E170" s="206">
        <f t="shared" si="25"/>
        <v>0</v>
      </c>
      <c r="F170" s="206">
        <f t="shared" si="26"/>
        <v>0</v>
      </c>
      <c r="G170" s="206">
        <v>0</v>
      </c>
      <c r="H170" s="206">
        <v>0</v>
      </c>
      <c r="I170" s="206">
        <f t="shared" si="27"/>
        <v>0</v>
      </c>
      <c r="J170" s="206">
        <v>0</v>
      </c>
      <c r="K170" s="206">
        <v>0</v>
      </c>
      <c r="L170" s="220" t="s">
        <v>59</v>
      </c>
      <c r="M170" s="279"/>
    </row>
    <row r="171" spans="3:13" ht="17.25" customHeight="1" thickBot="1" x14ac:dyDescent="0.25">
      <c r="C171" s="206">
        <f t="shared" si="24"/>
        <v>0</v>
      </c>
      <c r="D171" s="206">
        <f t="shared" si="25"/>
        <v>0</v>
      </c>
      <c r="E171" s="206">
        <f t="shared" si="25"/>
        <v>0</v>
      </c>
      <c r="F171" s="206">
        <f t="shared" si="26"/>
        <v>0</v>
      </c>
      <c r="G171" s="206">
        <v>0</v>
      </c>
      <c r="H171" s="206">
        <v>0</v>
      </c>
      <c r="I171" s="206">
        <f t="shared" si="27"/>
        <v>0</v>
      </c>
      <c r="J171" s="206">
        <v>0</v>
      </c>
      <c r="K171" s="206">
        <v>0</v>
      </c>
      <c r="L171" s="220" t="s">
        <v>56</v>
      </c>
      <c r="M171" s="278"/>
    </row>
    <row r="172" spans="3:13" ht="17.25" customHeight="1" thickBot="1" x14ac:dyDescent="0.25">
      <c r="C172" s="206">
        <f t="shared" si="24"/>
        <v>5</v>
      </c>
      <c r="D172" s="206">
        <f t="shared" si="25"/>
        <v>0</v>
      </c>
      <c r="E172" s="206">
        <f t="shared" si="25"/>
        <v>5</v>
      </c>
      <c r="F172" s="206">
        <f t="shared" si="26"/>
        <v>0</v>
      </c>
      <c r="G172" s="206">
        <v>0</v>
      </c>
      <c r="H172" s="206">
        <v>0</v>
      </c>
      <c r="I172" s="206">
        <f t="shared" si="27"/>
        <v>5</v>
      </c>
      <c r="J172" s="206">
        <v>0</v>
      </c>
      <c r="K172" s="206">
        <v>5</v>
      </c>
      <c r="L172" s="220" t="s">
        <v>57</v>
      </c>
      <c r="M172" s="278" t="s">
        <v>405</v>
      </c>
    </row>
    <row r="173" spans="3:13" ht="17.25" customHeight="1" thickBot="1" x14ac:dyDescent="0.25">
      <c r="C173" s="206">
        <f t="shared" si="24"/>
        <v>0</v>
      </c>
      <c r="D173" s="206">
        <f t="shared" si="25"/>
        <v>0</v>
      </c>
      <c r="E173" s="206">
        <f t="shared" si="25"/>
        <v>0</v>
      </c>
      <c r="F173" s="206">
        <f t="shared" si="26"/>
        <v>0</v>
      </c>
      <c r="G173" s="206">
        <v>0</v>
      </c>
      <c r="H173" s="206">
        <v>0</v>
      </c>
      <c r="I173" s="206">
        <f t="shared" si="27"/>
        <v>0</v>
      </c>
      <c r="J173" s="206">
        <v>0</v>
      </c>
      <c r="K173" s="206">
        <v>0</v>
      </c>
      <c r="L173" s="220" t="s">
        <v>59</v>
      </c>
      <c r="M173" s="279"/>
    </row>
    <row r="174" spans="3:13" ht="17.25" customHeight="1" thickBot="1" x14ac:dyDescent="0.25">
      <c r="C174" s="206">
        <f t="shared" si="24"/>
        <v>0</v>
      </c>
      <c r="D174" s="206">
        <f t="shared" si="25"/>
        <v>0</v>
      </c>
      <c r="E174" s="206">
        <f t="shared" si="25"/>
        <v>0</v>
      </c>
      <c r="F174" s="206">
        <f t="shared" si="26"/>
        <v>0</v>
      </c>
      <c r="G174" s="206">
        <v>0</v>
      </c>
      <c r="H174" s="206">
        <v>0</v>
      </c>
      <c r="I174" s="206">
        <f t="shared" si="27"/>
        <v>0</v>
      </c>
      <c r="J174" s="206">
        <v>0</v>
      </c>
      <c r="K174" s="206">
        <v>0</v>
      </c>
      <c r="L174" s="220" t="s">
        <v>56</v>
      </c>
      <c r="M174" s="278"/>
    </row>
    <row r="175" spans="3:13" ht="17.25" customHeight="1" thickBot="1" x14ac:dyDescent="0.25">
      <c r="C175" s="206">
        <f t="shared" si="24"/>
        <v>74</v>
      </c>
      <c r="D175" s="206">
        <f t="shared" si="25"/>
        <v>47</v>
      </c>
      <c r="E175" s="206">
        <f t="shared" si="25"/>
        <v>27</v>
      </c>
      <c r="F175" s="206">
        <f t="shared" si="26"/>
        <v>10</v>
      </c>
      <c r="G175" s="206">
        <v>6</v>
      </c>
      <c r="H175" s="206">
        <v>4</v>
      </c>
      <c r="I175" s="206">
        <f t="shared" si="27"/>
        <v>64</v>
      </c>
      <c r="J175" s="206">
        <v>41</v>
      </c>
      <c r="K175" s="206">
        <v>23</v>
      </c>
      <c r="L175" s="220" t="s">
        <v>57</v>
      </c>
      <c r="M175" s="278" t="s">
        <v>417</v>
      </c>
    </row>
    <row r="176" spans="3:13" ht="17.25" customHeight="1" thickBot="1" x14ac:dyDescent="0.25">
      <c r="C176" s="206">
        <f t="shared" si="24"/>
        <v>0</v>
      </c>
      <c r="D176" s="206">
        <f t="shared" si="25"/>
        <v>0</v>
      </c>
      <c r="E176" s="206">
        <f t="shared" si="25"/>
        <v>0</v>
      </c>
      <c r="F176" s="206">
        <f t="shared" si="26"/>
        <v>0</v>
      </c>
      <c r="G176" s="206">
        <v>0</v>
      </c>
      <c r="H176" s="206">
        <v>0</v>
      </c>
      <c r="I176" s="206">
        <f t="shared" si="27"/>
        <v>0</v>
      </c>
      <c r="J176" s="206">
        <v>0</v>
      </c>
      <c r="K176" s="206">
        <v>0</v>
      </c>
      <c r="L176" s="220" t="s">
        <v>59</v>
      </c>
      <c r="M176" s="279"/>
    </row>
    <row r="177" spans="3:13" ht="17.25" customHeight="1" thickBot="1" x14ac:dyDescent="0.25">
      <c r="C177" s="206">
        <f t="shared" si="24"/>
        <v>0</v>
      </c>
      <c r="D177" s="206">
        <f t="shared" si="25"/>
        <v>0</v>
      </c>
      <c r="E177" s="206">
        <f t="shared" si="25"/>
        <v>0</v>
      </c>
      <c r="F177" s="206">
        <f t="shared" si="26"/>
        <v>0</v>
      </c>
      <c r="G177" s="206">
        <v>0</v>
      </c>
      <c r="H177" s="206">
        <v>0</v>
      </c>
      <c r="I177" s="206">
        <f t="shared" si="27"/>
        <v>0</v>
      </c>
      <c r="J177" s="206">
        <v>0</v>
      </c>
      <c r="K177" s="206">
        <v>0</v>
      </c>
      <c r="L177" s="220" t="s">
        <v>56</v>
      </c>
      <c r="M177" s="278"/>
    </row>
    <row r="178" spans="3:13" ht="17.25" customHeight="1" thickBot="1" x14ac:dyDescent="0.25">
      <c r="C178" s="206">
        <f t="shared" si="24"/>
        <v>10</v>
      </c>
      <c r="D178" s="206">
        <f t="shared" si="25"/>
        <v>9</v>
      </c>
      <c r="E178" s="206">
        <f t="shared" si="25"/>
        <v>1</v>
      </c>
      <c r="F178" s="206">
        <f t="shared" si="26"/>
        <v>1</v>
      </c>
      <c r="G178" s="206">
        <v>1</v>
      </c>
      <c r="H178" s="206">
        <v>0</v>
      </c>
      <c r="I178" s="206">
        <f t="shared" si="27"/>
        <v>9</v>
      </c>
      <c r="J178" s="206">
        <v>8</v>
      </c>
      <c r="K178" s="206">
        <v>1</v>
      </c>
      <c r="L178" s="220" t="s">
        <v>57</v>
      </c>
      <c r="M178" s="278" t="s">
        <v>406</v>
      </c>
    </row>
    <row r="179" spans="3:13" ht="17.25" customHeight="1" thickBot="1" x14ac:dyDescent="0.25">
      <c r="C179" s="206">
        <f t="shared" si="24"/>
        <v>0</v>
      </c>
      <c r="D179" s="206">
        <f t="shared" si="25"/>
        <v>0</v>
      </c>
      <c r="E179" s="206">
        <f t="shared" si="25"/>
        <v>0</v>
      </c>
      <c r="F179" s="206">
        <f t="shared" si="26"/>
        <v>0</v>
      </c>
      <c r="G179" s="206">
        <v>0</v>
      </c>
      <c r="H179" s="206">
        <v>0</v>
      </c>
      <c r="I179" s="206">
        <f t="shared" si="27"/>
        <v>0</v>
      </c>
      <c r="J179" s="206">
        <v>0</v>
      </c>
      <c r="K179" s="206">
        <v>0</v>
      </c>
      <c r="L179" s="220" t="s">
        <v>59</v>
      </c>
      <c r="M179" s="279"/>
    </row>
    <row r="180" spans="3:13" ht="17.25" customHeight="1" thickBot="1" x14ac:dyDescent="0.25">
      <c r="C180" s="206">
        <f t="shared" si="24"/>
        <v>0</v>
      </c>
      <c r="D180" s="206">
        <f t="shared" si="25"/>
        <v>0</v>
      </c>
      <c r="E180" s="206">
        <f t="shared" si="25"/>
        <v>0</v>
      </c>
      <c r="F180" s="206">
        <f t="shared" si="26"/>
        <v>0</v>
      </c>
      <c r="G180" s="206">
        <v>0</v>
      </c>
      <c r="H180" s="206">
        <v>0</v>
      </c>
      <c r="I180" s="206">
        <f t="shared" si="27"/>
        <v>0</v>
      </c>
      <c r="J180" s="206">
        <v>0</v>
      </c>
      <c r="K180" s="206">
        <v>0</v>
      </c>
      <c r="L180" s="220" t="s">
        <v>56</v>
      </c>
      <c r="M180" s="278"/>
    </row>
    <row r="181" spans="3:13" ht="17.25" customHeight="1" thickBot="1" x14ac:dyDescent="0.25">
      <c r="C181" s="206">
        <f t="shared" si="24"/>
        <v>17</v>
      </c>
      <c r="D181" s="206">
        <f t="shared" si="25"/>
        <v>0</v>
      </c>
      <c r="E181" s="206">
        <f t="shared" si="25"/>
        <v>17</v>
      </c>
      <c r="F181" s="206">
        <f t="shared" si="26"/>
        <v>10</v>
      </c>
      <c r="G181" s="206">
        <v>0</v>
      </c>
      <c r="H181" s="206">
        <v>10</v>
      </c>
      <c r="I181" s="206">
        <f t="shared" si="27"/>
        <v>7</v>
      </c>
      <c r="J181" s="206">
        <v>0</v>
      </c>
      <c r="K181" s="206">
        <v>7</v>
      </c>
      <c r="L181" s="220" t="s">
        <v>57</v>
      </c>
      <c r="M181" s="278" t="s">
        <v>590</v>
      </c>
    </row>
    <row r="182" spans="3:13" ht="17.25" customHeight="1" thickBot="1" x14ac:dyDescent="0.25">
      <c r="C182" s="206">
        <f t="shared" si="24"/>
        <v>0</v>
      </c>
      <c r="D182" s="206">
        <f t="shared" si="25"/>
        <v>0</v>
      </c>
      <c r="E182" s="206">
        <f t="shared" si="25"/>
        <v>0</v>
      </c>
      <c r="F182" s="206">
        <f t="shared" si="26"/>
        <v>0</v>
      </c>
      <c r="G182" s="206">
        <v>0</v>
      </c>
      <c r="H182" s="206">
        <v>0</v>
      </c>
      <c r="I182" s="206">
        <f t="shared" si="27"/>
        <v>0</v>
      </c>
      <c r="J182" s="206">
        <v>0</v>
      </c>
      <c r="K182" s="206">
        <v>0</v>
      </c>
      <c r="L182" s="220" t="s">
        <v>59</v>
      </c>
      <c r="M182" s="279"/>
    </row>
    <row r="183" spans="3:13" ht="17.25" customHeight="1" thickBot="1" x14ac:dyDescent="0.25">
      <c r="C183" s="206">
        <f t="shared" si="24"/>
        <v>12</v>
      </c>
      <c r="D183" s="206">
        <f t="shared" si="25"/>
        <v>0</v>
      </c>
      <c r="E183" s="206">
        <f t="shared" si="25"/>
        <v>12</v>
      </c>
      <c r="F183" s="206">
        <f t="shared" si="26"/>
        <v>3</v>
      </c>
      <c r="G183" s="206">
        <v>0</v>
      </c>
      <c r="H183" s="206">
        <v>3</v>
      </c>
      <c r="I183" s="206">
        <f t="shared" si="27"/>
        <v>9</v>
      </c>
      <c r="J183" s="206">
        <v>0</v>
      </c>
      <c r="K183" s="206">
        <v>9</v>
      </c>
      <c r="L183" s="220" t="s">
        <v>56</v>
      </c>
      <c r="M183" s="278"/>
    </row>
    <row r="184" spans="3:13" ht="17.25" customHeight="1" thickBot="1" x14ac:dyDescent="0.25">
      <c r="C184" s="206">
        <f t="shared" si="24"/>
        <v>26</v>
      </c>
      <c r="D184" s="206">
        <f t="shared" si="25"/>
        <v>0</v>
      </c>
      <c r="E184" s="206">
        <f t="shared" si="25"/>
        <v>26</v>
      </c>
      <c r="F184" s="206">
        <f t="shared" si="26"/>
        <v>0</v>
      </c>
      <c r="G184" s="206">
        <v>0</v>
      </c>
      <c r="H184" s="206">
        <v>0</v>
      </c>
      <c r="I184" s="206">
        <f t="shared" si="27"/>
        <v>26</v>
      </c>
      <c r="J184" s="206">
        <v>0</v>
      </c>
      <c r="K184" s="206">
        <v>26</v>
      </c>
      <c r="L184" s="220" t="s">
        <v>57</v>
      </c>
      <c r="M184" s="278" t="s">
        <v>407</v>
      </c>
    </row>
    <row r="185" spans="3:13" ht="17.25" customHeight="1" thickBot="1" x14ac:dyDescent="0.25">
      <c r="C185" s="206">
        <f t="shared" si="24"/>
        <v>0</v>
      </c>
      <c r="D185" s="206">
        <f t="shared" si="25"/>
        <v>0</v>
      </c>
      <c r="E185" s="206">
        <f t="shared" si="25"/>
        <v>0</v>
      </c>
      <c r="F185" s="206">
        <f t="shared" si="26"/>
        <v>0</v>
      </c>
      <c r="G185" s="206">
        <v>0</v>
      </c>
      <c r="H185" s="206">
        <v>0</v>
      </c>
      <c r="I185" s="206">
        <f t="shared" si="27"/>
        <v>0</v>
      </c>
      <c r="J185" s="206">
        <v>0</v>
      </c>
      <c r="K185" s="206">
        <v>0</v>
      </c>
      <c r="L185" s="220" t="s">
        <v>59</v>
      </c>
      <c r="M185" s="279"/>
    </row>
    <row r="186" spans="3:13" ht="17.25" customHeight="1" thickBot="1" x14ac:dyDescent="0.25">
      <c r="C186" s="206">
        <f t="shared" si="24"/>
        <v>0</v>
      </c>
      <c r="D186" s="206">
        <f t="shared" si="25"/>
        <v>0</v>
      </c>
      <c r="E186" s="206">
        <f t="shared" si="25"/>
        <v>0</v>
      </c>
      <c r="F186" s="206">
        <f t="shared" si="26"/>
        <v>0</v>
      </c>
      <c r="G186" s="206">
        <v>0</v>
      </c>
      <c r="H186" s="206">
        <v>0</v>
      </c>
      <c r="I186" s="206">
        <f t="shared" si="27"/>
        <v>0</v>
      </c>
      <c r="J186" s="206">
        <v>0</v>
      </c>
      <c r="K186" s="206">
        <v>0</v>
      </c>
      <c r="L186" s="220" t="s">
        <v>56</v>
      </c>
      <c r="M186" s="278"/>
    </row>
    <row r="187" spans="3:13" ht="17.25" customHeight="1" thickBot="1" x14ac:dyDescent="0.25">
      <c r="C187" s="206">
        <f t="shared" si="24"/>
        <v>70</v>
      </c>
      <c r="D187" s="206">
        <f t="shared" si="25"/>
        <v>70</v>
      </c>
      <c r="E187" s="206">
        <f t="shared" si="25"/>
        <v>0</v>
      </c>
      <c r="F187" s="206">
        <f t="shared" si="26"/>
        <v>6</v>
      </c>
      <c r="G187" s="206">
        <v>6</v>
      </c>
      <c r="H187" s="206">
        <v>0</v>
      </c>
      <c r="I187" s="206">
        <f t="shared" si="27"/>
        <v>64</v>
      </c>
      <c r="J187" s="206">
        <v>64</v>
      </c>
      <c r="K187" s="206">
        <v>0</v>
      </c>
      <c r="L187" s="220" t="s">
        <v>57</v>
      </c>
      <c r="M187" s="278" t="s">
        <v>408</v>
      </c>
    </row>
    <row r="188" spans="3:13" ht="17.25" customHeight="1" thickBot="1" x14ac:dyDescent="0.25">
      <c r="C188" s="206">
        <f t="shared" si="24"/>
        <v>0</v>
      </c>
      <c r="D188" s="206">
        <f t="shared" si="25"/>
        <v>0</v>
      </c>
      <c r="E188" s="206">
        <f t="shared" si="25"/>
        <v>0</v>
      </c>
      <c r="F188" s="206">
        <f t="shared" si="26"/>
        <v>0</v>
      </c>
      <c r="G188" s="206">
        <v>0</v>
      </c>
      <c r="H188" s="206">
        <v>0</v>
      </c>
      <c r="I188" s="206">
        <f t="shared" si="27"/>
        <v>0</v>
      </c>
      <c r="J188" s="206">
        <v>0</v>
      </c>
      <c r="K188" s="206">
        <v>0</v>
      </c>
      <c r="L188" s="220" t="s">
        <v>59</v>
      </c>
      <c r="M188" s="279"/>
    </row>
    <row r="189" spans="3:13" ht="17.25" customHeight="1" thickBot="1" x14ac:dyDescent="0.25">
      <c r="C189" s="206">
        <f t="shared" si="24"/>
        <v>42</v>
      </c>
      <c r="D189" s="206">
        <f t="shared" si="25"/>
        <v>42</v>
      </c>
      <c r="E189" s="206">
        <f t="shared" si="25"/>
        <v>0</v>
      </c>
      <c r="F189" s="206">
        <f t="shared" si="26"/>
        <v>0</v>
      </c>
      <c r="G189" s="206">
        <v>0</v>
      </c>
      <c r="H189" s="206">
        <v>0</v>
      </c>
      <c r="I189" s="206">
        <f t="shared" si="27"/>
        <v>42</v>
      </c>
      <c r="J189" s="206">
        <v>42</v>
      </c>
      <c r="K189" s="206">
        <v>0</v>
      </c>
      <c r="L189" s="220" t="s">
        <v>56</v>
      </c>
      <c r="M189" s="278"/>
    </row>
    <row r="190" spans="3:13" ht="17.25" customHeight="1" thickBot="1" x14ac:dyDescent="0.25">
      <c r="C190" s="206">
        <f t="shared" si="24"/>
        <v>55</v>
      </c>
      <c r="D190" s="206">
        <f t="shared" si="25"/>
        <v>55</v>
      </c>
      <c r="E190" s="206">
        <f t="shared" si="25"/>
        <v>0</v>
      </c>
      <c r="F190" s="206">
        <f t="shared" si="26"/>
        <v>0</v>
      </c>
      <c r="G190" s="206">
        <v>0</v>
      </c>
      <c r="H190" s="206">
        <v>0</v>
      </c>
      <c r="I190" s="206">
        <f t="shared" si="27"/>
        <v>55</v>
      </c>
      <c r="J190" s="206">
        <v>55</v>
      </c>
      <c r="K190" s="206">
        <v>0</v>
      </c>
      <c r="L190" s="220" t="s">
        <v>57</v>
      </c>
      <c r="M190" s="278" t="s">
        <v>410</v>
      </c>
    </row>
    <row r="191" spans="3:13" ht="17.25" customHeight="1" thickBot="1" x14ac:dyDescent="0.25">
      <c r="C191" s="206">
        <f t="shared" si="24"/>
        <v>0</v>
      </c>
      <c r="D191" s="206">
        <f t="shared" si="25"/>
        <v>0</v>
      </c>
      <c r="E191" s="206">
        <f t="shared" si="25"/>
        <v>0</v>
      </c>
      <c r="F191" s="206">
        <f t="shared" si="26"/>
        <v>0</v>
      </c>
      <c r="G191" s="206">
        <v>0</v>
      </c>
      <c r="H191" s="206">
        <v>0</v>
      </c>
      <c r="I191" s="206">
        <f t="shared" si="27"/>
        <v>0</v>
      </c>
      <c r="J191" s="206">
        <v>0</v>
      </c>
      <c r="K191" s="206">
        <v>0</v>
      </c>
      <c r="L191" s="220" t="s">
        <v>59</v>
      </c>
      <c r="M191" s="279"/>
    </row>
    <row r="192" spans="3:13" ht="17.25" customHeight="1" thickBot="1" x14ac:dyDescent="0.25">
      <c r="C192" s="206">
        <f t="shared" si="24"/>
        <v>0</v>
      </c>
      <c r="D192" s="206">
        <f t="shared" si="25"/>
        <v>0</v>
      </c>
      <c r="E192" s="206">
        <f t="shared" si="25"/>
        <v>0</v>
      </c>
      <c r="F192" s="206">
        <f t="shared" si="26"/>
        <v>0</v>
      </c>
      <c r="G192" s="206">
        <v>0</v>
      </c>
      <c r="H192" s="206">
        <v>0</v>
      </c>
      <c r="I192" s="206">
        <f t="shared" si="27"/>
        <v>0</v>
      </c>
      <c r="J192" s="206">
        <v>0</v>
      </c>
      <c r="K192" s="206">
        <v>0</v>
      </c>
      <c r="L192" s="220" t="s">
        <v>56</v>
      </c>
      <c r="M192" s="278"/>
    </row>
    <row r="193" spans="3:13" ht="17.25" customHeight="1" thickBot="1" x14ac:dyDescent="0.25">
      <c r="C193" s="206">
        <f t="shared" si="24"/>
        <v>5</v>
      </c>
      <c r="D193" s="206">
        <f t="shared" si="25"/>
        <v>5</v>
      </c>
      <c r="E193" s="206">
        <f t="shared" si="25"/>
        <v>0</v>
      </c>
      <c r="F193" s="206">
        <f t="shared" si="26"/>
        <v>0</v>
      </c>
      <c r="G193" s="206">
        <v>0</v>
      </c>
      <c r="H193" s="206">
        <v>0</v>
      </c>
      <c r="I193" s="206">
        <f t="shared" si="27"/>
        <v>5</v>
      </c>
      <c r="J193" s="206">
        <v>5</v>
      </c>
      <c r="K193" s="206">
        <v>0</v>
      </c>
      <c r="L193" s="220" t="s">
        <v>57</v>
      </c>
      <c r="M193" s="278" t="s">
        <v>676</v>
      </c>
    </row>
    <row r="194" spans="3:13" ht="17.25" customHeight="1" thickBot="1" x14ac:dyDescent="0.25">
      <c r="C194" s="206">
        <f t="shared" si="24"/>
        <v>0</v>
      </c>
      <c r="D194" s="206">
        <f t="shared" si="25"/>
        <v>0</v>
      </c>
      <c r="E194" s="206">
        <f t="shared" si="25"/>
        <v>0</v>
      </c>
      <c r="F194" s="206">
        <f t="shared" si="26"/>
        <v>0</v>
      </c>
      <c r="G194" s="206">
        <v>0</v>
      </c>
      <c r="H194" s="206">
        <v>0</v>
      </c>
      <c r="I194" s="206">
        <f t="shared" si="27"/>
        <v>0</v>
      </c>
      <c r="J194" s="206">
        <v>0</v>
      </c>
      <c r="K194" s="206">
        <v>0</v>
      </c>
      <c r="L194" s="220" t="s">
        <v>59</v>
      </c>
      <c r="M194" s="279"/>
    </row>
    <row r="195" spans="3:13" ht="17.25" customHeight="1" thickBot="1" x14ac:dyDescent="0.25">
      <c r="C195" s="206">
        <f t="shared" si="24"/>
        <v>0</v>
      </c>
      <c r="D195" s="206">
        <f t="shared" si="25"/>
        <v>0</v>
      </c>
      <c r="E195" s="206">
        <f t="shared" si="25"/>
        <v>0</v>
      </c>
      <c r="F195" s="206">
        <f t="shared" si="26"/>
        <v>0</v>
      </c>
      <c r="G195" s="206">
        <v>0</v>
      </c>
      <c r="H195" s="206">
        <v>0</v>
      </c>
      <c r="I195" s="206">
        <f t="shared" si="27"/>
        <v>0</v>
      </c>
      <c r="J195" s="206">
        <v>0</v>
      </c>
      <c r="K195" s="206">
        <v>0</v>
      </c>
      <c r="L195" s="220" t="s">
        <v>56</v>
      </c>
      <c r="M195" s="278"/>
    </row>
    <row r="196" spans="3:13" ht="17.25" customHeight="1" thickBot="1" x14ac:dyDescent="0.25">
      <c r="C196" s="206">
        <f t="shared" si="24"/>
        <v>0</v>
      </c>
      <c r="D196" s="206">
        <f t="shared" si="25"/>
        <v>0</v>
      </c>
      <c r="E196" s="206">
        <f t="shared" si="25"/>
        <v>0</v>
      </c>
      <c r="F196" s="206">
        <f t="shared" si="26"/>
        <v>0</v>
      </c>
      <c r="G196" s="206">
        <v>0</v>
      </c>
      <c r="H196" s="206">
        <v>0</v>
      </c>
      <c r="I196" s="206">
        <f t="shared" si="27"/>
        <v>0</v>
      </c>
      <c r="J196" s="206">
        <v>0</v>
      </c>
      <c r="K196" s="206">
        <v>0</v>
      </c>
      <c r="L196" s="220" t="s">
        <v>57</v>
      </c>
      <c r="M196" s="278" t="s">
        <v>594</v>
      </c>
    </row>
    <row r="197" spans="3:13" ht="17.25" customHeight="1" thickBot="1" x14ac:dyDescent="0.25">
      <c r="C197" s="206">
        <f t="shared" si="24"/>
        <v>654</v>
      </c>
      <c r="D197" s="206">
        <f t="shared" si="25"/>
        <v>269</v>
      </c>
      <c r="E197" s="206">
        <f t="shared" si="25"/>
        <v>385</v>
      </c>
      <c r="F197" s="206">
        <f t="shared" si="26"/>
        <v>10</v>
      </c>
      <c r="G197" s="206">
        <v>7</v>
      </c>
      <c r="H197" s="206">
        <v>3</v>
      </c>
      <c r="I197" s="206">
        <f t="shared" si="27"/>
        <v>644</v>
      </c>
      <c r="J197" s="206">
        <f>362-100</f>
        <v>262</v>
      </c>
      <c r="K197" s="206">
        <f>482-100</f>
        <v>382</v>
      </c>
      <c r="L197" s="220" t="s">
        <v>59</v>
      </c>
      <c r="M197" s="279"/>
    </row>
    <row r="198" spans="3:13" ht="17.25" customHeight="1" thickBot="1" x14ac:dyDescent="0.25">
      <c r="C198" s="206">
        <f t="shared" si="24"/>
        <v>3</v>
      </c>
      <c r="D198" s="206">
        <f t="shared" si="25"/>
        <v>0</v>
      </c>
      <c r="E198" s="206">
        <f t="shared" si="25"/>
        <v>3</v>
      </c>
      <c r="F198" s="206">
        <f t="shared" si="26"/>
        <v>0</v>
      </c>
      <c r="G198" s="206">
        <v>0</v>
      </c>
      <c r="H198" s="206">
        <v>0</v>
      </c>
      <c r="I198" s="206">
        <f t="shared" si="27"/>
        <v>3</v>
      </c>
      <c r="J198" s="206">
        <v>0</v>
      </c>
      <c r="K198" s="206">
        <v>3</v>
      </c>
      <c r="L198" s="220" t="s">
        <v>56</v>
      </c>
      <c r="M198" s="278"/>
    </row>
    <row r="199" spans="3:13" ht="17.25" customHeight="1" thickBot="1" x14ac:dyDescent="0.25">
      <c r="C199" s="206">
        <f t="shared" si="24"/>
        <v>9</v>
      </c>
      <c r="D199" s="206">
        <f t="shared" si="25"/>
        <v>0</v>
      </c>
      <c r="E199" s="206">
        <f t="shared" si="25"/>
        <v>9</v>
      </c>
      <c r="F199" s="206">
        <f t="shared" si="26"/>
        <v>2</v>
      </c>
      <c r="G199" s="206">
        <v>0</v>
      </c>
      <c r="H199" s="206">
        <v>2</v>
      </c>
      <c r="I199" s="206">
        <f t="shared" si="27"/>
        <v>7</v>
      </c>
      <c r="J199" s="206">
        <v>0</v>
      </c>
      <c r="K199" s="206">
        <v>7</v>
      </c>
      <c r="L199" s="220" t="s">
        <v>57</v>
      </c>
      <c r="M199" s="278" t="s">
        <v>677</v>
      </c>
    </row>
    <row r="200" spans="3:13" ht="17.25" customHeight="1" thickBot="1" x14ac:dyDescent="0.25">
      <c r="C200" s="206">
        <f t="shared" si="24"/>
        <v>0</v>
      </c>
      <c r="D200" s="206">
        <f t="shared" si="25"/>
        <v>0</v>
      </c>
      <c r="E200" s="206">
        <f t="shared" si="25"/>
        <v>0</v>
      </c>
      <c r="F200" s="206">
        <f t="shared" si="26"/>
        <v>0</v>
      </c>
      <c r="G200" s="206">
        <v>0</v>
      </c>
      <c r="H200" s="206">
        <v>0</v>
      </c>
      <c r="I200" s="206">
        <f t="shared" si="27"/>
        <v>0</v>
      </c>
      <c r="J200" s="206">
        <v>0</v>
      </c>
      <c r="K200" s="206">
        <v>0</v>
      </c>
      <c r="L200" s="220" t="s">
        <v>59</v>
      </c>
      <c r="M200" s="279"/>
    </row>
    <row r="201" spans="3:13" ht="17.25" customHeight="1" thickBot="1" x14ac:dyDescent="0.25">
      <c r="C201" s="206">
        <f t="shared" ref="C201:K203" si="28">C156+C159+C162+C165+C168+C171+C174+C177+C180+C183+C186+C189+C192+C195+C198</f>
        <v>139</v>
      </c>
      <c r="D201" s="206">
        <f t="shared" si="28"/>
        <v>66</v>
      </c>
      <c r="E201" s="206">
        <f t="shared" si="28"/>
        <v>73</v>
      </c>
      <c r="F201" s="206">
        <f t="shared" si="28"/>
        <v>10</v>
      </c>
      <c r="G201" s="206">
        <f t="shared" si="28"/>
        <v>0</v>
      </c>
      <c r="H201" s="206">
        <f t="shared" si="28"/>
        <v>10</v>
      </c>
      <c r="I201" s="206">
        <f t="shared" si="28"/>
        <v>129</v>
      </c>
      <c r="J201" s="206">
        <f t="shared" si="28"/>
        <v>66</v>
      </c>
      <c r="K201" s="206">
        <f>K156+K159+K162+K165+K168+K171+K174+K177+K180+K183+K186+K189+K192+K195+K198</f>
        <v>63</v>
      </c>
      <c r="L201" s="220" t="s">
        <v>243</v>
      </c>
      <c r="M201" s="280"/>
    </row>
    <row r="202" spans="3:13" ht="17.25" customHeight="1" thickBot="1" x14ac:dyDescent="0.25">
      <c r="C202" s="206">
        <f t="shared" si="28"/>
        <v>1353</v>
      </c>
      <c r="D202" s="206">
        <f t="shared" si="28"/>
        <v>708</v>
      </c>
      <c r="E202" s="206">
        <f t="shared" si="28"/>
        <v>645</v>
      </c>
      <c r="F202" s="206">
        <f t="shared" si="28"/>
        <v>153</v>
      </c>
      <c r="G202" s="206">
        <f t="shared" si="28"/>
        <v>65</v>
      </c>
      <c r="H202" s="206">
        <f t="shared" si="28"/>
        <v>88</v>
      </c>
      <c r="I202" s="206">
        <f t="shared" si="28"/>
        <v>1200</v>
      </c>
      <c r="J202" s="206">
        <f t="shared" si="28"/>
        <v>643</v>
      </c>
      <c r="K202" s="206">
        <f t="shared" si="28"/>
        <v>557</v>
      </c>
      <c r="L202" s="220" t="s">
        <v>57</v>
      </c>
      <c r="M202" s="281" t="s">
        <v>244</v>
      </c>
    </row>
    <row r="203" spans="3:13" ht="17.25" customHeight="1" thickBot="1" x14ac:dyDescent="0.25">
      <c r="C203" s="206">
        <f t="shared" si="28"/>
        <v>654</v>
      </c>
      <c r="D203" s="206">
        <f t="shared" si="28"/>
        <v>269</v>
      </c>
      <c r="E203" s="206">
        <f t="shared" si="28"/>
        <v>385</v>
      </c>
      <c r="F203" s="206">
        <f t="shared" si="28"/>
        <v>10</v>
      </c>
      <c r="G203" s="206">
        <f t="shared" si="28"/>
        <v>7</v>
      </c>
      <c r="H203" s="206">
        <f t="shared" si="28"/>
        <v>3</v>
      </c>
      <c r="I203" s="206">
        <f t="shared" si="28"/>
        <v>644</v>
      </c>
      <c r="J203" s="206">
        <f t="shared" si="28"/>
        <v>262</v>
      </c>
      <c r="K203" s="206">
        <f t="shared" si="28"/>
        <v>382</v>
      </c>
      <c r="L203" s="220" t="s">
        <v>59</v>
      </c>
      <c r="M203" s="282"/>
    </row>
    <row r="204" spans="3:13" ht="17.25" customHeight="1" thickBot="1" x14ac:dyDescent="0.25">
      <c r="C204" s="206">
        <f t="shared" ref="C204:J204" si="29">SUM(C201:C203)</f>
        <v>2146</v>
      </c>
      <c r="D204" s="206">
        <f t="shared" si="29"/>
        <v>1043</v>
      </c>
      <c r="E204" s="206">
        <f t="shared" si="29"/>
        <v>1103</v>
      </c>
      <c r="F204" s="206">
        <f t="shared" si="29"/>
        <v>173</v>
      </c>
      <c r="G204" s="206">
        <f t="shared" si="29"/>
        <v>72</v>
      </c>
      <c r="H204" s="206">
        <f t="shared" si="29"/>
        <v>101</v>
      </c>
      <c r="I204" s="206">
        <f t="shared" si="29"/>
        <v>1973</v>
      </c>
      <c r="J204" s="206">
        <f t="shared" si="29"/>
        <v>971</v>
      </c>
      <c r="K204" s="206">
        <f>SUM(K201:K203)</f>
        <v>1002</v>
      </c>
      <c r="L204" s="554" t="s">
        <v>245</v>
      </c>
      <c r="M204" s="554"/>
    </row>
    <row r="205" spans="3:13" ht="17.25" customHeight="1" thickBot="1" x14ac:dyDescent="0.25">
      <c r="C205" s="476" t="s">
        <v>4</v>
      </c>
      <c r="D205" s="476"/>
      <c r="E205" s="476"/>
      <c r="F205" s="476" t="s">
        <v>145</v>
      </c>
      <c r="G205" s="476"/>
      <c r="H205" s="476"/>
      <c r="I205" s="476" t="s">
        <v>146</v>
      </c>
      <c r="J205" s="476"/>
      <c r="K205" s="476"/>
      <c r="L205" s="479" t="s">
        <v>66</v>
      </c>
      <c r="M205" s="479"/>
    </row>
    <row r="206" spans="3:13" ht="17.25" customHeight="1" thickBot="1" x14ac:dyDescent="0.25">
      <c r="C206" s="185" t="s">
        <v>227</v>
      </c>
      <c r="D206" s="185" t="s">
        <v>10</v>
      </c>
      <c r="E206" s="185" t="s">
        <v>9</v>
      </c>
      <c r="F206" s="185" t="s">
        <v>227</v>
      </c>
      <c r="G206" s="185" t="s">
        <v>10</v>
      </c>
      <c r="H206" s="185" t="s">
        <v>9</v>
      </c>
      <c r="I206" s="185" t="s">
        <v>227</v>
      </c>
      <c r="J206" s="185" t="s">
        <v>10</v>
      </c>
      <c r="K206" s="185" t="s">
        <v>9</v>
      </c>
      <c r="L206" s="480" t="s">
        <v>90</v>
      </c>
      <c r="M206" s="480"/>
    </row>
    <row r="207" spans="3:13" ht="17.25" customHeight="1" thickBot="1" x14ac:dyDescent="0.25">
      <c r="C207" s="47">
        <f>SUM(D207:E207)</f>
        <v>55</v>
      </c>
      <c r="D207" s="47">
        <f>J207+G207</f>
        <v>0</v>
      </c>
      <c r="E207" s="47">
        <f>K207+H207</f>
        <v>55</v>
      </c>
      <c r="F207" s="47">
        <f>SUM(G207:H207)</f>
        <v>43</v>
      </c>
      <c r="G207" s="47">
        <v>0</v>
      </c>
      <c r="H207" s="47">
        <v>43</v>
      </c>
      <c r="I207" s="47">
        <f>SUM(J207:K207)</f>
        <v>12</v>
      </c>
      <c r="J207" s="47">
        <v>0</v>
      </c>
      <c r="K207" s="47">
        <v>12</v>
      </c>
      <c r="L207" s="188" t="s">
        <v>56</v>
      </c>
      <c r="M207" s="134"/>
    </row>
    <row r="208" spans="3:13" ht="17.25" customHeight="1" thickBot="1" x14ac:dyDescent="0.25">
      <c r="C208" s="47">
        <f t="shared" ref="C208:C221" si="30">SUM(D208:E208)</f>
        <v>237</v>
      </c>
      <c r="D208" s="47">
        <f t="shared" ref="D208:E221" si="31">J208+G208</f>
        <v>0</v>
      </c>
      <c r="E208" s="47">
        <f t="shared" si="31"/>
        <v>237</v>
      </c>
      <c r="F208" s="47">
        <f t="shared" ref="F208:F221" si="32">SUM(G208:H208)</f>
        <v>117</v>
      </c>
      <c r="G208" s="47">
        <v>0</v>
      </c>
      <c r="H208" s="47">
        <v>117</v>
      </c>
      <c r="I208" s="47">
        <f t="shared" ref="I208:I221" si="33">SUM(J208:K208)</f>
        <v>120</v>
      </c>
      <c r="J208" s="47">
        <v>0</v>
      </c>
      <c r="K208" s="47">
        <v>120</v>
      </c>
      <c r="L208" s="188" t="s">
        <v>57</v>
      </c>
      <c r="M208" s="134" t="s">
        <v>420</v>
      </c>
    </row>
    <row r="209" spans="3:13" ht="17.25" customHeight="1" thickBot="1" x14ac:dyDescent="0.25">
      <c r="C209" s="47">
        <f t="shared" si="30"/>
        <v>0</v>
      </c>
      <c r="D209" s="47">
        <f t="shared" si="31"/>
        <v>0</v>
      </c>
      <c r="E209" s="47">
        <f t="shared" si="31"/>
        <v>0</v>
      </c>
      <c r="F209" s="47">
        <f t="shared" si="32"/>
        <v>0</v>
      </c>
      <c r="G209" s="47">
        <v>0</v>
      </c>
      <c r="H209" s="47">
        <v>0</v>
      </c>
      <c r="I209" s="47">
        <f t="shared" si="33"/>
        <v>0</v>
      </c>
      <c r="J209" s="47">
        <v>0</v>
      </c>
      <c r="K209" s="47">
        <v>0</v>
      </c>
      <c r="L209" s="188" t="s">
        <v>59</v>
      </c>
      <c r="M209" s="135"/>
    </row>
    <row r="210" spans="3:13" ht="17.25" customHeight="1" thickBot="1" x14ac:dyDescent="0.25">
      <c r="C210" s="47">
        <f t="shared" si="30"/>
        <v>0</v>
      </c>
      <c r="D210" s="47">
        <f t="shared" si="31"/>
        <v>0</v>
      </c>
      <c r="E210" s="47">
        <f t="shared" si="31"/>
        <v>0</v>
      </c>
      <c r="F210" s="47">
        <f t="shared" si="32"/>
        <v>0</v>
      </c>
      <c r="G210" s="47">
        <v>0</v>
      </c>
      <c r="H210" s="47">
        <v>0</v>
      </c>
      <c r="I210" s="47">
        <f t="shared" si="33"/>
        <v>0</v>
      </c>
      <c r="J210" s="47">
        <v>0</v>
      </c>
      <c r="K210" s="47">
        <v>0</v>
      </c>
      <c r="L210" s="188" t="s">
        <v>56</v>
      </c>
      <c r="M210" s="134"/>
    </row>
    <row r="211" spans="3:13" ht="17.25" customHeight="1" thickBot="1" x14ac:dyDescent="0.25">
      <c r="C211" s="47">
        <f t="shared" si="30"/>
        <v>161</v>
      </c>
      <c r="D211" s="47">
        <f t="shared" si="31"/>
        <v>0</v>
      </c>
      <c r="E211" s="47">
        <f t="shared" si="31"/>
        <v>161</v>
      </c>
      <c r="F211" s="47">
        <f t="shared" si="32"/>
        <v>36</v>
      </c>
      <c r="G211" s="47">
        <v>0</v>
      </c>
      <c r="H211" s="47">
        <v>36</v>
      </c>
      <c r="I211" s="47">
        <f t="shared" si="33"/>
        <v>125</v>
      </c>
      <c r="J211" s="47">
        <v>0</v>
      </c>
      <c r="K211" s="47">
        <v>125</v>
      </c>
      <c r="L211" s="188" t="s">
        <v>57</v>
      </c>
      <c r="M211" s="134" t="s">
        <v>648</v>
      </c>
    </row>
    <row r="212" spans="3:13" ht="17.25" customHeight="1" thickBot="1" x14ac:dyDescent="0.25">
      <c r="C212" s="47">
        <f t="shared" si="30"/>
        <v>0</v>
      </c>
      <c r="D212" s="47">
        <f t="shared" si="31"/>
        <v>0</v>
      </c>
      <c r="E212" s="47">
        <f t="shared" si="31"/>
        <v>0</v>
      </c>
      <c r="F212" s="47">
        <f t="shared" si="32"/>
        <v>0</v>
      </c>
      <c r="G212" s="47">
        <v>0</v>
      </c>
      <c r="H212" s="47">
        <v>0</v>
      </c>
      <c r="I212" s="47">
        <f t="shared" si="33"/>
        <v>0</v>
      </c>
      <c r="J212" s="47">
        <v>0</v>
      </c>
      <c r="K212" s="47">
        <v>0</v>
      </c>
      <c r="L212" s="188" t="s">
        <v>59</v>
      </c>
      <c r="M212" s="135"/>
    </row>
    <row r="213" spans="3:13" ht="17.25" customHeight="1" thickBot="1" x14ac:dyDescent="0.25">
      <c r="C213" s="47">
        <f t="shared" si="30"/>
        <v>17</v>
      </c>
      <c r="D213" s="47">
        <f t="shared" si="31"/>
        <v>0</v>
      </c>
      <c r="E213" s="47">
        <f t="shared" si="31"/>
        <v>17</v>
      </c>
      <c r="F213" s="47">
        <f t="shared" si="32"/>
        <v>12</v>
      </c>
      <c r="G213" s="47">
        <v>0</v>
      </c>
      <c r="H213" s="47">
        <v>12</v>
      </c>
      <c r="I213" s="47">
        <f t="shared" si="33"/>
        <v>5</v>
      </c>
      <c r="J213" s="47">
        <v>0</v>
      </c>
      <c r="K213" s="47">
        <v>5</v>
      </c>
      <c r="L213" s="188" t="s">
        <v>56</v>
      </c>
      <c r="M213" s="134"/>
    </row>
    <row r="214" spans="3:13" ht="17.25" customHeight="1" thickBot="1" x14ac:dyDescent="0.25">
      <c r="C214" s="47">
        <f t="shared" si="30"/>
        <v>132</v>
      </c>
      <c r="D214" s="47">
        <f t="shared" si="31"/>
        <v>0</v>
      </c>
      <c r="E214" s="47">
        <f t="shared" si="31"/>
        <v>132</v>
      </c>
      <c r="F214" s="47">
        <f t="shared" si="32"/>
        <v>83</v>
      </c>
      <c r="G214" s="47">
        <v>0</v>
      </c>
      <c r="H214" s="47">
        <v>83</v>
      </c>
      <c r="I214" s="47">
        <f t="shared" si="33"/>
        <v>49</v>
      </c>
      <c r="J214" s="47">
        <v>0</v>
      </c>
      <c r="K214" s="47">
        <v>49</v>
      </c>
      <c r="L214" s="188" t="s">
        <v>57</v>
      </c>
      <c r="M214" s="134" t="s">
        <v>514</v>
      </c>
    </row>
    <row r="215" spans="3:13" ht="17.25" customHeight="1" thickBot="1" x14ac:dyDescent="0.25">
      <c r="C215" s="47">
        <f t="shared" si="30"/>
        <v>0</v>
      </c>
      <c r="D215" s="47">
        <f t="shared" si="31"/>
        <v>0</v>
      </c>
      <c r="E215" s="47">
        <f t="shared" si="31"/>
        <v>0</v>
      </c>
      <c r="F215" s="47">
        <f t="shared" si="32"/>
        <v>0</v>
      </c>
      <c r="G215" s="47">
        <v>0</v>
      </c>
      <c r="H215" s="47">
        <v>0</v>
      </c>
      <c r="I215" s="47">
        <f t="shared" si="33"/>
        <v>0</v>
      </c>
      <c r="J215" s="47">
        <v>0</v>
      </c>
      <c r="K215" s="47">
        <v>0</v>
      </c>
      <c r="L215" s="188" t="s">
        <v>59</v>
      </c>
      <c r="M215" s="135"/>
    </row>
    <row r="216" spans="3:13" ht="17.25" customHeight="1" thickBot="1" x14ac:dyDescent="0.25">
      <c r="C216" s="47">
        <f t="shared" si="30"/>
        <v>28</v>
      </c>
      <c r="D216" s="47">
        <f t="shared" si="31"/>
        <v>0</v>
      </c>
      <c r="E216" s="47">
        <f t="shared" si="31"/>
        <v>28</v>
      </c>
      <c r="F216" s="47">
        <f t="shared" si="32"/>
        <v>18</v>
      </c>
      <c r="G216" s="47">
        <v>0</v>
      </c>
      <c r="H216" s="47">
        <v>18</v>
      </c>
      <c r="I216" s="47">
        <f t="shared" si="33"/>
        <v>10</v>
      </c>
      <c r="J216" s="47">
        <v>0</v>
      </c>
      <c r="K216" s="47">
        <v>10</v>
      </c>
      <c r="L216" s="188" t="s">
        <v>56</v>
      </c>
      <c r="M216" s="134"/>
    </row>
    <row r="217" spans="3:13" ht="17.25" customHeight="1" thickBot="1" x14ac:dyDescent="0.25">
      <c r="C217" s="47">
        <f t="shared" si="30"/>
        <v>80</v>
      </c>
      <c r="D217" s="47">
        <f t="shared" si="31"/>
        <v>0</v>
      </c>
      <c r="E217" s="47">
        <f t="shared" si="31"/>
        <v>80</v>
      </c>
      <c r="F217" s="47">
        <f t="shared" si="32"/>
        <v>40</v>
      </c>
      <c r="G217" s="47">
        <v>0</v>
      </c>
      <c r="H217" s="47">
        <v>40</v>
      </c>
      <c r="I217" s="47">
        <f t="shared" si="33"/>
        <v>40</v>
      </c>
      <c r="J217" s="47">
        <v>0</v>
      </c>
      <c r="K217" s="47">
        <v>40</v>
      </c>
      <c r="L217" s="188" t="s">
        <v>57</v>
      </c>
      <c r="M217" s="134" t="s">
        <v>367</v>
      </c>
    </row>
    <row r="218" spans="3:13" ht="17.25" customHeight="1" thickBot="1" x14ac:dyDescent="0.25">
      <c r="C218" s="47">
        <f t="shared" si="30"/>
        <v>0</v>
      </c>
      <c r="D218" s="47">
        <f t="shared" si="31"/>
        <v>0</v>
      </c>
      <c r="E218" s="47">
        <f t="shared" si="31"/>
        <v>0</v>
      </c>
      <c r="F218" s="47">
        <f t="shared" si="32"/>
        <v>0</v>
      </c>
      <c r="G218" s="47">
        <v>0</v>
      </c>
      <c r="H218" s="47">
        <v>0</v>
      </c>
      <c r="I218" s="47">
        <f t="shared" si="33"/>
        <v>0</v>
      </c>
      <c r="J218" s="47">
        <v>0</v>
      </c>
      <c r="K218" s="47">
        <v>0</v>
      </c>
      <c r="L218" s="188" t="s">
        <v>59</v>
      </c>
      <c r="M218" s="135"/>
    </row>
    <row r="219" spans="3:13" ht="17.25" customHeight="1" thickBot="1" x14ac:dyDescent="0.25">
      <c r="C219" s="47">
        <f t="shared" si="30"/>
        <v>0</v>
      </c>
      <c r="D219" s="47">
        <f t="shared" si="31"/>
        <v>0</v>
      </c>
      <c r="E219" s="47">
        <f t="shared" si="31"/>
        <v>0</v>
      </c>
      <c r="F219" s="47">
        <f t="shared" si="32"/>
        <v>0</v>
      </c>
      <c r="G219" s="47">
        <v>0</v>
      </c>
      <c r="H219" s="47">
        <v>0</v>
      </c>
      <c r="I219" s="47">
        <f t="shared" si="33"/>
        <v>0</v>
      </c>
      <c r="J219" s="47">
        <v>0</v>
      </c>
      <c r="K219" s="47">
        <v>0</v>
      </c>
      <c r="L219" s="188" t="s">
        <v>56</v>
      </c>
      <c r="M219" s="134"/>
    </row>
    <row r="220" spans="3:13" ht="17.25" customHeight="1" thickBot="1" x14ac:dyDescent="0.25">
      <c r="C220" s="47">
        <f t="shared" si="30"/>
        <v>97</v>
      </c>
      <c r="D220" s="47">
        <f t="shared" si="31"/>
        <v>0</v>
      </c>
      <c r="E220" s="47">
        <f t="shared" si="31"/>
        <v>97</v>
      </c>
      <c r="F220" s="47">
        <f t="shared" si="32"/>
        <v>28</v>
      </c>
      <c r="G220" s="47">
        <v>0</v>
      </c>
      <c r="H220" s="47">
        <v>28</v>
      </c>
      <c r="I220" s="47">
        <f t="shared" si="33"/>
        <v>69</v>
      </c>
      <c r="J220" s="47">
        <v>0</v>
      </c>
      <c r="K220" s="47">
        <v>69</v>
      </c>
      <c r="L220" s="188" t="s">
        <v>57</v>
      </c>
      <c r="M220" s="134" t="s">
        <v>405</v>
      </c>
    </row>
    <row r="221" spans="3:13" ht="17.25" customHeight="1" thickBot="1" x14ac:dyDescent="0.25">
      <c r="C221" s="47">
        <f t="shared" si="30"/>
        <v>0</v>
      </c>
      <c r="D221" s="47">
        <f t="shared" si="31"/>
        <v>0</v>
      </c>
      <c r="E221" s="47">
        <f t="shared" si="31"/>
        <v>0</v>
      </c>
      <c r="F221" s="47">
        <f t="shared" si="32"/>
        <v>0</v>
      </c>
      <c r="G221" s="47">
        <v>0</v>
      </c>
      <c r="H221" s="47">
        <v>0</v>
      </c>
      <c r="I221" s="47">
        <f t="shared" si="33"/>
        <v>0</v>
      </c>
      <c r="J221" s="47">
        <v>0</v>
      </c>
      <c r="K221" s="47">
        <v>0</v>
      </c>
      <c r="L221" s="188" t="s">
        <v>59</v>
      </c>
      <c r="M221" s="135"/>
    </row>
    <row r="222" spans="3:13" ht="17.25" customHeight="1" thickBot="1" x14ac:dyDescent="0.25">
      <c r="C222" s="47">
        <f t="shared" ref="C222:K224" si="34">C207+C210+C213+C216+C219</f>
        <v>100</v>
      </c>
      <c r="D222" s="47">
        <f t="shared" si="34"/>
        <v>0</v>
      </c>
      <c r="E222" s="47">
        <f t="shared" si="34"/>
        <v>100</v>
      </c>
      <c r="F222" s="47">
        <f t="shared" si="34"/>
        <v>73</v>
      </c>
      <c r="G222" s="47">
        <f t="shared" si="34"/>
        <v>0</v>
      </c>
      <c r="H222" s="47">
        <f t="shared" si="34"/>
        <v>73</v>
      </c>
      <c r="I222" s="47">
        <f t="shared" si="34"/>
        <v>27</v>
      </c>
      <c r="J222" s="47">
        <f t="shared" si="34"/>
        <v>0</v>
      </c>
      <c r="K222" s="47">
        <f>K207+K210+K213+K216+K219</f>
        <v>27</v>
      </c>
      <c r="L222" s="188" t="s">
        <v>243</v>
      </c>
      <c r="M222" s="131"/>
    </row>
    <row r="223" spans="3:13" ht="17.25" customHeight="1" thickBot="1" x14ac:dyDescent="0.25">
      <c r="C223" s="47">
        <f t="shared" si="34"/>
        <v>707</v>
      </c>
      <c r="D223" s="47">
        <f t="shared" si="34"/>
        <v>0</v>
      </c>
      <c r="E223" s="47">
        <f t="shared" si="34"/>
        <v>707</v>
      </c>
      <c r="F223" s="47">
        <f t="shared" si="34"/>
        <v>304</v>
      </c>
      <c r="G223" s="47">
        <f t="shared" si="34"/>
        <v>0</v>
      </c>
      <c r="H223" s="47">
        <f t="shared" si="34"/>
        <v>304</v>
      </c>
      <c r="I223" s="47">
        <f t="shared" si="34"/>
        <v>403</v>
      </c>
      <c r="J223" s="47">
        <f t="shared" si="34"/>
        <v>0</v>
      </c>
      <c r="K223" s="47">
        <f t="shared" si="34"/>
        <v>403</v>
      </c>
      <c r="L223" s="188" t="s">
        <v>57</v>
      </c>
      <c r="M223" s="132" t="s">
        <v>244</v>
      </c>
    </row>
    <row r="224" spans="3:13" ht="17.25" customHeight="1" thickBot="1" x14ac:dyDescent="0.25">
      <c r="C224" s="47">
        <f t="shared" si="34"/>
        <v>0</v>
      </c>
      <c r="D224" s="47">
        <f t="shared" si="34"/>
        <v>0</v>
      </c>
      <c r="E224" s="47">
        <f t="shared" si="34"/>
        <v>0</v>
      </c>
      <c r="F224" s="47">
        <f t="shared" si="34"/>
        <v>0</v>
      </c>
      <c r="G224" s="47">
        <f t="shared" si="34"/>
        <v>0</v>
      </c>
      <c r="H224" s="47">
        <f t="shared" si="34"/>
        <v>0</v>
      </c>
      <c r="I224" s="47">
        <f t="shared" si="34"/>
        <v>0</v>
      </c>
      <c r="J224" s="47">
        <f t="shared" si="34"/>
        <v>0</v>
      </c>
      <c r="K224" s="47">
        <f t="shared" si="34"/>
        <v>0</v>
      </c>
      <c r="L224" s="188" t="s">
        <v>59</v>
      </c>
      <c r="M224" s="133"/>
    </row>
    <row r="225" spans="3:13" ht="17.25" customHeight="1" thickBot="1" x14ac:dyDescent="0.25">
      <c r="C225" s="47">
        <f t="shared" ref="C225:J225" si="35">SUM(C222:C224)</f>
        <v>807</v>
      </c>
      <c r="D225" s="47">
        <f t="shared" si="35"/>
        <v>0</v>
      </c>
      <c r="E225" s="47">
        <f t="shared" si="35"/>
        <v>807</v>
      </c>
      <c r="F225" s="47">
        <f t="shared" si="35"/>
        <v>377</v>
      </c>
      <c r="G225" s="47">
        <f t="shared" si="35"/>
        <v>0</v>
      </c>
      <c r="H225" s="47">
        <f t="shared" si="35"/>
        <v>377</v>
      </c>
      <c r="I225" s="47">
        <f t="shared" si="35"/>
        <v>430</v>
      </c>
      <c r="J225" s="47">
        <f t="shared" si="35"/>
        <v>0</v>
      </c>
      <c r="K225" s="47">
        <f>SUM(K222:K224)</f>
        <v>430</v>
      </c>
      <c r="L225" s="500" t="s">
        <v>245</v>
      </c>
      <c r="M225" s="500"/>
    </row>
    <row r="226" spans="3:13" ht="17.25" customHeight="1" thickBot="1" x14ac:dyDescent="0.25">
      <c r="C226" s="476" t="s">
        <v>4</v>
      </c>
      <c r="D226" s="476"/>
      <c r="E226" s="476"/>
      <c r="F226" s="476" t="s">
        <v>145</v>
      </c>
      <c r="G226" s="476"/>
      <c r="H226" s="476"/>
      <c r="I226" s="476" t="s">
        <v>146</v>
      </c>
      <c r="J226" s="476"/>
      <c r="K226" s="476"/>
      <c r="L226" s="479" t="s">
        <v>66</v>
      </c>
      <c r="M226" s="479"/>
    </row>
    <row r="227" spans="3:13" ht="17.25" customHeight="1" thickBot="1" x14ac:dyDescent="0.25">
      <c r="C227" s="185" t="s">
        <v>227</v>
      </c>
      <c r="D227" s="185" t="s">
        <v>10</v>
      </c>
      <c r="E227" s="185" t="s">
        <v>9</v>
      </c>
      <c r="F227" s="185" t="s">
        <v>227</v>
      </c>
      <c r="G227" s="185" t="s">
        <v>10</v>
      </c>
      <c r="H227" s="185" t="s">
        <v>9</v>
      </c>
      <c r="I227" s="185" t="s">
        <v>227</v>
      </c>
      <c r="J227" s="185" t="s">
        <v>10</v>
      </c>
      <c r="K227" s="185" t="s">
        <v>9</v>
      </c>
      <c r="L227" s="480" t="s">
        <v>74</v>
      </c>
      <c r="M227" s="480"/>
    </row>
    <row r="228" spans="3:13" ht="17.25" customHeight="1" thickBot="1" x14ac:dyDescent="0.25">
      <c r="C228" s="47">
        <f>SUM(D228:E228)</f>
        <v>0</v>
      </c>
      <c r="D228" s="47">
        <f>J228+G228</f>
        <v>0</v>
      </c>
      <c r="E228" s="47">
        <f>K228+H228</f>
        <v>0</v>
      </c>
      <c r="F228" s="47">
        <f>SUM(G228:H228)</f>
        <v>0</v>
      </c>
      <c r="G228" s="47">
        <v>0</v>
      </c>
      <c r="H228" s="47">
        <v>0</v>
      </c>
      <c r="I228" s="47">
        <f>SUM(J228:K228)</f>
        <v>0</v>
      </c>
      <c r="J228" s="47">
        <v>0</v>
      </c>
      <c r="K228" s="47">
        <v>0</v>
      </c>
      <c r="L228" s="188" t="s">
        <v>56</v>
      </c>
      <c r="M228" s="134"/>
    </row>
    <row r="229" spans="3:13" ht="17.25" customHeight="1" thickBot="1" x14ac:dyDescent="0.25">
      <c r="C229" s="47">
        <f t="shared" ref="C229:C257" si="36">SUM(D229:E229)</f>
        <v>30</v>
      </c>
      <c r="D229" s="47">
        <f t="shared" ref="D229:E257" si="37">J229+G229</f>
        <v>0</v>
      </c>
      <c r="E229" s="47">
        <f t="shared" si="37"/>
        <v>30</v>
      </c>
      <c r="F229" s="47">
        <f t="shared" ref="F229:F257" si="38">SUM(G229:H229)</f>
        <v>0</v>
      </c>
      <c r="G229" s="47">
        <v>0</v>
      </c>
      <c r="H229" s="47">
        <v>0</v>
      </c>
      <c r="I229" s="47">
        <f t="shared" ref="I229:I257" si="39">SUM(J229:K229)</f>
        <v>30</v>
      </c>
      <c r="J229" s="47">
        <v>0</v>
      </c>
      <c r="K229" s="47">
        <v>30</v>
      </c>
      <c r="L229" s="188" t="s">
        <v>57</v>
      </c>
      <c r="M229" s="134" t="s">
        <v>426</v>
      </c>
    </row>
    <row r="230" spans="3:13" ht="17.25" customHeight="1" thickBot="1" x14ac:dyDescent="0.25">
      <c r="C230" s="47">
        <f t="shared" si="36"/>
        <v>0</v>
      </c>
      <c r="D230" s="47">
        <f t="shared" si="37"/>
        <v>0</v>
      </c>
      <c r="E230" s="47">
        <f t="shared" si="37"/>
        <v>0</v>
      </c>
      <c r="F230" s="47">
        <f t="shared" si="38"/>
        <v>0</v>
      </c>
      <c r="G230" s="47">
        <v>0</v>
      </c>
      <c r="H230" s="47">
        <v>0</v>
      </c>
      <c r="I230" s="47">
        <f t="shared" si="39"/>
        <v>0</v>
      </c>
      <c r="J230" s="47">
        <v>0</v>
      </c>
      <c r="K230" s="47">
        <v>0</v>
      </c>
      <c r="L230" s="188" t="s">
        <v>59</v>
      </c>
      <c r="M230" s="135"/>
    </row>
    <row r="231" spans="3:13" ht="17.25" customHeight="1" thickBot="1" x14ac:dyDescent="0.25">
      <c r="C231" s="47">
        <f t="shared" si="36"/>
        <v>0</v>
      </c>
      <c r="D231" s="47">
        <f t="shared" si="37"/>
        <v>0</v>
      </c>
      <c r="E231" s="47">
        <f t="shared" si="37"/>
        <v>0</v>
      </c>
      <c r="F231" s="47">
        <f t="shared" si="38"/>
        <v>0</v>
      </c>
      <c r="G231" s="47">
        <v>0</v>
      </c>
      <c r="H231" s="47">
        <v>0</v>
      </c>
      <c r="I231" s="47">
        <f t="shared" si="39"/>
        <v>0</v>
      </c>
      <c r="J231" s="47">
        <v>0</v>
      </c>
      <c r="K231" s="47">
        <v>0</v>
      </c>
      <c r="L231" s="188" t="s">
        <v>56</v>
      </c>
      <c r="M231" s="134"/>
    </row>
    <row r="232" spans="3:13" ht="17.25" customHeight="1" thickBot="1" x14ac:dyDescent="0.25">
      <c r="C232" s="47">
        <f t="shared" si="36"/>
        <v>38</v>
      </c>
      <c r="D232" s="47">
        <f t="shared" si="37"/>
        <v>8</v>
      </c>
      <c r="E232" s="47">
        <f t="shared" si="37"/>
        <v>30</v>
      </c>
      <c r="F232" s="47">
        <f t="shared" si="38"/>
        <v>0</v>
      </c>
      <c r="G232" s="47">
        <v>0</v>
      </c>
      <c r="H232" s="47">
        <v>0</v>
      </c>
      <c r="I232" s="47">
        <f t="shared" si="39"/>
        <v>38</v>
      </c>
      <c r="J232" s="47">
        <f>13-5</f>
        <v>8</v>
      </c>
      <c r="K232" s="47">
        <v>30</v>
      </c>
      <c r="L232" s="188" t="s">
        <v>57</v>
      </c>
      <c r="M232" s="134" t="s">
        <v>427</v>
      </c>
    </row>
    <row r="233" spans="3:13" ht="17.25" customHeight="1" thickBot="1" x14ac:dyDescent="0.25">
      <c r="C233" s="47">
        <f t="shared" si="36"/>
        <v>0</v>
      </c>
      <c r="D233" s="47">
        <f t="shared" si="37"/>
        <v>0</v>
      </c>
      <c r="E233" s="47">
        <f t="shared" si="37"/>
        <v>0</v>
      </c>
      <c r="F233" s="47">
        <f t="shared" si="38"/>
        <v>0</v>
      </c>
      <c r="G233" s="47">
        <v>0</v>
      </c>
      <c r="H233" s="47">
        <v>0</v>
      </c>
      <c r="I233" s="47">
        <f t="shared" si="39"/>
        <v>0</v>
      </c>
      <c r="J233" s="47">
        <v>0</v>
      </c>
      <c r="K233" s="47">
        <v>0</v>
      </c>
      <c r="L233" s="188" t="s">
        <v>59</v>
      </c>
      <c r="M233" s="135"/>
    </row>
    <row r="234" spans="3:13" ht="17.25" customHeight="1" thickBot="1" x14ac:dyDescent="0.25">
      <c r="C234" s="47">
        <f t="shared" si="36"/>
        <v>0</v>
      </c>
      <c r="D234" s="47">
        <f t="shared" si="37"/>
        <v>0</v>
      </c>
      <c r="E234" s="47">
        <f t="shared" si="37"/>
        <v>0</v>
      </c>
      <c r="F234" s="47">
        <f t="shared" si="38"/>
        <v>0</v>
      </c>
      <c r="G234" s="47">
        <v>0</v>
      </c>
      <c r="H234" s="47">
        <v>0</v>
      </c>
      <c r="I234" s="47">
        <f t="shared" si="39"/>
        <v>0</v>
      </c>
      <c r="J234" s="47">
        <v>0</v>
      </c>
      <c r="K234" s="47">
        <v>0</v>
      </c>
      <c r="L234" s="188" t="s">
        <v>56</v>
      </c>
      <c r="M234" s="134"/>
    </row>
    <row r="235" spans="3:13" ht="17.25" customHeight="1" thickBot="1" x14ac:dyDescent="0.25">
      <c r="C235" s="47">
        <f t="shared" si="36"/>
        <v>60</v>
      </c>
      <c r="D235" s="47">
        <f t="shared" si="37"/>
        <v>24</v>
      </c>
      <c r="E235" s="47">
        <f t="shared" si="37"/>
        <v>36</v>
      </c>
      <c r="F235" s="47">
        <f t="shared" si="38"/>
        <v>0</v>
      </c>
      <c r="G235" s="47">
        <v>0</v>
      </c>
      <c r="H235" s="47">
        <v>0</v>
      </c>
      <c r="I235" s="47">
        <f t="shared" si="39"/>
        <v>60</v>
      </c>
      <c r="J235" s="47">
        <f>49-25</f>
        <v>24</v>
      </c>
      <c r="K235" s="47">
        <v>36</v>
      </c>
      <c r="L235" s="188" t="s">
        <v>57</v>
      </c>
      <c r="M235" s="134" t="s">
        <v>429</v>
      </c>
    </row>
    <row r="236" spans="3:13" ht="17.25" customHeight="1" thickBot="1" x14ac:dyDescent="0.25">
      <c r="C236" s="47">
        <f t="shared" si="36"/>
        <v>0</v>
      </c>
      <c r="D236" s="47">
        <f t="shared" si="37"/>
        <v>0</v>
      </c>
      <c r="E236" s="47">
        <f t="shared" si="37"/>
        <v>0</v>
      </c>
      <c r="F236" s="47">
        <f t="shared" si="38"/>
        <v>0</v>
      </c>
      <c r="G236" s="47">
        <v>0</v>
      </c>
      <c r="H236" s="47">
        <v>0</v>
      </c>
      <c r="I236" s="47">
        <f t="shared" si="39"/>
        <v>0</v>
      </c>
      <c r="J236" s="47">
        <v>0</v>
      </c>
      <c r="K236" s="47">
        <v>0</v>
      </c>
      <c r="L236" s="188" t="s">
        <v>59</v>
      </c>
      <c r="M236" s="135"/>
    </row>
    <row r="237" spans="3:13" ht="17.25" customHeight="1" thickBot="1" x14ac:dyDescent="0.25">
      <c r="C237" s="47">
        <f t="shared" si="36"/>
        <v>2</v>
      </c>
      <c r="D237" s="47">
        <f t="shared" si="37"/>
        <v>2</v>
      </c>
      <c r="E237" s="47">
        <f t="shared" si="37"/>
        <v>0</v>
      </c>
      <c r="F237" s="47">
        <f t="shared" si="38"/>
        <v>0</v>
      </c>
      <c r="G237" s="47">
        <v>0</v>
      </c>
      <c r="H237" s="47">
        <v>0</v>
      </c>
      <c r="I237" s="47">
        <f t="shared" si="39"/>
        <v>2</v>
      </c>
      <c r="J237" s="47">
        <v>2</v>
      </c>
      <c r="K237" s="47">
        <v>0</v>
      </c>
      <c r="L237" s="188" t="s">
        <v>56</v>
      </c>
      <c r="M237" s="134"/>
    </row>
    <row r="238" spans="3:13" ht="17.25" customHeight="1" thickBot="1" x14ac:dyDescent="0.25">
      <c r="C238" s="47">
        <f t="shared" si="36"/>
        <v>64</v>
      </c>
      <c r="D238" s="47">
        <f t="shared" si="37"/>
        <v>10</v>
      </c>
      <c r="E238" s="47">
        <f t="shared" si="37"/>
        <v>54</v>
      </c>
      <c r="F238" s="47">
        <f t="shared" si="38"/>
        <v>0</v>
      </c>
      <c r="G238" s="47">
        <v>0</v>
      </c>
      <c r="H238" s="47">
        <v>0</v>
      </c>
      <c r="I238" s="47">
        <f t="shared" si="39"/>
        <v>64</v>
      </c>
      <c r="J238" s="47">
        <f>17-7</f>
        <v>10</v>
      </c>
      <c r="K238" s="47">
        <v>54</v>
      </c>
      <c r="L238" s="188" t="s">
        <v>57</v>
      </c>
      <c r="M238" s="134" t="s">
        <v>434</v>
      </c>
    </row>
    <row r="239" spans="3:13" ht="17.25" customHeight="1" thickBot="1" x14ac:dyDescent="0.25">
      <c r="C239" s="47">
        <f t="shared" si="36"/>
        <v>0</v>
      </c>
      <c r="D239" s="47">
        <f t="shared" si="37"/>
        <v>0</v>
      </c>
      <c r="E239" s="47">
        <f t="shared" si="37"/>
        <v>0</v>
      </c>
      <c r="F239" s="47">
        <f t="shared" si="38"/>
        <v>0</v>
      </c>
      <c r="G239" s="47">
        <v>0</v>
      </c>
      <c r="H239" s="47">
        <v>0</v>
      </c>
      <c r="I239" s="47">
        <f t="shared" si="39"/>
        <v>0</v>
      </c>
      <c r="J239" s="47">
        <v>0</v>
      </c>
      <c r="K239" s="47">
        <v>0</v>
      </c>
      <c r="L239" s="188" t="s">
        <v>59</v>
      </c>
      <c r="M239" s="135"/>
    </row>
    <row r="240" spans="3:13" ht="17.25" customHeight="1" thickBot="1" x14ac:dyDescent="0.25">
      <c r="C240" s="47">
        <f t="shared" si="36"/>
        <v>36</v>
      </c>
      <c r="D240" s="47">
        <f t="shared" si="37"/>
        <v>33</v>
      </c>
      <c r="E240" s="47">
        <f t="shared" si="37"/>
        <v>3</v>
      </c>
      <c r="F240" s="47">
        <f t="shared" si="38"/>
        <v>0</v>
      </c>
      <c r="G240" s="47">
        <v>0</v>
      </c>
      <c r="H240" s="47">
        <v>0</v>
      </c>
      <c r="I240" s="47">
        <f t="shared" si="39"/>
        <v>36</v>
      </c>
      <c r="J240" s="47">
        <v>33</v>
      </c>
      <c r="K240" s="47">
        <v>3</v>
      </c>
      <c r="L240" s="188" t="s">
        <v>56</v>
      </c>
      <c r="M240" s="134"/>
    </row>
    <row r="241" spans="3:13" ht="17.25" customHeight="1" thickBot="1" x14ac:dyDescent="0.25">
      <c r="C241" s="47">
        <f t="shared" si="36"/>
        <v>4</v>
      </c>
      <c r="D241" s="47">
        <f t="shared" si="37"/>
        <v>0</v>
      </c>
      <c r="E241" s="47">
        <f t="shared" si="37"/>
        <v>4</v>
      </c>
      <c r="F241" s="47">
        <f t="shared" si="38"/>
        <v>0</v>
      </c>
      <c r="G241" s="47">
        <v>0</v>
      </c>
      <c r="H241" s="47">
        <v>0</v>
      </c>
      <c r="I241" s="47">
        <f t="shared" si="39"/>
        <v>4</v>
      </c>
      <c r="J241" s="47">
        <v>0</v>
      </c>
      <c r="K241" s="47">
        <v>4</v>
      </c>
      <c r="L241" s="188" t="s">
        <v>57</v>
      </c>
      <c r="M241" s="134" t="s">
        <v>435</v>
      </c>
    </row>
    <row r="242" spans="3:13" ht="17.25" customHeight="1" thickBot="1" x14ac:dyDescent="0.25">
      <c r="C242" s="47">
        <f t="shared" si="36"/>
        <v>0</v>
      </c>
      <c r="D242" s="47">
        <f t="shared" si="37"/>
        <v>0</v>
      </c>
      <c r="E242" s="47">
        <f t="shared" si="37"/>
        <v>0</v>
      </c>
      <c r="F242" s="47">
        <f t="shared" si="38"/>
        <v>0</v>
      </c>
      <c r="G242" s="47">
        <v>0</v>
      </c>
      <c r="H242" s="47">
        <v>0</v>
      </c>
      <c r="I242" s="47">
        <f t="shared" si="39"/>
        <v>0</v>
      </c>
      <c r="J242" s="47">
        <v>0</v>
      </c>
      <c r="K242" s="47">
        <v>0</v>
      </c>
      <c r="L242" s="188" t="s">
        <v>59</v>
      </c>
      <c r="M242" s="135"/>
    </row>
    <row r="243" spans="3:13" ht="17.25" customHeight="1" thickBot="1" x14ac:dyDescent="0.25">
      <c r="C243" s="47">
        <f t="shared" si="36"/>
        <v>0</v>
      </c>
      <c r="D243" s="47">
        <f t="shared" si="37"/>
        <v>0</v>
      </c>
      <c r="E243" s="47">
        <f t="shared" si="37"/>
        <v>0</v>
      </c>
      <c r="F243" s="47">
        <f t="shared" si="38"/>
        <v>0</v>
      </c>
      <c r="G243" s="47">
        <v>0</v>
      </c>
      <c r="H243" s="47">
        <v>0</v>
      </c>
      <c r="I243" s="47">
        <f t="shared" si="39"/>
        <v>0</v>
      </c>
      <c r="J243" s="47">
        <v>0</v>
      </c>
      <c r="K243" s="47">
        <v>0</v>
      </c>
      <c r="L243" s="188" t="s">
        <v>56</v>
      </c>
      <c r="M243" s="134"/>
    </row>
    <row r="244" spans="3:13" ht="17.25" customHeight="1" thickBot="1" x14ac:dyDescent="0.25">
      <c r="C244" s="47">
        <f t="shared" si="36"/>
        <v>9</v>
      </c>
      <c r="D244" s="47">
        <f t="shared" si="37"/>
        <v>9</v>
      </c>
      <c r="E244" s="47">
        <f t="shared" si="37"/>
        <v>0</v>
      </c>
      <c r="F244" s="47">
        <f t="shared" si="38"/>
        <v>0</v>
      </c>
      <c r="G244" s="47">
        <v>0</v>
      </c>
      <c r="H244" s="47">
        <v>0</v>
      </c>
      <c r="I244" s="47">
        <f t="shared" si="39"/>
        <v>9</v>
      </c>
      <c r="J244" s="47">
        <f>17-8</f>
        <v>9</v>
      </c>
      <c r="K244" s="47">
        <v>0</v>
      </c>
      <c r="L244" s="188" t="s">
        <v>57</v>
      </c>
      <c r="M244" s="134" t="s">
        <v>437</v>
      </c>
    </row>
    <row r="245" spans="3:13" ht="17.25" customHeight="1" thickBot="1" x14ac:dyDescent="0.25">
      <c r="C245" s="47">
        <f t="shared" si="36"/>
        <v>0</v>
      </c>
      <c r="D245" s="47">
        <f t="shared" si="37"/>
        <v>0</v>
      </c>
      <c r="E245" s="47">
        <f t="shared" si="37"/>
        <v>0</v>
      </c>
      <c r="F245" s="47">
        <f t="shared" si="38"/>
        <v>0</v>
      </c>
      <c r="G245" s="47">
        <v>0</v>
      </c>
      <c r="H245" s="47">
        <v>0</v>
      </c>
      <c r="I245" s="47">
        <f t="shared" si="39"/>
        <v>0</v>
      </c>
      <c r="J245" s="47">
        <v>0</v>
      </c>
      <c r="K245" s="47">
        <v>0</v>
      </c>
      <c r="L245" s="188" t="s">
        <v>59</v>
      </c>
      <c r="M245" s="135"/>
    </row>
    <row r="246" spans="3:13" ht="17.25" customHeight="1" thickBot="1" x14ac:dyDescent="0.25">
      <c r="C246" s="47">
        <f t="shared" si="36"/>
        <v>0</v>
      </c>
      <c r="D246" s="47">
        <f t="shared" si="37"/>
        <v>0</v>
      </c>
      <c r="E246" s="47">
        <f t="shared" si="37"/>
        <v>0</v>
      </c>
      <c r="F246" s="47">
        <f t="shared" si="38"/>
        <v>0</v>
      </c>
      <c r="G246" s="47">
        <v>0</v>
      </c>
      <c r="H246" s="47">
        <v>0</v>
      </c>
      <c r="I246" s="47">
        <f t="shared" si="39"/>
        <v>0</v>
      </c>
      <c r="J246" s="47">
        <v>0</v>
      </c>
      <c r="K246" s="47">
        <v>0</v>
      </c>
      <c r="L246" s="188" t="s">
        <v>56</v>
      </c>
      <c r="M246" s="134"/>
    </row>
    <row r="247" spans="3:13" ht="17.25" customHeight="1" thickBot="1" x14ac:dyDescent="0.25">
      <c r="C247" s="47">
        <f t="shared" si="36"/>
        <v>32</v>
      </c>
      <c r="D247" s="47">
        <f t="shared" si="37"/>
        <v>32</v>
      </c>
      <c r="E247" s="47">
        <f t="shared" si="37"/>
        <v>0</v>
      </c>
      <c r="F247" s="47">
        <f t="shared" si="38"/>
        <v>0</v>
      </c>
      <c r="G247" s="47">
        <v>0</v>
      </c>
      <c r="H247" s="47">
        <v>0</v>
      </c>
      <c r="I247" s="47">
        <f t="shared" si="39"/>
        <v>32</v>
      </c>
      <c r="J247" s="47">
        <f>52-20</f>
        <v>32</v>
      </c>
      <c r="K247" s="47">
        <v>0</v>
      </c>
      <c r="L247" s="188" t="s">
        <v>57</v>
      </c>
      <c r="M247" s="134" t="s">
        <v>438</v>
      </c>
    </row>
    <row r="248" spans="3:13" ht="17.25" customHeight="1" thickBot="1" x14ac:dyDescent="0.25">
      <c r="C248" s="47">
        <f t="shared" si="36"/>
        <v>73</v>
      </c>
      <c r="D248" s="47">
        <f t="shared" si="37"/>
        <v>73</v>
      </c>
      <c r="E248" s="47">
        <f t="shared" si="37"/>
        <v>0</v>
      </c>
      <c r="F248" s="47">
        <f t="shared" si="38"/>
        <v>0</v>
      </c>
      <c r="G248" s="47">
        <v>0</v>
      </c>
      <c r="H248" s="47">
        <v>0</v>
      </c>
      <c r="I248" s="47">
        <f t="shared" si="39"/>
        <v>73</v>
      </c>
      <c r="J248" s="47">
        <f>193-100-20</f>
        <v>73</v>
      </c>
      <c r="K248" s="47">
        <v>0</v>
      </c>
      <c r="L248" s="188" t="s">
        <v>59</v>
      </c>
      <c r="M248" s="135"/>
    </row>
    <row r="249" spans="3:13" ht="17.25" customHeight="1" thickBot="1" x14ac:dyDescent="0.25">
      <c r="C249" s="47">
        <f t="shared" si="36"/>
        <v>23</v>
      </c>
      <c r="D249" s="47">
        <f t="shared" si="37"/>
        <v>23</v>
      </c>
      <c r="E249" s="47">
        <f t="shared" si="37"/>
        <v>0</v>
      </c>
      <c r="F249" s="47">
        <f t="shared" si="38"/>
        <v>0</v>
      </c>
      <c r="G249" s="47">
        <v>0</v>
      </c>
      <c r="H249" s="47">
        <v>0</v>
      </c>
      <c r="I249" s="47">
        <f t="shared" si="39"/>
        <v>23</v>
      </c>
      <c r="J249" s="47">
        <f>29-6</f>
        <v>23</v>
      </c>
      <c r="K249" s="47">
        <v>0</v>
      </c>
      <c r="L249" s="188" t="s">
        <v>56</v>
      </c>
      <c r="M249" s="134"/>
    </row>
    <row r="250" spans="3:13" ht="17.25" customHeight="1" thickBot="1" x14ac:dyDescent="0.25">
      <c r="C250" s="47">
        <f t="shared" si="36"/>
        <v>35</v>
      </c>
      <c r="D250" s="47">
        <f t="shared" si="37"/>
        <v>35</v>
      </c>
      <c r="E250" s="47">
        <f t="shared" si="37"/>
        <v>0</v>
      </c>
      <c r="F250" s="47">
        <f t="shared" si="38"/>
        <v>0</v>
      </c>
      <c r="G250" s="47">
        <v>0</v>
      </c>
      <c r="H250" s="47">
        <v>0</v>
      </c>
      <c r="I250" s="47">
        <f t="shared" si="39"/>
        <v>35</v>
      </c>
      <c r="J250" s="47">
        <f>65-30</f>
        <v>35</v>
      </c>
      <c r="K250" s="47">
        <v>0</v>
      </c>
      <c r="L250" s="188" t="s">
        <v>57</v>
      </c>
      <c r="M250" s="134" t="s">
        <v>595</v>
      </c>
    </row>
    <row r="251" spans="3:13" ht="17.25" customHeight="1" thickBot="1" x14ac:dyDescent="0.25">
      <c r="C251" s="47">
        <f t="shared" si="36"/>
        <v>0</v>
      </c>
      <c r="D251" s="47">
        <f t="shared" si="37"/>
        <v>0</v>
      </c>
      <c r="E251" s="47">
        <f t="shared" si="37"/>
        <v>0</v>
      </c>
      <c r="F251" s="47">
        <f t="shared" si="38"/>
        <v>0</v>
      </c>
      <c r="G251" s="47">
        <v>0</v>
      </c>
      <c r="H251" s="47">
        <v>0</v>
      </c>
      <c r="I251" s="47">
        <f t="shared" si="39"/>
        <v>0</v>
      </c>
      <c r="J251" s="47">
        <v>0</v>
      </c>
      <c r="K251" s="47">
        <v>0</v>
      </c>
      <c r="L251" s="188" t="s">
        <v>59</v>
      </c>
      <c r="M251" s="135"/>
    </row>
    <row r="252" spans="3:13" ht="17.25" customHeight="1" thickBot="1" x14ac:dyDescent="0.25">
      <c r="C252" s="47">
        <f t="shared" si="36"/>
        <v>14</v>
      </c>
      <c r="D252" s="47">
        <f t="shared" si="37"/>
        <v>14</v>
      </c>
      <c r="E252" s="47">
        <f t="shared" si="37"/>
        <v>0</v>
      </c>
      <c r="F252" s="47">
        <f t="shared" si="38"/>
        <v>0</v>
      </c>
      <c r="G252" s="47">
        <v>0</v>
      </c>
      <c r="H252" s="47">
        <v>0</v>
      </c>
      <c r="I252" s="47">
        <f t="shared" si="39"/>
        <v>14</v>
      </c>
      <c r="J252" s="47">
        <f>17-3</f>
        <v>14</v>
      </c>
      <c r="K252" s="47">
        <v>0</v>
      </c>
      <c r="L252" s="188" t="s">
        <v>56</v>
      </c>
      <c r="M252" s="134"/>
    </row>
    <row r="253" spans="3:13" ht="17.25" customHeight="1" thickBot="1" x14ac:dyDescent="0.25">
      <c r="C253" s="47">
        <f t="shared" si="36"/>
        <v>26</v>
      </c>
      <c r="D253" s="47">
        <f t="shared" si="37"/>
        <v>26</v>
      </c>
      <c r="E253" s="47">
        <f t="shared" si="37"/>
        <v>0</v>
      </c>
      <c r="F253" s="47">
        <f t="shared" si="38"/>
        <v>0</v>
      </c>
      <c r="G253" s="47">
        <v>0</v>
      </c>
      <c r="H253" s="47">
        <v>0</v>
      </c>
      <c r="I253" s="47">
        <f t="shared" si="39"/>
        <v>26</v>
      </c>
      <c r="J253" s="47">
        <f>46-20</f>
        <v>26</v>
      </c>
      <c r="K253" s="47">
        <v>0</v>
      </c>
      <c r="L253" s="188" t="s">
        <v>57</v>
      </c>
      <c r="M253" s="134" t="s">
        <v>446</v>
      </c>
    </row>
    <row r="254" spans="3:13" ht="17.25" customHeight="1" thickBot="1" x14ac:dyDescent="0.25">
      <c r="C254" s="47">
        <f t="shared" si="36"/>
        <v>0</v>
      </c>
      <c r="D254" s="47">
        <f t="shared" si="37"/>
        <v>0</v>
      </c>
      <c r="E254" s="47">
        <f t="shared" si="37"/>
        <v>0</v>
      </c>
      <c r="F254" s="47">
        <f t="shared" si="38"/>
        <v>0</v>
      </c>
      <c r="G254" s="47">
        <v>0</v>
      </c>
      <c r="H254" s="47">
        <v>0</v>
      </c>
      <c r="I254" s="47">
        <f t="shared" si="39"/>
        <v>0</v>
      </c>
      <c r="J254" s="47">
        <v>0</v>
      </c>
      <c r="K254" s="47">
        <v>0</v>
      </c>
      <c r="L254" s="188" t="s">
        <v>59</v>
      </c>
      <c r="M254" s="135"/>
    </row>
    <row r="255" spans="3:13" ht="17.25" customHeight="1" thickBot="1" x14ac:dyDescent="0.25">
      <c r="C255" s="47">
        <f t="shared" si="36"/>
        <v>0</v>
      </c>
      <c r="D255" s="47">
        <f t="shared" si="37"/>
        <v>0</v>
      </c>
      <c r="E255" s="47">
        <f t="shared" si="37"/>
        <v>0</v>
      </c>
      <c r="F255" s="47">
        <f t="shared" si="38"/>
        <v>0</v>
      </c>
      <c r="G255" s="47">
        <v>0</v>
      </c>
      <c r="H255" s="47">
        <v>0</v>
      </c>
      <c r="I255" s="47">
        <f t="shared" si="39"/>
        <v>0</v>
      </c>
      <c r="J255" s="47">
        <v>0</v>
      </c>
      <c r="K255" s="47">
        <v>0</v>
      </c>
      <c r="L255" s="188" t="s">
        <v>56</v>
      </c>
      <c r="M255" s="134"/>
    </row>
    <row r="256" spans="3:13" ht="17.25" customHeight="1" thickBot="1" x14ac:dyDescent="0.25">
      <c r="C256" s="47">
        <f t="shared" si="36"/>
        <v>40</v>
      </c>
      <c r="D256" s="47">
        <f t="shared" si="37"/>
        <v>30</v>
      </c>
      <c r="E256" s="47">
        <f t="shared" si="37"/>
        <v>10</v>
      </c>
      <c r="F256" s="47">
        <f t="shared" si="38"/>
        <v>0</v>
      </c>
      <c r="G256" s="47">
        <v>0</v>
      </c>
      <c r="H256" s="47">
        <v>0</v>
      </c>
      <c r="I256" s="47">
        <f t="shared" si="39"/>
        <v>40</v>
      </c>
      <c r="J256" s="47">
        <f>42-12</f>
        <v>30</v>
      </c>
      <c r="K256" s="47">
        <v>10</v>
      </c>
      <c r="L256" s="188" t="s">
        <v>57</v>
      </c>
      <c r="M256" s="134" t="s">
        <v>432</v>
      </c>
    </row>
    <row r="257" spans="3:13" ht="17.25" customHeight="1" thickBot="1" x14ac:dyDescent="0.25">
      <c r="C257" s="47">
        <f t="shared" si="36"/>
        <v>0</v>
      </c>
      <c r="D257" s="47">
        <f t="shared" si="37"/>
        <v>0</v>
      </c>
      <c r="E257" s="47">
        <f t="shared" si="37"/>
        <v>0</v>
      </c>
      <c r="F257" s="47">
        <f t="shared" si="38"/>
        <v>0</v>
      </c>
      <c r="G257" s="47">
        <v>0</v>
      </c>
      <c r="H257" s="47">
        <v>0</v>
      </c>
      <c r="I257" s="47">
        <f t="shared" si="39"/>
        <v>0</v>
      </c>
      <c r="J257" s="47">
        <v>0</v>
      </c>
      <c r="K257" s="47">
        <v>0</v>
      </c>
      <c r="L257" s="188" t="s">
        <v>59</v>
      </c>
      <c r="M257" s="135"/>
    </row>
    <row r="258" spans="3:13" ht="17.25" customHeight="1" thickBot="1" x14ac:dyDescent="0.25">
      <c r="C258" s="47">
        <f t="shared" ref="C258:K260" si="40">C228+C231+C234+C237+C240+C243+C246+C249+C252+C255</f>
        <v>75</v>
      </c>
      <c r="D258" s="47">
        <f t="shared" si="40"/>
        <v>72</v>
      </c>
      <c r="E258" s="47">
        <f t="shared" si="40"/>
        <v>3</v>
      </c>
      <c r="F258" s="47">
        <f t="shared" si="40"/>
        <v>0</v>
      </c>
      <c r="G258" s="47">
        <f t="shared" si="40"/>
        <v>0</v>
      </c>
      <c r="H258" s="47">
        <f t="shared" si="40"/>
        <v>0</v>
      </c>
      <c r="I258" s="47">
        <f t="shared" si="40"/>
        <v>75</v>
      </c>
      <c r="J258" s="47">
        <f t="shared" si="40"/>
        <v>72</v>
      </c>
      <c r="K258" s="47">
        <f>K228+K231+K234+K237+K240+K243+K246+K249+K252+K255</f>
        <v>3</v>
      </c>
      <c r="L258" s="188" t="s">
        <v>243</v>
      </c>
      <c r="M258" s="131"/>
    </row>
    <row r="259" spans="3:13" ht="17.25" customHeight="1" thickBot="1" x14ac:dyDescent="0.25">
      <c r="C259" s="47">
        <f t="shared" si="40"/>
        <v>338</v>
      </c>
      <c r="D259" s="47">
        <f t="shared" si="40"/>
        <v>174</v>
      </c>
      <c r="E259" s="47">
        <f t="shared" si="40"/>
        <v>164</v>
      </c>
      <c r="F259" s="47">
        <f t="shared" si="40"/>
        <v>0</v>
      </c>
      <c r="G259" s="47">
        <f t="shared" si="40"/>
        <v>0</v>
      </c>
      <c r="H259" s="47">
        <f t="shared" si="40"/>
        <v>0</v>
      </c>
      <c r="I259" s="47">
        <f t="shared" si="40"/>
        <v>338</v>
      </c>
      <c r="J259" s="47">
        <f t="shared" si="40"/>
        <v>174</v>
      </c>
      <c r="K259" s="47">
        <f t="shared" si="40"/>
        <v>164</v>
      </c>
      <c r="L259" s="188" t="s">
        <v>57</v>
      </c>
      <c r="M259" s="132" t="s">
        <v>244</v>
      </c>
    </row>
    <row r="260" spans="3:13" ht="17.25" customHeight="1" thickBot="1" x14ac:dyDescent="0.25">
      <c r="C260" s="47">
        <f t="shared" si="40"/>
        <v>73</v>
      </c>
      <c r="D260" s="47">
        <f t="shared" si="40"/>
        <v>73</v>
      </c>
      <c r="E260" s="47">
        <f t="shared" si="40"/>
        <v>0</v>
      </c>
      <c r="F260" s="47">
        <f t="shared" si="40"/>
        <v>0</v>
      </c>
      <c r="G260" s="47">
        <f t="shared" si="40"/>
        <v>0</v>
      </c>
      <c r="H260" s="47">
        <f t="shared" si="40"/>
        <v>0</v>
      </c>
      <c r="I260" s="47">
        <f t="shared" si="40"/>
        <v>73</v>
      </c>
      <c r="J260" s="47">
        <f t="shared" si="40"/>
        <v>73</v>
      </c>
      <c r="K260" s="47">
        <f t="shared" si="40"/>
        <v>0</v>
      </c>
      <c r="L260" s="188" t="s">
        <v>59</v>
      </c>
      <c r="M260" s="133"/>
    </row>
    <row r="261" spans="3:13" ht="17.25" customHeight="1" thickBot="1" x14ac:dyDescent="0.25">
      <c r="C261" s="47">
        <f t="shared" ref="C261:J261" si="41">SUM(C258:C260)</f>
        <v>486</v>
      </c>
      <c r="D261" s="47">
        <f t="shared" si="41"/>
        <v>319</v>
      </c>
      <c r="E261" s="47">
        <f t="shared" si="41"/>
        <v>167</v>
      </c>
      <c r="F261" s="47">
        <f t="shared" si="41"/>
        <v>0</v>
      </c>
      <c r="G261" s="47">
        <f t="shared" si="41"/>
        <v>0</v>
      </c>
      <c r="H261" s="47">
        <f t="shared" si="41"/>
        <v>0</v>
      </c>
      <c r="I261" s="47">
        <f t="shared" si="41"/>
        <v>486</v>
      </c>
      <c r="J261" s="47">
        <f t="shared" si="41"/>
        <v>319</v>
      </c>
      <c r="K261" s="47">
        <f>SUM(K258:K260)</f>
        <v>167</v>
      </c>
      <c r="L261" s="500" t="s">
        <v>245</v>
      </c>
      <c r="M261" s="500"/>
    </row>
    <row r="262" spans="3:13" ht="17.25" customHeight="1" thickBot="1" x14ac:dyDescent="0.25">
      <c r="C262" s="476" t="s">
        <v>4</v>
      </c>
      <c r="D262" s="476"/>
      <c r="E262" s="476"/>
      <c r="F262" s="476" t="s">
        <v>145</v>
      </c>
      <c r="G262" s="476"/>
      <c r="H262" s="476"/>
      <c r="I262" s="476" t="s">
        <v>146</v>
      </c>
      <c r="J262" s="476"/>
      <c r="K262" s="476"/>
      <c r="L262" s="479" t="s">
        <v>66</v>
      </c>
      <c r="M262" s="479"/>
    </row>
    <row r="263" spans="3:13" ht="17.25" customHeight="1" thickBot="1" x14ac:dyDescent="0.25">
      <c r="C263" s="185" t="s">
        <v>227</v>
      </c>
      <c r="D263" s="185" t="s">
        <v>10</v>
      </c>
      <c r="E263" s="185" t="s">
        <v>9</v>
      </c>
      <c r="F263" s="185" t="s">
        <v>227</v>
      </c>
      <c r="G263" s="185" t="s">
        <v>10</v>
      </c>
      <c r="H263" s="185" t="s">
        <v>9</v>
      </c>
      <c r="I263" s="185" t="s">
        <v>227</v>
      </c>
      <c r="J263" s="185" t="s">
        <v>10</v>
      </c>
      <c r="K263" s="185" t="s">
        <v>9</v>
      </c>
      <c r="L263" s="480" t="s">
        <v>75</v>
      </c>
      <c r="M263" s="480"/>
    </row>
    <row r="264" spans="3:13" ht="17.25" customHeight="1" thickBot="1" x14ac:dyDescent="0.25">
      <c r="C264" s="47">
        <f>SUM(D264:E264)</f>
        <v>0</v>
      </c>
      <c r="D264" s="47">
        <f>J264+G264</f>
        <v>0</v>
      </c>
      <c r="E264" s="47">
        <f>K264+H264</f>
        <v>0</v>
      </c>
      <c r="F264" s="47">
        <f>SUM(G264:H264)</f>
        <v>0</v>
      </c>
      <c r="G264" s="47">
        <v>0</v>
      </c>
      <c r="H264" s="47">
        <v>0</v>
      </c>
      <c r="I264" s="47">
        <f>SUM(J264:K264)</f>
        <v>0</v>
      </c>
      <c r="J264" s="47">
        <v>0</v>
      </c>
      <c r="K264" s="47">
        <v>0</v>
      </c>
      <c r="L264" s="188" t="s">
        <v>56</v>
      </c>
      <c r="M264" s="134"/>
    </row>
    <row r="265" spans="3:13" ht="17.25" customHeight="1" thickBot="1" x14ac:dyDescent="0.25">
      <c r="C265" s="47">
        <f t="shared" ref="C265:C278" si="42">SUM(D265:E265)</f>
        <v>42</v>
      </c>
      <c r="D265" s="47">
        <f t="shared" ref="D265:E278" si="43">J265+G265</f>
        <v>6</v>
      </c>
      <c r="E265" s="47">
        <f t="shared" si="43"/>
        <v>36</v>
      </c>
      <c r="F265" s="47">
        <f t="shared" ref="F265:F278" si="44">SUM(G265:H265)</f>
        <v>0</v>
      </c>
      <c r="G265" s="47">
        <v>0</v>
      </c>
      <c r="H265" s="47">
        <v>0</v>
      </c>
      <c r="I265" s="47">
        <f t="shared" ref="I265:I278" si="45">SUM(J265:K265)</f>
        <v>42</v>
      </c>
      <c r="J265" s="47">
        <v>6</v>
      </c>
      <c r="K265" s="47">
        <v>36</v>
      </c>
      <c r="L265" s="188" t="s">
        <v>57</v>
      </c>
      <c r="M265" s="134" t="s">
        <v>596</v>
      </c>
    </row>
    <row r="266" spans="3:13" ht="17.25" customHeight="1" thickBot="1" x14ac:dyDescent="0.25">
      <c r="C266" s="47">
        <f t="shared" si="42"/>
        <v>0</v>
      </c>
      <c r="D266" s="47">
        <f t="shared" si="43"/>
        <v>0</v>
      </c>
      <c r="E266" s="47">
        <f t="shared" si="43"/>
        <v>0</v>
      </c>
      <c r="F266" s="47">
        <f t="shared" si="44"/>
        <v>0</v>
      </c>
      <c r="G266" s="47">
        <v>0</v>
      </c>
      <c r="H266" s="47">
        <v>0</v>
      </c>
      <c r="I266" s="47">
        <f t="shared" si="45"/>
        <v>0</v>
      </c>
      <c r="J266" s="47">
        <v>0</v>
      </c>
      <c r="K266" s="47">
        <v>0</v>
      </c>
      <c r="L266" s="188" t="s">
        <v>59</v>
      </c>
      <c r="M266" s="135"/>
    </row>
    <row r="267" spans="3:13" ht="17.25" customHeight="1" thickBot="1" x14ac:dyDescent="0.25">
      <c r="C267" s="47">
        <f t="shared" si="42"/>
        <v>0</v>
      </c>
      <c r="D267" s="47">
        <f t="shared" si="43"/>
        <v>0</v>
      </c>
      <c r="E267" s="47">
        <f t="shared" si="43"/>
        <v>0</v>
      </c>
      <c r="F267" s="47">
        <f t="shared" si="44"/>
        <v>0</v>
      </c>
      <c r="G267" s="47">
        <v>0</v>
      </c>
      <c r="H267" s="47">
        <v>0</v>
      </c>
      <c r="I267" s="47">
        <f t="shared" si="45"/>
        <v>0</v>
      </c>
      <c r="J267" s="47">
        <v>0</v>
      </c>
      <c r="K267" s="47">
        <v>0</v>
      </c>
      <c r="L267" s="188" t="s">
        <v>56</v>
      </c>
      <c r="M267" s="134"/>
    </row>
    <row r="268" spans="3:13" ht="17.25" customHeight="1" thickBot="1" x14ac:dyDescent="0.25">
      <c r="C268" s="47">
        <f t="shared" si="42"/>
        <v>0</v>
      </c>
      <c r="D268" s="47">
        <f t="shared" si="43"/>
        <v>0</v>
      </c>
      <c r="E268" s="47">
        <f t="shared" si="43"/>
        <v>0</v>
      </c>
      <c r="F268" s="47">
        <f t="shared" si="44"/>
        <v>0</v>
      </c>
      <c r="G268" s="47">
        <v>0</v>
      </c>
      <c r="H268" s="47">
        <v>0</v>
      </c>
      <c r="I268" s="47">
        <f t="shared" si="45"/>
        <v>0</v>
      </c>
      <c r="J268" s="47">
        <v>0</v>
      </c>
      <c r="K268" s="47">
        <v>0</v>
      </c>
      <c r="L268" s="188" t="s">
        <v>57</v>
      </c>
      <c r="M268" s="134" t="s">
        <v>597</v>
      </c>
    </row>
    <row r="269" spans="3:13" ht="17.25" customHeight="1" thickBot="1" x14ac:dyDescent="0.25">
      <c r="C269" s="47">
        <f t="shared" si="42"/>
        <v>40</v>
      </c>
      <c r="D269" s="47">
        <f t="shared" si="43"/>
        <v>40</v>
      </c>
      <c r="E269" s="47">
        <f t="shared" si="43"/>
        <v>0</v>
      </c>
      <c r="F269" s="47">
        <f t="shared" si="44"/>
        <v>0</v>
      </c>
      <c r="G269" s="47">
        <v>0</v>
      </c>
      <c r="H269" s="47">
        <v>0</v>
      </c>
      <c r="I269" s="47">
        <f t="shared" si="45"/>
        <v>40</v>
      </c>
      <c r="J269" s="47">
        <v>40</v>
      </c>
      <c r="K269" s="47">
        <v>0</v>
      </c>
      <c r="L269" s="188" t="s">
        <v>59</v>
      </c>
      <c r="M269" s="135"/>
    </row>
    <row r="270" spans="3:13" ht="17.25" customHeight="1" thickBot="1" x14ac:dyDescent="0.25">
      <c r="C270" s="47">
        <f t="shared" si="42"/>
        <v>0</v>
      </c>
      <c r="D270" s="47">
        <f t="shared" si="43"/>
        <v>0</v>
      </c>
      <c r="E270" s="47">
        <f t="shared" si="43"/>
        <v>0</v>
      </c>
      <c r="F270" s="47">
        <f t="shared" si="44"/>
        <v>0</v>
      </c>
      <c r="G270" s="47">
        <v>0</v>
      </c>
      <c r="H270" s="47">
        <v>0</v>
      </c>
      <c r="I270" s="47">
        <f t="shared" si="45"/>
        <v>0</v>
      </c>
      <c r="J270" s="47">
        <v>0</v>
      </c>
      <c r="K270" s="47">
        <v>0</v>
      </c>
      <c r="L270" s="188" t="s">
        <v>56</v>
      </c>
      <c r="M270" s="134"/>
    </row>
    <row r="271" spans="3:13" ht="17.25" customHeight="1" thickBot="1" x14ac:dyDescent="0.25">
      <c r="C271" s="47">
        <f t="shared" si="42"/>
        <v>71</v>
      </c>
      <c r="D271" s="47">
        <f t="shared" si="43"/>
        <v>40</v>
      </c>
      <c r="E271" s="47">
        <f t="shared" si="43"/>
        <v>31</v>
      </c>
      <c r="F271" s="47">
        <f t="shared" si="44"/>
        <v>0</v>
      </c>
      <c r="G271" s="47">
        <v>0</v>
      </c>
      <c r="H271" s="47">
        <v>0</v>
      </c>
      <c r="I271" s="47">
        <f t="shared" si="45"/>
        <v>71</v>
      </c>
      <c r="J271" s="47">
        <v>40</v>
      </c>
      <c r="K271" s="47">
        <f>81-40-10</f>
        <v>31</v>
      </c>
      <c r="L271" s="188" t="s">
        <v>57</v>
      </c>
      <c r="M271" s="134" t="s">
        <v>496</v>
      </c>
    </row>
    <row r="272" spans="3:13" ht="17.25" customHeight="1" thickBot="1" x14ac:dyDescent="0.25">
      <c r="C272" s="47">
        <f t="shared" si="42"/>
        <v>200</v>
      </c>
      <c r="D272" s="47">
        <f t="shared" si="43"/>
        <v>100</v>
      </c>
      <c r="E272" s="47">
        <f t="shared" si="43"/>
        <v>100</v>
      </c>
      <c r="F272" s="47">
        <f t="shared" si="44"/>
        <v>1</v>
      </c>
      <c r="G272" s="47">
        <v>0</v>
      </c>
      <c r="H272" s="47">
        <v>1</v>
      </c>
      <c r="I272" s="47">
        <f t="shared" si="45"/>
        <v>199</v>
      </c>
      <c r="J272" s="47">
        <v>100</v>
      </c>
      <c r="K272" s="47">
        <f>309-100-100-10</f>
        <v>99</v>
      </c>
      <c r="L272" s="188" t="s">
        <v>59</v>
      </c>
      <c r="M272" s="135"/>
    </row>
    <row r="273" spans="3:13" ht="17.25" customHeight="1" thickBot="1" x14ac:dyDescent="0.25">
      <c r="C273" s="47">
        <f t="shared" si="42"/>
        <v>0</v>
      </c>
      <c r="D273" s="47">
        <f t="shared" si="43"/>
        <v>0</v>
      </c>
      <c r="E273" s="47">
        <f t="shared" si="43"/>
        <v>0</v>
      </c>
      <c r="F273" s="47">
        <f t="shared" si="44"/>
        <v>0</v>
      </c>
      <c r="G273" s="47">
        <v>0</v>
      </c>
      <c r="H273" s="47">
        <v>0</v>
      </c>
      <c r="I273" s="47">
        <f t="shared" si="45"/>
        <v>0</v>
      </c>
      <c r="J273" s="47">
        <v>0</v>
      </c>
      <c r="K273" s="47">
        <v>0</v>
      </c>
      <c r="L273" s="188" t="s">
        <v>56</v>
      </c>
      <c r="M273" s="134"/>
    </row>
    <row r="274" spans="3:13" ht="17.25" customHeight="1" thickBot="1" x14ac:dyDescent="0.25">
      <c r="C274" s="47">
        <f t="shared" si="42"/>
        <v>30</v>
      </c>
      <c r="D274" s="47">
        <f t="shared" si="43"/>
        <v>9</v>
      </c>
      <c r="E274" s="47">
        <f t="shared" si="43"/>
        <v>21</v>
      </c>
      <c r="F274" s="47">
        <f t="shared" si="44"/>
        <v>0</v>
      </c>
      <c r="G274" s="47">
        <v>0</v>
      </c>
      <c r="H274" s="47">
        <v>0</v>
      </c>
      <c r="I274" s="47">
        <f t="shared" si="45"/>
        <v>30</v>
      </c>
      <c r="J274" s="47">
        <v>9</v>
      </c>
      <c r="K274" s="47">
        <f>61-30-10</f>
        <v>21</v>
      </c>
      <c r="L274" s="188" t="s">
        <v>57</v>
      </c>
      <c r="M274" s="134" t="s">
        <v>678</v>
      </c>
    </row>
    <row r="275" spans="3:13" ht="17.25" customHeight="1" thickBot="1" x14ac:dyDescent="0.25">
      <c r="C275" s="47">
        <f t="shared" si="42"/>
        <v>0</v>
      </c>
      <c r="D275" s="47">
        <f t="shared" si="43"/>
        <v>0</v>
      </c>
      <c r="E275" s="47">
        <f t="shared" si="43"/>
        <v>0</v>
      </c>
      <c r="F275" s="47">
        <f t="shared" si="44"/>
        <v>0</v>
      </c>
      <c r="G275" s="47">
        <v>0</v>
      </c>
      <c r="H275" s="47">
        <v>0</v>
      </c>
      <c r="I275" s="47">
        <f t="shared" si="45"/>
        <v>0</v>
      </c>
      <c r="J275" s="47">
        <v>0</v>
      </c>
      <c r="K275" s="47">
        <v>0</v>
      </c>
      <c r="L275" s="188" t="s">
        <v>59</v>
      </c>
      <c r="M275" s="135"/>
    </row>
    <row r="276" spans="3:13" ht="17.25" customHeight="1" thickBot="1" x14ac:dyDescent="0.25">
      <c r="C276" s="47">
        <f t="shared" si="42"/>
        <v>0</v>
      </c>
      <c r="D276" s="47">
        <f t="shared" si="43"/>
        <v>0</v>
      </c>
      <c r="E276" s="47">
        <f t="shared" si="43"/>
        <v>0</v>
      </c>
      <c r="F276" s="47">
        <f t="shared" si="44"/>
        <v>0</v>
      </c>
      <c r="G276" s="47">
        <v>0</v>
      </c>
      <c r="H276" s="47">
        <v>0</v>
      </c>
      <c r="I276" s="47">
        <f t="shared" si="45"/>
        <v>0</v>
      </c>
      <c r="J276" s="47">
        <v>0</v>
      </c>
      <c r="K276" s="47">
        <v>0</v>
      </c>
      <c r="L276" s="188" t="s">
        <v>56</v>
      </c>
      <c r="M276" s="134"/>
    </row>
    <row r="277" spans="3:13" ht="17.25" customHeight="1" thickBot="1" x14ac:dyDescent="0.25">
      <c r="C277" s="47">
        <f t="shared" si="42"/>
        <v>19</v>
      </c>
      <c r="D277" s="47">
        <f t="shared" si="43"/>
        <v>13</v>
      </c>
      <c r="E277" s="47">
        <f t="shared" si="43"/>
        <v>6</v>
      </c>
      <c r="F277" s="47">
        <f t="shared" si="44"/>
        <v>0</v>
      </c>
      <c r="G277" s="47">
        <v>0</v>
      </c>
      <c r="H277" s="47">
        <v>0</v>
      </c>
      <c r="I277" s="47">
        <f t="shared" si="45"/>
        <v>19</v>
      </c>
      <c r="J277" s="47">
        <v>13</v>
      </c>
      <c r="K277" s="47">
        <v>6</v>
      </c>
      <c r="L277" s="188" t="s">
        <v>57</v>
      </c>
      <c r="M277" s="134" t="s">
        <v>455</v>
      </c>
    </row>
    <row r="278" spans="3:13" ht="17.25" customHeight="1" thickBot="1" x14ac:dyDescent="0.25">
      <c r="C278" s="47">
        <f t="shared" si="42"/>
        <v>0</v>
      </c>
      <c r="D278" s="47">
        <f t="shared" si="43"/>
        <v>0</v>
      </c>
      <c r="E278" s="47">
        <f t="shared" si="43"/>
        <v>0</v>
      </c>
      <c r="F278" s="47">
        <f t="shared" si="44"/>
        <v>0</v>
      </c>
      <c r="G278" s="47">
        <v>0</v>
      </c>
      <c r="H278" s="47">
        <v>0</v>
      </c>
      <c r="I278" s="47">
        <f t="shared" si="45"/>
        <v>0</v>
      </c>
      <c r="J278" s="47">
        <v>0</v>
      </c>
      <c r="K278" s="47">
        <v>0</v>
      </c>
      <c r="L278" s="188" t="s">
        <v>59</v>
      </c>
      <c r="M278" s="135"/>
    </row>
    <row r="279" spans="3:13" ht="17.25" customHeight="1" thickBot="1" x14ac:dyDescent="0.25">
      <c r="C279" s="47">
        <f t="shared" ref="C279:K281" si="46">C264+C267+C270+C273+C276</f>
        <v>0</v>
      </c>
      <c r="D279" s="47">
        <f t="shared" si="46"/>
        <v>0</v>
      </c>
      <c r="E279" s="47">
        <f t="shared" si="46"/>
        <v>0</v>
      </c>
      <c r="F279" s="47">
        <f t="shared" si="46"/>
        <v>0</v>
      </c>
      <c r="G279" s="47">
        <f t="shared" si="46"/>
        <v>0</v>
      </c>
      <c r="H279" s="47">
        <f t="shared" si="46"/>
        <v>0</v>
      </c>
      <c r="I279" s="47">
        <f t="shared" si="46"/>
        <v>0</v>
      </c>
      <c r="J279" s="47">
        <f t="shared" si="46"/>
        <v>0</v>
      </c>
      <c r="K279" s="47">
        <f>K264+K267+K270+K273+K276</f>
        <v>0</v>
      </c>
      <c r="L279" s="188" t="s">
        <v>243</v>
      </c>
      <c r="M279" s="131"/>
    </row>
    <row r="280" spans="3:13" ht="17.25" customHeight="1" thickBot="1" x14ac:dyDescent="0.25">
      <c r="C280" s="47">
        <f t="shared" si="46"/>
        <v>162</v>
      </c>
      <c r="D280" s="47">
        <f t="shared" si="46"/>
        <v>68</v>
      </c>
      <c r="E280" s="47">
        <f t="shared" si="46"/>
        <v>94</v>
      </c>
      <c r="F280" s="47">
        <f t="shared" si="46"/>
        <v>0</v>
      </c>
      <c r="G280" s="47">
        <f t="shared" si="46"/>
        <v>0</v>
      </c>
      <c r="H280" s="47">
        <f t="shared" si="46"/>
        <v>0</v>
      </c>
      <c r="I280" s="47">
        <f t="shared" si="46"/>
        <v>162</v>
      </c>
      <c r="J280" s="47">
        <f t="shared" si="46"/>
        <v>68</v>
      </c>
      <c r="K280" s="47">
        <f t="shared" si="46"/>
        <v>94</v>
      </c>
      <c r="L280" s="188" t="s">
        <v>57</v>
      </c>
      <c r="M280" s="132" t="s">
        <v>244</v>
      </c>
    </row>
    <row r="281" spans="3:13" ht="17.25" customHeight="1" thickBot="1" x14ac:dyDescent="0.25">
      <c r="C281" s="47">
        <f t="shared" si="46"/>
        <v>240</v>
      </c>
      <c r="D281" s="47">
        <f t="shared" si="46"/>
        <v>140</v>
      </c>
      <c r="E281" s="47">
        <f t="shared" si="46"/>
        <v>100</v>
      </c>
      <c r="F281" s="47">
        <f t="shared" si="46"/>
        <v>1</v>
      </c>
      <c r="G281" s="47">
        <f t="shared" si="46"/>
        <v>0</v>
      </c>
      <c r="H281" s="47">
        <f t="shared" si="46"/>
        <v>1</v>
      </c>
      <c r="I281" s="47">
        <f t="shared" si="46"/>
        <v>239</v>
      </c>
      <c r="J281" s="47">
        <f t="shared" si="46"/>
        <v>140</v>
      </c>
      <c r="K281" s="47">
        <f t="shared" si="46"/>
        <v>99</v>
      </c>
      <c r="L281" s="188" t="s">
        <v>59</v>
      </c>
      <c r="M281" s="133"/>
    </row>
    <row r="282" spans="3:13" ht="17.25" customHeight="1" thickBot="1" x14ac:dyDescent="0.25">
      <c r="C282" s="47">
        <f t="shared" ref="C282:J282" si="47">SUM(C279:C281)</f>
        <v>402</v>
      </c>
      <c r="D282" s="47">
        <f t="shared" si="47"/>
        <v>208</v>
      </c>
      <c r="E282" s="47">
        <f t="shared" si="47"/>
        <v>194</v>
      </c>
      <c r="F282" s="47">
        <f t="shared" si="47"/>
        <v>1</v>
      </c>
      <c r="G282" s="47">
        <f t="shared" si="47"/>
        <v>0</v>
      </c>
      <c r="H282" s="47">
        <f t="shared" si="47"/>
        <v>1</v>
      </c>
      <c r="I282" s="47">
        <f t="shared" si="47"/>
        <v>401</v>
      </c>
      <c r="J282" s="47">
        <f t="shared" si="47"/>
        <v>208</v>
      </c>
      <c r="K282" s="47">
        <f>SUM(K279:K281)</f>
        <v>193</v>
      </c>
      <c r="L282" s="500" t="s">
        <v>245</v>
      </c>
      <c r="M282" s="500"/>
    </row>
    <row r="283" spans="3:13" ht="17.25" customHeight="1" thickBot="1" x14ac:dyDescent="0.25">
      <c r="C283" s="476" t="s">
        <v>4</v>
      </c>
      <c r="D283" s="476"/>
      <c r="E283" s="476"/>
      <c r="F283" s="476" t="s">
        <v>145</v>
      </c>
      <c r="G283" s="476"/>
      <c r="H283" s="476"/>
      <c r="I283" s="476" t="s">
        <v>146</v>
      </c>
      <c r="J283" s="476"/>
      <c r="K283" s="476"/>
      <c r="L283" s="479" t="s">
        <v>66</v>
      </c>
      <c r="M283" s="479"/>
    </row>
    <row r="284" spans="3:13" ht="17.25" customHeight="1" thickBot="1" x14ac:dyDescent="0.25">
      <c r="C284" s="185" t="s">
        <v>227</v>
      </c>
      <c r="D284" s="185" t="s">
        <v>10</v>
      </c>
      <c r="E284" s="185" t="s">
        <v>9</v>
      </c>
      <c r="F284" s="185" t="s">
        <v>227</v>
      </c>
      <c r="G284" s="185" t="s">
        <v>10</v>
      </c>
      <c r="H284" s="185" t="s">
        <v>9</v>
      </c>
      <c r="I284" s="185" t="s">
        <v>227</v>
      </c>
      <c r="J284" s="185" t="s">
        <v>10</v>
      </c>
      <c r="K284" s="185" t="s">
        <v>9</v>
      </c>
      <c r="L284" s="480" t="s">
        <v>100</v>
      </c>
      <c r="M284" s="480"/>
    </row>
    <row r="285" spans="3:13" ht="17.25" customHeight="1" thickBot="1" x14ac:dyDescent="0.25">
      <c r="C285" s="47">
        <f>SUM(D285:E285)</f>
        <v>3</v>
      </c>
      <c r="D285" s="47">
        <f>J285+G285</f>
        <v>0</v>
      </c>
      <c r="E285" s="47">
        <f>K285+H285</f>
        <v>3</v>
      </c>
      <c r="F285" s="47">
        <f>SUM(G285:H285)</f>
        <v>0</v>
      </c>
      <c r="G285" s="47">
        <v>0</v>
      </c>
      <c r="H285" s="47">
        <v>0</v>
      </c>
      <c r="I285" s="47">
        <f>SUM(J285:K285)</f>
        <v>3</v>
      </c>
      <c r="J285" s="47">
        <v>0</v>
      </c>
      <c r="K285" s="47">
        <v>3</v>
      </c>
      <c r="L285" s="188" t="s">
        <v>56</v>
      </c>
      <c r="M285" s="134"/>
    </row>
    <row r="286" spans="3:13" ht="17.25" customHeight="1" thickBot="1" x14ac:dyDescent="0.25">
      <c r="C286" s="47">
        <f t="shared" ref="C286:C299" si="48">SUM(D286:E286)</f>
        <v>109</v>
      </c>
      <c r="D286" s="47">
        <f t="shared" ref="D286:E299" si="49">J286+G286</f>
        <v>0</v>
      </c>
      <c r="E286" s="47">
        <f t="shared" si="49"/>
        <v>109</v>
      </c>
      <c r="F286" s="47">
        <f t="shared" ref="F286:F299" si="50">SUM(G286:H286)</f>
        <v>11</v>
      </c>
      <c r="G286" s="47">
        <v>0</v>
      </c>
      <c r="H286" s="47">
        <v>11</v>
      </c>
      <c r="I286" s="47">
        <f t="shared" ref="I286:I299" si="51">SUM(J286:K286)</f>
        <v>98</v>
      </c>
      <c r="J286" s="47">
        <v>0</v>
      </c>
      <c r="K286" s="47">
        <v>98</v>
      </c>
      <c r="L286" s="188" t="s">
        <v>57</v>
      </c>
      <c r="M286" s="134" t="s">
        <v>453</v>
      </c>
    </row>
    <row r="287" spans="3:13" ht="17.25" customHeight="1" thickBot="1" x14ac:dyDescent="0.25">
      <c r="C287" s="47">
        <f t="shared" si="48"/>
        <v>0</v>
      </c>
      <c r="D287" s="47">
        <f t="shared" si="49"/>
        <v>0</v>
      </c>
      <c r="E287" s="47">
        <f t="shared" si="49"/>
        <v>0</v>
      </c>
      <c r="F287" s="47">
        <f t="shared" si="50"/>
        <v>0</v>
      </c>
      <c r="G287" s="47">
        <v>0</v>
      </c>
      <c r="H287" s="47">
        <v>0</v>
      </c>
      <c r="I287" s="47">
        <f t="shared" si="51"/>
        <v>0</v>
      </c>
      <c r="J287" s="47">
        <v>0</v>
      </c>
      <c r="K287" s="47">
        <v>0</v>
      </c>
      <c r="L287" s="188" t="s">
        <v>59</v>
      </c>
      <c r="M287" s="135"/>
    </row>
    <row r="288" spans="3:13" ht="17.25" customHeight="1" thickBot="1" x14ac:dyDescent="0.25">
      <c r="C288" s="47">
        <f t="shared" si="48"/>
        <v>2</v>
      </c>
      <c r="D288" s="47">
        <f t="shared" si="49"/>
        <v>0</v>
      </c>
      <c r="E288" s="47">
        <f t="shared" si="49"/>
        <v>2</v>
      </c>
      <c r="F288" s="47">
        <f t="shared" si="50"/>
        <v>0</v>
      </c>
      <c r="G288" s="47">
        <v>0</v>
      </c>
      <c r="H288" s="47">
        <v>0</v>
      </c>
      <c r="I288" s="47">
        <f t="shared" si="51"/>
        <v>2</v>
      </c>
      <c r="J288" s="47">
        <v>0</v>
      </c>
      <c r="K288" s="47">
        <v>2</v>
      </c>
      <c r="L288" s="188" t="s">
        <v>56</v>
      </c>
      <c r="M288" s="134"/>
    </row>
    <row r="289" spans="3:13" ht="17.25" customHeight="1" thickBot="1" x14ac:dyDescent="0.25">
      <c r="C289" s="47">
        <f t="shared" si="48"/>
        <v>174</v>
      </c>
      <c r="D289" s="47">
        <f t="shared" si="49"/>
        <v>73</v>
      </c>
      <c r="E289" s="47">
        <f t="shared" si="49"/>
        <v>101</v>
      </c>
      <c r="F289" s="47">
        <f t="shared" si="50"/>
        <v>0</v>
      </c>
      <c r="G289" s="47">
        <v>0</v>
      </c>
      <c r="H289" s="47">
        <v>0</v>
      </c>
      <c r="I289" s="47">
        <f t="shared" si="51"/>
        <v>174</v>
      </c>
      <c r="J289" s="47">
        <f>96-20-3</f>
        <v>73</v>
      </c>
      <c r="K289" s="47">
        <v>101</v>
      </c>
      <c r="L289" s="188" t="s">
        <v>57</v>
      </c>
      <c r="M289" s="134" t="s">
        <v>679</v>
      </c>
    </row>
    <row r="290" spans="3:13" ht="17.25" customHeight="1" thickBot="1" x14ac:dyDescent="0.25">
      <c r="C290" s="47">
        <f t="shared" si="48"/>
        <v>0</v>
      </c>
      <c r="D290" s="47">
        <f t="shared" si="49"/>
        <v>0</v>
      </c>
      <c r="E290" s="47">
        <f t="shared" si="49"/>
        <v>0</v>
      </c>
      <c r="F290" s="47">
        <f t="shared" si="50"/>
        <v>0</v>
      </c>
      <c r="G290" s="47">
        <v>0</v>
      </c>
      <c r="H290" s="47">
        <v>0</v>
      </c>
      <c r="I290" s="47">
        <f t="shared" si="51"/>
        <v>0</v>
      </c>
      <c r="J290" s="47">
        <v>0</v>
      </c>
      <c r="K290" s="47">
        <v>0</v>
      </c>
      <c r="L290" s="188" t="s">
        <v>59</v>
      </c>
      <c r="M290" s="135"/>
    </row>
    <row r="291" spans="3:13" ht="17.25" customHeight="1" thickBot="1" x14ac:dyDescent="0.25">
      <c r="C291" s="47">
        <f t="shared" si="48"/>
        <v>1</v>
      </c>
      <c r="D291" s="47">
        <f t="shared" si="49"/>
        <v>0</v>
      </c>
      <c r="E291" s="47">
        <f t="shared" si="49"/>
        <v>1</v>
      </c>
      <c r="F291" s="47">
        <f t="shared" si="50"/>
        <v>0</v>
      </c>
      <c r="G291" s="47">
        <v>0</v>
      </c>
      <c r="H291" s="47">
        <v>0</v>
      </c>
      <c r="I291" s="47">
        <f t="shared" si="51"/>
        <v>1</v>
      </c>
      <c r="J291" s="47">
        <v>0</v>
      </c>
      <c r="K291" s="47">
        <v>1</v>
      </c>
      <c r="L291" s="188" t="s">
        <v>56</v>
      </c>
      <c r="M291" s="134"/>
    </row>
    <row r="292" spans="3:13" ht="17.25" customHeight="1" thickBot="1" x14ac:dyDescent="0.25">
      <c r="C292" s="47">
        <f t="shared" si="48"/>
        <v>34</v>
      </c>
      <c r="D292" s="47">
        <f t="shared" si="49"/>
        <v>10</v>
      </c>
      <c r="E292" s="47">
        <f t="shared" si="49"/>
        <v>24</v>
      </c>
      <c r="F292" s="47">
        <f t="shared" si="50"/>
        <v>0</v>
      </c>
      <c r="G292" s="47">
        <v>0</v>
      </c>
      <c r="H292" s="47">
        <v>0</v>
      </c>
      <c r="I292" s="47">
        <f t="shared" si="51"/>
        <v>34</v>
      </c>
      <c r="J292" s="47">
        <f>17-7</f>
        <v>10</v>
      </c>
      <c r="K292" s="47">
        <v>24</v>
      </c>
      <c r="L292" s="188" t="s">
        <v>57</v>
      </c>
      <c r="M292" s="134" t="s">
        <v>471</v>
      </c>
    </row>
    <row r="293" spans="3:13" ht="17.25" customHeight="1" thickBot="1" x14ac:dyDescent="0.25">
      <c r="C293" s="47">
        <f t="shared" si="48"/>
        <v>0</v>
      </c>
      <c r="D293" s="47">
        <f t="shared" si="49"/>
        <v>0</v>
      </c>
      <c r="E293" s="47">
        <f t="shared" si="49"/>
        <v>0</v>
      </c>
      <c r="F293" s="47">
        <f t="shared" si="50"/>
        <v>0</v>
      </c>
      <c r="G293" s="47">
        <v>0</v>
      </c>
      <c r="H293" s="47">
        <v>0</v>
      </c>
      <c r="I293" s="47">
        <f t="shared" si="51"/>
        <v>0</v>
      </c>
      <c r="J293" s="47">
        <v>0</v>
      </c>
      <c r="K293" s="47">
        <v>0</v>
      </c>
      <c r="L293" s="188" t="s">
        <v>59</v>
      </c>
      <c r="M293" s="135"/>
    </row>
    <row r="294" spans="3:13" ht="17.25" customHeight="1" thickBot="1" x14ac:dyDescent="0.25">
      <c r="C294" s="47">
        <f t="shared" si="48"/>
        <v>0</v>
      </c>
      <c r="D294" s="47">
        <f t="shared" si="49"/>
        <v>0</v>
      </c>
      <c r="E294" s="47">
        <f t="shared" si="49"/>
        <v>0</v>
      </c>
      <c r="F294" s="47">
        <f t="shared" si="50"/>
        <v>0</v>
      </c>
      <c r="G294" s="47">
        <v>0</v>
      </c>
      <c r="H294" s="47">
        <v>0</v>
      </c>
      <c r="I294" s="47">
        <f t="shared" si="51"/>
        <v>0</v>
      </c>
      <c r="J294" s="47">
        <v>0</v>
      </c>
      <c r="K294" s="47">
        <v>0</v>
      </c>
      <c r="L294" s="188" t="s">
        <v>56</v>
      </c>
      <c r="M294" s="134"/>
    </row>
    <row r="295" spans="3:13" ht="17.25" customHeight="1" thickBot="1" x14ac:dyDescent="0.25">
      <c r="C295" s="47">
        <f t="shared" si="48"/>
        <v>21</v>
      </c>
      <c r="D295" s="47">
        <f t="shared" si="49"/>
        <v>0</v>
      </c>
      <c r="E295" s="47">
        <f t="shared" si="49"/>
        <v>21</v>
      </c>
      <c r="F295" s="47">
        <f t="shared" si="50"/>
        <v>0</v>
      </c>
      <c r="G295" s="47">
        <v>0</v>
      </c>
      <c r="H295" s="47">
        <v>0</v>
      </c>
      <c r="I295" s="47">
        <f t="shared" si="51"/>
        <v>21</v>
      </c>
      <c r="J295" s="47">
        <v>0</v>
      </c>
      <c r="K295" s="47">
        <v>21</v>
      </c>
      <c r="L295" s="188" t="s">
        <v>57</v>
      </c>
      <c r="M295" s="134" t="s">
        <v>472</v>
      </c>
    </row>
    <row r="296" spans="3:13" ht="17.25" customHeight="1" thickBot="1" x14ac:dyDescent="0.25">
      <c r="C296" s="47">
        <f t="shared" si="48"/>
        <v>0</v>
      </c>
      <c r="D296" s="47">
        <f t="shared" si="49"/>
        <v>0</v>
      </c>
      <c r="E296" s="47">
        <f t="shared" si="49"/>
        <v>0</v>
      </c>
      <c r="F296" s="47">
        <f t="shared" si="50"/>
        <v>0</v>
      </c>
      <c r="G296" s="47">
        <v>0</v>
      </c>
      <c r="H296" s="47">
        <v>0</v>
      </c>
      <c r="I296" s="47">
        <f t="shared" si="51"/>
        <v>0</v>
      </c>
      <c r="J296" s="47">
        <v>0</v>
      </c>
      <c r="K296" s="47">
        <v>0</v>
      </c>
      <c r="L296" s="188" t="s">
        <v>59</v>
      </c>
      <c r="M296" s="135"/>
    </row>
    <row r="297" spans="3:13" ht="17.25" customHeight="1" thickBot="1" x14ac:dyDescent="0.25">
      <c r="C297" s="47">
        <f t="shared" si="48"/>
        <v>2</v>
      </c>
      <c r="D297" s="47">
        <f t="shared" si="49"/>
        <v>0</v>
      </c>
      <c r="E297" s="47">
        <f t="shared" si="49"/>
        <v>2</v>
      </c>
      <c r="F297" s="47">
        <f t="shared" si="50"/>
        <v>0</v>
      </c>
      <c r="G297" s="47">
        <v>0</v>
      </c>
      <c r="H297" s="47">
        <v>0</v>
      </c>
      <c r="I297" s="47">
        <f t="shared" si="51"/>
        <v>2</v>
      </c>
      <c r="J297" s="47">
        <v>0</v>
      </c>
      <c r="K297" s="47">
        <v>2</v>
      </c>
      <c r="L297" s="188" t="s">
        <v>56</v>
      </c>
      <c r="M297" s="134"/>
    </row>
    <row r="298" spans="3:13" ht="17.25" customHeight="1" thickBot="1" x14ac:dyDescent="0.25">
      <c r="C298" s="47">
        <f t="shared" si="48"/>
        <v>75</v>
      </c>
      <c r="D298" s="47">
        <f t="shared" si="49"/>
        <v>11</v>
      </c>
      <c r="E298" s="47">
        <f t="shared" si="49"/>
        <v>64</v>
      </c>
      <c r="F298" s="47">
        <f t="shared" si="50"/>
        <v>0</v>
      </c>
      <c r="G298" s="47">
        <v>0</v>
      </c>
      <c r="H298" s="47">
        <v>0</v>
      </c>
      <c r="I298" s="47">
        <f t="shared" si="51"/>
        <v>75</v>
      </c>
      <c r="J298" s="47">
        <v>11</v>
      </c>
      <c r="K298" s="47">
        <v>64</v>
      </c>
      <c r="L298" s="188" t="s">
        <v>57</v>
      </c>
      <c r="M298" s="134" t="s">
        <v>367</v>
      </c>
    </row>
    <row r="299" spans="3:13" ht="17.25" customHeight="1" thickBot="1" x14ac:dyDescent="0.25">
      <c r="C299" s="47">
        <f t="shared" si="48"/>
        <v>0</v>
      </c>
      <c r="D299" s="47">
        <f t="shared" si="49"/>
        <v>0</v>
      </c>
      <c r="E299" s="47">
        <f t="shared" si="49"/>
        <v>0</v>
      </c>
      <c r="F299" s="47">
        <f t="shared" si="50"/>
        <v>0</v>
      </c>
      <c r="G299" s="47">
        <v>0</v>
      </c>
      <c r="H299" s="47">
        <v>0</v>
      </c>
      <c r="I299" s="47">
        <f t="shared" si="51"/>
        <v>0</v>
      </c>
      <c r="J299" s="47">
        <v>0</v>
      </c>
      <c r="K299" s="47">
        <v>0</v>
      </c>
      <c r="L299" s="188" t="s">
        <v>59</v>
      </c>
      <c r="M299" s="135"/>
    </row>
    <row r="300" spans="3:13" ht="17.25" customHeight="1" thickBot="1" x14ac:dyDescent="0.25">
      <c r="C300" s="47">
        <f t="shared" ref="C300:K302" si="52">C285+C288+C291+C294+C297</f>
        <v>8</v>
      </c>
      <c r="D300" s="47">
        <f t="shared" si="52"/>
        <v>0</v>
      </c>
      <c r="E300" s="47">
        <f t="shared" si="52"/>
        <v>8</v>
      </c>
      <c r="F300" s="47">
        <f t="shared" si="52"/>
        <v>0</v>
      </c>
      <c r="G300" s="47">
        <f t="shared" si="52"/>
        <v>0</v>
      </c>
      <c r="H300" s="47">
        <f t="shared" si="52"/>
        <v>0</v>
      </c>
      <c r="I300" s="47">
        <f t="shared" si="52"/>
        <v>8</v>
      </c>
      <c r="J300" s="47">
        <f t="shared" si="52"/>
        <v>0</v>
      </c>
      <c r="K300" s="47">
        <f>K285+K288+K291+K294+K297</f>
        <v>8</v>
      </c>
      <c r="L300" s="188" t="s">
        <v>243</v>
      </c>
      <c r="M300" s="131"/>
    </row>
    <row r="301" spans="3:13" ht="17.25" customHeight="1" thickBot="1" x14ac:dyDescent="0.25">
      <c r="C301" s="47">
        <f t="shared" si="52"/>
        <v>413</v>
      </c>
      <c r="D301" s="47">
        <f t="shared" si="52"/>
        <v>94</v>
      </c>
      <c r="E301" s="47">
        <f t="shared" si="52"/>
        <v>319</v>
      </c>
      <c r="F301" s="47">
        <f t="shared" si="52"/>
        <v>11</v>
      </c>
      <c r="G301" s="47">
        <f t="shared" si="52"/>
        <v>0</v>
      </c>
      <c r="H301" s="47">
        <f t="shared" si="52"/>
        <v>11</v>
      </c>
      <c r="I301" s="47">
        <f t="shared" si="52"/>
        <v>402</v>
      </c>
      <c r="J301" s="47">
        <f t="shared" si="52"/>
        <v>94</v>
      </c>
      <c r="K301" s="47">
        <f t="shared" si="52"/>
        <v>308</v>
      </c>
      <c r="L301" s="188" t="s">
        <v>57</v>
      </c>
      <c r="M301" s="132" t="s">
        <v>244</v>
      </c>
    </row>
    <row r="302" spans="3:13" ht="17.25" customHeight="1" thickBot="1" x14ac:dyDescent="0.25">
      <c r="C302" s="47">
        <f t="shared" si="52"/>
        <v>0</v>
      </c>
      <c r="D302" s="47">
        <f t="shared" si="52"/>
        <v>0</v>
      </c>
      <c r="E302" s="47">
        <f t="shared" si="52"/>
        <v>0</v>
      </c>
      <c r="F302" s="47">
        <f t="shared" si="52"/>
        <v>0</v>
      </c>
      <c r="G302" s="47">
        <f t="shared" si="52"/>
        <v>0</v>
      </c>
      <c r="H302" s="47">
        <f t="shared" si="52"/>
        <v>0</v>
      </c>
      <c r="I302" s="47">
        <f t="shared" si="52"/>
        <v>0</v>
      </c>
      <c r="J302" s="47">
        <f t="shared" si="52"/>
        <v>0</v>
      </c>
      <c r="K302" s="47">
        <f t="shared" si="52"/>
        <v>0</v>
      </c>
      <c r="L302" s="188" t="s">
        <v>59</v>
      </c>
      <c r="M302" s="133"/>
    </row>
    <row r="303" spans="3:13" ht="17.25" customHeight="1" thickBot="1" x14ac:dyDescent="0.25">
      <c r="C303" s="47">
        <f t="shared" ref="C303:J303" si="53">SUM(C300:C302)</f>
        <v>421</v>
      </c>
      <c r="D303" s="47">
        <f t="shared" si="53"/>
        <v>94</v>
      </c>
      <c r="E303" s="47">
        <f t="shared" si="53"/>
        <v>327</v>
      </c>
      <c r="F303" s="47">
        <f t="shared" si="53"/>
        <v>11</v>
      </c>
      <c r="G303" s="47">
        <f t="shared" si="53"/>
        <v>0</v>
      </c>
      <c r="H303" s="47">
        <f t="shared" si="53"/>
        <v>11</v>
      </c>
      <c r="I303" s="47">
        <f t="shared" si="53"/>
        <v>410</v>
      </c>
      <c r="J303" s="47">
        <f t="shared" si="53"/>
        <v>94</v>
      </c>
      <c r="K303" s="47">
        <f>SUM(K300:K302)</f>
        <v>316</v>
      </c>
      <c r="L303" s="500" t="s">
        <v>245</v>
      </c>
      <c r="M303" s="500"/>
    </row>
    <row r="304" spans="3:13" ht="17.25" customHeight="1" thickBot="1" x14ac:dyDescent="0.25">
      <c r="C304" s="476" t="s">
        <v>4</v>
      </c>
      <c r="D304" s="476"/>
      <c r="E304" s="476"/>
      <c r="F304" s="476" t="s">
        <v>145</v>
      </c>
      <c r="G304" s="476"/>
      <c r="H304" s="476"/>
      <c r="I304" s="476" t="s">
        <v>146</v>
      </c>
      <c r="J304" s="476"/>
      <c r="K304" s="476"/>
      <c r="L304" s="479" t="s">
        <v>66</v>
      </c>
      <c r="M304" s="479"/>
    </row>
    <row r="305" spans="3:13" ht="17.25" customHeight="1" thickBot="1" x14ac:dyDescent="0.25">
      <c r="C305" s="185" t="s">
        <v>227</v>
      </c>
      <c r="D305" s="185" t="s">
        <v>10</v>
      </c>
      <c r="E305" s="185" t="s">
        <v>9</v>
      </c>
      <c r="F305" s="185" t="s">
        <v>227</v>
      </c>
      <c r="G305" s="185" t="s">
        <v>10</v>
      </c>
      <c r="H305" s="185" t="s">
        <v>9</v>
      </c>
      <c r="I305" s="185" t="s">
        <v>227</v>
      </c>
      <c r="J305" s="185" t="s">
        <v>10</v>
      </c>
      <c r="K305" s="185" t="s">
        <v>9</v>
      </c>
      <c r="L305" s="480" t="s">
        <v>598</v>
      </c>
      <c r="M305" s="480"/>
    </row>
    <row r="306" spans="3:13" ht="17.25" customHeight="1" thickBot="1" x14ac:dyDescent="0.25">
      <c r="C306" s="47">
        <f>SUM(D306:E306)</f>
        <v>0</v>
      </c>
      <c r="D306" s="47">
        <f>J306+G306</f>
        <v>0</v>
      </c>
      <c r="E306" s="47">
        <f>K306+H306</f>
        <v>0</v>
      </c>
      <c r="F306" s="47">
        <f>SUM(G306:H306)</f>
        <v>0</v>
      </c>
      <c r="G306" s="47">
        <v>0</v>
      </c>
      <c r="H306" s="47">
        <v>0</v>
      </c>
      <c r="I306" s="47">
        <f>SUM(J306:K306)</f>
        <v>0</v>
      </c>
      <c r="J306" s="47">
        <v>0</v>
      </c>
      <c r="K306" s="47">
        <v>0</v>
      </c>
      <c r="L306" s="188" t="s">
        <v>56</v>
      </c>
      <c r="M306" s="134"/>
    </row>
    <row r="307" spans="3:13" ht="17.25" customHeight="1" thickBot="1" x14ac:dyDescent="0.25">
      <c r="C307" s="47">
        <f t="shared" ref="C307:C320" si="54">SUM(D307:E307)</f>
        <v>0</v>
      </c>
      <c r="D307" s="47">
        <f t="shared" ref="D307:E320" si="55">J307+G307</f>
        <v>0</v>
      </c>
      <c r="E307" s="47">
        <f t="shared" si="55"/>
        <v>0</v>
      </c>
      <c r="F307" s="47">
        <f t="shared" ref="F307:F320" si="56">SUM(G307:H307)</f>
        <v>0</v>
      </c>
      <c r="G307" s="47">
        <v>0</v>
      </c>
      <c r="H307" s="47">
        <v>0</v>
      </c>
      <c r="I307" s="47">
        <f t="shared" ref="I307:I320" si="57">SUM(J307:K307)</f>
        <v>0</v>
      </c>
      <c r="J307" s="47">
        <v>0</v>
      </c>
      <c r="K307" s="47">
        <v>0</v>
      </c>
      <c r="L307" s="188" t="s">
        <v>57</v>
      </c>
      <c r="M307" s="134" t="s">
        <v>680</v>
      </c>
    </row>
    <row r="308" spans="3:13" ht="17.25" customHeight="1" thickBot="1" x14ac:dyDescent="0.25">
      <c r="C308" s="47">
        <f t="shared" si="54"/>
        <v>30</v>
      </c>
      <c r="D308" s="47">
        <f t="shared" si="55"/>
        <v>0</v>
      </c>
      <c r="E308" s="47">
        <f t="shared" si="55"/>
        <v>30</v>
      </c>
      <c r="F308" s="47">
        <f t="shared" si="56"/>
        <v>0</v>
      </c>
      <c r="G308" s="47">
        <v>0</v>
      </c>
      <c r="H308" s="47">
        <v>0</v>
      </c>
      <c r="I308" s="47">
        <f t="shared" si="57"/>
        <v>30</v>
      </c>
      <c r="J308" s="47">
        <v>0</v>
      </c>
      <c r="K308" s="47">
        <f>105-70-5</f>
        <v>30</v>
      </c>
      <c r="L308" s="188" t="s">
        <v>59</v>
      </c>
      <c r="M308" s="135"/>
    </row>
    <row r="309" spans="3:13" ht="17.25" customHeight="1" thickBot="1" x14ac:dyDescent="0.25">
      <c r="C309" s="47">
        <f t="shared" si="54"/>
        <v>0</v>
      </c>
      <c r="D309" s="47">
        <f t="shared" si="55"/>
        <v>0</v>
      </c>
      <c r="E309" s="47">
        <f t="shared" si="55"/>
        <v>0</v>
      </c>
      <c r="F309" s="47">
        <f t="shared" si="56"/>
        <v>0</v>
      </c>
      <c r="G309" s="47">
        <v>0</v>
      </c>
      <c r="H309" s="47">
        <v>0</v>
      </c>
      <c r="I309" s="47">
        <f t="shared" si="57"/>
        <v>0</v>
      </c>
      <c r="J309" s="47">
        <v>0</v>
      </c>
      <c r="K309" s="47">
        <v>0</v>
      </c>
      <c r="L309" s="188" t="s">
        <v>56</v>
      </c>
      <c r="M309" s="134"/>
    </row>
    <row r="310" spans="3:13" ht="17.25" customHeight="1" thickBot="1" x14ac:dyDescent="0.25">
      <c r="C310" s="47">
        <f t="shared" si="54"/>
        <v>0</v>
      </c>
      <c r="D310" s="47">
        <f t="shared" si="55"/>
        <v>0</v>
      </c>
      <c r="E310" s="47">
        <f t="shared" si="55"/>
        <v>0</v>
      </c>
      <c r="F310" s="47">
        <f t="shared" si="56"/>
        <v>0</v>
      </c>
      <c r="G310" s="47">
        <v>0</v>
      </c>
      <c r="H310" s="47">
        <v>0</v>
      </c>
      <c r="I310" s="47">
        <f t="shared" si="57"/>
        <v>0</v>
      </c>
      <c r="J310" s="47">
        <v>0</v>
      </c>
      <c r="K310" s="47">
        <v>0</v>
      </c>
      <c r="L310" s="188" t="s">
        <v>57</v>
      </c>
      <c r="M310" s="134" t="s">
        <v>189</v>
      </c>
    </row>
    <row r="311" spans="3:13" ht="17.25" customHeight="1" thickBot="1" x14ac:dyDescent="0.25">
      <c r="C311" s="47">
        <f t="shared" si="54"/>
        <v>18</v>
      </c>
      <c r="D311" s="47">
        <f t="shared" si="55"/>
        <v>0</v>
      </c>
      <c r="E311" s="47">
        <f t="shared" si="55"/>
        <v>18</v>
      </c>
      <c r="F311" s="47">
        <f t="shared" si="56"/>
        <v>0</v>
      </c>
      <c r="G311" s="47">
        <v>0</v>
      </c>
      <c r="H311" s="47">
        <v>0</v>
      </c>
      <c r="I311" s="47">
        <f t="shared" si="57"/>
        <v>18</v>
      </c>
      <c r="J311" s="47">
        <v>0</v>
      </c>
      <c r="K311" s="47">
        <f>38-15-5</f>
        <v>18</v>
      </c>
      <c r="L311" s="188" t="s">
        <v>59</v>
      </c>
      <c r="M311" s="135"/>
    </row>
    <row r="312" spans="3:13" ht="17.25" customHeight="1" thickBot="1" x14ac:dyDescent="0.25">
      <c r="C312" s="47">
        <f t="shared" si="54"/>
        <v>0</v>
      </c>
      <c r="D312" s="47">
        <f t="shared" si="55"/>
        <v>0</v>
      </c>
      <c r="E312" s="47">
        <f t="shared" si="55"/>
        <v>0</v>
      </c>
      <c r="F312" s="47">
        <f t="shared" si="56"/>
        <v>0</v>
      </c>
      <c r="G312" s="47">
        <v>0</v>
      </c>
      <c r="H312" s="47">
        <v>0</v>
      </c>
      <c r="I312" s="47">
        <f t="shared" si="57"/>
        <v>0</v>
      </c>
      <c r="J312" s="47">
        <v>0</v>
      </c>
      <c r="K312" s="47">
        <v>0</v>
      </c>
      <c r="L312" s="188" t="s">
        <v>56</v>
      </c>
      <c r="M312" s="134"/>
    </row>
    <row r="313" spans="3:13" ht="17.25" customHeight="1" thickBot="1" x14ac:dyDescent="0.25">
      <c r="C313" s="47">
        <f t="shared" si="54"/>
        <v>10</v>
      </c>
      <c r="D313" s="47">
        <f t="shared" si="55"/>
        <v>10</v>
      </c>
      <c r="E313" s="47">
        <f t="shared" si="55"/>
        <v>0</v>
      </c>
      <c r="F313" s="47">
        <f t="shared" si="56"/>
        <v>1</v>
      </c>
      <c r="G313" s="47">
        <v>1</v>
      </c>
      <c r="H313" s="47">
        <v>0</v>
      </c>
      <c r="I313" s="47">
        <f t="shared" si="57"/>
        <v>9</v>
      </c>
      <c r="J313" s="47">
        <v>9</v>
      </c>
      <c r="K313" s="47">
        <v>0</v>
      </c>
      <c r="L313" s="188" t="s">
        <v>57</v>
      </c>
      <c r="M313" s="134" t="s">
        <v>681</v>
      </c>
    </row>
    <row r="314" spans="3:13" ht="17.25" customHeight="1" thickBot="1" x14ac:dyDescent="0.25">
      <c r="C314" s="47">
        <f t="shared" si="54"/>
        <v>0</v>
      </c>
      <c r="D314" s="47">
        <f t="shared" si="55"/>
        <v>0</v>
      </c>
      <c r="E314" s="47">
        <f t="shared" si="55"/>
        <v>0</v>
      </c>
      <c r="F314" s="47">
        <f t="shared" si="56"/>
        <v>0</v>
      </c>
      <c r="G314" s="47">
        <v>0</v>
      </c>
      <c r="H314" s="47">
        <v>0</v>
      </c>
      <c r="I314" s="47">
        <f t="shared" si="57"/>
        <v>0</v>
      </c>
      <c r="J314" s="47">
        <v>0</v>
      </c>
      <c r="K314" s="47">
        <v>0</v>
      </c>
      <c r="L314" s="188" t="s">
        <v>59</v>
      </c>
      <c r="M314" s="135"/>
    </row>
    <row r="315" spans="3:13" ht="17.25" customHeight="1" thickBot="1" x14ac:dyDescent="0.25">
      <c r="C315" s="47">
        <f t="shared" si="54"/>
        <v>79</v>
      </c>
      <c r="D315" s="47">
        <f t="shared" si="55"/>
        <v>72</v>
      </c>
      <c r="E315" s="47">
        <f t="shared" si="55"/>
        <v>7</v>
      </c>
      <c r="F315" s="47">
        <f t="shared" si="56"/>
        <v>0</v>
      </c>
      <c r="G315" s="47">
        <v>0</v>
      </c>
      <c r="H315" s="47">
        <v>0</v>
      </c>
      <c r="I315" s="47">
        <f t="shared" si="57"/>
        <v>79</v>
      </c>
      <c r="J315" s="47">
        <v>72</v>
      </c>
      <c r="K315" s="47">
        <f>17-10</f>
        <v>7</v>
      </c>
      <c r="L315" s="188" t="s">
        <v>56</v>
      </c>
      <c r="M315" s="134"/>
    </row>
    <row r="316" spans="3:13" ht="17.25" customHeight="1" thickBot="1" x14ac:dyDescent="0.25">
      <c r="C316" s="47">
        <f t="shared" si="54"/>
        <v>140</v>
      </c>
      <c r="D316" s="47">
        <f t="shared" si="55"/>
        <v>119</v>
      </c>
      <c r="E316" s="47">
        <f t="shared" si="55"/>
        <v>21</v>
      </c>
      <c r="F316" s="47">
        <f t="shared" si="56"/>
        <v>3</v>
      </c>
      <c r="G316" s="47">
        <v>1</v>
      </c>
      <c r="H316" s="47">
        <v>2</v>
      </c>
      <c r="I316" s="47">
        <f t="shared" si="57"/>
        <v>137</v>
      </c>
      <c r="J316" s="47">
        <f>518-400</f>
        <v>118</v>
      </c>
      <c r="K316" s="47">
        <f>426-200-200-7</f>
        <v>19</v>
      </c>
      <c r="L316" s="188" t="s">
        <v>57</v>
      </c>
      <c r="M316" s="134" t="s">
        <v>600</v>
      </c>
    </row>
    <row r="317" spans="3:13" ht="17.25" customHeight="1" thickBot="1" x14ac:dyDescent="0.25">
      <c r="C317" s="47">
        <f t="shared" si="54"/>
        <v>0</v>
      </c>
      <c r="D317" s="47">
        <f t="shared" si="55"/>
        <v>0</v>
      </c>
      <c r="E317" s="47">
        <f t="shared" si="55"/>
        <v>0</v>
      </c>
      <c r="F317" s="47">
        <f t="shared" si="56"/>
        <v>0</v>
      </c>
      <c r="G317" s="47">
        <v>0</v>
      </c>
      <c r="H317" s="47">
        <v>0</v>
      </c>
      <c r="I317" s="47">
        <f t="shared" si="57"/>
        <v>0</v>
      </c>
      <c r="J317" s="47">
        <v>0</v>
      </c>
      <c r="K317" s="47">
        <v>0</v>
      </c>
      <c r="L317" s="188" t="s">
        <v>59</v>
      </c>
      <c r="M317" s="135"/>
    </row>
    <row r="318" spans="3:13" ht="17.25" customHeight="1" thickBot="1" x14ac:dyDescent="0.25">
      <c r="C318" s="47">
        <f t="shared" si="54"/>
        <v>0</v>
      </c>
      <c r="D318" s="47">
        <f t="shared" si="55"/>
        <v>0</v>
      </c>
      <c r="E318" s="47">
        <f t="shared" si="55"/>
        <v>0</v>
      </c>
      <c r="F318" s="47">
        <f t="shared" si="56"/>
        <v>0</v>
      </c>
      <c r="G318" s="47">
        <v>0</v>
      </c>
      <c r="H318" s="47">
        <v>0</v>
      </c>
      <c r="I318" s="47">
        <f t="shared" si="57"/>
        <v>0</v>
      </c>
      <c r="J318" s="47">
        <v>0</v>
      </c>
      <c r="K318" s="47">
        <v>0</v>
      </c>
      <c r="L318" s="188" t="s">
        <v>56</v>
      </c>
      <c r="M318" s="134"/>
    </row>
    <row r="319" spans="3:13" ht="17.25" customHeight="1" thickBot="1" x14ac:dyDescent="0.25">
      <c r="C319" s="47">
        <f t="shared" si="54"/>
        <v>180</v>
      </c>
      <c r="D319" s="47">
        <f t="shared" si="55"/>
        <v>156</v>
      </c>
      <c r="E319" s="47">
        <f t="shared" si="55"/>
        <v>24</v>
      </c>
      <c r="F319" s="47">
        <f t="shared" si="56"/>
        <v>0</v>
      </c>
      <c r="G319" s="47">
        <v>0</v>
      </c>
      <c r="H319" s="47">
        <v>0</v>
      </c>
      <c r="I319" s="47">
        <f t="shared" si="57"/>
        <v>180</v>
      </c>
      <c r="J319" s="47">
        <f>356-200</f>
        <v>156</v>
      </c>
      <c r="K319" s="47">
        <f>134-100-10</f>
        <v>24</v>
      </c>
      <c r="L319" s="188" t="s">
        <v>57</v>
      </c>
      <c r="M319" s="134" t="s">
        <v>367</v>
      </c>
    </row>
    <row r="320" spans="3:13" ht="17.25" customHeight="1" thickBot="1" x14ac:dyDescent="0.25">
      <c r="C320" s="47">
        <f t="shared" si="54"/>
        <v>0</v>
      </c>
      <c r="D320" s="47">
        <f t="shared" si="55"/>
        <v>0</v>
      </c>
      <c r="E320" s="47">
        <f t="shared" si="55"/>
        <v>0</v>
      </c>
      <c r="F320" s="47">
        <f t="shared" si="56"/>
        <v>0</v>
      </c>
      <c r="G320" s="47">
        <v>0</v>
      </c>
      <c r="H320" s="47">
        <v>0</v>
      </c>
      <c r="I320" s="47">
        <f t="shared" si="57"/>
        <v>0</v>
      </c>
      <c r="J320" s="47">
        <v>0</v>
      </c>
      <c r="K320" s="47">
        <v>0</v>
      </c>
      <c r="L320" s="188" t="s">
        <v>59</v>
      </c>
      <c r="M320" s="135"/>
    </row>
    <row r="321" spans="3:13" ht="17.25" customHeight="1" thickBot="1" x14ac:dyDescent="0.25">
      <c r="C321" s="47">
        <f t="shared" ref="C321:K323" si="58">C306+C309+C312+C315+C318</f>
        <v>79</v>
      </c>
      <c r="D321" s="47">
        <f t="shared" si="58"/>
        <v>72</v>
      </c>
      <c r="E321" s="47">
        <f t="shared" si="58"/>
        <v>7</v>
      </c>
      <c r="F321" s="47">
        <f t="shared" si="58"/>
        <v>0</v>
      </c>
      <c r="G321" s="47">
        <f t="shared" si="58"/>
        <v>0</v>
      </c>
      <c r="H321" s="47">
        <f t="shared" si="58"/>
        <v>0</v>
      </c>
      <c r="I321" s="47">
        <f t="shared" si="58"/>
        <v>79</v>
      </c>
      <c r="J321" s="47">
        <f t="shared" si="58"/>
        <v>72</v>
      </c>
      <c r="K321" s="47">
        <f>K306+K309+K312+K315+K318</f>
        <v>7</v>
      </c>
      <c r="L321" s="188" t="s">
        <v>243</v>
      </c>
      <c r="M321" s="131"/>
    </row>
    <row r="322" spans="3:13" ht="17.25" customHeight="1" thickBot="1" x14ac:dyDescent="0.25">
      <c r="C322" s="47">
        <f t="shared" si="58"/>
        <v>330</v>
      </c>
      <c r="D322" s="47">
        <f t="shared" si="58"/>
        <v>285</v>
      </c>
      <c r="E322" s="47">
        <f t="shared" si="58"/>
        <v>45</v>
      </c>
      <c r="F322" s="47">
        <f t="shared" si="58"/>
        <v>4</v>
      </c>
      <c r="G322" s="47">
        <f t="shared" si="58"/>
        <v>2</v>
      </c>
      <c r="H322" s="47">
        <f t="shared" si="58"/>
        <v>2</v>
      </c>
      <c r="I322" s="47">
        <f t="shared" si="58"/>
        <v>326</v>
      </c>
      <c r="J322" s="47">
        <f t="shared" si="58"/>
        <v>283</v>
      </c>
      <c r="K322" s="47">
        <f t="shared" si="58"/>
        <v>43</v>
      </c>
      <c r="L322" s="188" t="s">
        <v>57</v>
      </c>
      <c r="M322" s="132" t="s">
        <v>244</v>
      </c>
    </row>
    <row r="323" spans="3:13" ht="17.25" customHeight="1" thickBot="1" x14ac:dyDescent="0.25">
      <c r="C323" s="47">
        <f t="shared" si="58"/>
        <v>48</v>
      </c>
      <c r="D323" s="47">
        <f t="shared" si="58"/>
        <v>0</v>
      </c>
      <c r="E323" s="47">
        <f t="shared" si="58"/>
        <v>48</v>
      </c>
      <c r="F323" s="47">
        <f t="shared" si="58"/>
        <v>0</v>
      </c>
      <c r="G323" s="47">
        <f t="shared" si="58"/>
        <v>0</v>
      </c>
      <c r="H323" s="47">
        <f t="shared" si="58"/>
        <v>0</v>
      </c>
      <c r="I323" s="47">
        <f t="shared" si="58"/>
        <v>48</v>
      </c>
      <c r="J323" s="47">
        <f t="shared" si="58"/>
        <v>0</v>
      </c>
      <c r="K323" s="47">
        <f t="shared" si="58"/>
        <v>48</v>
      </c>
      <c r="L323" s="188" t="s">
        <v>59</v>
      </c>
      <c r="M323" s="133"/>
    </row>
    <row r="324" spans="3:13" ht="17.25" customHeight="1" thickBot="1" x14ac:dyDescent="0.25">
      <c r="C324" s="47">
        <f t="shared" ref="C324:J324" si="59">SUM(C321:C323)</f>
        <v>457</v>
      </c>
      <c r="D324" s="47">
        <f t="shared" si="59"/>
        <v>357</v>
      </c>
      <c r="E324" s="47">
        <f t="shared" si="59"/>
        <v>100</v>
      </c>
      <c r="F324" s="47">
        <f t="shared" si="59"/>
        <v>4</v>
      </c>
      <c r="G324" s="47">
        <f t="shared" si="59"/>
        <v>2</v>
      </c>
      <c r="H324" s="47">
        <f t="shared" si="59"/>
        <v>2</v>
      </c>
      <c r="I324" s="47">
        <f t="shared" si="59"/>
        <v>453</v>
      </c>
      <c r="J324" s="47">
        <f t="shared" si="59"/>
        <v>355</v>
      </c>
      <c r="K324" s="47">
        <f>SUM(K321:K323)</f>
        <v>98</v>
      </c>
      <c r="L324" s="500" t="s">
        <v>245</v>
      </c>
      <c r="M324" s="500"/>
    </row>
    <row r="325" spans="3:13" ht="17.25" customHeight="1" thickBot="1" x14ac:dyDescent="0.25">
      <c r="C325" s="476" t="s">
        <v>4</v>
      </c>
      <c r="D325" s="476"/>
      <c r="E325" s="476"/>
      <c r="F325" s="476" t="s">
        <v>145</v>
      </c>
      <c r="G325" s="476"/>
      <c r="H325" s="476"/>
      <c r="I325" s="476" t="s">
        <v>146</v>
      </c>
      <c r="J325" s="476"/>
      <c r="K325" s="476"/>
      <c r="L325" s="479" t="s">
        <v>66</v>
      </c>
      <c r="M325" s="479"/>
    </row>
    <row r="326" spans="3:13" ht="17.25" customHeight="1" thickBot="1" x14ac:dyDescent="0.25">
      <c r="C326" s="185" t="s">
        <v>227</v>
      </c>
      <c r="D326" s="185" t="s">
        <v>10</v>
      </c>
      <c r="E326" s="185" t="s">
        <v>9</v>
      </c>
      <c r="F326" s="185" t="s">
        <v>227</v>
      </c>
      <c r="G326" s="185" t="s">
        <v>10</v>
      </c>
      <c r="H326" s="185" t="s">
        <v>9</v>
      </c>
      <c r="I326" s="185" t="s">
        <v>227</v>
      </c>
      <c r="J326" s="185" t="s">
        <v>10</v>
      </c>
      <c r="K326" s="185" t="s">
        <v>9</v>
      </c>
      <c r="L326" s="480" t="s">
        <v>77</v>
      </c>
      <c r="M326" s="480"/>
    </row>
    <row r="327" spans="3:13" ht="17.25" customHeight="1" thickBot="1" x14ac:dyDescent="0.25">
      <c r="C327" s="47">
        <f>SUM(D327:E327)</f>
        <v>0</v>
      </c>
      <c r="D327" s="47">
        <f>J327+G327</f>
        <v>0</v>
      </c>
      <c r="E327" s="47">
        <f>K327+H327</f>
        <v>0</v>
      </c>
      <c r="F327" s="47">
        <f>SUM(G327:H327)</f>
        <v>0</v>
      </c>
      <c r="G327" s="47">
        <v>0</v>
      </c>
      <c r="H327" s="47">
        <v>0</v>
      </c>
      <c r="I327" s="47">
        <f>SUM(J327:K327)</f>
        <v>0</v>
      </c>
      <c r="J327" s="47">
        <v>0</v>
      </c>
      <c r="K327" s="47">
        <v>0</v>
      </c>
      <c r="L327" s="188" t="s">
        <v>56</v>
      </c>
      <c r="M327" s="134"/>
    </row>
    <row r="328" spans="3:13" ht="17.25" customHeight="1" thickBot="1" x14ac:dyDescent="0.25">
      <c r="C328" s="47">
        <f t="shared" ref="C328:C338" si="60">SUM(D328:E328)</f>
        <v>36</v>
      </c>
      <c r="D328" s="47">
        <f t="shared" ref="D328:E338" si="61">J328+G328</f>
        <v>10</v>
      </c>
      <c r="E328" s="47">
        <f t="shared" si="61"/>
        <v>26</v>
      </c>
      <c r="F328" s="47">
        <f t="shared" ref="F328:F338" si="62">SUM(G328:H328)</f>
        <v>0</v>
      </c>
      <c r="G328" s="47">
        <v>0</v>
      </c>
      <c r="H328" s="47">
        <v>0</v>
      </c>
      <c r="I328" s="47">
        <f t="shared" ref="I328:I338" si="63">SUM(J328:K328)</f>
        <v>36</v>
      </c>
      <c r="J328" s="47">
        <f>87-48-20-9</f>
        <v>10</v>
      </c>
      <c r="K328" s="47">
        <f>81-35-20</f>
        <v>26</v>
      </c>
      <c r="L328" s="188" t="s">
        <v>57</v>
      </c>
      <c r="M328" s="134" t="s">
        <v>496</v>
      </c>
    </row>
    <row r="329" spans="3:13" ht="17.25" customHeight="1" thickBot="1" x14ac:dyDescent="0.25">
      <c r="C329" s="47">
        <f t="shared" si="60"/>
        <v>40</v>
      </c>
      <c r="D329" s="47">
        <f t="shared" si="61"/>
        <v>19</v>
      </c>
      <c r="E329" s="47">
        <f t="shared" si="61"/>
        <v>21</v>
      </c>
      <c r="F329" s="47">
        <f t="shared" si="62"/>
        <v>1</v>
      </c>
      <c r="G329" s="47">
        <v>1</v>
      </c>
      <c r="H329" s="47">
        <v>0</v>
      </c>
      <c r="I329" s="47">
        <f t="shared" si="63"/>
        <v>39</v>
      </c>
      <c r="J329" s="47">
        <f>787-700-49-20</f>
        <v>18</v>
      </c>
      <c r="K329" s="47">
        <f>113-92</f>
        <v>21</v>
      </c>
      <c r="L329" s="188" t="s">
        <v>59</v>
      </c>
      <c r="M329" s="135"/>
    </row>
    <row r="330" spans="3:13" ht="17.25" customHeight="1" thickBot="1" x14ac:dyDescent="0.25">
      <c r="C330" s="47">
        <f t="shared" si="60"/>
        <v>0</v>
      </c>
      <c r="D330" s="47">
        <f t="shared" si="61"/>
        <v>0</v>
      </c>
      <c r="E330" s="47">
        <f t="shared" si="61"/>
        <v>0</v>
      </c>
      <c r="F330" s="47">
        <f t="shared" si="62"/>
        <v>0</v>
      </c>
      <c r="G330" s="47">
        <v>0</v>
      </c>
      <c r="H330" s="47">
        <v>0</v>
      </c>
      <c r="I330" s="47">
        <f t="shared" si="63"/>
        <v>0</v>
      </c>
      <c r="J330" s="47">
        <v>0</v>
      </c>
      <c r="K330" s="47">
        <v>0</v>
      </c>
      <c r="L330" s="188" t="s">
        <v>56</v>
      </c>
      <c r="M330" s="134"/>
    </row>
    <row r="331" spans="3:13" ht="17.25" customHeight="1" thickBot="1" x14ac:dyDescent="0.25">
      <c r="C331" s="47">
        <f t="shared" si="60"/>
        <v>53</v>
      </c>
      <c r="D331" s="47">
        <f t="shared" si="61"/>
        <v>14</v>
      </c>
      <c r="E331" s="47">
        <f t="shared" si="61"/>
        <v>39</v>
      </c>
      <c r="F331" s="47">
        <f t="shared" si="62"/>
        <v>2</v>
      </c>
      <c r="G331" s="47">
        <v>2</v>
      </c>
      <c r="H331" s="47">
        <v>0</v>
      </c>
      <c r="I331" s="47">
        <f t="shared" si="63"/>
        <v>51</v>
      </c>
      <c r="J331" s="47">
        <f>87-51-20-4</f>
        <v>12</v>
      </c>
      <c r="K331" s="47">
        <f>81-35-7</f>
        <v>39</v>
      </c>
      <c r="L331" s="188" t="s">
        <v>57</v>
      </c>
      <c r="M331" s="134" t="s">
        <v>367</v>
      </c>
    </row>
    <row r="332" spans="3:13" ht="17.25" customHeight="1" thickBot="1" x14ac:dyDescent="0.25">
      <c r="C332" s="47">
        <f t="shared" si="60"/>
        <v>0</v>
      </c>
      <c r="D332" s="47">
        <f t="shared" si="61"/>
        <v>0</v>
      </c>
      <c r="E332" s="47">
        <f t="shared" si="61"/>
        <v>0</v>
      </c>
      <c r="F332" s="47">
        <f t="shared" si="62"/>
        <v>0</v>
      </c>
      <c r="G332" s="47">
        <v>0</v>
      </c>
      <c r="H332" s="47">
        <v>0</v>
      </c>
      <c r="I332" s="47">
        <f t="shared" si="63"/>
        <v>0</v>
      </c>
      <c r="J332" s="47">
        <v>0</v>
      </c>
      <c r="K332" s="47">
        <v>0</v>
      </c>
      <c r="L332" s="188" t="s">
        <v>59</v>
      </c>
      <c r="M332" s="135"/>
    </row>
    <row r="333" spans="3:13" ht="17.25" customHeight="1" thickBot="1" x14ac:dyDescent="0.25">
      <c r="C333" s="47">
        <f t="shared" si="60"/>
        <v>0</v>
      </c>
      <c r="D333" s="47">
        <f t="shared" si="61"/>
        <v>0</v>
      </c>
      <c r="E333" s="47">
        <f t="shared" si="61"/>
        <v>0</v>
      </c>
      <c r="F333" s="47">
        <f t="shared" si="62"/>
        <v>0</v>
      </c>
      <c r="G333" s="47">
        <v>0</v>
      </c>
      <c r="H333" s="47">
        <v>0</v>
      </c>
      <c r="I333" s="47">
        <f t="shared" si="63"/>
        <v>0</v>
      </c>
      <c r="J333" s="47">
        <v>0</v>
      </c>
      <c r="K333" s="47">
        <v>0</v>
      </c>
      <c r="L333" s="188" t="s">
        <v>56</v>
      </c>
      <c r="M333" s="134"/>
    </row>
    <row r="334" spans="3:13" ht="17.25" customHeight="1" thickBot="1" x14ac:dyDescent="0.25">
      <c r="C334" s="47">
        <f t="shared" si="60"/>
        <v>46</v>
      </c>
      <c r="D334" s="47">
        <f t="shared" si="61"/>
        <v>10</v>
      </c>
      <c r="E334" s="47">
        <f t="shared" si="61"/>
        <v>36</v>
      </c>
      <c r="F334" s="47">
        <f t="shared" si="62"/>
        <v>0</v>
      </c>
      <c r="G334" s="47">
        <v>0</v>
      </c>
      <c r="H334" s="47">
        <v>0</v>
      </c>
      <c r="I334" s="47">
        <f t="shared" si="63"/>
        <v>46</v>
      </c>
      <c r="J334" s="47">
        <f>96-51-20-15</f>
        <v>10</v>
      </c>
      <c r="K334" s="47">
        <f>71-25-10</f>
        <v>36</v>
      </c>
      <c r="L334" s="188" t="s">
        <v>57</v>
      </c>
      <c r="M334" s="134" t="s">
        <v>371</v>
      </c>
    </row>
    <row r="335" spans="3:13" ht="17.25" customHeight="1" thickBot="1" x14ac:dyDescent="0.25">
      <c r="C335" s="47">
        <f t="shared" si="60"/>
        <v>0</v>
      </c>
      <c r="D335" s="47">
        <f t="shared" si="61"/>
        <v>0</v>
      </c>
      <c r="E335" s="47">
        <f t="shared" si="61"/>
        <v>0</v>
      </c>
      <c r="F335" s="47">
        <f t="shared" si="62"/>
        <v>0</v>
      </c>
      <c r="G335" s="47">
        <v>0</v>
      </c>
      <c r="H335" s="47">
        <v>0</v>
      </c>
      <c r="I335" s="47">
        <f t="shared" si="63"/>
        <v>0</v>
      </c>
      <c r="J335" s="47">
        <v>0</v>
      </c>
      <c r="K335" s="47">
        <v>0</v>
      </c>
      <c r="L335" s="188" t="s">
        <v>59</v>
      </c>
      <c r="M335" s="135"/>
    </row>
    <row r="336" spans="3:13" ht="17.25" customHeight="1" thickBot="1" x14ac:dyDescent="0.25">
      <c r="C336" s="47">
        <f t="shared" si="60"/>
        <v>0</v>
      </c>
      <c r="D336" s="47">
        <f t="shared" si="61"/>
        <v>0</v>
      </c>
      <c r="E336" s="47">
        <f t="shared" si="61"/>
        <v>0</v>
      </c>
      <c r="F336" s="47">
        <f t="shared" si="62"/>
        <v>0</v>
      </c>
      <c r="G336" s="47">
        <v>0</v>
      </c>
      <c r="H336" s="47">
        <v>0</v>
      </c>
      <c r="I336" s="47">
        <f t="shared" si="63"/>
        <v>0</v>
      </c>
      <c r="J336" s="47">
        <v>0</v>
      </c>
      <c r="K336" s="47">
        <v>0</v>
      </c>
      <c r="L336" s="188" t="s">
        <v>56</v>
      </c>
      <c r="M336" s="134"/>
    </row>
    <row r="337" spans="3:13" ht="17.25" customHeight="1" thickBot="1" x14ac:dyDescent="0.25">
      <c r="C337" s="47">
        <f t="shared" si="60"/>
        <v>0</v>
      </c>
      <c r="D337" s="47">
        <f t="shared" si="61"/>
        <v>0</v>
      </c>
      <c r="E337" s="47">
        <f t="shared" si="61"/>
        <v>0</v>
      </c>
      <c r="F337" s="47">
        <f t="shared" si="62"/>
        <v>0</v>
      </c>
      <c r="G337" s="47">
        <v>0</v>
      </c>
      <c r="H337" s="47">
        <v>0</v>
      </c>
      <c r="I337" s="47">
        <f t="shared" si="63"/>
        <v>0</v>
      </c>
      <c r="J337" s="47">
        <v>0</v>
      </c>
      <c r="K337" s="47">
        <v>0</v>
      </c>
      <c r="L337" s="188" t="s">
        <v>57</v>
      </c>
      <c r="M337" s="134" t="s">
        <v>682</v>
      </c>
    </row>
    <row r="338" spans="3:13" ht="17.25" customHeight="1" thickBot="1" x14ac:dyDescent="0.25">
      <c r="C338" s="47">
        <f t="shared" si="60"/>
        <v>16</v>
      </c>
      <c r="D338" s="47">
        <f t="shared" si="61"/>
        <v>16</v>
      </c>
      <c r="E338" s="47">
        <f t="shared" si="61"/>
        <v>0</v>
      </c>
      <c r="F338" s="47">
        <f t="shared" si="62"/>
        <v>0</v>
      </c>
      <c r="G338" s="47">
        <v>0</v>
      </c>
      <c r="H338" s="47">
        <v>0</v>
      </c>
      <c r="I338" s="47">
        <f t="shared" si="63"/>
        <v>16</v>
      </c>
      <c r="J338" s="47">
        <f>130-80-34</f>
        <v>16</v>
      </c>
      <c r="K338" s="47">
        <v>0</v>
      </c>
      <c r="L338" s="188" t="s">
        <v>59</v>
      </c>
      <c r="M338" s="135"/>
    </row>
    <row r="339" spans="3:13" ht="17.25" customHeight="1" thickBot="1" x14ac:dyDescent="0.25">
      <c r="C339" s="47">
        <f t="shared" ref="C339:K341" si="64">C327+C330+C333+C336</f>
        <v>0</v>
      </c>
      <c r="D339" s="47">
        <f t="shared" si="64"/>
        <v>0</v>
      </c>
      <c r="E339" s="47">
        <f t="shared" si="64"/>
        <v>0</v>
      </c>
      <c r="F339" s="47">
        <f t="shared" si="64"/>
        <v>0</v>
      </c>
      <c r="G339" s="47">
        <f t="shared" si="64"/>
        <v>0</v>
      </c>
      <c r="H339" s="47">
        <f t="shared" si="64"/>
        <v>0</v>
      </c>
      <c r="I339" s="47">
        <f t="shared" si="64"/>
        <v>0</v>
      </c>
      <c r="J339" s="47">
        <f t="shared" si="64"/>
        <v>0</v>
      </c>
      <c r="K339" s="47">
        <f>K327+K330+K333+K336</f>
        <v>0</v>
      </c>
      <c r="L339" s="188" t="s">
        <v>243</v>
      </c>
      <c r="M339" s="131"/>
    </row>
    <row r="340" spans="3:13" ht="17.25" customHeight="1" thickBot="1" x14ac:dyDescent="0.25">
      <c r="C340" s="47">
        <f t="shared" si="64"/>
        <v>135</v>
      </c>
      <c r="D340" s="47">
        <f t="shared" si="64"/>
        <v>34</v>
      </c>
      <c r="E340" s="47">
        <f t="shared" si="64"/>
        <v>101</v>
      </c>
      <c r="F340" s="47">
        <f t="shared" si="64"/>
        <v>2</v>
      </c>
      <c r="G340" s="47">
        <f t="shared" si="64"/>
        <v>2</v>
      </c>
      <c r="H340" s="47">
        <f t="shared" si="64"/>
        <v>0</v>
      </c>
      <c r="I340" s="47">
        <f t="shared" si="64"/>
        <v>133</v>
      </c>
      <c r="J340" s="47">
        <f t="shared" si="64"/>
        <v>32</v>
      </c>
      <c r="K340" s="47">
        <f t="shared" si="64"/>
        <v>101</v>
      </c>
      <c r="L340" s="188" t="s">
        <v>57</v>
      </c>
      <c r="M340" s="132" t="s">
        <v>244</v>
      </c>
    </row>
    <row r="341" spans="3:13" ht="17.25" customHeight="1" thickBot="1" x14ac:dyDescent="0.25">
      <c r="C341" s="47">
        <f t="shared" si="64"/>
        <v>56</v>
      </c>
      <c r="D341" s="47">
        <f t="shared" si="64"/>
        <v>35</v>
      </c>
      <c r="E341" s="47">
        <f t="shared" si="64"/>
        <v>21</v>
      </c>
      <c r="F341" s="47">
        <f t="shared" si="64"/>
        <v>1</v>
      </c>
      <c r="G341" s="47">
        <f t="shared" si="64"/>
        <v>1</v>
      </c>
      <c r="H341" s="47">
        <f t="shared" si="64"/>
        <v>0</v>
      </c>
      <c r="I341" s="47">
        <f t="shared" si="64"/>
        <v>55</v>
      </c>
      <c r="J341" s="47">
        <f t="shared" si="64"/>
        <v>34</v>
      </c>
      <c r="K341" s="47">
        <f t="shared" si="64"/>
        <v>21</v>
      </c>
      <c r="L341" s="188" t="s">
        <v>59</v>
      </c>
      <c r="M341" s="133"/>
    </row>
    <row r="342" spans="3:13" ht="17.25" customHeight="1" thickBot="1" x14ac:dyDescent="0.25">
      <c r="C342" s="47">
        <f t="shared" ref="C342:J342" si="65">SUM(C339:C341)</f>
        <v>191</v>
      </c>
      <c r="D342" s="47">
        <f t="shared" si="65"/>
        <v>69</v>
      </c>
      <c r="E342" s="47">
        <f t="shared" si="65"/>
        <v>122</v>
      </c>
      <c r="F342" s="47">
        <f t="shared" si="65"/>
        <v>3</v>
      </c>
      <c r="G342" s="47">
        <f t="shared" si="65"/>
        <v>3</v>
      </c>
      <c r="H342" s="47">
        <f t="shared" si="65"/>
        <v>0</v>
      </c>
      <c r="I342" s="47">
        <f t="shared" si="65"/>
        <v>188</v>
      </c>
      <c r="J342" s="47">
        <f t="shared" si="65"/>
        <v>66</v>
      </c>
      <c r="K342" s="47">
        <f>SUM(K339:K341)</f>
        <v>122</v>
      </c>
      <c r="L342" s="500" t="s">
        <v>245</v>
      </c>
      <c r="M342" s="500"/>
    </row>
    <row r="343" spans="3:13" ht="17.25" customHeight="1" thickBot="1" x14ac:dyDescent="0.25">
      <c r="C343" s="477" t="s">
        <v>4</v>
      </c>
      <c r="D343" s="477"/>
      <c r="E343" s="477"/>
      <c r="F343" s="477" t="s">
        <v>145</v>
      </c>
      <c r="G343" s="477"/>
      <c r="H343" s="477"/>
      <c r="I343" s="477" t="s">
        <v>146</v>
      </c>
      <c r="J343" s="477"/>
      <c r="K343" s="477"/>
      <c r="L343" s="482" t="s">
        <v>66</v>
      </c>
      <c r="M343" s="482"/>
    </row>
    <row r="344" spans="3:13" ht="17.25" customHeight="1" thickBot="1" x14ac:dyDescent="0.25">
      <c r="C344" s="204" t="s">
        <v>227</v>
      </c>
      <c r="D344" s="204" t="s">
        <v>10</v>
      </c>
      <c r="E344" s="204" t="s">
        <v>9</v>
      </c>
      <c r="F344" s="204" t="s">
        <v>227</v>
      </c>
      <c r="G344" s="204" t="s">
        <v>10</v>
      </c>
      <c r="H344" s="204" t="s">
        <v>9</v>
      </c>
      <c r="I344" s="204" t="s">
        <v>227</v>
      </c>
      <c r="J344" s="204" t="s">
        <v>10</v>
      </c>
      <c r="K344" s="204" t="s">
        <v>9</v>
      </c>
      <c r="L344" s="481" t="s">
        <v>117</v>
      </c>
      <c r="M344" s="481"/>
    </row>
    <row r="345" spans="3:13" ht="17.25" customHeight="1" thickBot="1" x14ac:dyDescent="0.25">
      <c r="C345" s="206">
        <f>SUM(D345:E345)</f>
        <v>0</v>
      </c>
      <c r="D345" s="206">
        <f>J345+G345</f>
        <v>0</v>
      </c>
      <c r="E345" s="206">
        <f>K345+H345</f>
        <v>0</v>
      </c>
      <c r="F345" s="206">
        <f>SUM(G345:H345)</f>
        <v>0</v>
      </c>
      <c r="G345" s="206">
        <v>0</v>
      </c>
      <c r="H345" s="206">
        <v>0</v>
      </c>
      <c r="I345" s="206">
        <f>SUM(J345:K345)</f>
        <v>0</v>
      </c>
      <c r="J345" s="206">
        <v>0</v>
      </c>
      <c r="K345" s="206">
        <v>0</v>
      </c>
      <c r="L345" s="220" t="s">
        <v>56</v>
      </c>
      <c r="M345" s="278"/>
    </row>
    <row r="346" spans="3:13" ht="17.25" customHeight="1" thickBot="1" x14ac:dyDescent="0.25">
      <c r="C346" s="206">
        <f t="shared" ref="C346:C347" si="66">SUM(D346:E346)</f>
        <v>70</v>
      </c>
      <c r="D346" s="206">
        <f t="shared" ref="D346:E347" si="67">J346+G346</f>
        <v>30</v>
      </c>
      <c r="E346" s="206">
        <f t="shared" si="67"/>
        <v>40</v>
      </c>
      <c r="F346" s="206">
        <f t="shared" ref="F346:F347" si="68">SUM(G346:H346)</f>
        <v>0</v>
      </c>
      <c r="G346" s="206">
        <v>0</v>
      </c>
      <c r="H346" s="206">
        <v>0</v>
      </c>
      <c r="I346" s="206">
        <f t="shared" ref="I346:I347" si="69">SUM(J346:K346)</f>
        <v>70</v>
      </c>
      <c r="J346" s="206">
        <v>30</v>
      </c>
      <c r="K346" s="206">
        <v>40</v>
      </c>
      <c r="L346" s="220" t="s">
        <v>57</v>
      </c>
      <c r="M346" s="278" t="s">
        <v>496</v>
      </c>
    </row>
    <row r="347" spans="3:13" ht="17.25" customHeight="1" thickBot="1" x14ac:dyDescent="0.25">
      <c r="C347" s="206">
        <f t="shared" si="66"/>
        <v>0</v>
      </c>
      <c r="D347" s="206">
        <f t="shared" si="67"/>
        <v>0</v>
      </c>
      <c r="E347" s="206">
        <f t="shared" si="67"/>
        <v>0</v>
      </c>
      <c r="F347" s="206">
        <f t="shared" si="68"/>
        <v>0</v>
      </c>
      <c r="G347" s="206">
        <v>0</v>
      </c>
      <c r="H347" s="206">
        <v>0</v>
      </c>
      <c r="I347" s="206">
        <f t="shared" si="69"/>
        <v>0</v>
      </c>
      <c r="J347" s="206">
        <v>0</v>
      </c>
      <c r="K347" s="206">
        <v>0</v>
      </c>
      <c r="L347" s="220" t="s">
        <v>59</v>
      </c>
      <c r="M347" s="279"/>
    </row>
    <row r="348" spans="3:13" ht="17.25" customHeight="1" thickBot="1" x14ac:dyDescent="0.25">
      <c r="C348" s="206">
        <f t="shared" ref="C348:K350" si="70">C345</f>
        <v>0</v>
      </c>
      <c r="D348" s="206">
        <f t="shared" si="70"/>
        <v>0</v>
      </c>
      <c r="E348" s="206">
        <f t="shared" si="70"/>
        <v>0</v>
      </c>
      <c r="F348" s="206">
        <f t="shared" si="70"/>
        <v>0</v>
      </c>
      <c r="G348" s="206">
        <f t="shared" si="70"/>
        <v>0</v>
      </c>
      <c r="H348" s="206">
        <f t="shared" si="70"/>
        <v>0</v>
      </c>
      <c r="I348" s="206">
        <f t="shared" si="70"/>
        <v>0</v>
      </c>
      <c r="J348" s="206">
        <f t="shared" si="70"/>
        <v>0</v>
      </c>
      <c r="K348" s="206">
        <f>K345</f>
        <v>0</v>
      </c>
      <c r="L348" s="220" t="s">
        <v>243</v>
      </c>
      <c r="M348" s="280"/>
    </row>
    <row r="349" spans="3:13" ht="17.25" customHeight="1" thickBot="1" x14ac:dyDescent="0.25">
      <c r="C349" s="206">
        <f t="shared" si="70"/>
        <v>70</v>
      </c>
      <c r="D349" s="206">
        <f t="shared" si="70"/>
        <v>30</v>
      </c>
      <c r="E349" s="206">
        <f t="shared" si="70"/>
        <v>40</v>
      </c>
      <c r="F349" s="206">
        <f t="shared" si="70"/>
        <v>0</v>
      </c>
      <c r="G349" s="206">
        <f t="shared" si="70"/>
        <v>0</v>
      </c>
      <c r="H349" s="206">
        <f t="shared" si="70"/>
        <v>0</v>
      </c>
      <c r="I349" s="206">
        <f t="shared" si="70"/>
        <v>70</v>
      </c>
      <c r="J349" s="206">
        <f t="shared" si="70"/>
        <v>30</v>
      </c>
      <c r="K349" s="206">
        <f t="shared" si="70"/>
        <v>40</v>
      </c>
      <c r="L349" s="220" t="s">
        <v>57</v>
      </c>
      <c r="M349" s="281" t="s">
        <v>244</v>
      </c>
    </row>
    <row r="350" spans="3:13" ht="17.25" customHeight="1" thickBot="1" x14ac:dyDescent="0.25">
      <c r="C350" s="206">
        <f t="shared" si="70"/>
        <v>0</v>
      </c>
      <c r="D350" s="206">
        <f t="shared" si="70"/>
        <v>0</v>
      </c>
      <c r="E350" s="206">
        <f t="shared" si="70"/>
        <v>0</v>
      </c>
      <c r="F350" s="206">
        <f t="shared" si="70"/>
        <v>0</v>
      </c>
      <c r="G350" s="206">
        <f t="shared" si="70"/>
        <v>0</v>
      </c>
      <c r="H350" s="206">
        <f t="shared" si="70"/>
        <v>0</v>
      </c>
      <c r="I350" s="206">
        <f t="shared" si="70"/>
        <v>0</v>
      </c>
      <c r="J350" s="206">
        <f t="shared" si="70"/>
        <v>0</v>
      </c>
      <c r="K350" s="206">
        <f t="shared" si="70"/>
        <v>0</v>
      </c>
      <c r="L350" s="220" t="s">
        <v>59</v>
      </c>
      <c r="M350" s="282"/>
    </row>
    <row r="351" spans="3:13" ht="17.25" customHeight="1" thickBot="1" x14ac:dyDescent="0.25">
      <c r="C351" s="206">
        <f t="shared" ref="C351:J351" si="71">SUM(C348:C350)</f>
        <v>70</v>
      </c>
      <c r="D351" s="206">
        <f t="shared" si="71"/>
        <v>30</v>
      </c>
      <c r="E351" s="206">
        <f t="shared" si="71"/>
        <v>40</v>
      </c>
      <c r="F351" s="206">
        <f t="shared" si="71"/>
        <v>0</v>
      </c>
      <c r="G351" s="206">
        <f t="shared" si="71"/>
        <v>0</v>
      </c>
      <c r="H351" s="206">
        <f t="shared" si="71"/>
        <v>0</v>
      </c>
      <c r="I351" s="206">
        <f t="shared" si="71"/>
        <v>70</v>
      </c>
      <c r="J351" s="206">
        <f t="shared" si="71"/>
        <v>30</v>
      </c>
      <c r="K351" s="206">
        <f>SUM(K348:K350)</f>
        <v>40</v>
      </c>
      <c r="L351" s="554" t="s">
        <v>245</v>
      </c>
      <c r="M351" s="554"/>
    </row>
    <row r="352" spans="3:13" ht="17.25" customHeight="1" thickBot="1" x14ac:dyDescent="0.25">
      <c r="C352" s="476" t="s">
        <v>4</v>
      </c>
      <c r="D352" s="476"/>
      <c r="E352" s="476"/>
      <c r="F352" s="476" t="s">
        <v>145</v>
      </c>
      <c r="G352" s="476"/>
      <c r="H352" s="476"/>
      <c r="I352" s="476" t="s">
        <v>146</v>
      </c>
      <c r="J352" s="476"/>
      <c r="K352" s="476"/>
      <c r="L352" s="479" t="s">
        <v>66</v>
      </c>
      <c r="M352" s="479"/>
    </row>
    <row r="353" spans="3:13" ht="17.25" customHeight="1" thickBot="1" x14ac:dyDescent="0.25">
      <c r="C353" s="185" t="s">
        <v>227</v>
      </c>
      <c r="D353" s="185" t="s">
        <v>10</v>
      </c>
      <c r="E353" s="185" t="s">
        <v>9</v>
      </c>
      <c r="F353" s="185" t="s">
        <v>227</v>
      </c>
      <c r="G353" s="185" t="s">
        <v>10</v>
      </c>
      <c r="H353" s="185" t="s">
        <v>9</v>
      </c>
      <c r="I353" s="185" t="s">
        <v>227</v>
      </c>
      <c r="J353" s="185" t="s">
        <v>10</v>
      </c>
      <c r="K353" s="185" t="s">
        <v>9</v>
      </c>
      <c r="L353" s="480" t="s">
        <v>148</v>
      </c>
      <c r="M353" s="480"/>
    </row>
    <row r="354" spans="3:13" ht="17.25" customHeight="1" thickBot="1" x14ac:dyDescent="0.25">
      <c r="C354" s="47">
        <f>SUM(D354:E354)</f>
        <v>0</v>
      </c>
      <c r="D354" s="47">
        <f>J354+G354</f>
        <v>0</v>
      </c>
      <c r="E354" s="47">
        <f>K354+H354</f>
        <v>0</v>
      </c>
      <c r="F354" s="47">
        <f>SUM(G354:H354)</f>
        <v>0</v>
      </c>
      <c r="G354" s="47">
        <v>0</v>
      </c>
      <c r="H354" s="47">
        <v>0</v>
      </c>
      <c r="I354" s="47">
        <f>SUM(J354:K354)</f>
        <v>0</v>
      </c>
      <c r="J354" s="47">
        <v>0</v>
      </c>
      <c r="K354" s="47">
        <v>0</v>
      </c>
      <c r="L354" s="188" t="s">
        <v>56</v>
      </c>
      <c r="M354" s="134"/>
    </row>
    <row r="355" spans="3:13" ht="17.25" customHeight="1" thickBot="1" x14ac:dyDescent="0.25">
      <c r="C355" s="47">
        <f t="shared" ref="C355:C362" si="72">SUM(D355:E355)</f>
        <v>42</v>
      </c>
      <c r="D355" s="47">
        <f t="shared" ref="D355:E362" si="73">J355+G355</f>
        <v>20</v>
      </c>
      <c r="E355" s="47">
        <f t="shared" si="73"/>
        <v>22</v>
      </c>
      <c r="F355" s="47">
        <f t="shared" ref="F355:F362" si="74">SUM(G355:H355)</f>
        <v>0</v>
      </c>
      <c r="G355" s="47">
        <v>0</v>
      </c>
      <c r="H355" s="47">
        <v>0</v>
      </c>
      <c r="I355" s="47">
        <f t="shared" ref="I355:I362" si="75">SUM(J355:K355)</f>
        <v>42</v>
      </c>
      <c r="J355" s="47">
        <f>75-35-20</f>
        <v>20</v>
      </c>
      <c r="K355" s="47">
        <f>28-6</f>
        <v>22</v>
      </c>
      <c r="L355" s="188" t="s">
        <v>57</v>
      </c>
      <c r="M355" s="134" t="s">
        <v>602</v>
      </c>
    </row>
    <row r="356" spans="3:13" ht="17.25" customHeight="1" thickBot="1" x14ac:dyDescent="0.25">
      <c r="C356" s="47">
        <f t="shared" si="72"/>
        <v>0</v>
      </c>
      <c r="D356" s="47">
        <f t="shared" si="73"/>
        <v>0</v>
      </c>
      <c r="E356" s="47">
        <f t="shared" si="73"/>
        <v>0</v>
      </c>
      <c r="F356" s="47">
        <f t="shared" si="74"/>
        <v>0</v>
      </c>
      <c r="G356" s="47">
        <v>0</v>
      </c>
      <c r="H356" s="47">
        <v>0</v>
      </c>
      <c r="I356" s="47">
        <f t="shared" si="75"/>
        <v>0</v>
      </c>
      <c r="J356" s="47">
        <v>0</v>
      </c>
      <c r="K356" s="47">
        <v>0</v>
      </c>
      <c r="L356" s="188" t="s">
        <v>59</v>
      </c>
      <c r="M356" s="135"/>
    </row>
    <row r="357" spans="3:13" ht="17.25" customHeight="1" thickBot="1" x14ac:dyDescent="0.25">
      <c r="C357" s="47">
        <f t="shared" si="72"/>
        <v>0</v>
      </c>
      <c r="D357" s="47">
        <f t="shared" si="73"/>
        <v>0</v>
      </c>
      <c r="E357" s="47">
        <f t="shared" si="73"/>
        <v>0</v>
      </c>
      <c r="F357" s="47">
        <f t="shared" si="74"/>
        <v>0</v>
      </c>
      <c r="G357" s="47">
        <v>0</v>
      </c>
      <c r="H357" s="47">
        <v>0</v>
      </c>
      <c r="I357" s="47">
        <f t="shared" si="75"/>
        <v>0</v>
      </c>
      <c r="J357" s="47">
        <v>0</v>
      </c>
      <c r="K357" s="47">
        <v>0</v>
      </c>
      <c r="L357" s="188" t="s">
        <v>56</v>
      </c>
      <c r="M357" s="134"/>
    </row>
    <row r="358" spans="3:13" ht="17.25" customHeight="1" thickBot="1" x14ac:dyDescent="0.25">
      <c r="C358" s="47">
        <f t="shared" si="72"/>
        <v>22</v>
      </c>
      <c r="D358" s="47">
        <f t="shared" si="73"/>
        <v>8</v>
      </c>
      <c r="E358" s="47">
        <f t="shared" si="73"/>
        <v>14</v>
      </c>
      <c r="F358" s="47">
        <f t="shared" si="74"/>
        <v>1</v>
      </c>
      <c r="G358" s="47">
        <v>0</v>
      </c>
      <c r="H358" s="47">
        <v>1</v>
      </c>
      <c r="I358" s="47">
        <f t="shared" si="75"/>
        <v>21</v>
      </c>
      <c r="J358" s="47">
        <f>13-5</f>
        <v>8</v>
      </c>
      <c r="K358" s="47">
        <v>13</v>
      </c>
      <c r="L358" s="188" t="s">
        <v>57</v>
      </c>
      <c r="M358" s="134" t="s">
        <v>603</v>
      </c>
    </row>
    <row r="359" spans="3:13" ht="17.25" customHeight="1" thickBot="1" x14ac:dyDescent="0.25">
      <c r="C359" s="47">
        <f t="shared" si="72"/>
        <v>0</v>
      </c>
      <c r="D359" s="47">
        <f t="shared" si="73"/>
        <v>0</v>
      </c>
      <c r="E359" s="47">
        <f t="shared" si="73"/>
        <v>0</v>
      </c>
      <c r="F359" s="47">
        <f t="shared" si="74"/>
        <v>0</v>
      </c>
      <c r="G359" s="47">
        <v>0</v>
      </c>
      <c r="H359" s="47">
        <v>0</v>
      </c>
      <c r="I359" s="47">
        <f t="shared" si="75"/>
        <v>0</v>
      </c>
      <c r="J359" s="47">
        <v>0</v>
      </c>
      <c r="K359" s="47">
        <v>0</v>
      </c>
      <c r="L359" s="188" t="s">
        <v>59</v>
      </c>
      <c r="M359" s="135"/>
    </row>
    <row r="360" spans="3:13" ht="17.25" customHeight="1" thickBot="1" x14ac:dyDescent="0.25">
      <c r="C360" s="47">
        <f t="shared" si="72"/>
        <v>0</v>
      </c>
      <c r="D360" s="47">
        <f t="shared" si="73"/>
        <v>0</v>
      </c>
      <c r="E360" s="47">
        <f t="shared" si="73"/>
        <v>0</v>
      </c>
      <c r="F360" s="47">
        <f t="shared" si="74"/>
        <v>0</v>
      </c>
      <c r="G360" s="47">
        <v>0</v>
      </c>
      <c r="H360" s="47">
        <v>0</v>
      </c>
      <c r="I360" s="47">
        <f t="shared" si="75"/>
        <v>0</v>
      </c>
      <c r="J360" s="47">
        <v>0</v>
      </c>
      <c r="K360" s="47">
        <v>0</v>
      </c>
      <c r="L360" s="188" t="s">
        <v>56</v>
      </c>
      <c r="M360" s="134"/>
    </row>
    <row r="361" spans="3:13" ht="17.25" customHeight="1" thickBot="1" x14ac:dyDescent="0.25">
      <c r="C361" s="47">
        <f t="shared" si="72"/>
        <v>0</v>
      </c>
      <c r="D361" s="47">
        <f t="shared" si="73"/>
        <v>0</v>
      </c>
      <c r="E361" s="47">
        <f t="shared" si="73"/>
        <v>0</v>
      </c>
      <c r="F361" s="47">
        <f t="shared" si="74"/>
        <v>0</v>
      </c>
      <c r="G361" s="47">
        <v>0</v>
      </c>
      <c r="H361" s="47">
        <v>0</v>
      </c>
      <c r="I361" s="47">
        <f t="shared" si="75"/>
        <v>0</v>
      </c>
      <c r="J361" s="47">
        <v>0</v>
      </c>
      <c r="K361" s="47">
        <v>0</v>
      </c>
      <c r="L361" s="188" t="s">
        <v>57</v>
      </c>
      <c r="M361" s="134" t="s">
        <v>378</v>
      </c>
    </row>
    <row r="362" spans="3:13" ht="17.25" customHeight="1" thickBot="1" x14ac:dyDescent="0.25">
      <c r="C362" s="47">
        <f t="shared" si="72"/>
        <v>71</v>
      </c>
      <c r="D362" s="47">
        <f t="shared" si="73"/>
        <v>31</v>
      </c>
      <c r="E362" s="47">
        <f t="shared" si="73"/>
        <v>40</v>
      </c>
      <c r="F362" s="47">
        <f t="shared" si="74"/>
        <v>0</v>
      </c>
      <c r="G362" s="47">
        <v>0</v>
      </c>
      <c r="H362" s="47">
        <v>0</v>
      </c>
      <c r="I362" s="47">
        <f t="shared" si="75"/>
        <v>71</v>
      </c>
      <c r="J362" s="47">
        <f>201-150-20</f>
        <v>31</v>
      </c>
      <c r="K362" s="47">
        <f>240-200</f>
        <v>40</v>
      </c>
      <c r="L362" s="188" t="s">
        <v>59</v>
      </c>
      <c r="M362" s="135"/>
    </row>
    <row r="363" spans="3:13" ht="17.25" customHeight="1" thickBot="1" x14ac:dyDescent="0.25">
      <c r="C363" s="47">
        <f t="shared" ref="C363:K365" si="76">C354+C357+C360</f>
        <v>0</v>
      </c>
      <c r="D363" s="47">
        <f t="shared" si="76"/>
        <v>0</v>
      </c>
      <c r="E363" s="47">
        <f t="shared" si="76"/>
        <v>0</v>
      </c>
      <c r="F363" s="47">
        <f t="shared" si="76"/>
        <v>0</v>
      </c>
      <c r="G363" s="47">
        <f t="shared" si="76"/>
        <v>0</v>
      </c>
      <c r="H363" s="47">
        <f t="shared" si="76"/>
        <v>0</v>
      </c>
      <c r="I363" s="47">
        <f t="shared" si="76"/>
        <v>0</v>
      </c>
      <c r="J363" s="47">
        <f t="shared" si="76"/>
        <v>0</v>
      </c>
      <c r="K363" s="47">
        <f>K354+K357+K360</f>
        <v>0</v>
      </c>
      <c r="L363" s="188" t="s">
        <v>243</v>
      </c>
      <c r="M363" s="131"/>
    </row>
    <row r="364" spans="3:13" ht="17.25" customHeight="1" thickBot="1" x14ac:dyDescent="0.25">
      <c r="C364" s="47">
        <f t="shared" si="76"/>
        <v>64</v>
      </c>
      <c r="D364" s="47">
        <f t="shared" si="76"/>
        <v>28</v>
      </c>
      <c r="E364" s="47">
        <f t="shared" si="76"/>
        <v>36</v>
      </c>
      <c r="F364" s="47">
        <f t="shared" si="76"/>
        <v>1</v>
      </c>
      <c r="G364" s="47">
        <f t="shared" si="76"/>
        <v>0</v>
      </c>
      <c r="H364" s="47">
        <f t="shared" si="76"/>
        <v>1</v>
      </c>
      <c r="I364" s="47">
        <f t="shared" si="76"/>
        <v>63</v>
      </c>
      <c r="J364" s="47">
        <f t="shared" si="76"/>
        <v>28</v>
      </c>
      <c r="K364" s="47">
        <f t="shared" si="76"/>
        <v>35</v>
      </c>
      <c r="L364" s="188" t="s">
        <v>57</v>
      </c>
      <c r="M364" s="132" t="s">
        <v>244</v>
      </c>
    </row>
    <row r="365" spans="3:13" ht="17.25" customHeight="1" thickBot="1" x14ac:dyDescent="0.25">
      <c r="C365" s="47">
        <f t="shared" si="76"/>
        <v>71</v>
      </c>
      <c r="D365" s="47">
        <f t="shared" si="76"/>
        <v>31</v>
      </c>
      <c r="E365" s="47">
        <f t="shared" si="76"/>
        <v>40</v>
      </c>
      <c r="F365" s="47">
        <f t="shared" si="76"/>
        <v>0</v>
      </c>
      <c r="G365" s="47">
        <f t="shared" si="76"/>
        <v>0</v>
      </c>
      <c r="H365" s="47">
        <f t="shared" si="76"/>
        <v>0</v>
      </c>
      <c r="I365" s="47">
        <f t="shared" si="76"/>
        <v>71</v>
      </c>
      <c r="J365" s="47">
        <f t="shared" si="76"/>
        <v>31</v>
      </c>
      <c r="K365" s="47">
        <f t="shared" si="76"/>
        <v>40</v>
      </c>
      <c r="L365" s="188" t="s">
        <v>59</v>
      </c>
      <c r="M365" s="133"/>
    </row>
    <row r="366" spans="3:13" ht="17.25" customHeight="1" thickBot="1" x14ac:dyDescent="0.25">
      <c r="C366" s="47">
        <f t="shared" ref="C366:J366" si="77">SUM(C363:C365)</f>
        <v>135</v>
      </c>
      <c r="D366" s="47">
        <f t="shared" si="77"/>
        <v>59</v>
      </c>
      <c r="E366" s="47">
        <f t="shared" si="77"/>
        <v>76</v>
      </c>
      <c r="F366" s="47">
        <f t="shared" si="77"/>
        <v>1</v>
      </c>
      <c r="G366" s="47">
        <f t="shared" si="77"/>
        <v>0</v>
      </c>
      <c r="H366" s="47">
        <f t="shared" si="77"/>
        <v>1</v>
      </c>
      <c r="I366" s="47">
        <f t="shared" si="77"/>
        <v>134</v>
      </c>
      <c r="J366" s="47">
        <f t="shared" si="77"/>
        <v>59</v>
      </c>
      <c r="K366" s="47">
        <f>SUM(K363:K365)</f>
        <v>75</v>
      </c>
      <c r="L366" s="500" t="s">
        <v>245</v>
      </c>
      <c r="M366" s="500"/>
    </row>
    <row r="367" spans="3:13" ht="17.25" customHeight="1" thickBot="1" x14ac:dyDescent="0.25">
      <c r="C367" s="477" t="s">
        <v>4</v>
      </c>
      <c r="D367" s="477"/>
      <c r="E367" s="477"/>
      <c r="F367" s="477" t="s">
        <v>145</v>
      </c>
      <c r="G367" s="477"/>
      <c r="H367" s="477"/>
      <c r="I367" s="477" t="s">
        <v>146</v>
      </c>
      <c r="J367" s="477"/>
      <c r="K367" s="477"/>
      <c r="L367" s="482" t="s">
        <v>66</v>
      </c>
      <c r="M367" s="482"/>
    </row>
    <row r="368" spans="3:13" ht="17.25" customHeight="1" thickBot="1" x14ac:dyDescent="0.25">
      <c r="C368" s="204" t="s">
        <v>227</v>
      </c>
      <c r="D368" s="204" t="s">
        <v>10</v>
      </c>
      <c r="E368" s="204" t="s">
        <v>9</v>
      </c>
      <c r="F368" s="204" t="s">
        <v>227</v>
      </c>
      <c r="G368" s="204" t="s">
        <v>10</v>
      </c>
      <c r="H368" s="204" t="s">
        <v>9</v>
      </c>
      <c r="I368" s="204" t="s">
        <v>227</v>
      </c>
      <c r="J368" s="204" t="s">
        <v>10</v>
      </c>
      <c r="K368" s="204" t="s">
        <v>9</v>
      </c>
      <c r="L368" s="481" t="s">
        <v>155</v>
      </c>
      <c r="M368" s="481"/>
    </row>
    <row r="369" spans="3:13" ht="17.25" customHeight="1" thickBot="1" x14ac:dyDescent="0.25">
      <c r="C369" s="206">
        <f t="shared" ref="C369:E374" si="78">I369+F369</f>
        <v>0</v>
      </c>
      <c r="D369" s="206">
        <f t="shared" si="78"/>
        <v>0</v>
      </c>
      <c r="E369" s="206">
        <f t="shared" si="78"/>
        <v>0</v>
      </c>
      <c r="F369" s="206">
        <f t="shared" ref="F369:F374" si="79">H369+G369</f>
        <v>0</v>
      </c>
      <c r="G369" s="206">
        <v>0</v>
      </c>
      <c r="H369" s="206">
        <v>0</v>
      </c>
      <c r="I369" s="206">
        <f t="shared" ref="I369:I374" si="80">K369+J369</f>
        <v>0</v>
      </c>
      <c r="J369" s="206">
        <v>0</v>
      </c>
      <c r="K369" s="206">
        <v>0</v>
      </c>
      <c r="L369" s="220" t="s">
        <v>56</v>
      </c>
      <c r="M369" s="278"/>
    </row>
    <row r="370" spans="3:13" ht="17.25" customHeight="1" thickBot="1" x14ac:dyDescent="0.25">
      <c r="C370" s="206">
        <f t="shared" si="78"/>
        <v>83</v>
      </c>
      <c r="D370" s="206">
        <f t="shared" si="78"/>
        <v>38</v>
      </c>
      <c r="E370" s="206">
        <f t="shared" si="78"/>
        <v>45</v>
      </c>
      <c r="F370" s="206">
        <f t="shared" si="79"/>
        <v>4</v>
      </c>
      <c r="G370" s="206">
        <v>1</v>
      </c>
      <c r="H370" s="206">
        <v>3</v>
      </c>
      <c r="I370" s="206">
        <f t="shared" si="80"/>
        <v>79</v>
      </c>
      <c r="J370" s="206">
        <v>37</v>
      </c>
      <c r="K370" s="206">
        <v>42</v>
      </c>
      <c r="L370" s="220" t="s">
        <v>57</v>
      </c>
      <c r="M370" s="278" t="s">
        <v>127</v>
      </c>
    </row>
    <row r="371" spans="3:13" ht="17.25" customHeight="1" thickBot="1" x14ac:dyDescent="0.25">
      <c r="C371" s="206">
        <f t="shared" si="78"/>
        <v>0</v>
      </c>
      <c r="D371" s="206">
        <f t="shared" si="78"/>
        <v>0</v>
      </c>
      <c r="E371" s="206">
        <f t="shared" si="78"/>
        <v>0</v>
      </c>
      <c r="F371" s="206">
        <f t="shared" si="79"/>
        <v>0</v>
      </c>
      <c r="G371" s="206">
        <v>0</v>
      </c>
      <c r="H371" s="206">
        <v>0</v>
      </c>
      <c r="I371" s="206">
        <f t="shared" si="80"/>
        <v>0</v>
      </c>
      <c r="J371" s="206">
        <v>0</v>
      </c>
      <c r="K371" s="206">
        <v>0</v>
      </c>
      <c r="L371" s="220" t="s">
        <v>59</v>
      </c>
      <c r="M371" s="279"/>
    </row>
    <row r="372" spans="3:13" ht="17.25" customHeight="1" thickBot="1" x14ac:dyDescent="0.25">
      <c r="C372" s="206">
        <f t="shared" si="78"/>
        <v>0</v>
      </c>
      <c r="D372" s="206">
        <f t="shared" si="78"/>
        <v>0</v>
      </c>
      <c r="E372" s="206">
        <f t="shared" si="78"/>
        <v>0</v>
      </c>
      <c r="F372" s="206">
        <f t="shared" si="79"/>
        <v>0</v>
      </c>
      <c r="G372" s="206">
        <v>0</v>
      </c>
      <c r="H372" s="206">
        <v>0</v>
      </c>
      <c r="I372" s="206">
        <f t="shared" si="80"/>
        <v>0</v>
      </c>
      <c r="J372" s="206">
        <v>0</v>
      </c>
      <c r="K372" s="206">
        <v>0</v>
      </c>
      <c r="L372" s="220" t="s">
        <v>56</v>
      </c>
      <c r="M372" s="278"/>
    </row>
    <row r="373" spans="3:13" ht="17.25" customHeight="1" thickBot="1" x14ac:dyDescent="0.25">
      <c r="C373" s="206">
        <f t="shared" si="78"/>
        <v>0</v>
      </c>
      <c r="D373" s="206">
        <f t="shared" si="78"/>
        <v>0</v>
      </c>
      <c r="E373" s="206">
        <f t="shared" si="78"/>
        <v>0</v>
      </c>
      <c r="F373" s="206">
        <f t="shared" si="79"/>
        <v>0</v>
      </c>
      <c r="G373" s="206">
        <v>0</v>
      </c>
      <c r="H373" s="206">
        <v>0</v>
      </c>
      <c r="I373" s="206">
        <f t="shared" si="80"/>
        <v>0</v>
      </c>
      <c r="J373" s="206">
        <v>0</v>
      </c>
      <c r="K373" s="206">
        <v>0</v>
      </c>
      <c r="L373" s="220" t="s">
        <v>57</v>
      </c>
      <c r="M373" s="278" t="s">
        <v>683</v>
      </c>
    </row>
    <row r="374" spans="3:13" ht="17.25" customHeight="1" thickBot="1" x14ac:dyDescent="0.25">
      <c r="C374" s="206">
        <f t="shared" si="78"/>
        <v>316</v>
      </c>
      <c r="D374" s="206">
        <f t="shared" si="78"/>
        <v>138</v>
      </c>
      <c r="E374" s="206">
        <f t="shared" si="78"/>
        <v>178</v>
      </c>
      <c r="F374" s="206">
        <f t="shared" si="79"/>
        <v>11</v>
      </c>
      <c r="G374" s="206">
        <v>8</v>
      </c>
      <c r="H374" s="206">
        <v>3</v>
      </c>
      <c r="I374" s="206">
        <f t="shared" si="80"/>
        <v>305</v>
      </c>
      <c r="J374" s="206">
        <v>130</v>
      </c>
      <c r="K374" s="206">
        <v>175</v>
      </c>
      <c r="L374" s="220" t="s">
        <v>59</v>
      </c>
      <c r="M374" s="279"/>
    </row>
    <row r="375" spans="3:13" ht="17.25" customHeight="1" thickBot="1" x14ac:dyDescent="0.25">
      <c r="C375" s="206">
        <f t="shared" ref="C375:J377" si="81">C369+C372</f>
        <v>0</v>
      </c>
      <c r="D375" s="206">
        <f t="shared" si="81"/>
        <v>0</v>
      </c>
      <c r="E375" s="206">
        <f t="shared" si="81"/>
        <v>0</v>
      </c>
      <c r="F375" s="206">
        <f t="shared" si="81"/>
        <v>0</v>
      </c>
      <c r="G375" s="206">
        <f t="shared" si="81"/>
        <v>0</v>
      </c>
      <c r="H375" s="206">
        <f t="shared" si="81"/>
        <v>0</v>
      </c>
      <c r="I375" s="206">
        <f t="shared" si="81"/>
        <v>0</v>
      </c>
      <c r="J375" s="206">
        <f t="shared" si="81"/>
        <v>0</v>
      </c>
      <c r="K375" s="206">
        <f>K369+K372</f>
        <v>0</v>
      </c>
      <c r="L375" s="220" t="s">
        <v>243</v>
      </c>
      <c r="M375" s="280"/>
    </row>
    <row r="376" spans="3:13" ht="17.25" customHeight="1" thickBot="1" x14ac:dyDescent="0.25">
      <c r="C376" s="206">
        <f t="shared" si="81"/>
        <v>83</v>
      </c>
      <c r="D376" s="206">
        <f t="shared" si="81"/>
        <v>38</v>
      </c>
      <c r="E376" s="206">
        <f t="shared" si="81"/>
        <v>45</v>
      </c>
      <c r="F376" s="206">
        <f t="shared" si="81"/>
        <v>4</v>
      </c>
      <c r="G376" s="206">
        <f t="shared" si="81"/>
        <v>1</v>
      </c>
      <c r="H376" s="206">
        <f t="shared" si="81"/>
        <v>3</v>
      </c>
      <c r="I376" s="206">
        <f t="shared" si="81"/>
        <v>79</v>
      </c>
      <c r="J376" s="206">
        <f t="shared" si="81"/>
        <v>37</v>
      </c>
      <c r="K376" s="206">
        <f>K370+K373</f>
        <v>42</v>
      </c>
      <c r="L376" s="220" t="s">
        <v>57</v>
      </c>
      <c r="M376" s="281" t="s">
        <v>244</v>
      </c>
    </row>
    <row r="377" spans="3:13" ht="17.25" customHeight="1" thickBot="1" x14ac:dyDescent="0.25">
      <c r="C377" s="206">
        <f t="shared" si="81"/>
        <v>316</v>
      </c>
      <c r="D377" s="206">
        <f t="shared" si="81"/>
        <v>138</v>
      </c>
      <c r="E377" s="206">
        <f t="shared" si="81"/>
        <v>178</v>
      </c>
      <c r="F377" s="206">
        <f t="shared" si="81"/>
        <v>11</v>
      </c>
      <c r="G377" s="206">
        <f t="shared" si="81"/>
        <v>8</v>
      </c>
      <c r="H377" s="206">
        <f t="shared" si="81"/>
        <v>3</v>
      </c>
      <c r="I377" s="206">
        <f t="shared" si="81"/>
        <v>305</v>
      </c>
      <c r="J377" s="206">
        <f t="shared" si="81"/>
        <v>130</v>
      </c>
      <c r="K377" s="206">
        <f>K371+K374</f>
        <v>175</v>
      </c>
      <c r="L377" s="220" t="s">
        <v>59</v>
      </c>
      <c r="M377" s="282"/>
    </row>
    <row r="378" spans="3:13" ht="17.25" customHeight="1" thickBot="1" x14ac:dyDescent="0.25">
      <c r="C378" s="206">
        <f t="shared" ref="C378:J378" si="82">SUM(C375:C377)</f>
        <v>399</v>
      </c>
      <c r="D378" s="206">
        <f t="shared" si="82"/>
        <v>176</v>
      </c>
      <c r="E378" s="206">
        <f t="shared" si="82"/>
        <v>223</v>
      </c>
      <c r="F378" s="206">
        <f t="shared" si="82"/>
        <v>15</v>
      </c>
      <c r="G378" s="206">
        <f t="shared" si="82"/>
        <v>9</v>
      </c>
      <c r="H378" s="206">
        <f t="shared" si="82"/>
        <v>6</v>
      </c>
      <c r="I378" s="206">
        <f t="shared" si="82"/>
        <v>384</v>
      </c>
      <c r="J378" s="206">
        <f t="shared" si="82"/>
        <v>167</v>
      </c>
      <c r="K378" s="206">
        <f>SUM(K375:K377)</f>
        <v>217</v>
      </c>
      <c r="L378" s="554" t="s">
        <v>245</v>
      </c>
      <c r="M378" s="554"/>
    </row>
    <row r="379" spans="3:13" ht="17.25" customHeight="1" thickBot="1" x14ac:dyDescent="0.25">
      <c r="C379" s="476" t="s">
        <v>4</v>
      </c>
      <c r="D379" s="476"/>
      <c r="E379" s="476"/>
      <c r="F379" s="476" t="s">
        <v>145</v>
      </c>
      <c r="G379" s="476"/>
      <c r="H379" s="476"/>
      <c r="I379" s="476" t="s">
        <v>146</v>
      </c>
      <c r="J379" s="476"/>
      <c r="K379" s="476"/>
      <c r="L379" s="479" t="s">
        <v>66</v>
      </c>
      <c r="M379" s="479"/>
    </row>
    <row r="380" spans="3:13" ht="17.25" customHeight="1" thickBot="1" x14ac:dyDescent="0.25">
      <c r="C380" s="185" t="s">
        <v>227</v>
      </c>
      <c r="D380" s="185" t="s">
        <v>10</v>
      </c>
      <c r="E380" s="185" t="s">
        <v>9</v>
      </c>
      <c r="F380" s="185" t="s">
        <v>227</v>
      </c>
      <c r="G380" s="185" t="s">
        <v>10</v>
      </c>
      <c r="H380" s="185" t="s">
        <v>9</v>
      </c>
      <c r="I380" s="185" t="s">
        <v>227</v>
      </c>
      <c r="J380" s="185" t="s">
        <v>10</v>
      </c>
      <c r="K380" s="185" t="s">
        <v>9</v>
      </c>
      <c r="L380" s="480" t="s">
        <v>153</v>
      </c>
      <c r="M380" s="480"/>
    </row>
    <row r="381" spans="3:13" ht="17.25" customHeight="1" thickBot="1" x14ac:dyDescent="0.25">
      <c r="C381" s="47">
        <f>SUM(D381:E381)</f>
        <v>0</v>
      </c>
      <c r="D381" s="47">
        <f>J381+G381</f>
        <v>0</v>
      </c>
      <c r="E381" s="47">
        <f>K381+H381</f>
        <v>0</v>
      </c>
      <c r="F381" s="47">
        <f>SUM(G381:H381)</f>
        <v>0</v>
      </c>
      <c r="G381" s="47">
        <v>0</v>
      </c>
      <c r="H381" s="47">
        <v>0</v>
      </c>
      <c r="I381" s="47">
        <f>SUM(J381:K381)</f>
        <v>0</v>
      </c>
      <c r="J381" s="47">
        <v>0</v>
      </c>
      <c r="K381" s="47">
        <v>0</v>
      </c>
      <c r="L381" s="188" t="s">
        <v>56</v>
      </c>
      <c r="M381" s="248"/>
    </row>
    <row r="382" spans="3:13" ht="17.25" customHeight="1" thickBot="1" x14ac:dyDescent="0.25">
      <c r="C382" s="47">
        <f t="shared" ref="C382:C383" si="83">SUM(D382:E382)</f>
        <v>0</v>
      </c>
      <c r="D382" s="47">
        <f t="shared" ref="D382:E383" si="84">J382+G382</f>
        <v>0</v>
      </c>
      <c r="E382" s="47">
        <f t="shared" si="84"/>
        <v>0</v>
      </c>
      <c r="F382" s="47">
        <f t="shared" ref="F382:F383" si="85">SUM(G382:H382)</f>
        <v>0</v>
      </c>
      <c r="G382" s="47">
        <v>0</v>
      </c>
      <c r="H382" s="47">
        <v>0</v>
      </c>
      <c r="I382" s="47">
        <f t="shared" ref="I382:I383" si="86">SUM(J382:K382)</f>
        <v>0</v>
      </c>
      <c r="J382" s="47">
        <v>0</v>
      </c>
      <c r="K382" s="47">
        <v>0</v>
      </c>
      <c r="L382" s="188" t="s">
        <v>57</v>
      </c>
      <c r="M382" s="248" t="s">
        <v>153</v>
      </c>
    </row>
    <row r="383" spans="3:13" ht="17.25" customHeight="1" thickBot="1" x14ac:dyDescent="0.25">
      <c r="C383" s="47">
        <f t="shared" si="83"/>
        <v>497</v>
      </c>
      <c r="D383" s="47">
        <f t="shared" si="84"/>
        <v>0</v>
      </c>
      <c r="E383" s="47">
        <f t="shared" si="84"/>
        <v>497</v>
      </c>
      <c r="F383" s="47">
        <f t="shared" si="85"/>
        <v>0</v>
      </c>
      <c r="G383" s="47">
        <v>0</v>
      </c>
      <c r="H383" s="47">
        <v>0</v>
      </c>
      <c r="I383" s="47">
        <f t="shared" si="86"/>
        <v>497</v>
      </c>
      <c r="J383" s="47">
        <v>0</v>
      </c>
      <c r="K383" s="47">
        <v>497</v>
      </c>
      <c r="L383" s="188" t="s">
        <v>59</v>
      </c>
      <c r="M383" s="255"/>
    </row>
    <row r="384" spans="3:13" ht="17.25" customHeight="1" thickBot="1" x14ac:dyDescent="0.25">
      <c r="C384" s="47">
        <f t="shared" ref="C384:K386" si="87">C381</f>
        <v>0</v>
      </c>
      <c r="D384" s="47">
        <f t="shared" si="87"/>
        <v>0</v>
      </c>
      <c r="E384" s="47">
        <f t="shared" si="87"/>
        <v>0</v>
      </c>
      <c r="F384" s="47">
        <f t="shared" si="87"/>
        <v>0</v>
      </c>
      <c r="G384" s="47">
        <f t="shared" si="87"/>
        <v>0</v>
      </c>
      <c r="H384" s="47">
        <f t="shared" si="87"/>
        <v>0</v>
      </c>
      <c r="I384" s="47">
        <f t="shared" si="87"/>
        <v>0</v>
      </c>
      <c r="J384" s="47">
        <f t="shared" si="87"/>
        <v>0</v>
      </c>
      <c r="K384" s="47">
        <f>K381</f>
        <v>0</v>
      </c>
      <c r="L384" s="188" t="s">
        <v>243</v>
      </c>
      <c r="M384" s="250"/>
    </row>
    <row r="385" spans="3:13" ht="17.25" customHeight="1" thickBot="1" x14ac:dyDescent="0.25">
      <c r="C385" s="47">
        <f t="shared" si="87"/>
        <v>0</v>
      </c>
      <c r="D385" s="47">
        <f t="shared" si="87"/>
        <v>0</v>
      </c>
      <c r="E385" s="47">
        <f t="shared" si="87"/>
        <v>0</v>
      </c>
      <c r="F385" s="47">
        <f t="shared" si="87"/>
        <v>0</v>
      </c>
      <c r="G385" s="47">
        <f t="shared" si="87"/>
        <v>0</v>
      </c>
      <c r="H385" s="47">
        <f t="shared" si="87"/>
        <v>0</v>
      </c>
      <c r="I385" s="47">
        <f t="shared" si="87"/>
        <v>0</v>
      </c>
      <c r="J385" s="47">
        <f t="shared" si="87"/>
        <v>0</v>
      </c>
      <c r="K385" s="47">
        <f t="shared" si="87"/>
        <v>0</v>
      </c>
      <c r="L385" s="188" t="s">
        <v>57</v>
      </c>
      <c r="M385" s="251" t="s">
        <v>244</v>
      </c>
    </row>
    <row r="386" spans="3:13" ht="17.25" customHeight="1" thickBot="1" x14ac:dyDescent="0.25">
      <c r="C386" s="47">
        <f t="shared" si="87"/>
        <v>497</v>
      </c>
      <c r="D386" s="47">
        <f t="shared" si="87"/>
        <v>0</v>
      </c>
      <c r="E386" s="47">
        <f t="shared" si="87"/>
        <v>497</v>
      </c>
      <c r="F386" s="47">
        <f t="shared" si="87"/>
        <v>0</v>
      </c>
      <c r="G386" s="47">
        <f t="shared" si="87"/>
        <v>0</v>
      </c>
      <c r="H386" s="47">
        <f t="shared" si="87"/>
        <v>0</v>
      </c>
      <c r="I386" s="47">
        <f t="shared" si="87"/>
        <v>497</v>
      </c>
      <c r="J386" s="47">
        <f t="shared" si="87"/>
        <v>0</v>
      </c>
      <c r="K386" s="47">
        <f t="shared" si="87"/>
        <v>497</v>
      </c>
      <c r="L386" s="188" t="s">
        <v>59</v>
      </c>
      <c r="M386" s="187"/>
    </row>
    <row r="387" spans="3:13" ht="17.25" customHeight="1" thickBot="1" x14ac:dyDescent="0.25">
      <c r="C387" s="47">
        <f t="shared" ref="C387:J387" si="88">SUM(C384:C386)</f>
        <v>497</v>
      </c>
      <c r="D387" s="47">
        <f t="shared" si="88"/>
        <v>0</v>
      </c>
      <c r="E387" s="47">
        <f t="shared" si="88"/>
        <v>497</v>
      </c>
      <c r="F387" s="47">
        <f t="shared" si="88"/>
        <v>0</v>
      </c>
      <c r="G387" s="47">
        <f t="shared" si="88"/>
        <v>0</v>
      </c>
      <c r="H387" s="47">
        <f t="shared" si="88"/>
        <v>0</v>
      </c>
      <c r="I387" s="47">
        <f t="shared" si="88"/>
        <v>497</v>
      </c>
      <c r="J387" s="47">
        <f t="shared" si="88"/>
        <v>0</v>
      </c>
      <c r="K387" s="47">
        <f>SUM(K384:K386)</f>
        <v>497</v>
      </c>
      <c r="L387" s="500" t="s">
        <v>245</v>
      </c>
      <c r="M387" s="500"/>
    </row>
  </sheetData>
  <mergeCells count="91">
    <mergeCell ref="L380:M380"/>
    <mergeCell ref="L387:M387"/>
    <mergeCell ref="L368:M368"/>
    <mergeCell ref="L378:M378"/>
    <mergeCell ref="C379:E379"/>
    <mergeCell ref="F379:H379"/>
    <mergeCell ref="I379:K379"/>
    <mergeCell ref="L379:M379"/>
    <mergeCell ref="L353:M353"/>
    <mergeCell ref="L366:M366"/>
    <mergeCell ref="C367:E367"/>
    <mergeCell ref="F367:H367"/>
    <mergeCell ref="I367:K367"/>
    <mergeCell ref="L367:M367"/>
    <mergeCell ref="L344:M344"/>
    <mergeCell ref="L351:M351"/>
    <mergeCell ref="C352:E352"/>
    <mergeCell ref="F352:H352"/>
    <mergeCell ref="I352:K352"/>
    <mergeCell ref="L352:M352"/>
    <mergeCell ref="L326:M326"/>
    <mergeCell ref="L342:M342"/>
    <mergeCell ref="C343:E343"/>
    <mergeCell ref="F343:H343"/>
    <mergeCell ref="I343:K343"/>
    <mergeCell ref="L343:M343"/>
    <mergeCell ref="L305:M305"/>
    <mergeCell ref="L324:M324"/>
    <mergeCell ref="C325:E325"/>
    <mergeCell ref="F325:H325"/>
    <mergeCell ref="I325:K325"/>
    <mergeCell ref="L325:M325"/>
    <mergeCell ref="L284:M284"/>
    <mergeCell ref="L303:M303"/>
    <mergeCell ref="C304:E304"/>
    <mergeCell ref="F304:H304"/>
    <mergeCell ref="I304:K304"/>
    <mergeCell ref="L304:M304"/>
    <mergeCell ref="L263:M263"/>
    <mergeCell ref="L282:M282"/>
    <mergeCell ref="C283:E283"/>
    <mergeCell ref="F283:H283"/>
    <mergeCell ref="I283:K283"/>
    <mergeCell ref="L283:M283"/>
    <mergeCell ref="L227:M227"/>
    <mergeCell ref="L261:M261"/>
    <mergeCell ref="C262:E262"/>
    <mergeCell ref="F262:H262"/>
    <mergeCell ref="I262:K262"/>
    <mergeCell ref="L262:M262"/>
    <mergeCell ref="L206:M206"/>
    <mergeCell ref="L225:M225"/>
    <mergeCell ref="C226:E226"/>
    <mergeCell ref="F226:H226"/>
    <mergeCell ref="I226:K226"/>
    <mergeCell ref="L226:M226"/>
    <mergeCell ref="L155:M155"/>
    <mergeCell ref="L204:M204"/>
    <mergeCell ref="C205:E205"/>
    <mergeCell ref="F205:H205"/>
    <mergeCell ref="I205:K205"/>
    <mergeCell ref="L205:M205"/>
    <mergeCell ref="L104:M104"/>
    <mergeCell ref="L153:M153"/>
    <mergeCell ref="C154:E154"/>
    <mergeCell ref="F154:H154"/>
    <mergeCell ref="I154:K154"/>
    <mergeCell ref="L154:M154"/>
    <mergeCell ref="L68:M68"/>
    <mergeCell ref="L102:M102"/>
    <mergeCell ref="C103:E103"/>
    <mergeCell ref="F103:H103"/>
    <mergeCell ref="I103:K103"/>
    <mergeCell ref="L103:M103"/>
    <mergeCell ref="L47:M47"/>
    <mergeCell ref="L66:M66"/>
    <mergeCell ref="C67:E67"/>
    <mergeCell ref="F67:H67"/>
    <mergeCell ref="I67:K67"/>
    <mergeCell ref="L67:M67"/>
    <mergeCell ref="L5:M5"/>
    <mergeCell ref="L45:M45"/>
    <mergeCell ref="C46:E46"/>
    <mergeCell ref="F46:H46"/>
    <mergeCell ref="I46:K46"/>
    <mergeCell ref="L46:M46"/>
    <mergeCell ref="C2:M2"/>
    <mergeCell ref="C4:E4"/>
    <mergeCell ref="F4:H4"/>
    <mergeCell ref="I4:K4"/>
    <mergeCell ref="L4:M4"/>
  </mergeCells>
  <printOptions horizontalCentered="1" verticalCentered="1"/>
  <pageMargins left="0.4" right="0.4" top="0.25" bottom="0.55000000000000004" header="0.25" footer="0.25"/>
  <pageSetup paperSize="9" orientation="landscape" r:id="rId1"/>
  <headerFooter alignWithMargins="0"/>
  <rowBreaks count="10" manualBreakCount="10">
    <brk id="45" min="2" max="12" man="1"/>
    <brk id="102" min="2" max="12" man="1"/>
    <brk id="131" min="2" max="12" man="1"/>
    <brk id="153" min="2" max="12" man="1"/>
    <brk id="204" min="2" max="12" man="1"/>
    <brk id="225" min="2" max="12" man="1"/>
    <brk id="282" min="2" max="12" man="1"/>
    <brk id="303" min="2" max="12" man="1"/>
    <brk id="342" min="2" max="12" man="1"/>
    <brk id="378" min="2" max="12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N29"/>
  <sheetViews>
    <sheetView showGridLines="0" zoomScaleSheetLayoutView="90" workbookViewId="0">
      <selection activeCell="F30" sqref="F30"/>
    </sheetView>
  </sheetViews>
  <sheetFormatPr defaultRowHeight="12.75" x14ac:dyDescent="0.2"/>
  <cols>
    <col min="1" max="1" width="9" style="2"/>
    <col min="2" max="2" width="6.875" style="2" customWidth="1"/>
    <col min="3" max="11" width="9.625" style="2" customWidth="1"/>
    <col min="12" max="12" width="35.75" style="2" customWidth="1"/>
    <col min="13" max="13" width="8.25" style="2" customWidth="1"/>
    <col min="14" max="257" width="9" style="2"/>
    <col min="258" max="258" width="6.875" style="2" customWidth="1"/>
    <col min="259" max="267" width="9.625" style="2" customWidth="1"/>
    <col min="268" max="268" width="35.75" style="2" customWidth="1"/>
    <col min="269" max="269" width="8.25" style="2" customWidth="1"/>
    <col min="270" max="513" width="9" style="2"/>
    <col min="514" max="514" width="6.875" style="2" customWidth="1"/>
    <col min="515" max="523" width="9.625" style="2" customWidth="1"/>
    <col min="524" max="524" width="35.75" style="2" customWidth="1"/>
    <col min="525" max="525" width="8.25" style="2" customWidth="1"/>
    <col min="526" max="769" width="9" style="2"/>
    <col min="770" max="770" width="6.875" style="2" customWidth="1"/>
    <col min="771" max="779" width="9.625" style="2" customWidth="1"/>
    <col min="780" max="780" width="35.75" style="2" customWidth="1"/>
    <col min="781" max="781" width="8.25" style="2" customWidth="1"/>
    <col min="782" max="1025" width="9" style="2"/>
    <col min="1026" max="1026" width="6.875" style="2" customWidth="1"/>
    <col min="1027" max="1035" width="9.625" style="2" customWidth="1"/>
    <col min="1036" max="1036" width="35.75" style="2" customWidth="1"/>
    <col min="1037" max="1037" width="8.25" style="2" customWidth="1"/>
    <col min="1038" max="1281" width="9" style="2"/>
    <col min="1282" max="1282" width="6.875" style="2" customWidth="1"/>
    <col min="1283" max="1291" width="9.625" style="2" customWidth="1"/>
    <col min="1292" max="1292" width="35.75" style="2" customWidth="1"/>
    <col min="1293" max="1293" width="8.25" style="2" customWidth="1"/>
    <col min="1294" max="1537" width="9" style="2"/>
    <col min="1538" max="1538" width="6.875" style="2" customWidth="1"/>
    <col min="1539" max="1547" width="9.625" style="2" customWidth="1"/>
    <col min="1548" max="1548" width="35.75" style="2" customWidth="1"/>
    <col min="1549" max="1549" width="8.25" style="2" customWidth="1"/>
    <col min="1550" max="1793" width="9" style="2"/>
    <col min="1794" max="1794" width="6.875" style="2" customWidth="1"/>
    <col min="1795" max="1803" width="9.625" style="2" customWidth="1"/>
    <col min="1804" max="1804" width="35.75" style="2" customWidth="1"/>
    <col min="1805" max="1805" width="8.25" style="2" customWidth="1"/>
    <col min="1806" max="2049" width="9" style="2"/>
    <col min="2050" max="2050" width="6.875" style="2" customWidth="1"/>
    <col min="2051" max="2059" width="9.625" style="2" customWidth="1"/>
    <col min="2060" max="2060" width="35.75" style="2" customWidth="1"/>
    <col min="2061" max="2061" width="8.25" style="2" customWidth="1"/>
    <col min="2062" max="2305" width="9" style="2"/>
    <col min="2306" max="2306" width="6.875" style="2" customWidth="1"/>
    <col min="2307" max="2315" width="9.625" style="2" customWidth="1"/>
    <col min="2316" max="2316" width="35.75" style="2" customWidth="1"/>
    <col min="2317" max="2317" width="8.25" style="2" customWidth="1"/>
    <col min="2318" max="2561" width="9" style="2"/>
    <col min="2562" max="2562" width="6.875" style="2" customWidth="1"/>
    <col min="2563" max="2571" width="9.625" style="2" customWidth="1"/>
    <col min="2572" max="2572" width="35.75" style="2" customWidth="1"/>
    <col min="2573" max="2573" width="8.25" style="2" customWidth="1"/>
    <col min="2574" max="2817" width="9" style="2"/>
    <col min="2818" max="2818" width="6.875" style="2" customWidth="1"/>
    <col min="2819" max="2827" width="9.625" style="2" customWidth="1"/>
    <col min="2828" max="2828" width="35.75" style="2" customWidth="1"/>
    <col min="2829" max="2829" width="8.25" style="2" customWidth="1"/>
    <col min="2830" max="3073" width="9" style="2"/>
    <col min="3074" max="3074" width="6.875" style="2" customWidth="1"/>
    <col min="3075" max="3083" width="9.625" style="2" customWidth="1"/>
    <col min="3084" max="3084" width="35.75" style="2" customWidth="1"/>
    <col min="3085" max="3085" width="8.25" style="2" customWidth="1"/>
    <col min="3086" max="3329" width="9" style="2"/>
    <col min="3330" max="3330" width="6.875" style="2" customWidth="1"/>
    <col min="3331" max="3339" width="9.625" style="2" customWidth="1"/>
    <col min="3340" max="3340" width="35.75" style="2" customWidth="1"/>
    <col min="3341" max="3341" width="8.25" style="2" customWidth="1"/>
    <col min="3342" max="3585" width="9" style="2"/>
    <col min="3586" max="3586" width="6.875" style="2" customWidth="1"/>
    <col min="3587" max="3595" width="9.625" style="2" customWidth="1"/>
    <col min="3596" max="3596" width="35.75" style="2" customWidth="1"/>
    <col min="3597" max="3597" width="8.25" style="2" customWidth="1"/>
    <col min="3598" max="3841" width="9" style="2"/>
    <col min="3842" max="3842" width="6.875" style="2" customWidth="1"/>
    <col min="3843" max="3851" width="9.625" style="2" customWidth="1"/>
    <col min="3852" max="3852" width="35.75" style="2" customWidth="1"/>
    <col min="3853" max="3853" width="8.25" style="2" customWidth="1"/>
    <col min="3854" max="4097" width="9" style="2"/>
    <col min="4098" max="4098" width="6.875" style="2" customWidth="1"/>
    <col min="4099" max="4107" width="9.625" style="2" customWidth="1"/>
    <col min="4108" max="4108" width="35.75" style="2" customWidth="1"/>
    <col min="4109" max="4109" width="8.25" style="2" customWidth="1"/>
    <col min="4110" max="4353" width="9" style="2"/>
    <col min="4354" max="4354" width="6.875" style="2" customWidth="1"/>
    <col min="4355" max="4363" width="9.625" style="2" customWidth="1"/>
    <col min="4364" max="4364" width="35.75" style="2" customWidth="1"/>
    <col min="4365" max="4365" width="8.25" style="2" customWidth="1"/>
    <col min="4366" max="4609" width="9" style="2"/>
    <col min="4610" max="4610" width="6.875" style="2" customWidth="1"/>
    <col min="4611" max="4619" width="9.625" style="2" customWidth="1"/>
    <col min="4620" max="4620" width="35.75" style="2" customWidth="1"/>
    <col min="4621" max="4621" width="8.25" style="2" customWidth="1"/>
    <col min="4622" max="4865" width="9" style="2"/>
    <col min="4866" max="4866" width="6.875" style="2" customWidth="1"/>
    <col min="4867" max="4875" width="9.625" style="2" customWidth="1"/>
    <col min="4876" max="4876" width="35.75" style="2" customWidth="1"/>
    <col min="4877" max="4877" width="8.25" style="2" customWidth="1"/>
    <col min="4878" max="5121" width="9" style="2"/>
    <col min="5122" max="5122" width="6.875" style="2" customWidth="1"/>
    <col min="5123" max="5131" width="9.625" style="2" customWidth="1"/>
    <col min="5132" max="5132" width="35.75" style="2" customWidth="1"/>
    <col min="5133" max="5133" width="8.25" style="2" customWidth="1"/>
    <col min="5134" max="5377" width="9" style="2"/>
    <col min="5378" max="5378" width="6.875" style="2" customWidth="1"/>
    <col min="5379" max="5387" width="9.625" style="2" customWidth="1"/>
    <col min="5388" max="5388" width="35.75" style="2" customWidth="1"/>
    <col min="5389" max="5389" width="8.25" style="2" customWidth="1"/>
    <col min="5390" max="5633" width="9" style="2"/>
    <col min="5634" max="5634" width="6.875" style="2" customWidth="1"/>
    <col min="5635" max="5643" width="9.625" style="2" customWidth="1"/>
    <col min="5644" max="5644" width="35.75" style="2" customWidth="1"/>
    <col min="5645" max="5645" width="8.25" style="2" customWidth="1"/>
    <col min="5646" max="5889" width="9" style="2"/>
    <col min="5890" max="5890" width="6.875" style="2" customWidth="1"/>
    <col min="5891" max="5899" width="9.625" style="2" customWidth="1"/>
    <col min="5900" max="5900" width="35.75" style="2" customWidth="1"/>
    <col min="5901" max="5901" width="8.25" style="2" customWidth="1"/>
    <col min="5902" max="6145" width="9" style="2"/>
    <col min="6146" max="6146" width="6.875" style="2" customWidth="1"/>
    <col min="6147" max="6155" width="9.625" style="2" customWidth="1"/>
    <col min="6156" max="6156" width="35.75" style="2" customWidth="1"/>
    <col min="6157" max="6157" width="8.25" style="2" customWidth="1"/>
    <col min="6158" max="6401" width="9" style="2"/>
    <col min="6402" max="6402" width="6.875" style="2" customWidth="1"/>
    <col min="6403" max="6411" width="9.625" style="2" customWidth="1"/>
    <col min="6412" max="6412" width="35.75" style="2" customWidth="1"/>
    <col min="6413" max="6413" width="8.25" style="2" customWidth="1"/>
    <col min="6414" max="6657" width="9" style="2"/>
    <col min="6658" max="6658" width="6.875" style="2" customWidth="1"/>
    <col min="6659" max="6667" width="9.625" style="2" customWidth="1"/>
    <col min="6668" max="6668" width="35.75" style="2" customWidth="1"/>
    <col min="6669" max="6669" width="8.25" style="2" customWidth="1"/>
    <col min="6670" max="6913" width="9" style="2"/>
    <col min="6914" max="6914" width="6.875" style="2" customWidth="1"/>
    <col min="6915" max="6923" width="9.625" style="2" customWidth="1"/>
    <col min="6924" max="6924" width="35.75" style="2" customWidth="1"/>
    <col min="6925" max="6925" width="8.25" style="2" customWidth="1"/>
    <col min="6926" max="7169" width="9" style="2"/>
    <col min="7170" max="7170" width="6.875" style="2" customWidth="1"/>
    <col min="7171" max="7179" width="9.625" style="2" customWidth="1"/>
    <col min="7180" max="7180" width="35.75" style="2" customWidth="1"/>
    <col min="7181" max="7181" width="8.25" style="2" customWidth="1"/>
    <col min="7182" max="7425" width="9" style="2"/>
    <col min="7426" max="7426" width="6.875" style="2" customWidth="1"/>
    <col min="7427" max="7435" width="9.625" style="2" customWidth="1"/>
    <col min="7436" max="7436" width="35.75" style="2" customWidth="1"/>
    <col min="7437" max="7437" width="8.25" style="2" customWidth="1"/>
    <col min="7438" max="7681" width="9" style="2"/>
    <col min="7682" max="7682" width="6.875" style="2" customWidth="1"/>
    <col min="7683" max="7691" width="9.625" style="2" customWidth="1"/>
    <col min="7692" max="7692" width="35.75" style="2" customWidth="1"/>
    <col min="7693" max="7693" width="8.25" style="2" customWidth="1"/>
    <col min="7694" max="7937" width="9" style="2"/>
    <col min="7938" max="7938" width="6.875" style="2" customWidth="1"/>
    <col min="7939" max="7947" width="9.625" style="2" customWidth="1"/>
    <col min="7948" max="7948" width="35.75" style="2" customWidth="1"/>
    <col min="7949" max="7949" width="8.25" style="2" customWidth="1"/>
    <col min="7950" max="8193" width="9" style="2"/>
    <col min="8194" max="8194" width="6.875" style="2" customWidth="1"/>
    <col min="8195" max="8203" width="9.625" style="2" customWidth="1"/>
    <col min="8204" max="8204" width="35.75" style="2" customWidth="1"/>
    <col min="8205" max="8205" width="8.25" style="2" customWidth="1"/>
    <col min="8206" max="8449" width="9" style="2"/>
    <col min="8450" max="8450" width="6.875" style="2" customWidth="1"/>
    <col min="8451" max="8459" width="9.625" style="2" customWidth="1"/>
    <col min="8460" max="8460" width="35.75" style="2" customWidth="1"/>
    <col min="8461" max="8461" width="8.25" style="2" customWidth="1"/>
    <col min="8462" max="8705" width="9" style="2"/>
    <col min="8706" max="8706" width="6.875" style="2" customWidth="1"/>
    <col min="8707" max="8715" width="9.625" style="2" customWidth="1"/>
    <col min="8716" max="8716" width="35.75" style="2" customWidth="1"/>
    <col min="8717" max="8717" width="8.25" style="2" customWidth="1"/>
    <col min="8718" max="8961" width="9" style="2"/>
    <col min="8962" max="8962" width="6.875" style="2" customWidth="1"/>
    <col min="8963" max="8971" width="9.625" style="2" customWidth="1"/>
    <col min="8972" max="8972" width="35.75" style="2" customWidth="1"/>
    <col min="8973" max="8973" width="8.25" style="2" customWidth="1"/>
    <col min="8974" max="9217" width="9" style="2"/>
    <col min="9218" max="9218" width="6.875" style="2" customWidth="1"/>
    <col min="9219" max="9227" width="9.625" style="2" customWidth="1"/>
    <col min="9228" max="9228" width="35.75" style="2" customWidth="1"/>
    <col min="9229" max="9229" width="8.25" style="2" customWidth="1"/>
    <col min="9230" max="9473" width="9" style="2"/>
    <col min="9474" max="9474" width="6.875" style="2" customWidth="1"/>
    <col min="9475" max="9483" width="9.625" style="2" customWidth="1"/>
    <col min="9484" max="9484" width="35.75" style="2" customWidth="1"/>
    <col min="9485" max="9485" width="8.25" style="2" customWidth="1"/>
    <col min="9486" max="9729" width="9" style="2"/>
    <col min="9730" max="9730" width="6.875" style="2" customWidth="1"/>
    <col min="9731" max="9739" width="9.625" style="2" customWidth="1"/>
    <col min="9740" max="9740" width="35.75" style="2" customWidth="1"/>
    <col min="9741" max="9741" width="8.25" style="2" customWidth="1"/>
    <col min="9742" max="9985" width="9" style="2"/>
    <col min="9986" max="9986" width="6.875" style="2" customWidth="1"/>
    <col min="9987" max="9995" width="9.625" style="2" customWidth="1"/>
    <col min="9996" max="9996" width="35.75" style="2" customWidth="1"/>
    <col min="9997" max="9997" width="8.25" style="2" customWidth="1"/>
    <col min="9998" max="10241" width="9" style="2"/>
    <col min="10242" max="10242" width="6.875" style="2" customWidth="1"/>
    <col min="10243" max="10251" width="9.625" style="2" customWidth="1"/>
    <col min="10252" max="10252" width="35.75" style="2" customWidth="1"/>
    <col min="10253" max="10253" width="8.25" style="2" customWidth="1"/>
    <col min="10254" max="10497" width="9" style="2"/>
    <col min="10498" max="10498" width="6.875" style="2" customWidth="1"/>
    <col min="10499" max="10507" width="9.625" style="2" customWidth="1"/>
    <col min="10508" max="10508" width="35.75" style="2" customWidth="1"/>
    <col min="10509" max="10509" width="8.25" style="2" customWidth="1"/>
    <col min="10510" max="10753" width="9" style="2"/>
    <col min="10754" max="10754" width="6.875" style="2" customWidth="1"/>
    <col min="10755" max="10763" width="9.625" style="2" customWidth="1"/>
    <col min="10764" max="10764" width="35.75" style="2" customWidth="1"/>
    <col min="10765" max="10765" width="8.25" style="2" customWidth="1"/>
    <col min="10766" max="11009" width="9" style="2"/>
    <col min="11010" max="11010" width="6.875" style="2" customWidth="1"/>
    <col min="11011" max="11019" width="9.625" style="2" customWidth="1"/>
    <col min="11020" max="11020" width="35.75" style="2" customWidth="1"/>
    <col min="11021" max="11021" width="8.25" style="2" customWidth="1"/>
    <col min="11022" max="11265" width="9" style="2"/>
    <col min="11266" max="11266" width="6.875" style="2" customWidth="1"/>
    <col min="11267" max="11275" width="9.625" style="2" customWidth="1"/>
    <col min="11276" max="11276" width="35.75" style="2" customWidth="1"/>
    <col min="11277" max="11277" width="8.25" style="2" customWidth="1"/>
    <col min="11278" max="11521" width="9" style="2"/>
    <col min="11522" max="11522" width="6.875" style="2" customWidth="1"/>
    <col min="11523" max="11531" width="9.625" style="2" customWidth="1"/>
    <col min="11532" max="11532" width="35.75" style="2" customWidth="1"/>
    <col min="11533" max="11533" width="8.25" style="2" customWidth="1"/>
    <col min="11534" max="11777" width="9" style="2"/>
    <col min="11778" max="11778" width="6.875" style="2" customWidth="1"/>
    <col min="11779" max="11787" width="9.625" style="2" customWidth="1"/>
    <col min="11788" max="11788" width="35.75" style="2" customWidth="1"/>
    <col min="11789" max="11789" width="8.25" style="2" customWidth="1"/>
    <col min="11790" max="12033" width="9" style="2"/>
    <col min="12034" max="12034" width="6.875" style="2" customWidth="1"/>
    <col min="12035" max="12043" width="9.625" style="2" customWidth="1"/>
    <col min="12044" max="12044" width="35.75" style="2" customWidth="1"/>
    <col min="12045" max="12045" width="8.25" style="2" customWidth="1"/>
    <col min="12046" max="12289" width="9" style="2"/>
    <col min="12290" max="12290" width="6.875" style="2" customWidth="1"/>
    <col min="12291" max="12299" width="9.625" style="2" customWidth="1"/>
    <col min="12300" max="12300" width="35.75" style="2" customWidth="1"/>
    <col min="12301" max="12301" width="8.25" style="2" customWidth="1"/>
    <col min="12302" max="12545" width="9" style="2"/>
    <col min="12546" max="12546" width="6.875" style="2" customWidth="1"/>
    <col min="12547" max="12555" width="9.625" style="2" customWidth="1"/>
    <col min="12556" max="12556" width="35.75" style="2" customWidth="1"/>
    <col min="12557" max="12557" width="8.25" style="2" customWidth="1"/>
    <col min="12558" max="12801" width="9" style="2"/>
    <col min="12802" max="12802" width="6.875" style="2" customWidth="1"/>
    <col min="12803" max="12811" width="9.625" style="2" customWidth="1"/>
    <col min="12812" max="12812" width="35.75" style="2" customWidth="1"/>
    <col min="12813" max="12813" width="8.25" style="2" customWidth="1"/>
    <col min="12814" max="13057" width="9" style="2"/>
    <col min="13058" max="13058" width="6.875" style="2" customWidth="1"/>
    <col min="13059" max="13067" width="9.625" style="2" customWidth="1"/>
    <col min="13068" max="13068" width="35.75" style="2" customWidth="1"/>
    <col min="13069" max="13069" width="8.25" style="2" customWidth="1"/>
    <col min="13070" max="13313" width="9" style="2"/>
    <col min="13314" max="13314" width="6.875" style="2" customWidth="1"/>
    <col min="13315" max="13323" width="9.625" style="2" customWidth="1"/>
    <col min="13324" max="13324" width="35.75" style="2" customWidth="1"/>
    <col min="13325" max="13325" width="8.25" style="2" customWidth="1"/>
    <col min="13326" max="13569" width="9" style="2"/>
    <col min="13570" max="13570" width="6.875" style="2" customWidth="1"/>
    <col min="13571" max="13579" width="9.625" style="2" customWidth="1"/>
    <col min="13580" max="13580" width="35.75" style="2" customWidth="1"/>
    <col min="13581" max="13581" width="8.25" style="2" customWidth="1"/>
    <col min="13582" max="13825" width="9" style="2"/>
    <col min="13826" max="13826" width="6.875" style="2" customWidth="1"/>
    <col min="13827" max="13835" width="9.625" style="2" customWidth="1"/>
    <col min="13836" max="13836" width="35.75" style="2" customWidth="1"/>
    <col min="13837" max="13837" width="8.25" style="2" customWidth="1"/>
    <col min="13838" max="14081" width="9" style="2"/>
    <col min="14082" max="14082" width="6.875" style="2" customWidth="1"/>
    <col min="14083" max="14091" width="9.625" style="2" customWidth="1"/>
    <col min="14092" max="14092" width="35.75" style="2" customWidth="1"/>
    <col min="14093" max="14093" width="8.25" style="2" customWidth="1"/>
    <col min="14094" max="14337" width="9" style="2"/>
    <col min="14338" max="14338" width="6.875" style="2" customWidth="1"/>
    <col min="14339" max="14347" width="9.625" style="2" customWidth="1"/>
    <col min="14348" max="14348" width="35.75" style="2" customWidth="1"/>
    <col min="14349" max="14349" width="8.25" style="2" customWidth="1"/>
    <col min="14350" max="14593" width="9" style="2"/>
    <col min="14594" max="14594" width="6.875" style="2" customWidth="1"/>
    <col min="14595" max="14603" width="9.625" style="2" customWidth="1"/>
    <col min="14604" max="14604" width="35.75" style="2" customWidth="1"/>
    <col min="14605" max="14605" width="8.25" style="2" customWidth="1"/>
    <col min="14606" max="14849" width="9" style="2"/>
    <col min="14850" max="14850" width="6.875" style="2" customWidth="1"/>
    <col min="14851" max="14859" width="9.625" style="2" customWidth="1"/>
    <col min="14860" max="14860" width="35.75" style="2" customWidth="1"/>
    <col min="14861" max="14861" width="8.25" style="2" customWidth="1"/>
    <col min="14862" max="15105" width="9" style="2"/>
    <col min="15106" max="15106" width="6.875" style="2" customWidth="1"/>
    <col min="15107" max="15115" width="9.625" style="2" customWidth="1"/>
    <col min="15116" max="15116" width="35.75" style="2" customWidth="1"/>
    <col min="15117" max="15117" width="8.25" style="2" customWidth="1"/>
    <col min="15118" max="15361" width="9" style="2"/>
    <col min="15362" max="15362" width="6.875" style="2" customWidth="1"/>
    <col min="15363" max="15371" width="9.625" style="2" customWidth="1"/>
    <col min="15372" max="15372" width="35.75" style="2" customWidth="1"/>
    <col min="15373" max="15373" width="8.25" style="2" customWidth="1"/>
    <col min="15374" max="15617" width="9" style="2"/>
    <col min="15618" max="15618" width="6.875" style="2" customWidth="1"/>
    <col min="15619" max="15627" width="9.625" style="2" customWidth="1"/>
    <col min="15628" max="15628" width="35.75" style="2" customWidth="1"/>
    <col min="15629" max="15629" width="8.25" style="2" customWidth="1"/>
    <col min="15630" max="15873" width="9" style="2"/>
    <col min="15874" max="15874" width="6.875" style="2" customWidth="1"/>
    <col min="15875" max="15883" width="9.625" style="2" customWidth="1"/>
    <col min="15884" max="15884" width="35.75" style="2" customWidth="1"/>
    <col min="15885" max="15885" width="8.25" style="2" customWidth="1"/>
    <col min="15886" max="16129" width="9" style="2"/>
    <col min="16130" max="16130" width="6.875" style="2" customWidth="1"/>
    <col min="16131" max="16139" width="9.625" style="2" customWidth="1"/>
    <col min="16140" max="16140" width="35.75" style="2" customWidth="1"/>
    <col min="16141" max="16141" width="8.25" style="2" customWidth="1"/>
    <col min="16142" max="16384" width="9" style="2"/>
  </cols>
  <sheetData>
    <row r="1" spans="2:14" ht="20.100000000000001" customHeight="1" x14ac:dyDescent="0.2">
      <c r="B1" s="1"/>
      <c r="C1" s="406" t="s">
        <v>684</v>
      </c>
      <c r="D1" s="406"/>
      <c r="E1" s="406"/>
      <c r="F1" s="406"/>
      <c r="G1" s="406"/>
      <c r="H1" s="406"/>
      <c r="I1" s="406"/>
      <c r="J1" s="406"/>
      <c r="K1" s="406"/>
      <c r="L1" s="406"/>
      <c r="M1" s="1"/>
    </row>
    <row r="2" spans="2:14" ht="20.100000000000001" customHeight="1" thickBot="1" x14ac:dyDescent="0.25">
      <c r="B2" s="1"/>
      <c r="C2" s="425" t="s">
        <v>685</v>
      </c>
      <c r="D2" s="425"/>
      <c r="E2" s="425"/>
      <c r="F2" s="425"/>
      <c r="G2" s="425"/>
      <c r="H2" s="425"/>
      <c r="I2" s="425"/>
      <c r="J2" s="425"/>
      <c r="K2" s="425"/>
      <c r="L2" s="425"/>
      <c r="M2" s="1"/>
    </row>
    <row r="3" spans="2:14" ht="13.5" thickBot="1" x14ac:dyDescent="0.25">
      <c r="B3" s="1"/>
      <c r="C3" s="426" t="s">
        <v>4</v>
      </c>
      <c r="D3" s="426"/>
      <c r="E3" s="426"/>
      <c r="F3" s="426" t="s">
        <v>145</v>
      </c>
      <c r="G3" s="426"/>
      <c r="H3" s="426"/>
      <c r="I3" s="426" t="s">
        <v>146</v>
      </c>
      <c r="J3" s="426"/>
      <c r="K3" s="426"/>
      <c r="L3" s="36"/>
      <c r="M3" s="1"/>
    </row>
    <row r="4" spans="2:14" ht="13.5" thickBot="1" x14ac:dyDescent="0.25">
      <c r="B4" s="1"/>
      <c r="C4" s="39" t="s">
        <v>227</v>
      </c>
      <c r="D4" s="39" t="s">
        <v>10</v>
      </c>
      <c r="E4" s="39" t="s">
        <v>9</v>
      </c>
      <c r="F4" s="39" t="s">
        <v>227</v>
      </c>
      <c r="G4" s="39" t="s">
        <v>10</v>
      </c>
      <c r="H4" s="39" t="s">
        <v>9</v>
      </c>
      <c r="I4" s="39" t="s">
        <v>227</v>
      </c>
      <c r="J4" s="39" t="s">
        <v>10</v>
      </c>
      <c r="K4" s="39" t="s">
        <v>9</v>
      </c>
      <c r="L4" s="38" t="s">
        <v>66</v>
      </c>
      <c r="M4" s="1"/>
    </row>
    <row r="5" spans="2:14" ht="13.5" thickBot="1" x14ac:dyDescent="0.25">
      <c r="B5" s="1"/>
      <c r="C5" s="77">
        <f>SUM(D5:E5)</f>
        <v>781</v>
      </c>
      <c r="D5" s="77">
        <f>J5+G5</f>
        <v>194</v>
      </c>
      <c r="E5" s="77">
        <f>K5+H5</f>
        <v>587</v>
      </c>
      <c r="F5" s="77">
        <f>SUM(G5:H5)</f>
        <v>133</v>
      </c>
      <c r="G5" s="77">
        <v>14</v>
      </c>
      <c r="H5" s="77">
        <v>119</v>
      </c>
      <c r="I5" s="77">
        <f>SUM(J5:K5)</f>
        <v>648</v>
      </c>
      <c r="J5" s="77">
        <v>180</v>
      </c>
      <c r="K5" s="77">
        <v>468</v>
      </c>
      <c r="L5" s="125" t="s">
        <v>68</v>
      </c>
    </row>
    <row r="6" spans="2:14" ht="13.5" thickBot="1" x14ac:dyDescent="0.25">
      <c r="B6" s="1"/>
      <c r="C6" s="77">
        <f t="shared" ref="C6:C28" si="0">SUM(D6:E6)</f>
        <v>168</v>
      </c>
      <c r="D6" s="77">
        <f t="shared" ref="D6:E28" si="1">J6+G6</f>
        <v>0</v>
      </c>
      <c r="E6" s="77">
        <f t="shared" si="1"/>
        <v>168</v>
      </c>
      <c r="F6" s="77">
        <f t="shared" ref="F6:F28" si="2">SUM(G6:H6)</f>
        <v>168</v>
      </c>
      <c r="G6" s="77">
        <v>0</v>
      </c>
      <c r="H6" s="77">
        <v>168</v>
      </c>
      <c r="I6" s="77">
        <f t="shared" ref="I6:I28" si="3">SUM(J6:K6)</f>
        <v>0</v>
      </c>
      <c r="J6" s="77">
        <v>0</v>
      </c>
      <c r="K6" s="77">
        <v>0</v>
      </c>
      <c r="L6" s="125" t="s">
        <v>686</v>
      </c>
      <c r="M6" s="1"/>
      <c r="N6" s="1"/>
    </row>
    <row r="7" spans="2:14" ht="13.5" thickBot="1" x14ac:dyDescent="0.25">
      <c r="B7" s="1"/>
      <c r="C7" s="6">
        <f t="shared" si="0"/>
        <v>621</v>
      </c>
      <c r="D7" s="77">
        <f t="shared" si="1"/>
        <v>56</v>
      </c>
      <c r="E7" s="77">
        <f t="shared" si="1"/>
        <v>565</v>
      </c>
      <c r="F7" s="6">
        <f t="shared" si="2"/>
        <v>118</v>
      </c>
      <c r="G7" s="6">
        <v>46</v>
      </c>
      <c r="H7" s="6">
        <v>72</v>
      </c>
      <c r="I7" s="77">
        <f t="shared" si="3"/>
        <v>503</v>
      </c>
      <c r="J7" s="6">
        <v>10</v>
      </c>
      <c r="K7" s="6">
        <v>493</v>
      </c>
      <c r="L7" s="125" t="s">
        <v>70</v>
      </c>
      <c r="M7" s="1"/>
    </row>
    <row r="8" spans="2:14" ht="13.5" thickBot="1" x14ac:dyDescent="0.25">
      <c r="B8" s="1"/>
      <c r="C8" s="6">
        <f t="shared" si="0"/>
        <v>1527</v>
      </c>
      <c r="D8" s="77">
        <f t="shared" si="1"/>
        <v>403</v>
      </c>
      <c r="E8" s="77">
        <f t="shared" si="1"/>
        <v>1124</v>
      </c>
      <c r="F8" s="6">
        <f t="shared" si="2"/>
        <v>144</v>
      </c>
      <c r="G8" s="6">
        <v>100</v>
      </c>
      <c r="H8" s="6">
        <v>44</v>
      </c>
      <c r="I8" s="77">
        <f t="shared" si="3"/>
        <v>1383</v>
      </c>
      <c r="J8" s="6">
        <v>303</v>
      </c>
      <c r="K8" s="6">
        <v>1080</v>
      </c>
      <c r="L8" s="125" t="s">
        <v>72</v>
      </c>
    </row>
    <row r="9" spans="2:14" ht="13.5" thickBot="1" x14ac:dyDescent="0.25">
      <c r="B9" s="1"/>
      <c r="C9" s="6">
        <f t="shared" si="0"/>
        <v>642</v>
      </c>
      <c r="D9" s="77">
        <f t="shared" si="1"/>
        <v>237</v>
      </c>
      <c r="E9" s="77">
        <f t="shared" si="1"/>
        <v>405</v>
      </c>
      <c r="F9" s="6">
        <f t="shared" si="2"/>
        <v>6</v>
      </c>
      <c r="G9" s="6">
        <v>6</v>
      </c>
      <c r="H9" s="6">
        <v>0</v>
      </c>
      <c r="I9" s="77">
        <f t="shared" si="3"/>
        <v>636</v>
      </c>
      <c r="J9" s="6">
        <v>231</v>
      </c>
      <c r="K9" s="6">
        <v>405</v>
      </c>
      <c r="L9" s="125" t="s">
        <v>73</v>
      </c>
      <c r="M9" s="1"/>
      <c r="N9" s="1"/>
    </row>
    <row r="10" spans="2:14" ht="13.5" thickBot="1" x14ac:dyDescent="0.25">
      <c r="B10" s="1"/>
      <c r="C10" s="6">
        <f t="shared" si="0"/>
        <v>140</v>
      </c>
      <c r="D10" s="77">
        <f t="shared" si="1"/>
        <v>0</v>
      </c>
      <c r="E10" s="77">
        <f t="shared" si="1"/>
        <v>140</v>
      </c>
      <c r="F10" s="6">
        <f t="shared" si="2"/>
        <v>9</v>
      </c>
      <c r="G10" s="6">
        <v>0</v>
      </c>
      <c r="H10" s="6">
        <v>9</v>
      </c>
      <c r="I10" s="77">
        <f t="shared" si="3"/>
        <v>131</v>
      </c>
      <c r="J10" s="6">
        <v>0</v>
      </c>
      <c r="K10" s="6">
        <v>131</v>
      </c>
      <c r="L10" s="125" t="s">
        <v>90</v>
      </c>
    </row>
    <row r="11" spans="2:14" ht="13.5" thickBot="1" x14ac:dyDescent="0.25">
      <c r="B11" s="1"/>
      <c r="C11" s="6">
        <f t="shared" si="0"/>
        <v>1677</v>
      </c>
      <c r="D11" s="77">
        <f t="shared" si="1"/>
        <v>1140</v>
      </c>
      <c r="E11" s="77">
        <f t="shared" si="1"/>
        <v>537</v>
      </c>
      <c r="F11" s="6">
        <f t="shared" si="2"/>
        <v>6</v>
      </c>
      <c r="G11" s="6">
        <v>3</v>
      </c>
      <c r="H11" s="6">
        <v>3</v>
      </c>
      <c r="I11" s="77">
        <f t="shared" si="3"/>
        <v>1671</v>
      </c>
      <c r="J11" s="6">
        <v>1137</v>
      </c>
      <c r="K11" s="6">
        <v>534</v>
      </c>
      <c r="L11" s="125" t="s">
        <v>74</v>
      </c>
      <c r="M11" s="1"/>
    </row>
    <row r="12" spans="2:14" ht="13.5" thickBot="1" x14ac:dyDescent="0.25">
      <c r="B12" s="1"/>
      <c r="C12" s="6">
        <f t="shared" si="0"/>
        <v>1111</v>
      </c>
      <c r="D12" s="77">
        <f t="shared" si="1"/>
        <v>462</v>
      </c>
      <c r="E12" s="77">
        <f t="shared" si="1"/>
        <v>649</v>
      </c>
      <c r="F12" s="6">
        <f t="shared" si="2"/>
        <v>0</v>
      </c>
      <c r="G12" s="6">
        <v>0</v>
      </c>
      <c r="H12" s="6">
        <v>0</v>
      </c>
      <c r="I12" s="77">
        <f t="shared" si="3"/>
        <v>1111</v>
      </c>
      <c r="J12" s="6">
        <v>462</v>
      </c>
      <c r="K12" s="6">
        <v>649</v>
      </c>
      <c r="L12" s="125" t="s">
        <v>75</v>
      </c>
      <c r="M12" s="1"/>
      <c r="N12" s="1"/>
    </row>
    <row r="13" spans="2:14" ht="13.5" thickBot="1" x14ac:dyDescent="0.25">
      <c r="B13" s="1"/>
      <c r="C13" s="6">
        <f t="shared" si="0"/>
        <v>143</v>
      </c>
      <c r="D13" s="77">
        <f t="shared" si="1"/>
        <v>143</v>
      </c>
      <c r="E13" s="77">
        <f t="shared" si="1"/>
        <v>0</v>
      </c>
      <c r="F13" s="6">
        <f t="shared" si="2"/>
        <v>0</v>
      </c>
      <c r="G13" s="6">
        <v>0</v>
      </c>
      <c r="H13" s="6">
        <v>0</v>
      </c>
      <c r="I13" s="77">
        <f t="shared" si="3"/>
        <v>143</v>
      </c>
      <c r="J13" s="6">
        <v>143</v>
      </c>
      <c r="K13" s="6">
        <v>0</v>
      </c>
      <c r="L13" s="125" t="s">
        <v>100</v>
      </c>
      <c r="M13" s="1"/>
    </row>
    <row r="14" spans="2:14" ht="13.5" thickBot="1" x14ac:dyDescent="0.25">
      <c r="B14" s="1"/>
      <c r="C14" s="6">
        <f t="shared" si="0"/>
        <v>1303</v>
      </c>
      <c r="D14" s="77">
        <f t="shared" si="1"/>
        <v>702</v>
      </c>
      <c r="E14" s="77">
        <f t="shared" si="1"/>
        <v>601</v>
      </c>
      <c r="F14" s="6">
        <f t="shared" si="2"/>
        <v>0</v>
      </c>
      <c r="G14" s="6">
        <v>0</v>
      </c>
      <c r="H14" s="6">
        <v>0</v>
      </c>
      <c r="I14" s="77">
        <f t="shared" si="3"/>
        <v>1303</v>
      </c>
      <c r="J14" s="6">
        <v>702</v>
      </c>
      <c r="K14" s="6">
        <v>601</v>
      </c>
      <c r="L14" s="125" t="s">
        <v>76</v>
      </c>
      <c r="M14" s="1"/>
    </row>
    <row r="15" spans="2:14" ht="13.5" thickBot="1" x14ac:dyDescent="0.25">
      <c r="B15" s="1"/>
      <c r="C15" s="6">
        <f t="shared" si="0"/>
        <v>346</v>
      </c>
      <c r="D15" s="77">
        <f t="shared" si="1"/>
        <v>200</v>
      </c>
      <c r="E15" s="77">
        <f t="shared" si="1"/>
        <v>146</v>
      </c>
      <c r="F15" s="6">
        <f t="shared" si="2"/>
        <v>0</v>
      </c>
      <c r="G15" s="6">
        <v>0</v>
      </c>
      <c r="H15" s="6">
        <v>0</v>
      </c>
      <c r="I15" s="77">
        <f t="shared" si="3"/>
        <v>346</v>
      </c>
      <c r="J15" s="6">
        <v>200</v>
      </c>
      <c r="K15" s="6">
        <v>146</v>
      </c>
      <c r="L15" s="125" t="s">
        <v>77</v>
      </c>
      <c r="N15" s="1"/>
    </row>
    <row r="16" spans="2:14" ht="13.5" thickBot="1" x14ac:dyDescent="0.25">
      <c r="B16" s="1"/>
      <c r="C16" s="6">
        <f t="shared" si="0"/>
        <v>1014</v>
      </c>
      <c r="D16" s="77">
        <f t="shared" si="1"/>
        <v>473</v>
      </c>
      <c r="E16" s="77">
        <f t="shared" si="1"/>
        <v>541</v>
      </c>
      <c r="F16" s="6">
        <f t="shared" si="2"/>
        <v>0</v>
      </c>
      <c r="G16" s="6">
        <v>0</v>
      </c>
      <c r="H16" s="6">
        <v>0</v>
      </c>
      <c r="I16" s="77">
        <f t="shared" si="3"/>
        <v>1014</v>
      </c>
      <c r="J16" s="6">
        <v>473</v>
      </c>
      <c r="K16" s="6">
        <v>541</v>
      </c>
      <c r="L16" s="125" t="s">
        <v>106</v>
      </c>
      <c r="M16" s="1"/>
    </row>
    <row r="17" spans="2:14" ht="13.5" thickBot="1" x14ac:dyDescent="0.25">
      <c r="B17" s="1"/>
      <c r="C17" s="6">
        <f t="shared" si="0"/>
        <v>206</v>
      </c>
      <c r="D17" s="77">
        <f t="shared" si="1"/>
        <v>78</v>
      </c>
      <c r="E17" s="77">
        <f t="shared" si="1"/>
        <v>128</v>
      </c>
      <c r="F17" s="6">
        <f t="shared" si="2"/>
        <v>0</v>
      </c>
      <c r="G17" s="6">
        <v>0</v>
      </c>
      <c r="H17" s="6">
        <v>0</v>
      </c>
      <c r="I17" s="77">
        <f t="shared" si="3"/>
        <v>206</v>
      </c>
      <c r="J17" s="6">
        <v>78</v>
      </c>
      <c r="K17" s="6">
        <v>128</v>
      </c>
      <c r="L17" s="125" t="s">
        <v>109</v>
      </c>
    </row>
    <row r="18" spans="2:14" ht="13.5" thickBot="1" x14ac:dyDescent="0.25">
      <c r="B18" s="1"/>
      <c r="C18" s="6">
        <f t="shared" si="0"/>
        <v>688</v>
      </c>
      <c r="D18" s="77">
        <f t="shared" si="1"/>
        <v>294</v>
      </c>
      <c r="E18" s="77">
        <f t="shared" si="1"/>
        <v>394</v>
      </c>
      <c r="F18" s="6">
        <f t="shared" si="2"/>
        <v>0</v>
      </c>
      <c r="G18" s="6">
        <v>0</v>
      </c>
      <c r="H18" s="6">
        <v>0</v>
      </c>
      <c r="I18" s="77">
        <f t="shared" si="3"/>
        <v>688</v>
      </c>
      <c r="J18" s="6">
        <v>294</v>
      </c>
      <c r="K18" s="6">
        <v>394</v>
      </c>
      <c r="L18" s="125" t="s">
        <v>111</v>
      </c>
      <c r="M18" s="1"/>
      <c r="N18" s="1"/>
    </row>
    <row r="19" spans="2:14" ht="13.5" thickBot="1" x14ac:dyDescent="0.25">
      <c r="B19" s="1"/>
      <c r="C19" s="6">
        <f t="shared" si="0"/>
        <v>756</v>
      </c>
      <c r="D19" s="77">
        <f t="shared" si="1"/>
        <v>430</v>
      </c>
      <c r="E19" s="77">
        <f t="shared" si="1"/>
        <v>326</v>
      </c>
      <c r="F19" s="6">
        <f t="shared" si="2"/>
        <v>0</v>
      </c>
      <c r="G19" s="6">
        <v>0</v>
      </c>
      <c r="H19" s="6">
        <v>0</v>
      </c>
      <c r="I19" s="77">
        <f t="shared" si="3"/>
        <v>756</v>
      </c>
      <c r="J19" s="6">
        <v>430</v>
      </c>
      <c r="K19" s="6">
        <v>326</v>
      </c>
      <c r="L19" s="125" t="s">
        <v>115</v>
      </c>
      <c r="M19" s="1"/>
    </row>
    <row r="20" spans="2:14" ht="13.5" thickBot="1" x14ac:dyDescent="0.25">
      <c r="B20" s="1"/>
      <c r="C20" s="6">
        <f t="shared" si="0"/>
        <v>263</v>
      </c>
      <c r="D20" s="77">
        <f t="shared" si="1"/>
        <v>130</v>
      </c>
      <c r="E20" s="77">
        <f t="shared" si="1"/>
        <v>133</v>
      </c>
      <c r="F20" s="6">
        <f t="shared" si="2"/>
        <v>0</v>
      </c>
      <c r="G20" s="6">
        <v>0</v>
      </c>
      <c r="H20" s="6">
        <v>0</v>
      </c>
      <c r="I20" s="77">
        <f t="shared" si="3"/>
        <v>263</v>
      </c>
      <c r="J20" s="6">
        <v>130</v>
      </c>
      <c r="K20" s="6">
        <v>133</v>
      </c>
      <c r="L20" s="125" t="s">
        <v>117</v>
      </c>
    </row>
    <row r="21" spans="2:14" ht="13.5" thickBot="1" x14ac:dyDescent="0.25">
      <c r="B21" s="1"/>
      <c r="C21" s="6">
        <f t="shared" si="0"/>
        <v>317</v>
      </c>
      <c r="D21" s="77">
        <f t="shared" si="1"/>
        <v>203</v>
      </c>
      <c r="E21" s="77">
        <f t="shared" si="1"/>
        <v>114</v>
      </c>
      <c r="F21" s="6">
        <f t="shared" si="2"/>
        <v>0</v>
      </c>
      <c r="G21" s="6">
        <v>0</v>
      </c>
      <c r="H21" s="6">
        <v>0</v>
      </c>
      <c r="I21" s="77">
        <f t="shared" si="3"/>
        <v>317</v>
      </c>
      <c r="J21" s="6">
        <v>203</v>
      </c>
      <c r="K21" s="6">
        <v>114</v>
      </c>
      <c r="L21" s="125" t="s">
        <v>119</v>
      </c>
      <c r="M21" s="1"/>
      <c r="N21" s="1"/>
    </row>
    <row r="22" spans="2:14" ht="13.5" thickBot="1" x14ac:dyDescent="0.25">
      <c r="B22" s="1"/>
      <c r="C22" s="6">
        <f t="shared" si="0"/>
        <v>1166</v>
      </c>
      <c r="D22" s="77">
        <f t="shared" si="1"/>
        <v>1166</v>
      </c>
      <c r="E22" s="77">
        <f t="shared" si="1"/>
        <v>0</v>
      </c>
      <c r="F22" s="6">
        <f t="shared" si="2"/>
        <v>0</v>
      </c>
      <c r="G22" s="6">
        <v>0</v>
      </c>
      <c r="H22" s="6">
        <v>0</v>
      </c>
      <c r="I22" s="77">
        <f t="shared" si="3"/>
        <v>1166</v>
      </c>
      <c r="J22" s="6">
        <v>1166</v>
      </c>
      <c r="K22" s="6">
        <v>0</v>
      </c>
      <c r="L22" s="125" t="s">
        <v>121</v>
      </c>
      <c r="M22" s="1"/>
    </row>
    <row r="23" spans="2:14" ht="13.5" thickBot="1" x14ac:dyDescent="0.25">
      <c r="B23" s="1"/>
      <c r="C23" s="6">
        <f t="shared" si="0"/>
        <v>344</v>
      </c>
      <c r="D23" s="77">
        <f t="shared" si="1"/>
        <v>225</v>
      </c>
      <c r="E23" s="77">
        <f t="shared" si="1"/>
        <v>119</v>
      </c>
      <c r="F23" s="6">
        <f t="shared" si="2"/>
        <v>0</v>
      </c>
      <c r="G23" s="6">
        <v>0</v>
      </c>
      <c r="H23" s="6">
        <v>0</v>
      </c>
      <c r="I23" s="77">
        <f t="shared" si="3"/>
        <v>344</v>
      </c>
      <c r="J23" s="6">
        <v>225</v>
      </c>
      <c r="K23" s="6">
        <v>119</v>
      </c>
      <c r="L23" s="125" t="s">
        <v>123</v>
      </c>
      <c r="M23" s="1"/>
    </row>
    <row r="24" spans="2:14" ht="13.5" thickBot="1" x14ac:dyDescent="0.25">
      <c r="B24" s="1"/>
      <c r="C24" s="6">
        <f t="shared" si="0"/>
        <v>12444</v>
      </c>
      <c r="D24" s="77">
        <f t="shared" si="1"/>
        <v>0</v>
      </c>
      <c r="E24" s="77">
        <f t="shared" si="1"/>
        <v>12444</v>
      </c>
      <c r="F24" s="6">
        <f t="shared" si="2"/>
        <v>0</v>
      </c>
      <c r="G24" s="6">
        <v>0</v>
      </c>
      <c r="H24" s="6">
        <v>0</v>
      </c>
      <c r="I24" s="77">
        <f t="shared" si="3"/>
        <v>12444</v>
      </c>
      <c r="J24" s="6">
        <v>0</v>
      </c>
      <c r="K24" s="6">
        <v>12444</v>
      </c>
      <c r="L24" s="125" t="s">
        <v>151</v>
      </c>
    </row>
    <row r="25" spans="2:14" ht="13.5" thickBot="1" x14ac:dyDescent="0.25">
      <c r="B25" s="1"/>
      <c r="C25" s="6">
        <f t="shared" si="0"/>
        <v>64</v>
      </c>
      <c r="D25" s="77">
        <f t="shared" si="1"/>
        <v>21</v>
      </c>
      <c r="E25" s="77">
        <f t="shared" si="1"/>
        <v>43</v>
      </c>
      <c r="F25" s="6">
        <f t="shared" si="2"/>
        <v>0</v>
      </c>
      <c r="G25" s="6">
        <v>0</v>
      </c>
      <c r="H25" s="6">
        <v>0</v>
      </c>
      <c r="I25" s="77">
        <f t="shared" si="3"/>
        <v>64</v>
      </c>
      <c r="J25" s="6">
        <v>21</v>
      </c>
      <c r="K25" s="6">
        <v>43</v>
      </c>
      <c r="L25" s="125" t="s">
        <v>152</v>
      </c>
      <c r="M25" s="1"/>
      <c r="N25" s="1"/>
    </row>
    <row r="26" spans="2:14" ht="13.5" thickBot="1" x14ac:dyDescent="0.25">
      <c r="B26" s="1"/>
      <c r="C26" s="6">
        <f t="shared" si="0"/>
        <v>769</v>
      </c>
      <c r="D26" s="77">
        <f t="shared" si="1"/>
        <v>0</v>
      </c>
      <c r="E26" s="77">
        <f t="shared" si="1"/>
        <v>769</v>
      </c>
      <c r="F26" s="6">
        <f t="shared" si="2"/>
        <v>4</v>
      </c>
      <c r="G26" s="6">
        <v>0</v>
      </c>
      <c r="H26" s="6">
        <v>4</v>
      </c>
      <c r="I26" s="77">
        <f t="shared" si="3"/>
        <v>765</v>
      </c>
      <c r="J26" s="6">
        <v>0</v>
      </c>
      <c r="K26" s="6">
        <v>765</v>
      </c>
      <c r="L26" s="125" t="s">
        <v>228</v>
      </c>
      <c r="M26" s="1"/>
    </row>
    <row r="27" spans="2:14" ht="13.5" thickBot="1" x14ac:dyDescent="0.25">
      <c r="B27" s="1"/>
      <c r="C27" s="6">
        <f t="shared" si="0"/>
        <v>998</v>
      </c>
      <c r="D27" s="77">
        <f t="shared" si="1"/>
        <v>149</v>
      </c>
      <c r="E27" s="77">
        <f t="shared" si="1"/>
        <v>849</v>
      </c>
      <c r="F27" s="6">
        <f t="shared" si="2"/>
        <v>0</v>
      </c>
      <c r="G27" s="6">
        <v>0</v>
      </c>
      <c r="H27" s="6">
        <v>0</v>
      </c>
      <c r="I27" s="77">
        <f t="shared" si="3"/>
        <v>998</v>
      </c>
      <c r="J27" s="6">
        <v>149</v>
      </c>
      <c r="K27" s="6">
        <v>849</v>
      </c>
      <c r="L27" s="125" t="s">
        <v>153</v>
      </c>
    </row>
    <row r="28" spans="2:14" ht="13.5" thickBot="1" x14ac:dyDescent="0.25">
      <c r="B28" s="1"/>
      <c r="C28" s="6">
        <f t="shared" si="0"/>
        <v>16</v>
      </c>
      <c r="D28" s="77">
        <f t="shared" si="1"/>
        <v>0</v>
      </c>
      <c r="E28" s="77">
        <f t="shared" si="1"/>
        <v>16</v>
      </c>
      <c r="F28" s="6">
        <f t="shared" si="2"/>
        <v>0</v>
      </c>
      <c r="G28" s="6">
        <v>0</v>
      </c>
      <c r="H28" s="6">
        <v>0</v>
      </c>
      <c r="I28" s="77">
        <f t="shared" si="3"/>
        <v>16</v>
      </c>
      <c r="J28" s="6">
        <v>0</v>
      </c>
      <c r="K28" s="6">
        <v>16</v>
      </c>
      <c r="L28" s="125" t="s">
        <v>155</v>
      </c>
      <c r="M28" s="1"/>
      <c r="N28" s="1"/>
    </row>
    <row r="29" spans="2:14" ht="13.5" thickBot="1" x14ac:dyDescent="0.25">
      <c r="C29" s="6">
        <f t="shared" ref="C29:J29" si="4">SUM(C5:C28)</f>
        <v>27504</v>
      </c>
      <c r="D29" s="6">
        <f t="shared" si="4"/>
        <v>6706</v>
      </c>
      <c r="E29" s="6">
        <f t="shared" si="4"/>
        <v>20798</v>
      </c>
      <c r="F29" s="6">
        <f t="shared" si="4"/>
        <v>588</v>
      </c>
      <c r="G29" s="6">
        <f t="shared" si="4"/>
        <v>169</v>
      </c>
      <c r="H29" s="6">
        <f t="shared" si="4"/>
        <v>419</v>
      </c>
      <c r="I29" s="6">
        <f t="shared" si="4"/>
        <v>26916</v>
      </c>
      <c r="J29" s="6">
        <f t="shared" si="4"/>
        <v>6537</v>
      </c>
      <c r="K29" s="6">
        <f>SUM(K5:K28)</f>
        <v>20379</v>
      </c>
      <c r="L29" s="38" t="s">
        <v>188</v>
      </c>
    </row>
  </sheetData>
  <mergeCells count="5">
    <mergeCell ref="C1:L1"/>
    <mergeCell ref="C2:L2"/>
    <mergeCell ref="C3:E3"/>
    <mergeCell ref="F3:H3"/>
    <mergeCell ref="I3:K3"/>
  </mergeCells>
  <pageMargins left="0.4" right="0.4" top="0.25" bottom="0.25" header="0.25" footer="0.25"/>
  <pageSetup paperSize="9" scale="96" orientation="landscape" horizontalDpi="300" verticalDpi="3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N26"/>
  <sheetViews>
    <sheetView showGridLines="0" zoomScale="90" zoomScaleNormal="90" zoomScaleSheetLayoutView="90" workbookViewId="0">
      <selection activeCell="O21" sqref="O21"/>
    </sheetView>
  </sheetViews>
  <sheetFormatPr defaultRowHeight="18.75" customHeight="1" x14ac:dyDescent="0.2"/>
  <cols>
    <col min="1" max="2" width="9" style="2"/>
    <col min="3" max="3" width="12" style="2" customWidth="1"/>
    <col min="4" max="12" width="9.625" style="2" customWidth="1"/>
    <col min="13" max="13" width="27.375" style="81" customWidth="1"/>
    <col min="14" max="14" width="11.25" style="2" customWidth="1"/>
    <col min="15" max="258" width="9" style="2"/>
    <col min="259" max="259" width="12" style="2" customWidth="1"/>
    <col min="260" max="268" width="9.625" style="2" customWidth="1"/>
    <col min="269" max="269" width="27.375" style="2" customWidth="1"/>
    <col min="270" max="270" width="11.25" style="2" customWidth="1"/>
    <col min="271" max="514" width="9" style="2"/>
    <col min="515" max="515" width="12" style="2" customWidth="1"/>
    <col min="516" max="524" width="9.625" style="2" customWidth="1"/>
    <col min="525" max="525" width="27.375" style="2" customWidth="1"/>
    <col min="526" max="526" width="11.25" style="2" customWidth="1"/>
    <col min="527" max="770" width="9" style="2"/>
    <col min="771" max="771" width="12" style="2" customWidth="1"/>
    <col min="772" max="780" width="9.625" style="2" customWidth="1"/>
    <col min="781" max="781" width="27.375" style="2" customWidth="1"/>
    <col min="782" max="782" width="11.25" style="2" customWidth="1"/>
    <col min="783" max="1026" width="9" style="2"/>
    <col min="1027" max="1027" width="12" style="2" customWidth="1"/>
    <col min="1028" max="1036" width="9.625" style="2" customWidth="1"/>
    <col min="1037" max="1037" width="27.375" style="2" customWidth="1"/>
    <col min="1038" max="1038" width="11.25" style="2" customWidth="1"/>
    <col min="1039" max="1282" width="9" style="2"/>
    <col min="1283" max="1283" width="12" style="2" customWidth="1"/>
    <col min="1284" max="1292" width="9.625" style="2" customWidth="1"/>
    <col min="1293" max="1293" width="27.375" style="2" customWidth="1"/>
    <col min="1294" max="1294" width="11.25" style="2" customWidth="1"/>
    <col min="1295" max="1538" width="9" style="2"/>
    <col min="1539" max="1539" width="12" style="2" customWidth="1"/>
    <col min="1540" max="1548" width="9.625" style="2" customWidth="1"/>
    <col min="1549" max="1549" width="27.375" style="2" customWidth="1"/>
    <col min="1550" max="1550" width="11.25" style="2" customWidth="1"/>
    <col min="1551" max="1794" width="9" style="2"/>
    <col min="1795" max="1795" width="12" style="2" customWidth="1"/>
    <col min="1796" max="1804" width="9.625" style="2" customWidth="1"/>
    <col min="1805" max="1805" width="27.375" style="2" customWidth="1"/>
    <col min="1806" max="1806" width="11.25" style="2" customWidth="1"/>
    <col min="1807" max="2050" width="9" style="2"/>
    <col min="2051" max="2051" width="12" style="2" customWidth="1"/>
    <col min="2052" max="2060" width="9.625" style="2" customWidth="1"/>
    <col min="2061" max="2061" width="27.375" style="2" customWidth="1"/>
    <col min="2062" max="2062" width="11.25" style="2" customWidth="1"/>
    <col min="2063" max="2306" width="9" style="2"/>
    <col min="2307" max="2307" width="12" style="2" customWidth="1"/>
    <col min="2308" max="2316" width="9.625" style="2" customWidth="1"/>
    <col min="2317" max="2317" width="27.375" style="2" customWidth="1"/>
    <col min="2318" max="2318" width="11.25" style="2" customWidth="1"/>
    <col min="2319" max="2562" width="9" style="2"/>
    <col min="2563" max="2563" width="12" style="2" customWidth="1"/>
    <col min="2564" max="2572" width="9.625" style="2" customWidth="1"/>
    <col min="2573" max="2573" width="27.375" style="2" customWidth="1"/>
    <col min="2574" max="2574" width="11.25" style="2" customWidth="1"/>
    <col min="2575" max="2818" width="9" style="2"/>
    <col min="2819" max="2819" width="12" style="2" customWidth="1"/>
    <col min="2820" max="2828" width="9.625" style="2" customWidth="1"/>
    <col min="2829" max="2829" width="27.375" style="2" customWidth="1"/>
    <col min="2830" max="2830" width="11.25" style="2" customWidth="1"/>
    <col min="2831" max="3074" width="9" style="2"/>
    <col min="3075" max="3075" width="12" style="2" customWidth="1"/>
    <col min="3076" max="3084" width="9.625" style="2" customWidth="1"/>
    <col min="3085" max="3085" width="27.375" style="2" customWidth="1"/>
    <col min="3086" max="3086" width="11.25" style="2" customWidth="1"/>
    <col min="3087" max="3330" width="9" style="2"/>
    <col min="3331" max="3331" width="12" style="2" customWidth="1"/>
    <col min="3332" max="3340" width="9.625" style="2" customWidth="1"/>
    <col min="3341" max="3341" width="27.375" style="2" customWidth="1"/>
    <col min="3342" max="3342" width="11.25" style="2" customWidth="1"/>
    <col min="3343" max="3586" width="9" style="2"/>
    <col min="3587" max="3587" width="12" style="2" customWidth="1"/>
    <col min="3588" max="3596" width="9.625" style="2" customWidth="1"/>
    <col min="3597" max="3597" width="27.375" style="2" customWidth="1"/>
    <col min="3598" max="3598" width="11.25" style="2" customWidth="1"/>
    <col min="3599" max="3842" width="9" style="2"/>
    <col min="3843" max="3843" width="12" style="2" customWidth="1"/>
    <col min="3844" max="3852" width="9.625" style="2" customWidth="1"/>
    <col min="3853" max="3853" width="27.375" style="2" customWidth="1"/>
    <col min="3854" max="3854" width="11.25" style="2" customWidth="1"/>
    <col min="3855" max="4098" width="9" style="2"/>
    <col min="4099" max="4099" width="12" style="2" customWidth="1"/>
    <col min="4100" max="4108" width="9.625" style="2" customWidth="1"/>
    <col min="4109" max="4109" width="27.375" style="2" customWidth="1"/>
    <col min="4110" max="4110" width="11.25" style="2" customWidth="1"/>
    <col min="4111" max="4354" width="9" style="2"/>
    <col min="4355" max="4355" width="12" style="2" customWidth="1"/>
    <col min="4356" max="4364" width="9.625" style="2" customWidth="1"/>
    <col min="4365" max="4365" width="27.375" style="2" customWidth="1"/>
    <col min="4366" max="4366" width="11.25" style="2" customWidth="1"/>
    <col min="4367" max="4610" width="9" style="2"/>
    <col min="4611" max="4611" width="12" style="2" customWidth="1"/>
    <col min="4612" max="4620" width="9.625" style="2" customWidth="1"/>
    <col min="4621" max="4621" width="27.375" style="2" customWidth="1"/>
    <col min="4622" max="4622" width="11.25" style="2" customWidth="1"/>
    <col min="4623" max="4866" width="9" style="2"/>
    <col min="4867" max="4867" width="12" style="2" customWidth="1"/>
    <col min="4868" max="4876" width="9.625" style="2" customWidth="1"/>
    <col min="4877" max="4877" width="27.375" style="2" customWidth="1"/>
    <col min="4878" max="4878" width="11.25" style="2" customWidth="1"/>
    <col min="4879" max="5122" width="9" style="2"/>
    <col min="5123" max="5123" width="12" style="2" customWidth="1"/>
    <col min="5124" max="5132" width="9.625" style="2" customWidth="1"/>
    <col min="5133" max="5133" width="27.375" style="2" customWidth="1"/>
    <col min="5134" max="5134" width="11.25" style="2" customWidth="1"/>
    <col min="5135" max="5378" width="9" style="2"/>
    <col min="5379" max="5379" width="12" style="2" customWidth="1"/>
    <col min="5380" max="5388" width="9.625" style="2" customWidth="1"/>
    <col min="5389" max="5389" width="27.375" style="2" customWidth="1"/>
    <col min="5390" max="5390" width="11.25" style="2" customWidth="1"/>
    <col min="5391" max="5634" width="9" style="2"/>
    <col min="5635" max="5635" width="12" style="2" customWidth="1"/>
    <col min="5636" max="5644" width="9.625" style="2" customWidth="1"/>
    <col min="5645" max="5645" width="27.375" style="2" customWidth="1"/>
    <col min="5646" max="5646" width="11.25" style="2" customWidth="1"/>
    <col min="5647" max="5890" width="9" style="2"/>
    <col min="5891" max="5891" width="12" style="2" customWidth="1"/>
    <col min="5892" max="5900" width="9.625" style="2" customWidth="1"/>
    <col min="5901" max="5901" width="27.375" style="2" customWidth="1"/>
    <col min="5902" max="5902" width="11.25" style="2" customWidth="1"/>
    <col min="5903" max="6146" width="9" style="2"/>
    <col min="6147" max="6147" width="12" style="2" customWidth="1"/>
    <col min="6148" max="6156" width="9.625" style="2" customWidth="1"/>
    <col min="6157" max="6157" width="27.375" style="2" customWidth="1"/>
    <col min="6158" max="6158" width="11.25" style="2" customWidth="1"/>
    <col min="6159" max="6402" width="9" style="2"/>
    <col min="6403" max="6403" width="12" style="2" customWidth="1"/>
    <col min="6404" max="6412" width="9.625" style="2" customWidth="1"/>
    <col min="6413" max="6413" width="27.375" style="2" customWidth="1"/>
    <col min="6414" max="6414" width="11.25" style="2" customWidth="1"/>
    <col min="6415" max="6658" width="9" style="2"/>
    <col min="6659" max="6659" width="12" style="2" customWidth="1"/>
    <col min="6660" max="6668" width="9.625" style="2" customWidth="1"/>
    <col min="6669" max="6669" width="27.375" style="2" customWidth="1"/>
    <col min="6670" max="6670" width="11.25" style="2" customWidth="1"/>
    <col min="6671" max="6914" width="9" style="2"/>
    <col min="6915" max="6915" width="12" style="2" customWidth="1"/>
    <col min="6916" max="6924" width="9.625" style="2" customWidth="1"/>
    <col min="6925" max="6925" width="27.375" style="2" customWidth="1"/>
    <col min="6926" max="6926" width="11.25" style="2" customWidth="1"/>
    <col min="6927" max="7170" width="9" style="2"/>
    <col min="7171" max="7171" width="12" style="2" customWidth="1"/>
    <col min="7172" max="7180" width="9.625" style="2" customWidth="1"/>
    <col min="7181" max="7181" width="27.375" style="2" customWidth="1"/>
    <col min="7182" max="7182" width="11.25" style="2" customWidth="1"/>
    <col min="7183" max="7426" width="9" style="2"/>
    <col min="7427" max="7427" width="12" style="2" customWidth="1"/>
    <col min="7428" max="7436" width="9.625" style="2" customWidth="1"/>
    <col min="7437" max="7437" width="27.375" style="2" customWidth="1"/>
    <col min="7438" max="7438" width="11.25" style="2" customWidth="1"/>
    <col min="7439" max="7682" width="9" style="2"/>
    <col min="7683" max="7683" width="12" style="2" customWidth="1"/>
    <col min="7684" max="7692" width="9.625" style="2" customWidth="1"/>
    <col min="7693" max="7693" width="27.375" style="2" customWidth="1"/>
    <col min="7694" max="7694" width="11.25" style="2" customWidth="1"/>
    <col min="7695" max="7938" width="9" style="2"/>
    <col min="7939" max="7939" width="12" style="2" customWidth="1"/>
    <col min="7940" max="7948" width="9.625" style="2" customWidth="1"/>
    <col min="7949" max="7949" width="27.375" style="2" customWidth="1"/>
    <col min="7950" max="7950" width="11.25" style="2" customWidth="1"/>
    <col min="7951" max="8194" width="9" style="2"/>
    <col min="8195" max="8195" width="12" style="2" customWidth="1"/>
    <col min="8196" max="8204" width="9.625" style="2" customWidth="1"/>
    <col min="8205" max="8205" width="27.375" style="2" customWidth="1"/>
    <col min="8206" max="8206" width="11.25" style="2" customWidth="1"/>
    <col min="8207" max="8450" width="9" style="2"/>
    <col min="8451" max="8451" width="12" style="2" customWidth="1"/>
    <col min="8452" max="8460" width="9.625" style="2" customWidth="1"/>
    <col min="8461" max="8461" width="27.375" style="2" customWidth="1"/>
    <col min="8462" max="8462" width="11.25" style="2" customWidth="1"/>
    <col min="8463" max="8706" width="9" style="2"/>
    <col min="8707" max="8707" width="12" style="2" customWidth="1"/>
    <col min="8708" max="8716" width="9.625" style="2" customWidth="1"/>
    <col min="8717" max="8717" width="27.375" style="2" customWidth="1"/>
    <col min="8718" max="8718" width="11.25" style="2" customWidth="1"/>
    <col min="8719" max="8962" width="9" style="2"/>
    <col min="8963" max="8963" width="12" style="2" customWidth="1"/>
    <col min="8964" max="8972" width="9.625" style="2" customWidth="1"/>
    <col min="8973" max="8973" width="27.375" style="2" customWidth="1"/>
    <col min="8974" max="8974" width="11.25" style="2" customWidth="1"/>
    <col min="8975" max="9218" width="9" style="2"/>
    <col min="9219" max="9219" width="12" style="2" customWidth="1"/>
    <col min="9220" max="9228" width="9.625" style="2" customWidth="1"/>
    <col min="9229" max="9229" width="27.375" style="2" customWidth="1"/>
    <col min="9230" max="9230" width="11.25" style="2" customWidth="1"/>
    <col min="9231" max="9474" width="9" style="2"/>
    <col min="9475" max="9475" width="12" style="2" customWidth="1"/>
    <col min="9476" max="9484" width="9.625" style="2" customWidth="1"/>
    <col min="9485" max="9485" width="27.375" style="2" customWidth="1"/>
    <col min="9486" max="9486" width="11.25" style="2" customWidth="1"/>
    <col min="9487" max="9730" width="9" style="2"/>
    <col min="9731" max="9731" width="12" style="2" customWidth="1"/>
    <col min="9732" max="9740" width="9.625" style="2" customWidth="1"/>
    <col min="9741" max="9741" width="27.375" style="2" customWidth="1"/>
    <col min="9742" max="9742" width="11.25" style="2" customWidth="1"/>
    <col min="9743" max="9986" width="9" style="2"/>
    <col min="9987" max="9987" width="12" style="2" customWidth="1"/>
    <col min="9988" max="9996" width="9.625" style="2" customWidth="1"/>
    <col min="9997" max="9997" width="27.375" style="2" customWidth="1"/>
    <col min="9998" max="9998" width="11.25" style="2" customWidth="1"/>
    <col min="9999" max="10242" width="9" style="2"/>
    <col min="10243" max="10243" width="12" style="2" customWidth="1"/>
    <col min="10244" max="10252" width="9.625" style="2" customWidth="1"/>
    <col min="10253" max="10253" width="27.375" style="2" customWidth="1"/>
    <col min="10254" max="10254" width="11.25" style="2" customWidth="1"/>
    <col min="10255" max="10498" width="9" style="2"/>
    <col min="10499" max="10499" width="12" style="2" customWidth="1"/>
    <col min="10500" max="10508" width="9.625" style="2" customWidth="1"/>
    <col min="10509" max="10509" width="27.375" style="2" customWidth="1"/>
    <col min="10510" max="10510" width="11.25" style="2" customWidth="1"/>
    <col min="10511" max="10754" width="9" style="2"/>
    <col min="10755" max="10755" width="12" style="2" customWidth="1"/>
    <col min="10756" max="10764" width="9.625" style="2" customWidth="1"/>
    <col min="10765" max="10765" width="27.375" style="2" customWidth="1"/>
    <col min="10766" max="10766" width="11.25" style="2" customWidth="1"/>
    <col min="10767" max="11010" width="9" style="2"/>
    <col min="11011" max="11011" width="12" style="2" customWidth="1"/>
    <col min="11012" max="11020" width="9.625" style="2" customWidth="1"/>
    <col min="11021" max="11021" width="27.375" style="2" customWidth="1"/>
    <col min="11022" max="11022" width="11.25" style="2" customWidth="1"/>
    <col min="11023" max="11266" width="9" style="2"/>
    <col min="11267" max="11267" width="12" style="2" customWidth="1"/>
    <col min="11268" max="11276" width="9.625" style="2" customWidth="1"/>
    <col min="11277" max="11277" width="27.375" style="2" customWidth="1"/>
    <col min="11278" max="11278" width="11.25" style="2" customWidth="1"/>
    <col min="11279" max="11522" width="9" style="2"/>
    <col min="11523" max="11523" width="12" style="2" customWidth="1"/>
    <col min="11524" max="11532" width="9.625" style="2" customWidth="1"/>
    <col min="11533" max="11533" width="27.375" style="2" customWidth="1"/>
    <col min="11534" max="11534" width="11.25" style="2" customWidth="1"/>
    <col min="11535" max="11778" width="9" style="2"/>
    <col min="11779" max="11779" width="12" style="2" customWidth="1"/>
    <col min="11780" max="11788" width="9.625" style="2" customWidth="1"/>
    <col min="11789" max="11789" width="27.375" style="2" customWidth="1"/>
    <col min="11790" max="11790" width="11.25" style="2" customWidth="1"/>
    <col min="11791" max="12034" width="9" style="2"/>
    <col min="12035" max="12035" width="12" style="2" customWidth="1"/>
    <col min="12036" max="12044" width="9.625" style="2" customWidth="1"/>
    <col min="12045" max="12045" width="27.375" style="2" customWidth="1"/>
    <col min="12046" max="12046" width="11.25" style="2" customWidth="1"/>
    <col min="12047" max="12290" width="9" style="2"/>
    <col min="12291" max="12291" width="12" style="2" customWidth="1"/>
    <col min="12292" max="12300" width="9.625" style="2" customWidth="1"/>
    <col min="12301" max="12301" width="27.375" style="2" customWidth="1"/>
    <col min="12302" max="12302" width="11.25" style="2" customWidth="1"/>
    <col min="12303" max="12546" width="9" style="2"/>
    <col min="12547" max="12547" width="12" style="2" customWidth="1"/>
    <col min="12548" max="12556" width="9.625" style="2" customWidth="1"/>
    <col min="12557" max="12557" width="27.375" style="2" customWidth="1"/>
    <col min="12558" max="12558" width="11.25" style="2" customWidth="1"/>
    <col min="12559" max="12802" width="9" style="2"/>
    <col min="12803" max="12803" width="12" style="2" customWidth="1"/>
    <col min="12804" max="12812" width="9.625" style="2" customWidth="1"/>
    <col min="12813" max="12813" width="27.375" style="2" customWidth="1"/>
    <col min="12814" max="12814" width="11.25" style="2" customWidth="1"/>
    <col min="12815" max="13058" width="9" style="2"/>
    <col min="13059" max="13059" width="12" style="2" customWidth="1"/>
    <col min="13060" max="13068" width="9.625" style="2" customWidth="1"/>
    <col min="13069" max="13069" width="27.375" style="2" customWidth="1"/>
    <col min="13070" max="13070" width="11.25" style="2" customWidth="1"/>
    <col min="13071" max="13314" width="9" style="2"/>
    <col min="13315" max="13315" width="12" style="2" customWidth="1"/>
    <col min="13316" max="13324" width="9.625" style="2" customWidth="1"/>
    <col min="13325" max="13325" width="27.375" style="2" customWidth="1"/>
    <col min="13326" max="13326" width="11.25" style="2" customWidth="1"/>
    <col min="13327" max="13570" width="9" style="2"/>
    <col min="13571" max="13571" width="12" style="2" customWidth="1"/>
    <col min="13572" max="13580" width="9.625" style="2" customWidth="1"/>
    <col min="13581" max="13581" width="27.375" style="2" customWidth="1"/>
    <col min="13582" max="13582" width="11.25" style="2" customWidth="1"/>
    <col min="13583" max="13826" width="9" style="2"/>
    <col min="13827" max="13827" width="12" style="2" customWidth="1"/>
    <col min="13828" max="13836" width="9.625" style="2" customWidth="1"/>
    <col min="13837" max="13837" width="27.375" style="2" customWidth="1"/>
    <col min="13838" max="13838" width="11.25" style="2" customWidth="1"/>
    <col min="13839" max="14082" width="9" style="2"/>
    <col min="14083" max="14083" width="12" style="2" customWidth="1"/>
    <col min="14084" max="14092" width="9.625" style="2" customWidth="1"/>
    <col min="14093" max="14093" width="27.375" style="2" customWidth="1"/>
    <col min="14094" max="14094" width="11.25" style="2" customWidth="1"/>
    <col min="14095" max="14338" width="9" style="2"/>
    <col min="14339" max="14339" width="12" style="2" customWidth="1"/>
    <col min="14340" max="14348" width="9.625" style="2" customWidth="1"/>
    <col min="14349" max="14349" width="27.375" style="2" customWidth="1"/>
    <col min="14350" max="14350" width="11.25" style="2" customWidth="1"/>
    <col min="14351" max="14594" width="9" style="2"/>
    <col min="14595" max="14595" width="12" style="2" customWidth="1"/>
    <col min="14596" max="14604" width="9.625" style="2" customWidth="1"/>
    <col min="14605" max="14605" width="27.375" style="2" customWidth="1"/>
    <col min="14606" max="14606" width="11.25" style="2" customWidth="1"/>
    <col min="14607" max="14850" width="9" style="2"/>
    <col min="14851" max="14851" width="12" style="2" customWidth="1"/>
    <col min="14852" max="14860" width="9.625" style="2" customWidth="1"/>
    <col min="14861" max="14861" width="27.375" style="2" customWidth="1"/>
    <col min="14862" max="14862" width="11.25" style="2" customWidth="1"/>
    <col min="14863" max="15106" width="9" style="2"/>
    <col min="15107" max="15107" width="12" style="2" customWidth="1"/>
    <col min="15108" max="15116" width="9.625" style="2" customWidth="1"/>
    <col min="15117" max="15117" width="27.375" style="2" customWidth="1"/>
    <col min="15118" max="15118" width="11.25" style="2" customWidth="1"/>
    <col min="15119" max="15362" width="9" style="2"/>
    <col min="15363" max="15363" width="12" style="2" customWidth="1"/>
    <col min="15364" max="15372" width="9.625" style="2" customWidth="1"/>
    <col min="15373" max="15373" width="27.375" style="2" customWidth="1"/>
    <col min="15374" max="15374" width="11.25" style="2" customWidth="1"/>
    <col min="15375" max="15618" width="9" style="2"/>
    <col min="15619" max="15619" width="12" style="2" customWidth="1"/>
    <col min="15620" max="15628" width="9.625" style="2" customWidth="1"/>
    <col min="15629" max="15629" width="27.375" style="2" customWidth="1"/>
    <col min="15630" max="15630" width="11.25" style="2" customWidth="1"/>
    <col min="15631" max="15874" width="9" style="2"/>
    <col min="15875" max="15875" width="12" style="2" customWidth="1"/>
    <col min="15876" max="15884" width="9.625" style="2" customWidth="1"/>
    <col min="15885" max="15885" width="27.375" style="2" customWidth="1"/>
    <col min="15886" max="15886" width="11.25" style="2" customWidth="1"/>
    <col min="15887" max="16130" width="9" style="2"/>
    <col min="16131" max="16131" width="12" style="2" customWidth="1"/>
    <col min="16132" max="16140" width="9.625" style="2" customWidth="1"/>
    <col min="16141" max="16141" width="27.375" style="2" customWidth="1"/>
    <col min="16142" max="16142" width="11.25" style="2" customWidth="1"/>
    <col min="16143" max="16384" width="9" style="2"/>
  </cols>
  <sheetData>
    <row r="1" spans="3:14" ht="18.75" customHeight="1" x14ac:dyDescent="0.2">
      <c r="C1" s="1"/>
      <c r="D1" s="406" t="s">
        <v>687</v>
      </c>
      <c r="E1" s="406"/>
      <c r="F1" s="406"/>
      <c r="G1" s="406"/>
      <c r="H1" s="406"/>
      <c r="I1" s="406"/>
      <c r="J1" s="406"/>
      <c r="K1" s="406"/>
      <c r="L1" s="406"/>
      <c r="M1" s="406"/>
      <c r="N1" s="1"/>
    </row>
    <row r="2" spans="3:14" ht="18.75" customHeight="1" thickBot="1" x14ac:dyDescent="0.25">
      <c r="C2" s="1"/>
      <c r="D2" s="507" t="s">
        <v>688</v>
      </c>
      <c r="E2" s="507"/>
      <c r="F2" s="507"/>
      <c r="G2" s="507"/>
      <c r="H2" s="507"/>
      <c r="I2" s="507"/>
      <c r="J2" s="507"/>
      <c r="K2" s="507"/>
      <c r="L2" s="507"/>
      <c r="M2" s="507"/>
      <c r="N2" s="1"/>
    </row>
    <row r="3" spans="3:14" ht="18.75" customHeight="1" thickBot="1" x14ac:dyDescent="0.25">
      <c r="C3" s="1"/>
      <c r="D3" s="508" t="s">
        <v>4</v>
      </c>
      <c r="E3" s="508"/>
      <c r="F3" s="508"/>
      <c r="G3" s="508" t="s">
        <v>145</v>
      </c>
      <c r="H3" s="508"/>
      <c r="I3" s="508"/>
      <c r="J3" s="508" t="s">
        <v>146</v>
      </c>
      <c r="K3" s="508"/>
      <c r="L3" s="508"/>
      <c r="M3" s="91"/>
      <c r="N3" s="1"/>
    </row>
    <row r="4" spans="3:14" ht="18.75" customHeight="1" thickBot="1" x14ac:dyDescent="0.25">
      <c r="C4" s="1"/>
      <c r="D4" s="92" t="s">
        <v>227</v>
      </c>
      <c r="E4" s="92" t="s">
        <v>10</v>
      </c>
      <c r="F4" s="92" t="s">
        <v>9</v>
      </c>
      <c r="G4" s="92" t="s">
        <v>227</v>
      </c>
      <c r="H4" s="92" t="s">
        <v>10</v>
      </c>
      <c r="I4" s="92" t="s">
        <v>9</v>
      </c>
      <c r="J4" s="92" t="s">
        <v>227</v>
      </c>
      <c r="K4" s="92" t="s">
        <v>10</v>
      </c>
      <c r="L4" s="92" t="s">
        <v>9</v>
      </c>
      <c r="M4" s="93" t="s">
        <v>240</v>
      </c>
    </row>
    <row r="5" spans="3:14" ht="18.75" customHeight="1" thickBot="1" x14ac:dyDescent="0.25">
      <c r="C5" s="1"/>
      <c r="D5" s="126">
        <f>SUM(E5:F5)</f>
        <v>334</v>
      </c>
      <c r="E5" s="126">
        <f>K5+H5</f>
        <v>128</v>
      </c>
      <c r="F5" s="126">
        <f>L5+I5</f>
        <v>206</v>
      </c>
      <c r="G5" s="126">
        <f>SUM(H5:I5)</f>
        <v>13</v>
      </c>
      <c r="H5" s="126">
        <v>9</v>
      </c>
      <c r="I5" s="126">
        <v>4</v>
      </c>
      <c r="J5" s="126">
        <f>SUM(K5:L5)</f>
        <v>321</v>
      </c>
      <c r="K5" s="126">
        <v>119</v>
      </c>
      <c r="L5" s="126">
        <v>202</v>
      </c>
      <c r="M5" s="127" t="s">
        <v>161</v>
      </c>
      <c r="N5" s="1"/>
    </row>
    <row r="6" spans="3:14" ht="18.75" customHeight="1" thickBot="1" x14ac:dyDescent="0.25">
      <c r="C6" s="1"/>
      <c r="D6" s="126">
        <f t="shared" ref="D6:D24" si="0">SUM(E6:F6)</f>
        <v>3327</v>
      </c>
      <c r="E6" s="126">
        <f t="shared" ref="E6:F24" si="1">K6+H6</f>
        <v>0</v>
      </c>
      <c r="F6" s="126">
        <f t="shared" si="1"/>
        <v>3327</v>
      </c>
      <c r="G6" s="126">
        <f t="shared" ref="G6:G24" si="2">SUM(H6:I6)</f>
        <v>33</v>
      </c>
      <c r="H6" s="126">
        <v>0</v>
      </c>
      <c r="I6" s="126">
        <v>33</v>
      </c>
      <c r="J6" s="126">
        <f t="shared" ref="J6:J24" si="3">SUM(K6:L6)</f>
        <v>3294</v>
      </c>
      <c r="K6" s="126">
        <v>0</v>
      </c>
      <c r="L6" s="126">
        <v>3294</v>
      </c>
      <c r="M6" s="127" t="s">
        <v>162</v>
      </c>
      <c r="N6" s="1"/>
    </row>
    <row r="7" spans="3:14" ht="18.75" customHeight="1" thickBot="1" x14ac:dyDescent="0.25">
      <c r="C7" s="1"/>
      <c r="D7" s="126">
        <f t="shared" si="0"/>
        <v>171</v>
      </c>
      <c r="E7" s="126">
        <f t="shared" si="1"/>
        <v>0</v>
      </c>
      <c r="F7" s="126">
        <f t="shared" si="1"/>
        <v>171</v>
      </c>
      <c r="G7" s="126">
        <f t="shared" si="2"/>
        <v>16</v>
      </c>
      <c r="H7" s="126">
        <v>0</v>
      </c>
      <c r="I7" s="126">
        <v>16</v>
      </c>
      <c r="J7" s="126">
        <f t="shared" si="3"/>
        <v>155</v>
      </c>
      <c r="K7" s="126">
        <v>0</v>
      </c>
      <c r="L7" s="126">
        <v>155</v>
      </c>
      <c r="M7" s="127" t="s">
        <v>163</v>
      </c>
      <c r="N7" s="1"/>
    </row>
    <row r="8" spans="3:14" ht="18.75" customHeight="1" thickBot="1" x14ac:dyDescent="0.25">
      <c r="C8" s="1"/>
      <c r="D8" s="126">
        <f t="shared" si="0"/>
        <v>1733</v>
      </c>
      <c r="E8" s="126">
        <f t="shared" si="1"/>
        <v>592</v>
      </c>
      <c r="F8" s="126">
        <f t="shared" si="1"/>
        <v>1141</v>
      </c>
      <c r="G8" s="126">
        <f t="shared" si="2"/>
        <v>14</v>
      </c>
      <c r="H8" s="126">
        <v>7</v>
      </c>
      <c r="I8" s="126">
        <v>7</v>
      </c>
      <c r="J8" s="126">
        <f t="shared" si="3"/>
        <v>1719</v>
      </c>
      <c r="K8" s="126">
        <v>585</v>
      </c>
      <c r="L8" s="126">
        <v>1134</v>
      </c>
      <c r="M8" s="127" t="s">
        <v>164</v>
      </c>
      <c r="N8" s="1"/>
    </row>
    <row r="9" spans="3:14" ht="18.75" customHeight="1" thickBot="1" x14ac:dyDescent="0.25">
      <c r="C9" s="1"/>
      <c r="D9" s="126">
        <f t="shared" si="0"/>
        <v>156</v>
      </c>
      <c r="E9" s="126">
        <f t="shared" si="1"/>
        <v>0</v>
      </c>
      <c r="F9" s="126">
        <f t="shared" si="1"/>
        <v>156</v>
      </c>
      <c r="G9" s="126">
        <f t="shared" si="2"/>
        <v>1</v>
      </c>
      <c r="H9" s="126">
        <v>0</v>
      </c>
      <c r="I9" s="126">
        <v>1</v>
      </c>
      <c r="J9" s="126">
        <f t="shared" si="3"/>
        <v>155</v>
      </c>
      <c r="K9" s="126">
        <v>0</v>
      </c>
      <c r="L9" s="126">
        <v>155</v>
      </c>
      <c r="M9" s="127" t="s">
        <v>165</v>
      </c>
      <c r="N9" s="1"/>
    </row>
    <row r="10" spans="3:14" ht="18.75" customHeight="1" thickBot="1" x14ac:dyDescent="0.25">
      <c r="C10" s="1"/>
      <c r="D10" s="126">
        <f t="shared" si="0"/>
        <v>3620</v>
      </c>
      <c r="E10" s="126">
        <f t="shared" si="1"/>
        <v>1137</v>
      </c>
      <c r="F10" s="126">
        <f t="shared" si="1"/>
        <v>2483</v>
      </c>
      <c r="G10" s="126">
        <f t="shared" si="2"/>
        <v>163</v>
      </c>
      <c r="H10" s="126">
        <v>0</v>
      </c>
      <c r="I10" s="126">
        <v>163</v>
      </c>
      <c r="J10" s="126">
        <f t="shared" si="3"/>
        <v>3457</v>
      </c>
      <c r="K10" s="126">
        <v>1137</v>
      </c>
      <c r="L10" s="126">
        <v>2320</v>
      </c>
      <c r="M10" s="127" t="s">
        <v>166</v>
      </c>
      <c r="N10" s="1"/>
    </row>
    <row r="11" spans="3:14" ht="18.75" customHeight="1" thickBot="1" x14ac:dyDescent="0.25">
      <c r="C11" s="1"/>
      <c r="D11" s="126">
        <f t="shared" si="0"/>
        <v>877</v>
      </c>
      <c r="E11" s="126">
        <f t="shared" si="1"/>
        <v>99</v>
      </c>
      <c r="F11" s="126">
        <f t="shared" si="1"/>
        <v>778</v>
      </c>
      <c r="G11" s="126">
        <f t="shared" si="2"/>
        <v>10</v>
      </c>
      <c r="H11" s="126">
        <v>6</v>
      </c>
      <c r="I11" s="126">
        <v>4</v>
      </c>
      <c r="J11" s="126">
        <f t="shared" si="3"/>
        <v>867</v>
      </c>
      <c r="K11" s="126">
        <v>93</v>
      </c>
      <c r="L11" s="126">
        <v>774</v>
      </c>
      <c r="M11" s="127" t="s">
        <v>167</v>
      </c>
      <c r="N11" s="1"/>
    </row>
    <row r="12" spans="3:14" ht="18.75" customHeight="1" thickBot="1" x14ac:dyDescent="0.25">
      <c r="C12" s="1"/>
      <c r="D12" s="126">
        <f t="shared" si="0"/>
        <v>119</v>
      </c>
      <c r="E12" s="126">
        <f t="shared" si="1"/>
        <v>58</v>
      </c>
      <c r="F12" s="126">
        <f t="shared" si="1"/>
        <v>61</v>
      </c>
      <c r="G12" s="126">
        <f t="shared" si="2"/>
        <v>9</v>
      </c>
      <c r="H12" s="126">
        <v>0</v>
      </c>
      <c r="I12" s="126">
        <v>9</v>
      </c>
      <c r="J12" s="126">
        <f t="shared" si="3"/>
        <v>110</v>
      </c>
      <c r="K12" s="126">
        <v>58</v>
      </c>
      <c r="L12" s="126">
        <v>52</v>
      </c>
      <c r="M12" s="127" t="s">
        <v>168</v>
      </c>
      <c r="N12" s="1"/>
    </row>
    <row r="13" spans="3:14" ht="18.75" customHeight="1" thickBot="1" x14ac:dyDescent="0.25">
      <c r="C13" s="1"/>
      <c r="D13" s="126">
        <f t="shared" si="0"/>
        <v>3327</v>
      </c>
      <c r="E13" s="126">
        <f t="shared" si="1"/>
        <v>358</v>
      </c>
      <c r="F13" s="126">
        <f t="shared" si="1"/>
        <v>2969</v>
      </c>
      <c r="G13" s="126">
        <f t="shared" si="2"/>
        <v>58</v>
      </c>
      <c r="H13" s="126">
        <v>6</v>
      </c>
      <c r="I13" s="126">
        <v>52</v>
      </c>
      <c r="J13" s="126">
        <f t="shared" si="3"/>
        <v>3269</v>
      </c>
      <c r="K13" s="126">
        <v>352</v>
      </c>
      <c r="L13" s="126">
        <v>2917</v>
      </c>
      <c r="M13" s="127" t="s">
        <v>169</v>
      </c>
      <c r="N13" s="1"/>
    </row>
    <row r="14" spans="3:14" ht="18.75" customHeight="1" thickBot="1" x14ac:dyDescent="0.25">
      <c r="C14" s="1"/>
      <c r="D14" s="126">
        <f t="shared" si="0"/>
        <v>82</v>
      </c>
      <c r="E14" s="126">
        <f t="shared" si="1"/>
        <v>0</v>
      </c>
      <c r="F14" s="126">
        <f t="shared" si="1"/>
        <v>82</v>
      </c>
      <c r="G14" s="126">
        <f t="shared" si="2"/>
        <v>0</v>
      </c>
      <c r="H14" s="126">
        <v>0</v>
      </c>
      <c r="I14" s="126">
        <v>0</v>
      </c>
      <c r="J14" s="126">
        <f t="shared" si="3"/>
        <v>82</v>
      </c>
      <c r="K14" s="126">
        <v>0</v>
      </c>
      <c r="L14" s="126">
        <v>82</v>
      </c>
      <c r="M14" s="127" t="s">
        <v>170</v>
      </c>
      <c r="N14" s="1"/>
    </row>
    <row r="15" spans="3:14" ht="18.75" customHeight="1" thickBot="1" x14ac:dyDescent="0.25">
      <c r="C15" s="1"/>
      <c r="D15" s="126">
        <f t="shared" si="0"/>
        <v>436</v>
      </c>
      <c r="E15" s="126">
        <f t="shared" si="1"/>
        <v>339</v>
      </c>
      <c r="F15" s="126">
        <f t="shared" si="1"/>
        <v>97</v>
      </c>
      <c r="G15" s="126">
        <f t="shared" si="2"/>
        <v>0</v>
      </c>
      <c r="H15" s="126">
        <v>0</v>
      </c>
      <c r="I15" s="126">
        <v>0</v>
      </c>
      <c r="J15" s="126">
        <f t="shared" si="3"/>
        <v>436</v>
      </c>
      <c r="K15" s="126">
        <v>339</v>
      </c>
      <c r="L15" s="126">
        <v>97</v>
      </c>
      <c r="M15" s="127" t="s">
        <v>171</v>
      </c>
      <c r="N15" s="1"/>
    </row>
    <row r="16" spans="3:14" ht="18.75" customHeight="1" thickBot="1" x14ac:dyDescent="0.25">
      <c r="C16" s="1"/>
      <c r="D16" s="126">
        <f t="shared" si="0"/>
        <v>92</v>
      </c>
      <c r="E16" s="126">
        <f t="shared" si="1"/>
        <v>0</v>
      </c>
      <c r="F16" s="126">
        <f t="shared" si="1"/>
        <v>92</v>
      </c>
      <c r="G16" s="126">
        <f t="shared" si="2"/>
        <v>1</v>
      </c>
      <c r="H16" s="126">
        <v>0</v>
      </c>
      <c r="I16" s="126">
        <v>1</v>
      </c>
      <c r="J16" s="126">
        <f t="shared" si="3"/>
        <v>91</v>
      </c>
      <c r="K16" s="126">
        <v>0</v>
      </c>
      <c r="L16" s="126">
        <v>91</v>
      </c>
      <c r="M16" s="127" t="s">
        <v>172</v>
      </c>
      <c r="N16" s="1"/>
    </row>
    <row r="17" spans="3:14" ht="18.75" customHeight="1" thickBot="1" x14ac:dyDescent="0.25">
      <c r="C17" s="1"/>
      <c r="D17" s="126">
        <f t="shared" si="0"/>
        <v>5249</v>
      </c>
      <c r="E17" s="126">
        <f t="shared" si="1"/>
        <v>2659</v>
      </c>
      <c r="F17" s="126">
        <f t="shared" si="1"/>
        <v>2590</v>
      </c>
      <c r="G17" s="126">
        <f t="shared" si="2"/>
        <v>127</v>
      </c>
      <c r="H17" s="126">
        <v>85</v>
      </c>
      <c r="I17" s="126">
        <v>42</v>
      </c>
      <c r="J17" s="126">
        <f t="shared" si="3"/>
        <v>5122</v>
      </c>
      <c r="K17" s="126">
        <v>2574</v>
      </c>
      <c r="L17" s="126">
        <v>2548</v>
      </c>
      <c r="M17" s="127" t="s">
        <v>174</v>
      </c>
      <c r="N17" s="1"/>
    </row>
    <row r="18" spans="3:14" ht="18.75" customHeight="1" thickBot="1" x14ac:dyDescent="0.25">
      <c r="C18" s="1"/>
      <c r="D18" s="126">
        <f t="shared" si="0"/>
        <v>3232</v>
      </c>
      <c r="E18" s="126">
        <f t="shared" si="1"/>
        <v>0</v>
      </c>
      <c r="F18" s="126">
        <f t="shared" si="1"/>
        <v>3232</v>
      </c>
      <c r="G18" s="126">
        <f t="shared" si="2"/>
        <v>39</v>
      </c>
      <c r="H18" s="126">
        <v>0</v>
      </c>
      <c r="I18" s="126">
        <v>39</v>
      </c>
      <c r="J18" s="126">
        <f t="shared" si="3"/>
        <v>3193</v>
      </c>
      <c r="K18" s="126">
        <v>0</v>
      </c>
      <c r="L18" s="126">
        <v>3193</v>
      </c>
      <c r="M18" s="127" t="s">
        <v>175</v>
      </c>
      <c r="N18" s="1"/>
    </row>
    <row r="19" spans="3:14" ht="18.75" customHeight="1" thickBot="1" x14ac:dyDescent="0.25">
      <c r="C19" s="1"/>
      <c r="D19" s="126">
        <f t="shared" si="0"/>
        <v>263</v>
      </c>
      <c r="E19" s="126">
        <f t="shared" si="1"/>
        <v>0</v>
      </c>
      <c r="F19" s="126">
        <f t="shared" si="1"/>
        <v>263</v>
      </c>
      <c r="G19" s="126">
        <f t="shared" si="2"/>
        <v>1</v>
      </c>
      <c r="H19" s="126">
        <v>0</v>
      </c>
      <c r="I19" s="126">
        <v>1</v>
      </c>
      <c r="J19" s="126">
        <f t="shared" si="3"/>
        <v>262</v>
      </c>
      <c r="K19" s="126">
        <v>0</v>
      </c>
      <c r="L19" s="126">
        <v>262</v>
      </c>
      <c r="M19" s="127" t="s">
        <v>176</v>
      </c>
      <c r="N19" s="1"/>
    </row>
    <row r="20" spans="3:14" ht="18.75" customHeight="1" thickBot="1" x14ac:dyDescent="0.25">
      <c r="C20" s="1"/>
      <c r="D20" s="126">
        <f t="shared" si="0"/>
        <v>283</v>
      </c>
      <c r="E20" s="126">
        <f t="shared" si="1"/>
        <v>0</v>
      </c>
      <c r="F20" s="126">
        <f t="shared" si="1"/>
        <v>283</v>
      </c>
      <c r="G20" s="126">
        <f t="shared" si="2"/>
        <v>0</v>
      </c>
      <c r="H20" s="126">
        <v>0</v>
      </c>
      <c r="I20" s="126">
        <v>0</v>
      </c>
      <c r="J20" s="126">
        <f t="shared" si="3"/>
        <v>283</v>
      </c>
      <c r="K20" s="126">
        <v>0</v>
      </c>
      <c r="L20" s="126">
        <v>283</v>
      </c>
      <c r="M20" s="127" t="s">
        <v>177</v>
      </c>
      <c r="N20" s="1"/>
    </row>
    <row r="21" spans="3:14" ht="18.75" customHeight="1" thickBot="1" x14ac:dyDescent="0.25">
      <c r="C21" s="1"/>
      <c r="D21" s="126">
        <f t="shared" si="0"/>
        <v>203</v>
      </c>
      <c r="E21" s="126">
        <f t="shared" si="1"/>
        <v>0</v>
      </c>
      <c r="F21" s="126">
        <f t="shared" si="1"/>
        <v>203</v>
      </c>
      <c r="G21" s="126">
        <f t="shared" si="2"/>
        <v>0</v>
      </c>
      <c r="H21" s="126">
        <v>0</v>
      </c>
      <c r="I21" s="126">
        <v>0</v>
      </c>
      <c r="J21" s="126">
        <f t="shared" si="3"/>
        <v>203</v>
      </c>
      <c r="K21" s="126">
        <v>0</v>
      </c>
      <c r="L21" s="126">
        <v>203</v>
      </c>
      <c r="M21" s="127" t="s">
        <v>178</v>
      </c>
      <c r="N21" s="1"/>
    </row>
    <row r="22" spans="3:14" ht="18.75" customHeight="1" thickBot="1" x14ac:dyDescent="0.25">
      <c r="C22" s="1"/>
      <c r="D22" s="126">
        <f t="shared" si="0"/>
        <v>3681</v>
      </c>
      <c r="E22" s="126">
        <f t="shared" si="1"/>
        <v>1336</v>
      </c>
      <c r="F22" s="126">
        <f t="shared" si="1"/>
        <v>2345</v>
      </c>
      <c r="G22" s="126">
        <f t="shared" si="2"/>
        <v>103</v>
      </c>
      <c r="H22" s="126">
        <v>56</v>
      </c>
      <c r="I22" s="126">
        <v>47</v>
      </c>
      <c r="J22" s="126">
        <f t="shared" si="3"/>
        <v>3578</v>
      </c>
      <c r="K22" s="126">
        <v>1280</v>
      </c>
      <c r="L22" s="126">
        <v>2298</v>
      </c>
      <c r="M22" s="127" t="s">
        <v>180</v>
      </c>
      <c r="N22" s="1"/>
    </row>
    <row r="23" spans="3:14" ht="18.75" customHeight="1" thickBot="1" x14ac:dyDescent="0.25">
      <c r="C23" s="1"/>
      <c r="D23" s="126">
        <f t="shared" si="0"/>
        <v>257</v>
      </c>
      <c r="E23" s="126">
        <f t="shared" si="1"/>
        <v>0</v>
      </c>
      <c r="F23" s="126">
        <f t="shared" si="1"/>
        <v>257</v>
      </c>
      <c r="G23" s="126">
        <f t="shared" si="2"/>
        <v>0</v>
      </c>
      <c r="H23" s="126">
        <v>0</v>
      </c>
      <c r="I23" s="126">
        <v>0</v>
      </c>
      <c r="J23" s="126">
        <f t="shared" si="3"/>
        <v>257</v>
      </c>
      <c r="K23" s="126">
        <v>0</v>
      </c>
      <c r="L23" s="126">
        <v>257</v>
      </c>
      <c r="M23" s="127" t="s">
        <v>181</v>
      </c>
      <c r="N23" s="1"/>
    </row>
    <row r="24" spans="3:14" ht="18.75" customHeight="1" thickBot="1" x14ac:dyDescent="0.25">
      <c r="C24" s="1"/>
      <c r="D24" s="126">
        <f t="shared" si="0"/>
        <v>62</v>
      </c>
      <c r="E24" s="126">
        <f t="shared" si="1"/>
        <v>0</v>
      </c>
      <c r="F24" s="126">
        <f t="shared" si="1"/>
        <v>62</v>
      </c>
      <c r="G24" s="126">
        <f t="shared" si="2"/>
        <v>0</v>
      </c>
      <c r="H24" s="126">
        <v>0</v>
      </c>
      <c r="I24" s="126">
        <v>0</v>
      </c>
      <c r="J24" s="126">
        <f t="shared" si="3"/>
        <v>62</v>
      </c>
      <c r="K24" s="126">
        <v>0</v>
      </c>
      <c r="L24" s="126">
        <v>62</v>
      </c>
      <c r="M24" s="127" t="s">
        <v>182</v>
      </c>
      <c r="N24" s="1"/>
    </row>
    <row r="25" spans="3:14" ht="18.75" customHeight="1" thickBot="1" x14ac:dyDescent="0.25">
      <c r="C25" s="1"/>
      <c r="D25" s="126">
        <f t="shared" ref="D25:L25" si="4">SUM(D5:D24)</f>
        <v>27504</v>
      </c>
      <c r="E25" s="126">
        <f t="shared" si="4"/>
        <v>6706</v>
      </c>
      <c r="F25" s="126">
        <f t="shared" si="4"/>
        <v>20798</v>
      </c>
      <c r="G25" s="126">
        <f t="shared" si="4"/>
        <v>588</v>
      </c>
      <c r="H25" s="126">
        <f t="shared" si="4"/>
        <v>169</v>
      </c>
      <c r="I25" s="126">
        <f t="shared" si="4"/>
        <v>419</v>
      </c>
      <c r="J25" s="126">
        <f t="shared" si="4"/>
        <v>26916</v>
      </c>
      <c r="K25" s="126">
        <f t="shared" si="4"/>
        <v>6537</v>
      </c>
      <c r="L25" s="126">
        <f t="shared" si="4"/>
        <v>20379</v>
      </c>
      <c r="M25" s="93" t="s">
        <v>188</v>
      </c>
      <c r="N25" s="1"/>
    </row>
    <row r="26" spans="3:14" ht="18.75" customHeight="1" x14ac:dyDescent="0.2">
      <c r="D26" s="81"/>
      <c r="E26" s="81"/>
      <c r="F26" s="81"/>
      <c r="G26" s="81"/>
      <c r="H26" s="81"/>
      <c r="I26" s="81"/>
      <c r="J26" s="81"/>
      <c r="K26" s="81"/>
      <c r="L26" s="81"/>
    </row>
  </sheetData>
  <mergeCells count="5">
    <mergeCell ref="D1:M1"/>
    <mergeCell ref="D2:M2"/>
    <mergeCell ref="D3:F3"/>
    <mergeCell ref="G3:I3"/>
    <mergeCell ref="J3:L3"/>
  </mergeCells>
  <pageMargins left="0.4" right="0.4" top="0.25" bottom="0.25" header="0.25" footer="0.25"/>
  <pageSetup paperSize="9" scale="98" orientation="landscape" horizontalDpi="300" verticalDpi="3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N76"/>
  <sheetViews>
    <sheetView showGridLines="0" topLeftCell="A46" zoomScaleSheetLayoutView="90" workbookViewId="0">
      <selection activeCell="N25" sqref="N25"/>
    </sheetView>
  </sheetViews>
  <sheetFormatPr defaultRowHeight="12.75" customHeight="1" x14ac:dyDescent="0.2"/>
  <cols>
    <col min="1" max="2" width="9" style="2"/>
    <col min="3" max="11" width="9.625" style="2" customWidth="1"/>
    <col min="12" max="12" width="5.75" style="2" bestFit="1" customWidth="1"/>
    <col min="13" max="13" width="31.25" style="2" bestFit="1" customWidth="1"/>
    <col min="14" max="14" width="2" style="2" customWidth="1"/>
    <col min="15" max="258" width="9" style="2"/>
    <col min="259" max="267" width="9.625" style="2" customWidth="1"/>
    <col min="268" max="268" width="5.75" style="2" bestFit="1" customWidth="1"/>
    <col min="269" max="269" width="31.25" style="2" bestFit="1" customWidth="1"/>
    <col min="270" max="270" width="2" style="2" customWidth="1"/>
    <col min="271" max="514" width="9" style="2"/>
    <col min="515" max="523" width="9.625" style="2" customWidth="1"/>
    <col min="524" max="524" width="5.75" style="2" bestFit="1" customWidth="1"/>
    <col min="525" max="525" width="31.25" style="2" bestFit="1" customWidth="1"/>
    <col min="526" max="526" width="2" style="2" customWidth="1"/>
    <col min="527" max="770" width="9" style="2"/>
    <col min="771" max="779" width="9.625" style="2" customWidth="1"/>
    <col min="780" max="780" width="5.75" style="2" bestFit="1" customWidth="1"/>
    <col min="781" max="781" width="31.25" style="2" bestFit="1" customWidth="1"/>
    <col min="782" max="782" width="2" style="2" customWidth="1"/>
    <col min="783" max="1026" width="9" style="2"/>
    <col min="1027" max="1035" width="9.625" style="2" customWidth="1"/>
    <col min="1036" max="1036" width="5.75" style="2" bestFit="1" customWidth="1"/>
    <col min="1037" max="1037" width="31.25" style="2" bestFit="1" customWidth="1"/>
    <col min="1038" max="1038" width="2" style="2" customWidth="1"/>
    <col min="1039" max="1282" width="9" style="2"/>
    <col min="1283" max="1291" width="9.625" style="2" customWidth="1"/>
    <col min="1292" max="1292" width="5.75" style="2" bestFit="1" customWidth="1"/>
    <col min="1293" max="1293" width="31.25" style="2" bestFit="1" customWidth="1"/>
    <col min="1294" max="1294" width="2" style="2" customWidth="1"/>
    <col min="1295" max="1538" width="9" style="2"/>
    <col min="1539" max="1547" width="9.625" style="2" customWidth="1"/>
    <col min="1548" max="1548" width="5.75" style="2" bestFit="1" customWidth="1"/>
    <col min="1549" max="1549" width="31.25" style="2" bestFit="1" customWidth="1"/>
    <col min="1550" max="1550" width="2" style="2" customWidth="1"/>
    <col min="1551" max="1794" width="9" style="2"/>
    <col min="1795" max="1803" width="9.625" style="2" customWidth="1"/>
    <col min="1804" max="1804" width="5.75" style="2" bestFit="1" customWidth="1"/>
    <col min="1805" max="1805" width="31.25" style="2" bestFit="1" customWidth="1"/>
    <col min="1806" max="1806" width="2" style="2" customWidth="1"/>
    <col min="1807" max="2050" width="9" style="2"/>
    <col min="2051" max="2059" width="9.625" style="2" customWidth="1"/>
    <col min="2060" max="2060" width="5.75" style="2" bestFit="1" customWidth="1"/>
    <col min="2061" max="2061" width="31.25" style="2" bestFit="1" customWidth="1"/>
    <col min="2062" max="2062" width="2" style="2" customWidth="1"/>
    <col min="2063" max="2306" width="9" style="2"/>
    <col min="2307" max="2315" width="9.625" style="2" customWidth="1"/>
    <col min="2316" max="2316" width="5.75" style="2" bestFit="1" customWidth="1"/>
    <col min="2317" max="2317" width="31.25" style="2" bestFit="1" customWidth="1"/>
    <col min="2318" max="2318" width="2" style="2" customWidth="1"/>
    <col min="2319" max="2562" width="9" style="2"/>
    <col min="2563" max="2571" width="9.625" style="2" customWidth="1"/>
    <col min="2572" max="2572" width="5.75" style="2" bestFit="1" customWidth="1"/>
    <col min="2573" max="2573" width="31.25" style="2" bestFit="1" customWidth="1"/>
    <col min="2574" max="2574" width="2" style="2" customWidth="1"/>
    <col min="2575" max="2818" width="9" style="2"/>
    <col min="2819" max="2827" width="9.625" style="2" customWidth="1"/>
    <col min="2828" max="2828" width="5.75" style="2" bestFit="1" customWidth="1"/>
    <col min="2829" max="2829" width="31.25" style="2" bestFit="1" customWidth="1"/>
    <col min="2830" max="2830" width="2" style="2" customWidth="1"/>
    <col min="2831" max="3074" width="9" style="2"/>
    <col min="3075" max="3083" width="9.625" style="2" customWidth="1"/>
    <col min="3084" max="3084" width="5.75" style="2" bestFit="1" customWidth="1"/>
    <col min="3085" max="3085" width="31.25" style="2" bestFit="1" customWidth="1"/>
    <col min="3086" max="3086" width="2" style="2" customWidth="1"/>
    <col min="3087" max="3330" width="9" style="2"/>
    <col min="3331" max="3339" width="9.625" style="2" customWidth="1"/>
    <col min="3340" max="3340" width="5.75" style="2" bestFit="1" customWidth="1"/>
    <col min="3341" max="3341" width="31.25" style="2" bestFit="1" customWidth="1"/>
    <col min="3342" max="3342" width="2" style="2" customWidth="1"/>
    <col min="3343" max="3586" width="9" style="2"/>
    <col min="3587" max="3595" width="9.625" style="2" customWidth="1"/>
    <col min="3596" max="3596" width="5.75" style="2" bestFit="1" customWidth="1"/>
    <col min="3597" max="3597" width="31.25" style="2" bestFit="1" customWidth="1"/>
    <col min="3598" max="3598" width="2" style="2" customWidth="1"/>
    <col min="3599" max="3842" width="9" style="2"/>
    <col min="3843" max="3851" width="9.625" style="2" customWidth="1"/>
    <col min="3852" max="3852" width="5.75" style="2" bestFit="1" customWidth="1"/>
    <col min="3853" max="3853" width="31.25" style="2" bestFit="1" customWidth="1"/>
    <col min="3854" max="3854" width="2" style="2" customWidth="1"/>
    <col min="3855" max="4098" width="9" style="2"/>
    <col min="4099" max="4107" width="9.625" style="2" customWidth="1"/>
    <col min="4108" max="4108" width="5.75" style="2" bestFit="1" customWidth="1"/>
    <col min="4109" max="4109" width="31.25" style="2" bestFit="1" customWidth="1"/>
    <col min="4110" max="4110" width="2" style="2" customWidth="1"/>
    <col min="4111" max="4354" width="9" style="2"/>
    <col min="4355" max="4363" width="9.625" style="2" customWidth="1"/>
    <col min="4364" max="4364" width="5.75" style="2" bestFit="1" customWidth="1"/>
    <col min="4365" max="4365" width="31.25" style="2" bestFit="1" customWidth="1"/>
    <col min="4366" max="4366" width="2" style="2" customWidth="1"/>
    <col min="4367" max="4610" width="9" style="2"/>
    <col min="4611" max="4619" width="9.625" style="2" customWidth="1"/>
    <col min="4620" max="4620" width="5.75" style="2" bestFit="1" customWidth="1"/>
    <col min="4621" max="4621" width="31.25" style="2" bestFit="1" customWidth="1"/>
    <col min="4622" max="4622" width="2" style="2" customWidth="1"/>
    <col min="4623" max="4866" width="9" style="2"/>
    <col min="4867" max="4875" width="9.625" style="2" customWidth="1"/>
    <col min="4876" max="4876" width="5.75" style="2" bestFit="1" customWidth="1"/>
    <col min="4877" max="4877" width="31.25" style="2" bestFit="1" customWidth="1"/>
    <col min="4878" max="4878" width="2" style="2" customWidth="1"/>
    <col min="4879" max="5122" width="9" style="2"/>
    <col min="5123" max="5131" width="9.625" style="2" customWidth="1"/>
    <col min="5132" max="5132" width="5.75" style="2" bestFit="1" customWidth="1"/>
    <col min="5133" max="5133" width="31.25" style="2" bestFit="1" customWidth="1"/>
    <col min="5134" max="5134" width="2" style="2" customWidth="1"/>
    <col min="5135" max="5378" width="9" style="2"/>
    <col min="5379" max="5387" width="9.625" style="2" customWidth="1"/>
    <col min="5388" max="5388" width="5.75" style="2" bestFit="1" customWidth="1"/>
    <col min="5389" max="5389" width="31.25" style="2" bestFit="1" customWidth="1"/>
    <col min="5390" max="5390" width="2" style="2" customWidth="1"/>
    <col min="5391" max="5634" width="9" style="2"/>
    <col min="5635" max="5643" width="9.625" style="2" customWidth="1"/>
    <col min="5644" max="5644" width="5.75" style="2" bestFit="1" customWidth="1"/>
    <col min="5645" max="5645" width="31.25" style="2" bestFit="1" customWidth="1"/>
    <col min="5646" max="5646" width="2" style="2" customWidth="1"/>
    <col min="5647" max="5890" width="9" style="2"/>
    <col min="5891" max="5899" width="9.625" style="2" customWidth="1"/>
    <col min="5900" max="5900" width="5.75" style="2" bestFit="1" customWidth="1"/>
    <col min="5901" max="5901" width="31.25" style="2" bestFit="1" customWidth="1"/>
    <col min="5902" max="5902" width="2" style="2" customWidth="1"/>
    <col min="5903" max="6146" width="9" style="2"/>
    <col min="6147" max="6155" width="9.625" style="2" customWidth="1"/>
    <col min="6156" max="6156" width="5.75" style="2" bestFit="1" customWidth="1"/>
    <col min="6157" max="6157" width="31.25" style="2" bestFit="1" customWidth="1"/>
    <col min="6158" max="6158" width="2" style="2" customWidth="1"/>
    <col min="6159" max="6402" width="9" style="2"/>
    <col min="6403" max="6411" width="9.625" style="2" customWidth="1"/>
    <col min="6412" max="6412" width="5.75" style="2" bestFit="1" customWidth="1"/>
    <col min="6413" max="6413" width="31.25" style="2" bestFit="1" customWidth="1"/>
    <col min="6414" max="6414" width="2" style="2" customWidth="1"/>
    <col min="6415" max="6658" width="9" style="2"/>
    <col min="6659" max="6667" width="9.625" style="2" customWidth="1"/>
    <col min="6668" max="6668" width="5.75" style="2" bestFit="1" customWidth="1"/>
    <col min="6669" max="6669" width="31.25" style="2" bestFit="1" customWidth="1"/>
    <col min="6670" max="6670" width="2" style="2" customWidth="1"/>
    <col min="6671" max="6914" width="9" style="2"/>
    <col min="6915" max="6923" width="9.625" style="2" customWidth="1"/>
    <col min="6924" max="6924" width="5.75" style="2" bestFit="1" customWidth="1"/>
    <col min="6925" max="6925" width="31.25" style="2" bestFit="1" customWidth="1"/>
    <col min="6926" max="6926" width="2" style="2" customWidth="1"/>
    <col min="6927" max="7170" width="9" style="2"/>
    <col min="7171" max="7179" width="9.625" style="2" customWidth="1"/>
    <col min="7180" max="7180" width="5.75" style="2" bestFit="1" customWidth="1"/>
    <col min="7181" max="7181" width="31.25" style="2" bestFit="1" customWidth="1"/>
    <col min="7182" max="7182" width="2" style="2" customWidth="1"/>
    <col min="7183" max="7426" width="9" style="2"/>
    <col min="7427" max="7435" width="9.625" style="2" customWidth="1"/>
    <col min="7436" max="7436" width="5.75" style="2" bestFit="1" customWidth="1"/>
    <col min="7437" max="7437" width="31.25" style="2" bestFit="1" customWidth="1"/>
    <col min="7438" max="7438" width="2" style="2" customWidth="1"/>
    <col min="7439" max="7682" width="9" style="2"/>
    <col min="7683" max="7691" width="9.625" style="2" customWidth="1"/>
    <col min="7692" max="7692" width="5.75" style="2" bestFit="1" customWidth="1"/>
    <col min="7693" max="7693" width="31.25" style="2" bestFit="1" customWidth="1"/>
    <col min="7694" max="7694" width="2" style="2" customWidth="1"/>
    <col min="7695" max="7938" width="9" style="2"/>
    <col min="7939" max="7947" width="9.625" style="2" customWidth="1"/>
    <col min="7948" max="7948" width="5.75" style="2" bestFit="1" customWidth="1"/>
    <col min="7949" max="7949" width="31.25" style="2" bestFit="1" customWidth="1"/>
    <col min="7950" max="7950" width="2" style="2" customWidth="1"/>
    <col min="7951" max="8194" width="9" style="2"/>
    <col min="8195" max="8203" width="9.625" style="2" customWidth="1"/>
    <col min="8204" max="8204" width="5.75" style="2" bestFit="1" customWidth="1"/>
    <col min="8205" max="8205" width="31.25" style="2" bestFit="1" customWidth="1"/>
    <col min="8206" max="8206" width="2" style="2" customWidth="1"/>
    <col min="8207" max="8450" width="9" style="2"/>
    <col min="8451" max="8459" width="9.625" style="2" customWidth="1"/>
    <col min="8460" max="8460" width="5.75" style="2" bestFit="1" customWidth="1"/>
    <col min="8461" max="8461" width="31.25" style="2" bestFit="1" customWidth="1"/>
    <col min="8462" max="8462" width="2" style="2" customWidth="1"/>
    <col min="8463" max="8706" width="9" style="2"/>
    <col min="8707" max="8715" width="9.625" style="2" customWidth="1"/>
    <col min="8716" max="8716" width="5.75" style="2" bestFit="1" customWidth="1"/>
    <col min="8717" max="8717" width="31.25" style="2" bestFit="1" customWidth="1"/>
    <col min="8718" max="8718" width="2" style="2" customWidth="1"/>
    <col min="8719" max="8962" width="9" style="2"/>
    <col min="8963" max="8971" width="9.625" style="2" customWidth="1"/>
    <col min="8972" max="8972" width="5.75" style="2" bestFit="1" customWidth="1"/>
    <col min="8973" max="8973" width="31.25" style="2" bestFit="1" customWidth="1"/>
    <col min="8974" max="8974" width="2" style="2" customWidth="1"/>
    <col min="8975" max="9218" width="9" style="2"/>
    <col min="9219" max="9227" width="9.625" style="2" customWidth="1"/>
    <col min="9228" max="9228" width="5.75" style="2" bestFit="1" customWidth="1"/>
    <col min="9229" max="9229" width="31.25" style="2" bestFit="1" customWidth="1"/>
    <col min="9230" max="9230" width="2" style="2" customWidth="1"/>
    <col min="9231" max="9474" width="9" style="2"/>
    <col min="9475" max="9483" width="9.625" style="2" customWidth="1"/>
    <col min="9484" max="9484" width="5.75" style="2" bestFit="1" customWidth="1"/>
    <col min="9485" max="9485" width="31.25" style="2" bestFit="1" customWidth="1"/>
    <col min="9486" max="9486" width="2" style="2" customWidth="1"/>
    <col min="9487" max="9730" width="9" style="2"/>
    <col min="9731" max="9739" width="9.625" style="2" customWidth="1"/>
    <col min="9740" max="9740" width="5.75" style="2" bestFit="1" customWidth="1"/>
    <col min="9741" max="9741" width="31.25" style="2" bestFit="1" customWidth="1"/>
    <col min="9742" max="9742" width="2" style="2" customWidth="1"/>
    <col min="9743" max="9986" width="9" style="2"/>
    <col min="9987" max="9995" width="9.625" style="2" customWidth="1"/>
    <col min="9996" max="9996" width="5.75" style="2" bestFit="1" customWidth="1"/>
    <col min="9997" max="9997" width="31.25" style="2" bestFit="1" customWidth="1"/>
    <col min="9998" max="9998" width="2" style="2" customWidth="1"/>
    <col min="9999" max="10242" width="9" style="2"/>
    <col min="10243" max="10251" width="9.625" style="2" customWidth="1"/>
    <col min="10252" max="10252" width="5.75" style="2" bestFit="1" customWidth="1"/>
    <col min="10253" max="10253" width="31.25" style="2" bestFit="1" customWidth="1"/>
    <col min="10254" max="10254" width="2" style="2" customWidth="1"/>
    <col min="10255" max="10498" width="9" style="2"/>
    <col min="10499" max="10507" width="9.625" style="2" customWidth="1"/>
    <col min="10508" max="10508" width="5.75" style="2" bestFit="1" customWidth="1"/>
    <col min="10509" max="10509" width="31.25" style="2" bestFit="1" customWidth="1"/>
    <col min="10510" max="10510" width="2" style="2" customWidth="1"/>
    <col min="10511" max="10754" width="9" style="2"/>
    <col min="10755" max="10763" width="9.625" style="2" customWidth="1"/>
    <col min="10764" max="10764" width="5.75" style="2" bestFit="1" customWidth="1"/>
    <col min="10765" max="10765" width="31.25" style="2" bestFit="1" customWidth="1"/>
    <col min="10766" max="10766" width="2" style="2" customWidth="1"/>
    <col min="10767" max="11010" width="9" style="2"/>
    <col min="11011" max="11019" width="9.625" style="2" customWidth="1"/>
    <col min="11020" max="11020" width="5.75" style="2" bestFit="1" customWidth="1"/>
    <col min="11021" max="11021" width="31.25" style="2" bestFit="1" customWidth="1"/>
    <col min="11022" max="11022" width="2" style="2" customWidth="1"/>
    <col min="11023" max="11266" width="9" style="2"/>
    <col min="11267" max="11275" width="9.625" style="2" customWidth="1"/>
    <col min="11276" max="11276" width="5.75" style="2" bestFit="1" customWidth="1"/>
    <col min="11277" max="11277" width="31.25" style="2" bestFit="1" customWidth="1"/>
    <col min="11278" max="11278" width="2" style="2" customWidth="1"/>
    <col min="11279" max="11522" width="9" style="2"/>
    <col min="11523" max="11531" width="9.625" style="2" customWidth="1"/>
    <col min="11532" max="11532" width="5.75" style="2" bestFit="1" customWidth="1"/>
    <col min="11533" max="11533" width="31.25" style="2" bestFit="1" customWidth="1"/>
    <col min="11534" max="11534" width="2" style="2" customWidth="1"/>
    <col min="11535" max="11778" width="9" style="2"/>
    <col min="11779" max="11787" width="9.625" style="2" customWidth="1"/>
    <col min="11788" max="11788" width="5.75" style="2" bestFit="1" customWidth="1"/>
    <col min="11789" max="11789" width="31.25" style="2" bestFit="1" customWidth="1"/>
    <col min="11790" max="11790" width="2" style="2" customWidth="1"/>
    <col min="11791" max="12034" width="9" style="2"/>
    <col min="12035" max="12043" width="9.625" style="2" customWidth="1"/>
    <col min="12044" max="12044" width="5.75" style="2" bestFit="1" customWidth="1"/>
    <col min="12045" max="12045" width="31.25" style="2" bestFit="1" customWidth="1"/>
    <col min="12046" max="12046" width="2" style="2" customWidth="1"/>
    <col min="12047" max="12290" width="9" style="2"/>
    <col min="12291" max="12299" width="9.625" style="2" customWidth="1"/>
    <col min="12300" max="12300" width="5.75" style="2" bestFit="1" customWidth="1"/>
    <col min="12301" max="12301" width="31.25" style="2" bestFit="1" customWidth="1"/>
    <col min="12302" max="12302" width="2" style="2" customWidth="1"/>
    <col min="12303" max="12546" width="9" style="2"/>
    <col min="12547" max="12555" width="9.625" style="2" customWidth="1"/>
    <col min="12556" max="12556" width="5.75" style="2" bestFit="1" customWidth="1"/>
    <col min="12557" max="12557" width="31.25" style="2" bestFit="1" customWidth="1"/>
    <col min="12558" max="12558" width="2" style="2" customWidth="1"/>
    <col min="12559" max="12802" width="9" style="2"/>
    <col min="12803" max="12811" width="9.625" style="2" customWidth="1"/>
    <col min="12812" max="12812" width="5.75" style="2" bestFit="1" customWidth="1"/>
    <col min="12813" max="12813" width="31.25" style="2" bestFit="1" customWidth="1"/>
    <col min="12814" max="12814" width="2" style="2" customWidth="1"/>
    <col min="12815" max="13058" width="9" style="2"/>
    <col min="13059" max="13067" width="9.625" style="2" customWidth="1"/>
    <col min="13068" max="13068" width="5.75" style="2" bestFit="1" customWidth="1"/>
    <col min="13069" max="13069" width="31.25" style="2" bestFit="1" customWidth="1"/>
    <col min="13070" max="13070" width="2" style="2" customWidth="1"/>
    <col min="13071" max="13314" width="9" style="2"/>
    <col min="13315" max="13323" width="9.625" style="2" customWidth="1"/>
    <col min="13324" max="13324" width="5.75" style="2" bestFit="1" customWidth="1"/>
    <col min="13325" max="13325" width="31.25" style="2" bestFit="1" customWidth="1"/>
    <col min="13326" max="13326" width="2" style="2" customWidth="1"/>
    <col min="13327" max="13570" width="9" style="2"/>
    <col min="13571" max="13579" width="9.625" style="2" customWidth="1"/>
    <col min="13580" max="13580" width="5.75" style="2" bestFit="1" customWidth="1"/>
    <col min="13581" max="13581" width="31.25" style="2" bestFit="1" customWidth="1"/>
    <col min="13582" max="13582" width="2" style="2" customWidth="1"/>
    <col min="13583" max="13826" width="9" style="2"/>
    <col min="13827" max="13835" width="9.625" style="2" customWidth="1"/>
    <col min="13836" max="13836" width="5.75" style="2" bestFit="1" customWidth="1"/>
    <col min="13837" max="13837" width="31.25" style="2" bestFit="1" customWidth="1"/>
    <col min="13838" max="13838" width="2" style="2" customWidth="1"/>
    <col min="13839" max="14082" width="9" style="2"/>
    <col min="14083" max="14091" width="9.625" style="2" customWidth="1"/>
    <col min="14092" max="14092" width="5.75" style="2" bestFit="1" customWidth="1"/>
    <col min="14093" max="14093" width="31.25" style="2" bestFit="1" customWidth="1"/>
    <col min="14094" max="14094" width="2" style="2" customWidth="1"/>
    <col min="14095" max="14338" width="9" style="2"/>
    <col min="14339" max="14347" width="9.625" style="2" customWidth="1"/>
    <col min="14348" max="14348" width="5.75" style="2" bestFit="1" customWidth="1"/>
    <col min="14349" max="14349" width="31.25" style="2" bestFit="1" customWidth="1"/>
    <col min="14350" max="14350" width="2" style="2" customWidth="1"/>
    <col min="14351" max="14594" width="9" style="2"/>
    <col min="14595" max="14603" width="9.625" style="2" customWidth="1"/>
    <col min="14604" max="14604" width="5.75" style="2" bestFit="1" customWidth="1"/>
    <col min="14605" max="14605" width="31.25" style="2" bestFit="1" customWidth="1"/>
    <col min="14606" max="14606" width="2" style="2" customWidth="1"/>
    <col min="14607" max="14850" width="9" style="2"/>
    <col min="14851" max="14859" width="9.625" style="2" customWidth="1"/>
    <col min="14860" max="14860" width="5.75" style="2" bestFit="1" customWidth="1"/>
    <col min="14861" max="14861" width="31.25" style="2" bestFit="1" customWidth="1"/>
    <col min="14862" max="14862" width="2" style="2" customWidth="1"/>
    <col min="14863" max="15106" width="9" style="2"/>
    <col min="15107" max="15115" width="9.625" style="2" customWidth="1"/>
    <col min="15116" max="15116" width="5.75" style="2" bestFit="1" customWidth="1"/>
    <col min="15117" max="15117" width="31.25" style="2" bestFit="1" customWidth="1"/>
    <col min="15118" max="15118" width="2" style="2" customWidth="1"/>
    <col min="15119" max="15362" width="9" style="2"/>
    <col min="15363" max="15371" width="9.625" style="2" customWidth="1"/>
    <col min="15372" max="15372" width="5.75" style="2" bestFit="1" customWidth="1"/>
    <col min="15373" max="15373" width="31.25" style="2" bestFit="1" customWidth="1"/>
    <col min="15374" max="15374" width="2" style="2" customWidth="1"/>
    <col min="15375" max="15618" width="9" style="2"/>
    <col min="15619" max="15627" width="9.625" style="2" customWidth="1"/>
    <col min="15628" max="15628" width="5.75" style="2" bestFit="1" customWidth="1"/>
    <col min="15629" max="15629" width="31.25" style="2" bestFit="1" customWidth="1"/>
    <col min="15630" max="15630" width="2" style="2" customWidth="1"/>
    <col min="15631" max="15874" width="9" style="2"/>
    <col min="15875" max="15883" width="9.625" style="2" customWidth="1"/>
    <col min="15884" max="15884" width="5.75" style="2" bestFit="1" customWidth="1"/>
    <col min="15885" max="15885" width="31.25" style="2" bestFit="1" customWidth="1"/>
    <col min="15886" max="15886" width="2" style="2" customWidth="1"/>
    <col min="15887" max="16130" width="9" style="2"/>
    <col min="16131" max="16139" width="9.625" style="2" customWidth="1"/>
    <col min="16140" max="16140" width="5.75" style="2" bestFit="1" customWidth="1"/>
    <col min="16141" max="16141" width="31.25" style="2" bestFit="1" customWidth="1"/>
    <col min="16142" max="16142" width="2" style="2" customWidth="1"/>
    <col min="16143" max="16383" width="9" style="2"/>
    <col min="16384" max="16384" width="9.125" style="2" customWidth="1"/>
  </cols>
  <sheetData>
    <row r="1" spans="3:14" ht="12.75" customHeight="1" x14ac:dyDescent="0.2">
      <c r="C1" s="501" t="s">
        <v>689</v>
      </c>
      <c r="D1" s="501"/>
      <c r="E1" s="501"/>
      <c r="F1" s="501"/>
      <c r="G1" s="501"/>
      <c r="H1" s="501"/>
      <c r="I1" s="501"/>
      <c r="J1" s="501"/>
      <c r="K1" s="501"/>
      <c r="L1" s="501"/>
      <c r="M1" s="501"/>
      <c r="N1" s="1"/>
    </row>
    <row r="2" spans="3:14" ht="12.75" customHeight="1" thickBot="1" x14ac:dyDescent="0.25">
      <c r="C2" s="502" t="s">
        <v>690</v>
      </c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1"/>
    </row>
    <row r="3" spans="3:14" ht="12.75" customHeight="1" thickBot="1" x14ac:dyDescent="0.25">
      <c r="C3" s="503" t="s">
        <v>4</v>
      </c>
      <c r="D3" s="503"/>
      <c r="E3" s="503"/>
      <c r="F3" s="503" t="s">
        <v>145</v>
      </c>
      <c r="G3" s="503"/>
      <c r="H3" s="503"/>
      <c r="I3" s="503" t="s">
        <v>146</v>
      </c>
      <c r="J3" s="503"/>
      <c r="K3" s="503"/>
      <c r="L3" s="555" t="s">
        <v>66</v>
      </c>
      <c r="M3" s="556"/>
      <c r="N3" s="1"/>
    </row>
    <row r="4" spans="3:14" ht="12.75" customHeight="1" thickBot="1" x14ac:dyDescent="0.25">
      <c r="C4" s="84" t="s">
        <v>227</v>
      </c>
      <c r="D4" s="84" t="s">
        <v>10</v>
      </c>
      <c r="E4" s="84" t="s">
        <v>9</v>
      </c>
      <c r="F4" s="84" t="s">
        <v>227</v>
      </c>
      <c r="G4" s="84" t="s">
        <v>10</v>
      </c>
      <c r="H4" s="84" t="s">
        <v>9</v>
      </c>
      <c r="I4" s="84" t="s">
        <v>227</v>
      </c>
      <c r="J4" s="84" t="s">
        <v>10</v>
      </c>
      <c r="K4" s="84" t="s">
        <v>9</v>
      </c>
      <c r="L4" s="557"/>
      <c r="M4" s="558"/>
      <c r="N4" s="1"/>
    </row>
    <row r="5" spans="3:14" ht="12.75" customHeight="1" thickBot="1" x14ac:dyDescent="0.25">
      <c r="C5" s="85">
        <f>SUM(D5:E5)</f>
        <v>7568</v>
      </c>
      <c r="D5" s="85">
        <f>J5+G5</f>
        <v>5035</v>
      </c>
      <c r="E5" s="85">
        <f>K5+H5</f>
        <v>2533</v>
      </c>
      <c r="F5" s="85">
        <f>SUM(G5:H5)</f>
        <v>115</v>
      </c>
      <c r="G5" s="85">
        <v>52</v>
      </c>
      <c r="H5" s="85">
        <v>63</v>
      </c>
      <c r="I5" s="85">
        <f>SUM(J5:K5)</f>
        <v>7453</v>
      </c>
      <c r="J5" s="85">
        <v>4983</v>
      </c>
      <c r="K5" s="85">
        <v>2470</v>
      </c>
      <c r="L5" s="107" t="s">
        <v>233</v>
      </c>
      <c r="M5" s="559" t="s">
        <v>68</v>
      </c>
      <c r="N5" s="1"/>
    </row>
    <row r="6" spans="3:14" ht="12.75" customHeight="1" thickBot="1" x14ac:dyDescent="0.25">
      <c r="C6" s="85">
        <f t="shared" ref="C6:C69" si="0">SUM(D6:E6)</f>
        <v>0</v>
      </c>
      <c r="D6" s="85">
        <f t="shared" ref="D6:E69" si="1">J6+G6</f>
        <v>0</v>
      </c>
      <c r="E6" s="85">
        <f t="shared" si="1"/>
        <v>0</v>
      </c>
      <c r="F6" s="85">
        <f t="shared" ref="F6:F69" si="2">SUM(G6:H6)</f>
        <v>0</v>
      </c>
      <c r="G6" s="85">
        <v>0</v>
      </c>
      <c r="H6" s="85">
        <v>0</v>
      </c>
      <c r="I6" s="85">
        <f t="shared" ref="I6:I69" si="3">SUM(J6:K6)</f>
        <v>0</v>
      </c>
      <c r="J6" s="85">
        <v>0</v>
      </c>
      <c r="K6" s="85">
        <v>0</v>
      </c>
      <c r="L6" s="107" t="s">
        <v>234</v>
      </c>
      <c r="M6" s="560"/>
      <c r="N6" s="1"/>
    </row>
    <row r="7" spans="3:14" ht="12.75" customHeight="1" thickBot="1" x14ac:dyDescent="0.25">
      <c r="C7" s="85">
        <f t="shared" ref="C7:J7" si="4">SUM(C5:C6)</f>
        <v>7568</v>
      </c>
      <c r="D7" s="85">
        <f t="shared" si="4"/>
        <v>5035</v>
      </c>
      <c r="E7" s="85">
        <f t="shared" si="4"/>
        <v>2533</v>
      </c>
      <c r="F7" s="85">
        <f t="shared" si="4"/>
        <v>115</v>
      </c>
      <c r="G7" s="85">
        <f t="shared" si="4"/>
        <v>52</v>
      </c>
      <c r="H7" s="85">
        <f t="shared" si="4"/>
        <v>63</v>
      </c>
      <c r="I7" s="85">
        <f t="shared" si="4"/>
        <v>7453</v>
      </c>
      <c r="J7" s="85">
        <f t="shared" si="4"/>
        <v>4983</v>
      </c>
      <c r="K7" s="85">
        <f>SUM(K5:K6)</f>
        <v>2470</v>
      </c>
      <c r="L7" s="107" t="s">
        <v>12</v>
      </c>
      <c r="M7" s="561"/>
      <c r="N7" s="1"/>
    </row>
    <row r="8" spans="3:14" ht="12.75" customHeight="1" thickBot="1" x14ac:dyDescent="0.25">
      <c r="C8" s="85">
        <f t="shared" si="0"/>
        <v>1053</v>
      </c>
      <c r="D8" s="85">
        <f t="shared" si="1"/>
        <v>0</v>
      </c>
      <c r="E8" s="85">
        <f t="shared" si="1"/>
        <v>1053</v>
      </c>
      <c r="F8" s="85">
        <f t="shared" si="2"/>
        <v>618</v>
      </c>
      <c r="G8" s="85">
        <v>0</v>
      </c>
      <c r="H8" s="85">
        <v>618</v>
      </c>
      <c r="I8" s="85">
        <f t="shared" si="3"/>
        <v>435</v>
      </c>
      <c r="J8" s="85">
        <v>0</v>
      </c>
      <c r="K8" s="85">
        <v>435</v>
      </c>
      <c r="L8" s="107" t="s">
        <v>233</v>
      </c>
      <c r="M8" s="559" t="s">
        <v>147</v>
      </c>
      <c r="N8" s="1"/>
    </row>
    <row r="9" spans="3:14" ht="12.75" customHeight="1" thickBot="1" x14ac:dyDescent="0.25">
      <c r="C9" s="85">
        <f t="shared" si="0"/>
        <v>0</v>
      </c>
      <c r="D9" s="85">
        <f t="shared" si="1"/>
        <v>0</v>
      </c>
      <c r="E9" s="85">
        <f t="shared" si="1"/>
        <v>0</v>
      </c>
      <c r="F9" s="85">
        <f t="shared" si="2"/>
        <v>0</v>
      </c>
      <c r="G9" s="85">
        <v>0</v>
      </c>
      <c r="H9" s="85">
        <v>0</v>
      </c>
      <c r="I9" s="85">
        <f t="shared" si="3"/>
        <v>0</v>
      </c>
      <c r="J9" s="85">
        <v>0</v>
      </c>
      <c r="K9" s="85">
        <v>0</v>
      </c>
      <c r="L9" s="107" t="s">
        <v>234</v>
      </c>
      <c r="M9" s="560"/>
      <c r="N9" s="1"/>
    </row>
    <row r="10" spans="3:14" ht="12.75" customHeight="1" thickBot="1" x14ac:dyDescent="0.25">
      <c r="C10" s="85">
        <f t="shared" ref="C10:J10" si="5">SUM(C8:C9)</f>
        <v>1053</v>
      </c>
      <c r="D10" s="85">
        <f t="shared" si="5"/>
        <v>0</v>
      </c>
      <c r="E10" s="85">
        <f t="shared" si="5"/>
        <v>1053</v>
      </c>
      <c r="F10" s="85">
        <f t="shared" si="5"/>
        <v>618</v>
      </c>
      <c r="G10" s="85">
        <f t="shared" si="5"/>
        <v>0</v>
      </c>
      <c r="H10" s="85">
        <f t="shared" si="5"/>
        <v>618</v>
      </c>
      <c r="I10" s="85">
        <f t="shared" si="5"/>
        <v>435</v>
      </c>
      <c r="J10" s="85">
        <f t="shared" si="5"/>
        <v>0</v>
      </c>
      <c r="K10" s="85">
        <f>SUM(K8:K9)</f>
        <v>435</v>
      </c>
      <c r="L10" s="107" t="s">
        <v>12</v>
      </c>
      <c r="M10" s="561"/>
      <c r="N10" s="1"/>
    </row>
    <row r="11" spans="3:14" ht="12.75" customHeight="1" thickBot="1" x14ac:dyDescent="0.25">
      <c r="C11" s="85">
        <f t="shared" si="0"/>
        <v>3214</v>
      </c>
      <c r="D11" s="85">
        <f t="shared" si="1"/>
        <v>1567</v>
      </c>
      <c r="E11" s="85">
        <f t="shared" si="1"/>
        <v>1647</v>
      </c>
      <c r="F11" s="85">
        <f t="shared" si="2"/>
        <v>80</v>
      </c>
      <c r="G11" s="85">
        <v>26</v>
      </c>
      <c r="H11" s="85">
        <v>54</v>
      </c>
      <c r="I11" s="85">
        <f t="shared" si="3"/>
        <v>3134</v>
      </c>
      <c r="J11" s="85">
        <v>1541</v>
      </c>
      <c r="K11" s="85">
        <v>1593</v>
      </c>
      <c r="L11" s="107" t="s">
        <v>233</v>
      </c>
      <c r="M11" s="559" t="s">
        <v>70</v>
      </c>
      <c r="N11" s="1"/>
    </row>
    <row r="12" spans="3:14" ht="12.75" customHeight="1" thickBot="1" x14ac:dyDescent="0.25">
      <c r="C12" s="85">
        <f t="shared" si="0"/>
        <v>476</v>
      </c>
      <c r="D12" s="85">
        <f t="shared" si="1"/>
        <v>140</v>
      </c>
      <c r="E12" s="85">
        <f t="shared" si="1"/>
        <v>336</v>
      </c>
      <c r="F12" s="85">
        <f t="shared" si="2"/>
        <v>3</v>
      </c>
      <c r="G12" s="85">
        <v>1</v>
      </c>
      <c r="H12" s="85">
        <v>2</v>
      </c>
      <c r="I12" s="85">
        <f t="shared" si="3"/>
        <v>473</v>
      </c>
      <c r="J12" s="85">
        <v>139</v>
      </c>
      <c r="K12" s="85">
        <v>334</v>
      </c>
      <c r="L12" s="107" t="s">
        <v>234</v>
      </c>
      <c r="M12" s="560"/>
      <c r="N12" s="1"/>
    </row>
    <row r="13" spans="3:14" ht="12.75" customHeight="1" thickBot="1" x14ac:dyDescent="0.25">
      <c r="C13" s="85">
        <f t="shared" ref="C13:J13" si="6">SUM(C11:C12)</f>
        <v>3690</v>
      </c>
      <c r="D13" s="85">
        <f t="shared" si="6"/>
        <v>1707</v>
      </c>
      <c r="E13" s="85">
        <f t="shared" si="6"/>
        <v>1983</v>
      </c>
      <c r="F13" s="85">
        <f t="shared" si="6"/>
        <v>83</v>
      </c>
      <c r="G13" s="85">
        <f t="shared" si="6"/>
        <v>27</v>
      </c>
      <c r="H13" s="85">
        <f t="shared" si="6"/>
        <v>56</v>
      </c>
      <c r="I13" s="85">
        <f t="shared" si="6"/>
        <v>3607</v>
      </c>
      <c r="J13" s="85">
        <f t="shared" si="6"/>
        <v>1680</v>
      </c>
      <c r="K13" s="85">
        <f>SUM(K11:K12)</f>
        <v>1927</v>
      </c>
      <c r="L13" s="107" t="s">
        <v>12</v>
      </c>
      <c r="M13" s="561"/>
      <c r="N13" s="1"/>
    </row>
    <row r="14" spans="3:14" ht="12.75" customHeight="1" thickBot="1" x14ac:dyDescent="0.25">
      <c r="C14" s="85">
        <f t="shared" si="0"/>
        <v>8104</v>
      </c>
      <c r="D14" s="85">
        <f t="shared" si="1"/>
        <v>3955</v>
      </c>
      <c r="E14" s="85">
        <f t="shared" si="1"/>
        <v>4149</v>
      </c>
      <c r="F14" s="85">
        <f t="shared" si="2"/>
        <v>181</v>
      </c>
      <c r="G14" s="85">
        <v>100</v>
      </c>
      <c r="H14" s="85">
        <v>81</v>
      </c>
      <c r="I14" s="85">
        <f t="shared" si="3"/>
        <v>7923</v>
      </c>
      <c r="J14" s="85">
        <v>3855</v>
      </c>
      <c r="K14" s="85">
        <v>4068</v>
      </c>
      <c r="L14" s="107" t="s">
        <v>233</v>
      </c>
      <c r="M14" s="559" t="s">
        <v>72</v>
      </c>
      <c r="N14" s="1"/>
    </row>
    <row r="15" spans="3:14" ht="12.75" customHeight="1" thickBot="1" x14ac:dyDescent="0.25">
      <c r="C15" s="85">
        <f t="shared" si="0"/>
        <v>0</v>
      </c>
      <c r="D15" s="85">
        <f t="shared" si="1"/>
        <v>0</v>
      </c>
      <c r="E15" s="85">
        <f t="shared" si="1"/>
        <v>0</v>
      </c>
      <c r="F15" s="85">
        <f t="shared" si="2"/>
        <v>0</v>
      </c>
      <c r="G15" s="85">
        <v>0</v>
      </c>
      <c r="H15" s="85">
        <v>0</v>
      </c>
      <c r="I15" s="85">
        <f t="shared" si="3"/>
        <v>0</v>
      </c>
      <c r="J15" s="85">
        <v>0</v>
      </c>
      <c r="K15" s="85">
        <v>0</v>
      </c>
      <c r="L15" s="107" t="s">
        <v>234</v>
      </c>
      <c r="M15" s="560"/>
      <c r="N15" s="1"/>
    </row>
    <row r="16" spans="3:14" ht="12.75" customHeight="1" thickBot="1" x14ac:dyDescent="0.25">
      <c r="C16" s="85">
        <f t="shared" ref="C16:J16" si="7">SUM(C14:C15)</f>
        <v>8104</v>
      </c>
      <c r="D16" s="85">
        <f t="shared" si="7"/>
        <v>3955</v>
      </c>
      <c r="E16" s="85">
        <f t="shared" si="7"/>
        <v>4149</v>
      </c>
      <c r="F16" s="85">
        <f t="shared" si="7"/>
        <v>181</v>
      </c>
      <c r="G16" s="85">
        <f t="shared" si="7"/>
        <v>100</v>
      </c>
      <c r="H16" s="85">
        <f t="shared" si="7"/>
        <v>81</v>
      </c>
      <c r="I16" s="85">
        <f t="shared" si="7"/>
        <v>7923</v>
      </c>
      <c r="J16" s="85">
        <f t="shared" si="7"/>
        <v>3855</v>
      </c>
      <c r="K16" s="85">
        <f>SUM(K14:K15)</f>
        <v>4068</v>
      </c>
      <c r="L16" s="107" t="s">
        <v>12</v>
      </c>
      <c r="M16" s="561"/>
      <c r="N16" s="1"/>
    </row>
    <row r="17" spans="3:14" ht="12.75" customHeight="1" thickBot="1" x14ac:dyDescent="0.25">
      <c r="C17" s="85">
        <f t="shared" si="0"/>
        <v>8873</v>
      </c>
      <c r="D17" s="85">
        <f t="shared" si="1"/>
        <v>5875</v>
      </c>
      <c r="E17" s="85">
        <f t="shared" si="1"/>
        <v>2998</v>
      </c>
      <c r="F17" s="85">
        <f t="shared" si="2"/>
        <v>294</v>
      </c>
      <c r="G17" s="85">
        <v>205</v>
      </c>
      <c r="H17" s="85">
        <v>89</v>
      </c>
      <c r="I17" s="85">
        <f t="shared" si="3"/>
        <v>8579</v>
      </c>
      <c r="J17" s="85">
        <v>5670</v>
      </c>
      <c r="K17" s="85">
        <v>2909</v>
      </c>
      <c r="L17" s="107" t="s">
        <v>233</v>
      </c>
      <c r="M17" s="559" t="s">
        <v>73</v>
      </c>
      <c r="N17" s="1"/>
    </row>
    <row r="18" spans="3:14" ht="12.75" customHeight="1" thickBot="1" x14ac:dyDescent="0.25">
      <c r="C18" s="85">
        <f t="shared" si="0"/>
        <v>2541</v>
      </c>
      <c r="D18" s="85">
        <f t="shared" si="1"/>
        <v>926</v>
      </c>
      <c r="E18" s="85">
        <f t="shared" si="1"/>
        <v>1615</v>
      </c>
      <c r="F18" s="85">
        <f t="shared" si="2"/>
        <v>251</v>
      </c>
      <c r="G18" s="85">
        <v>211</v>
      </c>
      <c r="H18" s="85">
        <v>40</v>
      </c>
      <c r="I18" s="85">
        <f t="shared" si="3"/>
        <v>2290</v>
      </c>
      <c r="J18" s="85">
        <v>715</v>
      </c>
      <c r="K18" s="85">
        <v>1575</v>
      </c>
      <c r="L18" s="107" t="s">
        <v>234</v>
      </c>
      <c r="M18" s="560"/>
      <c r="N18" s="1"/>
    </row>
    <row r="19" spans="3:14" ht="12.75" customHeight="1" thickBot="1" x14ac:dyDescent="0.25">
      <c r="C19" s="85">
        <f t="shared" ref="C19:J19" si="8">SUM(C17:C18)</f>
        <v>11414</v>
      </c>
      <c r="D19" s="85">
        <f t="shared" si="8"/>
        <v>6801</v>
      </c>
      <c r="E19" s="85">
        <f t="shared" si="8"/>
        <v>4613</v>
      </c>
      <c r="F19" s="85">
        <f t="shared" si="8"/>
        <v>545</v>
      </c>
      <c r="G19" s="85">
        <f t="shared" si="8"/>
        <v>416</v>
      </c>
      <c r="H19" s="85">
        <f t="shared" si="8"/>
        <v>129</v>
      </c>
      <c r="I19" s="85">
        <f t="shared" si="8"/>
        <v>10869</v>
      </c>
      <c r="J19" s="85">
        <f t="shared" si="8"/>
        <v>6385</v>
      </c>
      <c r="K19" s="85">
        <f>SUM(K17:K18)</f>
        <v>4484</v>
      </c>
      <c r="L19" s="107" t="s">
        <v>12</v>
      </c>
      <c r="M19" s="561"/>
      <c r="N19" s="1"/>
    </row>
    <row r="20" spans="3:14" ht="12.75" customHeight="1" thickBot="1" x14ac:dyDescent="0.25">
      <c r="C20" s="85">
        <f t="shared" si="0"/>
        <v>981</v>
      </c>
      <c r="D20" s="85">
        <f t="shared" si="1"/>
        <v>0</v>
      </c>
      <c r="E20" s="85">
        <f t="shared" si="1"/>
        <v>981</v>
      </c>
      <c r="F20" s="85">
        <f t="shared" si="2"/>
        <v>75</v>
      </c>
      <c r="G20" s="85">
        <v>0</v>
      </c>
      <c r="H20" s="85">
        <v>75</v>
      </c>
      <c r="I20" s="85">
        <f t="shared" si="3"/>
        <v>906</v>
      </c>
      <c r="J20" s="85">
        <v>0</v>
      </c>
      <c r="K20" s="85">
        <v>906</v>
      </c>
      <c r="L20" s="107" t="s">
        <v>233</v>
      </c>
      <c r="M20" s="559" t="s">
        <v>90</v>
      </c>
      <c r="N20" s="1"/>
    </row>
    <row r="21" spans="3:14" ht="12.75" customHeight="1" thickBot="1" x14ac:dyDescent="0.25">
      <c r="C21" s="85">
        <f t="shared" si="0"/>
        <v>0</v>
      </c>
      <c r="D21" s="85">
        <f t="shared" si="1"/>
        <v>0</v>
      </c>
      <c r="E21" s="85">
        <f t="shared" si="1"/>
        <v>0</v>
      </c>
      <c r="F21" s="85">
        <f t="shared" si="2"/>
        <v>0</v>
      </c>
      <c r="G21" s="85">
        <v>0</v>
      </c>
      <c r="H21" s="85">
        <v>0</v>
      </c>
      <c r="I21" s="85">
        <f t="shared" si="3"/>
        <v>0</v>
      </c>
      <c r="J21" s="85">
        <v>0</v>
      </c>
      <c r="K21" s="85">
        <v>0</v>
      </c>
      <c r="L21" s="107" t="s">
        <v>234</v>
      </c>
      <c r="M21" s="560"/>
      <c r="N21" s="1"/>
    </row>
    <row r="22" spans="3:14" ht="12.75" customHeight="1" thickBot="1" x14ac:dyDescent="0.25">
      <c r="C22" s="85">
        <f t="shared" ref="C22:J22" si="9">SUM(C20:C21)</f>
        <v>981</v>
      </c>
      <c r="D22" s="85">
        <f t="shared" si="9"/>
        <v>0</v>
      </c>
      <c r="E22" s="85">
        <f t="shared" si="9"/>
        <v>981</v>
      </c>
      <c r="F22" s="85">
        <f t="shared" si="9"/>
        <v>75</v>
      </c>
      <c r="G22" s="85">
        <f t="shared" si="9"/>
        <v>0</v>
      </c>
      <c r="H22" s="85">
        <f t="shared" si="9"/>
        <v>75</v>
      </c>
      <c r="I22" s="85">
        <f t="shared" si="9"/>
        <v>906</v>
      </c>
      <c r="J22" s="85">
        <f t="shared" si="9"/>
        <v>0</v>
      </c>
      <c r="K22" s="85">
        <f>SUM(K20:K21)</f>
        <v>906</v>
      </c>
      <c r="L22" s="107" t="s">
        <v>12</v>
      </c>
      <c r="M22" s="561"/>
      <c r="N22" s="1"/>
    </row>
    <row r="23" spans="3:14" ht="12.75" customHeight="1" thickBot="1" x14ac:dyDescent="0.25">
      <c r="C23" s="85">
        <f t="shared" si="0"/>
        <v>7720</v>
      </c>
      <c r="D23" s="85">
        <f t="shared" si="1"/>
        <v>6061</v>
      </c>
      <c r="E23" s="85">
        <f t="shared" si="1"/>
        <v>1659</v>
      </c>
      <c r="F23" s="85">
        <f t="shared" si="2"/>
        <v>77</v>
      </c>
      <c r="G23" s="85">
        <v>52</v>
      </c>
      <c r="H23" s="85">
        <v>25</v>
      </c>
      <c r="I23" s="85">
        <f t="shared" si="3"/>
        <v>7643</v>
      </c>
      <c r="J23" s="85">
        <v>6009</v>
      </c>
      <c r="K23" s="85">
        <v>1634</v>
      </c>
      <c r="L23" s="107" t="s">
        <v>233</v>
      </c>
      <c r="M23" s="559" t="s">
        <v>74</v>
      </c>
      <c r="N23" s="1"/>
    </row>
    <row r="24" spans="3:14" ht="12.75" customHeight="1" thickBot="1" x14ac:dyDescent="0.25">
      <c r="C24" s="85">
        <f t="shared" si="0"/>
        <v>302</v>
      </c>
      <c r="D24" s="85">
        <f t="shared" si="1"/>
        <v>302</v>
      </c>
      <c r="E24" s="85">
        <f t="shared" si="1"/>
        <v>0</v>
      </c>
      <c r="F24" s="85">
        <f t="shared" si="2"/>
        <v>0</v>
      </c>
      <c r="G24" s="85">
        <v>0</v>
      </c>
      <c r="H24" s="85">
        <v>0</v>
      </c>
      <c r="I24" s="85">
        <f t="shared" si="3"/>
        <v>302</v>
      </c>
      <c r="J24" s="85">
        <v>302</v>
      </c>
      <c r="K24" s="85">
        <v>0</v>
      </c>
      <c r="L24" s="107" t="s">
        <v>234</v>
      </c>
      <c r="M24" s="560"/>
      <c r="N24" s="1"/>
    </row>
    <row r="25" spans="3:14" ht="12.75" customHeight="1" thickBot="1" x14ac:dyDescent="0.25">
      <c r="C25" s="85">
        <f t="shared" ref="C25:J25" si="10">SUM(C23:C24)</f>
        <v>8022</v>
      </c>
      <c r="D25" s="85">
        <f t="shared" si="10"/>
        <v>6363</v>
      </c>
      <c r="E25" s="85">
        <f t="shared" si="10"/>
        <v>1659</v>
      </c>
      <c r="F25" s="85">
        <f t="shared" si="10"/>
        <v>77</v>
      </c>
      <c r="G25" s="85">
        <f t="shared" si="10"/>
        <v>52</v>
      </c>
      <c r="H25" s="85">
        <f t="shared" si="10"/>
        <v>25</v>
      </c>
      <c r="I25" s="85">
        <f t="shared" si="10"/>
        <v>7945</v>
      </c>
      <c r="J25" s="85">
        <f t="shared" si="10"/>
        <v>6311</v>
      </c>
      <c r="K25" s="85">
        <f>SUM(K23:K24)</f>
        <v>1634</v>
      </c>
      <c r="L25" s="107" t="s">
        <v>12</v>
      </c>
      <c r="M25" s="561"/>
      <c r="N25" s="1"/>
    </row>
    <row r="26" spans="3:14" ht="12.75" customHeight="1" thickBot="1" x14ac:dyDescent="0.25">
      <c r="C26" s="85">
        <f t="shared" si="0"/>
        <v>6499</v>
      </c>
      <c r="D26" s="85">
        <f t="shared" si="1"/>
        <v>4234</v>
      </c>
      <c r="E26" s="85">
        <f t="shared" si="1"/>
        <v>2265</v>
      </c>
      <c r="F26" s="85">
        <f t="shared" si="2"/>
        <v>25</v>
      </c>
      <c r="G26" s="85">
        <v>4</v>
      </c>
      <c r="H26" s="85">
        <v>21</v>
      </c>
      <c r="I26" s="85">
        <f t="shared" si="3"/>
        <v>6474</v>
      </c>
      <c r="J26" s="85">
        <v>4230</v>
      </c>
      <c r="K26" s="85">
        <v>2244</v>
      </c>
      <c r="L26" s="107" t="s">
        <v>233</v>
      </c>
      <c r="M26" s="559" t="s">
        <v>75</v>
      </c>
      <c r="N26" s="1"/>
    </row>
    <row r="27" spans="3:14" ht="12.75" customHeight="1" thickBot="1" x14ac:dyDescent="0.25">
      <c r="C27" s="85">
        <f t="shared" si="0"/>
        <v>301</v>
      </c>
      <c r="D27" s="85">
        <f t="shared" si="1"/>
        <v>301</v>
      </c>
      <c r="E27" s="85">
        <f t="shared" si="1"/>
        <v>0</v>
      </c>
      <c r="F27" s="85">
        <f t="shared" si="2"/>
        <v>0</v>
      </c>
      <c r="G27" s="85">
        <v>0</v>
      </c>
      <c r="H27" s="85">
        <v>0</v>
      </c>
      <c r="I27" s="85">
        <f t="shared" si="3"/>
        <v>301</v>
      </c>
      <c r="J27" s="85">
        <v>301</v>
      </c>
      <c r="K27" s="85">
        <v>0</v>
      </c>
      <c r="L27" s="107" t="s">
        <v>234</v>
      </c>
      <c r="M27" s="560"/>
      <c r="N27" s="1"/>
    </row>
    <row r="28" spans="3:14" ht="12.75" customHeight="1" thickBot="1" x14ac:dyDescent="0.25">
      <c r="C28" s="85">
        <f t="shared" ref="C28:J28" si="11">SUM(C26:C27)</f>
        <v>6800</v>
      </c>
      <c r="D28" s="85">
        <f t="shared" si="11"/>
        <v>4535</v>
      </c>
      <c r="E28" s="85">
        <f t="shared" si="11"/>
        <v>2265</v>
      </c>
      <c r="F28" s="85">
        <f t="shared" si="11"/>
        <v>25</v>
      </c>
      <c r="G28" s="85">
        <f t="shared" si="11"/>
        <v>4</v>
      </c>
      <c r="H28" s="85">
        <f t="shared" si="11"/>
        <v>21</v>
      </c>
      <c r="I28" s="85">
        <f t="shared" si="11"/>
        <v>6775</v>
      </c>
      <c r="J28" s="85">
        <f t="shared" si="11"/>
        <v>4531</v>
      </c>
      <c r="K28" s="85">
        <f>SUM(K26:K27)</f>
        <v>2244</v>
      </c>
      <c r="L28" s="107" t="s">
        <v>12</v>
      </c>
      <c r="M28" s="561"/>
      <c r="N28" s="1"/>
    </row>
    <row r="29" spans="3:14" ht="12.75" customHeight="1" thickBot="1" x14ac:dyDescent="0.25">
      <c r="C29" s="85">
        <f t="shared" si="0"/>
        <v>5576</v>
      </c>
      <c r="D29" s="85">
        <f t="shared" si="1"/>
        <v>3503</v>
      </c>
      <c r="E29" s="85">
        <f t="shared" si="1"/>
        <v>2073</v>
      </c>
      <c r="F29" s="85">
        <f t="shared" si="2"/>
        <v>7</v>
      </c>
      <c r="G29" s="85">
        <v>3</v>
      </c>
      <c r="H29" s="85">
        <v>4</v>
      </c>
      <c r="I29" s="85">
        <f t="shared" si="3"/>
        <v>5569</v>
      </c>
      <c r="J29" s="85">
        <v>3500</v>
      </c>
      <c r="K29" s="85">
        <v>2069</v>
      </c>
      <c r="L29" s="107" t="s">
        <v>233</v>
      </c>
      <c r="M29" s="559" t="s">
        <v>100</v>
      </c>
      <c r="N29" s="1"/>
    </row>
    <row r="30" spans="3:14" ht="12.75" customHeight="1" thickBot="1" x14ac:dyDescent="0.25">
      <c r="C30" s="85">
        <f t="shared" si="0"/>
        <v>7</v>
      </c>
      <c r="D30" s="85">
        <f t="shared" si="1"/>
        <v>0</v>
      </c>
      <c r="E30" s="85">
        <f t="shared" si="1"/>
        <v>7</v>
      </c>
      <c r="F30" s="85">
        <f t="shared" si="2"/>
        <v>0</v>
      </c>
      <c r="G30" s="85">
        <v>0</v>
      </c>
      <c r="H30" s="85">
        <v>0</v>
      </c>
      <c r="I30" s="85">
        <f t="shared" si="3"/>
        <v>7</v>
      </c>
      <c r="J30" s="85">
        <v>0</v>
      </c>
      <c r="K30" s="85">
        <v>7</v>
      </c>
      <c r="L30" s="107" t="s">
        <v>234</v>
      </c>
      <c r="M30" s="560"/>
      <c r="N30" s="1"/>
    </row>
    <row r="31" spans="3:14" ht="12.75" customHeight="1" thickBot="1" x14ac:dyDescent="0.25">
      <c r="C31" s="85">
        <f t="shared" ref="C31:J31" si="12">SUM(C29:C30)</f>
        <v>5583</v>
      </c>
      <c r="D31" s="85">
        <f t="shared" si="12"/>
        <v>3503</v>
      </c>
      <c r="E31" s="85">
        <f t="shared" si="12"/>
        <v>2080</v>
      </c>
      <c r="F31" s="85">
        <f t="shared" si="12"/>
        <v>7</v>
      </c>
      <c r="G31" s="85">
        <f t="shared" si="12"/>
        <v>3</v>
      </c>
      <c r="H31" s="85">
        <f t="shared" si="12"/>
        <v>4</v>
      </c>
      <c r="I31" s="85">
        <f t="shared" si="12"/>
        <v>5576</v>
      </c>
      <c r="J31" s="85">
        <f t="shared" si="12"/>
        <v>3500</v>
      </c>
      <c r="K31" s="85">
        <f>SUM(K29:K30)</f>
        <v>2076</v>
      </c>
      <c r="L31" s="107" t="s">
        <v>12</v>
      </c>
      <c r="M31" s="561"/>
      <c r="N31" s="1"/>
    </row>
    <row r="32" spans="3:14" ht="12.75" customHeight="1" thickBot="1" x14ac:dyDescent="0.25">
      <c r="C32" s="85">
        <f t="shared" si="0"/>
        <v>5867</v>
      </c>
      <c r="D32" s="85">
        <f t="shared" si="1"/>
        <v>4463</v>
      </c>
      <c r="E32" s="85">
        <f t="shared" si="1"/>
        <v>1404</v>
      </c>
      <c r="F32" s="85">
        <f t="shared" si="2"/>
        <v>25</v>
      </c>
      <c r="G32" s="85">
        <v>22</v>
      </c>
      <c r="H32" s="85">
        <v>3</v>
      </c>
      <c r="I32" s="85">
        <f t="shared" si="3"/>
        <v>5842</v>
      </c>
      <c r="J32" s="85">
        <v>4441</v>
      </c>
      <c r="K32" s="85">
        <v>1401</v>
      </c>
      <c r="L32" s="107" t="s">
        <v>233</v>
      </c>
      <c r="M32" s="559" t="s">
        <v>76</v>
      </c>
      <c r="N32" s="1"/>
    </row>
    <row r="33" spans="3:14" ht="12.75" customHeight="1" thickBot="1" x14ac:dyDescent="0.25">
      <c r="C33" s="85">
        <f t="shared" si="0"/>
        <v>482</v>
      </c>
      <c r="D33" s="85">
        <f t="shared" si="1"/>
        <v>465</v>
      </c>
      <c r="E33" s="85">
        <f t="shared" si="1"/>
        <v>17</v>
      </c>
      <c r="F33" s="85">
        <f t="shared" si="2"/>
        <v>0</v>
      </c>
      <c r="G33" s="85">
        <v>0</v>
      </c>
      <c r="H33" s="85">
        <v>0</v>
      </c>
      <c r="I33" s="85">
        <f t="shared" si="3"/>
        <v>482</v>
      </c>
      <c r="J33" s="85">
        <v>465</v>
      </c>
      <c r="K33" s="85">
        <v>17</v>
      </c>
      <c r="L33" s="107" t="s">
        <v>234</v>
      </c>
      <c r="M33" s="560"/>
      <c r="N33" s="1"/>
    </row>
    <row r="34" spans="3:14" ht="12.75" customHeight="1" thickBot="1" x14ac:dyDescent="0.25">
      <c r="C34" s="85">
        <f t="shared" ref="C34:J34" si="13">SUM(C32:C33)</f>
        <v>6349</v>
      </c>
      <c r="D34" s="85">
        <f t="shared" si="13"/>
        <v>4928</v>
      </c>
      <c r="E34" s="85">
        <f t="shared" si="13"/>
        <v>1421</v>
      </c>
      <c r="F34" s="85">
        <f t="shared" si="13"/>
        <v>25</v>
      </c>
      <c r="G34" s="85">
        <f t="shared" si="13"/>
        <v>22</v>
      </c>
      <c r="H34" s="85">
        <f t="shared" si="13"/>
        <v>3</v>
      </c>
      <c r="I34" s="85">
        <f t="shared" si="13"/>
        <v>6324</v>
      </c>
      <c r="J34" s="85">
        <f t="shared" si="13"/>
        <v>4906</v>
      </c>
      <c r="K34" s="85">
        <f>SUM(K32:K33)</f>
        <v>1418</v>
      </c>
      <c r="L34" s="107" t="s">
        <v>12</v>
      </c>
      <c r="M34" s="561"/>
      <c r="N34" s="1"/>
    </row>
    <row r="35" spans="3:14" ht="12.75" customHeight="1" thickBot="1" x14ac:dyDescent="0.25">
      <c r="C35" s="85">
        <f t="shared" si="0"/>
        <v>4680</v>
      </c>
      <c r="D35" s="85">
        <f t="shared" si="1"/>
        <v>3116</v>
      </c>
      <c r="E35" s="85">
        <f t="shared" si="1"/>
        <v>1564</v>
      </c>
      <c r="F35" s="85">
        <f t="shared" si="2"/>
        <v>21</v>
      </c>
      <c r="G35" s="85">
        <v>17</v>
      </c>
      <c r="H35" s="85">
        <v>4</v>
      </c>
      <c r="I35" s="85">
        <f t="shared" si="3"/>
        <v>4659</v>
      </c>
      <c r="J35" s="85">
        <v>3099</v>
      </c>
      <c r="K35" s="85">
        <v>1560</v>
      </c>
      <c r="L35" s="107" t="s">
        <v>233</v>
      </c>
      <c r="M35" s="559" t="s">
        <v>77</v>
      </c>
      <c r="N35" s="1"/>
    </row>
    <row r="36" spans="3:14" ht="12.75" customHeight="1" thickBot="1" x14ac:dyDescent="0.25">
      <c r="C36" s="85">
        <f t="shared" si="0"/>
        <v>0</v>
      </c>
      <c r="D36" s="85">
        <f t="shared" si="1"/>
        <v>0</v>
      </c>
      <c r="E36" s="85">
        <f t="shared" si="1"/>
        <v>0</v>
      </c>
      <c r="F36" s="85">
        <f t="shared" si="2"/>
        <v>0</v>
      </c>
      <c r="G36" s="85">
        <v>0</v>
      </c>
      <c r="H36" s="85">
        <v>0</v>
      </c>
      <c r="I36" s="85">
        <f t="shared" si="3"/>
        <v>0</v>
      </c>
      <c r="J36" s="85">
        <v>0</v>
      </c>
      <c r="K36" s="85">
        <v>0</v>
      </c>
      <c r="L36" s="107" t="s">
        <v>234</v>
      </c>
      <c r="M36" s="560"/>
      <c r="N36" s="1"/>
    </row>
    <row r="37" spans="3:14" ht="12.75" customHeight="1" thickBot="1" x14ac:dyDescent="0.25">
      <c r="C37" s="85">
        <f t="shared" ref="C37:J37" si="14">SUM(C35:C36)</f>
        <v>4680</v>
      </c>
      <c r="D37" s="85">
        <f t="shared" si="14"/>
        <v>3116</v>
      </c>
      <c r="E37" s="85">
        <f t="shared" si="14"/>
        <v>1564</v>
      </c>
      <c r="F37" s="85">
        <f t="shared" si="14"/>
        <v>21</v>
      </c>
      <c r="G37" s="85">
        <f t="shared" si="14"/>
        <v>17</v>
      </c>
      <c r="H37" s="85">
        <f t="shared" si="14"/>
        <v>4</v>
      </c>
      <c r="I37" s="85">
        <f t="shared" si="14"/>
        <v>4659</v>
      </c>
      <c r="J37" s="85">
        <f t="shared" si="14"/>
        <v>3099</v>
      </c>
      <c r="K37" s="85">
        <f>SUM(K35:K36)</f>
        <v>1560</v>
      </c>
      <c r="L37" s="107" t="s">
        <v>12</v>
      </c>
      <c r="M37" s="561"/>
      <c r="N37" s="1"/>
    </row>
    <row r="38" spans="3:14" ht="12.75" customHeight="1" thickBot="1" x14ac:dyDescent="0.25">
      <c r="C38" s="85">
        <f t="shared" si="0"/>
        <v>109</v>
      </c>
      <c r="D38" s="85">
        <f t="shared" si="1"/>
        <v>85</v>
      </c>
      <c r="E38" s="85">
        <f t="shared" si="1"/>
        <v>24</v>
      </c>
      <c r="F38" s="85">
        <f t="shared" si="2"/>
        <v>0</v>
      </c>
      <c r="G38" s="85">
        <v>0</v>
      </c>
      <c r="H38" s="85">
        <v>0</v>
      </c>
      <c r="I38" s="85">
        <f t="shared" si="3"/>
        <v>109</v>
      </c>
      <c r="J38" s="85">
        <v>85</v>
      </c>
      <c r="K38" s="85">
        <v>24</v>
      </c>
      <c r="L38" s="107" t="s">
        <v>233</v>
      </c>
      <c r="M38" s="559" t="s">
        <v>148</v>
      </c>
      <c r="N38" s="1"/>
    </row>
    <row r="39" spans="3:14" ht="12.75" customHeight="1" thickBot="1" x14ac:dyDescent="0.25">
      <c r="C39" s="85">
        <f t="shared" si="0"/>
        <v>0</v>
      </c>
      <c r="D39" s="85">
        <f t="shared" si="1"/>
        <v>0</v>
      </c>
      <c r="E39" s="85">
        <f t="shared" si="1"/>
        <v>0</v>
      </c>
      <c r="F39" s="85">
        <f t="shared" si="2"/>
        <v>0</v>
      </c>
      <c r="G39" s="85">
        <v>0</v>
      </c>
      <c r="H39" s="85">
        <v>0</v>
      </c>
      <c r="I39" s="85">
        <f t="shared" si="3"/>
        <v>0</v>
      </c>
      <c r="J39" s="85">
        <v>0</v>
      </c>
      <c r="K39" s="85">
        <v>0</v>
      </c>
      <c r="L39" s="107" t="s">
        <v>234</v>
      </c>
      <c r="M39" s="560"/>
      <c r="N39" s="1"/>
    </row>
    <row r="40" spans="3:14" ht="12.75" customHeight="1" thickBot="1" x14ac:dyDescent="0.25">
      <c r="C40" s="85">
        <f t="shared" ref="C40:J40" si="15">SUM(C38:C39)</f>
        <v>109</v>
      </c>
      <c r="D40" s="85">
        <f t="shared" si="15"/>
        <v>85</v>
      </c>
      <c r="E40" s="85">
        <f t="shared" si="15"/>
        <v>24</v>
      </c>
      <c r="F40" s="85">
        <f t="shared" si="15"/>
        <v>0</v>
      </c>
      <c r="G40" s="85">
        <f t="shared" si="15"/>
        <v>0</v>
      </c>
      <c r="H40" s="85">
        <f t="shared" si="15"/>
        <v>0</v>
      </c>
      <c r="I40" s="85">
        <f t="shared" si="15"/>
        <v>109</v>
      </c>
      <c r="J40" s="85">
        <f t="shared" si="15"/>
        <v>85</v>
      </c>
      <c r="K40" s="85">
        <f>SUM(K38:K39)</f>
        <v>24</v>
      </c>
      <c r="L40" s="107" t="s">
        <v>12</v>
      </c>
      <c r="M40" s="561"/>
      <c r="N40" s="1"/>
    </row>
    <row r="41" spans="3:14" ht="12.75" customHeight="1" thickBot="1" x14ac:dyDescent="0.25">
      <c r="C41" s="85">
        <f t="shared" si="0"/>
        <v>4608</v>
      </c>
      <c r="D41" s="85">
        <f t="shared" si="1"/>
        <v>3293</v>
      </c>
      <c r="E41" s="85">
        <f t="shared" si="1"/>
        <v>1315</v>
      </c>
      <c r="F41" s="85">
        <f t="shared" si="2"/>
        <v>0</v>
      </c>
      <c r="G41" s="85">
        <v>0</v>
      </c>
      <c r="H41" s="85">
        <v>0</v>
      </c>
      <c r="I41" s="85">
        <f t="shared" si="3"/>
        <v>4608</v>
      </c>
      <c r="J41" s="85">
        <v>3293</v>
      </c>
      <c r="K41" s="85">
        <v>1315</v>
      </c>
      <c r="L41" s="107" t="s">
        <v>233</v>
      </c>
      <c r="M41" s="559" t="s">
        <v>106</v>
      </c>
      <c r="N41" s="1"/>
    </row>
    <row r="42" spans="3:14" ht="12.75" customHeight="1" thickBot="1" x14ac:dyDescent="0.25">
      <c r="C42" s="85">
        <f t="shared" si="0"/>
        <v>73</v>
      </c>
      <c r="D42" s="85">
        <f t="shared" si="1"/>
        <v>73</v>
      </c>
      <c r="E42" s="85">
        <f t="shared" si="1"/>
        <v>0</v>
      </c>
      <c r="F42" s="85">
        <f t="shared" si="2"/>
        <v>0</v>
      </c>
      <c r="G42" s="85">
        <v>0</v>
      </c>
      <c r="H42" s="85">
        <v>0</v>
      </c>
      <c r="I42" s="85">
        <f t="shared" si="3"/>
        <v>73</v>
      </c>
      <c r="J42" s="85">
        <v>73</v>
      </c>
      <c r="K42" s="85">
        <v>0</v>
      </c>
      <c r="L42" s="107" t="s">
        <v>234</v>
      </c>
      <c r="M42" s="560"/>
      <c r="N42" s="1"/>
    </row>
    <row r="43" spans="3:14" ht="12.75" customHeight="1" thickBot="1" x14ac:dyDescent="0.25">
      <c r="C43" s="85">
        <f t="shared" ref="C43:J43" si="16">SUM(C41:C42)</f>
        <v>4681</v>
      </c>
      <c r="D43" s="85">
        <f t="shared" si="16"/>
        <v>3366</v>
      </c>
      <c r="E43" s="85">
        <f t="shared" si="16"/>
        <v>1315</v>
      </c>
      <c r="F43" s="85">
        <f t="shared" si="16"/>
        <v>0</v>
      </c>
      <c r="G43" s="85">
        <f t="shared" si="16"/>
        <v>0</v>
      </c>
      <c r="H43" s="85">
        <f t="shared" si="16"/>
        <v>0</v>
      </c>
      <c r="I43" s="85">
        <f t="shared" si="16"/>
        <v>4681</v>
      </c>
      <c r="J43" s="85">
        <f t="shared" si="16"/>
        <v>3366</v>
      </c>
      <c r="K43" s="85">
        <f>SUM(K41:K42)</f>
        <v>1315</v>
      </c>
      <c r="L43" s="107" t="s">
        <v>12</v>
      </c>
      <c r="M43" s="561"/>
      <c r="N43" s="1"/>
    </row>
    <row r="44" spans="3:14" ht="12.75" customHeight="1" thickBot="1" x14ac:dyDescent="0.25">
      <c r="C44" s="85">
        <f t="shared" si="0"/>
        <v>2583</v>
      </c>
      <c r="D44" s="85">
        <f t="shared" si="1"/>
        <v>2056</v>
      </c>
      <c r="E44" s="85">
        <f t="shared" si="1"/>
        <v>527</v>
      </c>
      <c r="F44" s="85">
        <f t="shared" si="2"/>
        <v>18</v>
      </c>
      <c r="G44" s="85">
        <v>0</v>
      </c>
      <c r="H44" s="85">
        <v>18</v>
      </c>
      <c r="I44" s="85">
        <f t="shared" si="3"/>
        <v>2565</v>
      </c>
      <c r="J44" s="85">
        <v>2056</v>
      </c>
      <c r="K44" s="85">
        <v>509</v>
      </c>
      <c r="L44" s="107" t="s">
        <v>233</v>
      </c>
      <c r="M44" s="559" t="s">
        <v>109</v>
      </c>
      <c r="N44" s="1"/>
    </row>
    <row r="45" spans="3:14" ht="12.75" customHeight="1" thickBot="1" x14ac:dyDescent="0.25">
      <c r="C45" s="85">
        <f t="shared" si="0"/>
        <v>37</v>
      </c>
      <c r="D45" s="85">
        <f t="shared" si="1"/>
        <v>37</v>
      </c>
      <c r="E45" s="85">
        <f t="shared" si="1"/>
        <v>0</v>
      </c>
      <c r="F45" s="85">
        <f t="shared" si="2"/>
        <v>0</v>
      </c>
      <c r="G45" s="85">
        <v>0</v>
      </c>
      <c r="H45" s="85">
        <v>0</v>
      </c>
      <c r="I45" s="85">
        <f t="shared" si="3"/>
        <v>37</v>
      </c>
      <c r="J45" s="85">
        <v>37</v>
      </c>
      <c r="K45" s="85">
        <v>0</v>
      </c>
      <c r="L45" s="107" t="s">
        <v>234</v>
      </c>
      <c r="M45" s="560"/>
      <c r="N45" s="1"/>
    </row>
    <row r="46" spans="3:14" ht="12.75" customHeight="1" thickBot="1" x14ac:dyDescent="0.25">
      <c r="C46" s="85">
        <f t="shared" ref="C46:J46" si="17">SUM(C44:C45)</f>
        <v>2620</v>
      </c>
      <c r="D46" s="85">
        <f t="shared" si="17"/>
        <v>2093</v>
      </c>
      <c r="E46" s="85">
        <f t="shared" si="17"/>
        <v>527</v>
      </c>
      <c r="F46" s="85">
        <f t="shared" si="17"/>
        <v>18</v>
      </c>
      <c r="G46" s="85">
        <f t="shared" si="17"/>
        <v>0</v>
      </c>
      <c r="H46" s="85">
        <f t="shared" si="17"/>
        <v>18</v>
      </c>
      <c r="I46" s="85">
        <f t="shared" si="17"/>
        <v>2602</v>
      </c>
      <c r="J46" s="85">
        <f t="shared" si="17"/>
        <v>2093</v>
      </c>
      <c r="K46" s="85">
        <f>SUM(K44:K45)</f>
        <v>509</v>
      </c>
      <c r="L46" s="107" t="s">
        <v>12</v>
      </c>
      <c r="M46" s="561"/>
      <c r="N46" s="1"/>
    </row>
    <row r="47" spans="3:14" ht="12.75" customHeight="1" thickBot="1" x14ac:dyDescent="0.25">
      <c r="C47" s="85">
        <f t="shared" si="0"/>
        <v>2329</v>
      </c>
      <c r="D47" s="85">
        <f t="shared" si="1"/>
        <v>1848</v>
      </c>
      <c r="E47" s="85">
        <f t="shared" si="1"/>
        <v>481</v>
      </c>
      <c r="F47" s="85">
        <f t="shared" si="2"/>
        <v>0</v>
      </c>
      <c r="G47" s="85">
        <v>0</v>
      </c>
      <c r="H47" s="85">
        <v>0</v>
      </c>
      <c r="I47" s="85">
        <f t="shared" si="3"/>
        <v>2329</v>
      </c>
      <c r="J47" s="85">
        <v>1848</v>
      </c>
      <c r="K47" s="85">
        <v>481</v>
      </c>
      <c r="L47" s="107" t="s">
        <v>233</v>
      </c>
      <c r="M47" s="559" t="s">
        <v>111</v>
      </c>
      <c r="N47" s="1"/>
    </row>
    <row r="48" spans="3:14" ht="12.75" customHeight="1" thickBot="1" x14ac:dyDescent="0.25">
      <c r="C48" s="85">
        <f t="shared" si="0"/>
        <v>0</v>
      </c>
      <c r="D48" s="85">
        <f t="shared" si="1"/>
        <v>0</v>
      </c>
      <c r="E48" s="85">
        <f t="shared" si="1"/>
        <v>0</v>
      </c>
      <c r="F48" s="85">
        <f t="shared" si="2"/>
        <v>0</v>
      </c>
      <c r="G48" s="85">
        <v>0</v>
      </c>
      <c r="H48" s="85">
        <v>0</v>
      </c>
      <c r="I48" s="85">
        <f t="shared" si="3"/>
        <v>0</v>
      </c>
      <c r="J48" s="85">
        <v>0</v>
      </c>
      <c r="K48" s="85">
        <v>0</v>
      </c>
      <c r="L48" s="107" t="s">
        <v>234</v>
      </c>
      <c r="M48" s="560"/>
      <c r="N48" s="1"/>
    </row>
    <row r="49" spans="3:14" ht="12.75" customHeight="1" thickBot="1" x14ac:dyDescent="0.25">
      <c r="C49" s="85">
        <f t="shared" ref="C49:J49" si="18">SUM(C47:C48)</f>
        <v>2329</v>
      </c>
      <c r="D49" s="85">
        <f t="shared" si="18"/>
        <v>1848</v>
      </c>
      <c r="E49" s="85">
        <f t="shared" si="18"/>
        <v>481</v>
      </c>
      <c r="F49" s="85">
        <f t="shared" si="18"/>
        <v>0</v>
      </c>
      <c r="G49" s="85">
        <f t="shared" si="18"/>
        <v>0</v>
      </c>
      <c r="H49" s="85">
        <f t="shared" si="18"/>
        <v>0</v>
      </c>
      <c r="I49" s="85">
        <f t="shared" si="18"/>
        <v>2329</v>
      </c>
      <c r="J49" s="85">
        <f t="shared" si="18"/>
        <v>1848</v>
      </c>
      <c r="K49" s="85">
        <f>SUM(K47:K48)</f>
        <v>481</v>
      </c>
      <c r="L49" s="107" t="s">
        <v>12</v>
      </c>
      <c r="M49" s="561"/>
      <c r="N49" s="1"/>
    </row>
    <row r="50" spans="3:14" ht="12.75" customHeight="1" thickBot="1" x14ac:dyDescent="0.25">
      <c r="C50" s="85">
        <f t="shared" si="0"/>
        <v>2662</v>
      </c>
      <c r="D50" s="85">
        <f t="shared" si="1"/>
        <v>2254</v>
      </c>
      <c r="E50" s="85">
        <f t="shared" si="1"/>
        <v>408</v>
      </c>
      <c r="F50" s="85">
        <f t="shared" si="2"/>
        <v>0</v>
      </c>
      <c r="G50" s="85">
        <v>0</v>
      </c>
      <c r="H50" s="85">
        <v>0</v>
      </c>
      <c r="I50" s="85">
        <f t="shared" si="3"/>
        <v>2662</v>
      </c>
      <c r="J50" s="85">
        <v>2254</v>
      </c>
      <c r="K50" s="85">
        <v>408</v>
      </c>
      <c r="L50" s="107" t="s">
        <v>233</v>
      </c>
      <c r="M50" s="559" t="s">
        <v>115</v>
      </c>
      <c r="N50" s="1"/>
    </row>
    <row r="51" spans="3:14" ht="12.75" customHeight="1" thickBot="1" x14ac:dyDescent="0.25">
      <c r="C51" s="85">
        <f t="shared" si="0"/>
        <v>53</v>
      </c>
      <c r="D51" s="85">
        <f t="shared" si="1"/>
        <v>53</v>
      </c>
      <c r="E51" s="85">
        <f t="shared" si="1"/>
        <v>0</v>
      </c>
      <c r="F51" s="85">
        <f t="shared" si="2"/>
        <v>0</v>
      </c>
      <c r="G51" s="85">
        <v>0</v>
      </c>
      <c r="H51" s="85">
        <v>0</v>
      </c>
      <c r="I51" s="85">
        <f t="shared" si="3"/>
        <v>53</v>
      </c>
      <c r="J51" s="85">
        <v>53</v>
      </c>
      <c r="K51" s="85">
        <v>0</v>
      </c>
      <c r="L51" s="107" t="s">
        <v>234</v>
      </c>
      <c r="M51" s="560"/>
      <c r="N51" s="1"/>
    </row>
    <row r="52" spans="3:14" ht="12.75" customHeight="1" thickBot="1" x14ac:dyDescent="0.25">
      <c r="C52" s="85">
        <f t="shared" ref="C52:J52" si="19">SUM(C50:C51)</f>
        <v>2715</v>
      </c>
      <c r="D52" s="85">
        <f t="shared" si="19"/>
        <v>2307</v>
      </c>
      <c r="E52" s="85">
        <f t="shared" si="19"/>
        <v>408</v>
      </c>
      <c r="F52" s="85">
        <f t="shared" si="19"/>
        <v>0</v>
      </c>
      <c r="G52" s="85">
        <f t="shared" si="19"/>
        <v>0</v>
      </c>
      <c r="H52" s="85">
        <f t="shared" si="19"/>
        <v>0</v>
      </c>
      <c r="I52" s="85">
        <f t="shared" si="19"/>
        <v>2715</v>
      </c>
      <c r="J52" s="85">
        <f t="shared" si="19"/>
        <v>2307</v>
      </c>
      <c r="K52" s="85">
        <f>SUM(K50:K51)</f>
        <v>408</v>
      </c>
      <c r="L52" s="107" t="s">
        <v>12</v>
      </c>
      <c r="M52" s="561"/>
      <c r="N52" s="1"/>
    </row>
    <row r="53" spans="3:14" ht="12.75" customHeight="1" thickBot="1" x14ac:dyDescent="0.25">
      <c r="C53" s="85">
        <f t="shared" si="0"/>
        <v>2227</v>
      </c>
      <c r="D53" s="85">
        <f t="shared" si="1"/>
        <v>1751</v>
      </c>
      <c r="E53" s="85">
        <f t="shared" si="1"/>
        <v>476</v>
      </c>
      <c r="F53" s="85">
        <f t="shared" si="2"/>
        <v>0</v>
      </c>
      <c r="G53" s="85">
        <v>0</v>
      </c>
      <c r="H53" s="85">
        <v>0</v>
      </c>
      <c r="I53" s="85">
        <f t="shared" si="3"/>
        <v>2227</v>
      </c>
      <c r="J53" s="85">
        <v>1751</v>
      </c>
      <c r="K53" s="85">
        <v>476</v>
      </c>
      <c r="L53" s="107" t="s">
        <v>233</v>
      </c>
      <c r="M53" s="559" t="s">
        <v>117</v>
      </c>
      <c r="N53" s="1"/>
    </row>
    <row r="54" spans="3:14" ht="12.75" customHeight="1" thickBot="1" x14ac:dyDescent="0.25">
      <c r="C54" s="85">
        <f t="shared" si="0"/>
        <v>86</v>
      </c>
      <c r="D54" s="85">
        <f t="shared" si="1"/>
        <v>86</v>
      </c>
      <c r="E54" s="85">
        <f t="shared" si="1"/>
        <v>0</v>
      </c>
      <c r="F54" s="85">
        <f t="shared" si="2"/>
        <v>0</v>
      </c>
      <c r="G54" s="85">
        <v>0</v>
      </c>
      <c r="H54" s="85">
        <v>0</v>
      </c>
      <c r="I54" s="85">
        <f t="shared" si="3"/>
        <v>86</v>
      </c>
      <c r="J54" s="85">
        <v>86</v>
      </c>
      <c r="K54" s="85">
        <v>0</v>
      </c>
      <c r="L54" s="107" t="s">
        <v>234</v>
      </c>
      <c r="M54" s="560"/>
      <c r="N54" s="1"/>
    </row>
    <row r="55" spans="3:14" ht="12.75" customHeight="1" thickBot="1" x14ac:dyDescent="0.25">
      <c r="C55" s="85">
        <f t="shared" ref="C55:J55" si="20">SUM(C53:C54)</f>
        <v>2313</v>
      </c>
      <c r="D55" s="85">
        <f t="shared" si="20"/>
        <v>1837</v>
      </c>
      <c r="E55" s="85">
        <f t="shared" si="20"/>
        <v>476</v>
      </c>
      <c r="F55" s="85">
        <f t="shared" si="20"/>
        <v>0</v>
      </c>
      <c r="G55" s="85">
        <f t="shared" si="20"/>
        <v>0</v>
      </c>
      <c r="H55" s="85">
        <f t="shared" si="20"/>
        <v>0</v>
      </c>
      <c r="I55" s="85">
        <f t="shared" si="20"/>
        <v>2313</v>
      </c>
      <c r="J55" s="85">
        <f t="shared" si="20"/>
        <v>1837</v>
      </c>
      <c r="K55" s="85">
        <f>SUM(K53:K54)</f>
        <v>476</v>
      </c>
      <c r="L55" s="107" t="s">
        <v>12</v>
      </c>
      <c r="M55" s="561"/>
      <c r="N55" s="1"/>
    </row>
    <row r="56" spans="3:14" ht="12.75" customHeight="1" thickBot="1" x14ac:dyDescent="0.25">
      <c r="C56" s="85">
        <f t="shared" si="0"/>
        <v>1128</v>
      </c>
      <c r="D56" s="85">
        <f t="shared" si="1"/>
        <v>1128</v>
      </c>
      <c r="E56" s="85">
        <f t="shared" si="1"/>
        <v>0</v>
      </c>
      <c r="F56" s="85">
        <f t="shared" si="2"/>
        <v>0</v>
      </c>
      <c r="G56" s="85">
        <v>0</v>
      </c>
      <c r="H56" s="85">
        <v>0</v>
      </c>
      <c r="I56" s="85">
        <f t="shared" si="3"/>
        <v>1128</v>
      </c>
      <c r="J56" s="85">
        <v>1128</v>
      </c>
      <c r="K56" s="85">
        <v>0</v>
      </c>
      <c r="L56" s="107" t="s">
        <v>233</v>
      </c>
      <c r="M56" s="559" t="s">
        <v>119</v>
      </c>
      <c r="N56" s="1"/>
    </row>
    <row r="57" spans="3:14" ht="12.75" customHeight="1" thickBot="1" x14ac:dyDescent="0.25">
      <c r="C57" s="85">
        <f t="shared" si="0"/>
        <v>50</v>
      </c>
      <c r="D57" s="85">
        <f t="shared" si="1"/>
        <v>50</v>
      </c>
      <c r="E57" s="85">
        <f t="shared" si="1"/>
        <v>0</v>
      </c>
      <c r="F57" s="85">
        <f t="shared" si="2"/>
        <v>0</v>
      </c>
      <c r="G57" s="85">
        <v>0</v>
      </c>
      <c r="H57" s="85">
        <v>0</v>
      </c>
      <c r="I57" s="85">
        <f t="shared" si="3"/>
        <v>50</v>
      </c>
      <c r="J57" s="85">
        <v>50</v>
      </c>
      <c r="K57" s="85">
        <v>0</v>
      </c>
      <c r="L57" s="107" t="s">
        <v>234</v>
      </c>
      <c r="M57" s="560"/>
      <c r="N57" s="1"/>
    </row>
    <row r="58" spans="3:14" ht="12.75" customHeight="1" thickBot="1" x14ac:dyDescent="0.25">
      <c r="C58" s="85">
        <f t="shared" ref="C58:J58" si="21">SUM(C56:C57)</f>
        <v>1178</v>
      </c>
      <c r="D58" s="85">
        <f t="shared" si="21"/>
        <v>1178</v>
      </c>
      <c r="E58" s="85">
        <f t="shared" si="21"/>
        <v>0</v>
      </c>
      <c r="F58" s="85">
        <f t="shared" si="21"/>
        <v>0</v>
      </c>
      <c r="G58" s="85">
        <f t="shared" si="21"/>
        <v>0</v>
      </c>
      <c r="H58" s="85">
        <f t="shared" si="21"/>
        <v>0</v>
      </c>
      <c r="I58" s="85">
        <f t="shared" si="21"/>
        <v>1178</v>
      </c>
      <c r="J58" s="85">
        <f t="shared" si="21"/>
        <v>1178</v>
      </c>
      <c r="K58" s="85">
        <f>SUM(K56:K57)</f>
        <v>0</v>
      </c>
      <c r="L58" s="107" t="s">
        <v>12</v>
      </c>
      <c r="M58" s="561"/>
      <c r="N58" s="1"/>
    </row>
    <row r="59" spans="3:14" ht="12.75" customHeight="1" thickBot="1" x14ac:dyDescent="0.25">
      <c r="C59" s="85">
        <f t="shared" si="0"/>
        <v>6762</v>
      </c>
      <c r="D59" s="85">
        <f t="shared" si="1"/>
        <v>6762</v>
      </c>
      <c r="E59" s="85">
        <f t="shared" si="1"/>
        <v>0</v>
      </c>
      <c r="F59" s="85">
        <f t="shared" si="2"/>
        <v>9</v>
      </c>
      <c r="G59" s="85">
        <v>9</v>
      </c>
      <c r="H59" s="85">
        <v>0</v>
      </c>
      <c r="I59" s="85">
        <f t="shared" si="3"/>
        <v>6753</v>
      </c>
      <c r="J59" s="85">
        <v>6753</v>
      </c>
      <c r="K59" s="85">
        <v>0</v>
      </c>
      <c r="L59" s="107" t="s">
        <v>233</v>
      </c>
      <c r="M59" s="559" t="s">
        <v>121</v>
      </c>
      <c r="N59" s="1"/>
    </row>
    <row r="60" spans="3:14" ht="12.75" customHeight="1" thickBot="1" x14ac:dyDescent="0.25">
      <c r="C60" s="85">
        <f t="shared" si="0"/>
        <v>1223</v>
      </c>
      <c r="D60" s="85">
        <f t="shared" si="1"/>
        <v>1223</v>
      </c>
      <c r="E60" s="85">
        <f t="shared" si="1"/>
        <v>0</v>
      </c>
      <c r="F60" s="85">
        <f t="shared" si="2"/>
        <v>0</v>
      </c>
      <c r="G60" s="85">
        <v>0</v>
      </c>
      <c r="H60" s="85">
        <v>0</v>
      </c>
      <c r="I60" s="85">
        <f t="shared" si="3"/>
        <v>1223</v>
      </c>
      <c r="J60" s="85">
        <v>1223</v>
      </c>
      <c r="K60" s="85">
        <v>0</v>
      </c>
      <c r="L60" s="107" t="s">
        <v>234</v>
      </c>
      <c r="M60" s="560"/>
      <c r="N60" s="1"/>
    </row>
    <row r="61" spans="3:14" ht="12.75" customHeight="1" thickBot="1" x14ac:dyDescent="0.25">
      <c r="C61" s="85">
        <f t="shared" ref="C61:J61" si="22">SUM(C59:C60)</f>
        <v>7985</v>
      </c>
      <c r="D61" s="85">
        <f t="shared" si="22"/>
        <v>7985</v>
      </c>
      <c r="E61" s="85">
        <f t="shared" si="22"/>
        <v>0</v>
      </c>
      <c r="F61" s="85">
        <f t="shared" si="22"/>
        <v>9</v>
      </c>
      <c r="G61" s="85">
        <f t="shared" si="22"/>
        <v>9</v>
      </c>
      <c r="H61" s="85">
        <f t="shared" si="22"/>
        <v>0</v>
      </c>
      <c r="I61" s="85">
        <f t="shared" si="22"/>
        <v>7976</v>
      </c>
      <c r="J61" s="85">
        <f t="shared" si="22"/>
        <v>7976</v>
      </c>
      <c r="K61" s="85">
        <f>SUM(K59:K60)</f>
        <v>0</v>
      </c>
      <c r="L61" s="107" t="s">
        <v>12</v>
      </c>
      <c r="M61" s="561"/>
      <c r="N61" s="1"/>
    </row>
    <row r="62" spans="3:14" ht="12.75" customHeight="1" thickBot="1" x14ac:dyDescent="0.25">
      <c r="C62" s="85">
        <f t="shared" si="0"/>
        <v>1104</v>
      </c>
      <c r="D62" s="85">
        <f t="shared" si="1"/>
        <v>966</v>
      </c>
      <c r="E62" s="85">
        <f t="shared" si="1"/>
        <v>138</v>
      </c>
      <c r="F62" s="85">
        <f t="shared" si="2"/>
        <v>0</v>
      </c>
      <c r="G62" s="85">
        <v>0</v>
      </c>
      <c r="H62" s="85">
        <v>0</v>
      </c>
      <c r="I62" s="85">
        <f t="shared" si="3"/>
        <v>1104</v>
      </c>
      <c r="J62" s="85">
        <v>966</v>
      </c>
      <c r="K62" s="85">
        <v>138</v>
      </c>
      <c r="L62" s="107" t="s">
        <v>233</v>
      </c>
      <c r="M62" s="559" t="s">
        <v>123</v>
      </c>
      <c r="N62" s="1"/>
    </row>
    <row r="63" spans="3:14" ht="12.75" customHeight="1" thickBot="1" x14ac:dyDescent="0.25">
      <c r="C63" s="85">
        <f t="shared" si="0"/>
        <v>72</v>
      </c>
      <c r="D63" s="85">
        <f t="shared" si="1"/>
        <v>72</v>
      </c>
      <c r="E63" s="85">
        <f t="shared" si="1"/>
        <v>0</v>
      </c>
      <c r="F63" s="85">
        <f t="shared" si="2"/>
        <v>0</v>
      </c>
      <c r="G63" s="85">
        <v>0</v>
      </c>
      <c r="H63" s="85">
        <v>0</v>
      </c>
      <c r="I63" s="85">
        <f t="shared" si="3"/>
        <v>72</v>
      </c>
      <c r="J63" s="85">
        <v>72</v>
      </c>
      <c r="K63" s="85">
        <v>0</v>
      </c>
      <c r="L63" s="107" t="s">
        <v>234</v>
      </c>
      <c r="M63" s="560"/>
      <c r="N63" s="1"/>
    </row>
    <row r="64" spans="3:14" ht="12.75" customHeight="1" thickBot="1" x14ac:dyDescent="0.25">
      <c r="C64" s="85">
        <f t="shared" ref="C64:J64" si="23">SUM(C62:C63)</f>
        <v>1176</v>
      </c>
      <c r="D64" s="85">
        <f t="shared" si="23"/>
        <v>1038</v>
      </c>
      <c r="E64" s="85">
        <f t="shared" si="23"/>
        <v>138</v>
      </c>
      <c r="F64" s="85">
        <f t="shared" si="23"/>
        <v>0</v>
      </c>
      <c r="G64" s="85">
        <f t="shared" si="23"/>
        <v>0</v>
      </c>
      <c r="H64" s="85">
        <f t="shared" si="23"/>
        <v>0</v>
      </c>
      <c r="I64" s="85">
        <f t="shared" si="23"/>
        <v>1176</v>
      </c>
      <c r="J64" s="85">
        <f t="shared" si="23"/>
        <v>1038</v>
      </c>
      <c r="K64" s="85">
        <f>SUM(K62:K63)</f>
        <v>138</v>
      </c>
      <c r="L64" s="107" t="s">
        <v>12</v>
      </c>
      <c r="M64" s="561"/>
      <c r="N64" s="1"/>
    </row>
    <row r="65" spans="3:14" ht="12.75" customHeight="1" thickBot="1" x14ac:dyDescent="0.25">
      <c r="C65" s="85">
        <f t="shared" si="0"/>
        <v>306</v>
      </c>
      <c r="D65" s="85">
        <f t="shared" si="1"/>
        <v>0</v>
      </c>
      <c r="E65" s="85">
        <f t="shared" si="1"/>
        <v>306</v>
      </c>
      <c r="F65" s="85">
        <f t="shared" si="2"/>
        <v>0</v>
      </c>
      <c r="G65" s="85">
        <v>0</v>
      </c>
      <c r="H65" s="85">
        <v>0</v>
      </c>
      <c r="I65" s="85">
        <f t="shared" si="3"/>
        <v>306</v>
      </c>
      <c r="J65" s="85">
        <v>0</v>
      </c>
      <c r="K65" s="85">
        <v>306</v>
      </c>
      <c r="L65" s="107" t="s">
        <v>233</v>
      </c>
      <c r="M65" s="559" t="s">
        <v>151</v>
      </c>
      <c r="N65" s="1"/>
    </row>
    <row r="66" spans="3:14" ht="12.75" customHeight="1" thickBot="1" x14ac:dyDescent="0.25">
      <c r="C66" s="85">
        <f t="shared" si="0"/>
        <v>0</v>
      </c>
      <c r="D66" s="85">
        <f t="shared" si="1"/>
        <v>0</v>
      </c>
      <c r="E66" s="85">
        <f t="shared" si="1"/>
        <v>0</v>
      </c>
      <c r="F66" s="85">
        <f t="shared" si="2"/>
        <v>0</v>
      </c>
      <c r="G66" s="85">
        <v>0</v>
      </c>
      <c r="H66" s="85">
        <v>0</v>
      </c>
      <c r="I66" s="85">
        <f t="shared" si="3"/>
        <v>0</v>
      </c>
      <c r="J66" s="85">
        <v>0</v>
      </c>
      <c r="K66" s="85">
        <v>0</v>
      </c>
      <c r="L66" s="107" t="s">
        <v>234</v>
      </c>
      <c r="M66" s="560"/>
      <c r="N66" s="1"/>
    </row>
    <row r="67" spans="3:14" ht="12.75" customHeight="1" thickBot="1" x14ac:dyDescent="0.25">
      <c r="C67" s="85">
        <f t="shared" ref="C67:J67" si="24">SUM(C65:C66)</f>
        <v>306</v>
      </c>
      <c r="D67" s="85">
        <f t="shared" si="24"/>
        <v>0</v>
      </c>
      <c r="E67" s="85">
        <f t="shared" si="24"/>
        <v>306</v>
      </c>
      <c r="F67" s="85">
        <f t="shared" si="24"/>
        <v>0</v>
      </c>
      <c r="G67" s="85">
        <f t="shared" si="24"/>
        <v>0</v>
      </c>
      <c r="H67" s="85">
        <f t="shared" si="24"/>
        <v>0</v>
      </c>
      <c r="I67" s="85">
        <f t="shared" si="24"/>
        <v>306</v>
      </c>
      <c r="J67" s="85">
        <f t="shared" si="24"/>
        <v>0</v>
      </c>
      <c r="K67" s="85">
        <f>SUM(K65:K66)</f>
        <v>306</v>
      </c>
      <c r="L67" s="107" t="s">
        <v>12</v>
      </c>
      <c r="M67" s="561"/>
      <c r="N67" s="1"/>
    </row>
    <row r="68" spans="3:14" ht="12.75" customHeight="1" thickBot="1" x14ac:dyDescent="0.25">
      <c r="C68" s="85">
        <f t="shared" si="0"/>
        <v>165</v>
      </c>
      <c r="D68" s="85">
        <f t="shared" si="1"/>
        <v>0</v>
      </c>
      <c r="E68" s="85">
        <f t="shared" si="1"/>
        <v>165</v>
      </c>
      <c r="F68" s="85">
        <f t="shared" si="2"/>
        <v>0</v>
      </c>
      <c r="G68" s="85">
        <v>0</v>
      </c>
      <c r="H68" s="85">
        <v>0</v>
      </c>
      <c r="I68" s="85">
        <f t="shared" si="3"/>
        <v>165</v>
      </c>
      <c r="J68" s="85">
        <v>0</v>
      </c>
      <c r="K68" s="85">
        <v>165</v>
      </c>
      <c r="L68" s="107" t="s">
        <v>233</v>
      </c>
      <c r="M68" s="559" t="s">
        <v>228</v>
      </c>
      <c r="N68" s="1"/>
    </row>
    <row r="69" spans="3:14" ht="12.75" customHeight="1" thickBot="1" x14ac:dyDescent="0.25">
      <c r="C69" s="85">
        <f t="shared" si="0"/>
        <v>0</v>
      </c>
      <c r="D69" s="85">
        <f t="shared" si="1"/>
        <v>0</v>
      </c>
      <c r="E69" s="85">
        <f t="shared" si="1"/>
        <v>0</v>
      </c>
      <c r="F69" s="85">
        <f t="shared" si="2"/>
        <v>0</v>
      </c>
      <c r="G69" s="85">
        <v>0</v>
      </c>
      <c r="H69" s="85">
        <v>0</v>
      </c>
      <c r="I69" s="85">
        <f t="shared" si="3"/>
        <v>0</v>
      </c>
      <c r="J69" s="85">
        <v>0</v>
      </c>
      <c r="K69" s="85">
        <v>0</v>
      </c>
      <c r="L69" s="107" t="s">
        <v>234</v>
      </c>
      <c r="M69" s="560"/>
      <c r="N69" s="1"/>
    </row>
    <row r="70" spans="3:14" ht="12.75" customHeight="1" thickBot="1" x14ac:dyDescent="0.25">
      <c r="C70" s="85">
        <f t="shared" ref="C70:J70" si="25">SUM(C68:C69)</f>
        <v>165</v>
      </c>
      <c r="D70" s="85">
        <f t="shared" si="25"/>
        <v>0</v>
      </c>
      <c r="E70" s="85">
        <f t="shared" si="25"/>
        <v>165</v>
      </c>
      <c r="F70" s="85">
        <f t="shared" si="25"/>
        <v>0</v>
      </c>
      <c r="G70" s="85">
        <f t="shared" si="25"/>
        <v>0</v>
      </c>
      <c r="H70" s="85">
        <f t="shared" si="25"/>
        <v>0</v>
      </c>
      <c r="I70" s="85">
        <f t="shared" si="25"/>
        <v>165</v>
      </c>
      <c r="J70" s="85">
        <f t="shared" si="25"/>
        <v>0</v>
      </c>
      <c r="K70" s="85">
        <f>SUM(K68:K69)</f>
        <v>165</v>
      </c>
      <c r="L70" s="107" t="s">
        <v>12</v>
      </c>
      <c r="M70" s="561"/>
      <c r="N70" s="1"/>
    </row>
    <row r="71" spans="3:14" ht="12.75" customHeight="1" thickBot="1" x14ac:dyDescent="0.25">
      <c r="C71" s="85">
        <f t="shared" ref="C71:C72" si="26">SUM(D71:E71)</f>
        <v>1323</v>
      </c>
      <c r="D71" s="85">
        <f t="shared" ref="D71:E72" si="27">J71+G71</f>
        <v>626</v>
      </c>
      <c r="E71" s="85">
        <f t="shared" si="27"/>
        <v>697</v>
      </c>
      <c r="F71" s="85">
        <f t="shared" ref="F71:F72" si="28">SUM(G71:H71)</f>
        <v>337</v>
      </c>
      <c r="G71" s="85">
        <v>240</v>
      </c>
      <c r="H71" s="85">
        <v>97</v>
      </c>
      <c r="I71" s="85">
        <f t="shared" ref="I71:I72" si="29">SUM(J71:K71)</f>
        <v>986</v>
      </c>
      <c r="J71" s="85">
        <v>386</v>
      </c>
      <c r="K71" s="85">
        <v>600</v>
      </c>
      <c r="L71" s="107" t="s">
        <v>233</v>
      </c>
      <c r="M71" s="559" t="s">
        <v>155</v>
      </c>
      <c r="N71" s="1"/>
    </row>
    <row r="72" spans="3:14" ht="12.75" customHeight="1" thickBot="1" x14ac:dyDescent="0.25">
      <c r="C72" s="85">
        <f t="shared" si="26"/>
        <v>0</v>
      </c>
      <c r="D72" s="85">
        <f t="shared" si="27"/>
        <v>0</v>
      </c>
      <c r="E72" s="85">
        <f t="shared" si="27"/>
        <v>0</v>
      </c>
      <c r="F72" s="85">
        <f t="shared" si="28"/>
        <v>0</v>
      </c>
      <c r="G72" s="85">
        <v>0</v>
      </c>
      <c r="H72" s="85">
        <v>0</v>
      </c>
      <c r="I72" s="85">
        <f t="shared" si="29"/>
        <v>0</v>
      </c>
      <c r="J72" s="85">
        <v>0</v>
      </c>
      <c r="K72" s="85">
        <v>0</v>
      </c>
      <c r="L72" s="107" t="s">
        <v>234</v>
      </c>
      <c r="M72" s="560"/>
      <c r="N72" s="1"/>
    </row>
    <row r="73" spans="3:14" ht="12.75" customHeight="1" thickBot="1" x14ac:dyDescent="0.25">
      <c r="C73" s="85">
        <f t="shared" ref="C73:J73" si="30">SUM(C71:C72)</f>
        <v>1323</v>
      </c>
      <c r="D73" s="85">
        <f t="shared" si="30"/>
        <v>626</v>
      </c>
      <c r="E73" s="85">
        <f t="shared" si="30"/>
        <v>697</v>
      </c>
      <c r="F73" s="85">
        <f t="shared" si="30"/>
        <v>337</v>
      </c>
      <c r="G73" s="85">
        <f t="shared" si="30"/>
        <v>240</v>
      </c>
      <c r="H73" s="85">
        <f t="shared" si="30"/>
        <v>97</v>
      </c>
      <c r="I73" s="85">
        <f t="shared" si="30"/>
        <v>986</v>
      </c>
      <c r="J73" s="85">
        <f t="shared" si="30"/>
        <v>386</v>
      </c>
      <c r="K73" s="85">
        <f>SUM(K71:K72)</f>
        <v>600</v>
      </c>
      <c r="L73" s="107" t="s">
        <v>12</v>
      </c>
      <c r="M73" s="561"/>
      <c r="N73" s="1"/>
    </row>
    <row r="74" spans="3:14" ht="12.75" customHeight="1" thickBot="1" x14ac:dyDescent="0.25">
      <c r="C74" s="85">
        <f t="shared" ref="C74:K76" si="31">C5+C8+C11+C14+C17+C20+C23+C26+C29+C32+C35+C38+C41+C44+C47+C50+C53+C56+C59+C62+C65+C68+C71</f>
        <v>85441</v>
      </c>
      <c r="D74" s="85">
        <f t="shared" si="31"/>
        <v>58578</v>
      </c>
      <c r="E74" s="85">
        <f t="shared" si="31"/>
        <v>26863</v>
      </c>
      <c r="F74" s="85">
        <f t="shared" si="31"/>
        <v>1882</v>
      </c>
      <c r="G74" s="85">
        <f t="shared" si="31"/>
        <v>730</v>
      </c>
      <c r="H74" s="85">
        <f t="shared" si="31"/>
        <v>1152</v>
      </c>
      <c r="I74" s="85">
        <f t="shared" si="31"/>
        <v>83559</v>
      </c>
      <c r="J74" s="85">
        <f t="shared" si="31"/>
        <v>57848</v>
      </c>
      <c r="K74" s="85">
        <f>K5+K8+K11+K14+K17+K20+K23+K26+K29+K32+K35+K38+K41+K44+K47+K50+K53+K56+K59+K62+K65+K68+K71</f>
        <v>25711</v>
      </c>
      <c r="L74" s="107" t="s">
        <v>236</v>
      </c>
      <c r="M74" s="562" t="s">
        <v>188</v>
      </c>
      <c r="N74" s="1"/>
    </row>
    <row r="75" spans="3:14" ht="12.75" customHeight="1" thickBot="1" x14ac:dyDescent="0.25">
      <c r="C75" s="85">
        <f t="shared" si="31"/>
        <v>5703</v>
      </c>
      <c r="D75" s="85">
        <f t="shared" si="31"/>
        <v>3728</v>
      </c>
      <c r="E75" s="85">
        <f t="shared" si="31"/>
        <v>1975</v>
      </c>
      <c r="F75" s="85">
        <f t="shared" si="31"/>
        <v>254</v>
      </c>
      <c r="G75" s="85">
        <f t="shared" si="31"/>
        <v>212</v>
      </c>
      <c r="H75" s="85">
        <f t="shared" si="31"/>
        <v>42</v>
      </c>
      <c r="I75" s="85">
        <f t="shared" si="31"/>
        <v>5449</v>
      </c>
      <c r="J75" s="85">
        <f t="shared" si="31"/>
        <v>3516</v>
      </c>
      <c r="K75" s="85">
        <f t="shared" si="31"/>
        <v>1933</v>
      </c>
      <c r="L75" s="107" t="s">
        <v>237</v>
      </c>
      <c r="M75" s="563"/>
      <c r="N75" s="1"/>
    </row>
    <row r="76" spans="3:14" ht="12.75" customHeight="1" thickBot="1" x14ac:dyDescent="0.25">
      <c r="C76" s="85">
        <f t="shared" si="31"/>
        <v>91144</v>
      </c>
      <c r="D76" s="85">
        <f t="shared" si="31"/>
        <v>62306</v>
      </c>
      <c r="E76" s="85">
        <f t="shared" si="31"/>
        <v>28838</v>
      </c>
      <c r="F76" s="85">
        <f t="shared" si="31"/>
        <v>2136</v>
      </c>
      <c r="G76" s="85">
        <f t="shared" si="31"/>
        <v>942</v>
      </c>
      <c r="H76" s="85">
        <f t="shared" si="31"/>
        <v>1194</v>
      </c>
      <c r="I76" s="85">
        <f t="shared" si="31"/>
        <v>89008</v>
      </c>
      <c r="J76" s="85">
        <f t="shared" si="31"/>
        <v>61364</v>
      </c>
      <c r="K76" s="85">
        <f t="shared" si="31"/>
        <v>27644</v>
      </c>
      <c r="L76" s="107" t="s">
        <v>12</v>
      </c>
      <c r="M76" s="564"/>
      <c r="N76" s="1"/>
    </row>
  </sheetData>
  <autoFilter ref="C3:M76">
    <filterColumn colId="0" showButton="0"/>
    <filterColumn colId="1" showButton="0"/>
    <filterColumn colId="3" showButton="0"/>
    <filterColumn colId="4" showButton="0"/>
    <filterColumn colId="6" showButton="0"/>
    <filterColumn colId="7" showButton="0"/>
    <filterColumn colId="9" showButton="0"/>
  </autoFilter>
  <mergeCells count="30">
    <mergeCell ref="M74:M76"/>
    <mergeCell ref="M41:M43"/>
    <mergeCell ref="M44:M46"/>
    <mergeCell ref="M47:M49"/>
    <mergeCell ref="M50:M52"/>
    <mergeCell ref="M53:M55"/>
    <mergeCell ref="M56:M58"/>
    <mergeCell ref="M59:M61"/>
    <mergeCell ref="M62:M64"/>
    <mergeCell ref="M65:M67"/>
    <mergeCell ref="M68:M70"/>
    <mergeCell ref="M71:M73"/>
    <mergeCell ref="M38:M40"/>
    <mergeCell ref="M5:M7"/>
    <mergeCell ref="M8:M10"/>
    <mergeCell ref="M11:M13"/>
    <mergeCell ref="M14:M16"/>
    <mergeCell ref="M17:M19"/>
    <mergeCell ref="M20:M22"/>
    <mergeCell ref="M23:M25"/>
    <mergeCell ref="M26:M28"/>
    <mergeCell ref="M29:M31"/>
    <mergeCell ref="M32:M34"/>
    <mergeCell ref="M35:M37"/>
    <mergeCell ref="C1:M1"/>
    <mergeCell ref="C2:M2"/>
    <mergeCell ref="C3:E3"/>
    <mergeCell ref="F3:H3"/>
    <mergeCell ref="I3:K3"/>
    <mergeCell ref="L3:M4"/>
  </mergeCells>
  <pageMargins left="0.4" right="0.4" top="0.25" bottom="0.25" header="0.25" footer="0.25"/>
  <pageSetup paperSize="9" scale="58" orientation="landscape" horizontalDpi="300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O77"/>
  <sheetViews>
    <sheetView showGridLines="0" topLeftCell="A55" zoomScaleSheetLayoutView="100" workbookViewId="0">
      <selection activeCell="F87" sqref="F87"/>
    </sheetView>
  </sheetViews>
  <sheetFormatPr defaultRowHeight="12.75" customHeight="1" x14ac:dyDescent="0.2"/>
  <cols>
    <col min="1" max="2" width="9" style="2"/>
    <col min="3" max="11" width="9.625" style="2" customWidth="1"/>
    <col min="12" max="12" width="5.75" style="2" bestFit="1" customWidth="1"/>
    <col min="13" max="13" width="21.625" style="2" bestFit="1" customWidth="1"/>
    <col min="14" max="14" width="4.875" style="2" customWidth="1"/>
    <col min="15" max="258" width="9" style="2"/>
    <col min="259" max="267" width="9.625" style="2" customWidth="1"/>
    <col min="268" max="268" width="5.75" style="2" bestFit="1" customWidth="1"/>
    <col min="269" max="269" width="21.625" style="2" bestFit="1" customWidth="1"/>
    <col min="270" max="270" width="4.875" style="2" customWidth="1"/>
    <col min="271" max="514" width="9" style="2"/>
    <col min="515" max="523" width="9.625" style="2" customWidth="1"/>
    <col min="524" max="524" width="5.75" style="2" bestFit="1" customWidth="1"/>
    <col min="525" max="525" width="21.625" style="2" bestFit="1" customWidth="1"/>
    <col min="526" max="526" width="4.875" style="2" customWidth="1"/>
    <col min="527" max="770" width="9" style="2"/>
    <col min="771" max="779" width="9.625" style="2" customWidth="1"/>
    <col min="780" max="780" width="5.75" style="2" bestFit="1" customWidth="1"/>
    <col min="781" max="781" width="21.625" style="2" bestFit="1" customWidth="1"/>
    <col min="782" max="782" width="4.875" style="2" customWidth="1"/>
    <col min="783" max="1026" width="9" style="2"/>
    <col min="1027" max="1035" width="9.625" style="2" customWidth="1"/>
    <col min="1036" max="1036" width="5.75" style="2" bestFit="1" customWidth="1"/>
    <col min="1037" max="1037" width="21.625" style="2" bestFit="1" customWidth="1"/>
    <col min="1038" max="1038" width="4.875" style="2" customWidth="1"/>
    <col min="1039" max="1282" width="9" style="2"/>
    <col min="1283" max="1291" width="9.625" style="2" customWidth="1"/>
    <col min="1292" max="1292" width="5.75" style="2" bestFit="1" customWidth="1"/>
    <col min="1293" max="1293" width="21.625" style="2" bestFit="1" customWidth="1"/>
    <col min="1294" max="1294" width="4.875" style="2" customWidth="1"/>
    <col min="1295" max="1538" width="9" style="2"/>
    <col min="1539" max="1547" width="9.625" style="2" customWidth="1"/>
    <col min="1548" max="1548" width="5.75" style="2" bestFit="1" customWidth="1"/>
    <col min="1549" max="1549" width="21.625" style="2" bestFit="1" customWidth="1"/>
    <col min="1550" max="1550" width="4.875" style="2" customWidth="1"/>
    <col min="1551" max="1794" width="9" style="2"/>
    <col min="1795" max="1803" width="9.625" style="2" customWidth="1"/>
    <col min="1804" max="1804" width="5.75" style="2" bestFit="1" customWidth="1"/>
    <col min="1805" max="1805" width="21.625" style="2" bestFit="1" customWidth="1"/>
    <col min="1806" max="1806" width="4.875" style="2" customWidth="1"/>
    <col min="1807" max="2050" width="9" style="2"/>
    <col min="2051" max="2059" width="9.625" style="2" customWidth="1"/>
    <col min="2060" max="2060" width="5.75" style="2" bestFit="1" customWidth="1"/>
    <col min="2061" max="2061" width="21.625" style="2" bestFit="1" customWidth="1"/>
    <col min="2062" max="2062" width="4.875" style="2" customWidth="1"/>
    <col min="2063" max="2306" width="9" style="2"/>
    <col min="2307" max="2315" width="9.625" style="2" customWidth="1"/>
    <col min="2316" max="2316" width="5.75" style="2" bestFit="1" customWidth="1"/>
    <col min="2317" max="2317" width="21.625" style="2" bestFit="1" customWidth="1"/>
    <col min="2318" max="2318" width="4.875" style="2" customWidth="1"/>
    <col min="2319" max="2562" width="9" style="2"/>
    <col min="2563" max="2571" width="9.625" style="2" customWidth="1"/>
    <col min="2572" max="2572" width="5.75" style="2" bestFit="1" customWidth="1"/>
    <col min="2573" max="2573" width="21.625" style="2" bestFit="1" customWidth="1"/>
    <col min="2574" max="2574" width="4.875" style="2" customWidth="1"/>
    <col min="2575" max="2818" width="9" style="2"/>
    <col min="2819" max="2827" width="9.625" style="2" customWidth="1"/>
    <col min="2828" max="2828" width="5.75" style="2" bestFit="1" customWidth="1"/>
    <col min="2829" max="2829" width="21.625" style="2" bestFit="1" customWidth="1"/>
    <col min="2830" max="2830" width="4.875" style="2" customWidth="1"/>
    <col min="2831" max="3074" width="9" style="2"/>
    <col min="3075" max="3083" width="9.625" style="2" customWidth="1"/>
    <col min="3084" max="3084" width="5.75" style="2" bestFit="1" customWidth="1"/>
    <col min="3085" max="3085" width="21.625" style="2" bestFit="1" customWidth="1"/>
    <col min="3086" max="3086" width="4.875" style="2" customWidth="1"/>
    <col min="3087" max="3330" width="9" style="2"/>
    <col min="3331" max="3339" width="9.625" style="2" customWidth="1"/>
    <col min="3340" max="3340" width="5.75" style="2" bestFit="1" customWidth="1"/>
    <col min="3341" max="3341" width="21.625" style="2" bestFit="1" customWidth="1"/>
    <col min="3342" max="3342" width="4.875" style="2" customWidth="1"/>
    <col min="3343" max="3586" width="9" style="2"/>
    <col min="3587" max="3595" width="9.625" style="2" customWidth="1"/>
    <col min="3596" max="3596" width="5.75" style="2" bestFit="1" customWidth="1"/>
    <col min="3597" max="3597" width="21.625" style="2" bestFit="1" customWidth="1"/>
    <col min="3598" max="3598" width="4.875" style="2" customWidth="1"/>
    <col min="3599" max="3842" width="9" style="2"/>
    <col min="3843" max="3851" width="9.625" style="2" customWidth="1"/>
    <col min="3852" max="3852" width="5.75" style="2" bestFit="1" customWidth="1"/>
    <col min="3853" max="3853" width="21.625" style="2" bestFit="1" customWidth="1"/>
    <col min="3854" max="3854" width="4.875" style="2" customWidth="1"/>
    <col min="3855" max="4098" width="9" style="2"/>
    <col min="4099" max="4107" width="9.625" style="2" customWidth="1"/>
    <col min="4108" max="4108" width="5.75" style="2" bestFit="1" customWidth="1"/>
    <col min="4109" max="4109" width="21.625" style="2" bestFit="1" customWidth="1"/>
    <col min="4110" max="4110" width="4.875" style="2" customWidth="1"/>
    <col min="4111" max="4354" width="9" style="2"/>
    <col min="4355" max="4363" width="9.625" style="2" customWidth="1"/>
    <col min="4364" max="4364" width="5.75" style="2" bestFit="1" customWidth="1"/>
    <col min="4365" max="4365" width="21.625" style="2" bestFit="1" customWidth="1"/>
    <col min="4366" max="4366" width="4.875" style="2" customWidth="1"/>
    <col min="4367" max="4610" width="9" style="2"/>
    <col min="4611" max="4619" width="9.625" style="2" customWidth="1"/>
    <col min="4620" max="4620" width="5.75" style="2" bestFit="1" customWidth="1"/>
    <col min="4621" max="4621" width="21.625" style="2" bestFit="1" customWidth="1"/>
    <col min="4622" max="4622" width="4.875" style="2" customWidth="1"/>
    <col min="4623" max="4866" width="9" style="2"/>
    <col min="4867" max="4875" width="9.625" style="2" customWidth="1"/>
    <col min="4876" max="4876" width="5.75" style="2" bestFit="1" customWidth="1"/>
    <col min="4877" max="4877" width="21.625" style="2" bestFit="1" customWidth="1"/>
    <col min="4878" max="4878" width="4.875" style="2" customWidth="1"/>
    <col min="4879" max="5122" width="9" style="2"/>
    <col min="5123" max="5131" width="9.625" style="2" customWidth="1"/>
    <col min="5132" max="5132" width="5.75" style="2" bestFit="1" customWidth="1"/>
    <col min="5133" max="5133" width="21.625" style="2" bestFit="1" customWidth="1"/>
    <col min="5134" max="5134" width="4.875" style="2" customWidth="1"/>
    <col min="5135" max="5378" width="9" style="2"/>
    <col min="5379" max="5387" width="9.625" style="2" customWidth="1"/>
    <col min="5388" max="5388" width="5.75" style="2" bestFit="1" customWidth="1"/>
    <col min="5389" max="5389" width="21.625" style="2" bestFit="1" customWidth="1"/>
    <col min="5390" max="5390" width="4.875" style="2" customWidth="1"/>
    <col min="5391" max="5634" width="9" style="2"/>
    <col min="5635" max="5643" width="9.625" style="2" customWidth="1"/>
    <col min="5644" max="5644" width="5.75" style="2" bestFit="1" customWidth="1"/>
    <col min="5645" max="5645" width="21.625" style="2" bestFit="1" customWidth="1"/>
    <col min="5646" max="5646" width="4.875" style="2" customWidth="1"/>
    <col min="5647" max="5890" width="9" style="2"/>
    <col min="5891" max="5899" width="9.625" style="2" customWidth="1"/>
    <col min="5900" max="5900" width="5.75" style="2" bestFit="1" customWidth="1"/>
    <col min="5901" max="5901" width="21.625" style="2" bestFit="1" customWidth="1"/>
    <col min="5902" max="5902" width="4.875" style="2" customWidth="1"/>
    <col min="5903" max="6146" width="9" style="2"/>
    <col min="6147" max="6155" width="9.625" style="2" customWidth="1"/>
    <col min="6156" max="6156" width="5.75" style="2" bestFit="1" customWidth="1"/>
    <col min="6157" max="6157" width="21.625" style="2" bestFit="1" customWidth="1"/>
    <col min="6158" max="6158" width="4.875" style="2" customWidth="1"/>
    <col min="6159" max="6402" width="9" style="2"/>
    <col min="6403" max="6411" width="9.625" style="2" customWidth="1"/>
    <col min="6412" max="6412" width="5.75" style="2" bestFit="1" customWidth="1"/>
    <col min="6413" max="6413" width="21.625" style="2" bestFit="1" customWidth="1"/>
    <col min="6414" max="6414" width="4.875" style="2" customWidth="1"/>
    <col min="6415" max="6658" width="9" style="2"/>
    <col min="6659" max="6667" width="9.625" style="2" customWidth="1"/>
    <col min="6668" max="6668" width="5.75" style="2" bestFit="1" customWidth="1"/>
    <col min="6669" max="6669" width="21.625" style="2" bestFit="1" customWidth="1"/>
    <col min="6670" max="6670" width="4.875" style="2" customWidth="1"/>
    <col min="6671" max="6914" width="9" style="2"/>
    <col min="6915" max="6923" width="9.625" style="2" customWidth="1"/>
    <col min="6924" max="6924" width="5.75" style="2" bestFit="1" customWidth="1"/>
    <col min="6925" max="6925" width="21.625" style="2" bestFit="1" customWidth="1"/>
    <col min="6926" max="6926" width="4.875" style="2" customWidth="1"/>
    <col min="6927" max="7170" width="9" style="2"/>
    <col min="7171" max="7179" width="9.625" style="2" customWidth="1"/>
    <col min="7180" max="7180" width="5.75" style="2" bestFit="1" customWidth="1"/>
    <col min="7181" max="7181" width="21.625" style="2" bestFit="1" customWidth="1"/>
    <col min="7182" max="7182" width="4.875" style="2" customWidth="1"/>
    <col min="7183" max="7426" width="9" style="2"/>
    <col min="7427" max="7435" width="9.625" style="2" customWidth="1"/>
    <col min="7436" max="7436" width="5.75" style="2" bestFit="1" customWidth="1"/>
    <col min="7437" max="7437" width="21.625" style="2" bestFit="1" customWidth="1"/>
    <col min="7438" max="7438" width="4.875" style="2" customWidth="1"/>
    <col min="7439" max="7682" width="9" style="2"/>
    <col min="7683" max="7691" width="9.625" style="2" customWidth="1"/>
    <col min="7692" max="7692" width="5.75" style="2" bestFit="1" customWidth="1"/>
    <col min="7693" max="7693" width="21.625" style="2" bestFit="1" customWidth="1"/>
    <col min="7694" max="7694" width="4.875" style="2" customWidth="1"/>
    <col min="7695" max="7938" width="9" style="2"/>
    <col min="7939" max="7947" width="9.625" style="2" customWidth="1"/>
    <col min="7948" max="7948" width="5.75" style="2" bestFit="1" customWidth="1"/>
    <col min="7949" max="7949" width="21.625" style="2" bestFit="1" customWidth="1"/>
    <col min="7950" max="7950" width="4.875" style="2" customWidth="1"/>
    <col min="7951" max="8194" width="9" style="2"/>
    <col min="8195" max="8203" width="9.625" style="2" customWidth="1"/>
    <col min="8204" max="8204" width="5.75" style="2" bestFit="1" customWidth="1"/>
    <col min="8205" max="8205" width="21.625" style="2" bestFit="1" customWidth="1"/>
    <col min="8206" max="8206" width="4.875" style="2" customWidth="1"/>
    <col min="8207" max="8450" width="9" style="2"/>
    <col min="8451" max="8459" width="9.625" style="2" customWidth="1"/>
    <col min="8460" max="8460" width="5.75" style="2" bestFit="1" customWidth="1"/>
    <col min="8461" max="8461" width="21.625" style="2" bestFit="1" customWidth="1"/>
    <col min="8462" max="8462" width="4.875" style="2" customWidth="1"/>
    <col min="8463" max="8706" width="9" style="2"/>
    <col min="8707" max="8715" width="9.625" style="2" customWidth="1"/>
    <col min="8716" max="8716" width="5.75" style="2" bestFit="1" customWidth="1"/>
    <col min="8717" max="8717" width="21.625" style="2" bestFit="1" customWidth="1"/>
    <col min="8718" max="8718" width="4.875" style="2" customWidth="1"/>
    <col min="8719" max="8962" width="9" style="2"/>
    <col min="8963" max="8971" width="9.625" style="2" customWidth="1"/>
    <col min="8972" max="8972" width="5.75" style="2" bestFit="1" customWidth="1"/>
    <col min="8973" max="8973" width="21.625" style="2" bestFit="1" customWidth="1"/>
    <col min="8974" max="8974" width="4.875" style="2" customWidth="1"/>
    <col min="8975" max="9218" width="9" style="2"/>
    <col min="9219" max="9227" width="9.625" style="2" customWidth="1"/>
    <col min="9228" max="9228" width="5.75" style="2" bestFit="1" customWidth="1"/>
    <col min="9229" max="9229" width="21.625" style="2" bestFit="1" customWidth="1"/>
    <col min="9230" max="9230" width="4.875" style="2" customWidth="1"/>
    <col min="9231" max="9474" width="9" style="2"/>
    <col min="9475" max="9483" width="9.625" style="2" customWidth="1"/>
    <col min="9484" max="9484" width="5.75" style="2" bestFit="1" customWidth="1"/>
    <col min="9485" max="9485" width="21.625" style="2" bestFit="1" customWidth="1"/>
    <col min="9486" max="9486" width="4.875" style="2" customWidth="1"/>
    <col min="9487" max="9730" width="9" style="2"/>
    <col min="9731" max="9739" width="9.625" style="2" customWidth="1"/>
    <col min="9740" max="9740" width="5.75" style="2" bestFit="1" customWidth="1"/>
    <col min="9741" max="9741" width="21.625" style="2" bestFit="1" customWidth="1"/>
    <col min="9742" max="9742" width="4.875" style="2" customWidth="1"/>
    <col min="9743" max="9986" width="9" style="2"/>
    <col min="9987" max="9995" width="9.625" style="2" customWidth="1"/>
    <col min="9996" max="9996" width="5.75" style="2" bestFit="1" customWidth="1"/>
    <col min="9997" max="9997" width="21.625" style="2" bestFit="1" customWidth="1"/>
    <col min="9998" max="9998" width="4.875" style="2" customWidth="1"/>
    <col min="9999" max="10242" width="9" style="2"/>
    <col min="10243" max="10251" width="9.625" style="2" customWidth="1"/>
    <col min="10252" max="10252" width="5.75" style="2" bestFit="1" customWidth="1"/>
    <col min="10253" max="10253" width="21.625" style="2" bestFit="1" customWidth="1"/>
    <col min="10254" max="10254" width="4.875" style="2" customWidth="1"/>
    <col min="10255" max="10498" width="9" style="2"/>
    <col min="10499" max="10507" width="9.625" style="2" customWidth="1"/>
    <col min="10508" max="10508" width="5.75" style="2" bestFit="1" customWidth="1"/>
    <col min="10509" max="10509" width="21.625" style="2" bestFit="1" customWidth="1"/>
    <col min="10510" max="10510" width="4.875" style="2" customWidth="1"/>
    <col min="10511" max="10754" width="9" style="2"/>
    <col min="10755" max="10763" width="9.625" style="2" customWidth="1"/>
    <col min="10764" max="10764" width="5.75" style="2" bestFit="1" customWidth="1"/>
    <col min="10765" max="10765" width="21.625" style="2" bestFit="1" customWidth="1"/>
    <col min="10766" max="10766" width="4.875" style="2" customWidth="1"/>
    <col min="10767" max="11010" width="9" style="2"/>
    <col min="11011" max="11019" width="9.625" style="2" customWidth="1"/>
    <col min="11020" max="11020" width="5.75" style="2" bestFit="1" customWidth="1"/>
    <col min="11021" max="11021" width="21.625" style="2" bestFit="1" customWidth="1"/>
    <col min="11022" max="11022" width="4.875" style="2" customWidth="1"/>
    <col min="11023" max="11266" width="9" style="2"/>
    <col min="11267" max="11275" width="9.625" style="2" customWidth="1"/>
    <col min="11276" max="11276" width="5.75" style="2" bestFit="1" customWidth="1"/>
    <col min="11277" max="11277" width="21.625" style="2" bestFit="1" customWidth="1"/>
    <col min="11278" max="11278" width="4.875" style="2" customWidth="1"/>
    <col min="11279" max="11522" width="9" style="2"/>
    <col min="11523" max="11531" width="9.625" style="2" customWidth="1"/>
    <col min="11532" max="11532" width="5.75" style="2" bestFit="1" customWidth="1"/>
    <col min="11533" max="11533" width="21.625" style="2" bestFit="1" customWidth="1"/>
    <col min="11534" max="11534" width="4.875" style="2" customWidth="1"/>
    <col min="11535" max="11778" width="9" style="2"/>
    <col min="11779" max="11787" width="9.625" style="2" customWidth="1"/>
    <col min="11788" max="11788" width="5.75" style="2" bestFit="1" customWidth="1"/>
    <col min="11789" max="11789" width="21.625" style="2" bestFit="1" customWidth="1"/>
    <col min="11790" max="11790" width="4.875" style="2" customWidth="1"/>
    <col min="11791" max="12034" width="9" style="2"/>
    <col min="12035" max="12043" width="9.625" style="2" customWidth="1"/>
    <col min="12044" max="12044" width="5.75" style="2" bestFit="1" customWidth="1"/>
    <col min="12045" max="12045" width="21.625" style="2" bestFit="1" customWidth="1"/>
    <col min="12046" max="12046" width="4.875" style="2" customWidth="1"/>
    <col min="12047" max="12290" width="9" style="2"/>
    <col min="12291" max="12299" width="9.625" style="2" customWidth="1"/>
    <col min="12300" max="12300" width="5.75" style="2" bestFit="1" customWidth="1"/>
    <col min="12301" max="12301" width="21.625" style="2" bestFit="1" customWidth="1"/>
    <col min="12302" max="12302" width="4.875" style="2" customWidth="1"/>
    <col min="12303" max="12546" width="9" style="2"/>
    <col min="12547" max="12555" width="9.625" style="2" customWidth="1"/>
    <col min="12556" max="12556" width="5.75" style="2" bestFit="1" customWidth="1"/>
    <col min="12557" max="12557" width="21.625" style="2" bestFit="1" customWidth="1"/>
    <col min="12558" max="12558" width="4.875" style="2" customWidth="1"/>
    <col min="12559" max="12802" width="9" style="2"/>
    <col min="12803" max="12811" width="9.625" style="2" customWidth="1"/>
    <col min="12812" max="12812" width="5.75" style="2" bestFit="1" customWidth="1"/>
    <col min="12813" max="12813" width="21.625" style="2" bestFit="1" customWidth="1"/>
    <col min="12814" max="12814" width="4.875" style="2" customWidth="1"/>
    <col min="12815" max="13058" width="9" style="2"/>
    <col min="13059" max="13067" width="9.625" style="2" customWidth="1"/>
    <col min="13068" max="13068" width="5.75" style="2" bestFit="1" customWidth="1"/>
    <col min="13069" max="13069" width="21.625" style="2" bestFit="1" customWidth="1"/>
    <col min="13070" max="13070" width="4.875" style="2" customWidth="1"/>
    <col min="13071" max="13314" width="9" style="2"/>
    <col min="13315" max="13323" width="9.625" style="2" customWidth="1"/>
    <col min="13324" max="13324" width="5.75" style="2" bestFit="1" customWidth="1"/>
    <col min="13325" max="13325" width="21.625" style="2" bestFit="1" customWidth="1"/>
    <col min="13326" max="13326" width="4.875" style="2" customWidth="1"/>
    <col min="13327" max="13570" width="9" style="2"/>
    <col min="13571" max="13579" width="9.625" style="2" customWidth="1"/>
    <col min="13580" max="13580" width="5.75" style="2" bestFit="1" customWidth="1"/>
    <col min="13581" max="13581" width="21.625" style="2" bestFit="1" customWidth="1"/>
    <col min="13582" max="13582" width="4.875" style="2" customWidth="1"/>
    <col min="13583" max="13826" width="9" style="2"/>
    <col min="13827" max="13835" width="9.625" style="2" customWidth="1"/>
    <col min="13836" max="13836" width="5.75" style="2" bestFit="1" customWidth="1"/>
    <col min="13837" max="13837" width="21.625" style="2" bestFit="1" customWidth="1"/>
    <col min="13838" max="13838" width="4.875" style="2" customWidth="1"/>
    <col min="13839" max="14082" width="9" style="2"/>
    <col min="14083" max="14091" width="9.625" style="2" customWidth="1"/>
    <col min="14092" max="14092" width="5.75" style="2" bestFit="1" customWidth="1"/>
    <col min="14093" max="14093" width="21.625" style="2" bestFit="1" customWidth="1"/>
    <col min="14094" max="14094" width="4.875" style="2" customWidth="1"/>
    <col min="14095" max="14338" width="9" style="2"/>
    <col min="14339" max="14347" width="9.625" style="2" customWidth="1"/>
    <col min="14348" max="14348" width="5.75" style="2" bestFit="1" customWidth="1"/>
    <col min="14349" max="14349" width="21.625" style="2" bestFit="1" customWidth="1"/>
    <col min="14350" max="14350" width="4.875" style="2" customWidth="1"/>
    <col min="14351" max="14594" width="9" style="2"/>
    <col min="14595" max="14603" width="9.625" style="2" customWidth="1"/>
    <col min="14604" max="14604" width="5.75" style="2" bestFit="1" customWidth="1"/>
    <col min="14605" max="14605" width="21.625" style="2" bestFit="1" customWidth="1"/>
    <col min="14606" max="14606" width="4.875" style="2" customWidth="1"/>
    <col min="14607" max="14850" width="9" style="2"/>
    <col min="14851" max="14859" width="9.625" style="2" customWidth="1"/>
    <col min="14860" max="14860" width="5.75" style="2" bestFit="1" customWidth="1"/>
    <col min="14861" max="14861" width="21.625" style="2" bestFit="1" customWidth="1"/>
    <col min="14862" max="14862" width="4.875" style="2" customWidth="1"/>
    <col min="14863" max="15106" width="9" style="2"/>
    <col min="15107" max="15115" width="9.625" style="2" customWidth="1"/>
    <col min="15116" max="15116" width="5.75" style="2" bestFit="1" customWidth="1"/>
    <col min="15117" max="15117" width="21.625" style="2" bestFit="1" customWidth="1"/>
    <col min="15118" max="15118" width="4.875" style="2" customWidth="1"/>
    <col min="15119" max="15362" width="9" style="2"/>
    <col min="15363" max="15371" width="9.625" style="2" customWidth="1"/>
    <col min="15372" max="15372" width="5.75" style="2" bestFit="1" customWidth="1"/>
    <col min="15373" max="15373" width="21.625" style="2" bestFit="1" customWidth="1"/>
    <col min="15374" max="15374" width="4.875" style="2" customWidth="1"/>
    <col min="15375" max="15618" width="9" style="2"/>
    <col min="15619" max="15627" width="9.625" style="2" customWidth="1"/>
    <col min="15628" max="15628" width="5.75" style="2" bestFit="1" customWidth="1"/>
    <col min="15629" max="15629" width="21.625" style="2" bestFit="1" customWidth="1"/>
    <col min="15630" max="15630" width="4.875" style="2" customWidth="1"/>
    <col min="15631" max="15874" width="9" style="2"/>
    <col min="15875" max="15883" width="9.625" style="2" customWidth="1"/>
    <col min="15884" max="15884" width="5.75" style="2" bestFit="1" customWidth="1"/>
    <col min="15885" max="15885" width="21.625" style="2" bestFit="1" customWidth="1"/>
    <col min="15886" max="15886" width="4.875" style="2" customWidth="1"/>
    <col min="15887" max="16130" width="9" style="2"/>
    <col min="16131" max="16139" width="9.625" style="2" customWidth="1"/>
    <col min="16140" max="16140" width="5.75" style="2" bestFit="1" customWidth="1"/>
    <col min="16141" max="16141" width="21.625" style="2" bestFit="1" customWidth="1"/>
    <col min="16142" max="16142" width="4.875" style="2" customWidth="1"/>
    <col min="16143" max="16383" width="9" style="2"/>
    <col min="16384" max="16384" width="9.125" style="2" customWidth="1"/>
  </cols>
  <sheetData>
    <row r="1" spans="3:15" ht="12.75" customHeight="1" x14ac:dyDescent="0.2">
      <c r="C1" s="506" t="s">
        <v>691</v>
      </c>
      <c r="D1" s="506"/>
      <c r="E1" s="506"/>
      <c r="F1" s="506"/>
      <c r="G1" s="506"/>
      <c r="H1" s="506"/>
      <c r="I1" s="506"/>
      <c r="J1" s="506"/>
      <c r="K1" s="506"/>
      <c r="L1" s="506"/>
      <c r="M1" s="506"/>
      <c r="N1" s="1"/>
    </row>
    <row r="2" spans="3:15" ht="12.75" customHeight="1" thickBot="1" x14ac:dyDescent="0.25">
      <c r="C2" s="507" t="s">
        <v>692</v>
      </c>
      <c r="D2" s="507"/>
      <c r="E2" s="507"/>
      <c r="F2" s="507"/>
      <c r="G2" s="507"/>
      <c r="H2" s="507"/>
      <c r="I2" s="507"/>
      <c r="J2" s="507"/>
      <c r="K2" s="507"/>
      <c r="L2" s="507"/>
      <c r="M2" s="507"/>
      <c r="N2" s="1"/>
    </row>
    <row r="3" spans="3:15" ht="12.75" customHeight="1" thickBot="1" x14ac:dyDescent="0.25">
      <c r="C3" s="508" t="s">
        <v>4</v>
      </c>
      <c r="D3" s="508"/>
      <c r="E3" s="508"/>
      <c r="F3" s="508" t="s">
        <v>145</v>
      </c>
      <c r="G3" s="508"/>
      <c r="H3" s="508"/>
      <c r="I3" s="508" t="s">
        <v>146</v>
      </c>
      <c r="J3" s="508"/>
      <c r="K3" s="508"/>
      <c r="L3" s="519" t="s">
        <v>240</v>
      </c>
      <c r="M3" s="520"/>
      <c r="N3" s="1"/>
    </row>
    <row r="4" spans="3:15" ht="12.75" customHeight="1" thickBot="1" x14ac:dyDescent="0.25">
      <c r="C4" s="92" t="s">
        <v>227</v>
      </c>
      <c r="D4" s="92" t="s">
        <v>10</v>
      </c>
      <c r="E4" s="92" t="s">
        <v>9</v>
      </c>
      <c r="F4" s="92" t="s">
        <v>227</v>
      </c>
      <c r="G4" s="92" t="s">
        <v>10</v>
      </c>
      <c r="H4" s="92" t="s">
        <v>9</v>
      </c>
      <c r="I4" s="92" t="s">
        <v>227</v>
      </c>
      <c r="J4" s="92" t="s">
        <v>10</v>
      </c>
      <c r="K4" s="92" t="s">
        <v>9</v>
      </c>
      <c r="L4" s="521"/>
      <c r="M4" s="522"/>
      <c r="N4" s="1"/>
    </row>
    <row r="5" spans="3:15" ht="12.75" customHeight="1" thickBot="1" x14ac:dyDescent="0.25">
      <c r="C5" s="94">
        <f>SUM(D5:E5)</f>
        <v>1914</v>
      </c>
      <c r="D5" s="94">
        <f>J5+G5</f>
        <v>1174</v>
      </c>
      <c r="E5" s="94">
        <f>K5+H5</f>
        <v>740</v>
      </c>
      <c r="F5" s="94">
        <f>SUM(G5:H5)</f>
        <v>24</v>
      </c>
      <c r="G5" s="94">
        <v>13</v>
      </c>
      <c r="H5" s="94">
        <v>11</v>
      </c>
      <c r="I5" s="94">
        <f>SUM(J5:K5)</f>
        <v>1890</v>
      </c>
      <c r="J5" s="94">
        <v>1161</v>
      </c>
      <c r="K5" s="94">
        <v>729</v>
      </c>
      <c r="L5" s="104" t="s">
        <v>233</v>
      </c>
      <c r="M5" s="565" t="s">
        <v>161</v>
      </c>
      <c r="N5" s="1"/>
    </row>
    <row r="6" spans="3:15" ht="12.75" customHeight="1" thickBot="1" x14ac:dyDescent="0.25">
      <c r="C6" s="94">
        <f t="shared" ref="C6" si="0">SUM(D6:E6)</f>
        <v>148</v>
      </c>
      <c r="D6" s="94">
        <f t="shared" ref="D6:E6" si="1">J6+G6</f>
        <v>90</v>
      </c>
      <c r="E6" s="94">
        <f t="shared" si="1"/>
        <v>58</v>
      </c>
      <c r="F6" s="94">
        <f t="shared" ref="F6" si="2">SUM(G6:H6)</f>
        <v>0</v>
      </c>
      <c r="G6" s="94">
        <v>0</v>
      </c>
      <c r="H6" s="94">
        <v>0</v>
      </c>
      <c r="I6" s="94">
        <f t="shared" ref="I6" si="3">SUM(J6:K6)</f>
        <v>148</v>
      </c>
      <c r="J6" s="94">
        <v>90</v>
      </c>
      <c r="K6" s="94">
        <v>58</v>
      </c>
      <c r="L6" s="104" t="s">
        <v>234</v>
      </c>
      <c r="M6" s="566"/>
      <c r="N6" s="1"/>
      <c r="O6" s="128"/>
    </row>
    <row r="7" spans="3:15" ht="12.75" customHeight="1" thickBot="1" x14ac:dyDescent="0.25">
      <c r="C7" s="94">
        <f t="shared" ref="C7:J7" si="4">SUM(C5:C6)</f>
        <v>2062</v>
      </c>
      <c r="D7" s="94">
        <f t="shared" si="4"/>
        <v>1264</v>
      </c>
      <c r="E7" s="94">
        <f t="shared" si="4"/>
        <v>798</v>
      </c>
      <c r="F7" s="94">
        <f t="shared" si="4"/>
        <v>24</v>
      </c>
      <c r="G7" s="94">
        <f t="shared" si="4"/>
        <v>13</v>
      </c>
      <c r="H7" s="94">
        <f t="shared" si="4"/>
        <v>11</v>
      </c>
      <c r="I7" s="94">
        <f t="shared" si="4"/>
        <v>2038</v>
      </c>
      <c r="J7" s="94">
        <f t="shared" si="4"/>
        <v>1251</v>
      </c>
      <c r="K7" s="94">
        <f>SUM(K5:K6)</f>
        <v>787</v>
      </c>
      <c r="L7" s="104" t="s">
        <v>12</v>
      </c>
      <c r="M7" s="567"/>
      <c r="N7" s="1"/>
    </row>
    <row r="8" spans="3:15" ht="12.75" customHeight="1" thickBot="1" x14ac:dyDescent="0.25">
      <c r="C8" s="94">
        <f t="shared" ref="C8:C9" si="5">SUM(D8:E8)</f>
        <v>11843</v>
      </c>
      <c r="D8" s="94">
        <f t="shared" ref="D8:E9" si="6">J8+G8</f>
        <v>8725</v>
      </c>
      <c r="E8" s="94">
        <f t="shared" si="6"/>
        <v>3118</v>
      </c>
      <c r="F8" s="94">
        <f t="shared" ref="F8:F9" si="7">SUM(G8:H8)</f>
        <v>474</v>
      </c>
      <c r="G8" s="94">
        <v>79</v>
      </c>
      <c r="H8" s="94">
        <v>395</v>
      </c>
      <c r="I8" s="94">
        <f t="shared" ref="I8:I9" si="8">SUM(J8:K8)</f>
        <v>11369</v>
      </c>
      <c r="J8" s="94">
        <v>8646</v>
      </c>
      <c r="K8" s="94">
        <v>2723</v>
      </c>
      <c r="L8" s="104" t="s">
        <v>233</v>
      </c>
      <c r="M8" s="565" t="s">
        <v>162</v>
      </c>
      <c r="N8" s="1"/>
    </row>
    <row r="9" spans="3:15" ht="12.75" customHeight="1" thickBot="1" x14ac:dyDescent="0.25">
      <c r="C9" s="94">
        <f t="shared" si="5"/>
        <v>555</v>
      </c>
      <c r="D9" s="94">
        <f t="shared" si="6"/>
        <v>494</v>
      </c>
      <c r="E9" s="94">
        <f t="shared" si="6"/>
        <v>61</v>
      </c>
      <c r="F9" s="94">
        <f t="shared" si="7"/>
        <v>0</v>
      </c>
      <c r="G9" s="94">
        <v>0</v>
      </c>
      <c r="H9" s="94">
        <v>0</v>
      </c>
      <c r="I9" s="94">
        <f t="shared" si="8"/>
        <v>555</v>
      </c>
      <c r="J9" s="94">
        <v>494</v>
      </c>
      <c r="K9" s="94">
        <v>61</v>
      </c>
      <c r="L9" s="104" t="s">
        <v>234</v>
      </c>
      <c r="M9" s="566"/>
      <c r="N9" s="1"/>
    </row>
    <row r="10" spans="3:15" ht="12.75" customHeight="1" thickBot="1" x14ac:dyDescent="0.25">
      <c r="C10" s="94">
        <f t="shared" ref="C10:J10" si="9">SUM(C8:C9)</f>
        <v>12398</v>
      </c>
      <c r="D10" s="94">
        <f t="shared" si="9"/>
        <v>9219</v>
      </c>
      <c r="E10" s="94">
        <f t="shared" si="9"/>
        <v>3179</v>
      </c>
      <c r="F10" s="94">
        <f t="shared" si="9"/>
        <v>474</v>
      </c>
      <c r="G10" s="94">
        <f t="shared" si="9"/>
        <v>79</v>
      </c>
      <c r="H10" s="94">
        <f t="shared" si="9"/>
        <v>395</v>
      </c>
      <c r="I10" s="94">
        <f t="shared" si="9"/>
        <v>11924</v>
      </c>
      <c r="J10" s="94">
        <f t="shared" si="9"/>
        <v>9140</v>
      </c>
      <c r="K10" s="94">
        <f>SUM(K8:K9)</f>
        <v>2784</v>
      </c>
      <c r="L10" s="104" t="s">
        <v>12</v>
      </c>
      <c r="M10" s="567"/>
      <c r="N10" s="1"/>
    </row>
    <row r="11" spans="3:15" ht="12.75" customHeight="1" thickBot="1" x14ac:dyDescent="0.25">
      <c r="C11" s="94">
        <f t="shared" ref="C11:C12" si="10">SUM(D11:E11)</f>
        <v>2859</v>
      </c>
      <c r="D11" s="94">
        <f t="shared" ref="D11:E12" si="11">J11+G11</f>
        <v>1341</v>
      </c>
      <c r="E11" s="94">
        <f t="shared" si="11"/>
        <v>1518</v>
      </c>
      <c r="F11" s="94">
        <f t="shared" ref="F11:F12" si="12">SUM(G11:H11)</f>
        <v>334</v>
      </c>
      <c r="G11" s="94">
        <v>29</v>
      </c>
      <c r="H11" s="94">
        <v>305</v>
      </c>
      <c r="I11" s="94">
        <f t="shared" ref="I11:I12" si="13">SUM(J11:K11)</f>
        <v>2525</v>
      </c>
      <c r="J11" s="94">
        <v>1312</v>
      </c>
      <c r="K11" s="94">
        <v>1213</v>
      </c>
      <c r="L11" s="104" t="s">
        <v>233</v>
      </c>
      <c r="M11" s="565" t="s">
        <v>163</v>
      </c>
      <c r="N11" s="1"/>
    </row>
    <row r="12" spans="3:15" ht="12.75" customHeight="1" thickBot="1" x14ac:dyDescent="0.25">
      <c r="C12" s="94">
        <f t="shared" si="10"/>
        <v>14</v>
      </c>
      <c r="D12" s="94">
        <f t="shared" si="11"/>
        <v>14</v>
      </c>
      <c r="E12" s="94">
        <f t="shared" si="11"/>
        <v>0</v>
      </c>
      <c r="F12" s="94">
        <f t="shared" si="12"/>
        <v>0</v>
      </c>
      <c r="G12" s="94">
        <v>0</v>
      </c>
      <c r="H12" s="94">
        <v>0</v>
      </c>
      <c r="I12" s="94">
        <f t="shared" si="13"/>
        <v>14</v>
      </c>
      <c r="J12" s="94">
        <v>14</v>
      </c>
      <c r="K12" s="94">
        <v>0</v>
      </c>
      <c r="L12" s="104" t="s">
        <v>234</v>
      </c>
      <c r="M12" s="566"/>
      <c r="N12" s="1"/>
    </row>
    <row r="13" spans="3:15" ht="12.75" customHeight="1" thickBot="1" x14ac:dyDescent="0.25">
      <c r="C13" s="94">
        <f t="shared" ref="C13:J13" si="14">SUM(C11:C12)</f>
        <v>2873</v>
      </c>
      <c r="D13" s="94">
        <f t="shared" si="14"/>
        <v>1355</v>
      </c>
      <c r="E13" s="94">
        <f t="shared" si="14"/>
        <v>1518</v>
      </c>
      <c r="F13" s="94">
        <f t="shared" si="14"/>
        <v>334</v>
      </c>
      <c r="G13" s="94">
        <f t="shared" si="14"/>
        <v>29</v>
      </c>
      <c r="H13" s="94">
        <f t="shared" si="14"/>
        <v>305</v>
      </c>
      <c r="I13" s="94">
        <f t="shared" si="14"/>
        <v>2539</v>
      </c>
      <c r="J13" s="94">
        <f t="shared" si="14"/>
        <v>1326</v>
      </c>
      <c r="K13" s="94">
        <f>SUM(K11:K12)</f>
        <v>1213</v>
      </c>
      <c r="L13" s="104" t="s">
        <v>12</v>
      </c>
      <c r="M13" s="567"/>
      <c r="N13" s="1"/>
    </row>
    <row r="14" spans="3:15" ht="12.75" customHeight="1" thickBot="1" x14ac:dyDescent="0.25">
      <c r="C14" s="94">
        <f t="shared" ref="C14:C15" si="15">SUM(D14:E14)</f>
        <v>13448</v>
      </c>
      <c r="D14" s="94">
        <f t="shared" ref="D14:E15" si="16">J14+G14</f>
        <v>9703</v>
      </c>
      <c r="E14" s="94">
        <f t="shared" si="16"/>
        <v>3745</v>
      </c>
      <c r="F14" s="94">
        <f t="shared" ref="F14:F15" si="17">SUM(G14:H14)</f>
        <v>108</v>
      </c>
      <c r="G14" s="94">
        <v>61</v>
      </c>
      <c r="H14" s="94">
        <v>47</v>
      </c>
      <c r="I14" s="94">
        <f t="shared" ref="I14:I15" si="18">SUM(J14:K14)</f>
        <v>13340</v>
      </c>
      <c r="J14" s="94">
        <v>9642</v>
      </c>
      <c r="K14" s="94">
        <v>3698</v>
      </c>
      <c r="L14" s="104" t="s">
        <v>233</v>
      </c>
      <c r="M14" s="565" t="s">
        <v>164</v>
      </c>
      <c r="N14" s="1"/>
    </row>
    <row r="15" spans="3:15" ht="12.75" customHeight="1" thickBot="1" x14ac:dyDescent="0.25">
      <c r="C15" s="94">
        <f t="shared" si="15"/>
        <v>1853</v>
      </c>
      <c r="D15" s="94">
        <f t="shared" si="16"/>
        <v>1161</v>
      </c>
      <c r="E15" s="94">
        <f t="shared" si="16"/>
        <v>692</v>
      </c>
      <c r="F15" s="94">
        <f t="shared" si="17"/>
        <v>0</v>
      </c>
      <c r="G15" s="94">
        <v>0</v>
      </c>
      <c r="H15" s="94">
        <v>0</v>
      </c>
      <c r="I15" s="94">
        <f t="shared" si="18"/>
        <v>1853</v>
      </c>
      <c r="J15" s="94">
        <v>1161</v>
      </c>
      <c r="K15" s="94">
        <v>692</v>
      </c>
      <c r="L15" s="104" t="s">
        <v>234</v>
      </c>
      <c r="M15" s="566"/>
      <c r="N15" s="1"/>
    </row>
    <row r="16" spans="3:15" ht="12.75" customHeight="1" thickBot="1" x14ac:dyDescent="0.25">
      <c r="C16" s="94">
        <f t="shared" ref="C16:J16" si="19">SUM(C14:C15)</f>
        <v>15301</v>
      </c>
      <c r="D16" s="94">
        <f t="shared" si="19"/>
        <v>10864</v>
      </c>
      <c r="E16" s="94">
        <f t="shared" si="19"/>
        <v>4437</v>
      </c>
      <c r="F16" s="94">
        <f t="shared" si="19"/>
        <v>108</v>
      </c>
      <c r="G16" s="94">
        <f t="shared" si="19"/>
        <v>61</v>
      </c>
      <c r="H16" s="94">
        <f t="shared" si="19"/>
        <v>47</v>
      </c>
      <c r="I16" s="94">
        <f t="shared" si="19"/>
        <v>15193</v>
      </c>
      <c r="J16" s="94">
        <f t="shared" si="19"/>
        <v>10803</v>
      </c>
      <c r="K16" s="94">
        <f>SUM(K14:K15)</f>
        <v>4390</v>
      </c>
      <c r="L16" s="104" t="s">
        <v>12</v>
      </c>
      <c r="M16" s="567"/>
      <c r="N16" s="1"/>
    </row>
    <row r="17" spans="3:14" ht="12.75" customHeight="1" thickBot="1" x14ac:dyDescent="0.25">
      <c r="C17" s="94">
        <f t="shared" ref="C17:C18" si="20">SUM(D17:E17)</f>
        <v>330</v>
      </c>
      <c r="D17" s="94">
        <f t="shared" ref="D17:E18" si="21">J17+G17</f>
        <v>243</v>
      </c>
      <c r="E17" s="94">
        <f t="shared" si="21"/>
        <v>87</v>
      </c>
      <c r="F17" s="94">
        <f t="shared" ref="F17:F18" si="22">SUM(G17:H17)</f>
        <v>34</v>
      </c>
      <c r="G17" s="94">
        <v>30</v>
      </c>
      <c r="H17" s="94">
        <v>4</v>
      </c>
      <c r="I17" s="94">
        <f t="shared" ref="I17:I18" si="23">SUM(J17:K17)</f>
        <v>296</v>
      </c>
      <c r="J17" s="94">
        <v>213</v>
      </c>
      <c r="K17" s="94">
        <v>83</v>
      </c>
      <c r="L17" s="104" t="s">
        <v>233</v>
      </c>
      <c r="M17" s="565" t="s">
        <v>165</v>
      </c>
      <c r="N17" s="1"/>
    </row>
    <row r="18" spans="3:14" ht="12.75" customHeight="1" thickBot="1" x14ac:dyDescent="0.25">
      <c r="C18" s="94">
        <f t="shared" si="20"/>
        <v>0</v>
      </c>
      <c r="D18" s="94">
        <f t="shared" si="21"/>
        <v>0</v>
      </c>
      <c r="E18" s="94">
        <f t="shared" si="21"/>
        <v>0</v>
      </c>
      <c r="F18" s="94">
        <f t="shared" si="22"/>
        <v>0</v>
      </c>
      <c r="G18" s="94">
        <v>0</v>
      </c>
      <c r="H18" s="94">
        <v>0</v>
      </c>
      <c r="I18" s="94">
        <f t="shared" si="23"/>
        <v>0</v>
      </c>
      <c r="J18" s="94">
        <v>0</v>
      </c>
      <c r="K18" s="94">
        <v>0</v>
      </c>
      <c r="L18" s="104" t="s">
        <v>234</v>
      </c>
      <c r="M18" s="566"/>
      <c r="N18" s="1"/>
    </row>
    <row r="19" spans="3:14" ht="12.75" customHeight="1" thickBot="1" x14ac:dyDescent="0.25">
      <c r="C19" s="94">
        <f t="shared" ref="C19:J19" si="24">SUM(C17:C18)</f>
        <v>330</v>
      </c>
      <c r="D19" s="94">
        <f t="shared" si="24"/>
        <v>243</v>
      </c>
      <c r="E19" s="94">
        <f t="shared" si="24"/>
        <v>87</v>
      </c>
      <c r="F19" s="94">
        <f t="shared" si="24"/>
        <v>34</v>
      </c>
      <c r="G19" s="94">
        <f t="shared" si="24"/>
        <v>30</v>
      </c>
      <c r="H19" s="94">
        <f t="shared" si="24"/>
        <v>4</v>
      </c>
      <c r="I19" s="94">
        <f t="shared" si="24"/>
        <v>296</v>
      </c>
      <c r="J19" s="94">
        <f t="shared" si="24"/>
        <v>213</v>
      </c>
      <c r="K19" s="94">
        <f>SUM(K17:K18)</f>
        <v>83</v>
      </c>
      <c r="L19" s="104" t="s">
        <v>12</v>
      </c>
      <c r="M19" s="567"/>
      <c r="N19" s="1"/>
    </row>
    <row r="20" spans="3:14" ht="12.75" customHeight="1" thickBot="1" x14ac:dyDescent="0.25">
      <c r="C20" s="94">
        <f t="shared" ref="C20:C21" si="25">SUM(D20:E20)</f>
        <v>14453</v>
      </c>
      <c r="D20" s="94">
        <f t="shared" ref="D20:E21" si="26">J20+G20</f>
        <v>10848</v>
      </c>
      <c r="E20" s="94">
        <f t="shared" si="26"/>
        <v>3605</v>
      </c>
      <c r="F20" s="94">
        <f t="shared" ref="F20:F21" si="27">SUM(G20:H20)</f>
        <v>106</v>
      </c>
      <c r="G20" s="94">
        <v>93</v>
      </c>
      <c r="H20" s="94">
        <v>13</v>
      </c>
      <c r="I20" s="94">
        <f t="shared" ref="I20:I21" si="28">SUM(J20:K20)</f>
        <v>14347</v>
      </c>
      <c r="J20" s="94">
        <v>10755</v>
      </c>
      <c r="K20" s="94">
        <v>3592</v>
      </c>
      <c r="L20" s="104" t="s">
        <v>233</v>
      </c>
      <c r="M20" s="565" t="s">
        <v>166</v>
      </c>
      <c r="N20" s="1"/>
    </row>
    <row r="21" spans="3:14" ht="12.75" customHeight="1" thickBot="1" x14ac:dyDescent="0.25">
      <c r="C21" s="94">
        <f t="shared" si="25"/>
        <v>1464</v>
      </c>
      <c r="D21" s="94">
        <f t="shared" si="26"/>
        <v>941</v>
      </c>
      <c r="E21" s="94">
        <f t="shared" si="26"/>
        <v>523</v>
      </c>
      <c r="F21" s="94">
        <f t="shared" si="27"/>
        <v>148</v>
      </c>
      <c r="G21" s="94">
        <v>126</v>
      </c>
      <c r="H21" s="94">
        <v>22</v>
      </c>
      <c r="I21" s="94">
        <f t="shared" si="28"/>
        <v>1316</v>
      </c>
      <c r="J21" s="94">
        <v>815</v>
      </c>
      <c r="K21" s="94">
        <v>501</v>
      </c>
      <c r="L21" s="104" t="s">
        <v>234</v>
      </c>
      <c r="M21" s="566"/>
      <c r="N21" s="1"/>
    </row>
    <row r="22" spans="3:14" ht="12.75" customHeight="1" thickBot="1" x14ac:dyDescent="0.25">
      <c r="C22" s="94">
        <f t="shared" ref="C22:J22" si="29">SUM(C20:C21)</f>
        <v>15917</v>
      </c>
      <c r="D22" s="94">
        <f t="shared" si="29"/>
        <v>11789</v>
      </c>
      <c r="E22" s="94">
        <f t="shared" si="29"/>
        <v>4128</v>
      </c>
      <c r="F22" s="94">
        <f t="shared" si="29"/>
        <v>254</v>
      </c>
      <c r="G22" s="94">
        <f t="shared" si="29"/>
        <v>219</v>
      </c>
      <c r="H22" s="94">
        <f t="shared" si="29"/>
        <v>35</v>
      </c>
      <c r="I22" s="94">
        <f t="shared" si="29"/>
        <v>15663</v>
      </c>
      <c r="J22" s="94">
        <f t="shared" si="29"/>
        <v>11570</v>
      </c>
      <c r="K22" s="94">
        <f>SUM(K20:K21)</f>
        <v>4093</v>
      </c>
      <c r="L22" s="104" t="s">
        <v>12</v>
      </c>
      <c r="M22" s="567"/>
      <c r="N22" s="1"/>
    </row>
    <row r="23" spans="3:14" ht="12.75" customHeight="1" thickBot="1" x14ac:dyDescent="0.25">
      <c r="C23" s="94">
        <f t="shared" ref="C23:C24" si="30">SUM(D23:E23)</f>
        <v>6204</v>
      </c>
      <c r="D23" s="94">
        <f t="shared" ref="D23:E24" si="31">J23+G23</f>
        <v>5683</v>
      </c>
      <c r="E23" s="94">
        <f t="shared" si="31"/>
        <v>521</v>
      </c>
      <c r="F23" s="94">
        <f t="shared" ref="F23:F24" si="32">SUM(G23:H23)</f>
        <v>5</v>
      </c>
      <c r="G23" s="94">
        <v>3</v>
      </c>
      <c r="H23" s="94">
        <v>2</v>
      </c>
      <c r="I23" s="94">
        <f t="shared" ref="I23:I24" si="33">SUM(J23:K23)</f>
        <v>6199</v>
      </c>
      <c r="J23" s="94">
        <v>5680</v>
      </c>
      <c r="K23" s="94">
        <v>519</v>
      </c>
      <c r="L23" s="104" t="s">
        <v>233</v>
      </c>
      <c r="M23" s="565" t="s">
        <v>167</v>
      </c>
      <c r="N23" s="1"/>
    </row>
    <row r="24" spans="3:14" ht="12.75" customHeight="1" thickBot="1" x14ac:dyDescent="0.25">
      <c r="C24" s="94">
        <f t="shared" si="30"/>
        <v>123</v>
      </c>
      <c r="D24" s="94">
        <f t="shared" si="31"/>
        <v>123</v>
      </c>
      <c r="E24" s="94">
        <f t="shared" si="31"/>
        <v>0</v>
      </c>
      <c r="F24" s="94">
        <f t="shared" si="32"/>
        <v>0</v>
      </c>
      <c r="G24" s="94">
        <v>0</v>
      </c>
      <c r="H24" s="94">
        <v>0</v>
      </c>
      <c r="I24" s="94">
        <f t="shared" si="33"/>
        <v>123</v>
      </c>
      <c r="J24" s="94">
        <v>123</v>
      </c>
      <c r="K24" s="94">
        <v>0</v>
      </c>
      <c r="L24" s="104" t="s">
        <v>234</v>
      </c>
      <c r="M24" s="566"/>
      <c r="N24" s="1"/>
    </row>
    <row r="25" spans="3:14" ht="12.75" customHeight="1" thickBot="1" x14ac:dyDescent="0.25">
      <c r="C25" s="94">
        <f t="shared" ref="C25:J25" si="34">SUM(C23:C24)</f>
        <v>6327</v>
      </c>
      <c r="D25" s="94">
        <f t="shared" si="34"/>
        <v>5806</v>
      </c>
      <c r="E25" s="94">
        <f t="shared" si="34"/>
        <v>521</v>
      </c>
      <c r="F25" s="94">
        <f t="shared" si="34"/>
        <v>5</v>
      </c>
      <c r="G25" s="94">
        <f t="shared" si="34"/>
        <v>3</v>
      </c>
      <c r="H25" s="94">
        <f t="shared" si="34"/>
        <v>2</v>
      </c>
      <c r="I25" s="94">
        <f t="shared" si="34"/>
        <v>6322</v>
      </c>
      <c r="J25" s="94">
        <f t="shared" si="34"/>
        <v>5803</v>
      </c>
      <c r="K25" s="94">
        <f>SUM(K23:K24)</f>
        <v>519</v>
      </c>
      <c r="L25" s="104" t="s">
        <v>12</v>
      </c>
      <c r="M25" s="567"/>
      <c r="N25" s="1"/>
    </row>
    <row r="26" spans="3:14" ht="12.75" customHeight="1" thickBot="1" x14ac:dyDescent="0.25">
      <c r="C26" s="94">
        <f t="shared" ref="C26:C27" si="35">SUM(D26:E26)</f>
        <v>1420</v>
      </c>
      <c r="D26" s="94">
        <f t="shared" ref="D26:E27" si="36">J26+G26</f>
        <v>970</v>
      </c>
      <c r="E26" s="94">
        <f t="shared" si="36"/>
        <v>450</v>
      </c>
      <c r="F26" s="94">
        <f t="shared" ref="F26:F27" si="37">SUM(G26:H26)</f>
        <v>77</v>
      </c>
      <c r="G26" s="94">
        <v>30</v>
      </c>
      <c r="H26" s="94">
        <v>47</v>
      </c>
      <c r="I26" s="94">
        <f t="shared" ref="I26:I27" si="38">SUM(J26:K26)</f>
        <v>1343</v>
      </c>
      <c r="J26" s="94">
        <v>940</v>
      </c>
      <c r="K26" s="94">
        <v>403</v>
      </c>
      <c r="L26" s="104" t="s">
        <v>233</v>
      </c>
      <c r="M26" s="565" t="s">
        <v>168</v>
      </c>
      <c r="N26" s="1"/>
    </row>
    <row r="27" spans="3:14" ht="12.75" customHeight="1" thickBot="1" x14ac:dyDescent="0.25">
      <c r="C27" s="94">
        <f t="shared" si="35"/>
        <v>126</v>
      </c>
      <c r="D27" s="94">
        <f t="shared" si="36"/>
        <v>126</v>
      </c>
      <c r="E27" s="94">
        <f t="shared" si="36"/>
        <v>0</v>
      </c>
      <c r="F27" s="94">
        <f t="shared" si="37"/>
        <v>0</v>
      </c>
      <c r="G27" s="94">
        <v>0</v>
      </c>
      <c r="H27" s="94">
        <v>0</v>
      </c>
      <c r="I27" s="94">
        <f t="shared" si="38"/>
        <v>126</v>
      </c>
      <c r="J27" s="94">
        <v>126</v>
      </c>
      <c r="K27" s="94">
        <v>0</v>
      </c>
      <c r="L27" s="104" t="s">
        <v>234</v>
      </c>
      <c r="M27" s="566"/>
      <c r="N27" s="1"/>
    </row>
    <row r="28" spans="3:14" ht="12.75" customHeight="1" thickBot="1" x14ac:dyDescent="0.25">
      <c r="C28" s="94">
        <f t="shared" ref="C28:J28" si="39">SUM(C26:C27)</f>
        <v>1546</v>
      </c>
      <c r="D28" s="94">
        <f t="shared" si="39"/>
        <v>1096</v>
      </c>
      <c r="E28" s="94">
        <f t="shared" si="39"/>
        <v>450</v>
      </c>
      <c r="F28" s="94">
        <f t="shared" si="39"/>
        <v>77</v>
      </c>
      <c r="G28" s="94">
        <f t="shared" si="39"/>
        <v>30</v>
      </c>
      <c r="H28" s="94">
        <f t="shared" si="39"/>
        <v>47</v>
      </c>
      <c r="I28" s="94">
        <f t="shared" si="39"/>
        <v>1469</v>
      </c>
      <c r="J28" s="94">
        <f t="shared" si="39"/>
        <v>1066</v>
      </c>
      <c r="K28" s="94">
        <f>SUM(K26:K27)</f>
        <v>403</v>
      </c>
      <c r="L28" s="104" t="s">
        <v>12</v>
      </c>
      <c r="M28" s="567"/>
      <c r="N28" s="1"/>
    </row>
    <row r="29" spans="3:14" ht="12.75" customHeight="1" thickBot="1" x14ac:dyDescent="0.25">
      <c r="C29" s="94">
        <f t="shared" ref="C29:C30" si="40">SUM(D29:E29)</f>
        <v>4872</v>
      </c>
      <c r="D29" s="94">
        <f t="shared" ref="D29:E30" si="41">J29+G29</f>
        <v>2355</v>
      </c>
      <c r="E29" s="94">
        <f t="shared" si="41"/>
        <v>2517</v>
      </c>
      <c r="F29" s="94">
        <f t="shared" ref="F29:F30" si="42">SUM(G29:H29)</f>
        <v>157</v>
      </c>
      <c r="G29" s="94">
        <v>102</v>
      </c>
      <c r="H29" s="94">
        <v>55</v>
      </c>
      <c r="I29" s="94">
        <f t="shared" ref="I29:I30" si="43">SUM(J29:K29)</f>
        <v>4715</v>
      </c>
      <c r="J29" s="94">
        <v>2253</v>
      </c>
      <c r="K29" s="94">
        <v>2462</v>
      </c>
      <c r="L29" s="104" t="s">
        <v>233</v>
      </c>
      <c r="M29" s="565" t="s">
        <v>169</v>
      </c>
      <c r="N29" s="1"/>
    </row>
    <row r="30" spans="3:14" ht="12.75" customHeight="1" thickBot="1" x14ac:dyDescent="0.25">
      <c r="C30" s="94">
        <f t="shared" si="40"/>
        <v>1351</v>
      </c>
      <c r="D30" s="94">
        <f t="shared" si="41"/>
        <v>769</v>
      </c>
      <c r="E30" s="94">
        <f t="shared" si="41"/>
        <v>582</v>
      </c>
      <c r="F30" s="94">
        <f t="shared" si="42"/>
        <v>106</v>
      </c>
      <c r="G30" s="94">
        <v>86</v>
      </c>
      <c r="H30" s="94">
        <v>20</v>
      </c>
      <c r="I30" s="94">
        <f t="shared" si="43"/>
        <v>1245</v>
      </c>
      <c r="J30" s="94">
        <v>683</v>
      </c>
      <c r="K30" s="94">
        <v>562</v>
      </c>
      <c r="L30" s="104" t="s">
        <v>234</v>
      </c>
      <c r="M30" s="566"/>
      <c r="N30" s="1"/>
    </row>
    <row r="31" spans="3:14" ht="12.75" customHeight="1" thickBot="1" x14ac:dyDescent="0.25">
      <c r="C31" s="94">
        <f t="shared" ref="C31:J31" si="44">SUM(C29:C30)</f>
        <v>6223</v>
      </c>
      <c r="D31" s="94">
        <f t="shared" si="44"/>
        <v>3124</v>
      </c>
      <c r="E31" s="94">
        <f t="shared" si="44"/>
        <v>3099</v>
      </c>
      <c r="F31" s="94">
        <f t="shared" si="44"/>
        <v>263</v>
      </c>
      <c r="G31" s="94">
        <f t="shared" si="44"/>
        <v>188</v>
      </c>
      <c r="H31" s="94">
        <f t="shared" si="44"/>
        <v>75</v>
      </c>
      <c r="I31" s="94">
        <f t="shared" si="44"/>
        <v>5960</v>
      </c>
      <c r="J31" s="94">
        <f t="shared" si="44"/>
        <v>2936</v>
      </c>
      <c r="K31" s="94">
        <f>SUM(K29:K30)</f>
        <v>3024</v>
      </c>
      <c r="L31" s="104" t="s">
        <v>12</v>
      </c>
      <c r="M31" s="567"/>
      <c r="N31" s="1"/>
    </row>
    <row r="32" spans="3:14" ht="12.75" customHeight="1" thickBot="1" x14ac:dyDescent="0.25">
      <c r="C32" s="94">
        <f t="shared" ref="C32:C33" si="45">SUM(D32:E32)</f>
        <v>169</v>
      </c>
      <c r="D32" s="94">
        <f t="shared" ref="D32:E33" si="46">J32+G32</f>
        <v>169</v>
      </c>
      <c r="E32" s="94">
        <f t="shared" si="46"/>
        <v>0</v>
      </c>
      <c r="F32" s="94">
        <f t="shared" ref="F32:F33" si="47">SUM(G32:H32)</f>
        <v>1</v>
      </c>
      <c r="G32" s="94">
        <v>1</v>
      </c>
      <c r="H32" s="94">
        <v>0</v>
      </c>
      <c r="I32" s="94">
        <f t="shared" ref="I32:I33" si="48">SUM(J32:K32)</f>
        <v>168</v>
      </c>
      <c r="J32" s="94">
        <v>168</v>
      </c>
      <c r="K32" s="94">
        <v>0</v>
      </c>
      <c r="L32" s="104" t="s">
        <v>233</v>
      </c>
      <c r="M32" s="565" t="s">
        <v>170</v>
      </c>
      <c r="N32" s="1"/>
    </row>
    <row r="33" spans="3:14" ht="12.75" customHeight="1" thickBot="1" x14ac:dyDescent="0.25">
      <c r="C33" s="94">
        <f t="shared" si="45"/>
        <v>0</v>
      </c>
      <c r="D33" s="94">
        <f t="shared" si="46"/>
        <v>0</v>
      </c>
      <c r="E33" s="94">
        <f t="shared" si="46"/>
        <v>0</v>
      </c>
      <c r="F33" s="94">
        <f t="shared" si="47"/>
        <v>0</v>
      </c>
      <c r="G33" s="94">
        <v>0</v>
      </c>
      <c r="H33" s="94">
        <v>0</v>
      </c>
      <c r="I33" s="94">
        <f t="shared" si="48"/>
        <v>0</v>
      </c>
      <c r="J33" s="94">
        <v>0</v>
      </c>
      <c r="K33" s="94">
        <v>0</v>
      </c>
      <c r="L33" s="104" t="s">
        <v>234</v>
      </c>
      <c r="M33" s="566"/>
      <c r="N33" s="1"/>
    </row>
    <row r="34" spans="3:14" ht="12.75" customHeight="1" thickBot="1" x14ac:dyDescent="0.25">
      <c r="C34" s="94">
        <f t="shared" ref="C34:J34" si="49">SUM(C32:C33)</f>
        <v>169</v>
      </c>
      <c r="D34" s="94">
        <f t="shared" si="49"/>
        <v>169</v>
      </c>
      <c r="E34" s="94">
        <f t="shared" si="49"/>
        <v>0</v>
      </c>
      <c r="F34" s="94">
        <f t="shared" si="49"/>
        <v>1</v>
      </c>
      <c r="G34" s="94">
        <f t="shared" si="49"/>
        <v>1</v>
      </c>
      <c r="H34" s="94">
        <f t="shared" si="49"/>
        <v>0</v>
      </c>
      <c r="I34" s="94">
        <f t="shared" si="49"/>
        <v>168</v>
      </c>
      <c r="J34" s="94">
        <f t="shared" si="49"/>
        <v>168</v>
      </c>
      <c r="K34" s="94">
        <f>SUM(K32:K33)</f>
        <v>0</v>
      </c>
      <c r="L34" s="104" t="s">
        <v>12</v>
      </c>
      <c r="M34" s="567"/>
      <c r="N34" s="1"/>
    </row>
    <row r="35" spans="3:14" ht="12.75" customHeight="1" thickBot="1" x14ac:dyDescent="0.25">
      <c r="C35" s="94">
        <f t="shared" ref="C35:C36" si="50">SUM(D35:E35)</f>
        <v>5589</v>
      </c>
      <c r="D35" s="94">
        <f t="shared" ref="D35:E36" si="51">J35+G35</f>
        <v>4121</v>
      </c>
      <c r="E35" s="94">
        <f t="shared" si="51"/>
        <v>1468</v>
      </c>
      <c r="F35" s="94">
        <f t="shared" ref="F35:F36" si="52">SUM(G35:H35)</f>
        <v>50</v>
      </c>
      <c r="G35" s="94">
        <v>36</v>
      </c>
      <c r="H35" s="94">
        <v>14</v>
      </c>
      <c r="I35" s="94">
        <f t="shared" ref="I35:I36" si="53">SUM(J35:K35)</f>
        <v>5539</v>
      </c>
      <c r="J35" s="94">
        <v>4085</v>
      </c>
      <c r="K35" s="94">
        <v>1454</v>
      </c>
      <c r="L35" s="104" t="s">
        <v>233</v>
      </c>
      <c r="M35" s="565" t="s">
        <v>171</v>
      </c>
      <c r="N35" s="1"/>
    </row>
    <row r="36" spans="3:14" ht="12.75" customHeight="1" thickBot="1" x14ac:dyDescent="0.25">
      <c r="C36" s="94">
        <f t="shared" si="50"/>
        <v>16</v>
      </c>
      <c r="D36" s="94">
        <f t="shared" si="51"/>
        <v>0</v>
      </c>
      <c r="E36" s="94">
        <f t="shared" si="51"/>
        <v>16</v>
      </c>
      <c r="F36" s="94">
        <f t="shared" si="52"/>
        <v>0</v>
      </c>
      <c r="G36" s="94">
        <v>0</v>
      </c>
      <c r="H36" s="94">
        <v>0</v>
      </c>
      <c r="I36" s="94">
        <f t="shared" si="53"/>
        <v>16</v>
      </c>
      <c r="J36" s="94">
        <v>0</v>
      </c>
      <c r="K36" s="94">
        <v>16</v>
      </c>
      <c r="L36" s="104" t="s">
        <v>234</v>
      </c>
      <c r="M36" s="566"/>
      <c r="N36" s="1"/>
    </row>
    <row r="37" spans="3:14" ht="12.75" customHeight="1" thickBot="1" x14ac:dyDescent="0.25">
      <c r="C37" s="94">
        <f t="shared" ref="C37:J37" si="54">SUM(C35:C36)</f>
        <v>5605</v>
      </c>
      <c r="D37" s="94">
        <f t="shared" si="54"/>
        <v>4121</v>
      </c>
      <c r="E37" s="94">
        <f t="shared" si="54"/>
        <v>1484</v>
      </c>
      <c r="F37" s="94">
        <f t="shared" si="54"/>
        <v>50</v>
      </c>
      <c r="G37" s="94">
        <f t="shared" si="54"/>
        <v>36</v>
      </c>
      <c r="H37" s="94">
        <f t="shared" si="54"/>
        <v>14</v>
      </c>
      <c r="I37" s="94">
        <f t="shared" si="54"/>
        <v>5555</v>
      </c>
      <c r="J37" s="94">
        <f t="shared" si="54"/>
        <v>4085</v>
      </c>
      <c r="K37" s="94">
        <f>SUM(K35:K36)</f>
        <v>1470</v>
      </c>
      <c r="L37" s="104" t="s">
        <v>12</v>
      </c>
      <c r="M37" s="567"/>
      <c r="N37" s="1"/>
    </row>
    <row r="38" spans="3:14" ht="12.75" customHeight="1" thickBot="1" x14ac:dyDescent="0.25">
      <c r="C38" s="94">
        <f t="shared" ref="C38:C39" si="55">SUM(D38:E38)</f>
        <v>4837</v>
      </c>
      <c r="D38" s="94">
        <f t="shared" ref="D38:E39" si="56">J38+G38</f>
        <v>3687</v>
      </c>
      <c r="E38" s="94">
        <f t="shared" si="56"/>
        <v>1150</v>
      </c>
      <c r="F38" s="94">
        <f t="shared" ref="F38:F39" si="57">SUM(G38:H38)</f>
        <v>41</v>
      </c>
      <c r="G38" s="94">
        <v>25</v>
      </c>
      <c r="H38" s="94">
        <v>16</v>
      </c>
      <c r="I38" s="94">
        <f t="shared" ref="I38:I39" si="58">SUM(J38:K38)</f>
        <v>4796</v>
      </c>
      <c r="J38" s="94">
        <v>3662</v>
      </c>
      <c r="K38" s="94">
        <v>1134</v>
      </c>
      <c r="L38" s="104" t="s">
        <v>233</v>
      </c>
      <c r="M38" s="565" t="s">
        <v>172</v>
      </c>
      <c r="N38" s="1"/>
    </row>
    <row r="39" spans="3:14" ht="12.75" customHeight="1" thickBot="1" x14ac:dyDescent="0.25">
      <c r="C39" s="94">
        <f t="shared" si="55"/>
        <v>0</v>
      </c>
      <c r="D39" s="94">
        <f t="shared" si="56"/>
        <v>0</v>
      </c>
      <c r="E39" s="94">
        <f t="shared" si="56"/>
        <v>0</v>
      </c>
      <c r="F39" s="94">
        <f t="shared" si="57"/>
        <v>0</v>
      </c>
      <c r="G39" s="94">
        <v>0</v>
      </c>
      <c r="H39" s="94">
        <v>0</v>
      </c>
      <c r="I39" s="94">
        <f t="shared" si="58"/>
        <v>0</v>
      </c>
      <c r="J39" s="94">
        <v>0</v>
      </c>
      <c r="K39" s="94">
        <v>0</v>
      </c>
      <c r="L39" s="104" t="s">
        <v>234</v>
      </c>
      <c r="M39" s="566"/>
      <c r="N39" s="1"/>
    </row>
    <row r="40" spans="3:14" ht="12.75" customHeight="1" thickBot="1" x14ac:dyDescent="0.25">
      <c r="C40" s="94">
        <f t="shared" ref="C40:J40" si="59">SUM(C38:C39)</f>
        <v>4837</v>
      </c>
      <c r="D40" s="94">
        <f t="shared" si="59"/>
        <v>3687</v>
      </c>
      <c r="E40" s="94">
        <f t="shared" si="59"/>
        <v>1150</v>
      </c>
      <c r="F40" s="94">
        <f t="shared" si="59"/>
        <v>41</v>
      </c>
      <c r="G40" s="94">
        <f t="shared" si="59"/>
        <v>25</v>
      </c>
      <c r="H40" s="94">
        <f t="shared" si="59"/>
        <v>16</v>
      </c>
      <c r="I40" s="94">
        <f t="shared" si="59"/>
        <v>4796</v>
      </c>
      <c r="J40" s="94">
        <f t="shared" si="59"/>
        <v>3662</v>
      </c>
      <c r="K40" s="94">
        <f>SUM(K38:K39)</f>
        <v>1134</v>
      </c>
      <c r="L40" s="104" t="s">
        <v>12</v>
      </c>
      <c r="M40" s="567"/>
      <c r="N40" s="1"/>
    </row>
    <row r="41" spans="3:14" ht="12.75" customHeight="1" thickBot="1" x14ac:dyDescent="0.25">
      <c r="C41" s="94">
        <f t="shared" ref="C41:C42" si="60">SUM(D41:E41)</f>
        <v>5120</v>
      </c>
      <c r="D41" s="94">
        <f t="shared" ref="D41:E42" si="61">J41+G41</f>
        <v>4038</v>
      </c>
      <c r="E41" s="94">
        <f t="shared" si="61"/>
        <v>1082</v>
      </c>
      <c r="F41" s="94">
        <f t="shared" ref="F41:F42" si="62">SUM(G41:H41)</f>
        <v>27</v>
      </c>
      <c r="G41" s="94">
        <v>23</v>
      </c>
      <c r="H41" s="94">
        <v>4</v>
      </c>
      <c r="I41" s="94">
        <f t="shared" ref="I41:I42" si="63">SUM(J41:K41)</f>
        <v>5093</v>
      </c>
      <c r="J41" s="94">
        <v>4015</v>
      </c>
      <c r="K41" s="94">
        <v>1078</v>
      </c>
      <c r="L41" s="104" t="s">
        <v>233</v>
      </c>
      <c r="M41" s="565" t="s">
        <v>173</v>
      </c>
      <c r="N41" s="1"/>
    </row>
    <row r="42" spans="3:14" ht="12.75" customHeight="1" thickBot="1" x14ac:dyDescent="0.25">
      <c r="C42" s="94">
        <f t="shared" si="60"/>
        <v>10</v>
      </c>
      <c r="D42" s="94">
        <f t="shared" si="61"/>
        <v>10</v>
      </c>
      <c r="E42" s="94">
        <f t="shared" si="61"/>
        <v>0</v>
      </c>
      <c r="F42" s="94">
        <f t="shared" si="62"/>
        <v>0</v>
      </c>
      <c r="G42" s="94">
        <v>0</v>
      </c>
      <c r="H42" s="94">
        <v>0</v>
      </c>
      <c r="I42" s="94">
        <f t="shared" si="63"/>
        <v>10</v>
      </c>
      <c r="J42" s="94">
        <v>10</v>
      </c>
      <c r="K42" s="94">
        <v>0</v>
      </c>
      <c r="L42" s="104" t="s">
        <v>234</v>
      </c>
      <c r="M42" s="566"/>
      <c r="N42" s="1"/>
    </row>
    <row r="43" spans="3:14" ht="12.75" customHeight="1" thickBot="1" x14ac:dyDescent="0.25">
      <c r="C43" s="94">
        <f t="shared" ref="C43:J43" si="64">SUM(C41:C42)</f>
        <v>5130</v>
      </c>
      <c r="D43" s="94">
        <f t="shared" si="64"/>
        <v>4048</v>
      </c>
      <c r="E43" s="94">
        <f t="shared" si="64"/>
        <v>1082</v>
      </c>
      <c r="F43" s="94">
        <f t="shared" si="64"/>
        <v>27</v>
      </c>
      <c r="G43" s="94">
        <f t="shared" si="64"/>
        <v>23</v>
      </c>
      <c r="H43" s="94">
        <f t="shared" si="64"/>
        <v>4</v>
      </c>
      <c r="I43" s="94">
        <f t="shared" si="64"/>
        <v>5103</v>
      </c>
      <c r="J43" s="94">
        <f t="shared" si="64"/>
        <v>4025</v>
      </c>
      <c r="K43" s="94">
        <f>SUM(K41:K42)</f>
        <v>1078</v>
      </c>
      <c r="L43" s="104" t="s">
        <v>12</v>
      </c>
      <c r="M43" s="567"/>
      <c r="N43" s="1"/>
    </row>
    <row r="44" spans="3:14" ht="12.75" customHeight="1" thickBot="1" x14ac:dyDescent="0.25">
      <c r="C44" s="94">
        <f t="shared" ref="C44:C45" si="65">SUM(D44:E44)</f>
        <v>3764</v>
      </c>
      <c r="D44" s="94">
        <f t="shared" ref="D44:E45" si="66">J44+G44</f>
        <v>1831</v>
      </c>
      <c r="E44" s="94">
        <f t="shared" si="66"/>
        <v>1933</v>
      </c>
      <c r="F44" s="94">
        <f t="shared" ref="F44:F45" si="67">SUM(G44:H44)</f>
        <v>296</v>
      </c>
      <c r="G44" s="94">
        <v>106</v>
      </c>
      <c r="H44" s="94">
        <v>190</v>
      </c>
      <c r="I44" s="94">
        <f t="shared" ref="I44:I45" si="68">SUM(J44:K44)</f>
        <v>3468</v>
      </c>
      <c r="J44" s="94">
        <v>1725</v>
      </c>
      <c r="K44" s="94">
        <v>1743</v>
      </c>
      <c r="L44" s="104" t="s">
        <v>233</v>
      </c>
      <c r="M44" s="565" t="s">
        <v>174</v>
      </c>
      <c r="N44" s="1"/>
    </row>
    <row r="45" spans="3:14" ht="12.75" customHeight="1" thickBot="1" x14ac:dyDescent="0.25">
      <c r="C45" s="94">
        <f t="shared" si="65"/>
        <v>0</v>
      </c>
      <c r="D45" s="94">
        <f t="shared" si="66"/>
        <v>0</v>
      </c>
      <c r="E45" s="94">
        <f t="shared" si="66"/>
        <v>0</v>
      </c>
      <c r="F45" s="94">
        <f t="shared" si="67"/>
        <v>0</v>
      </c>
      <c r="G45" s="94">
        <v>0</v>
      </c>
      <c r="H45" s="94">
        <v>0</v>
      </c>
      <c r="I45" s="94">
        <f t="shared" si="68"/>
        <v>0</v>
      </c>
      <c r="J45" s="94">
        <v>0</v>
      </c>
      <c r="K45" s="94">
        <v>0</v>
      </c>
      <c r="L45" s="104" t="s">
        <v>234</v>
      </c>
      <c r="M45" s="566"/>
      <c r="N45" s="1"/>
    </row>
    <row r="46" spans="3:14" ht="12.75" customHeight="1" thickBot="1" x14ac:dyDescent="0.25">
      <c r="C46" s="94">
        <f t="shared" ref="C46:J46" si="69">SUM(C44:C45)</f>
        <v>3764</v>
      </c>
      <c r="D46" s="94">
        <f t="shared" si="69"/>
        <v>1831</v>
      </c>
      <c r="E46" s="94">
        <f t="shared" si="69"/>
        <v>1933</v>
      </c>
      <c r="F46" s="94">
        <f t="shared" si="69"/>
        <v>296</v>
      </c>
      <c r="G46" s="94">
        <f t="shared" si="69"/>
        <v>106</v>
      </c>
      <c r="H46" s="94">
        <f t="shared" si="69"/>
        <v>190</v>
      </c>
      <c r="I46" s="94">
        <f t="shared" si="69"/>
        <v>3468</v>
      </c>
      <c r="J46" s="94">
        <f t="shared" si="69"/>
        <v>1725</v>
      </c>
      <c r="K46" s="94">
        <f>SUM(K44:K45)</f>
        <v>1743</v>
      </c>
      <c r="L46" s="104" t="s">
        <v>12</v>
      </c>
      <c r="M46" s="567"/>
      <c r="N46" s="1"/>
    </row>
    <row r="47" spans="3:14" ht="12.75" customHeight="1" thickBot="1" x14ac:dyDescent="0.25">
      <c r="C47" s="94">
        <f t="shared" ref="C47:C48" si="70">SUM(D47:E47)</f>
        <v>1337</v>
      </c>
      <c r="D47" s="94">
        <f t="shared" ref="D47:E48" si="71">J47+G47</f>
        <v>0</v>
      </c>
      <c r="E47" s="94">
        <f t="shared" si="71"/>
        <v>1337</v>
      </c>
      <c r="F47" s="94">
        <f t="shared" ref="F47:F48" si="72">SUM(G47:H47)</f>
        <v>11</v>
      </c>
      <c r="G47" s="94">
        <v>0</v>
      </c>
      <c r="H47" s="94">
        <v>11</v>
      </c>
      <c r="I47" s="94">
        <f t="shared" ref="I47:I48" si="73">SUM(J47:K47)</f>
        <v>1326</v>
      </c>
      <c r="J47" s="94">
        <v>0</v>
      </c>
      <c r="K47" s="94">
        <v>1326</v>
      </c>
      <c r="L47" s="104" t="s">
        <v>233</v>
      </c>
      <c r="M47" s="565" t="s">
        <v>175</v>
      </c>
      <c r="N47" s="1"/>
    </row>
    <row r="48" spans="3:14" ht="12.75" customHeight="1" thickBot="1" x14ac:dyDescent="0.25">
      <c r="C48" s="94">
        <f t="shared" si="70"/>
        <v>0</v>
      </c>
      <c r="D48" s="94">
        <f t="shared" si="71"/>
        <v>0</v>
      </c>
      <c r="E48" s="94">
        <f t="shared" si="71"/>
        <v>0</v>
      </c>
      <c r="F48" s="94">
        <f t="shared" si="72"/>
        <v>0</v>
      </c>
      <c r="G48" s="94">
        <v>0</v>
      </c>
      <c r="H48" s="94">
        <v>0</v>
      </c>
      <c r="I48" s="94">
        <f t="shared" si="73"/>
        <v>0</v>
      </c>
      <c r="J48" s="94">
        <v>0</v>
      </c>
      <c r="K48" s="94">
        <v>0</v>
      </c>
      <c r="L48" s="104" t="s">
        <v>234</v>
      </c>
      <c r="M48" s="566"/>
      <c r="N48" s="1"/>
    </row>
    <row r="49" spans="3:14" ht="12.75" customHeight="1" thickBot="1" x14ac:dyDescent="0.25">
      <c r="C49" s="94">
        <f t="shared" ref="C49:J49" si="74">SUM(C47:C48)</f>
        <v>1337</v>
      </c>
      <c r="D49" s="94">
        <f t="shared" si="74"/>
        <v>0</v>
      </c>
      <c r="E49" s="94">
        <f t="shared" si="74"/>
        <v>1337</v>
      </c>
      <c r="F49" s="94">
        <f t="shared" si="74"/>
        <v>11</v>
      </c>
      <c r="G49" s="94">
        <f t="shared" si="74"/>
        <v>0</v>
      </c>
      <c r="H49" s="94">
        <f t="shared" si="74"/>
        <v>11</v>
      </c>
      <c r="I49" s="94">
        <f t="shared" si="74"/>
        <v>1326</v>
      </c>
      <c r="J49" s="94">
        <f t="shared" si="74"/>
        <v>0</v>
      </c>
      <c r="K49" s="94">
        <f>SUM(K47:K48)</f>
        <v>1326</v>
      </c>
      <c r="L49" s="104" t="s">
        <v>12</v>
      </c>
      <c r="M49" s="567"/>
      <c r="N49" s="1"/>
    </row>
    <row r="50" spans="3:14" ht="12.75" customHeight="1" thickBot="1" x14ac:dyDescent="0.25">
      <c r="C50" s="94">
        <f t="shared" ref="C50:C51" si="75">SUM(D50:E50)</f>
        <v>354</v>
      </c>
      <c r="D50" s="94">
        <f t="shared" ref="D50:E51" si="76">J50+G50</f>
        <v>330</v>
      </c>
      <c r="E50" s="94">
        <f t="shared" si="76"/>
        <v>24</v>
      </c>
      <c r="F50" s="94">
        <f t="shared" ref="F50:F51" si="77">SUM(G50:H50)</f>
        <v>5</v>
      </c>
      <c r="G50" s="94">
        <v>5</v>
      </c>
      <c r="H50" s="94">
        <v>0</v>
      </c>
      <c r="I50" s="94">
        <f t="shared" ref="I50:I51" si="78">SUM(J50:K50)</f>
        <v>349</v>
      </c>
      <c r="J50" s="94">
        <v>325</v>
      </c>
      <c r="K50" s="94">
        <v>24</v>
      </c>
      <c r="L50" s="104" t="s">
        <v>233</v>
      </c>
      <c r="M50" s="565" t="s">
        <v>176</v>
      </c>
      <c r="N50" s="1"/>
    </row>
    <row r="51" spans="3:14" ht="12.75" customHeight="1" thickBot="1" x14ac:dyDescent="0.25">
      <c r="C51" s="94">
        <f t="shared" si="75"/>
        <v>0</v>
      </c>
      <c r="D51" s="94">
        <f t="shared" si="76"/>
        <v>0</v>
      </c>
      <c r="E51" s="94">
        <f t="shared" si="76"/>
        <v>0</v>
      </c>
      <c r="F51" s="94">
        <f t="shared" si="77"/>
        <v>0</v>
      </c>
      <c r="G51" s="94">
        <v>0</v>
      </c>
      <c r="H51" s="94">
        <v>0</v>
      </c>
      <c r="I51" s="94">
        <f t="shared" si="78"/>
        <v>0</v>
      </c>
      <c r="J51" s="94">
        <v>0</v>
      </c>
      <c r="K51" s="94">
        <v>0</v>
      </c>
      <c r="L51" s="104" t="s">
        <v>234</v>
      </c>
      <c r="M51" s="566"/>
      <c r="N51" s="1"/>
    </row>
    <row r="52" spans="3:14" ht="12.75" customHeight="1" thickBot="1" x14ac:dyDescent="0.25">
      <c r="C52" s="94">
        <f t="shared" ref="C52:J52" si="79">SUM(C50:C51)</f>
        <v>354</v>
      </c>
      <c r="D52" s="94">
        <f t="shared" si="79"/>
        <v>330</v>
      </c>
      <c r="E52" s="94">
        <f t="shared" si="79"/>
        <v>24</v>
      </c>
      <c r="F52" s="94">
        <f t="shared" si="79"/>
        <v>5</v>
      </c>
      <c r="G52" s="94">
        <f t="shared" si="79"/>
        <v>5</v>
      </c>
      <c r="H52" s="94">
        <f t="shared" si="79"/>
        <v>0</v>
      </c>
      <c r="I52" s="94">
        <f t="shared" si="79"/>
        <v>349</v>
      </c>
      <c r="J52" s="94">
        <f t="shared" si="79"/>
        <v>325</v>
      </c>
      <c r="K52" s="94">
        <f>SUM(K50:K51)</f>
        <v>24</v>
      </c>
      <c r="L52" s="104" t="s">
        <v>12</v>
      </c>
      <c r="M52" s="567"/>
      <c r="N52" s="1"/>
    </row>
    <row r="53" spans="3:14" ht="12.75" customHeight="1" thickBot="1" x14ac:dyDescent="0.25">
      <c r="C53" s="94">
        <f t="shared" ref="C53:C54" si="80">SUM(D53:E53)</f>
        <v>925</v>
      </c>
      <c r="D53" s="94">
        <f t="shared" ref="D53:E54" si="81">J53+G53</f>
        <v>50</v>
      </c>
      <c r="E53" s="94">
        <f t="shared" si="81"/>
        <v>875</v>
      </c>
      <c r="F53" s="94">
        <f t="shared" ref="F53:F54" si="82">SUM(G53:H53)</f>
        <v>16</v>
      </c>
      <c r="G53" s="94">
        <v>1</v>
      </c>
      <c r="H53" s="94">
        <v>15</v>
      </c>
      <c r="I53" s="94">
        <f t="shared" ref="I53:I54" si="83">SUM(J53:K53)</f>
        <v>909</v>
      </c>
      <c r="J53" s="94">
        <v>49</v>
      </c>
      <c r="K53" s="94">
        <v>860</v>
      </c>
      <c r="L53" s="104" t="s">
        <v>233</v>
      </c>
      <c r="M53" s="565" t="s">
        <v>177</v>
      </c>
      <c r="N53" s="1"/>
    </row>
    <row r="54" spans="3:14" ht="12.75" customHeight="1" thickBot="1" x14ac:dyDescent="0.25">
      <c r="C54" s="94">
        <f t="shared" si="80"/>
        <v>0</v>
      </c>
      <c r="D54" s="94">
        <f t="shared" si="81"/>
        <v>0</v>
      </c>
      <c r="E54" s="94">
        <f t="shared" si="81"/>
        <v>0</v>
      </c>
      <c r="F54" s="94">
        <f t="shared" si="82"/>
        <v>0</v>
      </c>
      <c r="G54" s="94">
        <v>0</v>
      </c>
      <c r="H54" s="94">
        <v>0</v>
      </c>
      <c r="I54" s="94">
        <f t="shared" si="83"/>
        <v>0</v>
      </c>
      <c r="J54" s="94">
        <v>0</v>
      </c>
      <c r="K54" s="94">
        <v>0</v>
      </c>
      <c r="L54" s="104" t="s">
        <v>234</v>
      </c>
      <c r="M54" s="566"/>
      <c r="N54" s="1"/>
    </row>
    <row r="55" spans="3:14" ht="12.75" customHeight="1" thickBot="1" x14ac:dyDescent="0.25">
      <c r="C55" s="94">
        <f t="shared" ref="C55:J55" si="84">SUM(C53:C54)</f>
        <v>925</v>
      </c>
      <c r="D55" s="94">
        <f t="shared" si="84"/>
        <v>50</v>
      </c>
      <c r="E55" s="94">
        <f t="shared" si="84"/>
        <v>875</v>
      </c>
      <c r="F55" s="94">
        <f t="shared" si="84"/>
        <v>16</v>
      </c>
      <c r="G55" s="94">
        <f t="shared" si="84"/>
        <v>1</v>
      </c>
      <c r="H55" s="94">
        <f t="shared" si="84"/>
        <v>15</v>
      </c>
      <c r="I55" s="94">
        <f t="shared" si="84"/>
        <v>909</v>
      </c>
      <c r="J55" s="94">
        <f t="shared" si="84"/>
        <v>49</v>
      </c>
      <c r="K55" s="94">
        <f>SUM(K53:K54)</f>
        <v>860</v>
      </c>
      <c r="L55" s="104" t="s">
        <v>12</v>
      </c>
      <c r="M55" s="567"/>
      <c r="N55" s="1"/>
    </row>
    <row r="56" spans="3:14" ht="12.75" customHeight="1" thickBot="1" x14ac:dyDescent="0.25">
      <c r="C56" s="94">
        <f t="shared" ref="C56:C57" si="85">SUM(D56:E56)</f>
        <v>376</v>
      </c>
      <c r="D56" s="94">
        <f t="shared" ref="D56:E57" si="86">J56+G56</f>
        <v>66</v>
      </c>
      <c r="E56" s="94">
        <f t="shared" si="86"/>
        <v>310</v>
      </c>
      <c r="F56" s="94">
        <f t="shared" ref="F56:F57" si="87">SUM(G56:H56)</f>
        <v>2</v>
      </c>
      <c r="G56" s="94">
        <v>1</v>
      </c>
      <c r="H56" s="94">
        <v>1</v>
      </c>
      <c r="I56" s="94">
        <f t="shared" ref="I56:I57" si="88">SUM(J56:K56)</f>
        <v>374</v>
      </c>
      <c r="J56" s="94">
        <v>65</v>
      </c>
      <c r="K56" s="94">
        <v>309</v>
      </c>
      <c r="L56" s="104" t="s">
        <v>233</v>
      </c>
      <c r="M56" s="565" t="s">
        <v>178</v>
      </c>
      <c r="N56" s="1"/>
    </row>
    <row r="57" spans="3:14" ht="12.75" customHeight="1" thickBot="1" x14ac:dyDescent="0.25">
      <c r="C57" s="94">
        <f t="shared" si="85"/>
        <v>0</v>
      </c>
      <c r="D57" s="94">
        <f t="shared" si="86"/>
        <v>0</v>
      </c>
      <c r="E57" s="94">
        <f t="shared" si="86"/>
        <v>0</v>
      </c>
      <c r="F57" s="94">
        <f t="shared" si="87"/>
        <v>0</v>
      </c>
      <c r="G57" s="94">
        <v>0</v>
      </c>
      <c r="H57" s="94">
        <v>0</v>
      </c>
      <c r="I57" s="94">
        <f t="shared" si="88"/>
        <v>0</v>
      </c>
      <c r="J57" s="94">
        <v>0</v>
      </c>
      <c r="K57" s="94">
        <v>0</v>
      </c>
      <c r="L57" s="104" t="s">
        <v>234</v>
      </c>
      <c r="M57" s="566"/>
      <c r="N57" s="1"/>
    </row>
    <row r="58" spans="3:14" ht="12.75" customHeight="1" thickBot="1" x14ac:dyDescent="0.25">
      <c r="C58" s="94">
        <f t="shared" ref="C58:J58" si="89">SUM(C56:C57)</f>
        <v>376</v>
      </c>
      <c r="D58" s="94">
        <f t="shared" si="89"/>
        <v>66</v>
      </c>
      <c r="E58" s="94">
        <f t="shared" si="89"/>
        <v>310</v>
      </c>
      <c r="F58" s="94">
        <f t="shared" si="89"/>
        <v>2</v>
      </c>
      <c r="G58" s="94">
        <f t="shared" si="89"/>
        <v>1</v>
      </c>
      <c r="H58" s="94">
        <f t="shared" si="89"/>
        <v>1</v>
      </c>
      <c r="I58" s="94">
        <f t="shared" si="89"/>
        <v>374</v>
      </c>
      <c r="J58" s="94">
        <f t="shared" si="89"/>
        <v>65</v>
      </c>
      <c r="K58" s="94">
        <f>SUM(K56:K57)</f>
        <v>309</v>
      </c>
      <c r="L58" s="104" t="s">
        <v>12</v>
      </c>
      <c r="M58" s="567"/>
      <c r="N58" s="1"/>
    </row>
    <row r="59" spans="3:14" ht="12.75" customHeight="1" thickBot="1" x14ac:dyDescent="0.25">
      <c r="C59" s="94">
        <f t="shared" ref="C59:C60" si="90">SUM(D59:E59)</f>
        <v>61</v>
      </c>
      <c r="D59" s="94">
        <f t="shared" ref="D59:E60" si="91">J59+G59</f>
        <v>0</v>
      </c>
      <c r="E59" s="94">
        <f t="shared" si="91"/>
        <v>61</v>
      </c>
      <c r="F59" s="94">
        <f t="shared" ref="F59:F60" si="92">SUM(G59:H59)</f>
        <v>6</v>
      </c>
      <c r="G59" s="94">
        <v>0</v>
      </c>
      <c r="H59" s="94">
        <v>6</v>
      </c>
      <c r="I59" s="94">
        <f t="shared" ref="I59:I60" si="93">SUM(J59:K59)</f>
        <v>55</v>
      </c>
      <c r="J59" s="94">
        <v>0</v>
      </c>
      <c r="K59" s="94">
        <v>55</v>
      </c>
      <c r="L59" s="104" t="s">
        <v>233</v>
      </c>
      <c r="M59" s="565" t="s">
        <v>179</v>
      </c>
      <c r="N59" s="1"/>
    </row>
    <row r="60" spans="3:14" ht="12.75" customHeight="1" thickBot="1" x14ac:dyDescent="0.25">
      <c r="C60" s="94">
        <f t="shared" si="90"/>
        <v>0</v>
      </c>
      <c r="D60" s="94">
        <f t="shared" si="91"/>
        <v>0</v>
      </c>
      <c r="E60" s="94">
        <f t="shared" si="91"/>
        <v>0</v>
      </c>
      <c r="F60" s="94">
        <f t="shared" si="92"/>
        <v>0</v>
      </c>
      <c r="G60" s="94">
        <v>0</v>
      </c>
      <c r="H60" s="94">
        <v>0</v>
      </c>
      <c r="I60" s="94">
        <f t="shared" si="93"/>
        <v>0</v>
      </c>
      <c r="J60" s="94">
        <v>0</v>
      </c>
      <c r="K60" s="94">
        <v>0</v>
      </c>
      <c r="L60" s="104" t="s">
        <v>234</v>
      </c>
      <c r="M60" s="566"/>
      <c r="N60" s="1"/>
    </row>
    <row r="61" spans="3:14" ht="12.75" customHeight="1" thickBot="1" x14ac:dyDescent="0.25">
      <c r="C61" s="94">
        <f t="shared" ref="C61:J61" si="94">SUM(C59:C60)</f>
        <v>61</v>
      </c>
      <c r="D61" s="94">
        <f t="shared" si="94"/>
        <v>0</v>
      </c>
      <c r="E61" s="94">
        <f t="shared" si="94"/>
        <v>61</v>
      </c>
      <c r="F61" s="94">
        <f t="shared" si="94"/>
        <v>6</v>
      </c>
      <c r="G61" s="94">
        <f t="shared" si="94"/>
        <v>0</v>
      </c>
      <c r="H61" s="94">
        <f t="shared" si="94"/>
        <v>6</v>
      </c>
      <c r="I61" s="94">
        <f t="shared" si="94"/>
        <v>55</v>
      </c>
      <c r="J61" s="94">
        <f t="shared" si="94"/>
        <v>0</v>
      </c>
      <c r="K61" s="94">
        <f>SUM(K59:K60)</f>
        <v>55</v>
      </c>
      <c r="L61" s="104" t="s">
        <v>12</v>
      </c>
      <c r="M61" s="567"/>
      <c r="N61" s="1"/>
    </row>
    <row r="62" spans="3:14" ht="12.75" customHeight="1" thickBot="1" x14ac:dyDescent="0.25">
      <c r="C62" s="94">
        <f t="shared" ref="C62:C63" si="95">SUM(D62:E62)</f>
        <v>4228</v>
      </c>
      <c r="D62" s="94">
        <f t="shared" ref="D62:E63" si="96">J62+G62</f>
        <v>2193</v>
      </c>
      <c r="E62" s="94">
        <f t="shared" si="96"/>
        <v>2035</v>
      </c>
      <c r="F62" s="94">
        <f t="shared" ref="F62:F63" si="97">SUM(G62:H62)</f>
        <v>101</v>
      </c>
      <c r="G62" s="94">
        <v>85</v>
      </c>
      <c r="H62" s="94">
        <v>16</v>
      </c>
      <c r="I62" s="94">
        <f t="shared" ref="I62:I63" si="98">SUM(J62:K62)</f>
        <v>4127</v>
      </c>
      <c r="J62" s="94">
        <v>2108</v>
      </c>
      <c r="K62" s="94">
        <v>2019</v>
      </c>
      <c r="L62" s="104" t="s">
        <v>233</v>
      </c>
      <c r="M62" s="565" t="s">
        <v>180</v>
      </c>
      <c r="N62" s="1"/>
    </row>
    <row r="63" spans="3:14" ht="12.75" customHeight="1" thickBot="1" x14ac:dyDescent="0.25">
      <c r="C63" s="94">
        <f t="shared" si="95"/>
        <v>43</v>
      </c>
      <c r="D63" s="94">
        <f t="shared" si="96"/>
        <v>0</v>
      </c>
      <c r="E63" s="94">
        <f t="shared" si="96"/>
        <v>43</v>
      </c>
      <c r="F63" s="94">
        <f t="shared" si="97"/>
        <v>0</v>
      </c>
      <c r="G63" s="94">
        <v>0</v>
      </c>
      <c r="H63" s="94">
        <v>0</v>
      </c>
      <c r="I63" s="94">
        <f t="shared" si="98"/>
        <v>43</v>
      </c>
      <c r="J63" s="94">
        <v>0</v>
      </c>
      <c r="K63" s="94">
        <v>43</v>
      </c>
      <c r="L63" s="104" t="s">
        <v>234</v>
      </c>
      <c r="M63" s="566"/>
      <c r="N63" s="1"/>
    </row>
    <row r="64" spans="3:14" ht="12.75" customHeight="1" thickBot="1" x14ac:dyDescent="0.25">
      <c r="C64" s="94">
        <f t="shared" ref="C64:J64" si="99">SUM(C62:C63)</f>
        <v>4271</v>
      </c>
      <c r="D64" s="94">
        <f t="shared" si="99"/>
        <v>2193</v>
      </c>
      <c r="E64" s="94">
        <f t="shared" si="99"/>
        <v>2078</v>
      </c>
      <c r="F64" s="94">
        <f t="shared" si="99"/>
        <v>101</v>
      </c>
      <c r="G64" s="94">
        <f t="shared" si="99"/>
        <v>85</v>
      </c>
      <c r="H64" s="94">
        <f t="shared" si="99"/>
        <v>16</v>
      </c>
      <c r="I64" s="94">
        <f t="shared" si="99"/>
        <v>4170</v>
      </c>
      <c r="J64" s="94">
        <f t="shared" si="99"/>
        <v>2108</v>
      </c>
      <c r="K64" s="94">
        <f>SUM(K62:K63)</f>
        <v>2062</v>
      </c>
      <c r="L64" s="104" t="s">
        <v>12</v>
      </c>
      <c r="M64" s="567"/>
      <c r="N64" s="1"/>
    </row>
    <row r="65" spans="3:14" ht="12.75" customHeight="1" thickBot="1" x14ac:dyDescent="0.25">
      <c r="C65" s="94">
        <f t="shared" ref="C65:C66" si="100">SUM(D65:E65)</f>
        <v>1314</v>
      </c>
      <c r="D65" s="94">
        <f t="shared" ref="D65:E66" si="101">J65+G65</f>
        <v>1051</v>
      </c>
      <c r="E65" s="94">
        <f t="shared" si="101"/>
        <v>263</v>
      </c>
      <c r="F65" s="94">
        <f t="shared" ref="F65:F66" si="102">SUM(G65:H65)</f>
        <v>7</v>
      </c>
      <c r="G65" s="94">
        <v>7</v>
      </c>
      <c r="H65" s="94">
        <v>0</v>
      </c>
      <c r="I65" s="94">
        <f t="shared" ref="I65:I66" si="103">SUM(J65:K65)</f>
        <v>1307</v>
      </c>
      <c r="J65" s="94">
        <v>1044</v>
      </c>
      <c r="K65" s="94">
        <v>263</v>
      </c>
      <c r="L65" s="104" t="s">
        <v>233</v>
      </c>
      <c r="M65" s="565" t="s">
        <v>181</v>
      </c>
      <c r="N65" s="1"/>
    </row>
    <row r="66" spans="3:14" ht="12.75" customHeight="1" thickBot="1" x14ac:dyDescent="0.25">
      <c r="C66" s="94">
        <f t="shared" si="100"/>
        <v>0</v>
      </c>
      <c r="D66" s="94">
        <f t="shared" si="101"/>
        <v>0</v>
      </c>
      <c r="E66" s="94">
        <f t="shared" si="101"/>
        <v>0</v>
      </c>
      <c r="F66" s="94">
        <f t="shared" si="102"/>
        <v>0</v>
      </c>
      <c r="G66" s="94">
        <v>0</v>
      </c>
      <c r="H66" s="94">
        <v>0</v>
      </c>
      <c r="I66" s="94">
        <f t="shared" si="103"/>
        <v>0</v>
      </c>
      <c r="J66" s="94">
        <v>0</v>
      </c>
      <c r="K66" s="94">
        <v>0</v>
      </c>
      <c r="L66" s="104" t="s">
        <v>234</v>
      </c>
      <c r="M66" s="566"/>
      <c r="N66" s="1"/>
    </row>
    <row r="67" spans="3:14" ht="12.75" customHeight="1" thickBot="1" x14ac:dyDescent="0.25">
      <c r="C67" s="94">
        <f t="shared" ref="C67:J67" si="104">SUM(C65:C66)</f>
        <v>1314</v>
      </c>
      <c r="D67" s="94">
        <f t="shared" si="104"/>
        <v>1051</v>
      </c>
      <c r="E67" s="94">
        <f t="shared" si="104"/>
        <v>263</v>
      </c>
      <c r="F67" s="94">
        <f t="shared" si="104"/>
        <v>7</v>
      </c>
      <c r="G67" s="94">
        <f t="shared" si="104"/>
        <v>7</v>
      </c>
      <c r="H67" s="94">
        <f t="shared" si="104"/>
        <v>0</v>
      </c>
      <c r="I67" s="94">
        <f t="shared" si="104"/>
        <v>1307</v>
      </c>
      <c r="J67" s="94">
        <f t="shared" si="104"/>
        <v>1044</v>
      </c>
      <c r="K67" s="94">
        <f>SUM(K65:K66)</f>
        <v>263</v>
      </c>
      <c r="L67" s="104" t="s">
        <v>12</v>
      </c>
      <c r="M67" s="567"/>
      <c r="N67" s="1"/>
    </row>
    <row r="68" spans="3:14" ht="12.75" customHeight="1" thickBot="1" x14ac:dyDescent="0.25">
      <c r="C68" s="94">
        <f t="shared" ref="C68:C69" si="105">SUM(D68:E68)</f>
        <v>15</v>
      </c>
      <c r="D68" s="94">
        <f t="shared" ref="D68:E69" si="106">J68+G68</f>
        <v>0</v>
      </c>
      <c r="E68" s="94">
        <f t="shared" si="106"/>
        <v>15</v>
      </c>
      <c r="F68" s="94">
        <f t="shared" ref="F68:F69" si="107">SUM(G68:H68)</f>
        <v>0</v>
      </c>
      <c r="G68" s="94">
        <v>0</v>
      </c>
      <c r="H68" s="94">
        <v>0</v>
      </c>
      <c r="I68" s="94">
        <f t="shared" ref="I68:I69" si="108">SUM(J68:K68)</f>
        <v>15</v>
      </c>
      <c r="J68" s="94">
        <v>0</v>
      </c>
      <c r="K68" s="94">
        <v>15</v>
      </c>
      <c r="L68" s="104" t="s">
        <v>233</v>
      </c>
      <c r="M68" s="565" t="s">
        <v>182</v>
      </c>
      <c r="N68" s="1"/>
    </row>
    <row r="69" spans="3:14" ht="12.75" customHeight="1" thickBot="1" x14ac:dyDescent="0.25">
      <c r="C69" s="94">
        <f t="shared" si="105"/>
        <v>0</v>
      </c>
      <c r="D69" s="94">
        <f t="shared" si="106"/>
        <v>0</v>
      </c>
      <c r="E69" s="94">
        <f t="shared" si="106"/>
        <v>0</v>
      </c>
      <c r="F69" s="94">
        <f t="shared" si="107"/>
        <v>0</v>
      </c>
      <c r="G69" s="94">
        <v>0</v>
      </c>
      <c r="H69" s="94">
        <v>0</v>
      </c>
      <c r="I69" s="94">
        <f t="shared" si="108"/>
        <v>0</v>
      </c>
      <c r="J69" s="94">
        <v>0</v>
      </c>
      <c r="K69" s="94">
        <v>0</v>
      </c>
      <c r="L69" s="104" t="s">
        <v>234</v>
      </c>
      <c r="M69" s="566"/>
      <c r="N69" s="1"/>
    </row>
    <row r="70" spans="3:14" ht="12.75" customHeight="1" thickBot="1" x14ac:dyDescent="0.25">
      <c r="C70" s="94">
        <f t="shared" ref="C70:J70" si="109">SUM(C68:C69)</f>
        <v>15</v>
      </c>
      <c r="D70" s="94">
        <f t="shared" si="109"/>
        <v>0</v>
      </c>
      <c r="E70" s="94">
        <f t="shared" si="109"/>
        <v>15</v>
      </c>
      <c r="F70" s="94">
        <f t="shared" si="109"/>
        <v>0</v>
      </c>
      <c r="G70" s="94">
        <f t="shared" si="109"/>
        <v>0</v>
      </c>
      <c r="H70" s="94">
        <f t="shared" si="109"/>
        <v>0</v>
      </c>
      <c r="I70" s="94">
        <f t="shared" si="109"/>
        <v>15</v>
      </c>
      <c r="J70" s="94">
        <f t="shared" si="109"/>
        <v>0</v>
      </c>
      <c r="K70" s="94">
        <f>SUM(K68:K69)</f>
        <v>15</v>
      </c>
      <c r="L70" s="104" t="s">
        <v>12</v>
      </c>
      <c r="M70" s="567"/>
      <c r="N70" s="1"/>
    </row>
    <row r="71" spans="3:14" ht="12.75" customHeight="1" thickBot="1" x14ac:dyDescent="0.25">
      <c r="C71" s="94">
        <f t="shared" ref="C71:C72" si="110">SUM(D71:E71)</f>
        <v>9</v>
      </c>
      <c r="D71" s="94">
        <f t="shared" ref="D71:E72" si="111">J71+G71</f>
        <v>0</v>
      </c>
      <c r="E71" s="94">
        <f t="shared" si="111"/>
        <v>9</v>
      </c>
      <c r="F71" s="94">
        <f t="shared" ref="F71:F72" si="112">SUM(G71:H71)</f>
        <v>0</v>
      </c>
      <c r="G71" s="94">
        <v>0</v>
      </c>
      <c r="H71" s="94">
        <v>0</v>
      </c>
      <c r="I71" s="94">
        <f t="shared" ref="I71:I72" si="113">SUM(J71:K71)</f>
        <v>9</v>
      </c>
      <c r="J71" s="94">
        <v>0</v>
      </c>
      <c r="K71" s="94">
        <v>9</v>
      </c>
      <c r="L71" s="104" t="s">
        <v>233</v>
      </c>
      <c r="M71" s="565" t="s">
        <v>53</v>
      </c>
      <c r="N71" s="1"/>
    </row>
    <row r="72" spans="3:14" ht="12.75" customHeight="1" thickBot="1" x14ac:dyDescent="0.25">
      <c r="C72" s="94">
        <f t="shared" si="110"/>
        <v>0</v>
      </c>
      <c r="D72" s="94">
        <f t="shared" si="111"/>
        <v>0</v>
      </c>
      <c r="E72" s="94">
        <f t="shared" si="111"/>
        <v>0</v>
      </c>
      <c r="F72" s="94">
        <f t="shared" si="112"/>
        <v>0</v>
      </c>
      <c r="G72" s="94">
        <v>0</v>
      </c>
      <c r="H72" s="94">
        <v>0</v>
      </c>
      <c r="I72" s="94">
        <f t="shared" si="113"/>
        <v>0</v>
      </c>
      <c r="J72" s="94">
        <v>0</v>
      </c>
      <c r="K72" s="94">
        <v>0</v>
      </c>
      <c r="L72" s="104" t="s">
        <v>234</v>
      </c>
      <c r="M72" s="566"/>
      <c r="N72" s="1"/>
    </row>
    <row r="73" spans="3:14" ht="12.75" customHeight="1" thickBot="1" x14ac:dyDescent="0.25">
      <c r="C73" s="94">
        <f t="shared" ref="C73" si="114">SUM(C71:C72)</f>
        <v>9</v>
      </c>
      <c r="D73" s="94">
        <f t="shared" ref="D73:J73" si="115">SUM(D71:D72)</f>
        <v>0</v>
      </c>
      <c r="E73" s="94">
        <f t="shared" si="115"/>
        <v>9</v>
      </c>
      <c r="F73" s="94">
        <f t="shared" si="115"/>
        <v>0</v>
      </c>
      <c r="G73" s="94">
        <f t="shared" si="115"/>
        <v>0</v>
      </c>
      <c r="H73" s="94">
        <f t="shared" si="115"/>
        <v>0</v>
      </c>
      <c r="I73" s="94">
        <f t="shared" si="115"/>
        <v>9</v>
      </c>
      <c r="J73" s="94">
        <f t="shared" si="115"/>
        <v>0</v>
      </c>
      <c r="K73" s="94">
        <f>SUM(K71:K72)</f>
        <v>9</v>
      </c>
      <c r="L73" s="104" t="s">
        <v>12</v>
      </c>
      <c r="M73" s="567"/>
      <c r="N73" s="1"/>
    </row>
    <row r="74" spans="3:14" ht="12.75" customHeight="1" thickBot="1" x14ac:dyDescent="0.25">
      <c r="C74" s="94">
        <f t="shared" ref="C74:K76" si="116">C5+C8+C11+C14+C17+C20+C23+C26+C29+C32+C35+C38+C41+C44+C47+C50+C53+C56+C59+C62+C65+C68+C71</f>
        <v>85441</v>
      </c>
      <c r="D74" s="94">
        <f t="shared" si="116"/>
        <v>58578</v>
      </c>
      <c r="E74" s="94">
        <f t="shared" si="116"/>
        <v>26863</v>
      </c>
      <c r="F74" s="94">
        <f t="shared" si="116"/>
        <v>1882</v>
      </c>
      <c r="G74" s="94">
        <f t="shared" si="116"/>
        <v>730</v>
      </c>
      <c r="H74" s="94">
        <f t="shared" si="116"/>
        <v>1152</v>
      </c>
      <c r="I74" s="94">
        <f t="shared" si="116"/>
        <v>83559</v>
      </c>
      <c r="J74" s="94">
        <f t="shared" si="116"/>
        <v>57848</v>
      </c>
      <c r="K74" s="94">
        <f>K5+K8+K11+K14+K17+K20+K23+K26+K29+K32+K35+K38+K41+K44+K47+K50+K53+K56+K59+K62+K65+K68+K71</f>
        <v>25711</v>
      </c>
      <c r="L74" s="104" t="s">
        <v>236</v>
      </c>
      <c r="M74" s="568" t="s">
        <v>188</v>
      </c>
      <c r="N74" s="1"/>
    </row>
    <row r="75" spans="3:14" ht="12.75" customHeight="1" thickBot="1" x14ac:dyDescent="0.25">
      <c r="C75" s="94">
        <f t="shared" si="116"/>
        <v>5703</v>
      </c>
      <c r="D75" s="94">
        <f t="shared" si="116"/>
        <v>3728</v>
      </c>
      <c r="E75" s="94">
        <f t="shared" si="116"/>
        <v>1975</v>
      </c>
      <c r="F75" s="94">
        <f t="shared" si="116"/>
        <v>254</v>
      </c>
      <c r="G75" s="94">
        <f t="shared" si="116"/>
        <v>212</v>
      </c>
      <c r="H75" s="94">
        <f t="shared" si="116"/>
        <v>42</v>
      </c>
      <c r="I75" s="94">
        <f t="shared" si="116"/>
        <v>5449</v>
      </c>
      <c r="J75" s="94">
        <f t="shared" si="116"/>
        <v>3516</v>
      </c>
      <c r="K75" s="94">
        <f t="shared" si="116"/>
        <v>1933</v>
      </c>
      <c r="L75" s="104" t="s">
        <v>237</v>
      </c>
      <c r="M75" s="569"/>
      <c r="N75" s="1"/>
    </row>
    <row r="76" spans="3:14" ht="12.75" customHeight="1" thickBot="1" x14ac:dyDescent="0.25">
      <c r="C76" s="94">
        <f t="shared" si="116"/>
        <v>91144</v>
      </c>
      <c r="D76" s="94">
        <f t="shared" si="116"/>
        <v>62306</v>
      </c>
      <c r="E76" s="94">
        <f t="shared" si="116"/>
        <v>28838</v>
      </c>
      <c r="F76" s="94">
        <f t="shared" si="116"/>
        <v>2136</v>
      </c>
      <c r="G76" s="94">
        <f t="shared" si="116"/>
        <v>942</v>
      </c>
      <c r="H76" s="94">
        <f t="shared" si="116"/>
        <v>1194</v>
      </c>
      <c r="I76" s="94">
        <f t="shared" si="116"/>
        <v>89008</v>
      </c>
      <c r="J76" s="94">
        <f t="shared" si="116"/>
        <v>61364</v>
      </c>
      <c r="K76" s="94">
        <f t="shared" si="116"/>
        <v>27644</v>
      </c>
      <c r="L76" s="104" t="s">
        <v>12</v>
      </c>
      <c r="M76" s="570"/>
      <c r="N76" s="1"/>
    </row>
    <row r="77" spans="3:14" ht="15" customHeight="1" x14ac:dyDescent="0.2"/>
  </sheetData>
  <mergeCells count="30">
    <mergeCell ref="M74:M76"/>
    <mergeCell ref="M41:M43"/>
    <mergeCell ref="M44:M46"/>
    <mergeCell ref="M47:M49"/>
    <mergeCell ref="M50:M52"/>
    <mergeCell ref="M53:M55"/>
    <mergeCell ref="M56:M58"/>
    <mergeCell ref="M59:M61"/>
    <mergeCell ref="M62:M64"/>
    <mergeCell ref="M65:M67"/>
    <mergeCell ref="M68:M70"/>
    <mergeCell ref="M71:M73"/>
    <mergeCell ref="M38:M40"/>
    <mergeCell ref="M5:M7"/>
    <mergeCell ref="M8:M10"/>
    <mergeCell ref="M11:M13"/>
    <mergeCell ref="M14:M16"/>
    <mergeCell ref="M17:M19"/>
    <mergeCell ref="M20:M22"/>
    <mergeCell ref="M23:M25"/>
    <mergeCell ref="M26:M28"/>
    <mergeCell ref="M29:M31"/>
    <mergeCell ref="M32:M34"/>
    <mergeCell ref="M35:M37"/>
    <mergeCell ref="C1:M1"/>
    <mergeCell ref="C2:M2"/>
    <mergeCell ref="C3:E3"/>
    <mergeCell ref="F3:H3"/>
    <mergeCell ref="I3:K3"/>
    <mergeCell ref="L3:M4"/>
  </mergeCells>
  <pageMargins left="0.4" right="0.4" top="0.25" bottom="0.25" header="0.25" footer="0.25"/>
  <pageSetup paperSize="9" orientation="landscape" horizontalDpi="300" verticalDpi="300" r:id="rId1"/>
  <headerFooter alignWithMargins="0"/>
  <rowBreaks count="1" manualBreakCount="1">
    <brk id="43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O53"/>
  <sheetViews>
    <sheetView showGridLines="0" topLeftCell="A16" zoomScale="90" zoomScaleNormal="90" workbookViewId="0">
      <selection activeCell="F55" sqref="F55"/>
    </sheetView>
  </sheetViews>
  <sheetFormatPr defaultRowHeight="12.75" x14ac:dyDescent="0.2"/>
  <cols>
    <col min="1" max="1" width="9" style="2"/>
    <col min="2" max="2" width="15.25" style="2" customWidth="1"/>
    <col min="3" max="12" width="9.625" style="2" customWidth="1"/>
    <col min="13" max="13" width="34.25" style="2" customWidth="1"/>
    <col min="14" max="14" width="3.625" style="2" customWidth="1"/>
    <col min="15" max="256" width="9" style="2"/>
    <col min="257" max="257" width="3.25" style="2" customWidth="1"/>
    <col min="258" max="267" width="9.625" style="2" customWidth="1"/>
    <col min="268" max="268" width="34.25" style="2" customWidth="1"/>
    <col min="269" max="269" width="3.625" style="2" customWidth="1"/>
    <col min="270" max="512" width="9" style="2"/>
    <col min="513" max="513" width="3.25" style="2" customWidth="1"/>
    <col min="514" max="523" width="9.625" style="2" customWidth="1"/>
    <col min="524" max="524" width="34.25" style="2" customWidth="1"/>
    <col min="525" max="525" width="3.625" style="2" customWidth="1"/>
    <col min="526" max="768" width="9" style="2"/>
    <col min="769" max="769" width="3.25" style="2" customWidth="1"/>
    <col min="770" max="779" width="9.625" style="2" customWidth="1"/>
    <col min="780" max="780" width="34.25" style="2" customWidth="1"/>
    <col min="781" max="781" width="3.625" style="2" customWidth="1"/>
    <col min="782" max="1024" width="9" style="2"/>
    <col min="1025" max="1025" width="3.25" style="2" customWidth="1"/>
    <col min="1026" max="1035" width="9.625" style="2" customWidth="1"/>
    <col min="1036" max="1036" width="34.25" style="2" customWidth="1"/>
    <col min="1037" max="1037" width="3.625" style="2" customWidth="1"/>
    <col min="1038" max="1280" width="9" style="2"/>
    <col min="1281" max="1281" width="3.25" style="2" customWidth="1"/>
    <col min="1282" max="1291" width="9.625" style="2" customWidth="1"/>
    <col min="1292" max="1292" width="34.25" style="2" customWidth="1"/>
    <col min="1293" max="1293" width="3.625" style="2" customWidth="1"/>
    <col min="1294" max="1536" width="9" style="2"/>
    <col min="1537" max="1537" width="3.25" style="2" customWidth="1"/>
    <col min="1538" max="1547" width="9.625" style="2" customWidth="1"/>
    <col min="1548" max="1548" width="34.25" style="2" customWidth="1"/>
    <col min="1549" max="1549" width="3.625" style="2" customWidth="1"/>
    <col min="1550" max="1792" width="9" style="2"/>
    <col min="1793" max="1793" width="3.25" style="2" customWidth="1"/>
    <col min="1794" max="1803" width="9.625" style="2" customWidth="1"/>
    <col min="1804" max="1804" width="34.25" style="2" customWidth="1"/>
    <col min="1805" max="1805" width="3.625" style="2" customWidth="1"/>
    <col min="1806" max="2048" width="9" style="2"/>
    <col min="2049" max="2049" width="3.25" style="2" customWidth="1"/>
    <col min="2050" max="2059" width="9.625" style="2" customWidth="1"/>
    <col min="2060" max="2060" width="34.25" style="2" customWidth="1"/>
    <col min="2061" max="2061" width="3.625" style="2" customWidth="1"/>
    <col min="2062" max="2304" width="9" style="2"/>
    <col min="2305" max="2305" width="3.25" style="2" customWidth="1"/>
    <col min="2306" max="2315" width="9.625" style="2" customWidth="1"/>
    <col min="2316" max="2316" width="34.25" style="2" customWidth="1"/>
    <col min="2317" max="2317" width="3.625" style="2" customWidth="1"/>
    <col min="2318" max="2560" width="9" style="2"/>
    <col min="2561" max="2561" width="3.25" style="2" customWidth="1"/>
    <col min="2562" max="2571" width="9.625" style="2" customWidth="1"/>
    <col min="2572" max="2572" width="34.25" style="2" customWidth="1"/>
    <col min="2573" max="2573" width="3.625" style="2" customWidth="1"/>
    <col min="2574" max="2816" width="9" style="2"/>
    <col min="2817" max="2817" width="3.25" style="2" customWidth="1"/>
    <col min="2818" max="2827" width="9.625" style="2" customWidth="1"/>
    <col min="2828" max="2828" width="34.25" style="2" customWidth="1"/>
    <col min="2829" max="2829" width="3.625" style="2" customWidth="1"/>
    <col min="2830" max="3072" width="9" style="2"/>
    <col min="3073" max="3073" width="3.25" style="2" customWidth="1"/>
    <col min="3074" max="3083" width="9.625" style="2" customWidth="1"/>
    <col min="3084" max="3084" width="34.25" style="2" customWidth="1"/>
    <col min="3085" max="3085" width="3.625" style="2" customWidth="1"/>
    <col min="3086" max="3328" width="9" style="2"/>
    <col min="3329" max="3329" width="3.25" style="2" customWidth="1"/>
    <col min="3330" max="3339" width="9.625" style="2" customWidth="1"/>
    <col min="3340" max="3340" width="34.25" style="2" customWidth="1"/>
    <col min="3341" max="3341" width="3.625" style="2" customWidth="1"/>
    <col min="3342" max="3584" width="9" style="2"/>
    <col min="3585" max="3585" width="3.25" style="2" customWidth="1"/>
    <col min="3586" max="3595" width="9.625" style="2" customWidth="1"/>
    <col min="3596" max="3596" width="34.25" style="2" customWidth="1"/>
    <col min="3597" max="3597" width="3.625" style="2" customWidth="1"/>
    <col min="3598" max="3840" width="9" style="2"/>
    <col min="3841" max="3841" width="3.25" style="2" customWidth="1"/>
    <col min="3842" max="3851" width="9.625" style="2" customWidth="1"/>
    <col min="3852" max="3852" width="34.25" style="2" customWidth="1"/>
    <col min="3853" max="3853" width="3.625" style="2" customWidth="1"/>
    <col min="3854" max="4096" width="9" style="2"/>
    <col min="4097" max="4097" width="3.25" style="2" customWidth="1"/>
    <col min="4098" max="4107" width="9.625" style="2" customWidth="1"/>
    <col min="4108" max="4108" width="34.25" style="2" customWidth="1"/>
    <col min="4109" max="4109" width="3.625" style="2" customWidth="1"/>
    <col min="4110" max="4352" width="9" style="2"/>
    <col min="4353" max="4353" width="3.25" style="2" customWidth="1"/>
    <col min="4354" max="4363" width="9.625" style="2" customWidth="1"/>
    <col min="4364" max="4364" width="34.25" style="2" customWidth="1"/>
    <col min="4365" max="4365" width="3.625" style="2" customWidth="1"/>
    <col min="4366" max="4608" width="9" style="2"/>
    <col min="4609" max="4609" width="3.25" style="2" customWidth="1"/>
    <col min="4610" max="4619" width="9.625" style="2" customWidth="1"/>
    <col min="4620" max="4620" width="34.25" style="2" customWidth="1"/>
    <col min="4621" max="4621" width="3.625" style="2" customWidth="1"/>
    <col min="4622" max="4864" width="9" style="2"/>
    <col min="4865" max="4865" width="3.25" style="2" customWidth="1"/>
    <col min="4866" max="4875" width="9.625" style="2" customWidth="1"/>
    <col min="4876" max="4876" width="34.25" style="2" customWidth="1"/>
    <col min="4877" max="4877" width="3.625" style="2" customWidth="1"/>
    <col min="4878" max="5120" width="9" style="2"/>
    <col min="5121" max="5121" width="3.25" style="2" customWidth="1"/>
    <col min="5122" max="5131" width="9.625" style="2" customWidth="1"/>
    <col min="5132" max="5132" width="34.25" style="2" customWidth="1"/>
    <col min="5133" max="5133" width="3.625" style="2" customWidth="1"/>
    <col min="5134" max="5376" width="9" style="2"/>
    <col min="5377" max="5377" width="3.25" style="2" customWidth="1"/>
    <col min="5378" max="5387" width="9.625" style="2" customWidth="1"/>
    <col min="5388" max="5388" width="34.25" style="2" customWidth="1"/>
    <col min="5389" max="5389" width="3.625" style="2" customWidth="1"/>
    <col min="5390" max="5632" width="9" style="2"/>
    <col min="5633" max="5633" width="3.25" style="2" customWidth="1"/>
    <col min="5634" max="5643" width="9.625" style="2" customWidth="1"/>
    <col min="5644" max="5644" width="34.25" style="2" customWidth="1"/>
    <col min="5645" max="5645" width="3.625" style="2" customWidth="1"/>
    <col min="5646" max="5888" width="9" style="2"/>
    <col min="5889" max="5889" width="3.25" style="2" customWidth="1"/>
    <col min="5890" max="5899" width="9.625" style="2" customWidth="1"/>
    <col min="5900" max="5900" width="34.25" style="2" customWidth="1"/>
    <col min="5901" max="5901" width="3.625" style="2" customWidth="1"/>
    <col min="5902" max="6144" width="9" style="2"/>
    <col min="6145" max="6145" width="3.25" style="2" customWidth="1"/>
    <col min="6146" max="6155" width="9.625" style="2" customWidth="1"/>
    <col min="6156" max="6156" width="34.25" style="2" customWidth="1"/>
    <col min="6157" max="6157" width="3.625" style="2" customWidth="1"/>
    <col min="6158" max="6400" width="9" style="2"/>
    <col min="6401" max="6401" width="3.25" style="2" customWidth="1"/>
    <col min="6402" max="6411" width="9.625" style="2" customWidth="1"/>
    <col min="6412" max="6412" width="34.25" style="2" customWidth="1"/>
    <col min="6413" max="6413" width="3.625" style="2" customWidth="1"/>
    <col min="6414" max="6656" width="9" style="2"/>
    <col min="6657" max="6657" width="3.25" style="2" customWidth="1"/>
    <col min="6658" max="6667" width="9.625" style="2" customWidth="1"/>
    <col min="6668" max="6668" width="34.25" style="2" customWidth="1"/>
    <col min="6669" max="6669" width="3.625" style="2" customWidth="1"/>
    <col min="6670" max="6912" width="9" style="2"/>
    <col min="6913" max="6913" width="3.25" style="2" customWidth="1"/>
    <col min="6914" max="6923" width="9.625" style="2" customWidth="1"/>
    <col min="6924" max="6924" width="34.25" style="2" customWidth="1"/>
    <col min="6925" max="6925" width="3.625" style="2" customWidth="1"/>
    <col min="6926" max="7168" width="9" style="2"/>
    <col min="7169" max="7169" width="3.25" style="2" customWidth="1"/>
    <col min="7170" max="7179" width="9.625" style="2" customWidth="1"/>
    <col min="7180" max="7180" width="34.25" style="2" customWidth="1"/>
    <col min="7181" max="7181" width="3.625" style="2" customWidth="1"/>
    <col min="7182" max="7424" width="9" style="2"/>
    <col min="7425" max="7425" width="3.25" style="2" customWidth="1"/>
    <col min="7426" max="7435" width="9.625" style="2" customWidth="1"/>
    <col min="7436" max="7436" width="34.25" style="2" customWidth="1"/>
    <col min="7437" max="7437" width="3.625" style="2" customWidth="1"/>
    <col min="7438" max="7680" width="9" style="2"/>
    <col min="7681" max="7681" width="3.25" style="2" customWidth="1"/>
    <col min="7682" max="7691" width="9.625" style="2" customWidth="1"/>
    <col min="7692" max="7692" width="34.25" style="2" customWidth="1"/>
    <col min="7693" max="7693" width="3.625" style="2" customWidth="1"/>
    <col min="7694" max="7936" width="9" style="2"/>
    <col min="7937" max="7937" width="3.25" style="2" customWidth="1"/>
    <col min="7938" max="7947" width="9.625" style="2" customWidth="1"/>
    <col min="7948" max="7948" width="34.25" style="2" customWidth="1"/>
    <col min="7949" max="7949" width="3.625" style="2" customWidth="1"/>
    <col min="7950" max="8192" width="9" style="2"/>
    <col min="8193" max="8193" width="3.25" style="2" customWidth="1"/>
    <col min="8194" max="8203" width="9.625" style="2" customWidth="1"/>
    <col min="8204" max="8204" width="34.25" style="2" customWidth="1"/>
    <col min="8205" max="8205" width="3.625" style="2" customWidth="1"/>
    <col min="8206" max="8448" width="9" style="2"/>
    <col min="8449" max="8449" width="3.25" style="2" customWidth="1"/>
    <col min="8450" max="8459" width="9.625" style="2" customWidth="1"/>
    <col min="8460" max="8460" width="34.25" style="2" customWidth="1"/>
    <col min="8461" max="8461" width="3.625" style="2" customWidth="1"/>
    <col min="8462" max="8704" width="9" style="2"/>
    <col min="8705" max="8705" width="3.25" style="2" customWidth="1"/>
    <col min="8706" max="8715" width="9.625" style="2" customWidth="1"/>
    <col min="8716" max="8716" width="34.25" style="2" customWidth="1"/>
    <col min="8717" max="8717" width="3.625" style="2" customWidth="1"/>
    <col min="8718" max="8960" width="9" style="2"/>
    <col min="8961" max="8961" width="3.25" style="2" customWidth="1"/>
    <col min="8962" max="8971" width="9.625" style="2" customWidth="1"/>
    <col min="8972" max="8972" width="34.25" style="2" customWidth="1"/>
    <col min="8973" max="8973" width="3.625" style="2" customWidth="1"/>
    <col min="8974" max="9216" width="9" style="2"/>
    <col min="9217" max="9217" width="3.25" style="2" customWidth="1"/>
    <col min="9218" max="9227" width="9.625" style="2" customWidth="1"/>
    <col min="9228" max="9228" width="34.25" style="2" customWidth="1"/>
    <col min="9229" max="9229" width="3.625" style="2" customWidth="1"/>
    <col min="9230" max="9472" width="9" style="2"/>
    <col min="9473" max="9473" width="3.25" style="2" customWidth="1"/>
    <col min="9474" max="9483" width="9.625" style="2" customWidth="1"/>
    <col min="9484" max="9484" width="34.25" style="2" customWidth="1"/>
    <col min="9485" max="9485" width="3.625" style="2" customWidth="1"/>
    <col min="9486" max="9728" width="9" style="2"/>
    <col min="9729" max="9729" width="3.25" style="2" customWidth="1"/>
    <col min="9730" max="9739" width="9.625" style="2" customWidth="1"/>
    <col min="9740" max="9740" width="34.25" style="2" customWidth="1"/>
    <col min="9741" max="9741" width="3.625" style="2" customWidth="1"/>
    <col min="9742" max="9984" width="9" style="2"/>
    <col min="9985" max="9985" width="3.25" style="2" customWidth="1"/>
    <col min="9986" max="9995" width="9.625" style="2" customWidth="1"/>
    <col min="9996" max="9996" width="34.25" style="2" customWidth="1"/>
    <col min="9997" max="9997" width="3.625" style="2" customWidth="1"/>
    <col min="9998" max="10240" width="9" style="2"/>
    <col min="10241" max="10241" width="3.25" style="2" customWidth="1"/>
    <col min="10242" max="10251" width="9.625" style="2" customWidth="1"/>
    <col min="10252" max="10252" width="34.25" style="2" customWidth="1"/>
    <col min="10253" max="10253" width="3.625" style="2" customWidth="1"/>
    <col min="10254" max="10496" width="9" style="2"/>
    <col min="10497" max="10497" width="3.25" style="2" customWidth="1"/>
    <col min="10498" max="10507" width="9.625" style="2" customWidth="1"/>
    <col min="10508" max="10508" width="34.25" style="2" customWidth="1"/>
    <col min="10509" max="10509" width="3.625" style="2" customWidth="1"/>
    <col min="10510" max="10752" width="9" style="2"/>
    <col min="10753" max="10753" width="3.25" style="2" customWidth="1"/>
    <col min="10754" max="10763" width="9.625" style="2" customWidth="1"/>
    <col min="10764" max="10764" width="34.25" style="2" customWidth="1"/>
    <col min="10765" max="10765" width="3.625" style="2" customWidth="1"/>
    <col min="10766" max="11008" width="9" style="2"/>
    <col min="11009" max="11009" width="3.25" style="2" customWidth="1"/>
    <col min="11010" max="11019" width="9.625" style="2" customWidth="1"/>
    <col min="11020" max="11020" width="34.25" style="2" customWidth="1"/>
    <col min="11021" max="11021" width="3.625" style="2" customWidth="1"/>
    <col min="11022" max="11264" width="9" style="2"/>
    <col min="11265" max="11265" width="3.25" style="2" customWidth="1"/>
    <col min="11266" max="11275" width="9.625" style="2" customWidth="1"/>
    <col min="11276" max="11276" width="34.25" style="2" customWidth="1"/>
    <col min="11277" max="11277" width="3.625" style="2" customWidth="1"/>
    <col min="11278" max="11520" width="9" style="2"/>
    <col min="11521" max="11521" width="3.25" style="2" customWidth="1"/>
    <col min="11522" max="11531" width="9.625" style="2" customWidth="1"/>
    <col min="11532" max="11532" width="34.25" style="2" customWidth="1"/>
    <col min="11533" max="11533" width="3.625" style="2" customWidth="1"/>
    <col min="11534" max="11776" width="9" style="2"/>
    <col min="11777" max="11777" width="3.25" style="2" customWidth="1"/>
    <col min="11778" max="11787" width="9.625" style="2" customWidth="1"/>
    <col min="11788" max="11788" width="34.25" style="2" customWidth="1"/>
    <col min="11789" max="11789" width="3.625" style="2" customWidth="1"/>
    <col min="11790" max="12032" width="9" style="2"/>
    <col min="12033" max="12033" width="3.25" style="2" customWidth="1"/>
    <col min="12034" max="12043" width="9.625" style="2" customWidth="1"/>
    <col min="12044" max="12044" width="34.25" style="2" customWidth="1"/>
    <col min="12045" max="12045" width="3.625" style="2" customWidth="1"/>
    <col min="12046" max="12288" width="9" style="2"/>
    <col min="12289" max="12289" width="3.25" style="2" customWidth="1"/>
    <col min="12290" max="12299" width="9.625" style="2" customWidth="1"/>
    <col min="12300" max="12300" width="34.25" style="2" customWidth="1"/>
    <col min="12301" max="12301" width="3.625" style="2" customWidth="1"/>
    <col min="12302" max="12544" width="9" style="2"/>
    <col min="12545" max="12545" width="3.25" style="2" customWidth="1"/>
    <col min="12546" max="12555" width="9.625" style="2" customWidth="1"/>
    <col min="12556" max="12556" width="34.25" style="2" customWidth="1"/>
    <col min="12557" max="12557" width="3.625" style="2" customWidth="1"/>
    <col min="12558" max="12800" width="9" style="2"/>
    <col min="12801" max="12801" width="3.25" style="2" customWidth="1"/>
    <col min="12802" max="12811" width="9.625" style="2" customWidth="1"/>
    <col min="12812" max="12812" width="34.25" style="2" customWidth="1"/>
    <col min="12813" max="12813" width="3.625" style="2" customWidth="1"/>
    <col min="12814" max="13056" width="9" style="2"/>
    <col min="13057" max="13057" width="3.25" style="2" customWidth="1"/>
    <col min="13058" max="13067" width="9.625" style="2" customWidth="1"/>
    <col min="13068" max="13068" width="34.25" style="2" customWidth="1"/>
    <col min="13069" max="13069" width="3.625" style="2" customWidth="1"/>
    <col min="13070" max="13312" width="9" style="2"/>
    <col min="13313" max="13313" width="3.25" style="2" customWidth="1"/>
    <col min="13314" max="13323" width="9.625" style="2" customWidth="1"/>
    <col min="13324" max="13324" width="34.25" style="2" customWidth="1"/>
    <col min="13325" max="13325" width="3.625" style="2" customWidth="1"/>
    <col min="13326" max="13568" width="9" style="2"/>
    <col min="13569" max="13569" width="3.25" style="2" customWidth="1"/>
    <col min="13570" max="13579" width="9.625" style="2" customWidth="1"/>
    <col min="13580" max="13580" width="34.25" style="2" customWidth="1"/>
    <col min="13581" max="13581" width="3.625" style="2" customWidth="1"/>
    <col min="13582" max="13824" width="9" style="2"/>
    <col min="13825" max="13825" width="3.25" style="2" customWidth="1"/>
    <col min="13826" max="13835" width="9.625" style="2" customWidth="1"/>
    <col min="13836" max="13836" width="34.25" style="2" customWidth="1"/>
    <col min="13837" max="13837" width="3.625" style="2" customWidth="1"/>
    <col min="13838" max="14080" width="9" style="2"/>
    <col min="14081" max="14081" width="3.25" style="2" customWidth="1"/>
    <col min="14082" max="14091" width="9.625" style="2" customWidth="1"/>
    <col min="14092" max="14092" width="34.25" style="2" customWidth="1"/>
    <col min="14093" max="14093" width="3.625" style="2" customWidth="1"/>
    <col min="14094" max="14336" width="9" style="2"/>
    <col min="14337" max="14337" width="3.25" style="2" customWidth="1"/>
    <col min="14338" max="14347" width="9.625" style="2" customWidth="1"/>
    <col min="14348" max="14348" width="34.25" style="2" customWidth="1"/>
    <col min="14349" max="14349" width="3.625" style="2" customWidth="1"/>
    <col min="14350" max="14592" width="9" style="2"/>
    <col min="14593" max="14593" width="3.25" style="2" customWidth="1"/>
    <col min="14594" max="14603" width="9.625" style="2" customWidth="1"/>
    <col min="14604" max="14604" width="34.25" style="2" customWidth="1"/>
    <col min="14605" max="14605" width="3.625" style="2" customWidth="1"/>
    <col min="14606" max="14848" width="9" style="2"/>
    <col min="14849" max="14849" width="3.25" style="2" customWidth="1"/>
    <col min="14850" max="14859" width="9.625" style="2" customWidth="1"/>
    <col min="14860" max="14860" width="34.25" style="2" customWidth="1"/>
    <col min="14861" max="14861" width="3.625" style="2" customWidth="1"/>
    <col min="14862" max="15104" width="9" style="2"/>
    <col min="15105" max="15105" width="3.25" style="2" customWidth="1"/>
    <col min="15106" max="15115" width="9.625" style="2" customWidth="1"/>
    <col min="15116" max="15116" width="34.25" style="2" customWidth="1"/>
    <col min="15117" max="15117" width="3.625" style="2" customWidth="1"/>
    <col min="15118" max="15360" width="9" style="2"/>
    <col min="15361" max="15361" width="3.25" style="2" customWidth="1"/>
    <col min="15362" max="15371" width="9.625" style="2" customWidth="1"/>
    <col min="15372" max="15372" width="34.25" style="2" customWidth="1"/>
    <col min="15373" max="15373" width="3.625" style="2" customWidth="1"/>
    <col min="15374" max="15616" width="9" style="2"/>
    <col min="15617" max="15617" width="3.25" style="2" customWidth="1"/>
    <col min="15618" max="15627" width="9.625" style="2" customWidth="1"/>
    <col min="15628" max="15628" width="34.25" style="2" customWidth="1"/>
    <col min="15629" max="15629" width="3.625" style="2" customWidth="1"/>
    <col min="15630" max="15872" width="9" style="2"/>
    <col min="15873" max="15873" width="3.25" style="2" customWidth="1"/>
    <col min="15874" max="15883" width="9.625" style="2" customWidth="1"/>
    <col min="15884" max="15884" width="34.25" style="2" customWidth="1"/>
    <col min="15885" max="15885" width="3.625" style="2" customWidth="1"/>
    <col min="15886" max="16128" width="9" style="2"/>
    <col min="16129" max="16129" width="3.25" style="2" customWidth="1"/>
    <col min="16130" max="16139" width="9.625" style="2" customWidth="1"/>
    <col min="16140" max="16140" width="34.25" style="2" customWidth="1"/>
    <col min="16141" max="16141" width="3.625" style="2" customWidth="1"/>
    <col min="16142" max="16384" width="9" style="2"/>
  </cols>
  <sheetData>
    <row r="1" spans="2:15" ht="20.100000000000001" customHeight="1" x14ac:dyDescent="0.2">
      <c r="B1" s="1"/>
      <c r="C1" s="406" t="s">
        <v>693</v>
      </c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1"/>
    </row>
    <row r="2" spans="2:15" ht="20.100000000000001" customHeight="1" thickBot="1" x14ac:dyDescent="0.25">
      <c r="B2" s="1"/>
      <c r="C2" s="425" t="s">
        <v>694</v>
      </c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1"/>
    </row>
    <row r="3" spans="2:15" ht="18" customHeight="1" thickBot="1" x14ac:dyDescent="0.25">
      <c r="B3" s="1"/>
      <c r="C3" s="426" t="s">
        <v>4</v>
      </c>
      <c r="D3" s="426"/>
      <c r="E3" s="426"/>
      <c r="F3" s="426" t="s">
        <v>145</v>
      </c>
      <c r="G3" s="426"/>
      <c r="H3" s="426"/>
      <c r="I3" s="426" t="s">
        <v>146</v>
      </c>
      <c r="J3" s="426"/>
      <c r="K3" s="426"/>
      <c r="L3" s="410"/>
      <c r="M3" s="410"/>
      <c r="N3" s="1"/>
    </row>
    <row r="4" spans="2:15" ht="13.5" thickBot="1" x14ac:dyDescent="0.25">
      <c r="B4" s="1"/>
      <c r="C4" s="39" t="s">
        <v>227</v>
      </c>
      <c r="D4" s="39" t="s">
        <v>10</v>
      </c>
      <c r="E4" s="39" t="s">
        <v>9</v>
      </c>
      <c r="F4" s="39" t="s">
        <v>227</v>
      </c>
      <c r="G4" s="39" t="s">
        <v>10</v>
      </c>
      <c r="H4" s="39" t="s">
        <v>9</v>
      </c>
      <c r="I4" s="39" t="s">
        <v>227</v>
      </c>
      <c r="J4" s="39" t="s">
        <v>10</v>
      </c>
      <c r="K4" s="39" t="s">
        <v>9</v>
      </c>
      <c r="L4" s="412" t="s">
        <v>66</v>
      </c>
      <c r="M4" s="412"/>
      <c r="N4" s="1"/>
    </row>
    <row r="5" spans="2:15" ht="13.5" thickBot="1" x14ac:dyDescent="0.25">
      <c r="B5" s="1"/>
      <c r="C5" s="6">
        <f>SUM(D5:E5)</f>
        <v>132</v>
      </c>
      <c r="D5" s="6">
        <f>J5+G5</f>
        <v>54</v>
      </c>
      <c r="E5" s="6">
        <f>K5+H5</f>
        <v>78</v>
      </c>
      <c r="F5" s="6">
        <f>SUM(G5:H5)</f>
        <v>0</v>
      </c>
      <c r="G5" s="6">
        <v>0</v>
      </c>
      <c r="H5" s="6">
        <v>0</v>
      </c>
      <c r="I5" s="6">
        <f>SUM(J5:K5)</f>
        <v>132</v>
      </c>
      <c r="J5" s="6">
        <v>54</v>
      </c>
      <c r="K5" s="6">
        <v>78</v>
      </c>
      <c r="L5" s="7" t="s">
        <v>56</v>
      </c>
      <c r="M5" s="114"/>
      <c r="N5" s="1"/>
      <c r="O5" s="11"/>
    </row>
    <row r="6" spans="2:15" ht="13.5" thickBot="1" x14ac:dyDescent="0.25">
      <c r="B6" s="1"/>
      <c r="C6" s="6">
        <f t="shared" ref="C6:C46" si="0">SUM(D6:E6)</f>
        <v>218</v>
      </c>
      <c r="D6" s="6">
        <f t="shared" ref="D6:E46" si="1">J6+G6</f>
        <v>82</v>
      </c>
      <c r="E6" s="6">
        <f t="shared" si="1"/>
        <v>136</v>
      </c>
      <c r="F6" s="6">
        <f t="shared" ref="F6:F46" si="2">SUM(G6:H6)</f>
        <v>5</v>
      </c>
      <c r="G6" s="6">
        <v>0</v>
      </c>
      <c r="H6" s="6">
        <v>5</v>
      </c>
      <c r="I6" s="6">
        <f t="shared" ref="I6:I46" si="3">SUM(J6:K6)</f>
        <v>213</v>
      </c>
      <c r="J6" s="6">
        <v>82</v>
      </c>
      <c r="K6" s="6">
        <v>131</v>
      </c>
      <c r="L6" s="7" t="s">
        <v>57</v>
      </c>
      <c r="M6" s="114" t="s">
        <v>68</v>
      </c>
      <c r="N6" s="1"/>
      <c r="O6" s="11"/>
    </row>
    <row r="7" spans="2:15" ht="13.5" thickBot="1" x14ac:dyDescent="0.25">
      <c r="B7" s="1"/>
      <c r="C7" s="6">
        <f t="shared" si="0"/>
        <v>638</v>
      </c>
      <c r="D7" s="6">
        <f t="shared" si="1"/>
        <v>96</v>
      </c>
      <c r="E7" s="6">
        <f t="shared" si="1"/>
        <v>542</v>
      </c>
      <c r="F7" s="6">
        <f t="shared" si="2"/>
        <v>0</v>
      </c>
      <c r="G7" s="6">
        <v>0</v>
      </c>
      <c r="H7" s="6">
        <v>0</v>
      </c>
      <c r="I7" s="6">
        <f t="shared" si="3"/>
        <v>638</v>
      </c>
      <c r="J7" s="6">
        <v>96</v>
      </c>
      <c r="K7" s="6">
        <v>542</v>
      </c>
      <c r="L7" s="7" t="s">
        <v>59</v>
      </c>
      <c r="M7" s="115"/>
      <c r="N7" s="1"/>
    </row>
    <row r="8" spans="2:15" ht="13.5" thickBot="1" x14ac:dyDescent="0.25">
      <c r="B8" s="1"/>
      <c r="C8" s="6">
        <f t="shared" si="0"/>
        <v>37</v>
      </c>
      <c r="D8" s="6">
        <f t="shared" si="1"/>
        <v>0</v>
      </c>
      <c r="E8" s="6">
        <f t="shared" si="1"/>
        <v>37</v>
      </c>
      <c r="F8" s="6">
        <f t="shared" si="2"/>
        <v>20</v>
      </c>
      <c r="G8" s="6">
        <v>0</v>
      </c>
      <c r="H8" s="6">
        <v>20</v>
      </c>
      <c r="I8" s="6">
        <f t="shared" si="3"/>
        <v>17</v>
      </c>
      <c r="J8" s="6">
        <v>0</v>
      </c>
      <c r="K8" s="6">
        <v>17</v>
      </c>
      <c r="L8" s="7" t="s">
        <v>56</v>
      </c>
      <c r="M8" s="114"/>
      <c r="N8" s="1"/>
      <c r="O8" s="11"/>
    </row>
    <row r="9" spans="2:15" ht="13.5" thickBot="1" x14ac:dyDescent="0.25">
      <c r="B9" s="1"/>
      <c r="C9" s="6">
        <f t="shared" si="0"/>
        <v>142</v>
      </c>
      <c r="D9" s="6">
        <f t="shared" si="1"/>
        <v>0</v>
      </c>
      <c r="E9" s="6">
        <f t="shared" si="1"/>
        <v>142</v>
      </c>
      <c r="F9" s="6">
        <f t="shared" si="2"/>
        <v>55</v>
      </c>
      <c r="G9" s="6">
        <v>0</v>
      </c>
      <c r="H9" s="6">
        <v>55</v>
      </c>
      <c r="I9" s="6">
        <f t="shared" si="3"/>
        <v>87</v>
      </c>
      <c r="J9" s="6">
        <v>0</v>
      </c>
      <c r="K9" s="6">
        <v>87</v>
      </c>
      <c r="L9" s="7" t="s">
        <v>57</v>
      </c>
      <c r="M9" s="114" t="s">
        <v>147</v>
      </c>
      <c r="N9" s="1"/>
      <c r="O9" s="11"/>
    </row>
    <row r="10" spans="2:15" ht="13.5" thickBot="1" x14ac:dyDescent="0.25">
      <c r="B10" s="1"/>
      <c r="C10" s="6">
        <f t="shared" si="0"/>
        <v>175</v>
      </c>
      <c r="D10" s="6">
        <f t="shared" si="1"/>
        <v>0</v>
      </c>
      <c r="E10" s="6">
        <f t="shared" si="1"/>
        <v>175</v>
      </c>
      <c r="F10" s="6">
        <f t="shared" si="2"/>
        <v>84</v>
      </c>
      <c r="G10" s="6">
        <v>0</v>
      </c>
      <c r="H10" s="6">
        <v>84</v>
      </c>
      <c r="I10" s="6">
        <f t="shared" si="3"/>
        <v>91</v>
      </c>
      <c r="J10" s="6">
        <v>0</v>
      </c>
      <c r="K10" s="6">
        <v>91</v>
      </c>
      <c r="L10" s="7" t="s">
        <v>59</v>
      </c>
      <c r="M10" s="115"/>
      <c r="N10" s="1"/>
    </row>
    <row r="11" spans="2:15" ht="13.5" thickBot="1" x14ac:dyDescent="0.25">
      <c r="B11" s="1"/>
      <c r="C11" s="6">
        <f t="shared" si="0"/>
        <v>170</v>
      </c>
      <c r="D11" s="6">
        <f t="shared" si="1"/>
        <v>7</v>
      </c>
      <c r="E11" s="6">
        <f t="shared" si="1"/>
        <v>163</v>
      </c>
      <c r="F11" s="6">
        <f t="shared" si="2"/>
        <v>9</v>
      </c>
      <c r="G11" s="6">
        <v>0</v>
      </c>
      <c r="H11" s="6">
        <v>9</v>
      </c>
      <c r="I11" s="6">
        <f t="shared" si="3"/>
        <v>161</v>
      </c>
      <c r="J11" s="6">
        <v>7</v>
      </c>
      <c r="K11" s="6">
        <v>154</v>
      </c>
      <c r="L11" s="7" t="s">
        <v>56</v>
      </c>
      <c r="M11" s="114"/>
      <c r="N11" s="1"/>
      <c r="O11" s="11"/>
    </row>
    <row r="12" spans="2:15" ht="13.5" thickBot="1" x14ac:dyDescent="0.25">
      <c r="B12" s="1"/>
      <c r="C12" s="6">
        <f t="shared" si="0"/>
        <v>436</v>
      </c>
      <c r="D12" s="6">
        <f t="shared" si="1"/>
        <v>62</v>
      </c>
      <c r="E12" s="6">
        <f t="shared" si="1"/>
        <v>374</v>
      </c>
      <c r="F12" s="6">
        <f t="shared" si="2"/>
        <v>14</v>
      </c>
      <c r="G12" s="6">
        <v>1</v>
      </c>
      <c r="H12" s="6">
        <v>13</v>
      </c>
      <c r="I12" s="6">
        <f t="shared" si="3"/>
        <v>422</v>
      </c>
      <c r="J12" s="6">
        <v>61</v>
      </c>
      <c r="K12" s="6">
        <v>361</v>
      </c>
      <c r="L12" s="7" t="s">
        <v>57</v>
      </c>
      <c r="M12" s="114" t="s">
        <v>70</v>
      </c>
      <c r="N12" s="1"/>
      <c r="O12" s="11"/>
    </row>
    <row r="13" spans="2:15" ht="13.5" thickBot="1" x14ac:dyDescent="0.25">
      <c r="B13" s="1"/>
      <c r="C13" s="6">
        <f t="shared" si="0"/>
        <v>0</v>
      </c>
      <c r="D13" s="6">
        <f t="shared" si="1"/>
        <v>0</v>
      </c>
      <c r="E13" s="6">
        <f t="shared" si="1"/>
        <v>0</v>
      </c>
      <c r="F13" s="6">
        <f t="shared" si="2"/>
        <v>0</v>
      </c>
      <c r="G13" s="6">
        <v>0</v>
      </c>
      <c r="H13" s="6">
        <v>0</v>
      </c>
      <c r="I13" s="6">
        <f t="shared" si="3"/>
        <v>0</v>
      </c>
      <c r="J13" s="6">
        <v>0</v>
      </c>
      <c r="K13" s="6">
        <v>0</v>
      </c>
      <c r="L13" s="7" t="s">
        <v>59</v>
      </c>
      <c r="M13" s="115"/>
      <c r="N13" s="1"/>
    </row>
    <row r="14" spans="2:15" ht="13.5" thickBot="1" x14ac:dyDescent="0.25">
      <c r="B14" s="1"/>
      <c r="C14" s="6">
        <f t="shared" si="0"/>
        <v>58</v>
      </c>
      <c r="D14" s="6">
        <f t="shared" si="1"/>
        <v>14</v>
      </c>
      <c r="E14" s="6">
        <f t="shared" si="1"/>
        <v>44</v>
      </c>
      <c r="F14" s="6">
        <f t="shared" si="2"/>
        <v>1</v>
      </c>
      <c r="G14" s="6">
        <v>0</v>
      </c>
      <c r="H14" s="6">
        <v>1</v>
      </c>
      <c r="I14" s="6">
        <f t="shared" si="3"/>
        <v>57</v>
      </c>
      <c r="J14" s="6">
        <v>14</v>
      </c>
      <c r="K14" s="6">
        <v>43</v>
      </c>
      <c r="L14" s="7" t="s">
        <v>56</v>
      </c>
      <c r="M14" s="114"/>
      <c r="N14" s="1"/>
      <c r="O14" s="11"/>
    </row>
    <row r="15" spans="2:15" ht="13.5" thickBot="1" x14ac:dyDescent="0.25">
      <c r="B15" s="1"/>
      <c r="C15" s="6">
        <f t="shared" si="0"/>
        <v>418</v>
      </c>
      <c r="D15" s="6">
        <f t="shared" si="1"/>
        <v>101</v>
      </c>
      <c r="E15" s="6">
        <f t="shared" si="1"/>
        <v>317</v>
      </c>
      <c r="F15" s="6">
        <f t="shared" si="2"/>
        <v>15</v>
      </c>
      <c r="G15" s="6">
        <v>6</v>
      </c>
      <c r="H15" s="6">
        <v>9</v>
      </c>
      <c r="I15" s="6">
        <f t="shared" si="3"/>
        <v>403</v>
      </c>
      <c r="J15" s="6">
        <v>95</v>
      </c>
      <c r="K15" s="6">
        <v>308</v>
      </c>
      <c r="L15" s="7" t="s">
        <v>57</v>
      </c>
      <c r="M15" s="114" t="s">
        <v>72</v>
      </c>
      <c r="N15" s="1"/>
      <c r="O15" s="11"/>
    </row>
    <row r="16" spans="2:15" ht="13.5" thickBot="1" x14ac:dyDescent="0.25">
      <c r="B16" s="1"/>
      <c r="C16" s="6">
        <f t="shared" si="0"/>
        <v>54</v>
      </c>
      <c r="D16" s="6">
        <f t="shared" si="1"/>
        <v>8</v>
      </c>
      <c r="E16" s="6">
        <f t="shared" si="1"/>
        <v>46</v>
      </c>
      <c r="F16" s="6">
        <f t="shared" si="2"/>
        <v>14</v>
      </c>
      <c r="G16" s="6">
        <v>6</v>
      </c>
      <c r="H16" s="6">
        <v>8</v>
      </c>
      <c r="I16" s="6">
        <f t="shared" si="3"/>
        <v>40</v>
      </c>
      <c r="J16" s="6">
        <v>2</v>
      </c>
      <c r="K16" s="6">
        <v>38</v>
      </c>
      <c r="L16" s="7" t="s">
        <v>59</v>
      </c>
      <c r="M16" s="115"/>
      <c r="N16" s="1"/>
    </row>
    <row r="17" spans="2:15" ht="13.5" thickBot="1" x14ac:dyDescent="0.25">
      <c r="B17" s="1"/>
      <c r="C17" s="6">
        <f t="shared" si="0"/>
        <v>20</v>
      </c>
      <c r="D17" s="6">
        <f t="shared" si="1"/>
        <v>14</v>
      </c>
      <c r="E17" s="6">
        <f t="shared" si="1"/>
        <v>6</v>
      </c>
      <c r="F17" s="6">
        <f t="shared" si="2"/>
        <v>0</v>
      </c>
      <c r="G17" s="6">
        <v>0</v>
      </c>
      <c r="H17" s="6">
        <v>0</v>
      </c>
      <c r="I17" s="6">
        <f t="shared" si="3"/>
        <v>20</v>
      </c>
      <c r="J17" s="6">
        <v>14</v>
      </c>
      <c r="K17" s="6">
        <v>6</v>
      </c>
      <c r="L17" s="7" t="s">
        <v>56</v>
      </c>
      <c r="M17" s="114"/>
      <c r="N17" s="1"/>
      <c r="O17" s="11"/>
    </row>
    <row r="18" spans="2:15" ht="13.5" thickBot="1" x14ac:dyDescent="0.25">
      <c r="B18" s="1"/>
      <c r="C18" s="6">
        <f t="shared" si="0"/>
        <v>292</v>
      </c>
      <c r="D18" s="6">
        <f t="shared" si="1"/>
        <v>110</v>
      </c>
      <c r="E18" s="6">
        <f t="shared" si="1"/>
        <v>182</v>
      </c>
      <c r="F18" s="6">
        <f t="shared" si="2"/>
        <v>13</v>
      </c>
      <c r="G18" s="6">
        <v>8</v>
      </c>
      <c r="H18" s="6">
        <v>5</v>
      </c>
      <c r="I18" s="6">
        <f t="shared" si="3"/>
        <v>279</v>
      </c>
      <c r="J18" s="6">
        <v>102</v>
      </c>
      <c r="K18" s="6">
        <v>177</v>
      </c>
      <c r="L18" s="7" t="s">
        <v>57</v>
      </c>
      <c r="M18" s="114" t="s">
        <v>73</v>
      </c>
      <c r="N18" s="1"/>
      <c r="O18" s="11"/>
    </row>
    <row r="19" spans="2:15" ht="13.5" thickBot="1" x14ac:dyDescent="0.25">
      <c r="B19" s="1"/>
      <c r="C19" s="6">
        <f t="shared" si="0"/>
        <v>172</v>
      </c>
      <c r="D19" s="6">
        <f t="shared" si="1"/>
        <v>63</v>
      </c>
      <c r="E19" s="6">
        <f t="shared" si="1"/>
        <v>109</v>
      </c>
      <c r="F19" s="6">
        <f t="shared" si="2"/>
        <v>0</v>
      </c>
      <c r="G19" s="6">
        <v>0</v>
      </c>
      <c r="H19" s="6">
        <v>0</v>
      </c>
      <c r="I19" s="6">
        <f t="shared" si="3"/>
        <v>172</v>
      </c>
      <c r="J19" s="6">
        <v>63</v>
      </c>
      <c r="K19" s="6">
        <v>109</v>
      </c>
      <c r="L19" s="7" t="s">
        <v>59</v>
      </c>
      <c r="M19" s="115"/>
      <c r="N19" s="1"/>
    </row>
    <row r="20" spans="2:15" ht="13.5" thickBot="1" x14ac:dyDescent="0.25">
      <c r="B20" s="1"/>
      <c r="C20" s="6">
        <f t="shared" si="0"/>
        <v>5</v>
      </c>
      <c r="D20" s="6">
        <f t="shared" si="1"/>
        <v>0</v>
      </c>
      <c r="E20" s="6">
        <f t="shared" si="1"/>
        <v>5</v>
      </c>
      <c r="F20" s="6">
        <f t="shared" si="2"/>
        <v>5</v>
      </c>
      <c r="G20" s="6">
        <v>0</v>
      </c>
      <c r="H20" s="6">
        <v>5</v>
      </c>
      <c r="I20" s="6">
        <f t="shared" si="3"/>
        <v>0</v>
      </c>
      <c r="J20" s="6">
        <v>0</v>
      </c>
      <c r="K20" s="6">
        <v>0</v>
      </c>
      <c r="L20" s="7" t="s">
        <v>56</v>
      </c>
      <c r="M20" s="114"/>
      <c r="N20" s="1"/>
      <c r="O20" s="11"/>
    </row>
    <row r="21" spans="2:15" ht="13.5" thickBot="1" x14ac:dyDescent="0.25">
      <c r="B21" s="1"/>
      <c r="C21" s="6">
        <f t="shared" si="0"/>
        <v>115</v>
      </c>
      <c r="D21" s="6">
        <f t="shared" si="1"/>
        <v>0</v>
      </c>
      <c r="E21" s="6">
        <f t="shared" si="1"/>
        <v>115</v>
      </c>
      <c r="F21" s="6">
        <f t="shared" si="2"/>
        <v>56</v>
      </c>
      <c r="G21" s="6">
        <v>0</v>
      </c>
      <c r="H21" s="6">
        <v>56</v>
      </c>
      <c r="I21" s="6">
        <f t="shared" si="3"/>
        <v>59</v>
      </c>
      <c r="J21" s="6">
        <v>0</v>
      </c>
      <c r="K21" s="6">
        <v>59</v>
      </c>
      <c r="L21" s="7" t="s">
        <v>57</v>
      </c>
      <c r="M21" s="114" t="s">
        <v>90</v>
      </c>
      <c r="N21" s="1"/>
      <c r="O21" s="11"/>
    </row>
    <row r="22" spans="2:15" ht="13.5" thickBot="1" x14ac:dyDescent="0.25">
      <c r="B22" s="1"/>
      <c r="C22" s="6">
        <f t="shared" si="0"/>
        <v>0</v>
      </c>
      <c r="D22" s="6">
        <f t="shared" si="1"/>
        <v>0</v>
      </c>
      <c r="E22" s="6">
        <f t="shared" si="1"/>
        <v>0</v>
      </c>
      <c r="F22" s="6">
        <f t="shared" si="2"/>
        <v>0</v>
      </c>
      <c r="G22" s="6">
        <v>0</v>
      </c>
      <c r="H22" s="6">
        <v>0</v>
      </c>
      <c r="I22" s="6">
        <f t="shared" si="3"/>
        <v>0</v>
      </c>
      <c r="J22" s="6">
        <v>0</v>
      </c>
      <c r="K22" s="6">
        <v>0</v>
      </c>
      <c r="L22" s="7" t="s">
        <v>59</v>
      </c>
      <c r="M22" s="115"/>
      <c r="N22" s="1"/>
    </row>
    <row r="23" spans="2:15" ht="13.5" thickBot="1" x14ac:dyDescent="0.25">
      <c r="B23" s="1"/>
      <c r="C23" s="6">
        <f t="shared" si="0"/>
        <v>15</v>
      </c>
      <c r="D23" s="6">
        <f t="shared" si="1"/>
        <v>15</v>
      </c>
      <c r="E23" s="6">
        <f t="shared" si="1"/>
        <v>0</v>
      </c>
      <c r="F23" s="6">
        <f t="shared" si="2"/>
        <v>0</v>
      </c>
      <c r="G23" s="6">
        <v>0</v>
      </c>
      <c r="H23" s="6">
        <v>0</v>
      </c>
      <c r="I23" s="6">
        <f t="shared" si="3"/>
        <v>15</v>
      </c>
      <c r="J23" s="6">
        <v>15</v>
      </c>
      <c r="K23" s="6">
        <v>0</v>
      </c>
      <c r="L23" s="7" t="s">
        <v>56</v>
      </c>
      <c r="M23" s="114"/>
      <c r="N23" s="1"/>
      <c r="O23" s="11"/>
    </row>
    <row r="24" spans="2:15" ht="13.5" thickBot="1" x14ac:dyDescent="0.25">
      <c r="B24" s="1"/>
      <c r="C24" s="6">
        <f t="shared" si="0"/>
        <v>45</v>
      </c>
      <c r="D24" s="6">
        <f t="shared" si="1"/>
        <v>31</v>
      </c>
      <c r="E24" s="6">
        <f t="shared" si="1"/>
        <v>14</v>
      </c>
      <c r="F24" s="6">
        <f t="shared" si="2"/>
        <v>0</v>
      </c>
      <c r="G24" s="6">
        <v>0</v>
      </c>
      <c r="H24" s="6">
        <v>0</v>
      </c>
      <c r="I24" s="6">
        <f t="shared" si="3"/>
        <v>45</v>
      </c>
      <c r="J24" s="6">
        <v>31</v>
      </c>
      <c r="K24" s="6">
        <v>14</v>
      </c>
      <c r="L24" s="7" t="s">
        <v>57</v>
      </c>
      <c r="M24" s="114" t="s">
        <v>74</v>
      </c>
      <c r="N24" s="1"/>
      <c r="O24" s="11"/>
    </row>
    <row r="25" spans="2:15" ht="13.5" thickBot="1" x14ac:dyDescent="0.25">
      <c r="B25" s="1"/>
      <c r="C25" s="6">
        <f t="shared" si="0"/>
        <v>7</v>
      </c>
      <c r="D25" s="6">
        <f t="shared" si="1"/>
        <v>7</v>
      </c>
      <c r="E25" s="6">
        <f t="shared" si="1"/>
        <v>0</v>
      </c>
      <c r="F25" s="6">
        <f t="shared" si="2"/>
        <v>0</v>
      </c>
      <c r="G25" s="6">
        <v>0</v>
      </c>
      <c r="H25" s="6">
        <v>0</v>
      </c>
      <c r="I25" s="6">
        <f t="shared" si="3"/>
        <v>7</v>
      </c>
      <c r="J25" s="6">
        <v>7</v>
      </c>
      <c r="K25" s="6">
        <v>0</v>
      </c>
      <c r="L25" s="7" t="s">
        <v>59</v>
      </c>
      <c r="M25" s="115"/>
      <c r="N25" s="1"/>
    </row>
    <row r="26" spans="2:15" ht="13.5" thickBot="1" x14ac:dyDescent="0.25">
      <c r="B26" s="1"/>
      <c r="C26" s="6">
        <f t="shared" si="0"/>
        <v>0</v>
      </c>
      <c r="D26" s="6">
        <f t="shared" si="1"/>
        <v>0</v>
      </c>
      <c r="E26" s="6">
        <f t="shared" si="1"/>
        <v>0</v>
      </c>
      <c r="F26" s="6">
        <f t="shared" si="2"/>
        <v>0</v>
      </c>
      <c r="G26" s="6">
        <v>0</v>
      </c>
      <c r="H26" s="6">
        <v>0</v>
      </c>
      <c r="I26" s="6">
        <f t="shared" si="3"/>
        <v>0</v>
      </c>
      <c r="J26" s="6">
        <v>0</v>
      </c>
      <c r="K26" s="6">
        <v>0</v>
      </c>
      <c r="L26" s="7" t="s">
        <v>56</v>
      </c>
      <c r="M26" s="114"/>
      <c r="N26" s="1"/>
      <c r="O26" s="11"/>
    </row>
    <row r="27" spans="2:15" ht="13.5" thickBot="1" x14ac:dyDescent="0.25">
      <c r="B27" s="1"/>
      <c r="C27" s="6">
        <f t="shared" si="0"/>
        <v>47</v>
      </c>
      <c r="D27" s="6">
        <f t="shared" si="1"/>
        <v>24</v>
      </c>
      <c r="E27" s="6">
        <f t="shared" si="1"/>
        <v>23</v>
      </c>
      <c r="F27" s="6">
        <f t="shared" si="2"/>
        <v>0</v>
      </c>
      <c r="G27" s="6">
        <v>0</v>
      </c>
      <c r="H27" s="6">
        <v>0</v>
      </c>
      <c r="I27" s="6">
        <f t="shared" si="3"/>
        <v>47</v>
      </c>
      <c r="J27" s="6">
        <v>24</v>
      </c>
      <c r="K27" s="6">
        <v>23</v>
      </c>
      <c r="L27" s="7" t="s">
        <v>57</v>
      </c>
      <c r="M27" s="114" t="s">
        <v>75</v>
      </c>
      <c r="N27" s="1"/>
      <c r="O27" s="11"/>
    </row>
    <row r="28" spans="2:15" ht="13.5" thickBot="1" x14ac:dyDescent="0.25">
      <c r="B28" s="1"/>
      <c r="C28" s="6">
        <f t="shared" si="0"/>
        <v>329</v>
      </c>
      <c r="D28" s="6">
        <f t="shared" si="1"/>
        <v>86</v>
      </c>
      <c r="E28" s="6">
        <f t="shared" si="1"/>
        <v>243</v>
      </c>
      <c r="F28" s="6">
        <f t="shared" si="2"/>
        <v>0</v>
      </c>
      <c r="G28" s="6">
        <v>0</v>
      </c>
      <c r="H28" s="6">
        <v>0</v>
      </c>
      <c r="I28" s="6">
        <f t="shared" si="3"/>
        <v>329</v>
      </c>
      <c r="J28" s="6">
        <v>86</v>
      </c>
      <c r="K28" s="6">
        <v>243</v>
      </c>
      <c r="L28" s="7" t="s">
        <v>59</v>
      </c>
      <c r="M28" s="115"/>
      <c r="N28" s="1"/>
    </row>
    <row r="29" spans="2:15" ht="13.5" thickBot="1" x14ac:dyDescent="0.25">
      <c r="B29" s="1"/>
      <c r="C29" s="6">
        <f t="shared" si="0"/>
        <v>0</v>
      </c>
      <c r="D29" s="6">
        <f t="shared" si="1"/>
        <v>0</v>
      </c>
      <c r="E29" s="6">
        <f t="shared" si="1"/>
        <v>0</v>
      </c>
      <c r="F29" s="6">
        <f t="shared" si="2"/>
        <v>0</v>
      </c>
      <c r="G29" s="6">
        <v>0</v>
      </c>
      <c r="H29" s="6">
        <v>0</v>
      </c>
      <c r="I29" s="6">
        <f t="shared" si="3"/>
        <v>0</v>
      </c>
      <c r="J29" s="6">
        <v>0</v>
      </c>
      <c r="K29" s="6">
        <v>0</v>
      </c>
      <c r="L29" s="7" t="s">
        <v>56</v>
      </c>
      <c r="M29" s="114"/>
      <c r="N29" s="1"/>
      <c r="O29" s="11"/>
    </row>
    <row r="30" spans="2:15" ht="13.5" thickBot="1" x14ac:dyDescent="0.25">
      <c r="B30" s="1"/>
      <c r="C30" s="6">
        <f t="shared" si="0"/>
        <v>12</v>
      </c>
      <c r="D30" s="6">
        <f t="shared" si="1"/>
        <v>2</v>
      </c>
      <c r="E30" s="6">
        <f t="shared" si="1"/>
        <v>10</v>
      </c>
      <c r="F30" s="6">
        <f t="shared" si="2"/>
        <v>1</v>
      </c>
      <c r="G30" s="6">
        <v>1</v>
      </c>
      <c r="H30" s="6">
        <v>0</v>
      </c>
      <c r="I30" s="6">
        <f t="shared" si="3"/>
        <v>11</v>
      </c>
      <c r="J30" s="6">
        <v>1</v>
      </c>
      <c r="K30" s="6">
        <v>10</v>
      </c>
      <c r="L30" s="7" t="s">
        <v>57</v>
      </c>
      <c r="M30" s="114" t="s">
        <v>695</v>
      </c>
      <c r="N30" s="1"/>
      <c r="O30" s="11"/>
    </row>
    <row r="31" spans="2:15" ht="13.5" thickBot="1" x14ac:dyDescent="0.25">
      <c r="B31" s="1"/>
      <c r="C31" s="6">
        <f t="shared" si="0"/>
        <v>0</v>
      </c>
      <c r="D31" s="6">
        <f t="shared" si="1"/>
        <v>0</v>
      </c>
      <c r="E31" s="6">
        <f t="shared" si="1"/>
        <v>0</v>
      </c>
      <c r="F31" s="6">
        <f t="shared" si="2"/>
        <v>0</v>
      </c>
      <c r="G31" s="6">
        <v>0</v>
      </c>
      <c r="H31" s="6">
        <v>0</v>
      </c>
      <c r="I31" s="6">
        <f t="shared" si="3"/>
        <v>0</v>
      </c>
      <c r="J31" s="6">
        <v>0</v>
      </c>
      <c r="K31" s="6">
        <v>0</v>
      </c>
      <c r="L31" s="7" t="s">
        <v>59</v>
      </c>
      <c r="M31" s="115"/>
      <c r="N31" s="1"/>
    </row>
    <row r="32" spans="2:15" ht="13.5" thickBot="1" x14ac:dyDescent="0.25">
      <c r="B32" s="1"/>
      <c r="C32" s="6">
        <f t="shared" si="0"/>
        <v>8</v>
      </c>
      <c r="D32" s="6">
        <f t="shared" si="1"/>
        <v>8</v>
      </c>
      <c r="E32" s="6">
        <f t="shared" si="1"/>
        <v>0</v>
      </c>
      <c r="F32" s="6">
        <f t="shared" si="2"/>
        <v>0</v>
      </c>
      <c r="G32" s="6">
        <v>0</v>
      </c>
      <c r="H32" s="6">
        <v>0</v>
      </c>
      <c r="I32" s="6">
        <f t="shared" si="3"/>
        <v>8</v>
      </c>
      <c r="J32" s="6">
        <v>8</v>
      </c>
      <c r="K32" s="6">
        <v>0</v>
      </c>
      <c r="L32" s="7" t="s">
        <v>56</v>
      </c>
      <c r="M32" s="114"/>
      <c r="N32" s="1"/>
      <c r="O32" s="11"/>
    </row>
    <row r="33" spans="2:15" ht="13.5" thickBot="1" x14ac:dyDescent="0.25">
      <c r="B33" s="1"/>
      <c r="C33" s="6">
        <f t="shared" si="0"/>
        <v>45</v>
      </c>
      <c r="D33" s="6">
        <f t="shared" si="1"/>
        <v>28</v>
      </c>
      <c r="E33" s="6">
        <f t="shared" si="1"/>
        <v>17</v>
      </c>
      <c r="F33" s="6">
        <f t="shared" si="2"/>
        <v>0</v>
      </c>
      <c r="G33" s="6">
        <v>0</v>
      </c>
      <c r="H33" s="6">
        <v>0</v>
      </c>
      <c r="I33" s="6">
        <f t="shared" si="3"/>
        <v>45</v>
      </c>
      <c r="J33" s="6">
        <v>28</v>
      </c>
      <c r="K33" s="6">
        <v>17</v>
      </c>
      <c r="L33" s="7" t="s">
        <v>57</v>
      </c>
      <c r="M33" s="114" t="s">
        <v>598</v>
      </c>
      <c r="N33" s="1"/>
      <c r="O33" s="11"/>
    </row>
    <row r="34" spans="2:15" ht="13.5" thickBot="1" x14ac:dyDescent="0.25">
      <c r="B34" s="1"/>
      <c r="C34" s="6">
        <f t="shared" si="0"/>
        <v>41</v>
      </c>
      <c r="D34" s="6">
        <f t="shared" si="1"/>
        <v>0</v>
      </c>
      <c r="E34" s="6">
        <f t="shared" si="1"/>
        <v>41</v>
      </c>
      <c r="F34" s="6">
        <f t="shared" si="2"/>
        <v>0</v>
      </c>
      <c r="G34" s="6">
        <v>0</v>
      </c>
      <c r="H34" s="6">
        <v>0</v>
      </c>
      <c r="I34" s="6">
        <f t="shared" si="3"/>
        <v>41</v>
      </c>
      <c r="J34" s="6">
        <v>0</v>
      </c>
      <c r="K34" s="6">
        <v>41</v>
      </c>
      <c r="L34" s="7" t="s">
        <v>59</v>
      </c>
      <c r="M34" s="115"/>
      <c r="N34" s="1"/>
    </row>
    <row r="35" spans="2:15" ht="13.5" thickBot="1" x14ac:dyDescent="0.25">
      <c r="B35" s="1"/>
      <c r="C35" s="6">
        <f t="shared" si="0"/>
        <v>0</v>
      </c>
      <c r="D35" s="6">
        <f t="shared" si="1"/>
        <v>0</v>
      </c>
      <c r="E35" s="6">
        <f t="shared" si="1"/>
        <v>0</v>
      </c>
      <c r="F35" s="6">
        <f t="shared" si="2"/>
        <v>0</v>
      </c>
      <c r="G35" s="6">
        <v>0</v>
      </c>
      <c r="H35" s="6">
        <v>0</v>
      </c>
      <c r="I35" s="6">
        <f t="shared" si="3"/>
        <v>0</v>
      </c>
      <c r="J35" s="6">
        <v>0</v>
      </c>
      <c r="K35" s="6">
        <v>0</v>
      </c>
      <c r="L35" s="7" t="s">
        <v>56</v>
      </c>
      <c r="M35" s="114"/>
      <c r="N35" s="1"/>
      <c r="O35" s="11"/>
    </row>
    <row r="36" spans="2:15" ht="13.5" thickBot="1" x14ac:dyDescent="0.25">
      <c r="B36" s="1"/>
      <c r="C36" s="6">
        <f t="shared" si="0"/>
        <v>56</v>
      </c>
      <c r="D36" s="6">
        <f t="shared" si="1"/>
        <v>27</v>
      </c>
      <c r="E36" s="6">
        <f t="shared" si="1"/>
        <v>29</v>
      </c>
      <c r="F36" s="6">
        <f t="shared" si="2"/>
        <v>0</v>
      </c>
      <c r="G36" s="6">
        <v>0</v>
      </c>
      <c r="H36" s="6">
        <v>0</v>
      </c>
      <c r="I36" s="6">
        <f t="shared" si="3"/>
        <v>56</v>
      </c>
      <c r="J36" s="6">
        <v>27</v>
      </c>
      <c r="K36" s="6">
        <v>29</v>
      </c>
      <c r="L36" s="7" t="s">
        <v>57</v>
      </c>
      <c r="M36" s="114" t="s">
        <v>77</v>
      </c>
      <c r="N36" s="1"/>
      <c r="O36" s="11"/>
    </row>
    <row r="37" spans="2:15" ht="13.5" thickBot="1" x14ac:dyDescent="0.25">
      <c r="B37" s="1"/>
      <c r="C37" s="6">
        <f t="shared" si="0"/>
        <v>154</v>
      </c>
      <c r="D37" s="6">
        <f t="shared" si="1"/>
        <v>117</v>
      </c>
      <c r="E37" s="6">
        <f t="shared" si="1"/>
        <v>37</v>
      </c>
      <c r="F37" s="6">
        <f t="shared" si="2"/>
        <v>0</v>
      </c>
      <c r="G37" s="6">
        <v>0</v>
      </c>
      <c r="H37" s="6">
        <v>0</v>
      </c>
      <c r="I37" s="6">
        <f t="shared" si="3"/>
        <v>154</v>
      </c>
      <c r="J37" s="6">
        <v>117</v>
      </c>
      <c r="K37" s="6">
        <v>37</v>
      </c>
      <c r="L37" s="7" t="s">
        <v>59</v>
      </c>
      <c r="M37" s="115"/>
      <c r="N37" s="1"/>
    </row>
    <row r="38" spans="2:15" ht="13.5" thickBot="1" x14ac:dyDescent="0.25">
      <c r="B38" s="1"/>
      <c r="C38" s="6">
        <f t="shared" si="0"/>
        <v>0</v>
      </c>
      <c r="D38" s="6">
        <f t="shared" si="1"/>
        <v>0</v>
      </c>
      <c r="E38" s="6">
        <f t="shared" si="1"/>
        <v>0</v>
      </c>
      <c r="F38" s="6">
        <f t="shared" si="2"/>
        <v>0</v>
      </c>
      <c r="G38" s="6">
        <v>0</v>
      </c>
      <c r="H38" s="6">
        <v>0</v>
      </c>
      <c r="I38" s="6">
        <f t="shared" si="3"/>
        <v>0</v>
      </c>
      <c r="J38" s="6">
        <v>0</v>
      </c>
      <c r="K38" s="6">
        <v>0</v>
      </c>
      <c r="L38" s="7" t="s">
        <v>56</v>
      </c>
      <c r="M38" s="114"/>
      <c r="N38" s="1"/>
      <c r="O38" s="11"/>
    </row>
    <row r="39" spans="2:15" ht="13.5" thickBot="1" x14ac:dyDescent="0.25">
      <c r="B39" s="1"/>
      <c r="C39" s="6">
        <f t="shared" si="0"/>
        <v>40</v>
      </c>
      <c r="D39" s="6">
        <f t="shared" si="1"/>
        <v>18</v>
      </c>
      <c r="E39" s="6">
        <f t="shared" si="1"/>
        <v>22</v>
      </c>
      <c r="F39" s="6">
        <f t="shared" si="2"/>
        <v>0</v>
      </c>
      <c r="G39" s="6">
        <v>0</v>
      </c>
      <c r="H39" s="6">
        <v>0</v>
      </c>
      <c r="I39" s="6">
        <f t="shared" si="3"/>
        <v>40</v>
      </c>
      <c r="J39" s="6">
        <v>18</v>
      </c>
      <c r="K39" s="6">
        <v>22</v>
      </c>
      <c r="L39" s="7" t="s">
        <v>57</v>
      </c>
      <c r="M39" s="114" t="s">
        <v>148</v>
      </c>
      <c r="N39" s="1"/>
      <c r="O39" s="11"/>
    </row>
    <row r="40" spans="2:15" ht="13.5" thickBot="1" x14ac:dyDescent="0.25">
      <c r="B40" s="1"/>
      <c r="C40" s="6">
        <f t="shared" si="0"/>
        <v>56</v>
      </c>
      <c r="D40" s="6">
        <f t="shared" si="1"/>
        <v>28</v>
      </c>
      <c r="E40" s="6">
        <f t="shared" si="1"/>
        <v>28</v>
      </c>
      <c r="F40" s="6">
        <f t="shared" si="2"/>
        <v>0</v>
      </c>
      <c r="G40" s="6">
        <v>0</v>
      </c>
      <c r="H40" s="6">
        <v>0</v>
      </c>
      <c r="I40" s="6">
        <f t="shared" si="3"/>
        <v>56</v>
      </c>
      <c r="J40" s="6">
        <v>28</v>
      </c>
      <c r="K40" s="6">
        <v>28</v>
      </c>
      <c r="L40" s="7" t="s">
        <v>59</v>
      </c>
      <c r="M40" s="115"/>
      <c r="N40" s="1"/>
    </row>
    <row r="41" spans="2:15" ht="13.5" thickBot="1" x14ac:dyDescent="0.25">
      <c r="B41" s="1"/>
      <c r="C41" s="6">
        <f t="shared" si="0"/>
        <v>0</v>
      </c>
      <c r="D41" s="6">
        <f t="shared" si="1"/>
        <v>0</v>
      </c>
      <c r="E41" s="6">
        <f t="shared" si="1"/>
        <v>0</v>
      </c>
      <c r="F41" s="6">
        <f t="shared" si="2"/>
        <v>0</v>
      </c>
      <c r="G41" s="6">
        <v>0</v>
      </c>
      <c r="H41" s="6">
        <v>0</v>
      </c>
      <c r="I41" s="6">
        <f t="shared" si="3"/>
        <v>0</v>
      </c>
      <c r="J41" s="6">
        <v>0</v>
      </c>
      <c r="K41" s="6">
        <v>0</v>
      </c>
      <c r="L41" s="7" t="s">
        <v>56</v>
      </c>
      <c r="M41" s="114"/>
      <c r="N41" s="1"/>
      <c r="O41" s="11"/>
    </row>
    <row r="42" spans="2:15" ht="13.5" thickBot="1" x14ac:dyDescent="0.25">
      <c r="B42" s="1"/>
      <c r="C42" s="6">
        <f t="shared" si="0"/>
        <v>0</v>
      </c>
      <c r="D42" s="6">
        <f t="shared" si="1"/>
        <v>0</v>
      </c>
      <c r="E42" s="6">
        <f t="shared" si="1"/>
        <v>0</v>
      </c>
      <c r="F42" s="6">
        <f t="shared" si="2"/>
        <v>0</v>
      </c>
      <c r="G42" s="6">
        <v>0</v>
      </c>
      <c r="H42" s="6">
        <v>0</v>
      </c>
      <c r="I42" s="6">
        <f t="shared" si="3"/>
        <v>0</v>
      </c>
      <c r="J42" s="6">
        <v>0</v>
      </c>
      <c r="K42" s="6">
        <v>0</v>
      </c>
      <c r="L42" s="7" t="s">
        <v>57</v>
      </c>
      <c r="M42" s="114" t="s">
        <v>153</v>
      </c>
      <c r="N42" s="1"/>
      <c r="O42" s="11"/>
    </row>
    <row r="43" spans="2:15" ht="13.5" thickBot="1" x14ac:dyDescent="0.25">
      <c r="B43" s="1"/>
      <c r="C43" s="6">
        <f t="shared" si="0"/>
        <v>185</v>
      </c>
      <c r="D43" s="6">
        <f t="shared" si="1"/>
        <v>0</v>
      </c>
      <c r="E43" s="6">
        <f t="shared" si="1"/>
        <v>185</v>
      </c>
      <c r="F43" s="6">
        <f t="shared" si="2"/>
        <v>0</v>
      </c>
      <c r="G43" s="6">
        <v>0</v>
      </c>
      <c r="H43" s="6">
        <v>0</v>
      </c>
      <c r="I43" s="6">
        <f t="shared" si="3"/>
        <v>185</v>
      </c>
      <c r="J43" s="6">
        <v>0</v>
      </c>
      <c r="K43" s="6">
        <v>185</v>
      </c>
      <c r="L43" s="7" t="s">
        <v>59</v>
      </c>
      <c r="M43" s="115"/>
      <c r="N43" s="1"/>
    </row>
    <row r="44" spans="2:15" ht="13.5" thickBot="1" x14ac:dyDescent="0.25">
      <c r="B44" s="1"/>
      <c r="C44" s="6">
        <f t="shared" si="0"/>
        <v>0</v>
      </c>
      <c r="D44" s="6">
        <f t="shared" si="1"/>
        <v>0</v>
      </c>
      <c r="E44" s="6">
        <f t="shared" si="1"/>
        <v>0</v>
      </c>
      <c r="F44" s="6">
        <f t="shared" si="2"/>
        <v>0</v>
      </c>
      <c r="G44" s="6">
        <v>0</v>
      </c>
      <c r="H44" s="6">
        <v>0</v>
      </c>
      <c r="I44" s="6">
        <f t="shared" si="3"/>
        <v>0</v>
      </c>
      <c r="J44" s="6">
        <v>0</v>
      </c>
      <c r="K44" s="6">
        <v>0</v>
      </c>
      <c r="L44" s="7" t="s">
        <v>56</v>
      </c>
      <c r="M44" s="114"/>
      <c r="N44" s="1"/>
      <c r="O44" s="11"/>
    </row>
    <row r="45" spans="2:15" ht="13.5" thickBot="1" x14ac:dyDescent="0.25">
      <c r="B45" s="1"/>
      <c r="C45" s="6">
        <f t="shared" si="0"/>
        <v>12</v>
      </c>
      <c r="D45" s="6">
        <f t="shared" si="1"/>
        <v>4</v>
      </c>
      <c r="E45" s="6">
        <f t="shared" si="1"/>
        <v>8</v>
      </c>
      <c r="F45" s="6">
        <f t="shared" si="2"/>
        <v>1</v>
      </c>
      <c r="G45" s="6">
        <v>0</v>
      </c>
      <c r="H45" s="6">
        <v>1</v>
      </c>
      <c r="I45" s="6">
        <f t="shared" si="3"/>
        <v>11</v>
      </c>
      <c r="J45" s="6">
        <v>4</v>
      </c>
      <c r="K45" s="6">
        <v>7</v>
      </c>
      <c r="L45" s="7" t="s">
        <v>57</v>
      </c>
      <c r="M45" s="114" t="s">
        <v>696</v>
      </c>
      <c r="N45" s="1"/>
      <c r="O45" s="11"/>
    </row>
    <row r="46" spans="2:15" ht="13.5" thickBot="1" x14ac:dyDescent="0.25">
      <c r="B46" s="1"/>
      <c r="C46" s="6">
        <f t="shared" si="0"/>
        <v>269</v>
      </c>
      <c r="D46" s="6">
        <f t="shared" si="1"/>
        <v>108</v>
      </c>
      <c r="E46" s="6">
        <f t="shared" si="1"/>
        <v>161</v>
      </c>
      <c r="F46" s="6">
        <f t="shared" si="2"/>
        <v>7</v>
      </c>
      <c r="G46" s="6">
        <v>4</v>
      </c>
      <c r="H46" s="6">
        <v>3</v>
      </c>
      <c r="I46" s="6">
        <f t="shared" si="3"/>
        <v>262</v>
      </c>
      <c r="J46" s="6">
        <v>104</v>
      </c>
      <c r="K46" s="6">
        <v>158</v>
      </c>
      <c r="L46" s="7" t="s">
        <v>59</v>
      </c>
      <c r="M46" s="115"/>
      <c r="N46" s="1"/>
    </row>
    <row r="47" spans="2:15" ht="13.5" thickBot="1" x14ac:dyDescent="0.25">
      <c r="B47" s="1"/>
      <c r="C47" s="6">
        <f t="shared" ref="C47:K49" si="4">C5+C8+C11+C14+C17+C20+C23+C26+C29+C32+C35+C38+C41+C44</f>
        <v>445</v>
      </c>
      <c r="D47" s="6">
        <f t="shared" si="4"/>
        <v>112</v>
      </c>
      <c r="E47" s="6">
        <f t="shared" si="4"/>
        <v>333</v>
      </c>
      <c r="F47" s="6">
        <f t="shared" si="4"/>
        <v>35</v>
      </c>
      <c r="G47" s="6">
        <f t="shared" si="4"/>
        <v>0</v>
      </c>
      <c r="H47" s="6">
        <f t="shared" si="4"/>
        <v>35</v>
      </c>
      <c r="I47" s="6">
        <f t="shared" si="4"/>
        <v>410</v>
      </c>
      <c r="J47" s="6">
        <f t="shared" si="4"/>
        <v>112</v>
      </c>
      <c r="K47" s="6">
        <f>K5+K8+K11+K14+K17+K20+K23+K26+K29+K32+K35+K38+K41+K44</f>
        <v>298</v>
      </c>
      <c r="L47" s="7" t="s">
        <v>243</v>
      </c>
      <c r="M47" s="36"/>
      <c r="N47" s="1"/>
    </row>
    <row r="48" spans="2:15" ht="13.5" thickBot="1" x14ac:dyDescent="0.25">
      <c r="B48" s="1"/>
      <c r="C48" s="6">
        <f t="shared" si="4"/>
        <v>1878</v>
      </c>
      <c r="D48" s="6">
        <f t="shared" si="4"/>
        <v>489</v>
      </c>
      <c r="E48" s="6">
        <f t="shared" si="4"/>
        <v>1389</v>
      </c>
      <c r="F48" s="6">
        <f t="shared" si="4"/>
        <v>160</v>
      </c>
      <c r="G48" s="6">
        <f t="shared" si="4"/>
        <v>16</v>
      </c>
      <c r="H48" s="6">
        <f t="shared" si="4"/>
        <v>144</v>
      </c>
      <c r="I48" s="6">
        <f t="shared" si="4"/>
        <v>1718</v>
      </c>
      <c r="J48" s="6">
        <f t="shared" si="4"/>
        <v>473</v>
      </c>
      <c r="K48" s="6">
        <f t="shared" si="4"/>
        <v>1245</v>
      </c>
      <c r="L48" s="7" t="s">
        <v>57</v>
      </c>
      <c r="M48" s="37" t="s">
        <v>244</v>
      </c>
      <c r="N48" s="1"/>
    </row>
    <row r="49" spans="2:14" ht="13.5" thickBot="1" x14ac:dyDescent="0.25">
      <c r="B49" s="1"/>
      <c r="C49" s="6">
        <f t="shared" si="4"/>
        <v>2080</v>
      </c>
      <c r="D49" s="6">
        <f t="shared" si="4"/>
        <v>513</v>
      </c>
      <c r="E49" s="6">
        <f t="shared" si="4"/>
        <v>1567</v>
      </c>
      <c r="F49" s="6">
        <f t="shared" si="4"/>
        <v>105</v>
      </c>
      <c r="G49" s="6">
        <f t="shared" si="4"/>
        <v>10</v>
      </c>
      <c r="H49" s="6">
        <f t="shared" si="4"/>
        <v>95</v>
      </c>
      <c r="I49" s="6">
        <f t="shared" si="4"/>
        <v>1975</v>
      </c>
      <c r="J49" s="6">
        <f t="shared" si="4"/>
        <v>503</v>
      </c>
      <c r="K49" s="6">
        <f t="shared" si="4"/>
        <v>1472</v>
      </c>
      <c r="L49" s="7" t="s">
        <v>59</v>
      </c>
      <c r="M49" s="38"/>
      <c r="N49" s="1"/>
    </row>
    <row r="50" spans="2:14" ht="13.5" thickBot="1" x14ac:dyDescent="0.25">
      <c r="B50" s="1"/>
      <c r="C50" s="6">
        <f t="shared" ref="C50:J50" si="5">SUM(C47:C49)</f>
        <v>4403</v>
      </c>
      <c r="D50" s="6">
        <f t="shared" si="5"/>
        <v>1114</v>
      </c>
      <c r="E50" s="6">
        <f t="shared" si="5"/>
        <v>3289</v>
      </c>
      <c r="F50" s="6">
        <f t="shared" si="5"/>
        <v>300</v>
      </c>
      <c r="G50" s="6">
        <f t="shared" si="5"/>
        <v>26</v>
      </c>
      <c r="H50" s="6">
        <f t="shared" si="5"/>
        <v>274</v>
      </c>
      <c r="I50" s="6">
        <f t="shared" si="5"/>
        <v>4103</v>
      </c>
      <c r="J50" s="6">
        <f t="shared" si="5"/>
        <v>1088</v>
      </c>
      <c r="K50" s="6">
        <f>SUM(K47:K49)</f>
        <v>3015</v>
      </c>
      <c r="L50" s="533" t="s">
        <v>245</v>
      </c>
      <c r="M50" s="533"/>
      <c r="N50" s="1"/>
    </row>
    <row r="52" spans="2:14" x14ac:dyDescent="0.2">
      <c r="D52" s="11"/>
      <c r="E52" s="11"/>
      <c r="G52" s="11"/>
      <c r="H52" s="11"/>
      <c r="J52" s="11"/>
      <c r="K52" s="11"/>
    </row>
    <row r="53" spans="2:14" x14ac:dyDescent="0.2">
      <c r="D53" s="11"/>
      <c r="E53" s="11"/>
      <c r="G53" s="11"/>
      <c r="H53" s="11"/>
      <c r="J53" s="11"/>
      <c r="K53" s="11"/>
    </row>
  </sheetData>
  <mergeCells count="8">
    <mergeCell ref="L4:M4"/>
    <mergeCell ref="L50:M50"/>
    <mergeCell ref="C1:M1"/>
    <mergeCell ref="C2:M2"/>
    <mergeCell ref="C3:E3"/>
    <mergeCell ref="F3:H3"/>
    <mergeCell ref="I3:K3"/>
    <mergeCell ref="L3:M3"/>
  </mergeCells>
  <pageMargins left="0.4" right="0.4" top="0.25" bottom="0.25" header="0.25" footer="0.25"/>
  <pageSetup paperSize="9" orientation="landscape" horizontalDpi="0" verticalDpi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65"/>
  <sheetViews>
    <sheetView showGridLines="0" topLeftCell="A43" zoomScale="90" zoomScaleNormal="90" workbookViewId="0">
      <selection activeCell="F74" sqref="F74"/>
    </sheetView>
  </sheetViews>
  <sheetFormatPr defaultRowHeight="15.75" customHeight="1" x14ac:dyDescent="0.2"/>
  <cols>
    <col min="1" max="1" width="10.625" style="2" customWidth="1"/>
    <col min="2" max="11" width="9.625" style="2" customWidth="1"/>
    <col min="12" max="12" width="34.25" style="2" customWidth="1"/>
    <col min="13" max="13" width="3.625" style="2" customWidth="1"/>
    <col min="14" max="255" width="9" style="2"/>
    <col min="256" max="256" width="3.25" style="2" customWidth="1"/>
    <col min="257" max="266" width="9.625" style="2" customWidth="1"/>
    <col min="267" max="267" width="34.25" style="2" customWidth="1"/>
    <col min="268" max="268" width="3.625" style="2" customWidth="1"/>
    <col min="269" max="511" width="9" style="2"/>
    <col min="512" max="512" width="3.25" style="2" customWidth="1"/>
    <col min="513" max="522" width="9.625" style="2" customWidth="1"/>
    <col min="523" max="523" width="34.25" style="2" customWidth="1"/>
    <col min="524" max="524" width="3.625" style="2" customWidth="1"/>
    <col min="525" max="767" width="9" style="2"/>
    <col min="768" max="768" width="3.25" style="2" customWidth="1"/>
    <col min="769" max="778" width="9.625" style="2" customWidth="1"/>
    <col min="779" max="779" width="34.25" style="2" customWidth="1"/>
    <col min="780" max="780" width="3.625" style="2" customWidth="1"/>
    <col min="781" max="1023" width="9" style="2"/>
    <col min="1024" max="1024" width="3.25" style="2" customWidth="1"/>
    <col min="1025" max="1034" width="9.625" style="2" customWidth="1"/>
    <col min="1035" max="1035" width="34.25" style="2" customWidth="1"/>
    <col min="1036" max="1036" width="3.625" style="2" customWidth="1"/>
    <col min="1037" max="1279" width="9" style="2"/>
    <col min="1280" max="1280" width="3.25" style="2" customWidth="1"/>
    <col min="1281" max="1290" width="9.625" style="2" customWidth="1"/>
    <col min="1291" max="1291" width="34.25" style="2" customWidth="1"/>
    <col min="1292" max="1292" width="3.625" style="2" customWidth="1"/>
    <col min="1293" max="1535" width="9" style="2"/>
    <col min="1536" max="1536" width="3.25" style="2" customWidth="1"/>
    <col min="1537" max="1546" width="9.625" style="2" customWidth="1"/>
    <col min="1547" max="1547" width="34.25" style="2" customWidth="1"/>
    <col min="1548" max="1548" width="3.625" style="2" customWidth="1"/>
    <col min="1549" max="1791" width="9" style="2"/>
    <col min="1792" max="1792" width="3.25" style="2" customWidth="1"/>
    <col min="1793" max="1802" width="9.625" style="2" customWidth="1"/>
    <col min="1803" max="1803" width="34.25" style="2" customWidth="1"/>
    <col min="1804" max="1804" width="3.625" style="2" customWidth="1"/>
    <col min="1805" max="2047" width="9" style="2"/>
    <col min="2048" max="2048" width="3.25" style="2" customWidth="1"/>
    <col min="2049" max="2058" width="9.625" style="2" customWidth="1"/>
    <col min="2059" max="2059" width="34.25" style="2" customWidth="1"/>
    <col min="2060" max="2060" width="3.625" style="2" customWidth="1"/>
    <col min="2061" max="2303" width="9" style="2"/>
    <col min="2304" max="2304" width="3.25" style="2" customWidth="1"/>
    <col min="2305" max="2314" width="9.625" style="2" customWidth="1"/>
    <col min="2315" max="2315" width="34.25" style="2" customWidth="1"/>
    <col min="2316" max="2316" width="3.625" style="2" customWidth="1"/>
    <col min="2317" max="2559" width="9" style="2"/>
    <col min="2560" max="2560" width="3.25" style="2" customWidth="1"/>
    <col min="2561" max="2570" width="9.625" style="2" customWidth="1"/>
    <col min="2571" max="2571" width="34.25" style="2" customWidth="1"/>
    <col min="2572" max="2572" width="3.625" style="2" customWidth="1"/>
    <col min="2573" max="2815" width="9" style="2"/>
    <col min="2816" max="2816" width="3.25" style="2" customWidth="1"/>
    <col min="2817" max="2826" width="9.625" style="2" customWidth="1"/>
    <col min="2827" max="2827" width="34.25" style="2" customWidth="1"/>
    <col min="2828" max="2828" width="3.625" style="2" customWidth="1"/>
    <col min="2829" max="3071" width="9" style="2"/>
    <col min="3072" max="3072" width="3.25" style="2" customWidth="1"/>
    <col min="3073" max="3082" width="9.625" style="2" customWidth="1"/>
    <col min="3083" max="3083" width="34.25" style="2" customWidth="1"/>
    <col min="3084" max="3084" width="3.625" style="2" customWidth="1"/>
    <col min="3085" max="3327" width="9" style="2"/>
    <col min="3328" max="3328" width="3.25" style="2" customWidth="1"/>
    <col min="3329" max="3338" width="9.625" style="2" customWidth="1"/>
    <col min="3339" max="3339" width="34.25" style="2" customWidth="1"/>
    <col min="3340" max="3340" width="3.625" style="2" customWidth="1"/>
    <col min="3341" max="3583" width="9" style="2"/>
    <col min="3584" max="3584" width="3.25" style="2" customWidth="1"/>
    <col min="3585" max="3594" width="9.625" style="2" customWidth="1"/>
    <col min="3595" max="3595" width="34.25" style="2" customWidth="1"/>
    <col min="3596" max="3596" width="3.625" style="2" customWidth="1"/>
    <col min="3597" max="3839" width="9" style="2"/>
    <col min="3840" max="3840" width="3.25" style="2" customWidth="1"/>
    <col min="3841" max="3850" width="9.625" style="2" customWidth="1"/>
    <col min="3851" max="3851" width="34.25" style="2" customWidth="1"/>
    <col min="3852" max="3852" width="3.625" style="2" customWidth="1"/>
    <col min="3853" max="4095" width="9" style="2"/>
    <col min="4096" max="4096" width="3.25" style="2" customWidth="1"/>
    <col min="4097" max="4106" width="9.625" style="2" customWidth="1"/>
    <col min="4107" max="4107" width="34.25" style="2" customWidth="1"/>
    <col min="4108" max="4108" width="3.625" style="2" customWidth="1"/>
    <col min="4109" max="4351" width="9" style="2"/>
    <col min="4352" max="4352" width="3.25" style="2" customWidth="1"/>
    <col min="4353" max="4362" width="9.625" style="2" customWidth="1"/>
    <col min="4363" max="4363" width="34.25" style="2" customWidth="1"/>
    <col min="4364" max="4364" width="3.625" style="2" customWidth="1"/>
    <col min="4365" max="4607" width="9" style="2"/>
    <col min="4608" max="4608" width="3.25" style="2" customWidth="1"/>
    <col min="4609" max="4618" width="9.625" style="2" customWidth="1"/>
    <col min="4619" max="4619" width="34.25" style="2" customWidth="1"/>
    <col min="4620" max="4620" width="3.625" style="2" customWidth="1"/>
    <col min="4621" max="4863" width="9" style="2"/>
    <col min="4864" max="4864" width="3.25" style="2" customWidth="1"/>
    <col min="4865" max="4874" width="9.625" style="2" customWidth="1"/>
    <col min="4875" max="4875" width="34.25" style="2" customWidth="1"/>
    <col min="4876" max="4876" width="3.625" style="2" customWidth="1"/>
    <col min="4877" max="5119" width="9" style="2"/>
    <col min="5120" max="5120" width="3.25" style="2" customWidth="1"/>
    <col min="5121" max="5130" width="9.625" style="2" customWidth="1"/>
    <col min="5131" max="5131" width="34.25" style="2" customWidth="1"/>
    <col min="5132" max="5132" width="3.625" style="2" customWidth="1"/>
    <col min="5133" max="5375" width="9" style="2"/>
    <col min="5376" max="5376" width="3.25" style="2" customWidth="1"/>
    <col min="5377" max="5386" width="9.625" style="2" customWidth="1"/>
    <col min="5387" max="5387" width="34.25" style="2" customWidth="1"/>
    <col min="5388" max="5388" width="3.625" style="2" customWidth="1"/>
    <col min="5389" max="5631" width="9" style="2"/>
    <col min="5632" max="5632" width="3.25" style="2" customWidth="1"/>
    <col min="5633" max="5642" width="9.625" style="2" customWidth="1"/>
    <col min="5643" max="5643" width="34.25" style="2" customWidth="1"/>
    <col min="5644" max="5644" width="3.625" style="2" customWidth="1"/>
    <col min="5645" max="5887" width="9" style="2"/>
    <col min="5888" max="5888" width="3.25" style="2" customWidth="1"/>
    <col min="5889" max="5898" width="9.625" style="2" customWidth="1"/>
    <col min="5899" max="5899" width="34.25" style="2" customWidth="1"/>
    <col min="5900" max="5900" width="3.625" style="2" customWidth="1"/>
    <col min="5901" max="6143" width="9" style="2"/>
    <col min="6144" max="6144" width="3.25" style="2" customWidth="1"/>
    <col min="6145" max="6154" width="9.625" style="2" customWidth="1"/>
    <col min="6155" max="6155" width="34.25" style="2" customWidth="1"/>
    <col min="6156" max="6156" width="3.625" style="2" customWidth="1"/>
    <col min="6157" max="6399" width="9" style="2"/>
    <col min="6400" max="6400" width="3.25" style="2" customWidth="1"/>
    <col min="6401" max="6410" width="9.625" style="2" customWidth="1"/>
    <col min="6411" max="6411" width="34.25" style="2" customWidth="1"/>
    <col min="6412" max="6412" width="3.625" style="2" customWidth="1"/>
    <col min="6413" max="6655" width="9" style="2"/>
    <col min="6656" max="6656" width="3.25" style="2" customWidth="1"/>
    <col min="6657" max="6666" width="9.625" style="2" customWidth="1"/>
    <col min="6667" max="6667" width="34.25" style="2" customWidth="1"/>
    <col min="6668" max="6668" width="3.625" style="2" customWidth="1"/>
    <col min="6669" max="6911" width="9" style="2"/>
    <col min="6912" max="6912" width="3.25" style="2" customWidth="1"/>
    <col min="6913" max="6922" width="9.625" style="2" customWidth="1"/>
    <col min="6923" max="6923" width="34.25" style="2" customWidth="1"/>
    <col min="6924" max="6924" width="3.625" style="2" customWidth="1"/>
    <col min="6925" max="7167" width="9" style="2"/>
    <col min="7168" max="7168" width="3.25" style="2" customWidth="1"/>
    <col min="7169" max="7178" width="9.625" style="2" customWidth="1"/>
    <col min="7179" max="7179" width="34.25" style="2" customWidth="1"/>
    <col min="7180" max="7180" width="3.625" style="2" customWidth="1"/>
    <col min="7181" max="7423" width="9" style="2"/>
    <col min="7424" max="7424" width="3.25" style="2" customWidth="1"/>
    <col min="7425" max="7434" width="9.625" style="2" customWidth="1"/>
    <col min="7435" max="7435" width="34.25" style="2" customWidth="1"/>
    <col min="7436" max="7436" width="3.625" style="2" customWidth="1"/>
    <col min="7437" max="7679" width="9" style="2"/>
    <col min="7680" max="7680" width="3.25" style="2" customWidth="1"/>
    <col min="7681" max="7690" width="9.625" style="2" customWidth="1"/>
    <col min="7691" max="7691" width="34.25" style="2" customWidth="1"/>
    <col min="7692" max="7692" width="3.625" style="2" customWidth="1"/>
    <col min="7693" max="7935" width="9" style="2"/>
    <col min="7936" max="7936" width="3.25" style="2" customWidth="1"/>
    <col min="7937" max="7946" width="9.625" style="2" customWidth="1"/>
    <col min="7947" max="7947" width="34.25" style="2" customWidth="1"/>
    <col min="7948" max="7948" width="3.625" style="2" customWidth="1"/>
    <col min="7949" max="8191" width="9" style="2"/>
    <col min="8192" max="8192" width="3.25" style="2" customWidth="1"/>
    <col min="8193" max="8202" width="9.625" style="2" customWidth="1"/>
    <col min="8203" max="8203" width="34.25" style="2" customWidth="1"/>
    <col min="8204" max="8204" width="3.625" style="2" customWidth="1"/>
    <col min="8205" max="8447" width="9" style="2"/>
    <col min="8448" max="8448" width="3.25" style="2" customWidth="1"/>
    <col min="8449" max="8458" width="9.625" style="2" customWidth="1"/>
    <col min="8459" max="8459" width="34.25" style="2" customWidth="1"/>
    <col min="8460" max="8460" width="3.625" style="2" customWidth="1"/>
    <col min="8461" max="8703" width="9" style="2"/>
    <col min="8704" max="8704" width="3.25" style="2" customWidth="1"/>
    <col min="8705" max="8714" width="9.625" style="2" customWidth="1"/>
    <col min="8715" max="8715" width="34.25" style="2" customWidth="1"/>
    <col min="8716" max="8716" width="3.625" style="2" customWidth="1"/>
    <col min="8717" max="8959" width="9" style="2"/>
    <col min="8960" max="8960" width="3.25" style="2" customWidth="1"/>
    <col min="8961" max="8970" width="9.625" style="2" customWidth="1"/>
    <col min="8971" max="8971" width="34.25" style="2" customWidth="1"/>
    <col min="8972" max="8972" width="3.625" style="2" customWidth="1"/>
    <col min="8973" max="9215" width="9" style="2"/>
    <col min="9216" max="9216" width="3.25" style="2" customWidth="1"/>
    <col min="9217" max="9226" width="9.625" style="2" customWidth="1"/>
    <col min="9227" max="9227" width="34.25" style="2" customWidth="1"/>
    <col min="9228" max="9228" width="3.625" style="2" customWidth="1"/>
    <col min="9229" max="9471" width="9" style="2"/>
    <col min="9472" max="9472" width="3.25" style="2" customWidth="1"/>
    <col min="9473" max="9482" width="9.625" style="2" customWidth="1"/>
    <col min="9483" max="9483" width="34.25" style="2" customWidth="1"/>
    <col min="9484" max="9484" width="3.625" style="2" customWidth="1"/>
    <col min="9485" max="9727" width="9" style="2"/>
    <col min="9728" max="9728" width="3.25" style="2" customWidth="1"/>
    <col min="9729" max="9738" width="9.625" style="2" customWidth="1"/>
    <col min="9739" max="9739" width="34.25" style="2" customWidth="1"/>
    <col min="9740" max="9740" width="3.625" style="2" customWidth="1"/>
    <col min="9741" max="9983" width="9" style="2"/>
    <col min="9984" max="9984" width="3.25" style="2" customWidth="1"/>
    <col min="9985" max="9994" width="9.625" style="2" customWidth="1"/>
    <col min="9995" max="9995" width="34.25" style="2" customWidth="1"/>
    <col min="9996" max="9996" width="3.625" style="2" customWidth="1"/>
    <col min="9997" max="10239" width="9" style="2"/>
    <col min="10240" max="10240" width="3.25" style="2" customWidth="1"/>
    <col min="10241" max="10250" width="9.625" style="2" customWidth="1"/>
    <col min="10251" max="10251" width="34.25" style="2" customWidth="1"/>
    <col min="10252" max="10252" width="3.625" style="2" customWidth="1"/>
    <col min="10253" max="10495" width="9" style="2"/>
    <col min="10496" max="10496" width="3.25" style="2" customWidth="1"/>
    <col min="10497" max="10506" width="9.625" style="2" customWidth="1"/>
    <col min="10507" max="10507" width="34.25" style="2" customWidth="1"/>
    <col min="10508" max="10508" width="3.625" style="2" customWidth="1"/>
    <col min="10509" max="10751" width="9" style="2"/>
    <col min="10752" max="10752" width="3.25" style="2" customWidth="1"/>
    <col min="10753" max="10762" width="9.625" style="2" customWidth="1"/>
    <col min="10763" max="10763" width="34.25" style="2" customWidth="1"/>
    <col min="10764" max="10764" width="3.625" style="2" customWidth="1"/>
    <col min="10765" max="11007" width="9" style="2"/>
    <col min="11008" max="11008" width="3.25" style="2" customWidth="1"/>
    <col min="11009" max="11018" width="9.625" style="2" customWidth="1"/>
    <col min="11019" max="11019" width="34.25" style="2" customWidth="1"/>
    <col min="11020" max="11020" width="3.625" style="2" customWidth="1"/>
    <col min="11021" max="11263" width="9" style="2"/>
    <col min="11264" max="11264" width="3.25" style="2" customWidth="1"/>
    <col min="11265" max="11274" width="9.625" style="2" customWidth="1"/>
    <col min="11275" max="11275" width="34.25" style="2" customWidth="1"/>
    <col min="11276" max="11276" width="3.625" style="2" customWidth="1"/>
    <col min="11277" max="11519" width="9" style="2"/>
    <col min="11520" max="11520" width="3.25" style="2" customWidth="1"/>
    <col min="11521" max="11530" width="9.625" style="2" customWidth="1"/>
    <col min="11531" max="11531" width="34.25" style="2" customWidth="1"/>
    <col min="11532" max="11532" width="3.625" style="2" customWidth="1"/>
    <col min="11533" max="11775" width="9" style="2"/>
    <col min="11776" max="11776" width="3.25" style="2" customWidth="1"/>
    <col min="11777" max="11786" width="9.625" style="2" customWidth="1"/>
    <col min="11787" max="11787" width="34.25" style="2" customWidth="1"/>
    <col min="11788" max="11788" width="3.625" style="2" customWidth="1"/>
    <col min="11789" max="12031" width="9" style="2"/>
    <col min="12032" max="12032" width="3.25" style="2" customWidth="1"/>
    <col min="12033" max="12042" width="9.625" style="2" customWidth="1"/>
    <col min="12043" max="12043" width="34.25" style="2" customWidth="1"/>
    <col min="12044" max="12044" width="3.625" style="2" customWidth="1"/>
    <col min="12045" max="12287" width="9" style="2"/>
    <col min="12288" max="12288" width="3.25" style="2" customWidth="1"/>
    <col min="12289" max="12298" width="9.625" style="2" customWidth="1"/>
    <col min="12299" max="12299" width="34.25" style="2" customWidth="1"/>
    <col min="12300" max="12300" width="3.625" style="2" customWidth="1"/>
    <col min="12301" max="12543" width="9" style="2"/>
    <col min="12544" max="12544" width="3.25" style="2" customWidth="1"/>
    <col min="12545" max="12554" width="9.625" style="2" customWidth="1"/>
    <col min="12555" max="12555" width="34.25" style="2" customWidth="1"/>
    <col min="12556" max="12556" width="3.625" style="2" customWidth="1"/>
    <col min="12557" max="12799" width="9" style="2"/>
    <col min="12800" max="12800" width="3.25" style="2" customWidth="1"/>
    <col min="12801" max="12810" width="9.625" style="2" customWidth="1"/>
    <col min="12811" max="12811" width="34.25" style="2" customWidth="1"/>
    <col min="12812" max="12812" width="3.625" style="2" customWidth="1"/>
    <col min="12813" max="13055" width="9" style="2"/>
    <col min="13056" max="13056" width="3.25" style="2" customWidth="1"/>
    <col min="13057" max="13066" width="9.625" style="2" customWidth="1"/>
    <col min="13067" max="13067" width="34.25" style="2" customWidth="1"/>
    <col min="13068" max="13068" width="3.625" style="2" customWidth="1"/>
    <col min="13069" max="13311" width="9" style="2"/>
    <col min="13312" max="13312" width="3.25" style="2" customWidth="1"/>
    <col min="13313" max="13322" width="9.625" style="2" customWidth="1"/>
    <col min="13323" max="13323" width="34.25" style="2" customWidth="1"/>
    <col min="13324" max="13324" width="3.625" style="2" customWidth="1"/>
    <col min="13325" max="13567" width="9" style="2"/>
    <col min="13568" max="13568" width="3.25" style="2" customWidth="1"/>
    <col min="13569" max="13578" width="9.625" style="2" customWidth="1"/>
    <col min="13579" max="13579" width="34.25" style="2" customWidth="1"/>
    <col min="13580" max="13580" width="3.625" style="2" customWidth="1"/>
    <col min="13581" max="13823" width="9" style="2"/>
    <col min="13824" max="13824" width="3.25" style="2" customWidth="1"/>
    <col min="13825" max="13834" width="9.625" style="2" customWidth="1"/>
    <col min="13835" max="13835" width="34.25" style="2" customWidth="1"/>
    <col min="13836" max="13836" width="3.625" style="2" customWidth="1"/>
    <col min="13837" max="14079" width="9" style="2"/>
    <col min="14080" max="14080" width="3.25" style="2" customWidth="1"/>
    <col min="14081" max="14090" width="9.625" style="2" customWidth="1"/>
    <col min="14091" max="14091" width="34.25" style="2" customWidth="1"/>
    <col min="14092" max="14092" width="3.625" style="2" customWidth="1"/>
    <col min="14093" max="14335" width="9" style="2"/>
    <col min="14336" max="14336" width="3.25" style="2" customWidth="1"/>
    <col min="14337" max="14346" width="9.625" style="2" customWidth="1"/>
    <col min="14347" max="14347" width="34.25" style="2" customWidth="1"/>
    <col min="14348" max="14348" width="3.625" style="2" customWidth="1"/>
    <col min="14349" max="14591" width="9" style="2"/>
    <col min="14592" max="14592" width="3.25" style="2" customWidth="1"/>
    <col min="14593" max="14602" width="9.625" style="2" customWidth="1"/>
    <col min="14603" max="14603" width="34.25" style="2" customWidth="1"/>
    <col min="14604" max="14604" width="3.625" style="2" customWidth="1"/>
    <col min="14605" max="14847" width="9" style="2"/>
    <col min="14848" max="14848" width="3.25" style="2" customWidth="1"/>
    <col min="14849" max="14858" width="9.625" style="2" customWidth="1"/>
    <col min="14859" max="14859" width="34.25" style="2" customWidth="1"/>
    <col min="14860" max="14860" width="3.625" style="2" customWidth="1"/>
    <col min="14861" max="15103" width="9" style="2"/>
    <col min="15104" max="15104" width="3.25" style="2" customWidth="1"/>
    <col min="15105" max="15114" width="9.625" style="2" customWidth="1"/>
    <col min="15115" max="15115" width="34.25" style="2" customWidth="1"/>
    <col min="15116" max="15116" width="3.625" style="2" customWidth="1"/>
    <col min="15117" max="15359" width="9" style="2"/>
    <col min="15360" max="15360" width="3.25" style="2" customWidth="1"/>
    <col min="15361" max="15370" width="9.625" style="2" customWidth="1"/>
    <col min="15371" max="15371" width="34.25" style="2" customWidth="1"/>
    <col min="15372" max="15372" width="3.625" style="2" customWidth="1"/>
    <col min="15373" max="15615" width="9" style="2"/>
    <col min="15616" max="15616" width="3.25" style="2" customWidth="1"/>
    <col min="15617" max="15626" width="9.625" style="2" customWidth="1"/>
    <col min="15627" max="15627" width="34.25" style="2" customWidth="1"/>
    <col min="15628" max="15628" width="3.625" style="2" customWidth="1"/>
    <col min="15629" max="15871" width="9" style="2"/>
    <col min="15872" max="15872" width="3.25" style="2" customWidth="1"/>
    <col min="15873" max="15882" width="9.625" style="2" customWidth="1"/>
    <col min="15883" max="15883" width="34.25" style="2" customWidth="1"/>
    <col min="15884" max="15884" width="3.625" style="2" customWidth="1"/>
    <col min="15885" max="16127" width="9" style="2"/>
    <col min="16128" max="16128" width="3.25" style="2" customWidth="1"/>
    <col min="16129" max="16138" width="9.625" style="2" customWidth="1"/>
    <col min="16139" max="16139" width="34.25" style="2" customWidth="1"/>
    <col min="16140" max="16140" width="3.625" style="2" customWidth="1"/>
    <col min="16141" max="16384" width="9" style="2"/>
  </cols>
  <sheetData>
    <row r="1" spans="1:13" ht="15.75" customHeight="1" x14ac:dyDescent="0.2">
      <c r="A1" s="1"/>
      <c r="B1" s="406" t="s">
        <v>697</v>
      </c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1"/>
    </row>
    <row r="2" spans="1:13" ht="15.75" customHeight="1" thickBot="1" x14ac:dyDescent="0.25">
      <c r="A2" s="1"/>
      <c r="B2" s="425" t="s">
        <v>698</v>
      </c>
      <c r="C2" s="425"/>
      <c r="D2" s="425"/>
      <c r="E2" s="425"/>
      <c r="F2" s="425"/>
      <c r="G2" s="425"/>
      <c r="H2" s="425"/>
      <c r="I2" s="425"/>
      <c r="J2" s="425"/>
      <c r="K2" s="425"/>
      <c r="L2" s="425"/>
      <c r="M2" s="1"/>
    </row>
    <row r="3" spans="1:13" ht="15.75" customHeight="1" thickBot="1" x14ac:dyDescent="0.25">
      <c r="A3" s="1"/>
      <c r="B3" s="426" t="s">
        <v>4</v>
      </c>
      <c r="C3" s="426"/>
      <c r="D3" s="426"/>
      <c r="E3" s="426" t="s">
        <v>145</v>
      </c>
      <c r="F3" s="426"/>
      <c r="G3" s="426"/>
      <c r="H3" s="426" t="s">
        <v>146</v>
      </c>
      <c r="I3" s="426"/>
      <c r="J3" s="426"/>
      <c r="K3" s="410"/>
      <c r="L3" s="410"/>
      <c r="M3" s="1"/>
    </row>
    <row r="4" spans="1:13" ht="15.75" customHeight="1" thickBot="1" x14ac:dyDescent="0.25">
      <c r="A4" s="1"/>
      <c r="B4" s="39" t="s">
        <v>227</v>
      </c>
      <c r="C4" s="39" t="s">
        <v>10</v>
      </c>
      <c r="D4" s="39" t="s">
        <v>9</v>
      </c>
      <c r="E4" s="39" t="s">
        <v>227</v>
      </c>
      <c r="F4" s="39" t="s">
        <v>10</v>
      </c>
      <c r="G4" s="39" t="s">
        <v>9</v>
      </c>
      <c r="H4" s="39" t="s">
        <v>227</v>
      </c>
      <c r="I4" s="39" t="s">
        <v>10</v>
      </c>
      <c r="J4" s="39" t="s">
        <v>9</v>
      </c>
      <c r="K4" s="412" t="s">
        <v>240</v>
      </c>
      <c r="L4" s="412"/>
      <c r="M4" s="1"/>
    </row>
    <row r="5" spans="1:13" ht="15.75" customHeight="1" thickBot="1" x14ac:dyDescent="0.25">
      <c r="A5" s="1"/>
      <c r="B5" s="6">
        <f>SUM(C5:D5)</f>
        <v>12</v>
      </c>
      <c r="C5" s="6">
        <f>I5+F5</f>
        <v>0</v>
      </c>
      <c r="D5" s="6">
        <f>J5+G5</f>
        <v>12</v>
      </c>
      <c r="E5" s="6">
        <f>SUM(F5:G5)</f>
        <v>0</v>
      </c>
      <c r="F5" s="6">
        <v>0</v>
      </c>
      <c r="G5" s="6">
        <v>0</v>
      </c>
      <c r="H5" s="6">
        <f>SUM(I5:J5)</f>
        <v>12</v>
      </c>
      <c r="I5" s="6">
        <v>0</v>
      </c>
      <c r="J5" s="6">
        <v>12</v>
      </c>
      <c r="K5" s="7" t="s">
        <v>56</v>
      </c>
      <c r="L5" s="114"/>
      <c r="M5" s="1"/>
    </row>
    <row r="6" spans="1:13" ht="15.75" customHeight="1" thickBot="1" x14ac:dyDescent="0.25">
      <c r="A6" s="1"/>
      <c r="B6" s="6">
        <f t="shared" ref="B6:B61" si="0">SUM(C6:D6)</f>
        <v>4</v>
      </c>
      <c r="C6" s="6">
        <f t="shared" ref="C6:D61" si="1">I6+F6</f>
        <v>2</v>
      </c>
      <c r="D6" s="6">
        <f t="shared" si="1"/>
        <v>2</v>
      </c>
      <c r="E6" s="6">
        <f t="shared" ref="E6:E61" si="2">SUM(F6:G6)</f>
        <v>0</v>
      </c>
      <c r="F6" s="6">
        <v>0</v>
      </c>
      <c r="G6" s="6">
        <v>0</v>
      </c>
      <c r="H6" s="6">
        <f t="shared" ref="H6:H61" si="3">SUM(I6:J6)</f>
        <v>4</v>
      </c>
      <c r="I6" s="6">
        <v>2</v>
      </c>
      <c r="J6" s="6">
        <v>2</v>
      </c>
      <c r="K6" s="7" t="s">
        <v>57</v>
      </c>
      <c r="L6" s="114" t="s">
        <v>161</v>
      </c>
      <c r="M6" s="1"/>
    </row>
    <row r="7" spans="1:13" ht="15.75" customHeight="1" thickBot="1" x14ac:dyDescent="0.25">
      <c r="A7" s="1"/>
      <c r="B7" s="6">
        <f t="shared" si="0"/>
        <v>0</v>
      </c>
      <c r="C7" s="6">
        <f t="shared" si="1"/>
        <v>0</v>
      </c>
      <c r="D7" s="6">
        <f t="shared" si="1"/>
        <v>0</v>
      </c>
      <c r="E7" s="6">
        <f t="shared" si="2"/>
        <v>0</v>
      </c>
      <c r="F7" s="6">
        <v>0</v>
      </c>
      <c r="G7" s="6">
        <v>0</v>
      </c>
      <c r="H7" s="6">
        <f t="shared" si="3"/>
        <v>0</v>
      </c>
      <c r="I7" s="6">
        <v>0</v>
      </c>
      <c r="J7" s="6">
        <v>0</v>
      </c>
      <c r="K7" s="7" t="s">
        <v>59</v>
      </c>
      <c r="L7" s="115"/>
      <c r="M7" s="1"/>
    </row>
    <row r="8" spans="1:13" ht="15.75" customHeight="1" thickBot="1" x14ac:dyDescent="0.25">
      <c r="A8" s="1"/>
      <c r="B8" s="6">
        <f t="shared" si="0"/>
        <v>107</v>
      </c>
      <c r="C8" s="6">
        <f t="shared" si="1"/>
        <v>16</v>
      </c>
      <c r="D8" s="6">
        <f t="shared" si="1"/>
        <v>91</v>
      </c>
      <c r="E8" s="6">
        <f t="shared" si="2"/>
        <v>10</v>
      </c>
      <c r="F8" s="6">
        <v>0</v>
      </c>
      <c r="G8" s="6">
        <v>10</v>
      </c>
      <c r="H8" s="6">
        <f t="shared" si="3"/>
        <v>97</v>
      </c>
      <c r="I8" s="6">
        <v>16</v>
      </c>
      <c r="J8" s="6">
        <v>81</v>
      </c>
      <c r="K8" s="7" t="s">
        <v>56</v>
      </c>
      <c r="L8" s="114"/>
      <c r="M8" s="1"/>
    </row>
    <row r="9" spans="1:13" ht="15.75" customHeight="1" thickBot="1" x14ac:dyDescent="0.25">
      <c r="A9" s="1"/>
      <c r="B9" s="6">
        <f t="shared" si="0"/>
        <v>365</v>
      </c>
      <c r="C9" s="6">
        <f t="shared" si="1"/>
        <v>74</v>
      </c>
      <c r="D9" s="6">
        <f t="shared" si="1"/>
        <v>291</v>
      </c>
      <c r="E9" s="6">
        <f t="shared" si="2"/>
        <v>23</v>
      </c>
      <c r="F9" s="6">
        <v>0</v>
      </c>
      <c r="G9" s="6">
        <v>23</v>
      </c>
      <c r="H9" s="6">
        <f t="shared" si="3"/>
        <v>342</v>
      </c>
      <c r="I9" s="6">
        <v>74</v>
      </c>
      <c r="J9" s="6">
        <v>268</v>
      </c>
      <c r="K9" s="7" t="s">
        <v>57</v>
      </c>
      <c r="L9" s="114" t="s">
        <v>162</v>
      </c>
      <c r="M9" s="1"/>
    </row>
    <row r="10" spans="1:13" ht="15.75" customHeight="1" thickBot="1" x14ac:dyDescent="0.25">
      <c r="A10" s="1"/>
      <c r="B10" s="6">
        <f t="shared" si="0"/>
        <v>100</v>
      </c>
      <c r="C10" s="6">
        <f t="shared" si="1"/>
        <v>1</v>
      </c>
      <c r="D10" s="6">
        <f t="shared" si="1"/>
        <v>99</v>
      </c>
      <c r="E10" s="6">
        <f t="shared" si="2"/>
        <v>25</v>
      </c>
      <c r="F10" s="6">
        <v>1</v>
      </c>
      <c r="G10" s="6">
        <v>24</v>
      </c>
      <c r="H10" s="6">
        <f t="shared" si="3"/>
        <v>75</v>
      </c>
      <c r="I10" s="6">
        <v>0</v>
      </c>
      <c r="J10" s="6">
        <v>75</v>
      </c>
      <c r="K10" s="7" t="s">
        <v>59</v>
      </c>
      <c r="L10" s="115"/>
      <c r="M10" s="1"/>
    </row>
    <row r="11" spans="1:13" ht="15.75" customHeight="1" thickBot="1" x14ac:dyDescent="0.25">
      <c r="A11" s="1"/>
      <c r="B11" s="6">
        <f t="shared" si="0"/>
        <v>0</v>
      </c>
      <c r="C11" s="6">
        <f t="shared" si="1"/>
        <v>0</v>
      </c>
      <c r="D11" s="6">
        <f t="shared" si="1"/>
        <v>0</v>
      </c>
      <c r="E11" s="6">
        <f t="shared" si="2"/>
        <v>0</v>
      </c>
      <c r="F11" s="6">
        <v>0</v>
      </c>
      <c r="G11" s="6">
        <v>0</v>
      </c>
      <c r="H11" s="6">
        <f t="shared" si="3"/>
        <v>0</v>
      </c>
      <c r="I11" s="6">
        <v>0</v>
      </c>
      <c r="J11" s="6">
        <v>0</v>
      </c>
      <c r="K11" s="7" t="s">
        <v>56</v>
      </c>
      <c r="L11" s="114"/>
      <c r="M11" s="1"/>
    </row>
    <row r="12" spans="1:13" ht="15.75" customHeight="1" thickBot="1" x14ac:dyDescent="0.25">
      <c r="A12" s="1"/>
      <c r="B12" s="6">
        <f t="shared" si="0"/>
        <v>1</v>
      </c>
      <c r="C12" s="6">
        <f t="shared" si="1"/>
        <v>1</v>
      </c>
      <c r="D12" s="6">
        <f t="shared" si="1"/>
        <v>0</v>
      </c>
      <c r="E12" s="6">
        <f t="shared" si="2"/>
        <v>0</v>
      </c>
      <c r="F12" s="6">
        <v>0</v>
      </c>
      <c r="G12" s="6">
        <v>0</v>
      </c>
      <c r="H12" s="6">
        <f t="shared" si="3"/>
        <v>1</v>
      </c>
      <c r="I12" s="6">
        <v>1</v>
      </c>
      <c r="J12" s="6">
        <v>0</v>
      </c>
      <c r="K12" s="7" t="s">
        <v>57</v>
      </c>
      <c r="L12" s="114" t="s">
        <v>163</v>
      </c>
      <c r="M12" s="1"/>
    </row>
    <row r="13" spans="1:13" ht="15.75" customHeight="1" thickBot="1" x14ac:dyDescent="0.25">
      <c r="A13" s="1"/>
      <c r="B13" s="6">
        <f t="shared" si="0"/>
        <v>43</v>
      </c>
      <c r="C13" s="6">
        <f t="shared" si="1"/>
        <v>0</v>
      </c>
      <c r="D13" s="6">
        <f t="shared" si="1"/>
        <v>43</v>
      </c>
      <c r="E13" s="6">
        <f t="shared" si="2"/>
        <v>11</v>
      </c>
      <c r="F13" s="6">
        <v>0</v>
      </c>
      <c r="G13" s="6">
        <v>11</v>
      </c>
      <c r="H13" s="6">
        <f t="shared" si="3"/>
        <v>32</v>
      </c>
      <c r="I13" s="6">
        <v>0</v>
      </c>
      <c r="J13" s="6">
        <v>32</v>
      </c>
      <c r="K13" s="7" t="s">
        <v>59</v>
      </c>
      <c r="L13" s="115"/>
      <c r="M13" s="1"/>
    </row>
    <row r="14" spans="1:13" ht="15.75" customHeight="1" thickBot="1" x14ac:dyDescent="0.25">
      <c r="A14" s="1"/>
      <c r="B14" s="6">
        <f t="shared" si="0"/>
        <v>72</v>
      </c>
      <c r="C14" s="6">
        <f t="shared" si="1"/>
        <v>20</v>
      </c>
      <c r="D14" s="6">
        <f t="shared" si="1"/>
        <v>52</v>
      </c>
      <c r="E14" s="6">
        <f t="shared" si="2"/>
        <v>5</v>
      </c>
      <c r="F14" s="6">
        <v>0</v>
      </c>
      <c r="G14" s="6">
        <v>5</v>
      </c>
      <c r="H14" s="6">
        <f t="shared" si="3"/>
        <v>67</v>
      </c>
      <c r="I14" s="6">
        <v>20</v>
      </c>
      <c r="J14" s="6">
        <v>47</v>
      </c>
      <c r="K14" s="7" t="s">
        <v>56</v>
      </c>
      <c r="L14" s="114"/>
      <c r="M14" s="1"/>
    </row>
    <row r="15" spans="1:13" ht="15.75" customHeight="1" thickBot="1" x14ac:dyDescent="0.25">
      <c r="A15" s="1"/>
      <c r="B15" s="6">
        <f t="shared" si="0"/>
        <v>299</v>
      </c>
      <c r="C15" s="6">
        <f t="shared" si="1"/>
        <v>81</v>
      </c>
      <c r="D15" s="6">
        <f t="shared" si="1"/>
        <v>218</v>
      </c>
      <c r="E15" s="6">
        <f t="shared" si="2"/>
        <v>23</v>
      </c>
      <c r="F15" s="6">
        <v>2</v>
      </c>
      <c r="G15" s="6">
        <v>21</v>
      </c>
      <c r="H15" s="6">
        <f t="shared" si="3"/>
        <v>276</v>
      </c>
      <c r="I15" s="6">
        <v>79</v>
      </c>
      <c r="J15" s="6">
        <v>197</v>
      </c>
      <c r="K15" s="7" t="s">
        <v>57</v>
      </c>
      <c r="L15" s="114" t="s">
        <v>164</v>
      </c>
      <c r="M15" s="1"/>
    </row>
    <row r="16" spans="1:13" ht="15.75" customHeight="1" thickBot="1" x14ac:dyDescent="0.25">
      <c r="A16" s="1"/>
      <c r="B16" s="6">
        <f t="shared" si="0"/>
        <v>1183</v>
      </c>
      <c r="C16" s="6">
        <f t="shared" si="1"/>
        <v>294</v>
      </c>
      <c r="D16" s="6">
        <f t="shared" si="1"/>
        <v>889</v>
      </c>
      <c r="E16" s="6">
        <f t="shared" si="2"/>
        <v>47</v>
      </c>
      <c r="F16" s="6">
        <v>4</v>
      </c>
      <c r="G16" s="6">
        <v>43</v>
      </c>
      <c r="H16" s="6">
        <f t="shared" si="3"/>
        <v>1136</v>
      </c>
      <c r="I16" s="6">
        <v>290</v>
      </c>
      <c r="J16" s="6">
        <v>846</v>
      </c>
      <c r="K16" s="7" t="s">
        <v>59</v>
      </c>
      <c r="L16" s="115"/>
      <c r="M16" s="1"/>
    </row>
    <row r="17" spans="1:13" ht="15.75" customHeight="1" thickBot="1" x14ac:dyDescent="0.25">
      <c r="A17" s="1"/>
      <c r="B17" s="6">
        <f t="shared" si="0"/>
        <v>0</v>
      </c>
      <c r="C17" s="6">
        <f t="shared" si="1"/>
        <v>0</v>
      </c>
      <c r="D17" s="6">
        <f t="shared" si="1"/>
        <v>0</v>
      </c>
      <c r="E17" s="6">
        <f t="shared" si="2"/>
        <v>0</v>
      </c>
      <c r="F17" s="6">
        <v>0</v>
      </c>
      <c r="G17" s="6">
        <v>0</v>
      </c>
      <c r="H17" s="6">
        <f t="shared" si="3"/>
        <v>0</v>
      </c>
      <c r="I17" s="6">
        <v>0</v>
      </c>
      <c r="J17" s="6">
        <v>0</v>
      </c>
      <c r="K17" s="7" t="s">
        <v>56</v>
      </c>
      <c r="L17" s="114"/>
      <c r="M17" s="1"/>
    </row>
    <row r="18" spans="1:13" ht="15.75" customHeight="1" thickBot="1" x14ac:dyDescent="0.25">
      <c r="A18" s="1"/>
      <c r="B18" s="6">
        <f t="shared" si="0"/>
        <v>24</v>
      </c>
      <c r="C18" s="6">
        <f t="shared" si="1"/>
        <v>2</v>
      </c>
      <c r="D18" s="6">
        <f t="shared" si="1"/>
        <v>22</v>
      </c>
      <c r="E18" s="6">
        <f t="shared" si="2"/>
        <v>3</v>
      </c>
      <c r="F18" s="6">
        <v>0</v>
      </c>
      <c r="G18" s="6">
        <v>3</v>
      </c>
      <c r="H18" s="6">
        <f t="shared" si="3"/>
        <v>21</v>
      </c>
      <c r="I18" s="6">
        <v>2</v>
      </c>
      <c r="J18" s="6">
        <v>19</v>
      </c>
      <c r="K18" s="7" t="s">
        <v>57</v>
      </c>
      <c r="L18" s="114" t="s">
        <v>165</v>
      </c>
      <c r="M18" s="1"/>
    </row>
    <row r="19" spans="1:13" ht="15.75" customHeight="1" thickBot="1" x14ac:dyDescent="0.25">
      <c r="A19" s="1"/>
      <c r="B19" s="6">
        <f t="shared" si="0"/>
        <v>0</v>
      </c>
      <c r="C19" s="6">
        <f t="shared" si="1"/>
        <v>0</v>
      </c>
      <c r="D19" s="6">
        <f t="shared" si="1"/>
        <v>0</v>
      </c>
      <c r="E19" s="6">
        <f t="shared" si="2"/>
        <v>0</v>
      </c>
      <c r="F19" s="6">
        <v>0</v>
      </c>
      <c r="G19" s="6">
        <v>0</v>
      </c>
      <c r="H19" s="6">
        <f t="shared" si="3"/>
        <v>0</v>
      </c>
      <c r="I19" s="6">
        <v>0</v>
      </c>
      <c r="J19" s="6">
        <v>0</v>
      </c>
      <c r="K19" s="7" t="s">
        <v>59</v>
      </c>
      <c r="L19" s="115"/>
      <c r="M19" s="1"/>
    </row>
    <row r="20" spans="1:13" ht="15.75" customHeight="1" thickBot="1" x14ac:dyDescent="0.25">
      <c r="A20" s="1"/>
      <c r="B20" s="6">
        <f t="shared" si="0"/>
        <v>95</v>
      </c>
      <c r="C20" s="6">
        <f t="shared" si="1"/>
        <v>32</v>
      </c>
      <c r="D20" s="6">
        <f t="shared" si="1"/>
        <v>63</v>
      </c>
      <c r="E20" s="6">
        <f t="shared" si="2"/>
        <v>5</v>
      </c>
      <c r="F20" s="6">
        <v>0</v>
      </c>
      <c r="G20" s="6">
        <v>5</v>
      </c>
      <c r="H20" s="6">
        <f t="shared" si="3"/>
        <v>90</v>
      </c>
      <c r="I20" s="6">
        <v>32</v>
      </c>
      <c r="J20" s="6">
        <v>58</v>
      </c>
      <c r="K20" s="7" t="s">
        <v>56</v>
      </c>
      <c r="L20" s="114"/>
      <c r="M20" s="1"/>
    </row>
    <row r="21" spans="1:13" ht="15.75" customHeight="1" thickBot="1" x14ac:dyDescent="0.25">
      <c r="A21" s="1"/>
      <c r="B21" s="6">
        <f t="shared" si="0"/>
        <v>127</v>
      </c>
      <c r="C21" s="6">
        <f t="shared" si="1"/>
        <v>72</v>
      </c>
      <c r="D21" s="6">
        <f t="shared" si="1"/>
        <v>55</v>
      </c>
      <c r="E21" s="6">
        <f t="shared" si="2"/>
        <v>1</v>
      </c>
      <c r="F21" s="6">
        <v>1</v>
      </c>
      <c r="G21" s="6">
        <v>0</v>
      </c>
      <c r="H21" s="6">
        <f t="shared" si="3"/>
        <v>126</v>
      </c>
      <c r="I21" s="6">
        <v>71</v>
      </c>
      <c r="J21" s="6">
        <v>55</v>
      </c>
      <c r="K21" s="7" t="s">
        <v>57</v>
      </c>
      <c r="L21" s="114" t="s">
        <v>166</v>
      </c>
      <c r="M21" s="1"/>
    </row>
    <row r="22" spans="1:13" ht="15.75" customHeight="1" thickBot="1" x14ac:dyDescent="0.25">
      <c r="A22" s="1"/>
      <c r="B22" s="6">
        <f t="shared" si="0"/>
        <v>133</v>
      </c>
      <c r="C22" s="6">
        <f t="shared" si="1"/>
        <v>0</v>
      </c>
      <c r="D22" s="6">
        <f t="shared" si="1"/>
        <v>133</v>
      </c>
      <c r="E22" s="6">
        <f t="shared" si="2"/>
        <v>12</v>
      </c>
      <c r="F22" s="6">
        <v>0</v>
      </c>
      <c r="G22" s="6">
        <v>12</v>
      </c>
      <c r="H22" s="6">
        <f t="shared" si="3"/>
        <v>121</v>
      </c>
      <c r="I22" s="6">
        <v>0</v>
      </c>
      <c r="J22" s="6">
        <v>121</v>
      </c>
      <c r="K22" s="7" t="s">
        <v>59</v>
      </c>
      <c r="L22" s="115"/>
      <c r="M22" s="1"/>
    </row>
    <row r="23" spans="1:13" ht="15.75" customHeight="1" thickBot="1" x14ac:dyDescent="0.25">
      <c r="A23" s="1"/>
      <c r="B23" s="6">
        <f t="shared" si="0"/>
        <v>45</v>
      </c>
      <c r="C23" s="6">
        <f t="shared" si="1"/>
        <v>9</v>
      </c>
      <c r="D23" s="6">
        <f t="shared" si="1"/>
        <v>36</v>
      </c>
      <c r="E23" s="6">
        <f t="shared" si="2"/>
        <v>0</v>
      </c>
      <c r="F23" s="6">
        <v>0</v>
      </c>
      <c r="G23" s="6">
        <v>0</v>
      </c>
      <c r="H23" s="6">
        <f t="shared" si="3"/>
        <v>45</v>
      </c>
      <c r="I23" s="6">
        <v>9</v>
      </c>
      <c r="J23" s="6">
        <v>36</v>
      </c>
      <c r="K23" s="7" t="s">
        <v>56</v>
      </c>
      <c r="L23" s="114"/>
      <c r="M23" s="1"/>
    </row>
    <row r="24" spans="1:13" ht="15.75" customHeight="1" thickBot="1" x14ac:dyDescent="0.25">
      <c r="A24" s="1"/>
      <c r="B24" s="6">
        <f t="shared" si="0"/>
        <v>109</v>
      </c>
      <c r="C24" s="6">
        <f t="shared" si="1"/>
        <v>30</v>
      </c>
      <c r="D24" s="6">
        <f t="shared" si="1"/>
        <v>79</v>
      </c>
      <c r="E24" s="6">
        <f t="shared" si="2"/>
        <v>3</v>
      </c>
      <c r="F24" s="6">
        <v>0</v>
      </c>
      <c r="G24" s="6">
        <v>3</v>
      </c>
      <c r="H24" s="6">
        <f t="shared" si="3"/>
        <v>106</v>
      </c>
      <c r="I24" s="6">
        <v>30</v>
      </c>
      <c r="J24" s="6">
        <v>76</v>
      </c>
      <c r="K24" s="7" t="s">
        <v>57</v>
      </c>
      <c r="L24" s="114" t="s">
        <v>167</v>
      </c>
      <c r="M24" s="1"/>
    </row>
    <row r="25" spans="1:13" ht="15.75" customHeight="1" thickBot="1" x14ac:dyDescent="0.25">
      <c r="A25" s="1"/>
      <c r="B25" s="6">
        <f t="shared" si="0"/>
        <v>54</v>
      </c>
      <c r="C25" s="6">
        <f t="shared" si="1"/>
        <v>5</v>
      </c>
      <c r="D25" s="6">
        <f t="shared" si="1"/>
        <v>49</v>
      </c>
      <c r="E25" s="6">
        <f t="shared" si="2"/>
        <v>10</v>
      </c>
      <c r="F25" s="6">
        <v>5</v>
      </c>
      <c r="G25" s="6">
        <v>5</v>
      </c>
      <c r="H25" s="6">
        <f t="shared" si="3"/>
        <v>44</v>
      </c>
      <c r="I25" s="6">
        <v>0</v>
      </c>
      <c r="J25" s="6">
        <v>44</v>
      </c>
      <c r="K25" s="7" t="s">
        <v>59</v>
      </c>
      <c r="L25" s="115"/>
      <c r="M25" s="1"/>
    </row>
    <row r="26" spans="1:13" ht="15.75" customHeight="1" thickBot="1" x14ac:dyDescent="0.25">
      <c r="A26" s="1"/>
      <c r="B26" s="6">
        <f t="shared" si="0"/>
        <v>33</v>
      </c>
      <c r="C26" s="6">
        <f t="shared" si="1"/>
        <v>5</v>
      </c>
      <c r="D26" s="6">
        <f t="shared" si="1"/>
        <v>28</v>
      </c>
      <c r="E26" s="6">
        <f t="shared" si="2"/>
        <v>4</v>
      </c>
      <c r="F26" s="6">
        <v>0</v>
      </c>
      <c r="G26" s="6">
        <v>4</v>
      </c>
      <c r="H26" s="6">
        <f t="shared" si="3"/>
        <v>29</v>
      </c>
      <c r="I26" s="6">
        <v>5</v>
      </c>
      <c r="J26" s="6">
        <v>24</v>
      </c>
      <c r="K26" s="7" t="s">
        <v>56</v>
      </c>
      <c r="L26" s="114"/>
      <c r="M26" s="1"/>
    </row>
    <row r="27" spans="1:13" ht="15.75" customHeight="1" thickBot="1" x14ac:dyDescent="0.25">
      <c r="A27" s="1"/>
      <c r="B27" s="6">
        <f t="shared" si="0"/>
        <v>65</v>
      </c>
      <c r="C27" s="6">
        <f t="shared" si="1"/>
        <v>13</v>
      </c>
      <c r="D27" s="6">
        <f t="shared" si="1"/>
        <v>52</v>
      </c>
      <c r="E27" s="6">
        <f t="shared" si="2"/>
        <v>6</v>
      </c>
      <c r="F27" s="6">
        <v>1</v>
      </c>
      <c r="G27" s="6">
        <v>5</v>
      </c>
      <c r="H27" s="6">
        <f t="shared" si="3"/>
        <v>59</v>
      </c>
      <c r="I27" s="6">
        <v>12</v>
      </c>
      <c r="J27" s="6">
        <v>47</v>
      </c>
      <c r="K27" s="7" t="s">
        <v>57</v>
      </c>
      <c r="L27" s="114" t="s">
        <v>168</v>
      </c>
      <c r="M27" s="1"/>
    </row>
    <row r="28" spans="1:13" ht="15.75" customHeight="1" thickBot="1" x14ac:dyDescent="0.25">
      <c r="A28" s="1"/>
      <c r="B28" s="6">
        <f t="shared" si="0"/>
        <v>0</v>
      </c>
      <c r="C28" s="6">
        <f t="shared" si="1"/>
        <v>0</v>
      </c>
      <c r="D28" s="6">
        <f t="shared" si="1"/>
        <v>0</v>
      </c>
      <c r="E28" s="6">
        <f t="shared" si="2"/>
        <v>0</v>
      </c>
      <c r="F28" s="6">
        <v>0</v>
      </c>
      <c r="G28" s="6">
        <v>0</v>
      </c>
      <c r="H28" s="6">
        <f t="shared" si="3"/>
        <v>0</v>
      </c>
      <c r="I28" s="6">
        <v>0</v>
      </c>
      <c r="J28" s="6">
        <v>0</v>
      </c>
      <c r="K28" s="7" t="s">
        <v>59</v>
      </c>
      <c r="L28" s="115"/>
      <c r="M28" s="1"/>
    </row>
    <row r="29" spans="1:13" ht="15.75" customHeight="1" thickBot="1" x14ac:dyDescent="0.25">
      <c r="A29" s="1"/>
      <c r="B29" s="6">
        <f t="shared" si="0"/>
        <v>1</v>
      </c>
      <c r="C29" s="6">
        <f t="shared" si="1"/>
        <v>0</v>
      </c>
      <c r="D29" s="6">
        <f t="shared" si="1"/>
        <v>1</v>
      </c>
      <c r="E29" s="6">
        <f t="shared" si="2"/>
        <v>0</v>
      </c>
      <c r="F29" s="6">
        <v>0</v>
      </c>
      <c r="G29" s="6">
        <v>0</v>
      </c>
      <c r="H29" s="6">
        <f t="shared" si="3"/>
        <v>1</v>
      </c>
      <c r="I29" s="6">
        <v>0</v>
      </c>
      <c r="J29" s="6">
        <v>1</v>
      </c>
      <c r="K29" s="7" t="s">
        <v>56</v>
      </c>
      <c r="L29" s="114"/>
      <c r="M29" s="1"/>
    </row>
    <row r="30" spans="1:13" ht="15.75" customHeight="1" thickBot="1" x14ac:dyDescent="0.25">
      <c r="A30" s="1"/>
      <c r="B30" s="6">
        <f t="shared" si="0"/>
        <v>276</v>
      </c>
      <c r="C30" s="6">
        <f t="shared" si="1"/>
        <v>74</v>
      </c>
      <c r="D30" s="6">
        <f t="shared" si="1"/>
        <v>202</v>
      </c>
      <c r="E30" s="6">
        <f t="shared" si="2"/>
        <v>12</v>
      </c>
      <c r="F30" s="6">
        <v>4</v>
      </c>
      <c r="G30" s="6">
        <v>8</v>
      </c>
      <c r="H30" s="6">
        <f t="shared" si="3"/>
        <v>264</v>
      </c>
      <c r="I30" s="6">
        <v>70</v>
      </c>
      <c r="J30" s="6">
        <v>194</v>
      </c>
      <c r="K30" s="7" t="s">
        <v>57</v>
      </c>
      <c r="L30" s="114" t="s">
        <v>169</v>
      </c>
      <c r="M30" s="1"/>
    </row>
    <row r="31" spans="1:13" ht="15.75" customHeight="1" thickBot="1" x14ac:dyDescent="0.25">
      <c r="A31" s="1"/>
      <c r="B31" s="6">
        <f t="shared" si="0"/>
        <v>248</v>
      </c>
      <c r="C31" s="6">
        <f t="shared" si="1"/>
        <v>115</v>
      </c>
      <c r="D31" s="6">
        <f t="shared" si="1"/>
        <v>133</v>
      </c>
      <c r="E31" s="6">
        <f t="shared" si="2"/>
        <v>0</v>
      </c>
      <c r="F31" s="6">
        <v>0</v>
      </c>
      <c r="G31" s="6">
        <v>0</v>
      </c>
      <c r="H31" s="6">
        <f t="shared" si="3"/>
        <v>248</v>
      </c>
      <c r="I31" s="6">
        <v>115</v>
      </c>
      <c r="J31" s="6">
        <v>133</v>
      </c>
      <c r="K31" s="7" t="s">
        <v>59</v>
      </c>
      <c r="L31" s="115"/>
      <c r="M31" s="1"/>
    </row>
    <row r="32" spans="1:13" ht="15.75" customHeight="1" thickBot="1" x14ac:dyDescent="0.25">
      <c r="A32" s="1"/>
      <c r="B32" s="6">
        <f t="shared" si="0"/>
        <v>0</v>
      </c>
      <c r="C32" s="6">
        <f t="shared" si="1"/>
        <v>0</v>
      </c>
      <c r="D32" s="6">
        <f t="shared" si="1"/>
        <v>0</v>
      </c>
      <c r="E32" s="6">
        <f t="shared" si="2"/>
        <v>0</v>
      </c>
      <c r="F32" s="6">
        <v>0</v>
      </c>
      <c r="G32" s="6">
        <v>0</v>
      </c>
      <c r="H32" s="6">
        <f t="shared" si="3"/>
        <v>0</v>
      </c>
      <c r="I32" s="6">
        <v>0</v>
      </c>
      <c r="J32" s="6">
        <v>0</v>
      </c>
      <c r="K32" s="7" t="s">
        <v>56</v>
      </c>
      <c r="L32" s="114"/>
      <c r="M32" s="1"/>
    </row>
    <row r="33" spans="1:13" ht="15.75" customHeight="1" thickBot="1" x14ac:dyDescent="0.25">
      <c r="A33" s="1"/>
      <c r="B33" s="6">
        <f t="shared" si="0"/>
        <v>0</v>
      </c>
      <c r="C33" s="6">
        <f t="shared" si="1"/>
        <v>0</v>
      </c>
      <c r="D33" s="6">
        <f t="shared" si="1"/>
        <v>0</v>
      </c>
      <c r="E33" s="6">
        <f t="shared" si="2"/>
        <v>0</v>
      </c>
      <c r="F33" s="6">
        <v>0</v>
      </c>
      <c r="G33" s="6">
        <v>0</v>
      </c>
      <c r="H33" s="6">
        <f t="shared" si="3"/>
        <v>0</v>
      </c>
      <c r="I33" s="6">
        <v>0</v>
      </c>
      <c r="J33" s="6">
        <v>0</v>
      </c>
      <c r="K33" s="7" t="s">
        <v>57</v>
      </c>
      <c r="L33" s="114" t="s">
        <v>170</v>
      </c>
      <c r="M33" s="1"/>
    </row>
    <row r="34" spans="1:13" ht="15.75" customHeight="1" thickBot="1" x14ac:dyDescent="0.25">
      <c r="A34" s="1"/>
      <c r="B34" s="6">
        <f t="shared" si="0"/>
        <v>200</v>
      </c>
      <c r="C34" s="6">
        <f t="shared" si="1"/>
        <v>0</v>
      </c>
      <c r="D34" s="6">
        <f t="shared" si="1"/>
        <v>200</v>
      </c>
      <c r="E34" s="6">
        <f t="shared" si="2"/>
        <v>0</v>
      </c>
      <c r="F34" s="6">
        <v>0</v>
      </c>
      <c r="G34" s="6">
        <v>0</v>
      </c>
      <c r="H34" s="6">
        <f t="shared" si="3"/>
        <v>200</v>
      </c>
      <c r="I34" s="6">
        <v>0</v>
      </c>
      <c r="J34" s="6">
        <v>200</v>
      </c>
      <c r="K34" s="7" t="s">
        <v>59</v>
      </c>
      <c r="L34" s="115"/>
      <c r="M34" s="1"/>
    </row>
    <row r="35" spans="1:13" ht="15.75" customHeight="1" thickBot="1" x14ac:dyDescent="0.25">
      <c r="A35" s="1"/>
      <c r="B35" s="6">
        <f t="shared" si="0"/>
        <v>22</v>
      </c>
      <c r="C35" s="6">
        <f t="shared" si="1"/>
        <v>5</v>
      </c>
      <c r="D35" s="6">
        <f t="shared" si="1"/>
        <v>17</v>
      </c>
      <c r="E35" s="6">
        <f t="shared" si="2"/>
        <v>0</v>
      </c>
      <c r="F35" s="6">
        <v>0</v>
      </c>
      <c r="G35" s="6">
        <v>0</v>
      </c>
      <c r="H35" s="6">
        <f t="shared" si="3"/>
        <v>22</v>
      </c>
      <c r="I35" s="6">
        <v>5</v>
      </c>
      <c r="J35" s="6">
        <v>17</v>
      </c>
      <c r="K35" s="7" t="s">
        <v>56</v>
      </c>
      <c r="L35" s="114"/>
      <c r="M35" s="1"/>
    </row>
    <row r="36" spans="1:13" ht="15.75" customHeight="1" thickBot="1" x14ac:dyDescent="0.25">
      <c r="A36" s="1"/>
      <c r="B36" s="6">
        <f t="shared" si="0"/>
        <v>102</v>
      </c>
      <c r="C36" s="6">
        <f t="shared" si="1"/>
        <v>39</v>
      </c>
      <c r="D36" s="6">
        <f t="shared" si="1"/>
        <v>63</v>
      </c>
      <c r="E36" s="6">
        <f t="shared" si="2"/>
        <v>9</v>
      </c>
      <c r="F36" s="6">
        <v>5</v>
      </c>
      <c r="G36" s="6">
        <v>4</v>
      </c>
      <c r="H36" s="6">
        <f t="shared" si="3"/>
        <v>93</v>
      </c>
      <c r="I36" s="6">
        <v>34</v>
      </c>
      <c r="J36" s="6">
        <v>59</v>
      </c>
      <c r="K36" s="7" t="s">
        <v>57</v>
      </c>
      <c r="L36" s="114" t="s">
        <v>171</v>
      </c>
      <c r="M36" s="1"/>
    </row>
    <row r="37" spans="1:13" ht="15.75" customHeight="1" thickBot="1" x14ac:dyDescent="0.25">
      <c r="A37" s="1"/>
      <c r="B37" s="6">
        <f t="shared" si="0"/>
        <v>0</v>
      </c>
      <c r="C37" s="6">
        <f t="shared" si="1"/>
        <v>0</v>
      </c>
      <c r="D37" s="6">
        <f t="shared" si="1"/>
        <v>0</v>
      </c>
      <c r="E37" s="6">
        <f t="shared" si="2"/>
        <v>0</v>
      </c>
      <c r="F37" s="6">
        <v>0</v>
      </c>
      <c r="G37" s="6">
        <v>0</v>
      </c>
      <c r="H37" s="6">
        <f t="shared" si="3"/>
        <v>0</v>
      </c>
      <c r="I37" s="6">
        <v>0</v>
      </c>
      <c r="J37" s="6">
        <v>0</v>
      </c>
      <c r="K37" s="7" t="s">
        <v>59</v>
      </c>
      <c r="L37" s="115"/>
      <c r="M37" s="1"/>
    </row>
    <row r="38" spans="1:13" ht="15.75" customHeight="1" thickBot="1" x14ac:dyDescent="0.25">
      <c r="A38" s="1"/>
      <c r="B38" s="6">
        <f t="shared" si="0"/>
        <v>7</v>
      </c>
      <c r="C38" s="6">
        <f t="shared" si="1"/>
        <v>3</v>
      </c>
      <c r="D38" s="6">
        <f t="shared" si="1"/>
        <v>4</v>
      </c>
      <c r="E38" s="6">
        <f t="shared" si="2"/>
        <v>4</v>
      </c>
      <c r="F38" s="6">
        <v>0</v>
      </c>
      <c r="G38" s="6">
        <v>4</v>
      </c>
      <c r="H38" s="6">
        <f t="shared" si="3"/>
        <v>3</v>
      </c>
      <c r="I38" s="6">
        <v>3</v>
      </c>
      <c r="J38" s="6">
        <v>0</v>
      </c>
      <c r="K38" s="7" t="s">
        <v>56</v>
      </c>
      <c r="L38" s="114"/>
      <c r="M38" s="1"/>
    </row>
    <row r="39" spans="1:13" ht="15.75" customHeight="1" thickBot="1" x14ac:dyDescent="0.25">
      <c r="A39" s="1"/>
      <c r="B39" s="6">
        <f t="shared" si="0"/>
        <v>55</v>
      </c>
      <c r="C39" s="6">
        <f t="shared" si="1"/>
        <v>14</v>
      </c>
      <c r="D39" s="6">
        <f t="shared" si="1"/>
        <v>41</v>
      </c>
      <c r="E39" s="6">
        <f t="shared" si="2"/>
        <v>13</v>
      </c>
      <c r="F39" s="6">
        <v>1</v>
      </c>
      <c r="G39" s="6">
        <v>12</v>
      </c>
      <c r="H39" s="6">
        <f t="shared" si="3"/>
        <v>42</v>
      </c>
      <c r="I39" s="6">
        <v>13</v>
      </c>
      <c r="J39" s="6">
        <v>29</v>
      </c>
      <c r="K39" s="7" t="s">
        <v>57</v>
      </c>
      <c r="L39" s="114" t="s">
        <v>172</v>
      </c>
      <c r="M39" s="1"/>
    </row>
    <row r="40" spans="1:13" ht="15.75" customHeight="1" thickBot="1" x14ac:dyDescent="0.25">
      <c r="A40" s="1"/>
      <c r="B40" s="6">
        <f t="shared" si="0"/>
        <v>0</v>
      </c>
      <c r="C40" s="6">
        <f t="shared" si="1"/>
        <v>0</v>
      </c>
      <c r="D40" s="6">
        <f t="shared" si="1"/>
        <v>0</v>
      </c>
      <c r="E40" s="6">
        <f t="shared" si="2"/>
        <v>0</v>
      </c>
      <c r="F40" s="6">
        <v>0</v>
      </c>
      <c r="G40" s="6">
        <v>0</v>
      </c>
      <c r="H40" s="6">
        <f t="shared" si="3"/>
        <v>0</v>
      </c>
      <c r="I40" s="6">
        <v>0</v>
      </c>
      <c r="J40" s="6">
        <v>0</v>
      </c>
      <c r="K40" s="7" t="s">
        <v>59</v>
      </c>
      <c r="L40" s="115"/>
      <c r="M40" s="1"/>
    </row>
    <row r="41" spans="1:13" ht="15.75" customHeight="1" thickBot="1" x14ac:dyDescent="0.25">
      <c r="A41" s="1"/>
      <c r="B41" s="6">
        <f t="shared" si="0"/>
        <v>3</v>
      </c>
      <c r="C41" s="6">
        <f t="shared" si="1"/>
        <v>3</v>
      </c>
      <c r="D41" s="6">
        <f t="shared" si="1"/>
        <v>0</v>
      </c>
      <c r="E41" s="6">
        <f t="shared" si="2"/>
        <v>0</v>
      </c>
      <c r="F41" s="6">
        <v>0</v>
      </c>
      <c r="G41" s="6">
        <v>0</v>
      </c>
      <c r="H41" s="6">
        <f t="shared" si="3"/>
        <v>3</v>
      </c>
      <c r="I41" s="6">
        <v>3</v>
      </c>
      <c r="J41" s="6">
        <v>0</v>
      </c>
      <c r="K41" s="7" t="s">
        <v>56</v>
      </c>
      <c r="L41" s="114"/>
      <c r="M41" s="1"/>
    </row>
    <row r="42" spans="1:13" ht="15.75" customHeight="1" thickBot="1" x14ac:dyDescent="0.25">
      <c r="A42" s="1"/>
      <c r="B42" s="6">
        <f t="shared" si="0"/>
        <v>44</v>
      </c>
      <c r="C42" s="6">
        <f t="shared" si="1"/>
        <v>20</v>
      </c>
      <c r="D42" s="6">
        <f t="shared" si="1"/>
        <v>24</v>
      </c>
      <c r="E42" s="6">
        <f t="shared" si="2"/>
        <v>4</v>
      </c>
      <c r="F42" s="6">
        <v>1</v>
      </c>
      <c r="G42" s="6">
        <v>3</v>
      </c>
      <c r="H42" s="6">
        <f t="shared" si="3"/>
        <v>40</v>
      </c>
      <c r="I42" s="6">
        <v>19</v>
      </c>
      <c r="J42" s="6">
        <v>21</v>
      </c>
      <c r="K42" s="7" t="s">
        <v>57</v>
      </c>
      <c r="L42" s="114" t="s">
        <v>173</v>
      </c>
      <c r="M42" s="1"/>
    </row>
    <row r="43" spans="1:13" ht="15.75" customHeight="1" thickBot="1" x14ac:dyDescent="0.25">
      <c r="A43" s="1"/>
      <c r="B43" s="6">
        <f t="shared" si="0"/>
        <v>0</v>
      </c>
      <c r="C43" s="6">
        <f t="shared" si="1"/>
        <v>0</v>
      </c>
      <c r="D43" s="6">
        <f t="shared" si="1"/>
        <v>0</v>
      </c>
      <c r="E43" s="6">
        <f t="shared" si="2"/>
        <v>0</v>
      </c>
      <c r="F43" s="6">
        <v>0</v>
      </c>
      <c r="G43" s="6">
        <v>0</v>
      </c>
      <c r="H43" s="6">
        <f t="shared" si="3"/>
        <v>0</v>
      </c>
      <c r="I43" s="6">
        <v>0</v>
      </c>
      <c r="J43" s="6">
        <v>0</v>
      </c>
      <c r="K43" s="7" t="s">
        <v>59</v>
      </c>
      <c r="L43" s="115"/>
      <c r="M43" s="1"/>
    </row>
    <row r="44" spans="1:13" ht="15.75" customHeight="1" thickBot="1" x14ac:dyDescent="0.25">
      <c r="A44" s="1"/>
      <c r="B44" s="6">
        <f t="shared" si="0"/>
        <v>1</v>
      </c>
      <c r="C44" s="6">
        <f t="shared" si="1"/>
        <v>0</v>
      </c>
      <c r="D44" s="6">
        <f t="shared" si="1"/>
        <v>1</v>
      </c>
      <c r="E44" s="6">
        <f t="shared" si="2"/>
        <v>1</v>
      </c>
      <c r="F44" s="6">
        <v>0</v>
      </c>
      <c r="G44" s="6">
        <v>1</v>
      </c>
      <c r="H44" s="6">
        <f t="shared" si="3"/>
        <v>0</v>
      </c>
      <c r="I44" s="6">
        <v>0</v>
      </c>
      <c r="J44" s="6">
        <v>0</v>
      </c>
      <c r="K44" s="7" t="s">
        <v>56</v>
      </c>
      <c r="L44" s="114"/>
      <c r="M44" s="1"/>
    </row>
    <row r="45" spans="1:13" ht="15.75" customHeight="1" thickBot="1" x14ac:dyDescent="0.25">
      <c r="A45" s="1"/>
      <c r="B45" s="6">
        <f t="shared" si="0"/>
        <v>58</v>
      </c>
      <c r="C45" s="6">
        <f t="shared" si="1"/>
        <v>7</v>
      </c>
      <c r="D45" s="6">
        <f t="shared" si="1"/>
        <v>51</v>
      </c>
      <c r="E45" s="6">
        <f t="shared" si="2"/>
        <v>22</v>
      </c>
      <c r="F45" s="6">
        <v>0</v>
      </c>
      <c r="G45" s="6">
        <v>22</v>
      </c>
      <c r="H45" s="6">
        <f t="shared" si="3"/>
        <v>36</v>
      </c>
      <c r="I45" s="6">
        <v>7</v>
      </c>
      <c r="J45" s="6">
        <v>29</v>
      </c>
      <c r="K45" s="7" t="s">
        <v>57</v>
      </c>
      <c r="L45" s="114" t="s">
        <v>174</v>
      </c>
      <c r="M45" s="1"/>
    </row>
    <row r="46" spans="1:13" ht="15.75" customHeight="1" thickBot="1" x14ac:dyDescent="0.25">
      <c r="A46" s="1"/>
      <c r="B46" s="6">
        <f t="shared" si="0"/>
        <v>0</v>
      </c>
      <c r="C46" s="6">
        <f t="shared" si="1"/>
        <v>0</v>
      </c>
      <c r="D46" s="6">
        <f t="shared" si="1"/>
        <v>0</v>
      </c>
      <c r="E46" s="6">
        <f t="shared" si="2"/>
        <v>0</v>
      </c>
      <c r="F46" s="6">
        <v>0</v>
      </c>
      <c r="G46" s="6">
        <v>0</v>
      </c>
      <c r="H46" s="6">
        <f t="shared" si="3"/>
        <v>0</v>
      </c>
      <c r="I46" s="6">
        <v>0</v>
      </c>
      <c r="J46" s="6">
        <v>0</v>
      </c>
      <c r="K46" s="7" t="s">
        <v>59</v>
      </c>
      <c r="L46" s="115"/>
      <c r="M46" s="1"/>
    </row>
    <row r="47" spans="1:13" ht="15.75" customHeight="1" thickBot="1" x14ac:dyDescent="0.25">
      <c r="A47" s="1"/>
      <c r="B47" s="6">
        <f t="shared" si="0"/>
        <v>19</v>
      </c>
      <c r="C47" s="6">
        <f t="shared" si="1"/>
        <v>0</v>
      </c>
      <c r="D47" s="6">
        <f t="shared" si="1"/>
        <v>19</v>
      </c>
      <c r="E47" s="6">
        <f t="shared" si="2"/>
        <v>6</v>
      </c>
      <c r="F47" s="6">
        <v>0</v>
      </c>
      <c r="G47" s="6">
        <v>6</v>
      </c>
      <c r="H47" s="6">
        <f t="shared" si="3"/>
        <v>13</v>
      </c>
      <c r="I47" s="6">
        <v>0</v>
      </c>
      <c r="J47" s="6">
        <v>13</v>
      </c>
      <c r="K47" s="7" t="s">
        <v>56</v>
      </c>
      <c r="L47" s="114"/>
      <c r="M47" s="1"/>
    </row>
    <row r="48" spans="1:13" ht="15.75" customHeight="1" thickBot="1" x14ac:dyDescent="0.25">
      <c r="A48" s="1"/>
      <c r="B48" s="6">
        <f t="shared" si="0"/>
        <v>122</v>
      </c>
      <c r="C48" s="6">
        <f t="shared" si="1"/>
        <v>0</v>
      </c>
      <c r="D48" s="6">
        <f t="shared" si="1"/>
        <v>122</v>
      </c>
      <c r="E48" s="6">
        <f t="shared" si="2"/>
        <v>29</v>
      </c>
      <c r="F48" s="6">
        <v>0</v>
      </c>
      <c r="G48" s="6">
        <v>29</v>
      </c>
      <c r="H48" s="6">
        <f t="shared" si="3"/>
        <v>93</v>
      </c>
      <c r="I48" s="6">
        <v>0</v>
      </c>
      <c r="J48" s="6">
        <v>93</v>
      </c>
      <c r="K48" s="7" t="s">
        <v>57</v>
      </c>
      <c r="L48" s="114" t="s">
        <v>175</v>
      </c>
      <c r="M48" s="1"/>
    </row>
    <row r="49" spans="1:13" ht="15.75" customHeight="1" thickBot="1" x14ac:dyDescent="0.25">
      <c r="A49" s="1"/>
      <c r="B49" s="6">
        <f t="shared" si="0"/>
        <v>0</v>
      </c>
      <c r="C49" s="6">
        <f t="shared" si="1"/>
        <v>0</v>
      </c>
      <c r="D49" s="6">
        <f t="shared" si="1"/>
        <v>0</v>
      </c>
      <c r="E49" s="6">
        <f t="shared" si="2"/>
        <v>0</v>
      </c>
      <c r="F49" s="6">
        <v>0</v>
      </c>
      <c r="G49" s="6">
        <v>0</v>
      </c>
      <c r="H49" s="6">
        <f t="shared" si="3"/>
        <v>0</v>
      </c>
      <c r="I49" s="6">
        <v>0</v>
      </c>
      <c r="J49" s="6">
        <v>0</v>
      </c>
      <c r="K49" s="7" t="s">
        <v>59</v>
      </c>
      <c r="L49" s="115"/>
      <c r="M49" s="1"/>
    </row>
    <row r="50" spans="1:13" ht="15.75" customHeight="1" thickBot="1" x14ac:dyDescent="0.25">
      <c r="A50" s="1"/>
      <c r="B50" s="6">
        <f t="shared" si="0"/>
        <v>0</v>
      </c>
      <c r="C50" s="6">
        <f t="shared" si="1"/>
        <v>0</v>
      </c>
      <c r="D50" s="6">
        <f t="shared" si="1"/>
        <v>0</v>
      </c>
      <c r="E50" s="6">
        <f t="shared" si="2"/>
        <v>0</v>
      </c>
      <c r="F50" s="6">
        <v>0</v>
      </c>
      <c r="G50" s="6">
        <v>0</v>
      </c>
      <c r="H50" s="6">
        <f t="shared" si="3"/>
        <v>0</v>
      </c>
      <c r="I50" s="6">
        <v>0</v>
      </c>
      <c r="J50" s="6">
        <v>0</v>
      </c>
      <c r="K50" s="7" t="s">
        <v>56</v>
      </c>
      <c r="L50" s="114"/>
      <c r="M50" s="1"/>
    </row>
    <row r="51" spans="1:13" ht="15.75" customHeight="1" thickBot="1" x14ac:dyDescent="0.25">
      <c r="A51" s="1"/>
      <c r="B51" s="6">
        <f t="shared" si="0"/>
        <v>47</v>
      </c>
      <c r="C51" s="6">
        <f t="shared" si="1"/>
        <v>0</v>
      </c>
      <c r="D51" s="6">
        <f t="shared" si="1"/>
        <v>47</v>
      </c>
      <c r="E51" s="6">
        <f t="shared" si="2"/>
        <v>7</v>
      </c>
      <c r="F51" s="6">
        <v>0</v>
      </c>
      <c r="G51" s="6">
        <v>7</v>
      </c>
      <c r="H51" s="6">
        <f t="shared" si="3"/>
        <v>40</v>
      </c>
      <c r="I51" s="6">
        <v>0</v>
      </c>
      <c r="J51" s="6">
        <v>40</v>
      </c>
      <c r="K51" s="7" t="s">
        <v>57</v>
      </c>
      <c r="L51" s="114" t="s">
        <v>177</v>
      </c>
      <c r="M51" s="1"/>
    </row>
    <row r="52" spans="1:13" ht="15.75" customHeight="1" thickBot="1" x14ac:dyDescent="0.25">
      <c r="A52" s="1"/>
      <c r="B52" s="6">
        <f t="shared" si="0"/>
        <v>0</v>
      </c>
      <c r="C52" s="6">
        <f t="shared" si="1"/>
        <v>0</v>
      </c>
      <c r="D52" s="6">
        <f t="shared" si="1"/>
        <v>0</v>
      </c>
      <c r="E52" s="6">
        <f t="shared" si="2"/>
        <v>0</v>
      </c>
      <c r="F52" s="6">
        <v>0</v>
      </c>
      <c r="G52" s="6">
        <v>0</v>
      </c>
      <c r="H52" s="6">
        <f t="shared" si="3"/>
        <v>0</v>
      </c>
      <c r="I52" s="6">
        <v>0</v>
      </c>
      <c r="J52" s="6">
        <v>0</v>
      </c>
      <c r="K52" s="7" t="s">
        <v>59</v>
      </c>
      <c r="L52" s="115"/>
      <c r="M52" s="1"/>
    </row>
    <row r="53" spans="1:13" ht="15.75" customHeight="1" thickBot="1" x14ac:dyDescent="0.25">
      <c r="A53" s="1"/>
      <c r="B53" s="6">
        <f t="shared" si="0"/>
        <v>0</v>
      </c>
      <c r="C53" s="6">
        <f t="shared" si="1"/>
        <v>0</v>
      </c>
      <c r="D53" s="6">
        <f t="shared" si="1"/>
        <v>0</v>
      </c>
      <c r="E53" s="6">
        <f t="shared" si="2"/>
        <v>0</v>
      </c>
      <c r="F53" s="6">
        <v>0</v>
      </c>
      <c r="G53" s="6">
        <v>0</v>
      </c>
      <c r="H53" s="6">
        <f t="shared" si="3"/>
        <v>0</v>
      </c>
      <c r="I53" s="6">
        <v>0</v>
      </c>
      <c r="J53" s="6">
        <v>0</v>
      </c>
      <c r="K53" s="7" t="s">
        <v>56</v>
      </c>
      <c r="L53" s="114"/>
      <c r="M53" s="1"/>
    </row>
    <row r="54" spans="1:13" ht="15.75" customHeight="1" thickBot="1" x14ac:dyDescent="0.25">
      <c r="A54" s="1"/>
      <c r="B54" s="6">
        <f t="shared" si="0"/>
        <v>30</v>
      </c>
      <c r="C54" s="6">
        <f t="shared" si="1"/>
        <v>2</v>
      </c>
      <c r="D54" s="6">
        <f t="shared" si="1"/>
        <v>28</v>
      </c>
      <c r="E54" s="6">
        <f t="shared" si="2"/>
        <v>3</v>
      </c>
      <c r="F54" s="6">
        <v>0</v>
      </c>
      <c r="G54" s="6">
        <v>3</v>
      </c>
      <c r="H54" s="6">
        <f t="shared" si="3"/>
        <v>27</v>
      </c>
      <c r="I54" s="6">
        <v>2</v>
      </c>
      <c r="J54" s="6">
        <v>25</v>
      </c>
      <c r="K54" s="7" t="s">
        <v>57</v>
      </c>
      <c r="L54" s="114" t="s">
        <v>178</v>
      </c>
      <c r="M54" s="1"/>
    </row>
    <row r="55" spans="1:13" ht="15.75" customHeight="1" thickBot="1" x14ac:dyDescent="0.25">
      <c r="A55" s="1"/>
      <c r="B55" s="6">
        <f t="shared" si="0"/>
        <v>0</v>
      </c>
      <c r="C55" s="6">
        <f t="shared" si="1"/>
        <v>0</v>
      </c>
      <c r="D55" s="6">
        <f t="shared" si="1"/>
        <v>0</v>
      </c>
      <c r="E55" s="6">
        <f t="shared" si="2"/>
        <v>0</v>
      </c>
      <c r="F55" s="6">
        <v>0</v>
      </c>
      <c r="G55" s="6">
        <v>0</v>
      </c>
      <c r="H55" s="6">
        <f t="shared" si="3"/>
        <v>0</v>
      </c>
      <c r="I55" s="6">
        <v>0</v>
      </c>
      <c r="J55" s="6">
        <v>0</v>
      </c>
      <c r="K55" s="7" t="s">
        <v>59</v>
      </c>
      <c r="L55" s="115"/>
      <c r="M55" s="1"/>
    </row>
    <row r="56" spans="1:13" ht="15.75" customHeight="1" thickBot="1" x14ac:dyDescent="0.25">
      <c r="A56" s="1"/>
      <c r="B56" s="6">
        <f t="shared" si="0"/>
        <v>21</v>
      </c>
      <c r="C56" s="6">
        <f t="shared" si="1"/>
        <v>12</v>
      </c>
      <c r="D56" s="6">
        <f t="shared" si="1"/>
        <v>9</v>
      </c>
      <c r="E56" s="6">
        <f t="shared" si="2"/>
        <v>0</v>
      </c>
      <c r="F56" s="6">
        <v>0</v>
      </c>
      <c r="G56" s="6">
        <v>0</v>
      </c>
      <c r="H56" s="6">
        <f t="shared" si="3"/>
        <v>21</v>
      </c>
      <c r="I56" s="6">
        <v>12</v>
      </c>
      <c r="J56" s="6">
        <v>9</v>
      </c>
      <c r="K56" s="7" t="s">
        <v>56</v>
      </c>
      <c r="L56" s="114"/>
      <c r="M56" s="1"/>
    </row>
    <row r="57" spans="1:13" ht="15.75" customHeight="1" thickBot="1" x14ac:dyDescent="0.25">
      <c r="A57" s="1"/>
      <c r="B57" s="6">
        <f t="shared" si="0"/>
        <v>121</v>
      </c>
      <c r="C57" s="6">
        <f t="shared" si="1"/>
        <v>39</v>
      </c>
      <c r="D57" s="6">
        <f t="shared" si="1"/>
        <v>82</v>
      </c>
      <c r="E57" s="6">
        <f t="shared" si="2"/>
        <v>1</v>
      </c>
      <c r="F57" s="6">
        <v>0</v>
      </c>
      <c r="G57" s="6">
        <v>1</v>
      </c>
      <c r="H57" s="6">
        <f t="shared" si="3"/>
        <v>120</v>
      </c>
      <c r="I57" s="6">
        <v>39</v>
      </c>
      <c r="J57" s="6">
        <v>81</v>
      </c>
      <c r="K57" s="7" t="s">
        <v>57</v>
      </c>
      <c r="L57" s="114" t="s">
        <v>180</v>
      </c>
      <c r="M57" s="1"/>
    </row>
    <row r="58" spans="1:13" ht="15.75" customHeight="1" thickBot="1" x14ac:dyDescent="0.25">
      <c r="A58" s="1"/>
      <c r="B58" s="6">
        <f t="shared" si="0"/>
        <v>0</v>
      </c>
      <c r="C58" s="6">
        <f t="shared" si="1"/>
        <v>0</v>
      </c>
      <c r="D58" s="6">
        <f t="shared" si="1"/>
        <v>0</v>
      </c>
      <c r="E58" s="6">
        <f t="shared" si="2"/>
        <v>0</v>
      </c>
      <c r="F58" s="6">
        <v>0</v>
      </c>
      <c r="G58" s="6">
        <v>0</v>
      </c>
      <c r="H58" s="6">
        <f t="shared" si="3"/>
        <v>0</v>
      </c>
      <c r="I58" s="6">
        <v>0</v>
      </c>
      <c r="J58" s="6">
        <v>0</v>
      </c>
      <c r="K58" s="7" t="s">
        <v>59</v>
      </c>
      <c r="L58" s="115"/>
      <c r="M58" s="1"/>
    </row>
    <row r="59" spans="1:13" ht="15.75" customHeight="1" thickBot="1" x14ac:dyDescent="0.25">
      <c r="A59" s="1"/>
      <c r="B59" s="6">
        <f t="shared" si="0"/>
        <v>7</v>
      </c>
      <c r="C59" s="6">
        <f t="shared" si="1"/>
        <v>7</v>
      </c>
      <c r="D59" s="6">
        <f t="shared" si="1"/>
        <v>0</v>
      </c>
      <c r="E59" s="6">
        <f t="shared" si="2"/>
        <v>0</v>
      </c>
      <c r="F59" s="6">
        <v>0</v>
      </c>
      <c r="G59" s="6">
        <v>0</v>
      </c>
      <c r="H59" s="6">
        <f t="shared" si="3"/>
        <v>7</v>
      </c>
      <c r="I59" s="6">
        <v>7</v>
      </c>
      <c r="J59" s="6">
        <v>0</v>
      </c>
      <c r="K59" s="7" t="s">
        <v>56</v>
      </c>
      <c r="L59" s="114"/>
      <c r="M59" s="1"/>
    </row>
    <row r="60" spans="1:13" ht="15.75" customHeight="1" thickBot="1" x14ac:dyDescent="0.25">
      <c r="A60" s="1"/>
      <c r="B60" s="6">
        <f t="shared" si="0"/>
        <v>29</v>
      </c>
      <c r="C60" s="6">
        <f t="shared" si="1"/>
        <v>19</v>
      </c>
      <c r="D60" s="6">
        <f t="shared" si="1"/>
        <v>10</v>
      </c>
      <c r="E60" s="6">
        <f t="shared" si="2"/>
        <v>1</v>
      </c>
      <c r="F60" s="6">
        <v>1</v>
      </c>
      <c r="G60" s="6">
        <v>0</v>
      </c>
      <c r="H60" s="6">
        <f t="shared" si="3"/>
        <v>28</v>
      </c>
      <c r="I60" s="6">
        <v>18</v>
      </c>
      <c r="J60" s="6">
        <v>10</v>
      </c>
      <c r="K60" s="7" t="s">
        <v>57</v>
      </c>
      <c r="L60" s="114" t="s">
        <v>181</v>
      </c>
      <c r="M60" s="1"/>
    </row>
    <row r="61" spans="1:13" ht="15.75" customHeight="1" thickBot="1" x14ac:dyDescent="0.25">
      <c r="A61" s="1"/>
      <c r="B61" s="6">
        <f t="shared" si="0"/>
        <v>119</v>
      </c>
      <c r="C61" s="6">
        <f t="shared" si="1"/>
        <v>98</v>
      </c>
      <c r="D61" s="6">
        <f t="shared" si="1"/>
        <v>21</v>
      </c>
      <c r="E61" s="6">
        <f t="shared" si="2"/>
        <v>0</v>
      </c>
      <c r="F61" s="6">
        <v>0</v>
      </c>
      <c r="G61" s="6">
        <v>0</v>
      </c>
      <c r="H61" s="6">
        <f t="shared" si="3"/>
        <v>119</v>
      </c>
      <c r="I61" s="6">
        <v>98</v>
      </c>
      <c r="J61" s="6">
        <v>21</v>
      </c>
      <c r="K61" s="7" t="s">
        <v>59</v>
      </c>
      <c r="L61" s="115"/>
      <c r="M61" s="1"/>
    </row>
    <row r="62" spans="1:13" ht="15.75" customHeight="1" thickBot="1" x14ac:dyDescent="0.25">
      <c r="A62" s="1"/>
      <c r="B62" s="6">
        <f t="shared" ref="B62:J64" si="4">B5+B8+B11+B14+B17+B20+B23+B26+B29+B32+B35+B38+B41+B44+B47+B50+B53+B56+B59</f>
        <v>445</v>
      </c>
      <c r="C62" s="6">
        <f t="shared" si="4"/>
        <v>112</v>
      </c>
      <c r="D62" s="6">
        <f t="shared" si="4"/>
        <v>333</v>
      </c>
      <c r="E62" s="6">
        <f t="shared" si="4"/>
        <v>35</v>
      </c>
      <c r="F62" s="6">
        <f t="shared" si="4"/>
        <v>0</v>
      </c>
      <c r="G62" s="6">
        <f t="shared" si="4"/>
        <v>35</v>
      </c>
      <c r="H62" s="6">
        <f t="shared" si="4"/>
        <v>410</v>
      </c>
      <c r="I62" s="6">
        <f t="shared" si="4"/>
        <v>112</v>
      </c>
      <c r="J62" s="6">
        <f>J5+J8+J11+J14+J17+J20+J23+J26+J29+J32+J35+J38+J41+J44+J47+J50+J53+J56+J59</f>
        <v>298</v>
      </c>
      <c r="K62" s="7" t="s">
        <v>243</v>
      </c>
      <c r="L62" s="36"/>
      <c r="M62" s="1"/>
    </row>
    <row r="63" spans="1:13" ht="15.75" customHeight="1" thickBot="1" x14ac:dyDescent="0.25">
      <c r="A63" s="1"/>
      <c r="B63" s="6">
        <f t="shared" si="4"/>
        <v>1878</v>
      </c>
      <c r="C63" s="6">
        <f t="shared" si="4"/>
        <v>489</v>
      </c>
      <c r="D63" s="6">
        <f t="shared" si="4"/>
        <v>1389</v>
      </c>
      <c r="E63" s="6">
        <f t="shared" si="4"/>
        <v>160</v>
      </c>
      <c r="F63" s="6">
        <f t="shared" si="4"/>
        <v>16</v>
      </c>
      <c r="G63" s="6">
        <f t="shared" si="4"/>
        <v>144</v>
      </c>
      <c r="H63" s="6">
        <f t="shared" si="4"/>
        <v>1718</v>
      </c>
      <c r="I63" s="6">
        <f t="shared" si="4"/>
        <v>473</v>
      </c>
      <c r="J63" s="6">
        <f t="shared" si="4"/>
        <v>1245</v>
      </c>
      <c r="K63" s="7" t="s">
        <v>57</v>
      </c>
      <c r="L63" s="37" t="s">
        <v>244</v>
      </c>
      <c r="M63" s="1"/>
    </row>
    <row r="64" spans="1:13" ht="15.75" customHeight="1" thickBot="1" x14ac:dyDescent="0.25">
      <c r="A64" s="1"/>
      <c r="B64" s="6">
        <f t="shared" si="4"/>
        <v>2080</v>
      </c>
      <c r="C64" s="6">
        <f t="shared" si="4"/>
        <v>513</v>
      </c>
      <c r="D64" s="6">
        <f t="shared" si="4"/>
        <v>1567</v>
      </c>
      <c r="E64" s="6">
        <f t="shared" si="4"/>
        <v>105</v>
      </c>
      <c r="F64" s="6">
        <f t="shared" si="4"/>
        <v>10</v>
      </c>
      <c r="G64" s="6">
        <f t="shared" si="4"/>
        <v>95</v>
      </c>
      <c r="H64" s="6">
        <f t="shared" si="4"/>
        <v>1975</v>
      </c>
      <c r="I64" s="6">
        <f t="shared" si="4"/>
        <v>503</v>
      </c>
      <c r="J64" s="6">
        <f t="shared" si="4"/>
        <v>1472</v>
      </c>
      <c r="K64" s="7" t="s">
        <v>59</v>
      </c>
      <c r="L64" s="38"/>
      <c r="M64" s="1"/>
    </row>
    <row r="65" spans="1:13" ht="15.75" customHeight="1" thickBot="1" x14ac:dyDescent="0.25">
      <c r="A65" s="1"/>
      <c r="B65" s="6">
        <f t="shared" ref="B65:I65" si="5">SUM(B62:B64)</f>
        <v>4403</v>
      </c>
      <c r="C65" s="6">
        <f t="shared" si="5"/>
        <v>1114</v>
      </c>
      <c r="D65" s="6">
        <f t="shared" si="5"/>
        <v>3289</v>
      </c>
      <c r="E65" s="6">
        <f t="shared" si="5"/>
        <v>300</v>
      </c>
      <c r="F65" s="6">
        <f t="shared" si="5"/>
        <v>26</v>
      </c>
      <c r="G65" s="6">
        <f t="shared" si="5"/>
        <v>274</v>
      </c>
      <c r="H65" s="6">
        <f t="shared" si="5"/>
        <v>4103</v>
      </c>
      <c r="I65" s="6">
        <f t="shared" si="5"/>
        <v>1088</v>
      </c>
      <c r="J65" s="6">
        <f>SUM(J62:J64)</f>
        <v>3015</v>
      </c>
      <c r="K65" s="533" t="s">
        <v>245</v>
      </c>
      <c r="L65" s="533"/>
      <c r="M65" s="1"/>
    </row>
  </sheetData>
  <mergeCells count="8">
    <mergeCell ref="K4:L4"/>
    <mergeCell ref="K65:L65"/>
    <mergeCell ref="B1:L1"/>
    <mergeCell ref="B2:L2"/>
    <mergeCell ref="B3:D3"/>
    <mergeCell ref="E3:G3"/>
    <mergeCell ref="H3:J3"/>
    <mergeCell ref="K3:L3"/>
  </mergeCells>
  <pageMargins left="0.4" right="0.4" top="0.25" bottom="0.25" header="0.25" footer="0.25"/>
  <pageSetup paperSize="9" orientation="landscape" horizontalDpi="300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K181"/>
  <sheetViews>
    <sheetView showGridLines="0" topLeftCell="A136" zoomScale="106" zoomScaleNormal="106" zoomScaleSheetLayoutView="154" workbookViewId="0">
      <selection activeCell="N11" sqref="N11"/>
    </sheetView>
  </sheetViews>
  <sheetFormatPr defaultColWidth="9.125" defaultRowHeight="15.75" customHeight="1" x14ac:dyDescent="0.2"/>
  <cols>
    <col min="1" max="1" width="9.125" style="253"/>
    <col min="2" max="10" width="8" style="252" customWidth="1"/>
    <col min="11" max="11" width="33.875" style="253" customWidth="1"/>
    <col min="12" max="16384" width="9.125" style="56"/>
  </cols>
  <sheetData>
    <row r="2" spans="2:11" ht="15.75" customHeight="1" x14ac:dyDescent="0.2">
      <c r="B2" s="571" t="s">
        <v>699</v>
      </c>
      <c r="C2" s="571"/>
      <c r="D2" s="571"/>
      <c r="E2" s="571"/>
      <c r="F2" s="571"/>
      <c r="G2" s="571"/>
      <c r="H2" s="571"/>
      <c r="I2" s="571"/>
      <c r="J2" s="571"/>
      <c r="K2" s="571"/>
    </row>
    <row r="3" spans="2:11" ht="15.75" customHeight="1" thickBot="1" x14ac:dyDescent="0.25"/>
    <row r="4" spans="2:11" ht="15.75" customHeight="1" thickBot="1" x14ac:dyDescent="0.25">
      <c r="B4" s="476" t="s">
        <v>4</v>
      </c>
      <c r="C4" s="476"/>
      <c r="D4" s="476"/>
      <c r="E4" s="476" t="s">
        <v>145</v>
      </c>
      <c r="F4" s="476"/>
      <c r="G4" s="476"/>
      <c r="H4" s="476" t="s">
        <v>146</v>
      </c>
      <c r="I4" s="476"/>
      <c r="J4" s="476"/>
      <c r="K4" s="202" t="s">
        <v>66</v>
      </c>
    </row>
    <row r="5" spans="2:11" ht="15.75" customHeight="1" thickBot="1" x14ac:dyDescent="0.25">
      <c r="B5" s="185" t="s">
        <v>227</v>
      </c>
      <c r="C5" s="185" t="s">
        <v>10</v>
      </c>
      <c r="D5" s="185" t="s">
        <v>9</v>
      </c>
      <c r="E5" s="185" t="s">
        <v>227</v>
      </c>
      <c r="F5" s="185" t="s">
        <v>10</v>
      </c>
      <c r="G5" s="185" t="s">
        <v>9</v>
      </c>
      <c r="H5" s="185" t="s">
        <v>227</v>
      </c>
      <c r="I5" s="185" t="s">
        <v>10</v>
      </c>
      <c r="J5" s="185" t="s">
        <v>9</v>
      </c>
      <c r="K5" s="187" t="s">
        <v>68</v>
      </c>
    </row>
    <row r="6" spans="2:11" ht="15.75" customHeight="1" thickBot="1" x14ac:dyDescent="0.25">
      <c r="B6" s="47">
        <f>SUM(C6:D6)</f>
        <v>394</v>
      </c>
      <c r="C6" s="47">
        <f>I6+F6</f>
        <v>180</v>
      </c>
      <c r="D6" s="47">
        <f>J6+G6</f>
        <v>214</v>
      </c>
      <c r="E6" s="47">
        <f>SUM(F6:G6)</f>
        <v>0</v>
      </c>
      <c r="F6" s="47">
        <v>0</v>
      </c>
      <c r="G6" s="47">
        <v>0</v>
      </c>
      <c r="H6" s="47">
        <f>SUM(I6:J6)</f>
        <v>394</v>
      </c>
      <c r="I6" s="47">
        <v>180</v>
      </c>
      <c r="J6" s="47">
        <v>214</v>
      </c>
      <c r="K6" s="266" t="s">
        <v>80</v>
      </c>
    </row>
    <row r="7" spans="2:11" ht="15.75" customHeight="1" thickBot="1" x14ac:dyDescent="0.25">
      <c r="B7" s="47">
        <f t="shared" ref="B7:B8" si="0">SUM(C7:D7)</f>
        <v>201</v>
      </c>
      <c r="C7" s="47">
        <f t="shared" ref="C7:D8" si="1">I7+F7</f>
        <v>14</v>
      </c>
      <c r="D7" s="47">
        <f t="shared" si="1"/>
        <v>187</v>
      </c>
      <c r="E7" s="47">
        <f t="shared" ref="E7:E8" si="2">SUM(F7:G7)</f>
        <v>133</v>
      </c>
      <c r="F7" s="47">
        <v>14</v>
      </c>
      <c r="G7" s="47">
        <v>119</v>
      </c>
      <c r="H7" s="47">
        <f t="shared" ref="H7:H8" si="3">SUM(I7:J7)</f>
        <v>68</v>
      </c>
      <c r="I7" s="47">
        <v>0</v>
      </c>
      <c r="J7" s="47">
        <v>68</v>
      </c>
      <c r="K7" s="266" t="s">
        <v>249</v>
      </c>
    </row>
    <row r="8" spans="2:11" ht="15.75" customHeight="1" thickBot="1" x14ac:dyDescent="0.25">
      <c r="B8" s="47">
        <f t="shared" si="0"/>
        <v>186</v>
      </c>
      <c r="C8" s="47">
        <f t="shared" si="1"/>
        <v>0</v>
      </c>
      <c r="D8" s="47">
        <f t="shared" si="1"/>
        <v>186</v>
      </c>
      <c r="E8" s="47">
        <f t="shared" si="2"/>
        <v>0</v>
      </c>
      <c r="F8" s="47">
        <v>0</v>
      </c>
      <c r="G8" s="47">
        <v>0</v>
      </c>
      <c r="H8" s="47">
        <f t="shared" si="3"/>
        <v>186</v>
      </c>
      <c r="I8" s="47">
        <v>0</v>
      </c>
      <c r="J8" s="47">
        <f>66+120</f>
        <v>186</v>
      </c>
      <c r="K8" s="266" t="s">
        <v>250</v>
      </c>
    </row>
    <row r="9" spans="2:11" ht="15.75" customHeight="1" thickBot="1" x14ac:dyDescent="0.25">
      <c r="B9" s="47">
        <f t="shared" ref="B9:J9" si="4">SUM(B6:B8)</f>
        <v>781</v>
      </c>
      <c r="C9" s="47">
        <f t="shared" si="4"/>
        <v>194</v>
      </c>
      <c r="D9" s="47">
        <f t="shared" si="4"/>
        <v>587</v>
      </c>
      <c r="E9" s="47">
        <f t="shared" si="4"/>
        <v>133</v>
      </c>
      <c r="F9" s="47">
        <f t="shared" si="4"/>
        <v>14</v>
      </c>
      <c r="G9" s="47">
        <f t="shared" si="4"/>
        <v>119</v>
      </c>
      <c r="H9" s="47">
        <f t="shared" si="4"/>
        <v>648</v>
      </c>
      <c r="I9" s="47">
        <f t="shared" si="4"/>
        <v>180</v>
      </c>
      <c r="J9" s="47">
        <f t="shared" si="4"/>
        <v>468</v>
      </c>
      <c r="K9" s="187" t="s">
        <v>188</v>
      </c>
    </row>
    <row r="10" spans="2:11" ht="15.75" customHeight="1" thickBot="1" x14ac:dyDescent="0.25">
      <c r="B10" s="476" t="s">
        <v>4</v>
      </c>
      <c r="C10" s="476"/>
      <c r="D10" s="476"/>
      <c r="E10" s="476" t="s">
        <v>145</v>
      </c>
      <c r="F10" s="476"/>
      <c r="G10" s="476"/>
      <c r="H10" s="476" t="s">
        <v>146</v>
      </c>
      <c r="I10" s="476"/>
      <c r="J10" s="476"/>
      <c r="K10" s="202" t="s">
        <v>66</v>
      </c>
    </row>
    <row r="11" spans="2:11" ht="15.75" customHeight="1" thickBot="1" x14ac:dyDescent="0.25">
      <c r="B11" s="185" t="s">
        <v>227</v>
      </c>
      <c r="C11" s="185" t="s">
        <v>10</v>
      </c>
      <c r="D11" s="185" t="s">
        <v>9</v>
      </c>
      <c r="E11" s="185" t="s">
        <v>227</v>
      </c>
      <c r="F11" s="185" t="s">
        <v>10</v>
      </c>
      <c r="G11" s="185" t="s">
        <v>9</v>
      </c>
      <c r="H11" s="185" t="s">
        <v>227</v>
      </c>
      <c r="I11" s="185" t="s">
        <v>10</v>
      </c>
      <c r="J11" s="185" t="s">
        <v>9</v>
      </c>
      <c r="K11" s="187" t="s">
        <v>207</v>
      </c>
    </row>
    <row r="12" spans="2:11" ht="15.75" customHeight="1" thickBot="1" x14ac:dyDescent="0.25">
      <c r="B12" s="47">
        <f>H12+E12</f>
        <v>168</v>
      </c>
      <c r="C12" s="47">
        <f>I12+F12</f>
        <v>0</v>
      </c>
      <c r="D12" s="47">
        <f>J12+G12</f>
        <v>168</v>
      </c>
      <c r="E12" s="47">
        <f>G12+F12</f>
        <v>168</v>
      </c>
      <c r="F12" s="47">
        <v>0</v>
      </c>
      <c r="G12" s="47">
        <v>168</v>
      </c>
      <c r="H12" s="47">
        <f>J12+I12</f>
        <v>0</v>
      </c>
      <c r="I12" s="47">
        <v>0</v>
      </c>
      <c r="J12" s="47">
        <v>0</v>
      </c>
      <c r="K12" s="266" t="s">
        <v>700</v>
      </c>
    </row>
    <row r="13" spans="2:11" ht="15.75" customHeight="1" thickBot="1" x14ac:dyDescent="0.25">
      <c r="B13" s="47">
        <f t="shared" ref="B13:J13" si="5">SUM(B12)</f>
        <v>168</v>
      </c>
      <c r="C13" s="47">
        <f t="shared" si="5"/>
        <v>0</v>
      </c>
      <c r="D13" s="47">
        <f t="shared" si="5"/>
        <v>168</v>
      </c>
      <c r="E13" s="47">
        <f t="shared" si="5"/>
        <v>168</v>
      </c>
      <c r="F13" s="47">
        <f t="shared" si="5"/>
        <v>0</v>
      </c>
      <c r="G13" s="47">
        <f t="shared" si="5"/>
        <v>168</v>
      </c>
      <c r="H13" s="47">
        <f t="shared" si="5"/>
        <v>0</v>
      </c>
      <c r="I13" s="47">
        <f t="shared" si="5"/>
        <v>0</v>
      </c>
      <c r="J13" s="47">
        <f t="shared" si="5"/>
        <v>0</v>
      </c>
      <c r="K13" s="187" t="s">
        <v>188</v>
      </c>
    </row>
    <row r="14" spans="2:11" ht="15.75" customHeight="1" thickBot="1" x14ac:dyDescent="0.25">
      <c r="B14" s="476" t="s">
        <v>4</v>
      </c>
      <c r="C14" s="476"/>
      <c r="D14" s="476"/>
      <c r="E14" s="476" t="s">
        <v>145</v>
      </c>
      <c r="F14" s="476"/>
      <c r="G14" s="476"/>
      <c r="H14" s="476" t="s">
        <v>146</v>
      </c>
      <c r="I14" s="476"/>
      <c r="J14" s="476"/>
      <c r="K14" s="202" t="s">
        <v>66</v>
      </c>
    </row>
    <row r="15" spans="2:11" ht="15.75" customHeight="1" thickBot="1" x14ac:dyDescent="0.25">
      <c r="B15" s="185" t="s">
        <v>227</v>
      </c>
      <c r="C15" s="185" t="s">
        <v>10</v>
      </c>
      <c r="D15" s="185" t="s">
        <v>9</v>
      </c>
      <c r="E15" s="185" t="s">
        <v>227</v>
      </c>
      <c r="F15" s="185" t="s">
        <v>10</v>
      </c>
      <c r="G15" s="185" t="s">
        <v>9</v>
      </c>
      <c r="H15" s="185" t="s">
        <v>227</v>
      </c>
      <c r="I15" s="185" t="s">
        <v>10</v>
      </c>
      <c r="J15" s="185" t="s">
        <v>9</v>
      </c>
      <c r="K15" s="187" t="s">
        <v>70</v>
      </c>
    </row>
    <row r="16" spans="2:11" ht="15.75" customHeight="1" thickBot="1" x14ac:dyDescent="0.25">
      <c r="B16" s="47">
        <f t="shared" ref="B16:D19" si="6">H16+E16</f>
        <v>308</v>
      </c>
      <c r="C16" s="47">
        <f t="shared" si="6"/>
        <v>0</v>
      </c>
      <c r="D16" s="47">
        <f t="shared" si="6"/>
        <v>308</v>
      </c>
      <c r="E16" s="47">
        <f>G16+F16</f>
        <v>0</v>
      </c>
      <c r="F16" s="47">
        <v>0</v>
      </c>
      <c r="G16" s="47">
        <v>0</v>
      </c>
      <c r="H16" s="47">
        <f>J16+I16</f>
        <v>308</v>
      </c>
      <c r="I16" s="47">
        <v>0</v>
      </c>
      <c r="J16" s="47">
        <f>38+270</f>
        <v>308</v>
      </c>
      <c r="K16" s="266" t="s">
        <v>81</v>
      </c>
    </row>
    <row r="17" spans="2:11" ht="15.75" customHeight="1" thickBot="1" x14ac:dyDescent="0.25">
      <c r="B17" s="47">
        <f t="shared" si="6"/>
        <v>115</v>
      </c>
      <c r="C17" s="47">
        <f t="shared" si="6"/>
        <v>45</v>
      </c>
      <c r="D17" s="47">
        <f t="shared" si="6"/>
        <v>70</v>
      </c>
      <c r="E17" s="47">
        <f>G17+F17</f>
        <v>115</v>
      </c>
      <c r="F17" s="47">
        <v>45</v>
      </c>
      <c r="G17" s="47">
        <v>70</v>
      </c>
      <c r="H17" s="47">
        <f>J17+I17</f>
        <v>0</v>
      </c>
      <c r="I17" s="47">
        <v>0</v>
      </c>
      <c r="J17" s="47">
        <v>0</v>
      </c>
      <c r="K17" s="266" t="s">
        <v>252</v>
      </c>
    </row>
    <row r="18" spans="2:11" ht="15.75" customHeight="1" thickBot="1" x14ac:dyDescent="0.25">
      <c r="B18" s="47">
        <f t="shared" si="6"/>
        <v>148</v>
      </c>
      <c r="C18" s="47">
        <f t="shared" si="6"/>
        <v>11</v>
      </c>
      <c r="D18" s="47">
        <f t="shared" si="6"/>
        <v>137</v>
      </c>
      <c r="E18" s="47">
        <f>G18+F18</f>
        <v>3</v>
      </c>
      <c r="F18" s="47">
        <v>1</v>
      </c>
      <c r="G18" s="47">
        <v>2</v>
      </c>
      <c r="H18" s="47">
        <f>J18+I18</f>
        <v>145</v>
      </c>
      <c r="I18" s="47">
        <v>10</v>
      </c>
      <c r="J18" s="47">
        <v>135</v>
      </c>
      <c r="K18" s="266" t="s">
        <v>69</v>
      </c>
    </row>
    <row r="19" spans="2:11" ht="15.75" customHeight="1" thickBot="1" x14ac:dyDescent="0.25">
      <c r="B19" s="47">
        <f t="shared" si="6"/>
        <v>50</v>
      </c>
      <c r="C19" s="47">
        <f t="shared" si="6"/>
        <v>0</v>
      </c>
      <c r="D19" s="47">
        <f t="shared" si="6"/>
        <v>50</v>
      </c>
      <c r="E19" s="47">
        <f>G19+F19</f>
        <v>0</v>
      </c>
      <c r="F19" s="47">
        <v>0</v>
      </c>
      <c r="G19" s="47">
        <v>0</v>
      </c>
      <c r="H19" s="47">
        <f>J19+I19</f>
        <v>50</v>
      </c>
      <c r="I19" s="47">
        <v>0</v>
      </c>
      <c r="J19" s="47">
        <v>50</v>
      </c>
      <c r="K19" s="266" t="s">
        <v>82</v>
      </c>
    </row>
    <row r="20" spans="2:11" ht="15.75" customHeight="1" thickBot="1" x14ac:dyDescent="0.25">
      <c r="B20" s="47">
        <f t="shared" ref="B20:J20" si="7">SUM(B16:B19)</f>
        <v>621</v>
      </c>
      <c r="C20" s="47">
        <f t="shared" si="7"/>
        <v>56</v>
      </c>
      <c r="D20" s="47">
        <f t="shared" si="7"/>
        <v>565</v>
      </c>
      <c r="E20" s="47">
        <f t="shared" si="7"/>
        <v>118</v>
      </c>
      <c r="F20" s="47">
        <f t="shared" si="7"/>
        <v>46</v>
      </c>
      <c r="G20" s="47">
        <f t="shared" si="7"/>
        <v>72</v>
      </c>
      <c r="H20" s="47">
        <f t="shared" si="7"/>
        <v>503</v>
      </c>
      <c r="I20" s="47">
        <f t="shared" si="7"/>
        <v>10</v>
      </c>
      <c r="J20" s="47">
        <f t="shared" si="7"/>
        <v>493</v>
      </c>
      <c r="K20" s="187" t="s">
        <v>188</v>
      </c>
    </row>
    <row r="21" spans="2:11" ht="15.75" customHeight="1" thickBot="1" x14ac:dyDescent="0.25">
      <c r="B21" s="476" t="s">
        <v>4</v>
      </c>
      <c r="C21" s="476"/>
      <c r="D21" s="476"/>
      <c r="E21" s="476" t="s">
        <v>145</v>
      </c>
      <c r="F21" s="476"/>
      <c r="G21" s="476"/>
      <c r="H21" s="476" t="s">
        <v>146</v>
      </c>
      <c r="I21" s="476"/>
      <c r="J21" s="476"/>
      <c r="K21" s="202" t="s">
        <v>66</v>
      </c>
    </row>
    <row r="22" spans="2:11" ht="15.75" customHeight="1" thickBot="1" x14ac:dyDescent="0.25">
      <c r="B22" s="185" t="s">
        <v>227</v>
      </c>
      <c r="C22" s="185" t="s">
        <v>10</v>
      </c>
      <c r="D22" s="185" t="s">
        <v>9</v>
      </c>
      <c r="E22" s="185" t="s">
        <v>227</v>
      </c>
      <c r="F22" s="185" t="s">
        <v>10</v>
      </c>
      <c r="G22" s="185" t="s">
        <v>9</v>
      </c>
      <c r="H22" s="185" t="s">
        <v>227</v>
      </c>
      <c r="I22" s="185" t="s">
        <v>10</v>
      </c>
      <c r="J22" s="185" t="s">
        <v>9</v>
      </c>
      <c r="K22" s="187" t="s">
        <v>72</v>
      </c>
    </row>
    <row r="23" spans="2:11" ht="15.75" customHeight="1" thickBot="1" x14ac:dyDescent="0.25">
      <c r="B23" s="47">
        <f t="shared" ref="B23:D31" si="8">H23+E23</f>
        <v>194</v>
      </c>
      <c r="C23" s="47">
        <f t="shared" si="8"/>
        <v>0</v>
      </c>
      <c r="D23" s="47">
        <f t="shared" si="8"/>
        <v>194</v>
      </c>
      <c r="E23" s="47">
        <f t="shared" ref="E23:E31" si="9">G23+F23</f>
        <v>0</v>
      </c>
      <c r="F23" s="47">
        <v>0</v>
      </c>
      <c r="G23" s="47">
        <v>0</v>
      </c>
      <c r="H23" s="47">
        <f t="shared" ref="H23:H31" si="10">J23+I23</f>
        <v>194</v>
      </c>
      <c r="I23" s="47">
        <v>0</v>
      </c>
      <c r="J23" s="47">
        <f>94+100</f>
        <v>194</v>
      </c>
      <c r="K23" s="266" t="s">
        <v>256</v>
      </c>
    </row>
    <row r="24" spans="2:11" ht="15.75" customHeight="1" thickBot="1" x14ac:dyDescent="0.25">
      <c r="B24" s="47">
        <f t="shared" si="8"/>
        <v>34</v>
      </c>
      <c r="C24" s="47">
        <f t="shared" si="8"/>
        <v>23</v>
      </c>
      <c r="D24" s="47">
        <f t="shared" si="8"/>
        <v>11</v>
      </c>
      <c r="E24" s="47">
        <f t="shared" si="9"/>
        <v>0</v>
      </c>
      <c r="F24" s="47">
        <v>0</v>
      </c>
      <c r="G24" s="47">
        <v>0</v>
      </c>
      <c r="H24" s="47">
        <f t="shared" si="10"/>
        <v>34</v>
      </c>
      <c r="I24" s="47">
        <v>23</v>
      </c>
      <c r="J24" s="47">
        <v>11</v>
      </c>
      <c r="K24" s="266" t="s">
        <v>406</v>
      </c>
    </row>
    <row r="25" spans="2:11" ht="15.75" customHeight="1" thickBot="1" x14ac:dyDescent="0.25">
      <c r="B25" s="47">
        <f t="shared" si="8"/>
        <v>41</v>
      </c>
      <c r="C25" s="47">
        <f t="shared" si="8"/>
        <v>22</v>
      </c>
      <c r="D25" s="47">
        <f t="shared" si="8"/>
        <v>19</v>
      </c>
      <c r="E25" s="47">
        <f t="shared" si="9"/>
        <v>2</v>
      </c>
      <c r="F25" s="47">
        <v>1</v>
      </c>
      <c r="G25" s="47">
        <v>1</v>
      </c>
      <c r="H25" s="47">
        <f t="shared" si="10"/>
        <v>39</v>
      </c>
      <c r="I25" s="47">
        <v>21</v>
      </c>
      <c r="J25" s="47">
        <v>18</v>
      </c>
      <c r="K25" s="266" t="s">
        <v>364</v>
      </c>
    </row>
    <row r="26" spans="2:11" ht="15.75" customHeight="1" thickBot="1" x14ac:dyDescent="0.25">
      <c r="B26" s="47">
        <f t="shared" si="8"/>
        <v>658</v>
      </c>
      <c r="C26" s="47">
        <f t="shared" si="8"/>
        <v>358</v>
      </c>
      <c r="D26" s="47">
        <f t="shared" si="8"/>
        <v>300</v>
      </c>
      <c r="E26" s="47">
        <f t="shared" si="9"/>
        <v>139</v>
      </c>
      <c r="F26" s="47">
        <v>99</v>
      </c>
      <c r="G26" s="47">
        <v>40</v>
      </c>
      <c r="H26" s="47">
        <f t="shared" si="10"/>
        <v>519</v>
      </c>
      <c r="I26" s="47">
        <v>259</v>
      </c>
      <c r="J26" s="47">
        <f>190+70</f>
        <v>260</v>
      </c>
      <c r="K26" s="266" t="s">
        <v>71</v>
      </c>
    </row>
    <row r="27" spans="2:11" ht="15.75" customHeight="1" thickBot="1" x14ac:dyDescent="0.25">
      <c r="B27" s="47">
        <f t="shared" si="8"/>
        <v>359</v>
      </c>
      <c r="C27" s="47">
        <f t="shared" si="8"/>
        <v>0</v>
      </c>
      <c r="D27" s="47">
        <f t="shared" si="8"/>
        <v>359</v>
      </c>
      <c r="E27" s="47">
        <f t="shared" si="9"/>
        <v>3</v>
      </c>
      <c r="F27" s="47">
        <v>0</v>
      </c>
      <c r="G27" s="47">
        <v>3</v>
      </c>
      <c r="H27" s="47">
        <f t="shared" si="10"/>
        <v>356</v>
      </c>
      <c r="I27" s="47">
        <v>0</v>
      </c>
      <c r="J27" s="47">
        <f>256+100</f>
        <v>356</v>
      </c>
      <c r="K27" s="266" t="s">
        <v>83</v>
      </c>
    </row>
    <row r="28" spans="2:11" ht="15.75" customHeight="1" thickBot="1" x14ac:dyDescent="0.25">
      <c r="B28" s="47">
        <f t="shared" si="8"/>
        <v>98</v>
      </c>
      <c r="C28" s="47">
        <f t="shared" si="8"/>
        <v>0</v>
      </c>
      <c r="D28" s="47">
        <f t="shared" si="8"/>
        <v>98</v>
      </c>
      <c r="E28" s="47">
        <f t="shared" si="9"/>
        <v>0</v>
      </c>
      <c r="F28" s="47">
        <v>0</v>
      </c>
      <c r="G28" s="47">
        <v>0</v>
      </c>
      <c r="H28" s="47">
        <f t="shared" si="10"/>
        <v>98</v>
      </c>
      <c r="I28" s="47">
        <v>0</v>
      </c>
      <c r="J28" s="47">
        <v>98</v>
      </c>
      <c r="K28" s="266" t="s">
        <v>85</v>
      </c>
    </row>
    <row r="29" spans="2:11" ht="15.75" customHeight="1" thickBot="1" x14ac:dyDescent="0.25">
      <c r="B29" s="47">
        <f t="shared" si="8"/>
        <v>123</v>
      </c>
      <c r="C29" s="47">
        <f t="shared" si="8"/>
        <v>0</v>
      </c>
      <c r="D29" s="47">
        <f t="shared" si="8"/>
        <v>123</v>
      </c>
      <c r="E29" s="47">
        <f t="shared" si="9"/>
        <v>0</v>
      </c>
      <c r="F29" s="47">
        <v>0</v>
      </c>
      <c r="G29" s="47">
        <v>0</v>
      </c>
      <c r="H29" s="47">
        <f t="shared" si="10"/>
        <v>123</v>
      </c>
      <c r="I29" s="47">
        <v>0</v>
      </c>
      <c r="J29" s="47">
        <v>123</v>
      </c>
      <c r="K29" s="266" t="s">
        <v>617</v>
      </c>
    </row>
    <row r="30" spans="2:11" ht="15.75" customHeight="1" thickBot="1" x14ac:dyDescent="0.25">
      <c r="B30" s="47">
        <f t="shared" si="8"/>
        <v>11</v>
      </c>
      <c r="C30" s="47">
        <f t="shared" si="8"/>
        <v>0</v>
      </c>
      <c r="D30" s="47">
        <f t="shared" si="8"/>
        <v>11</v>
      </c>
      <c r="E30" s="47">
        <f t="shared" si="9"/>
        <v>0</v>
      </c>
      <c r="F30" s="47">
        <v>0</v>
      </c>
      <c r="G30" s="47">
        <v>0</v>
      </c>
      <c r="H30" s="47">
        <f t="shared" si="10"/>
        <v>11</v>
      </c>
      <c r="I30" s="47">
        <v>0</v>
      </c>
      <c r="J30" s="47">
        <v>11</v>
      </c>
      <c r="K30" s="266" t="s">
        <v>86</v>
      </c>
    </row>
    <row r="31" spans="2:11" ht="15.75" customHeight="1" thickBot="1" x14ac:dyDescent="0.25">
      <c r="B31" s="47">
        <f t="shared" si="8"/>
        <v>9</v>
      </c>
      <c r="C31" s="47">
        <f t="shared" si="8"/>
        <v>0</v>
      </c>
      <c r="D31" s="47">
        <f t="shared" si="8"/>
        <v>9</v>
      </c>
      <c r="E31" s="47">
        <f t="shared" si="9"/>
        <v>0</v>
      </c>
      <c r="F31" s="47">
        <v>0</v>
      </c>
      <c r="G31" s="47">
        <v>0</v>
      </c>
      <c r="H31" s="47">
        <f t="shared" si="10"/>
        <v>9</v>
      </c>
      <c r="I31" s="47">
        <v>0</v>
      </c>
      <c r="J31" s="47">
        <v>9</v>
      </c>
      <c r="K31" s="266" t="s">
        <v>87</v>
      </c>
    </row>
    <row r="32" spans="2:11" ht="15.75" customHeight="1" thickBot="1" x14ac:dyDescent="0.25">
      <c r="B32" s="47">
        <f t="shared" ref="B32:J32" si="11">SUM(B23:B31)</f>
        <v>1527</v>
      </c>
      <c r="C32" s="47">
        <f t="shared" si="11"/>
        <v>403</v>
      </c>
      <c r="D32" s="47">
        <f t="shared" si="11"/>
        <v>1124</v>
      </c>
      <c r="E32" s="47">
        <f t="shared" si="11"/>
        <v>144</v>
      </c>
      <c r="F32" s="47">
        <f t="shared" si="11"/>
        <v>100</v>
      </c>
      <c r="G32" s="47">
        <f t="shared" si="11"/>
        <v>44</v>
      </c>
      <c r="H32" s="47">
        <f t="shared" si="11"/>
        <v>1383</v>
      </c>
      <c r="I32" s="47">
        <f t="shared" si="11"/>
        <v>303</v>
      </c>
      <c r="J32" s="47">
        <f t="shared" si="11"/>
        <v>1080</v>
      </c>
      <c r="K32" s="187" t="s">
        <v>188</v>
      </c>
    </row>
    <row r="33" spans="2:11" ht="15.75" customHeight="1" thickBot="1" x14ac:dyDescent="0.25">
      <c r="B33" s="476" t="s">
        <v>4</v>
      </c>
      <c r="C33" s="476"/>
      <c r="D33" s="476"/>
      <c r="E33" s="476" t="s">
        <v>145</v>
      </c>
      <c r="F33" s="476"/>
      <c r="G33" s="476"/>
      <c r="H33" s="476" t="s">
        <v>146</v>
      </c>
      <c r="I33" s="476"/>
      <c r="J33" s="476"/>
      <c r="K33" s="202" t="s">
        <v>66</v>
      </c>
    </row>
    <row r="34" spans="2:11" ht="15.75" customHeight="1" thickBot="1" x14ac:dyDescent="0.25">
      <c r="B34" s="185" t="s">
        <v>227</v>
      </c>
      <c r="C34" s="185" t="s">
        <v>10</v>
      </c>
      <c r="D34" s="185" t="s">
        <v>9</v>
      </c>
      <c r="E34" s="185" t="s">
        <v>227</v>
      </c>
      <c r="F34" s="185" t="s">
        <v>10</v>
      </c>
      <c r="G34" s="185" t="s">
        <v>9</v>
      </c>
      <c r="H34" s="185" t="s">
        <v>227</v>
      </c>
      <c r="I34" s="185" t="s">
        <v>10</v>
      </c>
      <c r="J34" s="185" t="s">
        <v>9</v>
      </c>
      <c r="K34" s="187" t="s">
        <v>73</v>
      </c>
    </row>
    <row r="35" spans="2:11" ht="15.75" customHeight="1" thickBot="1" x14ac:dyDescent="0.25">
      <c r="B35" s="47">
        <f t="shared" ref="B35:D38" si="12">H35+E35</f>
        <v>48</v>
      </c>
      <c r="C35" s="47">
        <f t="shared" si="12"/>
        <v>0</v>
      </c>
      <c r="D35" s="47">
        <f t="shared" si="12"/>
        <v>48</v>
      </c>
      <c r="E35" s="47">
        <f>G35+F35</f>
        <v>0</v>
      </c>
      <c r="F35" s="47">
        <v>0</v>
      </c>
      <c r="G35" s="47">
        <v>0</v>
      </c>
      <c r="H35" s="47">
        <f>J35+I35</f>
        <v>48</v>
      </c>
      <c r="I35" s="47">
        <v>0</v>
      </c>
      <c r="J35" s="47">
        <v>48</v>
      </c>
      <c r="K35" s="283" t="s">
        <v>88</v>
      </c>
    </row>
    <row r="36" spans="2:11" ht="15.75" customHeight="1" thickBot="1" x14ac:dyDescent="0.25">
      <c r="B36" s="47">
        <f t="shared" si="12"/>
        <v>66</v>
      </c>
      <c r="C36" s="47">
        <f t="shared" si="12"/>
        <v>66</v>
      </c>
      <c r="D36" s="47">
        <f t="shared" si="12"/>
        <v>0</v>
      </c>
      <c r="E36" s="47">
        <f>G36+F36</f>
        <v>0</v>
      </c>
      <c r="F36" s="47">
        <v>0</v>
      </c>
      <c r="G36" s="47">
        <v>0</v>
      </c>
      <c r="H36" s="47">
        <f>J36+I36</f>
        <v>66</v>
      </c>
      <c r="I36" s="47">
        <v>66</v>
      </c>
      <c r="J36" s="47">
        <v>0</v>
      </c>
      <c r="K36" s="283" t="s">
        <v>701</v>
      </c>
    </row>
    <row r="37" spans="2:11" ht="15.75" customHeight="1" thickBot="1" x14ac:dyDescent="0.25">
      <c r="B37" s="47">
        <f t="shared" si="12"/>
        <v>309</v>
      </c>
      <c r="C37" s="47">
        <f t="shared" si="12"/>
        <v>91</v>
      </c>
      <c r="D37" s="47">
        <f t="shared" si="12"/>
        <v>218</v>
      </c>
      <c r="E37" s="47">
        <v>1</v>
      </c>
      <c r="F37" s="47">
        <v>1</v>
      </c>
      <c r="G37" s="47">
        <v>0</v>
      </c>
      <c r="H37" s="47">
        <f>J37+I37</f>
        <v>308</v>
      </c>
      <c r="I37" s="47">
        <v>90</v>
      </c>
      <c r="J37" s="47">
        <v>218</v>
      </c>
      <c r="K37" s="283" t="s">
        <v>702</v>
      </c>
    </row>
    <row r="38" spans="2:11" ht="15.75" customHeight="1" thickBot="1" x14ac:dyDescent="0.25">
      <c r="B38" s="47">
        <f t="shared" si="12"/>
        <v>219</v>
      </c>
      <c r="C38" s="47">
        <f t="shared" si="12"/>
        <v>80</v>
      </c>
      <c r="D38" s="47">
        <f t="shared" si="12"/>
        <v>139</v>
      </c>
      <c r="E38" s="47">
        <f>G38+F38</f>
        <v>5</v>
      </c>
      <c r="F38" s="47">
        <v>5</v>
      </c>
      <c r="G38" s="47">
        <v>0</v>
      </c>
      <c r="H38" s="47">
        <f>J38+I38</f>
        <v>214</v>
      </c>
      <c r="I38" s="47">
        <v>75</v>
      </c>
      <c r="J38" s="47">
        <v>139</v>
      </c>
      <c r="K38" s="283" t="s">
        <v>262</v>
      </c>
    </row>
    <row r="39" spans="2:11" ht="15.75" customHeight="1" thickBot="1" x14ac:dyDescent="0.25">
      <c r="B39" s="47">
        <f t="shared" ref="B39:J39" si="13">SUM(B35:B38)</f>
        <v>642</v>
      </c>
      <c r="C39" s="47">
        <f t="shared" si="13"/>
        <v>237</v>
      </c>
      <c r="D39" s="47">
        <f t="shared" si="13"/>
        <v>405</v>
      </c>
      <c r="E39" s="47">
        <f t="shared" si="13"/>
        <v>6</v>
      </c>
      <c r="F39" s="47">
        <f t="shared" si="13"/>
        <v>6</v>
      </c>
      <c r="G39" s="47">
        <f t="shared" si="13"/>
        <v>0</v>
      </c>
      <c r="H39" s="47">
        <f t="shared" si="13"/>
        <v>636</v>
      </c>
      <c r="I39" s="47">
        <f t="shared" si="13"/>
        <v>231</v>
      </c>
      <c r="J39" s="47">
        <f t="shared" si="13"/>
        <v>405</v>
      </c>
      <c r="K39" s="187" t="s">
        <v>188</v>
      </c>
    </row>
    <row r="40" spans="2:11" ht="15.75" customHeight="1" thickBot="1" x14ac:dyDescent="0.25">
      <c r="B40" s="476" t="s">
        <v>4</v>
      </c>
      <c r="C40" s="476"/>
      <c r="D40" s="476"/>
      <c r="E40" s="476" t="s">
        <v>145</v>
      </c>
      <c r="F40" s="476"/>
      <c r="G40" s="476"/>
      <c r="H40" s="476" t="s">
        <v>146</v>
      </c>
      <c r="I40" s="476"/>
      <c r="J40" s="476"/>
      <c r="K40" s="202" t="s">
        <v>66</v>
      </c>
    </row>
    <row r="41" spans="2:11" ht="15.75" customHeight="1" thickBot="1" x14ac:dyDescent="0.25">
      <c r="B41" s="185" t="s">
        <v>227</v>
      </c>
      <c r="C41" s="185" t="s">
        <v>10</v>
      </c>
      <c r="D41" s="185" t="s">
        <v>9</v>
      </c>
      <c r="E41" s="185" t="s">
        <v>227</v>
      </c>
      <c r="F41" s="185" t="s">
        <v>10</v>
      </c>
      <c r="G41" s="185" t="s">
        <v>9</v>
      </c>
      <c r="H41" s="185" t="s">
        <v>227</v>
      </c>
      <c r="I41" s="185" t="s">
        <v>10</v>
      </c>
      <c r="J41" s="185" t="s">
        <v>9</v>
      </c>
      <c r="K41" s="187" t="s">
        <v>90</v>
      </c>
    </row>
    <row r="42" spans="2:11" ht="15.75" customHeight="1" thickBot="1" x14ac:dyDescent="0.25">
      <c r="B42" s="185">
        <f>D42+C42</f>
        <v>54</v>
      </c>
      <c r="C42" s="185">
        <f>I42+F42</f>
        <v>0</v>
      </c>
      <c r="D42" s="185">
        <f>J42+G42</f>
        <v>54</v>
      </c>
      <c r="E42" s="185">
        <f>SUM(F42:G42)</f>
        <v>2</v>
      </c>
      <c r="F42" s="185">
        <v>0</v>
      </c>
      <c r="G42" s="185">
        <v>2</v>
      </c>
      <c r="H42" s="185">
        <f>SUM(I42:J42)</f>
        <v>52</v>
      </c>
      <c r="I42" s="185">
        <v>0</v>
      </c>
      <c r="J42" s="185">
        <f>42+10</f>
        <v>52</v>
      </c>
      <c r="K42" s="266" t="s">
        <v>89</v>
      </c>
    </row>
    <row r="43" spans="2:11" ht="15.75" customHeight="1" thickBot="1" x14ac:dyDescent="0.25">
      <c r="B43" s="185">
        <f>D43+C43</f>
        <v>86</v>
      </c>
      <c r="C43" s="185">
        <f>I43+F43</f>
        <v>0</v>
      </c>
      <c r="D43" s="185">
        <f>J43+G43</f>
        <v>86</v>
      </c>
      <c r="E43" s="185">
        <f>SUM(F43:G43)</f>
        <v>7</v>
      </c>
      <c r="F43" s="185">
        <v>0</v>
      </c>
      <c r="G43" s="185">
        <v>7</v>
      </c>
      <c r="H43" s="185">
        <f>SUM(I43:J43)</f>
        <v>79</v>
      </c>
      <c r="I43" s="185">
        <v>0</v>
      </c>
      <c r="J43" s="185">
        <v>79</v>
      </c>
      <c r="K43" s="266" t="s">
        <v>91</v>
      </c>
    </row>
    <row r="44" spans="2:11" ht="15.75" customHeight="1" thickBot="1" x14ac:dyDescent="0.25">
      <c r="B44" s="185">
        <f t="shared" ref="B44:J44" si="14">SUM(B42:B43)</f>
        <v>140</v>
      </c>
      <c r="C44" s="185">
        <f t="shared" si="14"/>
        <v>0</v>
      </c>
      <c r="D44" s="185">
        <f t="shared" si="14"/>
        <v>140</v>
      </c>
      <c r="E44" s="185">
        <f t="shared" si="14"/>
        <v>9</v>
      </c>
      <c r="F44" s="185">
        <f t="shared" si="14"/>
        <v>0</v>
      </c>
      <c r="G44" s="185">
        <f t="shared" si="14"/>
        <v>9</v>
      </c>
      <c r="H44" s="185">
        <f t="shared" si="14"/>
        <v>131</v>
      </c>
      <c r="I44" s="185">
        <f t="shared" si="14"/>
        <v>0</v>
      </c>
      <c r="J44" s="185">
        <f t="shared" si="14"/>
        <v>131</v>
      </c>
      <c r="K44" s="187" t="s">
        <v>188</v>
      </c>
    </row>
    <row r="45" spans="2:11" ht="15.75" customHeight="1" thickBot="1" x14ac:dyDescent="0.25">
      <c r="B45" s="476" t="s">
        <v>4</v>
      </c>
      <c r="C45" s="476"/>
      <c r="D45" s="476"/>
      <c r="E45" s="476" t="s">
        <v>145</v>
      </c>
      <c r="F45" s="476"/>
      <c r="G45" s="476"/>
      <c r="H45" s="476" t="s">
        <v>146</v>
      </c>
      <c r="I45" s="476"/>
      <c r="J45" s="476"/>
      <c r="K45" s="202" t="s">
        <v>66</v>
      </c>
    </row>
    <row r="46" spans="2:11" ht="15.75" customHeight="1" thickBot="1" x14ac:dyDescent="0.25">
      <c r="B46" s="185" t="s">
        <v>227</v>
      </c>
      <c r="C46" s="185" t="s">
        <v>10</v>
      </c>
      <c r="D46" s="185" t="s">
        <v>9</v>
      </c>
      <c r="E46" s="185" t="s">
        <v>227</v>
      </c>
      <c r="F46" s="185" t="s">
        <v>10</v>
      </c>
      <c r="G46" s="185" t="s">
        <v>9</v>
      </c>
      <c r="H46" s="185" t="s">
        <v>227</v>
      </c>
      <c r="I46" s="185" t="s">
        <v>10</v>
      </c>
      <c r="J46" s="185" t="s">
        <v>9</v>
      </c>
      <c r="K46" s="187" t="s">
        <v>74</v>
      </c>
    </row>
    <row r="47" spans="2:11" ht="15.75" customHeight="1" thickBot="1" x14ac:dyDescent="0.25">
      <c r="B47" s="47">
        <f t="shared" ref="B47:B54" si="15">D47+C47</f>
        <v>207</v>
      </c>
      <c r="C47" s="47">
        <f t="shared" ref="C47:D54" si="16">I47+F47</f>
        <v>0</v>
      </c>
      <c r="D47" s="47">
        <f t="shared" si="16"/>
        <v>207</v>
      </c>
      <c r="E47" s="47">
        <f t="shared" ref="E47:E54" si="17">SUM(F47:G47)</f>
        <v>0</v>
      </c>
      <c r="F47" s="47">
        <v>0</v>
      </c>
      <c r="G47" s="47">
        <v>0</v>
      </c>
      <c r="H47" s="47">
        <f t="shared" ref="H47:H54" si="18">SUM(I47:J47)</f>
        <v>207</v>
      </c>
      <c r="I47" s="47">
        <v>0</v>
      </c>
      <c r="J47" s="47">
        <f>27+180</f>
        <v>207</v>
      </c>
      <c r="K47" s="266" t="s">
        <v>649</v>
      </c>
    </row>
    <row r="48" spans="2:11" ht="15.75" customHeight="1" thickBot="1" x14ac:dyDescent="0.25">
      <c r="B48" s="47">
        <f t="shared" si="15"/>
        <v>415</v>
      </c>
      <c r="C48" s="47">
        <f t="shared" si="16"/>
        <v>313</v>
      </c>
      <c r="D48" s="47">
        <f t="shared" si="16"/>
        <v>102</v>
      </c>
      <c r="E48" s="47">
        <f t="shared" si="17"/>
        <v>6</v>
      </c>
      <c r="F48" s="47">
        <v>3</v>
      </c>
      <c r="G48" s="47">
        <v>3</v>
      </c>
      <c r="H48" s="47">
        <f t="shared" si="18"/>
        <v>409</v>
      </c>
      <c r="I48" s="47">
        <f>210+100</f>
        <v>310</v>
      </c>
      <c r="J48" s="47">
        <v>99</v>
      </c>
      <c r="K48" s="266" t="s">
        <v>71</v>
      </c>
    </row>
    <row r="49" spans="2:11" ht="15.75" customHeight="1" thickBot="1" x14ac:dyDescent="0.25">
      <c r="B49" s="47">
        <f t="shared" si="15"/>
        <v>264</v>
      </c>
      <c r="C49" s="47">
        <f t="shared" si="16"/>
        <v>264</v>
      </c>
      <c r="D49" s="47">
        <f t="shared" si="16"/>
        <v>0</v>
      </c>
      <c r="E49" s="47">
        <f t="shared" si="17"/>
        <v>0</v>
      </c>
      <c r="F49" s="47">
        <v>0</v>
      </c>
      <c r="G49" s="47">
        <v>0</v>
      </c>
      <c r="H49" s="47">
        <f t="shared" si="18"/>
        <v>264</v>
      </c>
      <c r="I49" s="47">
        <f>164+100</f>
        <v>264</v>
      </c>
      <c r="J49" s="47">
        <v>0</v>
      </c>
      <c r="K49" s="266" t="s">
        <v>92</v>
      </c>
    </row>
    <row r="50" spans="2:11" ht="15.75" customHeight="1" thickBot="1" x14ac:dyDescent="0.25">
      <c r="B50" s="47">
        <f t="shared" si="15"/>
        <v>411</v>
      </c>
      <c r="C50" s="47">
        <f t="shared" si="16"/>
        <v>411</v>
      </c>
      <c r="D50" s="47">
        <f t="shared" si="16"/>
        <v>0</v>
      </c>
      <c r="E50" s="47">
        <f t="shared" si="17"/>
        <v>0</v>
      </c>
      <c r="F50" s="47">
        <v>0</v>
      </c>
      <c r="G50" s="47">
        <v>0</v>
      </c>
      <c r="H50" s="47">
        <f t="shared" si="18"/>
        <v>411</v>
      </c>
      <c r="I50" s="47">
        <f>311+100</f>
        <v>411</v>
      </c>
      <c r="J50" s="47">
        <v>0</v>
      </c>
      <c r="K50" s="266" t="s">
        <v>93</v>
      </c>
    </row>
    <row r="51" spans="2:11" ht="15.75" customHeight="1" thickBot="1" x14ac:dyDescent="0.25">
      <c r="B51" s="47">
        <f t="shared" si="15"/>
        <v>181</v>
      </c>
      <c r="C51" s="47">
        <f t="shared" si="16"/>
        <v>48</v>
      </c>
      <c r="D51" s="47">
        <f t="shared" si="16"/>
        <v>133</v>
      </c>
      <c r="E51" s="47">
        <f t="shared" si="17"/>
        <v>0</v>
      </c>
      <c r="F51" s="47">
        <v>0</v>
      </c>
      <c r="G51" s="47">
        <v>0</v>
      </c>
      <c r="H51" s="47">
        <f t="shared" si="18"/>
        <v>181</v>
      </c>
      <c r="I51" s="47">
        <v>48</v>
      </c>
      <c r="J51" s="47">
        <v>133</v>
      </c>
      <c r="K51" s="266" t="s">
        <v>264</v>
      </c>
    </row>
    <row r="52" spans="2:11" ht="15.75" customHeight="1" thickBot="1" x14ac:dyDescent="0.25">
      <c r="B52" s="47">
        <f t="shared" si="15"/>
        <v>46</v>
      </c>
      <c r="C52" s="47">
        <f t="shared" si="16"/>
        <v>46</v>
      </c>
      <c r="D52" s="47">
        <f t="shared" si="16"/>
        <v>0</v>
      </c>
      <c r="E52" s="47">
        <f t="shared" si="17"/>
        <v>0</v>
      </c>
      <c r="F52" s="47">
        <v>0</v>
      </c>
      <c r="G52" s="47">
        <v>0</v>
      </c>
      <c r="H52" s="47">
        <f t="shared" si="18"/>
        <v>46</v>
      </c>
      <c r="I52" s="47">
        <v>46</v>
      </c>
      <c r="J52" s="47">
        <v>0</v>
      </c>
      <c r="K52" s="266" t="s">
        <v>265</v>
      </c>
    </row>
    <row r="53" spans="2:11" ht="15.75" customHeight="1" thickBot="1" x14ac:dyDescent="0.25">
      <c r="B53" s="47">
        <f t="shared" si="15"/>
        <v>134</v>
      </c>
      <c r="C53" s="47">
        <f t="shared" si="16"/>
        <v>39</v>
      </c>
      <c r="D53" s="47">
        <f t="shared" si="16"/>
        <v>95</v>
      </c>
      <c r="E53" s="47">
        <f t="shared" si="17"/>
        <v>0</v>
      </c>
      <c r="F53" s="47">
        <v>0</v>
      </c>
      <c r="G53" s="47">
        <v>0</v>
      </c>
      <c r="H53" s="47">
        <f t="shared" si="18"/>
        <v>134</v>
      </c>
      <c r="I53" s="47">
        <v>39</v>
      </c>
      <c r="J53" s="47">
        <v>95</v>
      </c>
      <c r="K53" s="266" t="s">
        <v>703</v>
      </c>
    </row>
    <row r="54" spans="2:11" ht="15.75" customHeight="1" thickBot="1" x14ac:dyDescent="0.25">
      <c r="B54" s="47">
        <f t="shared" si="15"/>
        <v>19</v>
      </c>
      <c r="C54" s="47">
        <f t="shared" si="16"/>
        <v>19</v>
      </c>
      <c r="D54" s="47">
        <f t="shared" si="16"/>
        <v>0</v>
      </c>
      <c r="E54" s="47">
        <f t="shared" si="17"/>
        <v>0</v>
      </c>
      <c r="F54" s="47">
        <v>0</v>
      </c>
      <c r="G54" s="47">
        <v>0</v>
      </c>
      <c r="H54" s="47">
        <f t="shared" si="18"/>
        <v>19</v>
      </c>
      <c r="I54" s="47">
        <v>19</v>
      </c>
      <c r="J54" s="47">
        <v>0</v>
      </c>
      <c r="K54" s="266" t="s">
        <v>267</v>
      </c>
    </row>
    <row r="55" spans="2:11" ht="15.75" customHeight="1" thickBot="1" x14ac:dyDescent="0.25">
      <c r="B55" s="47">
        <f t="shared" ref="B55:J55" si="19">SUM(B47:B54)</f>
        <v>1677</v>
      </c>
      <c r="C55" s="47">
        <f t="shared" si="19"/>
        <v>1140</v>
      </c>
      <c r="D55" s="47">
        <f t="shared" si="19"/>
        <v>537</v>
      </c>
      <c r="E55" s="47">
        <f t="shared" si="19"/>
        <v>6</v>
      </c>
      <c r="F55" s="47">
        <f t="shared" si="19"/>
        <v>3</v>
      </c>
      <c r="G55" s="47">
        <f t="shared" si="19"/>
        <v>3</v>
      </c>
      <c r="H55" s="47">
        <f t="shared" si="19"/>
        <v>1671</v>
      </c>
      <c r="I55" s="47">
        <f t="shared" si="19"/>
        <v>1137</v>
      </c>
      <c r="J55" s="47">
        <f t="shared" si="19"/>
        <v>534</v>
      </c>
      <c r="K55" s="187" t="s">
        <v>188</v>
      </c>
    </row>
    <row r="56" spans="2:11" ht="15.75" customHeight="1" thickBot="1" x14ac:dyDescent="0.25">
      <c r="B56" s="476" t="s">
        <v>4</v>
      </c>
      <c r="C56" s="476"/>
      <c r="D56" s="476"/>
      <c r="E56" s="476" t="s">
        <v>145</v>
      </c>
      <c r="F56" s="476"/>
      <c r="G56" s="476"/>
      <c r="H56" s="476" t="s">
        <v>146</v>
      </c>
      <c r="I56" s="476"/>
      <c r="J56" s="476"/>
      <c r="K56" s="202" t="s">
        <v>66</v>
      </c>
    </row>
    <row r="57" spans="2:11" ht="15.75" customHeight="1" thickBot="1" x14ac:dyDescent="0.25">
      <c r="B57" s="185" t="s">
        <v>227</v>
      </c>
      <c r="C57" s="185" t="s">
        <v>10</v>
      </c>
      <c r="D57" s="185" t="s">
        <v>9</v>
      </c>
      <c r="E57" s="185" t="s">
        <v>227</v>
      </c>
      <c r="F57" s="185" t="s">
        <v>10</v>
      </c>
      <c r="G57" s="185" t="s">
        <v>9</v>
      </c>
      <c r="H57" s="185" t="s">
        <v>227</v>
      </c>
      <c r="I57" s="185" t="s">
        <v>10</v>
      </c>
      <c r="J57" s="185" t="s">
        <v>9</v>
      </c>
      <c r="K57" s="187" t="s">
        <v>75</v>
      </c>
    </row>
    <row r="58" spans="2:11" ht="15.75" customHeight="1" thickBot="1" x14ac:dyDescent="0.25">
      <c r="B58" s="47">
        <f t="shared" ref="B58:B63" si="20">D58+C58</f>
        <v>83</v>
      </c>
      <c r="C58" s="47">
        <f t="shared" ref="C58:D63" si="21">I58+F58</f>
        <v>0</v>
      </c>
      <c r="D58" s="47">
        <f t="shared" si="21"/>
        <v>83</v>
      </c>
      <c r="E58" s="47">
        <v>0</v>
      </c>
      <c r="F58" s="47">
        <v>0</v>
      </c>
      <c r="G58" s="47">
        <v>0</v>
      </c>
      <c r="H58" s="47">
        <v>83</v>
      </c>
      <c r="I58" s="47">
        <v>0</v>
      </c>
      <c r="J58" s="47">
        <v>83</v>
      </c>
      <c r="K58" s="284" t="s">
        <v>624</v>
      </c>
    </row>
    <row r="59" spans="2:11" ht="15.75" customHeight="1" thickBot="1" x14ac:dyDescent="0.25">
      <c r="B59" s="47">
        <f t="shared" si="20"/>
        <v>95</v>
      </c>
      <c r="C59" s="47">
        <f t="shared" si="21"/>
        <v>0</v>
      </c>
      <c r="D59" s="47">
        <f t="shared" si="21"/>
        <v>95</v>
      </c>
      <c r="E59" s="47">
        <v>0</v>
      </c>
      <c r="F59" s="47">
        <v>0</v>
      </c>
      <c r="G59" s="47">
        <v>0</v>
      </c>
      <c r="H59" s="47">
        <v>95</v>
      </c>
      <c r="I59" s="47">
        <v>0</v>
      </c>
      <c r="J59" s="47">
        <v>95</v>
      </c>
      <c r="K59" s="284" t="s">
        <v>94</v>
      </c>
    </row>
    <row r="60" spans="2:11" ht="15.75" customHeight="1" thickBot="1" x14ac:dyDescent="0.25">
      <c r="B60" s="47">
        <f t="shared" si="20"/>
        <v>323</v>
      </c>
      <c r="C60" s="47">
        <f t="shared" si="21"/>
        <v>0</v>
      </c>
      <c r="D60" s="47">
        <f t="shared" si="21"/>
        <v>323</v>
      </c>
      <c r="E60" s="47">
        <v>0</v>
      </c>
      <c r="F60" s="47">
        <v>0</v>
      </c>
      <c r="G60" s="47">
        <v>0</v>
      </c>
      <c r="H60" s="47">
        <v>323</v>
      </c>
      <c r="I60" s="47">
        <v>0</v>
      </c>
      <c r="J60" s="47">
        <v>323</v>
      </c>
      <c r="K60" s="284" t="s">
        <v>95</v>
      </c>
    </row>
    <row r="61" spans="2:11" ht="15.75" customHeight="1" thickBot="1" x14ac:dyDescent="0.25">
      <c r="B61" s="47">
        <f t="shared" si="20"/>
        <v>299</v>
      </c>
      <c r="C61" s="47">
        <f t="shared" si="21"/>
        <v>299</v>
      </c>
      <c r="D61" s="47">
        <f t="shared" si="21"/>
        <v>0</v>
      </c>
      <c r="E61" s="47">
        <v>0</v>
      </c>
      <c r="F61" s="47">
        <v>0</v>
      </c>
      <c r="G61" s="47">
        <v>0</v>
      </c>
      <c r="H61" s="47">
        <v>299</v>
      </c>
      <c r="I61" s="47">
        <v>299</v>
      </c>
      <c r="J61" s="47">
        <v>0</v>
      </c>
      <c r="K61" s="284" t="s">
        <v>268</v>
      </c>
    </row>
    <row r="62" spans="2:11" ht="15.75" customHeight="1" thickBot="1" x14ac:dyDescent="0.25">
      <c r="B62" s="47">
        <f t="shared" si="20"/>
        <v>251</v>
      </c>
      <c r="C62" s="47">
        <f t="shared" si="21"/>
        <v>103</v>
      </c>
      <c r="D62" s="47">
        <f t="shared" si="21"/>
        <v>148</v>
      </c>
      <c r="E62" s="47">
        <v>0</v>
      </c>
      <c r="F62" s="47">
        <v>0</v>
      </c>
      <c r="G62" s="47">
        <v>0</v>
      </c>
      <c r="H62" s="47">
        <v>231</v>
      </c>
      <c r="I62" s="47">
        <f>83+20</f>
        <v>103</v>
      </c>
      <c r="J62" s="47">
        <v>148</v>
      </c>
      <c r="K62" s="285" t="s">
        <v>270</v>
      </c>
    </row>
    <row r="63" spans="2:11" ht="15.75" customHeight="1" thickBot="1" x14ac:dyDescent="0.25">
      <c r="B63" s="47">
        <f t="shared" si="20"/>
        <v>60</v>
      </c>
      <c r="C63" s="47">
        <f t="shared" si="21"/>
        <v>60</v>
      </c>
      <c r="D63" s="47">
        <f t="shared" si="21"/>
        <v>0</v>
      </c>
      <c r="E63" s="47">
        <v>0</v>
      </c>
      <c r="F63" s="47">
        <v>0</v>
      </c>
      <c r="G63" s="47">
        <v>0</v>
      </c>
      <c r="H63" s="47">
        <v>60</v>
      </c>
      <c r="I63" s="47">
        <v>60</v>
      </c>
      <c r="J63" s="47">
        <v>0</v>
      </c>
      <c r="K63" s="285" t="s">
        <v>272</v>
      </c>
    </row>
    <row r="64" spans="2:11" ht="15.75" customHeight="1" thickBot="1" x14ac:dyDescent="0.25">
      <c r="B64" s="47">
        <f t="shared" ref="B64:J64" si="22">SUM(B58:B63)</f>
        <v>1111</v>
      </c>
      <c r="C64" s="47">
        <f t="shared" si="22"/>
        <v>462</v>
      </c>
      <c r="D64" s="47">
        <f t="shared" si="22"/>
        <v>649</v>
      </c>
      <c r="E64" s="47">
        <f t="shared" si="22"/>
        <v>0</v>
      </c>
      <c r="F64" s="47">
        <f t="shared" si="22"/>
        <v>0</v>
      </c>
      <c r="G64" s="47">
        <f t="shared" si="22"/>
        <v>0</v>
      </c>
      <c r="H64" s="47">
        <f t="shared" si="22"/>
        <v>1091</v>
      </c>
      <c r="I64" s="47">
        <f t="shared" si="22"/>
        <v>462</v>
      </c>
      <c r="J64" s="47">
        <f t="shared" si="22"/>
        <v>649</v>
      </c>
      <c r="K64" s="187" t="s">
        <v>188</v>
      </c>
    </row>
    <row r="65" spans="2:11" ht="15.75" customHeight="1" thickBot="1" x14ac:dyDescent="0.25">
      <c r="B65" s="476" t="s">
        <v>4</v>
      </c>
      <c r="C65" s="476"/>
      <c r="D65" s="476"/>
      <c r="E65" s="476" t="s">
        <v>145</v>
      </c>
      <c r="F65" s="476"/>
      <c r="G65" s="476"/>
      <c r="H65" s="476" t="s">
        <v>146</v>
      </c>
      <c r="I65" s="476"/>
      <c r="J65" s="476"/>
      <c r="K65" s="202" t="s">
        <v>66</v>
      </c>
    </row>
    <row r="66" spans="2:11" ht="15.75" customHeight="1" thickBot="1" x14ac:dyDescent="0.25">
      <c r="B66" s="185" t="s">
        <v>227</v>
      </c>
      <c r="C66" s="185" t="s">
        <v>10</v>
      </c>
      <c r="D66" s="185" t="s">
        <v>9</v>
      </c>
      <c r="E66" s="185" t="s">
        <v>227</v>
      </c>
      <c r="F66" s="185" t="s">
        <v>10</v>
      </c>
      <c r="G66" s="185" t="s">
        <v>9</v>
      </c>
      <c r="H66" s="185" t="s">
        <v>227</v>
      </c>
      <c r="I66" s="185" t="s">
        <v>10</v>
      </c>
      <c r="J66" s="185" t="s">
        <v>9</v>
      </c>
      <c r="K66" s="187" t="s">
        <v>100</v>
      </c>
    </row>
    <row r="67" spans="2:11" ht="15.75" customHeight="1" thickBot="1" x14ac:dyDescent="0.25">
      <c r="B67" s="47">
        <f>D67+C67</f>
        <v>143</v>
      </c>
      <c r="C67" s="47">
        <f>I67+F67</f>
        <v>143</v>
      </c>
      <c r="D67" s="47">
        <v>0</v>
      </c>
      <c r="E67" s="47">
        <v>0</v>
      </c>
      <c r="F67" s="47">
        <v>0</v>
      </c>
      <c r="G67" s="47">
        <v>0</v>
      </c>
      <c r="H67" s="47">
        <v>43</v>
      </c>
      <c r="I67" s="47">
        <f>43+100</f>
        <v>143</v>
      </c>
      <c r="J67" s="47">
        <v>0</v>
      </c>
      <c r="K67" s="266" t="s">
        <v>626</v>
      </c>
    </row>
    <row r="68" spans="2:11" ht="15.75" customHeight="1" thickBot="1" x14ac:dyDescent="0.25">
      <c r="B68" s="47">
        <f t="shared" ref="B68:J68" si="23">SUM(B67)</f>
        <v>143</v>
      </c>
      <c r="C68" s="47">
        <f t="shared" si="23"/>
        <v>143</v>
      </c>
      <c r="D68" s="47">
        <f t="shared" si="23"/>
        <v>0</v>
      </c>
      <c r="E68" s="47">
        <f t="shared" si="23"/>
        <v>0</v>
      </c>
      <c r="F68" s="47">
        <f t="shared" si="23"/>
        <v>0</v>
      </c>
      <c r="G68" s="47">
        <f t="shared" si="23"/>
        <v>0</v>
      </c>
      <c r="H68" s="47">
        <f t="shared" si="23"/>
        <v>43</v>
      </c>
      <c r="I68" s="47">
        <f t="shared" si="23"/>
        <v>143</v>
      </c>
      <c r="J68" s="47">
        <f t="shared" si="23"/>
        <v>0</v>
      </c>
      <c r="K68" s="187" t="s">
        <v>188</v>
      </c>
    </row>
    <row r="69" spans="2:11" ht="15.75" customHeight="1" thickBot="1" x14ac:dyDescent="0.25">
      <c r="B69" s="476" t="s">
        <v>4</v>
      </c>
      <c r="C69" s="476"/>
      <c r="D69" s="476"/>
      <c r="E69" s="476" t="s">
        <v>145</v>
      </c>
      <c r="F69" s="476"/>
      <c r="G69" s="476"/>
      <c r="H69" s="476" t="s">
        <v>146</v>
      </c>
      <c r="I69" s="476"/>
      <c r="J69" s="476"/>
      <c r="K69" s="202" t="s">
        <v>66</v>
      </c>
    </row>
    <row r="70" spans="2:11" ht="15.75" customHeight="1" thickBot="1" x14ac:dyDescent="0.25">
      <c r="B70" s="185" t="s">
        <v>227</v>
      </c>
      <c r="C70" s="185" t="s">
        <v>10</v>
      </c>
      <c r="D70" s="185" t="s">
        <v>9</v>
      </c>
      <c r="E70" s="185" t="s">
        <v>227</v>
      </c>
      <c r="F70" s="185" t="s">
        <v>10</v>
      </c>
      <c r="G70" s="185" t="s">
        <v>9</v>
      </c>
      <c r="H70" s="185" t="s">
        <v>227</v>
      </c>
      <c r="I70" s="185" t="s">
        <v>10</v>
      </c>
      <c r="J70" s="185" t="s">
        <v>9</v>
      </c>
      <c r="K70" s="187" t="s">
        <v>76</v>
      </c>
    </row>
    <row r="71" spans="2:11" ht="15.75" customHeight="1" thickBot="1" x14ac:dyDescent="0.25">
      <c r="B71" s="47">
        <f>SUM(C71:D71)</f>
        <v>224</v>
      </c>
      <c r="C71" s="47">
        <f t="shared" ref="C71:D73" si="24">I71+F71</f>
        <v>224</v>
      </c>
      <c r="D71" s="47">
        <f t="shared" si="24"/>
        <v>0</v>
      </c>
      <c r="E71" s="47">
        <f>SUM(F71:G71)</f>
        <v>0</v>
      </c>
      <c r="F71" s="47">
        <v>0</v>
      </c>
      <c r="G71" s="47">
        <v>0</v>
      </c>
      <c r="H71" s="47">
        <f>SUM(I71:J71)</f>
        <v>224</v>
      </c>
      <c r="I71" s="47">
        <v>224</v>
      </c>
      <c r="J71" s="47">
        <v>0</v>
      </c>
      <c r="K71" s="266" t="s">
        <v>102</v>
      </c>
    </row>
    <row r="72" spans="2:11" ht="15.75" customHeight="1" thickBot="1" x14ac:dyDescent="0.25">
      <c r="B72" s="47">
        <f>SUM(C72:D72)</f>
        <v>268</v>
      </c>
      <c r="C72" s="47">
        <f t="shared" si="24"/>
        <v>96</v>
      </c>
      <c r="D72" s="47">
        <f t="shared" si="24"/>
        <v>172</v>
      </c>
      <c r="E72" s="47">
        <f>SUM(F72:G72)</f>
        <v>0</v>
      </c>
      <c r="F72" s="47">
        <v>0</v>
      </c>
      <c r="G72" s="47">
        <v>0</v>
      </c>
      <c r="H72" s="47">
        <f>SUM(I72:J72)</f>
        <v>268</v>
      </c>
      <c r="I72" s="47">
        <v>96</v>
      </c>
      <c r="J72" s="47">
        <v>172</v>
      </c>
      <c r="K72" s="266" t="s">
        <v>103</v>
      </c>
    </row>
    <row r="73" spans="2:11" ht="15.75" customHeight="1" thickBot="1" x14ac:dyDescent="0.25">
      <c r="B73" s="47">
        <f>SUM(C73:D73)</f>
        <v>811</v>
      </c>
      <c r="C73" s="47">
        <f t="shared" si="24"/>
        <v>382</v>
      </c>
      <c r="D73" s="47">
        <f t="shared" si="24"/>
        <v>429</v>
      </c>
      <c r="E73" s="47">
        <f>SUM(F73:G73)</f>
        <v>0</v>
      </c>
      <c r="F73" s="47">
        <v>0</v>
      </c>
      <c r="G73" s="47">
        <v>0</v>
      </c>
      <c r="H73" s="47">
        <f>SUM(I73:J73)</f>
        <v>811</v>
      </c>
      <c r="I73" s="47">
        <v>382</v>
      </c>
      <c r="J73" s="47">
        <v>429</v>
      </c>
      <c r="K73" s="266" t="s">
        <v>189</v>
      </c>
    </row>
    <row r="74" spans="2:11" ht="15.75" customHeight="1" thickBot="1" x14ac:dyDescent="0.25">
      <c r="B74" s="47">
        <f t="shared" ref="B74:J74" si="25">SUM(B71:B73)</f>
        <v>1303</v>
      </c>
      <c r="C74" s="47">
        <f t="shared" si="25"/>
        <v>702</v>
      </c>
      <c r="D74" s="47">
        <f t="shared" si="25"/>
        <v>601</v>
      </c>
      <c r="E74" s="47">
        <f t="shared" si="25"/>
        <v>0</v>
      </c>
      <c r="F74" s="47">
        <f t="shared" si="25"/>
        <v>0</v>
      </c>
      <c r="G74" s="47">
        <f t="shared" si="25"/>
        <v>0</v>
      </c>
      <c r="H74" s="47">
        <f t="shared" si="25"/>
        <v>1303</v>
      </c>
      <c r="I74" s="47">
        <f t="shared" si="25"/>
        <v>702</v>
      </c>
      <c r="J74" s="47">
        <f t="shared" si="25"/>
        <v>601</v>
      </c>
      <c r="K74" s="187" t="s">
        <v>188</v>
      </c>
    </row>
    <row r="75" spans="2:11" ht="15.75" customHeight="1" thickBot="1" x14ac:dyDescent="0.25">
      <c r="B75" s="476" t="s">
        <v>4</v>
      </c>
      <c r="C75" s="476"/>
      <c r="D75" s="476"/>
      <c r="E75" s="476" t="s">
        <v>145</v>
      </c>
      <c r="F75" s="476"/>
      <c r="G75" s="476"/>
      <c r="H75" s="476" t="s">
        <v>146</v>
      </c>
      <c r="I75" s="476"/>
      <c r="J75" s="476"/>
      <c r="K75" s="202" t="s">
        <v>66</v>
      </c>
    </row>
    <row r="76" spans="2:11" ht="15.75" customHeight="1" thickBot="1" x14ac:dyDescent="0.25">
      <c r="B76" s="185" t="s">
        <v>227</v>
      </c>
      <c r="C76" s="185" t="s">
        <v>10</v>
      </c>
      <c r="D76" s="185" t="s">
        <v>9</v>
      </c>
      <c r="E76" s="185" t="s">
        <v>227</v>
      </c>
      <c r="F76" s="185" t="s">
        <v>10</v>
      </c>
      <c r="G76" s="185" t="s">
        <v>9</v>
      </c>
      <c r="H76" s="185" t="s">
        <v>227</v>
      </c>
      <c r="I76" s="185" t="s">
        <v>10</v>
      </c>
      <c r="J76" s="185" t="s">
        <v>9</v>
      </c>
      <c r="K76" s="187" t="s">
        <v>77</v>
      </c>
    </row>
    <row r="77" spans="2:11" ht="15.75" customHeight="1" thickBot="1" x14ac:dyDescent="0.25">
      <c r="B77" s="47">
        <f>SUM(C77:D77)</f>
        <v>146</v>
      </c>
      <c r="C77" s="47">
        <f>I77+F77</f>
        <v>0</v>
      </c>
      <c r="D77" s="47">
        <f>J77+G77</f>
        <v>146</v>
      </c>
      <c r="E77" s="47">
        <v>0</v>
      </c>
      <c r="F77" s="47">
        <v>0</v>
      </c>
      <c r="G77" s="47">
        <v>0</v>
      </c>
      <c r="H77" s="47">
        <v>146</v>
      </c>
      <c r="I77" s="47">
        <v>0</v>
      </c>
      <c r="J77" s="47">
        <v>146</v>
      </c>
      <c r="K77" s="266" t="s">
        <v>274</v>
      </c>
    </row>
    <row r="78" spans="2:11" ht="15.75" customHeight="1" thickBot="1" x14ac:dyDescent="0.25">
      <c r="B78" s="47">
        <f>SUM(C78:D78)</f>
        <v>200</v>
      </c>
      <c r="C78" s="47">
        <f>I78+F78</f>
        <v>200</v>
      </c>
      <c r="D78" s="47">
        <f>J78+G78</f>
        <v>0</v>
      </c>
      <c r="E78" s="47">
        <v>0</v>
      </c>
      <c r="F78" s="47">
        <v>0</v>
      </c>
      <c r="G78" s="47">
        <v>0</v>
      </c>
      <c r="H78" s="47">
        <v>200</v>
      </c>
      <c r="I78" s="47">
        <v>200</v>
      </c>
      <c r="J78" s="47">
        <v>0</v>
      </c>
      <c r="K78" s="266" t="s">
        <v>104</v>
      </c>
    </row>
    <row r="79" spans="2:11" ht="15.75" customHeight="1" thickBot="1" x14ac:dyDescent="0.25">
      <c r="B79" s="47">
        <f t="shared" ref="B79:J79" si="26">SUM(B77:B78)</f>
        <v>346</v>
      </c>
      <c r="C79" s="47">
        <f t="shared" si="26"/>
        <v>200</v>
      </c>
      <c r="D79" s="47">
        <f t="shared" si="26"/>
        <v>146</v>
      </c>
      <c r="E79" s="47">
        <f t="shared" si="26"/>
        <v>0</v>
      </c>
      <c r="F79" s="47">
        <f t="shared" si="26"/>
        <v>0</v>
      </c>
      <c r="G79" s="47">
        <f t="shared" si="26"/>
        <v>0</v>
      </c>
      <c r="H79" s="47">
        <f t="shared" si="26"/>
        <v>346</v>
      </c>
      <c r="I79" s="47">
        <f t="shared" si="26"/>
        <v>200</v>
      </c>
      <c r="J79" s="47">
        <f t="shared" si="26"/>
        <v>146</v>
      </c>
      <c r="K79" s="187" t="s">
        <v>188</v>
      </c>
    </row>
    <row r="80" spans="2:11" ht="15.75" customHeight="1" thickBot="1" x14ac:dyDescent="0.25">
      <c r="B80" s="476" t="s">
        <v>4</v>
      </c>
      <c r="C80" s="476"/>
      <c r="D80" s="476"/>
      <c r="E80" s="476" t="s">
        <v>145</v>
      </c>
      <c r="F80" s="476"/>
      <c r="G80" s="476"/>
      <c r="H80" s="476" t="s">
        <v>146</v>
      </c>
      <c r="I80" s="476"/>
      <c r="J80" s="476"/>
      <c r="K80" s="202" t="s">
        <v>66</v>
      </c>
    </row>
    <row r="81" spans="2:11" ht="15.75" customHeight="1" thickBot="1" x14ac:dyDescent="0.25">
      <c r="B81" s="185" t="s">
        <v>227</v>
      </c>
      <c r="C81" s="185" t="s">
        <v>10</v>
      </c>
      <c r="D81" s="185" t="s">
        <v>9</v>
      </c>
      <c r="E81" s="185" t="s">
        <v>227</v>
      </c>
      <c r="F81" s="185" t="s">
        <v>10</v>
      </c>
      <c r="G81" s="185" t="s">
        <v>9</v>
      </c>
      <c r="H81" s="185" t="s">
        <v>227</v>
      </c>
      <c r="I81" s="185" t="s">
        <v>10</v>
      </c>
      <c r="J81" s="185" t="s">
        <v>9</v>
      </c>
      <c r="K81" s="187" t="s">
        <v>111</v>
      </c>
    </row>
    <row r="82" spans="2:11" ht="15.75" customHeight="1" thickBot="1" x14ac:dyDescent="0.25">
      <c r="B82" s="47">
        <f t="shared" ref="B82:B88" si="27">SUM(C82:D82)</f>
        <v>187</v>
      </c>
      <c r="C82" s="47">
        <f t="shared" ref="C82:D88" si="28">I82+F82</f>
        <v>0</v>
      </c>
      <c r="D82" s="47">
        <f t="shared" si="28"/>
        <v>187</v>
      </c>
      <c r="E82" s="47">
        <f t="shared" ref="E82:E87" si="29">SUM(F82:G82)</f>
        <v>0</v>
      </c>
      <c r="F82" s="47">
        <v>0</v>
      </c>
      <c r="G82" s="47">
        <v>0</v>
      </c>
      <c r="H82" s="47">
        <f t="shared" ref="H82:H87" si="30">SUM(I82:J82)</f>
        <v>187</v>
      </c>
      <c r="I82" s="47">
        <v>0</v>
      </c>
      <c r="J82" s="47">
        <f>87+100</f>
        <v>187</v>
      </c>
      <c r="K82" s="266" t="s">
        <v>110</v>
      </c>
    </row>
    <row r="83" spans="2:11" ht="15.75" customHeight="1" thickBot="1" x14ac:dyDescent="0.25">
      <c r="B83" s="47">
        <f t="shared" si="27"/>
        <v>88</v>
      </c>
      <c r="C83" s="47">
        <f t="shared" si="28"/>
        <v>88</v>
      </c>
      <c r="D83" s="47">
        <f t="shared" si="28"/>
        <v>0</v>
      </c>
      <c r="E83" s="47">
        <f t="shared" si="29"/>
        <v>0</v>
      </c>
      <c r="F83" s="47">
        <v>0</v>
      </c>
      <c r="G83" s="47">
        <v>0</v>
      </c>
      <c r="H83" s="47">
        <f t="shared" si="30"/>
        <v>88</v>
      </c>
      <c r="I83" s="47">
        <v>88</v>
      </c>
      <c r="J83" s="47">
        <v>0</v>
      </c>
      <c r="K83" s="266" t="s">
        <v>112</v>
      </c>
    </row>
    <row r="84" spans="2:11" ht="15.75" customHeight="1" thickBot="1" x14ac:dyDescent="0.25">
      <c r="B84" s="47">
        <f t="shared" si="27"/>
        <v>67</v>
      </c>
      <c r="C84" s="47">
        <f t="shared" si="28"/>
        <v>67</v>
      </c>
      <c r="D84" s="47">
        <f t="shared" si="28"/>
        <v>0</v>
      </c>
      <c r="E84" s="47">
        <f t="shared" si="29"/>
        <v>0</v>
      </c>
      <c r="F84" s="47">
        <v>0</v>
      </c>
      <c r="G84" s="47">
        <v>0</v>
      </c>
      <c r="H84" s="47">
        <f t="shared" si="30"/>
        <v>67</v>
      </c>
      <c r="I84" s="47">
        <v>67</v>
      </c>
      <c r="J84" s="47">
        <v>0</v>
      </c>
      <c r="K84" s="266" t="s">
        <v>113</v>
      </c>
    </row>
    <row r="85" spans="2:11" ht="15.75" customHeight="1" thickBot="1" x14ac:dyDescent="0.25">
      <c r="B85" s="47">
        <f t="shared" si="27"/>
        <v>65</v>
      </c>
      <c r="C85" s="47">
        <f t="shared" si="28"/>
        <v>65</v>
      </c>
      <c r="D85" s="47">
        <f t="shared" si="28"/>
        <v>0</v>
      </c>
      <c r="E85" s="47">
        <f t="shared" si="29"/>
        <v>0</v>
      </c>
      <c r="F85" s="47">
        <v>0</v>
      </c>
      <c r="G85" s="47">
        <v>0</v>
      </c>
      <c r="H85" s="47">
        <f t="shared" si="30"/>
        <v>65</v>
      </c>
      <c r="I85" s="47">
        <v>65</v>
      </c>
      <c r="J85" s="47">
        <v>0</v>
      </c>
      <c r="K85" s="266" t="s">
        <v>276</v>
      </c>
    </row>
    <row r="86" spans="2:11" ht="15.75" customHeight="1" thickBot="1" x14ac:dyDescent="0.25">
      <c r="B86" s="47">
        <f t="shared" si="27"/>
        <v>207</v>
      </c>
      <c r="C86" s="47">
        <f t="shared" si="28"/>
        <v>0</v>
      </c>
      <c r="D86" s="47">
        <f t="shared" si="28"/>
        <v>207</v>
      </c>
      <c r="E86" s="47">
        <f t="shared" si="29"/>
        <v>0</v>
      </c>
      <c r="F86" s="47">
        <v>0</v>
      </c>
      <c r="G86" s="47">
        <v>0</v>
      </c>
      <c r="H86" s="47">
        <f t="shared" si="30"/>
        <v>207</v>
      </c>
      <c r="I86" s="47">
        <v>0</v>
      </c>
      <c r="J86" s="47">
        <f>97+110</f>
        <v>207</v>
      </c>
      <c r="K86" s="266" t="s">
        <v>627</v>
      </c>
    </row>
    <row r="87" spans="2:11" ht="15.75" customHeight="1" thickBot="1" x14ac:dyDescent="0.25">
      <c r="B87" s="47">
        <f t="shared" si="27"/>
        <v>74</v>
      </c>
      <c r="C87" s="47">
        <f t="shared" si="28"/>
        <v>74</v>
      </c>
      <c r="D87" s="47">
        <f t="shared" si="28"/>
        <v>0</v>
      </c>
      <c r="E87" s="47">
        <f t="shared" si="29"/>
        <v>0</v>
      </c>
      <c r="F87" s="47">
        <v>0</v>
      </c>
      <c r="G87" s="47">
        <v>0</v>
      </c>
      <c r="H87" s="47">
        <f t="shared" si="30"/>
        <v>74</v>
      </c>
      <c r="I87" s="47">
        <v>74</v>
      </c>
      <c r="J87" s="47">
        <v>0</v>
      </c>
      <c r="K87" s="266" t="s">
        <v>278</v>
      </c>
    </row>
    <row r="88" spans="2:11" ht="15.75" customHeight="1" thickBot="1" x14ac:dyDescent="0.25">
      <c r="B88" s="47">
        <f t="shared" si="27"/>
        <v>688</v>
      </c>
      <c r="C88" s="47">
        <f t="shared" si="28"/>
        <v>294</v>
      </c>
      <c r="D88" s="47">
        <f t="shared" si="28"/>
        <v>394</v>
      </c>
      <c r="E88" s="47">
        <f t="shared" ref="E88:J88" si="31">SUM(E82:E87)</f>
        <v>0</v>
      </c>
      <c r="F88" s="47">
        <f t="shared" si="31"/>
        <v>0</v>
      </c>
      <c r="G88" s="47">
        <f t="shared" si="31"/>
        <v>0</v>
      </c>
      <c r="H88" s="47">
        <f t="shared" si="31"/>
        <v>688</v>
      </c>
      <c r="I88" s="47">
        <f t="shared" si="31"/>
        <v>294</v>
      </c>
      <c r="J88" s="47">
        <f t="shared" si="31"/>
        <v>394</v>
      </c>
      <c r="K88" s="187" t="s">
        <v>188</v>
      </c>
    </row>
    <row r="89" spans="2:11" ht="15.75" customHeight="1" thickBot="1" x14ac:dyDescent="0.25">
      <c r="B89" s="476" t="s">
        <v>4</v>
      </c>
      <c r="C89" s="476"/>
      <c r="D89" s="476"/>
      <c r="E89" s="476" t="s">
        <v>145</v>
      </c>
      <c r="F89" s="476"/>
      <c r="G89" s="476"/>
      <c r="H89" s="476" t="s">
        <v>146</v>
      </c>
      <c r="I89" s="476"/>
      <c r="J89" s="476"/>
      <c r="K89" s="202" t="s">
        <v>66</v>
      </c>
    </row>
    <row r="90" spans="2:11" ht="15.75" customHeight="1" thickBot="1" x14ac:dyDescent="0.25">
      <c r="B90" s="185" t="s">
        <v>227</v>
      </c>
      <c r="C90" s="185" t="s">
        <v>10</v>
      </c>
      <c r="D90" s="185" t="s">
        <v>9</v>
      </c>
      <c r="E90" s="185" t="s">
        <v>227</v>
      </c>
      <c r="F90" s="185" t="s">
        <v>10</v>
      </c>
      <c r="G90" s="185" t="s">
        <v>9</v>
      </c>
      <c r="H90" s="185" t="s">
        <v>227</v>
      </c>
      <c r="I90" s="185" t="s">
        <v>10</v>
      </c>
      <c r="J90" s="185" t="s">
        <v>9</v>
      </c>
      <c r="K90" s="187" t="s">
        <v>106</v>
      </c>
    </row>
    <row r="91" spans="2:11" ht="15.75" customHeight="1" thickBot="1" x14ac:dyDescent="0.25">
      <c r="B91" s="185">
        <f>SUM(C91:D91)</f>
        <v>355</v>
      </c>
      <c r="C91" s="185">
        <f t="shared" ref="C91:D94" si="32">I91+F91</f>
        <v>0</v>
      </c>
      <c r="D91" s="185">
        <f t="shared" si="32"/>
        <v>355</v>
      </c>
      <c r="E91" s="185">
        <f>SUM(F91:G91)</f>
        <v>0</v>
      </c>
      <c r="F91" s="185">
        <v>0</v>
      </c>
      <c r="G91" s="185">
        <v>0</v>
      </c>
      <c r="H91" s="185">
        <f>SUM(I91:J91)</f>
        <v>355</v>
      </c>
      <c r="I91" s="185">
        <v>0</v>
      </c>
      <c r="J91" s="185">
        <f>75+280</f>
        <v>355</v>
      </c>
      <c r="K91" s="78" t="s">
        <v>105</v>
      </c>
    </row>
    <row r="92" spans="2:11" ht="15.75" customHeight="1" thickBot="1" x14ac:dyDescent="0.25">
      <c r="B92" s="185">
        <f>SUM(C92:D92)</f>
        <v>78</v>
      </c>
      <c r="C92" s="185">
        <f t="shared" si="32"/>
        <v>0</v>
      </c>
      <c r="D92" s="185">
        <f t="shared" si="32"/>
        <v>78</v>
      </c>
      <c r="E92" s="185">
        <f>SUM(F92:G92)</f>
        <v>0</v>
      </c>
      <c r="F92" s="185">
        <v>0</v>
      </c>
      <c r="G92" s="185">
        <v>0</v>
      </c>
      <c r="H92" s="185">
        <f>SUM(I92:J92)</f>
        <v>78</v>
      </c>
      <c r="I92" s="185">
        <v>0</v>
      </c>
      <c r="J92" s="185">
        <v>78</v>
      </c>
      <c r="K92" s="78" t="s">
        <v>256</v>
      </c>
    </row>
    <row r="93" spans="2:11" ht="15.75" customHeight="1" thickBot="1" x14ac:dyDescent="0.25">
      <c r="B93" s="185">
        <f>SUM(C93:D93)</f>
        <v>310</v>
      </c>
      <c r="C93" s="185">
        <f t="shared" si="32"/>
        <v>202</v>
      </c>
      <c r="D93" s="185">
        <f t="shared" si="32"/>
        <v>108</v>
      </c>
      <c r="E93" s="185">
        <f>SUM(F93:G93)</f>
        <v>0</v>
      </c>
      <c r="F93" s="185">
        <v>0</v>
      </c>
      <c r="G93" s="185">
        <v>0</v>
      </c>
      <c r="H93" s="185">
        <f>SUM(I93:J93)</f>
        <v>310</v>
      </c>
      <c r="I93" s="185">
        <f>152+50</f>
        <v>202</v>
      </c>
      <c r="J93" s="185">
        <v>108</v>
      </c>
      <c r="K93" s="78" t="s">
        <v>280</v>
      </c>
    </row>
    <row r="94" spans="2:11" ht="15.75" customHeight="1" thickBot="1" x14ac:dyDescent="0.25">
      <c r="B94" s="185">
        <f>SUM(C94:D94)</f>
        <v>271</v>
      </c>
      <c r="C94" s="185">
        <f t="shared" si="32"/>
        <v>271</v>
      </c>
      <c r="D94" s="185">
        <f t="shared" si="32"/>
        <v>0</v>
      </c>
      <c r="E94" s="185">
        <f>SUM(F94:G94)</f>
        <v>0</v>
      </c>
      <c r="F94" s="185">
        <v>0</v>
      </c>
      <c r="G94" s="185">
        <v>0</v>
      </c>
      <c r="H94" s="185">
        <f>SUM(I94:J94)</f>
        <v>271</v>
      </c>
      <c r="I94" s="185">
        <f>221+50</f>
        <v>271</v>
      </c>
      <c r="J94" s="185">
        <v>0</v>
      </c>
      <c r="K94" s="78" t="s">
        <v>107</v>
      </c>
    </row>
    <row r="95" spans="2:11" ht="15.75" customHeight="1" thickBot="1" x14ac:dyDescent="0.25">
      <c r="B95" s="185">
        <f t="shared" ref="B95:J95" si="33">SUM(B91:B94)</f>
        <v>1014</v>
      </c>
      <c r="C95" s="185">
        <f t="shared" si="33"/>
        <v>473</v>
      </c>
      <c r="D95" s="185">
        <f t="shared" si="33"/>
        <v>541</v>
      </c>
      <c r="E95" s="185">
        <f t="shared" si="33"/>
        <v>0</v>
      </c>
      <c r="F95" s="185">
        <f t="shared" si="33"/>
        <v>0</v>
      </c>
      <c r="G95" s="185">
        <f t="shared" si="33"/>
        <v>0</v>
      </c>
      <c r="H95" s="185">
        <f t="shared" si="33"/>
        <v>1014</v>
      </c>
      <c r="I95" s="185">
        <f t="shared" si="33"/>
        <v>473</v>
      </c>
      <c r="J95" s="185">
        <f t="shared" si="33"/>
        <v>541</v>
      </c>
      <c r="K95" s="187" t="s">
        <v>188</v>
      </c>
    </row>
    <row r="96" spans="2:11" ht="15.75" customHeight="1" thickBot="1" x14ac:dyDescent="0.25">
      <c r="B96" s="476" t="s">
        <v>4</v>
      </c>
      <c r="C96" s="476"/>
      <c r="D96" s="476"/>
      <c r="E96" s="476" t="s">
        <v>145</v>
      </c>
      <c r="F96" s="476"/>
      <c r="G96" s="476"/>
      <c r="H96" s="476" t="s">
        <v>146</v>
      </c>
      <c r="I96" s="476"/>
      <c r="J96" s="476"/>
      <c r="K96" s="202" t="s">
        <v>66</v>
      </c>
    </row>
    <row r="97" spans="2:11" ht="15.75" customHeight="1" thickBot="1" x14ac:dyDescent="0.25">
      <c r="B97" s="185" t="s">
        <v>227</v>
      </c>
      <c r="C97" s="185" t="s">
        <v>10</v>
      </c>
      <c r="D97" s="185" t="s">
        <v>9</v>
      </c>
      <c r="E97" s="185" t="s">
        <v>227</v>
      </c>
      <c r="F97" s="185" t="s">
        <v>10</v>
      </c>
      <c r="G97" s="185" t="s">
        <v>9</v>
      </c>
      <c r="H97" s="185" t="s">
        <v>227</v>
      </c>
      <c r="I97" s="185" t="s">
        <v>10</v>
      </c>
      <c r="J97" s="185" t="s">
        <v>9</v>
      </c>
      <c r="K97" s="187" t="s">
        <v>109</v>
      </c>
    </row>
    <row r="98" spans="2:11" ht="15.75" customHeight="1" thickBot="1" x14ac:dyDescent="0.25">
      <c r="B98" s="47">
        <f>SUM(C98:D98)</f>
        <v>113</v>
      </c>
      <c r="C98" s="47">
        <f t="shared" ref="C98:D100" si="34">I98+F98</f>
        <v>0</v>
      </c>
      <c r="D98" s="47">
        <f t="shared" si="34"/>
        <v>113</v>
      </c>
      <c r="E98" s="47">
        <f>SUM(F98:G98)</f>
        <v>0</v>
      </c>
      <c r="F98" s="47">
        <v>0</v>
      </c>
      <c r="G98" s="47">
        <v>0</v>
      </c>
      <c r="H98" s="47">
        <f>SUM(I98:J98)</f>
        <v>113</v>
      </c>
      <c r="I98" s="47">
        <v>0</v>
      </c>
      <c r="J98" s="47">
        <f>3+110</f>
        <v>113</v>
      </c>
      <c r="K98" s="266" t="s">
        <v>281</v>
      </c>
    </row>
    <row r="99" spans="2:11" ht="15.75" customHeight="1" thickBot="1" x14ac:dyDescent="0.25">
      <c r="B99" s="47">
        <f>SUM(C99:D99)</f>
        <v>68</v>
      </c>
      <c r="C99" s="47">
        <f t="shared" si="34"/>
        <v>53</v>
      </c>
      <c r="D99" s="47">
        <f t="shared" si="34"/>
        <v>15</v>
      </c>
      <c r="E99" s="47">
        <f>SUM(F99:G99)</f>
        <v>0</v>
      </c>
      <c r="F99" s="47">
        <v>0</v>
      </c>
      <c r="G99" s="47">
        <v>0</v>
      </c>
      <c r="H99" s="47">
        <f>SUM(I99:J99)</f>
        <v>68</v>
      </c>
      <c r="I99" s="47">
        <v>53</v>
      </c>
      <c r="J99" s="47">
        <v>15</v>
      </c>
      <c r="K99" s="266" t="s">
        <v>280</v>
      </c>
    </row>
    <row r="100" spans="2:11" ht="15.75" customHeight="1" thickBot="1" x14ac:dyDescent="0.25">
      <c r="B100" s="47">
        <f>SUM(C100:D100)</f>
        <v>25</v>
      </c>
      <c r="C100" s="47">
        <f t="shared" si="34"/>
        <v>25</v>
      </c>
      <c r="D100" s="47">
        <f t="shared" si="34"/>
        <v>0</v>
      </c>
      <c r="E100" s="47">
        <f>SUM(F100:G100)</f>
        <v>0</v>
      </c>
      <c r="F100" s="47">
        <v>0</v>
      </c>
      <c r="G100" s="47">
        <v>0</v>
      </c>
      <c r="H100" s="47">
        <f>SUM(I100:J100)</f>
        <v>25</v>
      </c>
      <c r="I100" s="47">
        <v>25</v>
      </c>
      <c r="J100" s="47">
        <v>0</v>
      </c>
      <c r="K100" s="286" t="s">
        <v>704</v>
      </c>
    </row>
    <row r="101" spans="2:11" ht="15.75" customHeight="1" thickBot="1" x14ac:dyDescent="0.25">
      <c r="B101" s="47">
        <f t="shared" ref="B101:J101" si="35">SUM(B98:B100)</f>
        <v>206</v>
      </c>
      <c r="C101" s="47">
        <f t="shared" si="35"/>
        <v>78</v>
      </c>
      <c r="D101" s="47">
        <f t="shared" si="35"/>
        <v>128</v>
      </c>
      <c r="E101" s="47">
        <f t="shared" si="35"/>
        <v>0</v>
      </c>
      <c r="F101" s="47">
        <f t="shared" si="35"/>
        <v>0</v>
      </c>
      <c r="G101" s="47">
        <f t="shared" si="35"/>
        <v>0</v>
      </c>
      <c r="H101" s="47">
        <f t="shared" si="35"/>
        <v>206</v>
      </c>
      <c r="I101" s="47">
        <f t="shared" si="35"/>
        <v>78</v>
      </c>
      <c r="J101" s="47">
        <f t="shared" si="35"/>
        <v>128</v>
      </c>
      <c r="K101" s="187" t="s">
        <v>188</v>
      </c>
    </row>
    <row r="102" spans="2:11" ht="15.75" customHeight="1" thickBot="1" x14ac:dyDescent="0.25">
      <c r="B102" s="476" t="s">
        <v>4</v>
      </c>
      <c r="C102" s="476"/>
      <c r="D102" s="476"/>
      <c r="E102" s="476" t="s">
        <v>145</v>
      </c>
      <c r="F102" s="476"/>
      <c r="G102" s="476"/>
      <c r="H102" s="476" t="s">
        <v>146</v>
      </c>
      <c r="I102" s="476"/>
      <c r="J102" s="476"/>
      <c r="K102" s="202" t="s">
        <v>66</v>
      </c>
    </row>
    <row r="103" spans="2:11" ht="15.75" customHeight="1" thickBot="1" x14ac:dyDescent="0.25">
      <c r="B103" s="185" t="s">
        <v>227</v>
      </c>
      <c r="C103" s="185" t="s">
        <v>10</v>
      </c>
      <c r="D103" s="185" t="s">
        <v>9</v>
      </c>
      <c r="E103" s="185" t="s">
        <v>227</v>
      </c>
      <c r="F103" s="185" t="s">
        <v>10</v>
      </c>
      <c r="G103" s="185" t="s">
        <v>9</v>
      </c>
      <c r="H103" s="185" t="s">
        <v>227</v>
      </c>
      <c r="I103" s="185" t="s">
        <v>10</v>
      </c>
      <c r="J103" s="185" t="s">
        <v>9</v>
      </c>
      <c r="K103" s="187" t="s">
        <v>115</v>
      </c>
    </row>
    <row r="104" spans="2:11" ht="15.75" customHeight="1" thickBot="1" x14ac:dyDescent="0.25">
      <c r="B104" s="47">
        <f>D104+C104</f>
        <v>493</v>
      </c>
      <c r="C104" s="47">
        <f t="shared" ref="C104:D106" si="36">I104+F104</f>
        <v>272</v>
      </c>
      <c r="D104" s="47">
        <f t="shared" si="36"/>
        <v>221</v>
      </c>
      <c r="E104" s="47">
        <f>SUM(F104:G104)</f>
        <v>0</v>
      </c>
      <c r="F104" s="47">
        <v>0</v>
      </c>
      <c r="G104" s="47">
        <v>0</v>
      </c>
      <c r="H104" s="47">
        <f>SUM(I104:J104)</f>
        <v>493</v>
      </c>
      <c r="I104" s="47">
        <f>222+50</f>
        <v>272</v>
      </c>
      <c r="J104" s="47">
        <f>101+120</f>
        <v>221</v>
      </c>
      <c r="K104" s="266" t="s">
        <v>114</v>
      </c>
    </row>
    <row r="105" spans="2:11" ht="15.75" customHeight="1" thickBot="1" x14ac:dyDescent="0.25">
      <c r="B105" s="47">
        <f>D105+C105</f>
        <v>263</v>
      </c>
      <c r="C105" s="47">
        <f t="shared" si="36"/>
        <v>158</v>
      </c>
      <c r="D105" s="47">
        <f t="shared" si="36"/>
        <v>105</v>
      </c>
      <c r="E105" s="47">
        <f>SUM(F105:G105)</f>
        <v>0</v>
      </c>
      <c r="F105" s="47">
        <v>0</v>
      </c>
      <c r="G105" s="47">
        <v>0</v>
      </c>
      <c r="H105" s="47">
        <f>SUM(I105:J105)</f>
        <v>263</v>
      </c>
      <c r="I105" s="47">
        <f>108+50</f>
        <v>158</v>
      </c>
      <c r="J105" s="47">
        <v>105</v>
      </c>
      <c r="K105" s="266" t="s">
        <v>280</v>
      </c>
    </row>
    <row r="106" spans="2:11" ht="15.75" customHeight="1" thickBot="1" x14ac:dyDescent="0.25">
      <c r="B106" s="47">
        <f>D106+C106</f>
        <v>756</v>
      </c>
      <c r="C106" s="47">
        <f t="shared" si="36"/>
        <v>430</v>
      </c>
      <c r="D106" s="47">
        <f t="shared" si="36"/>
        <v>326</v>
      </c>
      <c r="E106" s="47">
        <f t="shared" ref="E106:J106" si="37">SUM(E104:E105)</f>
        <v>0</v>
      </c>
      <c r="F106" s="47">
        <f t="shared" si="37"/>
        <v>0</v>
      </c>
      <c r="G106" s="47">
        <f t="shared" si="37"/>
        <v>0</v>
      </c>
      <c r="H106" s="47">
        <f t="shared" si="37"/>
        <v>756</v>
      </c>
      <c r="I106" s="47">
        <f t="shared" si="37"/>
        <v>430</v>
      </c>
      <c r="J106" s="47">
        <f t="shared" si="37"/>
        <v>326</v>
      </c>
      <c r="K106" s="187" t="s">
        <v>188</v>
      </c>
    </row>
    <row r="107" spans="2:11" ht="15.75" customHeight="1" thickBot="1" x14ac:dyDescent="0.25">
      <c r="B107" s="476" t="s">
        <v>4</v>
      </c>
      <c r="C107" s="476"/>
      <c r="D107" s="476"/>
      <c r="E107" s="476" t="s">
        <v>145</v>
      </c>
      <c r="F107" s="476"/>
      <c r="G107" s="476"/>
      <c r="H107" s="476" t="s">
        <v>146</v>
      </c>
      <c r="I107" s="476"/>
      <c r="J107" s="476"/>
      <c r="K107" s="202" t="s">
        <v>66</v>
      </c>
    </row>
    <row r="108" spans="2:11" ht="15.75" customHeight="1" thickBot="1" x14ac:dyDescent="0.25">
      <c r="B108" s="185" t="s">
        <v>227</v>
      </c>
      <c r="C108" s="185" t="s">
        <v>10</v>
      </c>
      <c r="D108" s="185" t="s">
        <v>9</v>
      </c>
      <c r="E108" s="185" t="s">
        <v>227</v>
      </c>
      <c r="F108" s="185" t="s">
        <v>10</v>
      </c>
      <c r="G108" s="185" t="s">
        <v>9</v>
      </c>
      <c r="H108" s="185" t="s">
        <v>227</v>
      </c>
      <c r="I108" s="185" t="s">
        <v>10</v>
      </c>
      <c r="J108" s="185" t="s">
        <v>9</v>
      </c>
      <c r="K108" s="187" t="s">
        <v>117</v>
      </c>
    </row>
    <row r="109" spans="2:11" ht="15.75" customHeight="1" thickBot="1" x14ac:dyDescent="0.25">
      <c r="B109" s="47">
        <f>SUM(C109:D109)</f>
        <v>133</v>
      </c>
      <c r="C109" s="47">
        <f>I109+F109</f>
        <v>0</v>
      </c>
      <c r="D109" s="47">
        <f>J109+G109</f>
        <v>133</v>
      </c>
      <c r="E109" s="47">
        <f>SUM(F109:G109)</f>
        <v>0</v>
      </c>
      <c r="F109" s="47">
        <v>0</v>
      </c>
      <c r="G109" s="47">
        <v>0</v>
      </c>
      <c r="H109" s="47">
        <f>SUM(I109:J109)</f>
        <v>133</v>
      </c>
      <c r="I109" s="47">
        <v>0</v>
      </c>
      <c r="J109" s="47">
        <f>63+70</f>
        <v>133</v>
      </c>
      <c r="K109" s="266" t="s">
        <v>116</v>
      </c>
    </row>
    <row r="110" spans="2:11" ht="15.75" customHeight="1" thickBot="1" x14ac:dyDescent="0.25">
      <c r="B110" s="47">
        <f>SUM(C110:D110)</f>
        <v>130</v>
      </c>
      <c r="C110" s="47">
        <f>I110+F110</f>
        <v>130</v>
      </c>
      <c r="D110" s="47">
        <f>J110+G110</f>
        <v>0</v>
      </c>
      <c r="E110" s="47">
        <f>SUM(F110:G110)</f>
        <v>0</v>
      </c>
      <c r="F110" s="47">
        <v>0</v>
      </c>
      <c r="G110" s="47">
        <v>0</v>
      </c>
      <c r="H110" s="47">
        <f>SUM(I110:J110)</f>
        <v>130</v>
      </c>
      <c r="I110" s="47">
        <f>30+100</f>
        <v>130</v>
      </c>
      <c r="J110" s="47">
        <v>0</v>
      </c>
      <c r="K110" s="266" t="s">
        <v>118</v>
      </c>
    </row>
    <row r="111" spans="2:11" ht="15.75" customHeight="1" thickBot="1" x14ac:dyDescent="0.25">
      <c r="B111" s="47">
        <f t="shared" ref="B111:J111" si="38">SUM(B109:B110)</f>
        <v>263</v>
      </c>
      <c r="C111" s="47">
        <f t="shared" si="38"/>
        <v>130</v>
      </c>
      <c r="D111" s="47">
        <f t="shared" si="38"/>
        <v>133</v>
      </c>
      <c r="E111" s="47">
        <f t="shared" si="38"/>
        <v>0</v>
      </c>
      <c r="F111" s="47">
        <f t="shared" si="38"/>
        <v>0</v>
      </c>
      <c r="G111" s="47">
        <f t="shared" si="38"/>
        <v>0</v>
      </c>
      <c r="H111" s="47">
        <f t="shared" si="38"/>
        <v>263</v>
      </c>
      <c r="I111" s="47">
        <f t="shared" si="38"/>
        <v>130</v>
      </c>
      <c r="J111" s="47">
        <f t="shared" si="38"/>
        <v>133</v>
      </c>
      <c r="K111" s="187" t="s">
        <v>188</v>
      </c>
    </row>
    <row r="112" spans="2:11" ht="15.75" customHeight="1" thickBot="1" x14ac:dyDescent="0.25">
      <c r="B112" s="476" t="s">
        <v>4</v>
      </c>
      <c r="C112" s="476"/>
      <c r="D112" s="476"/>
      <c r="E112" s="476" t="s">
        <v>145</v>
      </c>
      <c r="F112" s="476"/>
      <c r="G112" s="476"/>
      <c r="H112" s="476" t="s">
        <v>146</v>
      </c>
      <c r="I112" s="476"/>
      <c r="J112" s="476"/>
      <c r="K112" s="202" t="s">
        <v>66</v>
      </c>
    </row>
    <row r="113" spans="2:11" ht="15.75" customHeight="1" thickBot="1" x14ac:dyDescent="0.25">
      <c r="B113" s="185" t="s">
        <v>227</v>
      </c>
      <c r="C113" s="185" t="s">
        <v>10</v>
      </c>
      <c r="D113" s="185" t="s">
        <v>9</v>
      </c>
      <c r="E113" s="185" t="s">
        <v>227</v>
      </c>
      <c r="F113" s="185" t="s">
        <v>10</v>
      </c>
      <c r="G113" s="185" t="s">
        <v>9</v>
      </c>
      <c r="H113" s="185" t="s">
        <v>227</v>
      </c>
      <c r="I113" s="185" t="s">
        <v>10</v>
      </c>
      <c r="J113" s="185" t="s">
        <v>9</v>
      </c>
      <c r="K113" s="187" t="s">
        <v>119</v>
      </c>
    </row>
    <row r="114" spans="2:11" ht="15.75" customHeight="1" thickBot="1" x14ac:dyDescent="0.25">
      <c r="B114" s="47">
        <f>SUM(C114:D114)</f>
        <v>203</v>
      </c>
      <c r="C114" s="47">
        <f>I114+F114</f>
        <v>203</v>
      </c>
      <c r="D114" s="47">
        <f>J114+G114</f>
        <v>0</v>
      </c>
      <c r="E114" s="47">
        <f>SUM(F114:G114)</f>
        <v>0</v>
      </c>
      <c r="F114" s="47">
        <v>0</v>
      </c>
      <c r="G114" s="47">
        <v>0</v>
      </c>
      <c r="H114" s="47">
        <f>SUM(I114:J114)</f>
        <v>203</v>
      </c>
      <c r="I114" s="47">
        <f>103+100</f>
        <v>203</v>
      </c>
      <c r="J114" s="47">
        <v>0</v>
      </c>
      <c r="K114" s="266" t="s">
        <v>283</v>
      </c>
    </row>
    <row r="115" spans="2:11" ht="15.75" customHeight="1" thickBot="1" x14ac:dyDescent="0.25">
      <c r="B115" s="47">
        <f>SUM(C115:D115)</f>
        <v>114</v>
      </c>
      <c r="C115" s="47">
        <f>I115+F115</f>
        <v>0</v>
      </c>
      <c r="D115" s="47">
        <f>J115+G115</f>
        <v>114</v>
      </c>
      <c r="E115" s="47">
        <f>SUM(F115:G115)</f>
        <v>0</v>
      </c>
      <c r="F115" s="47">
        <v>0</v>
      </c>
      <c r="G115" s="47">
        <v>0</v>
      </c>
      <c r="H115" s="47">
        <f>SUM(I115:J115)</f>
        <v>114</v>
      </c>
      <c r="I115" s="47">
        <v>0</v>
      </c>
      <c r="J115" s="47">
        <f>44+70</f>
        <v>114</v>
      </c>
      <c r="K115" s="266" t="s">
        <v>284</v>
      </c>
    </row>
    <row r="116" spans="2:11" ht="15.75" customHeight="1" thickBot="1" x14ac:dyDescent="0.25">
      <c r="B116" s="47">
        <f t="shared" ref="B116:J116" si="39">SUM(B114:B115)</f>
        <v>317</v>
      </c>
      <c r="C116" s="47">
        <f t="shared" si="39"/>
        <v>203</v>
      </c>
      <c r="D116" s="47">
        <f t="shared" si="39"/>
        <v>114</v>
      </c>
      <c r="E116" s="47">
        <f t="shared" si="39"/>
        <v>0</v>
      </c>
      <c r="F116" s="47">
        <f t="shared" si="39"/>
        <v>0</v>
      </c>
      <c r="G116" s="47">
        <f t="shared" si="39"/>
        <v>0</v>
      </c>
      <c r="H116" s="47">
        <f t="shared" si="39"/>
        <v>317</v>
      </c>
      <c r="I116" s="47">
        <f t="shared" si="39"/>
        <v>203</v>
      </c>
      <c r="J116" s="47">
        <f t="shared" si="39"/>
        <v>114</v>
      </c>
      <c r="K116" s="187" t="s">
        <v>188</v>
      </c>
    </row>
    <row r="117" spans="2:11" ht="15.75" customHeight="1" thickBot="1" x14ac:dyDescent="0.25">
      <c r="B117" s="476" t="s">
        <v>4</v>
      </c>
      <c r="C117" s="476"/>
      <c r="D117" s="476"/>
      <c r="E117" s="476" t="s">
        <v>145</v>
      </c>
      <c r="F117" s="476"/>
      <c r="G117" s="476"/>
      <c r="H117" s="476" t="s">
        <v>146</v>
      </c>
      <c r="I117" s="476"/>
      <c r="J117" s="476"/>
      <c r="K117" s="202" t="s">
        <v>66</v>
      </c>
    </row>
    <row r="118" spans="2:11" ht="15.75" customHeight="1" thickBot="1" x14ac:dyDescent="0.25">
      <c r="B118" s="185" t="s">
        <v>227</v>
      </c>
      <c r="C118" s="185" t="s">
        <v>10</v>
      </c>
      <c r="D118" s="185" t="s">
        <v>9</v>
      </c>
      <c r="E118" s="185" t="s">
        <v>227</v>
      </c>
      <c r="F118" s="185" t="s">
        <v>10</v>
      </c>
      <c r="G118" s="185" t="s">
        <v>9</v>
      </c>
      <c r="H118" s="185" t="s">
        <v>227</v>
      </c>
      <c r="I118" s="185" t="s">
        <v>10</v>
      </c>
      <c r="J118" s="185" t="s">
        <v>9</v>
      </c>
      <c r="K118" s="187" t="s">
        <v>121</v>
      </c>
    </row>
    <row r="119" spans="2:11" ht="15.75" customHeight="1" thickBot="1" x14ac:dyDescent="0.25">
      <c r="B119" s="47">
        <v>1166</v>
      </c>
      <c r="C119" s="47">
        <v>1166</v>
      </c>
      <c r="D119" s="47">
        <v>0</v>
      </c>
      <c r="E119" s="47">
        <v>0</v>
      </c>
      <c r="F119" s="47">
        <v>0</v>
      </c>
      <c r="G119" s="47">
        <v>0</v>
      </c>
      <c r="H119" s="47">
        <v>1166</v>
      </c>
      <c r="I119" s="47">
        <v>1166</v>
      </c>
      <c r="J119" s="47">
        <v>0</v>
      </c>
      <c r="K119" s="266" t="s">
        <v>120</v>
      </c>
    </row>
    <row r="120" spans="2:11" ht="15.75" customHeight="1" thickBot="1" x14ac:dyDescent="0.25">
      <c r="B120" s="47">
        <v>1166</v>
      </c>
      <c r="C120" s="47">
        <v>1166</v>
      </c>
      <c r="D120" s="47">
        <v>0</v>
      </c>
      <c r="E120" s="47">
        <v>0</v>
      </c>
      <c r="F120" s="47">
        <v>0</v>
      </c>
      <c r="G120" s="47">
        <v>0</v>
      </c>
      <c r="H120" s="47">
        <v>1166</v>
      </c>
      <c r="I120" s="47">
        <v>1166</v>
      </c>
      <c r="J120" s="47">
        <v>0</v>
      </c>
      <c r="K120" s="187" t="s">
        <v>188</v>
      </c>
    </row>
    <row r="121" spans="2:11" ht="15.75" customHeight="1" thickBot="1" x14ac:dyDescent="0.25">
      <c r="B121" s="476" t="s">
        <v>4</v>
      </c>
      <c r="C121" s="476"/>
      <c r="D121" s="476"/>
      <c r="E121" s="476" t="s">
        <v>145</v>
      </c>
      <c r="F121" s="476"/>
      <c r="G121" s="476"/>
      <c r="H121" s="476" t="s">
        <v>146</v>
      </c>
      <c r="I121" s="476"/>
      <c r="J121" s="476"/>
      <c r="K121" s="202" t="s">
        <v>66</v>
      </c>
    </row>
    <row r="122" spans="2:11" ht="15.75" customHeight="1" thickBot="1" x14ac:dyDescent="0.25">
      <c r="B122" s="185" t="s">
        <v>227</v>
      </c>
      <c r="C122" s="185" t="s">
        <v>10</v>
      </c>
      <c r="D122" s="185" t="s">
        <v>9</v>
      </c>
      <c r="E122" s="185" t="s">
        <v>227</v>
      </c>
      <c r="F122" s="185" t="s">
        <v>10</v>
      </c>
      <c r="G122" s="185" t="s">
        <v>9</v>
      </c>
      <c r="H122" s="185" t="s">
        <v>227</v>
      </c>
      <c r="I122" s="185" t="s">
        <v>10</v>
      </c>
      <c r="J122" s="185" t="s">
        <v>9</v>
      </c>
      <c r="K122" s="187" t="s">
        <v>123</v>
      </c>
    </row>
    <row r="123" spans="2:11" ht="15.75" customHeight="1" thickBot="1" x14ac:dyDescent="0.25">
      <c r="B123" s="47">
        <f>SUM(C123:D123)</f>
        <v>72</v>
      </c>
      <c r="C123" s="47">
        <f t="shared" ref="C123:D125" si="40">I123+F123</f>
        <v>72</v>
      </c>
      <c r="D123" s="47">
        <f t="shared" si="40"/>
        <v>0</v>
      </c>
      <c r="E123" s="47">
        <f>SUM(F123:G123)</f>
        <v>0</v>
      </c>
      <c r="F123" s="47">
        <v>0</v>
      </c>
      <c r="G123" s="47">
        <v>0</v>
      </c>
      <c r="H123" s="47">
        <f>SUM(I123:J123)</f>
        <v>72</v>
      </c>
      <c r="I123" s="47">
        <v>72</v>
      </c>
      <c r="J123" s="47">
        <v>0</v>
      </c>
      <c r="K123" s="266" t="s">
        <v>122</v>
      </c>
    </row>
    <row r="124" spans="2:11" ht="15.75" customHeight="1" thickBot="1" x14ac:dyDescent="0.25">
      <c r="B124" s="47">
        <f>SUM(C124:D124)</f>
        <v>119</v>
      </c>
      <c r="C124" s="47">
        <f t="shared" si="40"/>
        <v>0</v>
      </c>
      <c r="D124" s="47">
        <f t="shared" si="40"/>
        <v>119</v>
      </c>
      <c r="E124" s="47">
        <f>SUM(F124:G124)</f>
        <v>0</v>
      </c>
      <c r="F124" s="47">
        <v>0</v>
      </c>
      <c r="G124" s="47">
        <v>0</v>
      </c>
      <c r="H124" s="47">
        <f>SUM(I124:J124)</f>
        <v>119</v>
      </c>
      <c r="I124" s="47">
        <v>0</v>
      </c>
      <c r="J124" s="47">
        <f>19+100</f>
        <v>119</v>
      </c>
      <c r="K124" s="266" t="s">
        <v>286</v>
      </c>
    </row>
    <row r="125" spans="2:11" ht="15.75" customHeight="1" thickBot="1" x14ac:dyDescent="0.25">
      <c r="B125" s="47">
        <f>SUM(C125:D125)</f>
        <v>153</v>
      </c>
      <c r="C125" s="47">
        <f t="shared" si="40"/>
        <v>153</v>
      </c>
      <c r="D125" s="47">
        <f t="shared" si="40"/>
        <v>0</v>
      </c>
      <c r="E125" s="47">
        <f>SUM(F125:G125)</f>
        <v>0</v>
      </c>
      <c r="F125" s="47">
        <v>0</v>
      </c>
      <c r="G125" s="47">
        <v>0</v>
      </c>
      <c r="H125" s="47">
        <f>SUM(I125:J125)</f>
        <v>153</v>
      </c>
      <c r="I125" s="47">
        <v>153</v>
      </c>
      <c r="J125" s="47">
        <v>0</v>
      </c>
      <c r="K125" s="266" t="s">
        <v>287</v>
      </c>
    </row>
    <row r="126" spans="2:11" ht="15.75" customHeight="1" thickBot="1" x14ac:dyDescent="0.25">
      <c r="B126" s="47">
        <f t="shared" ref="B126:I126" si="41">SUM(B123:B125)</f>
        <v>344</v>
      </c>
      <c r="C126" s="47">
        <f t="shared" si="41"/>
        <v>225</v>
      </c>
      <c r="D126" s="47">
        <f t="shared" si="41"/>
        <v>119</v>
      </c>
      <c r="E126" s="47">
        <f t="shared" si="41"/>
        <v>0</v>
      </c>
      <c r="F126" s="47">
        <f t="shared" si="41"/>
        <v>0</v>
      </c>
      <c r="G126" s="47">
        <f t="shared" si="41"/>
        <v>0</v>
      </c>
      <c r="H126" s="47">
        <f t="shared" si="41"/>
        <v>344</v>
      </c>
      <c r="I126" s="47">
        <f t="shared" si="41"/>
        <v>225</v>
      </c>
      <c r="J126" s="47">
        <f>SUM(J123:J125)</f>
        <v>119</v>
      </c>
      <c r="K126" s="187" t="s">
        <v>188</v>
      </c>
    </row>
    <row r="127" spans="2:11" ht="15.75" customHeight="1" thickBot="1" x14ac:dyDescent="0.25">
      <c r="B127" s="476" t="s">
        <v>4</v>
      </c>
      <c r="C127" s="476"/>
      <c r="D127" s="476"/>
      <c r="E127" s="476" t="s">
        <v>145</v>
      </c>
      <c r="F127" s="476"/>
      <c r="G127" s="476"/>
      <c r="H127" s="476" t="s">
        <v>146</v>
      </c>
      <c r="I127" s="476"/>
      <c r="J127" s="476"/>
      <c r="K127" s="202" t="s">
        <v>66</v>
      </c>
    </row>
    <row r="128" spans="2:11" ht="15.75" customHeight="1" thickBot="1" x14ac:dyDescent="0.25">
      <c r="B128" s="185" t="s">
        <v>227</v>
      </c>
      <c r="C128" s="185" t="s">
        <v>10</v>
      </c>
      <c r="D128" s="185" t="s">
        <v>9</v>
      </c>
      <c r="E128" s="185" t="s">
        <v>227</v>
      </c>
      <c r="F128" s="185" t="s">
        <v>10</v>
      </c>
      <c r="G128" s="185" t="s">
        <v>9</v>
      </c>
      <c r="H128" s="185" t="s">
        <v>227</v>
      </c>
      <c r="I128" s="185" t="s">
        <v>10</v>
      </c>
      <c r="J128" s="185" t="s">
        <v>9</v>
      </c>
      <c r="K128" s="187" t="s">
        <v>155</v>
      </c>
    </row>
    <row r="129" spans="2:11" ht="15.75" customHeight="1" thickBot="1" x14ac:dyDescent="0.25">
      <c r="B129" s="47">
        <f>SUM(C129:D129)</f>
        <v>16</v>
      </c>
      <c r="C129" s="47">
        <f>I129+F129</f>
        <v>0</v>
      </c>
      <c r="D129" s="47">
        <f>J129+G129</f>
        <v>16</v>
      </c>
      <c r="E129" s="47">
        <f>SUM(F129:G129)</f>
        <v>0</v>
      </c>
      <c r="F129" s="47">
        <v>0</v>
      </c>
      <c r="G129" s="47">
        <v>0</v>
      </c>
      <c r="H129" s="47">
        <f>SUM(I129:J129)</f>
        <v>16</v>
      </c>
      <c r="I129" s="47">
        <v>0</v>
      </c>
      <c r="J129" s="47">
        <v>16</v>
      </c>
      <c r="K129" s="266" t="s">
        <v>289</v>
      </c>
    </row>
    <row r="130" spans="2:11" ht="15.75" customHeight="1" thickBot="1" x14ac:dyDescent="0.25">
      <c r="B130" s="47">
        <f t="shared" ref="B130:J130" si="42">SUM(B129:B129)</f>
        <v>16</v>
      </c>
      <c r="C130" s="47">
        <f t="shared" si="42"/>
        <v>0</v>
      </c>
      <c r="D130" s="47">
        <f t="shared" si="42"/>
        <v>16</v>
      </c>
      <c r="E130" s="47">
        <f t="shared" si="42"/>
        <v>0</v>
      </c>
      <c r="F130" s="47">
        <f t="shared" si="42"/>
        <v>0</v>
      </c>
      <c r="G130" s="47">
        <f t="shared" si="42"/>
        <v>0</v>
      </c>
      <c r="H130" s="47">
        <f t="shared" si="42"/>
        <v>16</v>
      </c>
      <c r="I130" s="47">
        <f t="shared" si="42"/>
        <v>0</v>
      </c>
      <c r="J130" s="47">
        <f t="shared" si="42"/>
        <v>16</v>
      </c>
      <c r="K130" s="187" t="s">
        <v>188</v>
      </c>
    </row>
    <row r="131" spans="2:11" ht="15.75" customHeight="1" thickBot="1" x14ac:dyDescent="0.25">
      <c r="B131" s="476" t="s">
        <v>4</v>
      </c>
      <c r="C131" s="476"/>
      <c r="D131" s="476"/>
      <c r="E131" s="476" t="s">
        <v>145</v>
      </c>
      <c r="F131" s="476"/>
      <c r="G131" s="476"/>
      <c r="H131" s="476" t="s">
        <v>146</v>
      </c>
      <c r="I131" s="476"/>
      <c r="J131" s="476"/>
      <c r="K131" s="202" t="s">
        <v>66</v>
      </c>
    </row>
    <row r="132" spans="2:11" ht="15.75" customHeight="1" thickBot="1" x14ac:dyDescent="0.25">
      <c r="B132" s="185" t="s">
        <v>227</v>
      </c>
      <c r="C132" s="185" t="s">
        <v>10</v>
      </c>
      <c r="D132" s="185" t="s">
        <v>9</v>
      </c>
      <c r="E132" s="185" t="s">
        <v>227</v>
      </c>
      <c r="F132" s="185" t="s">
        <v>10</v>
      </c>
      <c r="G132" s="185" t="s">
        <v>9</v>
      </c>
      <c r="H132" s="185" t="s">
        <v>227</v>
      </c>
      <c r="I132" s="185" t="s">
        <v>10</v>
      </c>
      <c r="J132" s="185" t="s">
        <v>9</v>
      </c>
      <c r="K132" s="187" t="s">
        <v>151</v>
      </c>
    </row>
    <row r="133" spans="2:11" ht="15.75" customHeight="1" thickBot="1" x14ac:dyDescent="0.25">
      <c r="B133" s="47">
        <f t="shared" ref="B133:B167" si="43">SUM(C133:D133)</f>
        <v>1842</v>
      </c>
      <c r="C133" s="47">
        <f t="shared" ref="C133:D167" si="44">I133+F133</f>
        <v>0</v>
      </c>
      <c r="D133" s="47">
        <f t="shared" si="44"/>
        <v>1842</v>
      </c>
      <c r="E133" s="47">
        <f t="shared" ref="E133:E167" si="45">SUM(F133:G133)</f>
        <v>0</v>
      </c>
      <c r="F133" s="47">
        <v>0</v>
      </c>
      <c r="G133" s="47">
        <v>0</v>
      </c>
      <c r="H133" s="47">
        <f t="shared" ref="H133:H167" si="46">SUM(I133:J133)</f>
        <v>1842</v>
      </c>
      <c r="I133" s="47">
        <v>0</v>
      </c>
      <c r="J133" s="47">
        <v>1842</v>
      </c>
      <c r="K133" s="266" t="s">
        <v>290</v>
      </c>
    </row>
    <row r="134" spans="2:11" ht="15.75" customHeight="1" thickBot="1" x14ac:dyDescent="0.25">
      <c r="B134" s="47">
        <f t="shared" si="43"/>
        <v>456</v>
      </c>
      <c r="C134" s="47">
        <f t="shared" si="44"/>
        <v>0</v>
      </c>
      <c r="D134" s="47">
        <f t="shared" si="44"/>
        <v>456</v>
      </c>
      <c r="E134" s="47">
        <f t="shared" si="45"/>
        <v>0</v>
      </c>
      <c r="F134" s="47">
        <v>0</v>
      </c>
      <c r="G134" s="47">
        <v>0</v>
      </c>
      <c r="H134" s="47">
        <f t="shared" si="46"/>
        <v>456</v>
      </c>
      <c r="I134" s="47">
        <v>0</v>
      </c>
      <c r="J134" s="47">
        <v>456</v>
      </c>
      <c r="K134" s="266" t="s">
        <v>291</v>
      </c>
    </row>
    <row r="135" spans="2:11" ht="15.75" customHeight="1" thickBot="1" x14ac:dyDescent="0.25">
      <c r="B135" s="47">
        <f t="shared" si="43"/>
        <v>571</v>
      </c>
      <c r="C135" s="47">
        <f t="shared" si="44"/>
        <v>0</v>
      </c>
      <c r="D135" s="47">
        <f t="shared" si="44"/>
        <v>571</v>
      </c>
      <c r="E135" s="47">
        <f t="shared" si="45"/>
        <v>0</v>
      </c>
      <c r="F135" s="47">
        <v>0</v>
      </c>
      <c r="G135" s="47">
        <v>0</v>
      </c>
      <c r="H135" s="47">
        <f t="shared" si="46"/>
        <v>571</v>
      </c>
      <c r="I135" s="47">
        <v>0</v>
      </c>
      <c r="J135" s="47">
        <v>571</v>
      </c>
      <c r="K135" s="266" t="s">
        <v>292</v>
      </c>
    </row>
    <row r="136" spans="2:11" ht="15.75" customHeight="1" thickBot="1" x14ac:dyDescent="0.25">
      <c r="B136" s="47">
        <f t="shared" si="43"/>
        <v>312</v>
      </c>
      <c r="C136" s="47">
        <f t="shared" si="44"/>
        <v>0</v>
      </c>
      <c r="D136" s="47">
        <f t="shared" si="44"/>
        <v>312</v>
      </c>
      <c r="E136" s="47">
        <f t="shared" si="45"/>
        <v>0</v>
      </c>
      <c r="F136" s="47">
        <v>0</v>
      </c>
      <c r="G136" s="47">
        <v>0</v>
      </c>
      <c r="H136" s="47">
        <f t="shared" si="46"/>
        <v>312</v>
      </c>
      <c r="I136" s="47">
        <v>0</v>
      </c>
      <c r="J136" s="47">
        <v>312</v>
      </c>
      <c r="K136" s="266" t="s">
        <v>293</v>
      </c>
    </row>
    <row r="137" spans="2:11" ht="15.75" customHeight="1" thickBot="1" x14ac:dyDescent="0.25">
      <c r="B137" s="47">
        <f t="shared" si="43"/>
        <v>1210</v>
      </c>
      <c r="C137" s="47">
        <f t="shared" si="44"/>
        <v>0</v>
      </c>
      <c r="D137" s="47">
        <f t="shared" si="44"/>
        <v>1210</v>
      </c>
      <c r="E137" s="47">
        <f t="shared" si="45"/>
        <v>0</v>
      </c>
      <c r="F137" s="47">
        <v>0</v>
      </c>
      <c r="G137" s="47">
        <v>0</v>
      </c>
      <c r="H137" s="47">
        <f t="shared" si="46"/>
        <v>1210</v>
      </c>
      <c r="I137" s="47">
        <v>0</v>
      </c>
      <c r="J137" s="47">
        <v>1210</v>
      </c>
      <c r="K137" s="266" t="s">
        <v>294</v>
      </c>
    </row>
    <row r="138" spans="2:11" ht="15.75" customHeight="1" thickBot="1" x14ac:dyDescent="0.25">
      <c r="B138" s="47">
        <f t="shared" si="43"/>
        <v>941</v>
      </c>
      <c r="C138" s="47">
        <f t="shared" si="44"/>
        <v>0</v>
      </c>
      <c r="D138" s="47">
        <f t="shared" si="44"/>
        <v>941</v>
      </c>
      <c r="E138" s="47">
        <f t="shared" si="45"/>
        <v>0</v>
      </c>
      <c r="F138" s="47">
        <v>0</v>
      </c>
      <c r="G138" s="47">
        <v>0</v>
      </c>
      <c r="H138" s="47">
        <f t="shared" si="46"/>
        <v>941</v>
      </c>
      <c r="I138" s="47">
        <v>0</v>
      </c>
      <c r="J138" s="47">
        <v>941</v>
      </c>
      <c r="K138" s="266" t="s">
        <v>295</v>
      </c>
    </row>
    <row r="139" spans="2:11" ht="15.75" customHeight="1" thickBot="1" x14ac:dyDescent="0.25">
      <c r="B139" s="47">
        <f t="shared" si="43"/>
        <v>491</v>
      </c>
      <c r="C139" s="47">
        <f t="shared" si="44"/>
        <v>0</v>
      </c>
      <c r="D139" s="47">
        <f t="shared" si="44"/>
        <v>491</v>
      </c>
      <c r="E139" s="47">
        <f t="shared" si="45"/>
        <v>0</v>
      </c>
      <c r="F139" s="47">
        <v>0</v>
      </c>
      <c r="G139" s="47">
        <v>0</v>
      </c>
      <c r="H139" s="47">
        <f t="shared" si="46"/>
        <v>491</v>
      </c>
      <c r="I139" s="47">
        <v>0</v>
      </c>
      <c r="J139" s="47">
        <v>491</v>
      </c>
      <c r="K139" s="266" t="s">
        <v>296</v>
      </c>
    </row>
    <row r="140" spans="2:11" ht="15.75" customHeight="1" thickBot="1" x14ac:dyDescent="0.25">
      <c r="B140" s="47">
        <f t="shared" si="43"/>
        <v>1102</v>
      </c>
      <c r="C140" s="47">
        <f t="shared" si="44"/>
        <v>0</v>
      </c>
      <c r="D140" s="47">
        <f t="shared" si="44"/>
        <v>1102</v>
      </c>
      <c r="E140" s="47">
        <f t="shared" si="45"/>
        <v>0</v>
      </c>
      <c r="F140" s="47">
        <v>0</v>
      </c>
      <c r="G140" s="47">
        <v>0</v>
      </c>
      <c r="H140" s="47">
        <f t="shared" si="46"/>
        <v>1102</v>
      </c>
      <c r="I140" s="47">
        <v>0</v>
      </c>
      <c r="J140" s="47">
        <v>1102</v>
      </c>
      <c r="K140" s="266" t="s">
        <v>297</v>
      </c>
    </row>
    <row r="141" spans="2:11" ht="15.75" customHeight="1" thickBot="1" x14ac:dyDescent="0.25">
      <c r="B141" s="47">
        <f t="shared" si="43"/>
        <v>473</v>
      </c>
      <c r="C141" s="47">
        <f t="shared" si="44"/>
        <v>0</v>
      </c>
      <c r="D141" s="47">
        <f t="shared" si="44"/>
        <v>473</v>
      </c>
      <c r="E141" s="47">
        <f t="shared" si="45"/>
        <v>0</v>
      </c>
      <c r="F141" s="47">
        <v>0</v>
      </c>
      <c r="G141" s="47">
        <v>0</v>
      </c>
      <c r="H141" s="47">
        <f t="shared" si="46"/>
        <v>473</v>
      </c>
      <c r="I141" s="47">
        <v>0</v>
      </c>
      <c r="J141" s="47">
        <v>473</v>
      </c>
      <c r="K141" s="266" t="s">
        <v>298</v>
      </c>
    </row>
    <row r="142" spans="2:11" ht="15.75" customHeight="1" thickBot="1" x14ac:dyDescent="0.25">
      <c r="B142" s="47">
        <f t="shared" si="43"/>
        <v>129</v>
      </c>
      <c r="C142" s="47">
        <f t="shared" si="44"/>
        <v>0</v>
      </c>
      <c r="D142" s="47">
        <f t="shared" si="44"/>
        <v>129</v>
      </c>
      <c r="E142" s="47">
        <f t="shared" si="45"/>
        <v>0</v>
      </c>
      <c r="F142" s="47">
        <v>0</v>
      </c>
      <c r="G142" s="47">
        <v>0</v>
      </c>
      <c r="H142" s="47">
        <f t="shared" si="46"/>
        <v>129</v>
      </c>
      <c r="I142" s="47">
        <v>0</v>
      </c>
      <c r="J142" s="47">
        <v>129</v>
      </c>
      <c r="K142" s="266" t="s">
        <v>299</v>
      </c>
    </row>
    <row r="143" spans="2:11" ht="15.75" customHeight="1" thickBot="1" x14ac:dyDescent="0.25">
      <c r="B143" s="47">
        <f t="shared" si="43"/>
        <v>445</v>
      </c>
      <c r="C143" s="47">
        <f t="shared" si="44"/>
        <v>0</v>
      </c>
      <c r="D143" s="47">
        <f t="shared" si="44"/>
        <v>445</v>
      </c>
      <c r="E143" s="47">
        <f t="shared" si="45"/>
        <v>0</v>
      </c>
      <c r="F143" s="47">
        <v>0</v>
      </c>
      <c r="G143" s="47">
        <v>0</v>
      </c>
      <c r="H143" s="47">
        <f t="shared" si="46"/>
        <v>445</v>
      </c>
      <c r="I143" s="47">
        <v>0</v>
      </c>
      <c r="J143" s="47">
        <v>445</v>
      </c>
      <c r="K143" s="266" t="s">
        <v>300</v>
      </c>
    </row>
    <row r="144" spans="2:11" ht="15.75" customHeight="1" thickBot="1" x14ac:dyDescent="0.25">
      <c r="B144" s="47">
        <f t="shared" si="43"/>
        <v>371</v>
      </c>
      <c r="C144" s="47">
        <f t="shared" si="44"/>
        <v>0</v>
      </c>
      <c r="D144" s="47">
        <f t="shared" si="44"/>
        <v>371</v>
      </c>
      <c r="E144" s="47">
        <f t="shared" si="45"/>
        <v>0</v>
      </c>
      <c r="F144" s="47">
        <v>0</v>
      </c>
      <c r="G144" s="47">
        <v>0</v>
      </c>
      <c r="H144" s="47">
        <f t="shared" si="46"/>
        <v>371</v>
      </c>
      <c r="I144" s="47">
        <v>0</v>
      </c>
      <c r="J144" s="47">
        <v>371</v>
      </c>
      <c r="K144" s="266" t="s">
        <v>301</v>
      </c>
    </row>
    <row r="145" spans="2:11" ht="15.75" customHeight="1" thickBot="1" x14ac:dyDescent="0.25">
      <c r="B145" s="47">
        <f t="shared" si="43"/>
        <v>306</v>
      </c>
      <c r="C145" s="47">
        <f t="shared" si="44"/>
        <v>0</v>
      </c>
      <c r="D145" s="47">
        <f t="shared" si="44"/>
        <v>306</v>
      </c>
      <c r="E145" s="47">
        <f t="shared" si="45"/>
        <v>0</v>
      </c>
      <c r="F145" s="47">
        <v>0</v>
      </c>
      <c r="G145" s="47">
        <v>0</v>
      </c>
      <c r="H145" s="47">
        <f t="shared" si="46"/>
        <v>306</v>
      </c>
      <c r="I145" s="47">
        <v>0</v>
      </c>
      <c r="J145" s="47">
        <v>306</v>
      </c>
      <c r="K145" s="266" t="s">
        <v>302</v>
      </c>
    </row>
    <row r="146" spans="2:11" ht="15.75" customHeight="1" thickBot="1" x14ac:dyDescent="0.25">
      <c r="B146" s="47">
        <f t="shared" si="43"/>
        <v>162</v>
      </c>
      <c r="C146" s="47">
        <f t="shared" si="44"/>
        <v>0</v>
      </c>
      <c r="D146" s="47">
        <f t="shared" si="44"/>
        <v>162</v>
      </c>
      <c r="E146" s="47">
        <f t="shared" si="45"/>
        <v>0</v>
      </c>
      <c r="F146" s="47">
        <v>0</v>
      </c>
      <c r="G146" s="47">
        <v>0</v>
      </c>
      <c r="H146" s="47">
        <f t="shared" si="46"/>
        <v>162</v>
      </c>
      <c r="I146" s="47">
        <v>0</v>
      </c>
      <c r="J146" s="47">
        <v>162</v>
      </c>
      <c r="K146" s="266" t="s">
        <v>303</v>
      </c>
    </row>
    <row r="147" spans="2:11" ht="15.75" customHeight="1" thickBot="1" x14ac:dyDescent="0.25">
      <c r="B147" s="47">
        <f t="shared" si="43"/>
        <v>446</v>
      </c>
      <c r="C147" s="47">
        <f t="shared" si="44"/>
        <v>0</v>
      </c>
      <c r="D147" s="47">
        <f t="shared" si="44"/>
        <v>446</v>
      </c>
      <c r="E147" s="47">
        <f t="shared" si="45"/>
        <v>0</v>
      </c>
      <c r="F147" s="47">
        <v>0</v>
      </c>
      <c r="G147" s="47">
        <v>0</v>
      </c>
      <c r="H147" s="47">
        <f t="shared" si="46"/>
        <v>446</v>
      </c>
      <c r="I147" s="47">
        <v>0</v>
      </c>
      <c r="J147" s="47">
        <v>446</v>
      </c>
      <c r="K147" s="266" t="s">
        <v>304</v>
      </c>
    </row>
    <row r="148" spans="2:11" ht="15.75" customHeight="1" thickBot="1" x14ac:dyDescent="0.25">
      <c r="B148" s="47">
        <f t="shared" si="43"/>
        <v>313</v>
      </c>
      <c r="C148" s="47">
        <f t="shared" si="44"/>
        <v>0</v>
      </c>
      <c r="D148" s="47">
        <f t="shared" si="44"/>
        <v>313</v>
      </c>
      <c r="E148" s="47">
        <f t="shared" si="45"/>
        <v>0</v>
      </c>
      <c r="F148" s="47">
        <v>0</v>
      </c>
      <c r="G148" s="47">
        <v>0</v>
      </c>
      <c r="H148" s="47">
        <f t="shared" si="46"/>
        <v>313</v>
      </c>
      <c r="I148" s="47">
        <v>0</v>
      </c>
      <c r="J148" s="47">
        <v>313</v>
      </c>
      <c r="K148" s="266" t="s">
        <v>305</v>
      </c>
    </row>
    <row r="149" spans="2:11" ht="15.75" customHeight="1" thickBot="1" x14ac:dyDescent="0.25">
      <c r="B149" s="47">
        <f t="shared" si="43"/>
        <v>124</v>
      </c>
      <c r="C149" s="47">
        <f t="shared" si="44"/>
        <v>0</v>
      </c>
      <c r="D149" s="47">
        <f t="shared" si="44"/>
        <v>124</v>
      </c>
      <c r="E149" s="47">
        <f t="shared" si="45"/>
        <v>0</v>
      </c>
      <c r="F149" s="47">
        <v>0</v>
      </c>
      <c r="G149" s="47">
        <v>0</v>
      </c>
      <c r="H149" s="47">
        <f t="shared" si="46"/>
        <v>124</v>
      </c>
      <c r="I149" s="47">
        <v>0</v>
      </c>
      <c r="J149" s="47">
        <v>124</v>
      </c>
      <c r="K149" s="266" t="s">
        <v>306</v>
      </c>
    </row>
    <row r="150" spans="2:11" ht="15.75" customHeight="1" thickBot="1" x14ac:dyDescent="0.25">
      <c r="B150" s="47">
        <f t="shared" si="43"/>
        <v>165</v>
      </c>
      <c r="C150" s="47">
        <f t="shared" si="44"/>
        <v>0</v>
      </c>
      <c r="D150" s="47">
        <f t="shared" si="44"/>
        <v>165</v>
      </c>
      <c r="E150" s="47">
        <f t="shared" si="45"/>
        <v>0</v>
      </c>
      <c r="F150" s="47">
        <v>0</v>
      </c>
      <c r="G150" s="47">
        <v>0</v>
      </c>
      <c r="H150" s="47">
        <f t="shared" si="46"/>
        <v>165</v>
      </c>
      <c r="I150" s="47">
        <v>0</v>
      </c>
      <c r="J150" s="47">
        <v>165</v>
      </c>
      <c r="K150" s="266" t="s">
        <v>307</v>
      </c>
    </row>
    <row r="151" spans="2:11" ht="15.75" customHeight="1" thickBot="1" x14ac:dyDescent="0.25">
      <c r="B151" s="47">
        <f t="shared" si="43"/>
        <v>153</v>
      </c>
      <c r="C151" s="47">
        <f t="shared" si="44"/>
        <v>0</v>
      </c>
      <c r="D151" s="47">
        <f t="shared" si="44"/>
        <v>153</v>
      </c>
      <c r="E151" s="47">
        <f t="shared" si="45"/>
        <v>0</v>
      </c>
      <c r="F151" s="47">
        <v>0</v>
      </c>
      <c r="G151" s="47">
        <v>0</v>
      </c>
      <c r="H151" s="47">
        <f t="shared" si="46"/>
        <v>153</v>
      </c>
      <c r="I151" s="47">
        <v>0</v>
      </c>
      <c r="J151" s="47">
        <v>153</v>
      </c>
      <c r="K151" s="266" t="s">
        <v>308</v>
      </c>
    </row>
    <row r="152" spans="2:11" ht="15.75" customHeight="1" thickBot="1" x14ac:dyDescent="0.25">
      <c r="B152" s="47">
        <f t="shared" si="43"/>
        <v>279</v>
      </c>
      <c r="C152" s="47">
        <f t="shared" si="44"/>
        <v>0</v>
      </c>
      <c r="D152" s="47">
        <f t="shared" si="44"/>
        <v>279</v>
      </c>
      <c r="E152" s="47">
        <f t="shared" si="45"/>
        <v>0</v>
      </c>
      <c r="F152" s="47">
        <v>0</v>
      </c>
      <c r="G152" s="47">
        <v>0</v>
      </c>
      <c r="H152" s="47">
        <f t="shared" si="46"/>
        <v>279</v>
      </c>
      <c r="I152" s="47">
        <v>0</v>
      </c>
      <c r="J152" s="47">
        <v>279</v>
      </c>
      <c r="K152" s="266" t="s">
        <v>309</v>
      </c>
    </row>
    <row r="153" spans="2:11" ht="15.75" customHeight="1" thickBot="1" x14ac:dyDescent="0.25">
      <c r="B153" s="47">
        <f t="shared" si="43"/>
        <v>83</v>
      </c>
      <c r="C153" s="47">
        <f t="shared" si="44"/>
        <v>0</v>
      </c>
      <c r="D153" s="47">
        <f t="shared" si="44"/>
        <v>83</v>
      </c>
      <c r="E153" s="47">
        <f t="shared" si="45"/>
        <v>0</v>
      </c>
      <c r="F153" s="47">
        <v>0</v>
      </c>
      <c r="G153" s="47">
        <v>0</v>
      </c>
      <c r="H153" s="47">
        <f t="shared" si="46"/>
        <v>83</v>
      </c>
      <c r="I153" s="47">
        <v>0</v>
      </c>
      <c r="J153" s="47">
        <v>83</v>
      </c>
      <c r="K153" s="266" t="s">
        <v>310</v>
      </c>
    </row>
    <row r="154" spans="2:11" ht="15.75" customHeight="1" thickBot="1" x14ac:dyDescent="0.25">
      <c r="B154" s="47">
        <f t="shared" si="43"/>
        <v>803</v>
      </c>
      <c r="C154" s="47">
        <f t="shared" si="44"/>
        <v>0</v>
      </c>
      <c r="D154" s="47">
        <f t="shared" si="44"/>
        <v>803</v>
      </c>
      <c r="E154" s="47">
        <f t="shared" si="45"/>
        <v>0</v>
      </c>
      <c r="F154" s="47">
        <v>0</v>
      </c>
      <c r="G154" s="47">
        <v>0</v>
      </c>
      <c r="H154" s="47">
        <f t="shared" si="46"/>
        <v>803</v>
      </c>
      <c r="I154" s="47">
        <v>0</v>
      </c>
      <c r="J154" s="47">
        <v>803</v>
      </c>
      <c r="K154" s="266" t="s">
        <v>311</v>
      </c>
    </row>
    <row r="155" spans="2:11" ht="15.75" customHeight="1" thickBot="1" x14ac:dyDescent="0.25">
      <c r="B155" s="47">
        <f t="shared" si="43"/>
        <v>104</v>
      </c>
      <c r="C155" s="47">
        <f t="shared" si="44"/>
        <v>0</v>
      </c>
      <c r="D155" s="47">
        <f t="shared" si="44"/>
        <v>104</v>
      </c>
      <c r="E155" s="47">
        <f t="shared" si="45"/>
        <v>0</v>
      </c>
      <c r="F155" s="47">
        <v>0</v>
      </c>
      <c r="G155" s="47">
        <v>0</v>
      </c>
      <c r="H155" s="47">
        <f t="shared" si="46"/>
        <v>104</v>
      </c>
      <c r="I155" s="47">
        <v>0</v>
      </c>
      <c r="J155" s="47">
        <v>104</v>
      </c>
      <c r="K155" s="266" t="s">
        <v>312</v>
      </c>
    </row>
    <row r="156" spans="2:11" ht="15.75" customHeight="1" thickBot="1" x14ac:dyDescent="0.25">
      <c r="B156" s="47">
        <f t="shared" si="43"/>
        <v>208</v>
      </c>
      <c r="C156" s="47">
        <f t="shared" si="44"/>
        <v>0</v>
      </c>
      <c r="D156" s="47">
        <f t="shared" si="44"/>
        <v>208</v>
      </c>
      <c r="E156" s="47">
        <f t="shared" si="45"/>
        <v>0</v>
      </c>
      <c r="F156" s="47">
        <v>0</v>
      </c>
      <c r="G156" s="47">
        <v>0</v>
      </c>
      <c r="H156" s="47">
        <f t="shared" si="46"/>
        <v>208</v>
      </c>
      <c r="I156" s="47">
        <v>0</v>
      </c>
      <c r="J156" s="47">
        <v>208</v>
      </c>
      <c r="K156" s="266" t="s">
        <v>313</v>
      </c>
    </row>
    <row r="157" spans="2:11" ht="15.75" customHeight="1" thickBot="1" x14ac:dyDescent="0.25">
      <c r="B157" s="47">
        <f t="shared" si="43"/>
        <v>122</v>
      </c>
      <c r="C157" s="47">
        <f t="shared" si="44"/>
        <v>0</v>
      </c>
      <c r="D157" s="47">
        <f t="shared" si="44"/>
        <v>122</v>
      </c>
      <c r="E157" s="47">
        <f t="shared" si="45"/>
        <v>0</v>
      </c>
      <c r="F157" s="47">
        <v>0</v>
      </c>
      <c r="G157" s="47">
        <v>0</v>
      </c>
      <c r="H157" s="47">
        <f t="shared" si="46"/>
        <v>122</v>
      </c>
      <c r="I157" s="47">
        <v>0</v>
      </c>
      <c r="J157" s="47">
        <v>122</v>
      </c>
      <c r="K157" s="266" t="s">
        <v>314</v>
      </c>
    </row>
    <row r="158" spans="2:11" ht="15.75" customHeight="1" thickBot="1" x14ac:dyDescent="0.25">
      <c r="B158" s="47">
        <f t="shared" si="43"/>
        <v>159</v>
      </c>
      <c r="C158" s="47">
        <f t="shared" si="44"/>
        <v>0</v>
      </c>
      <c r="D158" s="47">
        <f t="shared" si="44"/>
        <v>159</v>
      </c>
      <c r="E158" s="47">
        <f t="shared" si="45"/>
        <v>0</v>
      </c>
      <c r="F158" s="47">
        <v>0</v>
      </c>
      <c r="G158" s="47">
        <v>0</v>
      </c>
      <c r="H158" s="47">
        <f t="shared" si="46"/>
        <v>159</v>
      </c>
      <c r="I158" s="47">
        <v>0</v>
      </c>
      <c r="J158" s="47">
        <v>159</v>
      </c>
      <c r="K158" s="266" t="s">
        <v>315</v>
      </c>
    </row>
    <row r="159" spans="2:11" ht="15.75" customHeight="1" thickBot="1" x14ac:dyDescent="0.25">
      <c r="B159" s="47">
        <f t="shared" si="43"/>
        <v>142</v>
      </c>
      <c r="C159" s="47">
        <f t="shared" si="44"/>
        <v>0</v>
      </c>
      <c r="D159" s="47">
        <f t="shared" si="44"/>
        <v>142</v>
      </c>
      <c r="E159" s="47">
        <f t="shared" si="45"/>
        <v>0</v>
      </c>
      <c r="F159" s="47">
        <v>0</v>
      </c>
      <c r="G159" s="47">
        <v>0</v>
      </c>
      <c r="H159" s="47">
        <f t="shared" si="46"/>
        <v>142</v>
      </c>
      <c r="I159" s="47">
        <v>0</v>
      </c>
      <c r="J159" s="47">
        <v>142</v>
      </c>
      <c r="K159" s="266" t="s">
        <v>316</v>
      </c>
    </row>
    <row r="160" spans="2:11" ht="15.75" customHeight="1" thickBot="1" x14ac:dyDescent="0.25">
      <c r="B160" s="47">
        <f t="shared" si="43"/>
        <v>71</v>
      </c>
      <c r="C160" s="47">
        <f t="shared" si="44"/>
        <v>0</v>
      </c>
      <c r="D160" s="47">
        <f t="shared" si="44"/>
        <v>71</v>
      </c>
      <c r="E160" s="47">
        <f t="shared" si="45"/>
        <v>0</v>
      </c>
      <c r="F160" s="47">
        <v>0</v>
      </c>
      <c r="G160" s="47">
        <v>0</v>
      </c>
      <c r="H160" s="47">
        <f t="shared" si="46"/>
        <v>71</v>
      </c>
      <c r="I160" s="47">
        <v>0</v>
      </c>
      <c r="J160" s="47">
        <v>71</v>
      </c>
      <c r="K160" s="266" t="s">
        <v>317</v>
      </c>
    </row>
    <row r="161" spans="2:11" ht="15.75" customHeight="1" thickBot="1" x14ac:dyDescent="0.25">
      <c r="B161" s="47">
        <f t="shared" si="43"/>
        <v>49</v>
      </c>
      <c r="C161" s="47">
        <f t="shared" si="44"/>
        <v>0</v>
      </c>
      <c r="D161" s="47">
        <f t="shared" si="44"/>
        <v>49</v>
      </c>
      <c r="E161" s="47">
        <f t="shared" si="45"/>
        <v>0</v>
      </c>
      <c r="F161" s="47">
        <v>0</v>
      </c>
      <c r="G161" s="47">
        <v>0</v>
      </c>
      <c r="H161" s="47">
        <f t="shared" si="46"/>
        <v>49</v>
      </c>
      <c r="I161" s="47">
        <v>0</v>
      </c>
      <c r="J161" s="47">
        <v>49</v>
      </c>
      <c r="K161" s="266" t="s">
        <v>320</v>
      </c>
    </row>
    <row r="162" spans="2:11" ht="15.75" customHeight="1" thickBot="1" x14ac:dyDescent="0.25">
      <c r="B162" s="47">
        <f t="shared" si="43"/>
        <v>64</v>
      </c>
      <c r="C162" s="47">
        <f t="shared" si="44"/>
        <v>0</v>
      </c>
      <c r="D162" s="47">
        <f t="shared" si="44"/>
        <v>64</v>
      </c>
      <c r="E162" s="47">
        <f t="shared" si="45"/>
        <v>0</v>
      </c>
      <c r="F162" s="47">
        <v>0</v>
      </c>
      <c r="G162" s="47">
        <v>0</v>
      </c>
      <c r="H162" s="47">
        <f t="shared" si="46"/>
        <v>64</v>
      </c>
      <c r="I162" s="47">
        <v>0</v>
      </c>
      <c r="J162" s="229">
        <v>64</v>
      </c>
      <c r="K162" s="287" t="s">
        <v>322</v>
      </c>
    </row>
    <row r="163" spans="2:11" ht="15.75" customHeight="1" thickBot="1" x14ac:dyDescent="0.25">
      <c r="B163" s="47">
        <f t="shared" si="43"/>
        <v>34</v>
      </c>
      <c r="C163" s="47">
        <f t="shared" si="44"/>
        <v>0</v>
      </c>
      <c r="D163" s="47">
        <f t="shared" si="44"/>
        <v>34</v>
      </c>
      <c r="E163" s="47">
        <f t="shared" si="45"/>
        <v>0</v>
      </c>
      <c r="F163" s="47">
        <v>0</v>
      </c>
      <c r="G163" s="47">
        <v>0</v>
      </c>
      <c r="H163" s="47">
        <f t="shared" si="46"/>
        <v>34</v>
      </c>
      <c r="I163" s="47">
        <v>0</v>
      </c>
      <c r="J163" s="288">
        <v>34</v>
      </c>
      <c r="K163" s="289" t="s">
        <v>705</v>
      </c>
    </row>
    <row r="164" spans="2:11" ht="15.75" customHeight="1" thickBot="1" x14ac:dyDescent="0.25">
      <c r="B164" s="47">
        <f t="shared" si="43"/>
        <v>179</v>
      </c>
      <c r="C164" s="47">
        <f t="shared" si="44"/>
        <v>0</v>
      </c>
      <c r="D164" s="47">
        <f t="shared" si="44"/>
        <v>179</v>
      </c>
      <c r="E164" s="47">
        <f t="shared" si="45"/>
        <v>0</v>
      </c>
      <c r="F164" s="47">
        <v>0</v>
      </c>
      <c r="G164" s="47">
        <v>0</v>
      </c>
      <c r="H164" s="47">
        <f t="shared" si="46"/>
        <v>179</v>
      </c>
      <c r="I164" s="47">
        <v>0</v>
      </c>
      <c r="J164" s="288">
        <v>179</v>
      </c>
      <c r="K164" s="287" t="s">
        <v>706</v>
      </c>
    </row>
    <row r="165" spans="2:11" ht="15.75" customHeight="1" thickBot="1" x14ac:dyDescent="0.25">
      <c r="B165" s="47">
        <f t="shared" si="43"/>
        <v>77</v>
      </c>
      <c r="C165" s="47">
        <f t="shared" si="44"/>
        <v>0</v>
      </c>
      <c r="D165" s="47">
        <f t="shared" si="44"/>
        <v>77</v>
      </c>
      <c r="E165" s="47">
        <f t="shared" si="45"/>
        <v>0</v>
      </c>
      <c r="F165" s="47">
        <v>0</v>
      </c>
      <c r="G165" s="47">
        <v>0</v>
      </c>
      <c r="H165" s="47">
        <f t="shared" si="46"/>
        <v>77</v>
      </c>
      <c r="I165" s="47">
        <v>0</v>
      </c>
      <c r="J165" s="288">
        <v>77</v>
      </c>
      <c r="K165" s="287" t="s">
        <v>707</v>
      </c>
    </row>
    <row r="166" spans="2:11" ht="15.75" customHeight="1" thickBot="1" x14ac:dyDescent="0.25">
      <c r="B166" s="47">
        <f t="shared" si="43"/>
        <v>58</v>
      </c>
      <c r="C166" s="47">
        <f t="shared" si="44"/>
        <v>0</v>
      </c>
      <c r="D166" s="47">
        <f t="shared" si="44"/>
        <v>58</v>
      </c>
      <c r="E166" s="47">
        <f t="shared" si="45"/>
        <v>0</v>
      </c>
      <c r="F166" s="47">
        <v>0</v>
      </c>
      <c r="G166" s="47">
        <v>0</v>
      </c>
      <c r="H166" s="47">
        <f t="shared" si="46"/>
        <v>58</v>
      </c>
      <c r="I166" s="47">
        <v>0</v>
      </c>
      <c r="J166" s="288">
        <v>58</v>
      </c>
      <c r="K166" s="287" t="s">
        <v>324</v>
      </c>
    </row>
    <row r="167" spans="2:11" ht="15.75" customHeight="1" thickBot="1" x14ac:dyDescent="0.25">
      <c r="B167" s="47">
        <f t="shared" si="43"/>
        <v>0</v>
      </c>
      <c r="C167" s="47">
        <f t="shared" si="44"/>
        <v>0</v>
      </c>
      <c r="D167" s="47">
        <f t="shared" si="44"/>
        <v>0</v>
      </c>
      <c r="E167" s="47">
        <f t="shared" si="45"/>
        <v>0</v>
      </c>
      <c r="F167" s="47">
        <v>0</v>
      </c>
      <c r="G167" s="47">
        <v>0</v>
      </c>
      <c r="H167" s="47">
        <f t="shared" si="46"/>
        <v>0</v>
      </c>
      <c r="I167" s="47">
        <v>0</v>
      </c>
      <c r="J167" s="288">
        <v>0</v>
      </c>
      <c r="K167" s="287" t="s">
        <v>708</v>
      </c>
    </row>
    <row r="168" spans="2:11" ht="15.75" customHeight="1" thickBot="1" x14ac:dyDescent="0.25">
      <c r="B168" s="290">
        <f t="shared" ref="B168:J168" si="47">SUM(B133:B167)</f>
        <v>12444</v>
      </c>
      <c r="C168" s="290">
        <f t="shared" si="47"/>
        <v>0</v>
      </c>
      <c r="D168" s="290">
        <f t="shared" si="47"/>
        <v>12444</v>
      </c>
      <c r="E168" s="290">
        <f t="shared" si="47"/>
        <v>0</v>
      </c>
      <c r="F168" s="290">
        <f t="shared" si="47"/>
        <v>0</v>
      </c>
      <c r="G168" s="290">
        <f t="shared" si="47"/>
        <v>0</v>
      </c>
      <c r="H168" s="290">
        <f t="shared" si="47"/>
        <v>12444</v>
      </c>
      <c r="I168" s="290">
        <f t="shared" si="47"/>
        <v>0</v>
      </c>
      <c r="J168" s="290">
        <f t="shared" si="47"/>
        <v>12444</v>
      </c>
      <c r="K168" s="291" t="s">
        <v>188</v>
      </c>
    </row>
    <row r="169" spans="2:11" ht="15.75" customHeight="1" thickBot="1" x14ac:dyDescent="0.25">
      <c r="B169" s="476" t="s">
        <v>4</v>
      </c>
      <c r="C169" s="476"/>
      <c r="D169" s="476"/>
      <c r="E169" s="476" t="s">
        <v>145</v>
      </c>
      <c r="F169" s="476"/>
      <c r="G169" s="476"/>
      <c r="H169" s="476" t="s">
        <v>146</v>
      </c>
      <c r="I169" s="476"/>
      <c r="J169" s="476"/>
      <c r="K169" s="202" t="s">
        <v>66</v>
      </c>
    </row>
    <row r="170" spans="2:11" ht="15.75" customHeight="1" thickBot="1" x14ac:dyDescent="0.25">
      <c r="B170" s="185" t="s">
        <v>227</v>
      </c>
      <c r="C170" s="185" t="s">
        <v>10</v>
      </c>
      <c r="D170" s="185" t="s">
        <v>9</v>
      </c>
      <c r="E170" s="185" t="s">
        <v>227</v>
      </c>
      <c r="F170" s="185" t="s">
        <v>10</v>
      </c>
      <c r="G170" s="185" t="s">
        <v>9</v>
      </c>
      <c r="H170" s="185" t="s">
        <v>227</v>
      </c>
      <c r="I170" s="185" t="s">
        <v>10</v>
      </c>
      <c r="J170" s="185" t="s">
        <v>9</v>
      </c>
      <c r="K170" s="187" t="s">
        <v>228</v>
      </c>
    </row>
    <row r="171" spans="2:11" ht="15.75" customHeight="1" thickBot="1" x14ac:dyDescent="0.25">
      <c r="B171" s="47">
        <f>SUM(C171:D171)</f>
        <v>304</v>
      </c>
      <c r="C171" s="47">
        <f>I171+F171</f>
        <v>0</v>
      </c>
      <c r="D171" s="47">
        <f>J171+G171</f>
        <v>304</v>
      </c>
      <c r="E171" s="47">
        <f>SUM(F171:G171)</f>
        <v>4</v>
      </c>
      <c r="F171" s="47">
        <v>0</v>
      </c>
      <c r="G171" s="47">
        <v>4</v>
      </c>
      <c r="H171" s="47">
        <f>SUM(I171:J171)</f>
        <v>300</v>
      </c>
      <c r="I171" s="47">
        <v>0</v>
      </c>
      <c r="J171" s="47">
        <v>300</v>
      </c>
      <c r="K171" s="266" t="s">
        <v>334</v>
      </c>
    </row>
    <row r="172" spans="2:11" ht="15.75" customHeight="1" thickBot="1" x14ac:dyDescent="0.25">
      <c r="B172" s="47">
        <f>SUM(C172:D172)</f>
        <v>465</v>
      </c>
      <c r="C172" s="47">
        <f>I172+F172</f>
        <v>0</v>
      </c>
      <c r="D172" s="47">
        <f>J172+G172</f>
        <v>465</v>
      </c>
      <c r="E172" s="47">
        <f>SUM(F172:G172)</f>
        <v>0</v>
      </c>
      <c r="F172" s="47">
        <v>0</v>
      </c>
      <c r="G172" s="47">
        <v>0</v>
      </c>
      <c r="H172" s="47">
        <f>SUM(I172:J172)</f>
        <v>465</v>
      </c>
      <c r="I172" s="47">
        <v>0</v>
      </c>
      <c r="J172" s="47">
        <v>465</v>
      </c>
      <c r="K172" s="266" t="s">
        <v>335</v>
      </c>
    </row>
    <row r="173" spans="2:11" ht="15.75" customHeight="1" thickBot="1" x14ac:dyDescent="0.25">
      <c r="B173" s="47">
        <f t="shared" ref="B173:J173" si="48">SUM(B171:B172)</f>
        <v>769</v>
      </c>
      <c r="C173" s="47">
        <f t="shared" si="48"/>
        <v>0</v>
      </c>
      <c r="D173" s="47">
        <f t="shared" si="48"/>
        <v>769</v>
      </c>
      <c r="E173" s="47">
        <f t="shared" si="48"/>
        <v>4</v>
      </c>
      <c r="F173" s="47">
        <f t="shared" si="48"/>
        <v>0</v>
      </c>
      <c r="G173" s="47">
        <f t="shared" si="48"/>
        <v>4</v>
      </c>
      <c r="H173" s="47">
        <f t="shared" si="48"/>
        <v>765</v>
      </c>
      <c r="I173" s="47">
        <f t="shared" si="48"/>
        <v>0</v>
      </c>
      <c r="J173" s="47">
        <f t="shared" si="48"/>
        <v>765</v>
      </c>
      <c r="K173" s="187" t="s">
        <v>188</v>
      </c>
    </row>
    <row r="174" spans="2:11" ht="15.75" customHeight="1" thickBot="1" x14ac:dyDescent="0.25">
      <c r="B174" s="476" t="s">
        <v>4</v>
      </c>
      <c r="C174" s="476"/>
      <c r="D174" s="476"/>
      <c r="E174" s="476" t="s">
        <v>145</v>
      </c>
      <c r="F174" s="476"/>
      <c r="G174" s="476"/>
      <c r="H174" s="476" t="s">
        <v>146</v>
      </c>
      <c r="I174" s="476"/>
      <c r="J174" s="476"/>
      <c r="K174" s="202" t="s">
        <v>66</v>
      </c>
    </row>
    <row r="175" spans="2:11" ht="15.75" customHeight="1" thickBot="1" x14ac:dyDescent="0.25">
      <c r="B175" s="185" t="s">
        <v>227</v>
      </c>
      <c r="C175" s="185" t="s">
        <v>10</v>
      </c>
      <c r="D175" s="185" t="s">
        <v>9</v>
      </c>
      <c r="E175" s="185" t="s">
        <v>227</v>
      </c>
      <c r="F175" s="185" t="s">
        <v>10</v>
      </c>
      <c r="G175" s="185" t="s">
        <v>9</v>
      </c>
      <c r="H175" s="185" t="s">
        <v>227</v>
      </c>
      <c r="I175" s="185" t="s">
        <v>10</v>
      </c>
      <c r="J175" s="185" t="s">
        <v>9</v>
      </c>
      <c r="K175" s="187" t="s">
        <v>153</v>
      </c>
    </row>
    <row r="176" spans="2:11" ht="15.75" customHeight="1" thickBot="1" x14ac:dyDescent="0.25">
      <c r="B176" s="47">
        <f>SUM(C176:D176)</f>
        <v>998</v>
      </c>
      <c r="C176" s="47">
        <f>I176+F176</f>
        <v>149</v>
      </c>
      <c r="D176" s="47">
        <f>J176+G176</f>
        <v>849</v>
      </c>
      <c r="E176" s="47">
        <f>SUM(F176:G176)</f>
        <v>0</v>
      </c>
      <c r="F176" s="47">
        <v>0</v>
      </c>
      <c r="G176" s="47">
        <v>0</v>
      </c>
      <c r="H176" s="47">
        <f>SUM(I176:J176)</f>
        <v>998</v>
      </c>
      <c r="I176" s="47">
        <v>149</v>
      </c>
      <c r="J176" s="47">
        <v>849</v>
      </c>
      <c r="K176" s="266" t="s">
        <v>153</v>
      </c>
    </row>
    <row r="177" spans="2:11" ht="15.75" customHeight="1" thickBot="1" x14ac:dyDescent="0.25">
      <c r="B177" s="47">
        <f t="shared" ref="B177:J177" si="49">SUM(B176)</f>
        <v>998</v>
      </c>
      <c r="C177" s="47">
        <f t="shared" si="49"/>
        <v>149</v>
      </c>
      <c r="D177" s="47">
        <f t="shared" si="49"/>
        <v>849</v>
      </c>
      <c r="E177" s="47">
        <f t="shared" si="49"/>
        <v>0</v>
      </c>
      <c r="F177" s="47">
        <f t="shared" si="49"/>
        <v>0</v>
      </c>
      <c r="G177" s="47">
        <f t="shared" si="49"/>
        <v>0</v>
      </c>
      <c r="H177" s="47">
        <f t="shared" si="49"/>
        <v>998</v>
      </c>
      <c r="I177" s="47">
        <f t="shared" si="49"/>
        <v>149</v>
      </c>
      <c r="J177" s="47">
        <f t="shared" si="49"/>
        <v>849</v>
      </c>
      <c r="K177" s="187" t="s">
        <v>188</v>
      </c>
    </row>
    <row r="178" spans="2:11" ht="15.75" customHeight="1" thickBot="1" x14ac:dyDescent="0.25">
      <c r="B178" s="476" t="s">
        <v>4</v>
      </c>
      <c r="C178" s="476"/>
      <c r="D178" s="476"/>
      <c r="E178" s="476" t="s">
        <v>145</v>
      </c>
      <c r="F178" s="476"/>
      <c r="G178" s="476"/>
      <c r="H178" s="476" t="s">
        <v>146</v>
      </c>
      <c r="I178" s="476"/>
      <c r="J178" s="476"/>
      <c r="K178" s="202" t="s">
        <v>66</v>
      </c>
    </row>
    <row r="179" spans="2:11" ht="15.75" customHeight="1" thickBot="1" x14ac:dyDescent="0.25">
      <c r="B179" s="185" t="s">
        <v>227</v>
      </c>
      <c r="C179" s="185" t="s">
        <v>10</v>
      </c>
      <c r="D179" s="185" t="s">
        <v>9</v>
      </c>
      <c r="E179" s="185" t="s">
        <v>227</v>
      </c>
      <c r="F179" s="185" t="s">
        <v>10</v>
      </c>
      <c r="G179" s="185" t="s">
        <v>9</v>
      </c>
      <c r="H179" s="185" t="s">
        <v>227</v>
      </c>
      <c r="I179" s="185" t="s">
        <v>10</v>
      </c>
      <c r="J179" s="185" t="s">
        <v>9</v>
      </c>
      <c r="K179" s="187" t="s">
        <v>152</v>
      </c>
    </row>
    <row r="180" spans="2:11" ht="15.75" customHeight="1" thickBot="1" x14ac:dyDescent="0.25">
      <c r="B180" s="47">
        <f>SUM(C180:D180)</f>
        <v>64</v>
      </c>
      <c r="C180" s="47">
        <f>I180+F180</f>
        <v>21</v>
      </c>
      <c r="D180" s="47">
        <f>J180+G180</f>
        <v>43</v>
      </c>
      <c r="E180" s="47">
        <f>SUM(F180:G180)</f>
        <v>0</v>
      </c>
      <c r="F180" s="47">
        <v>0</v>
      </c>
      <c r="G180" s="47">
        <v>0</v>
      </c>
      <c r="H180" s="47">
        <f>SUM(I180:J180)</f>
        <v>64</v>
      </c>
      <c r="I180" s="47">
        <v>21</v>
      </c>
      <c r="J180" s="47">
        <f>22+21</f>
        <v>43</v>
      </c>
      <c r="K180" s="266" t="s">
        <v>336</v>
      </c>
    </row>
    <row r="181" spans="2:11" ht="15.75" customHeight="1" thickBot="1" x14ac:dyDescent="0.25">
      <c r="B181" s="47">
        <f t="shared" ref="B181:J181" si="50">SUM(B180)</f>
        <v>64</v>
      </c>
      <c r="C181" s="47">
        <f t="shared" si="50"/>
        <v>21</v>
      </c>
      <c r="D181" s="47">
        <f t="shared" si="50"/>
        <v>43</v>
      </c>
      <c r="E181" s="47">
        <f t="shared" si="50"/>
        <v>0</v>
      </c>
      <c r="F181" s="47">
        <f t="shared" si="50"/>
        <v>0</v>
      </c>
      <c r="G181" s="47">
        <f t="shared" si="50"/>
        <v>0</v>
      </c>
      <c r="H181" s="47">
        <f t="shared" si="50"/>
        <v>64</v>
      </c>
      <c r="I181" s="47">
        <f t="shared" si="50"/>
        <v>21</v>
      </c>
      <c r="J181" s="47">
        <f t="shared" si="50"/>
        <v>43</v>
      </c>
      <c r="K181" s="187" t="s">
        <v>188</v>
      </c>
    </row>
  </sheetData>
  <mergeCells count="73">
    <mergeCell ref="B174:D174"/>
    <mergeCell ref="E174:G174"/>
    <mergeCell ref="H174:J174"/>
    <mergeCell ref="B178:D178"/>
    <mergeCell ref="E178:G178"/>
    <mergeCell ref="H178:J178"/>
    <mergeCell ref="B131:D131"/>
    <mergeCell ref="E131:G131"/>
    <mergeCell ref="H131:J131"/>
    <mergeCell ref="B169:D169"/>
    <mergeCell ref="E169:G169"/>
    <mergeCell ref="H169:J169"/>
    <mergeCell ref="B121:D121"/>
    <mergeCell ref="E121:G121"/>
    <mergeCell ref="H121:J121"/>
    <mergeCell ref="B127:D127"/>
    <mergeCell ref="E127:G127"/>
    <mergeCell ref="H127:J127"/>
    <mergeCell ref="B112:D112"/>
    <mergeCell ref="E112:G112"/>
    <mergeCell ref="H112:J112"/>
    <mergeCell ref="B117:D117"/>
    <mergeCell ref="E117:G117"/>
    <mergeCell ref="H117:J117"/>
    <mergeCell ref="B102:D102"/>
    <mergeCell ref="E102:G102"/>
    <mergeCell ref="H102:J102"/>
    <mergeCell ref="B107:D107"/>
    <mergeCell ref="E107:G107"/>
    <mergeCell ref="H107:J107"/>
    <mergeCell ref="B89:D89"/>
    <mergeCell ref="E89:G89"/>
    <mergeCell ref="H89:J89"/>
    <mergeCell ref="B96:D96"/>
    <mergeCell ref="E96:G96"/>
    <mergeCell ref="H96:J96"/>
    <mergeCell ref="B75:D75"/>
    <mergeCell ref="E75:G75"/>
    <mergeCell ref="H75:J75"/>
    <mergeCell ref="B80:D80"/>
    <mergeCell ref="E80:G80"/>
    <mergeCell ref="H80:J80"/>
    <mergeCell ref="B65:D65"/>
    <mergeCell ref="E65:G65"/>
    <mergeCell ref="H65:J65"/>
    <mergeCell ref="B69:D69"/>
    <mergeCell ref="E69:G69"/>
    <mergeCell ref="H69:J69"/>
    <mergeCell ref="B45:D45"/>
    <mergeCell ref="E45:G45"/>
    <mergeCell ref="H45:J45"/>
    <mergeCell ref="B56:D56"/>
    <mergeCell ref="E56:G56"/>
    <mergeCell ref="H56:J56"/>
    <mergeCell ref="B33:D33"/>
    <mergeCell ref="E33:G33"/>
    <mergeCell ref="H33:J33"/>
    <mergeCell ref="B40:D40"/>
    <mergeCell ref="E40:G40"/>
    <mergeCell ref="H40:J40"/>
    <mergeCell ref="B14:D14"/>
    <mergeCell ref="E14:G14"/>
    <mergeCell ref="H14:J14"/>
    <mergeCell ref="B21:D21"/>
    <mergeCell ref="E21:G21"/>
    <mergeCell ref="H21:J21"/>
    <mergeCell ref="B2:K2"/>
    <mergeCell ref="B4:D4"/>
    <mergeCell ref="E4:G4"/>
    <mergeCell ref="H4:J4"/>
    <mergeCell ref="B10:D10"/>
    <mergeCell ref="E10:G10"/>
    <mergeCell ref="H10:J10"/>
  </mergeCells>
  <pageMargins left="1.45" right="0.82" top="0.25" bottom="0.25" header="0.25" footer="0.25"/>
  <pageSetup paperSize="9" fitToWidth="100" fitToHeight="100" orientation="landscape" r:id="rId1"/>
  <headerFooter alignWithMargins="0"/>
  <rowBreaks count="1" manualBreakCount="1">
    <brk id="111" min="1" max="10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M826"/>
  <sheetViews>
    <sheetView showGridLines="0" topLeftCell="A64" zoomScaleSheetLayoutView="120" workbookViewId="0">
      <selection activeCell="L1" sqref="A1:L1048576"/>
    </sheetView>
  </sheetViews>
  <sheetFormatPr defaultColWidth="9.125" defaultRowHeight="13.5" customHeight="1" x14ac:dyDescent="0.2"/>
  <cols>
    <col min="1" max="1" width="9.125" style="253"/>
    <col min="2" max="5" width="11.625" style="252" bestFit="1" customWidth="1"/>
    <col min="6" max="6" width="9.25" style="252" bestFit="1" customWidth="1"/>
    <col min="7" max="9" width="11.625" style="252" bestFit="1" customWidth="1"/>
    <col min="10" max="10" width="9.25" style="252" bestFit="1" customWidth="1"/>
    <col min="11" max="11" width="9.125" style="253"/>
    <col min="12" max="12" width="38" style="292" bestFit="1" customWidth="1"/>
    <col min="13" max="13" width="9.125" style="41"/>
    <col min="14" max="16384" width="9.125" style="56"/>
  </cols>
  <sheetData>
    <row r="2" spans="2:13" ht="18" x14ac:dyDescent="0.2">
      <c r="B2" s="572" t="s">
        <v>709</v>
      </c>
      <c r="C2" s="572"/>
      <c r="D2" s="572"/>
      <c r="E2" s="572"/>
      <c r="F2" s="572"/>
      <c r="G2" s="572"/>
      <c r="H2" s="572"/>
      <c r="I2" s="572"/>
      <c r="J2" s="572"/>
      <c r="K2" s="572"/>
      <c r="L2" s="572"/>
      <c r="M2" s="83"/>
    </row>
    <row r="3" spans="2:13" ht="13.5" customHeight="1" thickBot="1" x14ac:dyDescent="0.25">
      <c r="M3" s="83"/>
    </row>
    <row r="4" spans="2:13" ht="13.5" customHeight="1" thickBot="1" x14ac:dyDescent="0.25">
      <c r="B4" s="476" t="s">
        <v>4</v>
      </c>
      <c r="C4" s="476"/>
      <c r="D4" s="476"/>
      <c r="E4" s="476" t="s">
        <v>145</v>
      </c>
      <c r="F4" s="476"/>
      <c r="G4" s="476"/>
      <c r="H4" s="476" t="s">
        <v>146</v>
      </c>
      <c r="I4" s="476"/>
      <c r="J4" s="476"/>
      <c r="K4" s="479" t="s">
        <v>66</v>
      </c>
      <c r="L4" s="479"/>
      <c r="M4" s="83"/>
    </row>
    <row r="5" spans="2:13" ht="13.5" customHeight="1" thickBot="1" x14ac:dyDescent="0.25">
      <c r="B5" s="185" t="s">
        <v>227</v>
      </c>
      <c r="C5" s="185" t="s">
        <v>10</v>
      </c>
      <c r="D5" s="185" t="s">
        <v>9</v>
      </c>
      <c r="E5" s="185" t="s">
        <v>227</v>
      </c>
      <c r="F5" s="185" t="s">
        <v>10</v>
      </c>
      <c r="G5" s="185" t="s">
        <v>9</v>
      </c>
      <c r="H5" s="185" t="s">
        <v>227</v>
      </c>
      <c r="I5" s="185" t="s">
        <v>10</v>
      </c>
      <c r="J5" s="185" t="s">
        <v>9</v>
      </c>
      <c r="K5" s="480" t="s">
        <v>68</v>
      </c>
      <c r="L5" s="480"/>
      <c r="M5" s="56"/>
    </row>
    <row r="6" spans="2:13" ht="13.5" customHeight="1" thickBot="1" x14ac:dyDescent="0.25">
      <c r="B6" s="47">
        <f>SUM(C6:D6)</f>
        <v>465</v>
      </c>
      <c r="C6" s="47">
        <f>I6+F6</f>
        <v>0</v>
      </c>
      <c r="D6" s="47">
        <f>J6+G6</f>
        <v>465</v>
      </c>
      <c r="E6" s="47">
        <f>SUM(F6:G6)</f>
        <v>0</v>
      </c>
      <c r="F6" s="47">
        <v>0</v>
      </c>
      <c r="G6" s="47">
        <v>0</v>
      </c>
      <c r="H6" s="47">
        <f>SUM(I6:J6)</f>
        <v>465</v>
      </c>
      <c r="I6" s="47">
        <v>0</v>
      </c>
      <c r="J6" s="47">
        <v>465</v>
      </c>
      <c r="K6" s="188" t="s">
        <v>233</v>
      </c>
      <c r="L6" s="129"/>
      <c r="M6" s="56"/>
    </row>
    <row r="7" spans="2:13" ht="13.5" customHeight="1" thickBot="1" x14ac:dyDescent="0.25">
      <c r="B7" s="47">
        <f>SUM(C7:D7)</f>
        <v>0</v>
      </c>
      <c r="C7" s="47">
        <f>I7+F7</f>
        <v>0</v>
      </c>
      <c r="D7" s="47">
        <f>J7+G7</f>
        <v>0</v>
      </c>
      <c r="E7" s="47">
        <f>SUM(F7:G7)</f>
        <v>0</v>
      </c>
      <c r="F7" s="47">
        <v>0</v>
      </c>
      <c r="G7" s="47">
        <v>0</v>
      </c>
      <c r="H7" s="47">
        <f>SUM(I7:J7)</f>
        <v>0</v>
      </c>
      <c r="I7" s="47">
        <v>0</v>
      </c>
      <c r="J7" s="47">
        <v>0</v>
      </c>
      <c r="K7" s="188" t="s">
        <v>234</v>
      </c>
      <c r="L7" s="129" t="s">
        <v>338</v>
      </c>
      <c r="M7" s="56"/>
    </row>
    <row r="8" spans="2:13" ht="13.5" customHeight="1" thickBot="1" x14ac:dyDescent="0.25">
      <c r="B8" s="47">
        <f t="shared" ref="B8:J8" si="0">SUM(B6:B7)</f>
        <v>465</v>
      </c>
      <c r="C8" s="47">
        <f t="shared" si="0"/>
        <v>0</v>
      </c>
      <c r="D8" s="47">
        <f t="shared" si="0"/>
        <v>465</v>
      </c>
      <c r="E8" s="47">
        <f t="shared" si="0"/>
        <v>0</v>
      </c>
      <c r="F8" s="47">
        <f t="shared" si="0"/>
        <v>0</v>
      </c>
      <c r="G8" s="47">
        <f t="shared" si="0"/>
        <v>0</v>
      </c>
      <c r="H8" s="47">
        <f t="shared" si="0"/>
        <v>465</v>
      </c>
      <c r="I8" s="47">
        <f t="shared" si="0"/>
        <v>0</v>
      </c>
      <c r="J8" s="47">
        <f t="shared" si="0"/>
        <v>465</v>
      </c>
      <c r="K8" s="188" t="s">
        <v>12</v>
      </c>
      <c r="L8" s="130"/>
      <c r="M8" s="56"/>
    </row>
    <row r="9" spans="2:13" ht="13.5" customHeight="1" thickBot="1" x14ac:dyDescent="0.25">
      <c r="B9" s="47">
        <f>SUM(C9:D9)</f>
        <v>588</v>
      </c>
      <c r="C9" s="47">
        <f>I9+F9</f>
        <v>269</v>
      </c>
      <c r="D9" s="47">
        <f>J9+G9</f>
        <v>319</v>
      </c>
      <c r="E9" s="47">
        <f>SUM(F9:G9)</f>
        <v>25</v>
      </c>
      <c r="F9" s="47">
        <v>4</v>
      </c>
      <c r="G9" s="47">
        <v>21</v>
      </c>
      <c r="H9" s="47">
        <f>SUM(I9:J9)</f>
        <v>563</v>
      </c>
      <c r="I9" s="47">
        <f>215+50</f>
        <v>265</v>
      </c>
      <c r="J9" s="47">
        <v>298</v>
      </c>
      <c r="K9" s="188" t="s">
        <v>233</v>
      </c>
      <c r="L9" s="129"/>
      <c r="M9" s="56"/>
    </row>
    <row r="10" spans="2:13" ht="13.5" customHeight="1" thickBot="1" x14ac:dyDescent="0.25">
      <c r="B10" s="47">
        <f>SUM(C10:D10)</f>
        <v>0</v>
      </c>
      <c r="C10" s="47">
        <f>I10+F10</f>
        <v>0</v>
      </c>
      <c r="D10" s="47">
        <f>J10+G10</f>
        <v>0</v>
      </c>
      <c r="E10" s="47">
        <f>SUM(F10:G10)</f>
        <v>0</v>
      </c>
      <c r="F10" s="47">
        <v>0</v>
      </c>
      <c r="G10" s="47">
        <v>0</v>
      </c>
      <c r="H10" s="47">
        <f>SUM(I10:J10)</f>
        <v>0</v>
      </c>
      <c r="I10" s="47">
        <v>0</v>
      </c>
      <c r="J10" s="47">
        <v>0</v>
      </c>
      <c r="K10" s="188" t="s">
        <v>234</v>
      </c>
      <c r="L10" s="129" t="s">
        <v>339</v>
      </c>
      <c r="M10" s="56"/>
    </row>
    <row r="11" spans="2:13" ht="13.5" customHeight="1" thickBot="1" x14ac:dyDescent="0.25">
      <c r="B11" s="47">
        <f t="shared" ref="B11:J11" si="1">SUM(B9:B10)</f>
        <v>588</v>
      </c>
      <c r="C11" s="47">
        <f t="shared" si="1"/>
        <v>269</v>
      </c>
      <c r="D11" s="47">
        <f t="shared" si="1"/>
        <v>319</v>
      </c>
      <c r="E11" s="47">
        <f t="shared" si="1"/>
        <v>25</v>
      </c>
      <c r="F11" s="47">
        <f t="shared" si="1"/>
        <v>4</v>
      </c>
      <c r="G11" s="47">
        <f t="shared" si="1"/>
        <v>21</v>
      </c>
      <c r="H11" s="47">
        <f t="shared" si="1"/>
        <v>563</v>
      </c>
      <c r="I11" s="47">
        <f t="shared" si="1"/>
        <v>265</v>
      </c>
      <c r="J11" s="47">
        <f t="shared" si="1"/>
        <v>298</v>
      </c>
      <c r="K11" s="188" t="s">
        <v>12</v>
      </c>
      <c r="L11" s="130"/>
      <c r="M11" s="56"/>
    </row>
    <row r="12" spans="2:13" ht="13.5" customHeight="1" thickBot="1" x14ac:dyDescent="0.25">
      <c r="B12" s="47">
        <f>SUM(C12:D12)</f>
        <v>334</v>
      </c>
      <c r="C12" s="47">
        <f>I12+F12</f>
        <v>291</v>
      </c>
      <c r="D12" s="47">
        <f>J12+G12</f>
        <v>43</v>
      </c>
      <c r="E12" s="47">
        <f>SUM(F12:G12)</f>
        <v>4</v>
      </c>
      <c r="F12" s="47">
        <v>4</v>
      </c>
      <c r="G12" s="47">
        <v>0</v>
      </c>
      <c r="H12" s="47">
        <f>SUM(I12:J12)</f>
        <v>330</v>
      </c>
      <c r="I12" s="47">
        <f>237+50</f>
        <v>287</v>
      </c>
      <c r="J12" s="47">
        <v>43</v>
      </c>
      <c r="K12" s="188" t="s">
        <v>233</v>
      </c>
      <c r="L12" s="129"/>
      <c r="M12" s="56"/>
    </row>
    <row r="13" spans="2:13" ht="13.5" customHeight="1" thickBot="1" x14ac:dyDescent="0.25">
      <c r="B13" s="47">
        <f>SUM(C13:D13)</f>
        <v>0</v>
      </c>
      <c r="C13" s="47">
        <f>I13+F13</f>
        <v>0</v>
      </c>
      <c r="D13" s="47">
        <f>J13+G13</f>
        <v>0</v>
      </c>
      <c r="E13" s="47">
        <f>SUM(F13:G13)</f>
        <v>0</v>
      </c>
      <c r="F13" s="47">
        <v>0</v>
      </c>
      <c r="G13" s="47">
        <v>0</v>
      </c>
      <c r="H13" s="47">
        <f>SUM(I13:J13)</f>
        <v>0</v>
      </c>
      <c r="I13" s="47">
        <v>0</v>
      </c>
      <c r="J13" s="47">
        <v>0</v>
      </c>
      <c r="K13" s="188" t="s">
        <v>234</v>
      </c>
      <c r="L13" s="129" t="s">
        <v>340</v>
      </c>
      <c r="M13" s="56"/>
    </row>
    <row r="14" spans="2:13" ht="13.5" customHeight="1" thickBot="1" x14ac:dyDescent="0.25">
      <c r="B14" s="47">
        <f t="shared" ref="B14:J14" si="2">SUM(B12:B13)</f>
        <v>334</v>
      </c>
      <c r="C14" s="47">
        <f t="shared" si="2"/>
        <v>291</v>
      </c>
      <c r="D14" s="47">
        <f t="shared" si="2"/>
        <v>43</v>
      </c>
      <c r="E14" s="47">
        <f t="shared" si="2"/>
        <v>4</v>
      </c>
      <c r="F14" s="47">
        <f t="shared" si="2"/>
        <v>4</v>
      </c>
      <c r="G14" s="47">
        <f t="shared" si="2"/>
        <v>0</v>
      </c>
      <c r="H14" s="47">
        <f t="shared" si="2"/>
        <v>330</v>
      </c>
      <c r="I14" s="47">
        <f t="shared" si="2"/>
        <v>287</v>
      </c>
      <c r="J14" s="47">
        <f t="shared" si="2"/>
        <v>43</v>
      </c>
      <c r="K14" s="188" t="s">
        <v>12</v>
      </c>
      <c r="L14" s="130"/>
      <c r="M14" s="56"/>
    </row>
    <row r="15" spans="2:13" ht="13.5" customHeight="1" thickBot="1" x14ac:dyDescent="0.25">
      <c r="B15" s="47">
        <f>SUM(C15:D15)</f>
        <v>644</v>
      </c>
      <c r="C15" s="47">
        <f>I15+F15</f>
        <v>263</v>
      </c>
      <c r="D15" s="47">
        <f>J15+G15</f>
        <v>381</v>
      </c>
      <c r="E15" s="47">
        <f>SUM(F15:G15)</f>
        <v>2</v>
      </c>
      <c r="F15" s="47">
        <v>2</v>
      </c>
      <c r="G15" s="47">
        <v>0</v>
      </c>
      <c r="H15" s="47">
        <f>SUM(I15:J15)</f>
        <v>642</v>
      </c>
      <c r="I15" s="47">
        <f>211+50</f>
        <v>261</v>
      </c>
      <c r="J15" s="47">
        <f>431-50</f>
        <v>381</v>
      </c>
      <c r="K15" s="188" t="s">
        <v>233</v>
      </c>
      <c r="L15" s="129"/>
      <c r="M15" s="56"/>
    </row>
    <row r="16" spans="2:13" ht="13.5" customHeight="1" thickBot="1" x14ac:dyDescent="0.25">
      <c r="B16" s="47">
        <f>SUM(C16:D16)</f>
        <v>0</v>
      </c>
      <c r="C16" s="47">
        <f>I16+F16</f>
        <v>0</v>
      </c>
      <c r="D16" s="47">
        <f>J16+G16</f>
        <v>0</v>
      </c>
      <c r="E16" s="47">
        <f>SUM(F16:G16)</f>
        <v>0</v>
      </c>
      <c r="F16" s="47">
        <v>0</v>
      </c>
      <c r="G16" s="47">
        <v>0</v>
      </c>
      <c r="H16" s="47">
        <f>SUM(I16:J16)</f>
        <v>0</v>
      </c>
      <c r="I16" s="47">
        <v>0</v>
      </c>
      <c r="J16" s="47">
        <v>0</v>
      </c>
      <c r="K16" s="188" t="s">
        <v>234</v>
      </c>
      <c r="L16" s="129" t="s">
        <v>341</v>
      </c>
      <c r="M16" s="56"/>
    </row>
    <row r="17" spans="2:13" ht="13.5" customHeight="1" thickBot="1" x14ac:dyDescent="0.25">
      <c r="B17" s="47">
        <f t="shared" ref="B17:J17" si="3">SUM(B15:B16)</f>
        <v>644</v>
      </c>
      <c r="C17" s="47">
        <f t="shared" si="3"/>
        <v>263</v>
      </c>
      <c r="D17" s="47">
        <f t="shared" si="3"/>
        <v>381</v>
      </c>
      <c r="E17" s="47">
        <f t="shared" si="3"/>
        <v>2</v>
      </c>
      <c r="F17" s="47">
        <f t="shared" si="3"/>
        <v>2</v>
      </c>
      <c r="G17" s="47">
        <f t="shared" si="3"/>
        <v>0</v>
      </c>
      <c r="H17" s="47">
        <f t="shared" si="3"/>
        <v>642</v>
      </c>
      <c r="I17" s="47">
        <f t="shared" si="3"/>
        <v>261</v>
      </c>
      <c r="J17" s="47">
        <f t="shared" si="3"/>
        <v>381</v>
      </c>
      <c r="K17" s="188" t="s">
        <v>12</v>
      </c>
      <c r="L17" s="130"/>
      <c r="M17" s="56"/>
    </row>
    <row r="18" spans="2:13" ht="13.5" customHeight="1" thickBot="1" x14ac:dyDescent="0.25">
      <c r="B18" s="47">
        <f>SUM(C18:D18)</f>
        <v>714</v>
      </c>
      <c r="C18" s="47">
        <f>I18+F18</f>
        <v>526</v>
      </c>
      <c r="D18" s="47">
        <f>J18+G18</f>
        <v>188</v>
      </c>
      <c r="E18" s="47">
        <f>SUM(F18:G18)</f>
        <v>7</v>
      </c>
      <c r="F18" s="47">
        <v>5</v>
      </c>
      <c r="G18" s="47">
        <v>2</v>
      </c>
      <c r="H18" s="47">
        <f>SUM(I18:J18)</f>
        <v>707</v>
      </c>
      <c r="I18" s="47">
        <f>471+50</f>
        <v>521</v>
      </c>
      <c r="J18" s="47">
        <v>186</v>
      </c>
      <c r="K18" s="188" t="s">
        <v>233</v>
      </c>
      <c r="L18" s="129"/>
      <c r="M18" s="56"/>
    </row>
    <row r="19" spans="2:13" ht="13.5" customHeight="1" thickBot="1" x14ac:dyDescent="0.25">
      <c r="B19" s="47">
        <f>SUM(C19:D19)</f>
        <v>0</v>
      </c>
      <c r="C19" s="47">
        <f>I19+F19</f>
        <v>0</v>
      </c>
      <c r="D19" s="47">
        <f>J19+G19</f>
        <v>0</v>
      </c>
      <c r="E19" s="47">
        <f>SUM(F19:G19)</f>
        <v>0</v>
      </c>
      <c r="F19" s="47">
        <v>0</v>
      </c>
      <c r="G19" s="47">
        <v>0</v>
      </c>
      <c r="H19" s="47">
        <f>SUM(I19:J19)</f>
        <v>0</v>
      </c>
      <c r="I19" s="47">
        <v>0</v>
      </c>
      <c r="J19" s="47">
        <v>0</v>
      </c>
      <c r="K19" s="188" t="s">
        <v>234</v>
      </c>
      <c r="L19" s="129" t="s">
        <v>342</v>
      </c>
      <c r="M19" s="56"/>
    </row>
    <row r="20" spans="2:13" ht="13.5" customHeight="1" thickBot="1" x14ac:dyDescent="0.25">
      <c r="B20" s="47">
        <f t="shared" ref="B20:J20" si="4">SUM(B18:B19)</f>
        <v>714</v>
      </c>
      <c r="C20" s="47">
        <f t="shared" si="4"/>
        <v>526</v>
      </c>
      <c r="D20" s="47">
        <f t="shared" si="4"/>
        <v>188</v>
      </c>
      <c r="E20" s="47">
        <f t="shared" si="4"/>
        <v>7</v>
      </c>
      <c r="F20" s="47">
        <f t="shared" si="4"/>
        <v>5</v>
      </c>
      <c r="G20" s="47">
        <f t="shared" si="4"/>
        <v>2</v>
      </c>
      <c r="H20" s="47">
        <f t="shared" si="4"/>
        <v>707</v>
      </c>
      <c r="I20" s="47">
        <f t="shared" si="4"/>
        <v>521</v>
      </c>
      <c r="J20" s="47">
        <f t="shared" si="4"/>
        <v>186</v>
      </c>
      <c r="K20" s="188" t="s">
        <v>12</v>
      </c>
      <c r="L20" s="130"/>
      <c r="M20" s="56"/>
    </row>
    <row r="21" spans="2:13" ht="13.5" customHeight="1" thickBot="1" x14ac:dyDescent="0.25">
      <c r="B21" s="47">
        <f>SUM(C21:D21)</f>
        <v>302</v>
      </c>
      <c r="C21" s="47">
        <f>I21+F21</f>
        <v>0</v>
      </c>
      <c r="D21" s="47">
        <f>J21+G21</f>
        <v>302</v>
      </c>
      <c r="E21" s="47">
        <f>SUM(F21:G21)</f>
        <v>6</v>
      </c>
      <c r="F21" s="47">
        <v>0</v>
      </c>
      <c r="G21" s="47">
        <v>6</v>
      </c>
      <c r="H21" s="47">
        <f>SUM(I21:J21)</f>
        <v>296</v>
      </c>
      <c r="I21" s="47">
        <v>0</v>
      </c>
      <c r="J21" s="47">
        <f>327-31</f>
        <v>296</v>
      </c>
      <c r="K21" s="188" t="s">
        <v>233</v>
      </c>
      <c r="L21" s="129"/>
      <c r="M21" s="56"/>
    </row>
    <row r="22" spans="2:13" ht="13.5" customHeight="1" thickBot="1" x14ac:dyDescent="0.25">
      <c r="B22" s="47">
        <f>SUM(C22:D22)</f>
        <v>0</v>
      </c>
      <c r="C22" s="47">
        <f>I22+F22</f>
        <v>0</v>
      </c>
      <c r="D22" s="47">
        <f>J22+G22</f>
        <v>0</v>
      </c>
      <c r="E22" s="47">
        <f>SUM(F22:G22)</f>
        <v>0</v>
      </c>
      <c r="F22" s="47">
        <v>0</v>
      </c>
      <c r="G22" s="47">
        <v>0</v>
      </c>
      <c r="H22" s="47">
        <f>SUM(I22:J22)</f>
        <v>0</v>
      </c>
      <c r="I22" s="47">
        <v>0</v>
      </c>
      <c r="J22" s="47">
        <v>0</v>
      </c>
      <c r="K22" s="188" t="s">
        <v>234</v>
      </c>
      <c r="L22" s="129" t="s">
        <v>343</v>
      </c>
      <c r="M22" s="56"/>
    </row>
    <row r="23" spans="2:13" ht="13.5" customHeight="1" thickBot="1" x14ac:dyDescent="0.25">
      <c r="B23" s="47">
        <f t="shared" ref="B23:J23" si="5">SUM(B21:B22)</f>
        <v>302</v>
      </c>
      <c r="C23" s="47">
        <f t="shared" si="5"/>
        <v>0</v>
      </c>
      <c r="D23" s="47">
        <f t="shared" si="5"/>
        <v>302</v>
      </c>
      <c r="E23" s="47">
        <f t="shared" si="5"/>
        <v>6</v>
      </c>
      <c r="F23" s="47">
        <f t="shared" si="5"/>
        <v>0</v>
      </c>
      <c r="G23" s="47">
        <f t="shared" si="5"/>
        <v>6</v>
      </c>
      <c r="H23" s="47">
        <f t="shared" si="5"/>
        <v>296</v>
      </c>
      <c r="I23" s="47">
        <f t="shared" si="5"/>
        <v>0</v>
      </c>
      <c r="J23" s="47">
        <f t="shared" si="5"/>
        <v>296</v>
      </c>
      <c r="K23" s="188" t="s">
        <v>12</v>
      </c>
      <c r="L23" s="130"/>
      <c r="M23" s="56"/>
    </row>
    <row r="24" spans="2:13" ht="13.5" customHeight="1" thickBot="1" x14ac:dyDescent="0.25">
      <c r="B24" s="47">
        <f>SUM(C24:D24)</f>
        <v>141</v>
      </c>
      <c r="C24" s="47">
        <f>I24+F24</f>
        <v>55</v>
      </c>
      <c r="D24" s="47">
        <f>J24+G24</f>
        <v>86</v>
      </c>
      <c r="E24" s="47">
        <f>SUM(F24:G24)</f>
        <v>0</v>
      </c>
      <c r="F24" s="47">
        <v>0</v>
      </c>
      <c r="G24" s="47">
        <v>0</v>
      </c>
      <c r="H24" s="47">
        <f>SUM(I24:J24)</f>
        <v>141</v>
      </c>
      <c r="I24" s="47">
        <v>55</v>
      </c>
      <c r="J24" s="47">
        <v>86</v>
      </c>
      <c r="K24" s="188" t="s">
        <v>233</v>
      </c>
      <c r="L24" s="129"/>
      <c r="M24" s="56"/>
    </row>
    <row r="25" spans="2:13" ht="13.5" customHeight="1" thickBot="1" x14ac:dyDescent="0.25">
      <c r="B25" s="47">
        <f>SUM(C25:D25)</f>
        <v>0</v>
      </c>
      <c r="C25" s="47">
        <f>I25+F25</f>
        <v>0</v>
      </c>
      <c r="D25" s="47">
        <f>J25+G25</f>
        <v>0</v>
      </c>
      <c r="E25" s="47">
        <f>SUM(F25:G25)</f>
        <v>0</v>
      </c>
      <c r="F25" s="47">
        <v>0</v>
      </c>
      <c r="G25" s="47">
        <v>0</v>
      </c>
      <c r="H25" s="47">
        <f>SUM(I25:J25)</f>
        <v>0</v>
      </c>
      <c r="I25" s="47">
        <v>0</v>
      </c>
      <c r="J25" s="47">
        <v>0</v>
      </c>
      <c r="K25" s="188" t="s">
        <v>234</v>
      </c>
      <c r="L25" s="129" t="s">
        <v>417</v>
      </c>
      <c r="M25" s="56"/>
    </row>
    <row r="26" spans="2:13" ht="13.5" customHeight="1" thickBot="1" x14ac:dyDescent="0.25">
      <c r="B26" s="47">
        <f t="shared" ref="B26:J26" si="6">SUM(B24:B25)</f>
        <v>141</v>
      </c>
      <c r="C26" s="47">
        <f t="shared" si="6"/>
        <v>55</v>
      </c>
      <c r="D26" s="47">
        <f t="shared" si="6"/>
        <v>86</v>
      </c>
      <c r="E26" s="47">
        <f t="shared" si="6"/>
        <v>0</v>
      </c>
      <c r="F26" s="47">
        <f t="shared" si="6"/>
        <v>0</v>
      </c>
      <c r="G26" s="47">
        <f t="shared" si="6"/>
        <v>0</v>
      </c>
      <c r="H26" s="47">
        <f t="shared" si="6"/>
        <v>141</v>
      </c>
      <c r="I26" s="47">
        <f t="shared" si="6"/>
        <v>55</v>
      </c>
      <c r="J26" s="47">
        <f t="shared" si="6"/>
        <v>86</v>
      </c>
      <c r="K26" s="188" t="s">
        <v>12</v>
      </c>
      <c r="L26" s="130"/>
      <c r="M26" s="56"/>
    </row>
    <row r="27" spans="2:13" ht="13.5" customHeight="1" thickBot="1" x14ac:dyDescent="0.25">
      <c r="B27" s="47">
        <f>SUM(C27:D27)</f>
        <v>602</v>
      </c>
      <c r="C27" s="47">
        <f>I27+F27</f>
        <v>392</v>
      </c>
      <c r="D27" s="47">
        <f>J27+G27</f>
        <v>210</v>
      </c>
      <c r="E27" s="47">
        <f>SUM(F27:G27)</f>
        <v>12</v>
      </c>
      <c r="F27" s="47">
        <v>10</v>
      </c>
      <c r="G27" s="47">
        <v>2</v>
      </c>
      <c r="H27" s="47">
        <f>SUM(I27:J27)</f>
        <v>590</v>
      </c>
      <c r="I27" s="47">
        <f>332+50</f>
        <v>382</v>
      </c>
      <c r="J27" s="47">
        <v>208</v>
      </c>
      <c r="K27" s="188" t="s">
        <v>233</v>
      </c>
      <c r="L27" s="129"/>
      <c r="M27" s="56"/>
    </row>
    <row r="28" spans="2:13" ht="13.5" customHeight="1" thickBot="1" x14ac:dyDescent="0.25">
      <c r="B28" s="47">
        <f>SUM(C28:D28)</f>
        <v>0</v>
      </c>
      <c r="C28" s="47">
        <f>I28+F28</f>
        <v>0</v>
      </c>
      <c r="D28" s="47">
        <f>J28+G28</f>
        <v>0</v>
      </c>
      <c r="E28" s="47">
        <f>SUM(F28:G28)</f>
        <v>0</v>
      </c>
      <c r="F28" s="47">
        <v>0</v>
      </c>
      <c r="G28" s="47">
        <v>0</v>
      </c>
      <c r="H28" s="47">
        <f>SUM(I28:J28)</f>
        <v>0</v>
      </c>
      <c r="I28" s="47">
        <v>0</v>
      </c>
      <c r="J28" s="47">
        <v>0</v>
      </c>
      <c r="K28" s="188" t="s">
        <v>234</v>
      </c>
      <c r="L28" s="129" t="s">
        <v>345</v>
      </c>
      <c r="M28" s="56"/>
    </row>
    <row r="29" spans="2:13" ht="13.5" customHeight="1" thickBot="1" x14ac:dyDescent="0.25">
      <c r="B29" s="47">
        <f t="shared" ref="B29:J29" si="7">SUM(B27:B28)</f>
        <v>602</v>
      </c>
      <c r="C29" s="47">
        <f t="shared" si="7"/>
        <v>392</v>
      </c>
      <c r="D29" s="47">
        <f t="shared" si="7"/>
        <v>210</v>
      </c>
      <c r="E29" s="47">
        <f t="shared" si="7"/>
        <v>12</v>
      </c>
      <c r="F29" s="47">
        <f t="shared" si="7"/>
        <v>10</v>
      </c>
      <c r="G29" s="47">
        <f t="shared" si="7"/>
        <v>2</v>
      </c>
      <c r="H29" s="47">
        <f t="shared" si="7"/>
        <v>590</v>
      </c>
      <c r="I29" s="47">
        <f t="shared" si="7"/>
        <v>382</v>
      </c>
      <c r="J29" s="47">
        <f t="shared" si="7"/>
        <v>208</v>
      </c>
      <c r="K29" s="188" t="s">
        <v>12</v>
      </c>
      <c r="L29" s="130"/>
      <c r="M29" s="56"/>
    </row>
    <row r="30" spans="2:13" ht="13.5" customHeight="1" thickBot="1" x14ac:dyDescent="0.25">
      <c r="B30" s="47">
        <f>SUM(C30:D30)</f>
        <v>350</v>
      </c>
      <c r="C30" s="47">
        <f>I30+F30</f>
        <v>226</v>
      </c>
      <c r="D30" s="47">
        <f>J30+G30</f>
        <v>124</v>
      </c>
      <c r="E30" s="47">
        <f>SUM(F30:G30)</f>
        <v>43</v>
      </c>
      <c r="F30" s="47">
        <v>13</v>
      </c>
      <c r="G30" s="47">
        <v>30</v>
      </c>
      <c r="H30" s="47">
        <f>SUM(I30:J30)</f>
        <v>307</v>
      </c>
      <c r="I30" s="47">
        <f>163+50</f>
        <v>213</v>
      </c>
      <c r="J30" s="47">
        <v>94</v>
      </c>
      <c r="K30" s="188" t="s">
        <v>233</v>
      </c>
      <c r="L30" s="129"/>
      <c r="M30" s="56"/>
    </row>
    <row r="31" spans="2:13" ht="13.5" customHeight="1" thickBot="1" x14ac:dyDescent="0.25">
      <c r="B31" s="47">
        <f>SUM(C31:D31)</f>
        <v>0</v>
      </c>
      <c r="C31" s="47">
        <f>I31+F31</f>
        <v>0</v>
      </c>
      <c r="D31" s="47">
        <f>J31+G31</f>
        <v>0</v>
      </c>
      <c r="E31" s="47">
        <f>SUM(F31:G31)</f>
        <v>0</v>
      </c>
      <c r="F31" s="47">
        <v>0</v>
      </c>
      <c r="G31" s="47">
        <v>0</v>
      </c>
      <c r="H31" s="47">
        <f>SUM(I31:J31)</f>
        <v>0</v>
      </c>
      <c r="I31" s="47">
        <v>0</v>
      </c>
      <c r="J31" s="47">
        <v>0</v>
      </c>
      <c r="K31" s="188" t="s">
        <v>234</v>
      </c>
      <c r="L31" s="129" t="s">
        <v>346</v>
      </c>
      <c r="M31" s="56"/>
    </row>
    <row r="32" spans="2:13" ht="13.5" customHeight="1" thickBot="1" x14ac:dyDescent="0.25">
      <c r="B32" s="47">
        <f t="shared" ref="B32:J32" si="8">SUM(B30:B31)</f>
        <v>350</v>
      </c>
      <c r="C32" s="47">
        <f t="shared" si="8"/>
        <v>226</v>
      </c>
      <c r="D32" s="47">
        <f t="shared" si="8"/>
        <v>124</v>
      </c>
      <c r="E32" s="47">
        <f t="shared" si="8"/>
        <v>43</v>
      </c>
      <c r="F32" s="47">
        <f t="shared" si="8"/>
        <v>13</v>
      </c>
      <c r="G32" s="47">
        <f t="shared" si="8"/>
        <v>30</v>
      </c>
      <c r="H32" s="47">
        <f t="shared" si="8"/>
        <v>307</v>
      </c>
      <c r="I32" s="47">
        <f t="shared" si="8"/>
        <v>213</v>
      </c>
      <c r="J32" s="47">
        <f t="shared" si="8"/>
        <v>94</v>
      </c>
      <c r="K32" s="188" t="s">
        <v>12</v>
      </c>
      <c r="L32" s="130"/>
      <c r="M32" s="56"/>
    </row>
    <row r="33" spans="2:13" ht="13.5" customHeight="1" thickBot="1" x14ac:dyDescent="0.25">
      <c r="B33" s="47">
        <f>SUM(C33:D33)</f>
        <v>105</v>
      </c>
      <c r="C33" s="47">
        <f>I33+F33</f>
        <v>74</v>
      </c>
      <c r="D33" s="47">
        <f>J33+G33</f>
        <v>31</v>
      </c>
      <c r="E33" s="47">
        <f>SUM(F33:G33)</f>
        <v>0</v>
      </c>
      <c r="F33" s="47">
        <v>0</v>
      </c>
      <c r="G33" s="47">
        <v>0</v>
      </c>
      <c r="H33" s="47">
        <f>SUM(I33:J33)</f>
        <v>105</v>
      </c>
      <c r="I33" s="47">
        <v>74</v>
      </c>
      <c r="J33" s="47">
        <v>31</v>
      </c>
      <c r="K33" s="188" t="s">
        <v>233</v>
      </c>
      <c r="L33" s="129"/>
      <c r="M33" s="56"/>
    </row>
    <row r="34" spans="2:13" ht="13.5" customHeight="1" thickBot="1" x14ac:dyDescent="0.25">
      <c r="B34" s="47">
        <f>SUM(C34:D34)</f>
        <v>0</v>
      </c>
      <c r="C34" s="47">
        <f>I34+F34</f>
        <v>0</v>
      </c>
      <c r="D34" s="47">
        <f>J34+G34</f>
        <v>0</v>
      </c>
      <c r="E34" s="47">
        <f>SUM(F34:G34)</f>
        <v>0</v>
      </c>
      <c r="F34" s="47">
        <v>0</v>
      </c>
      <c r="G34" s="47">
        <v>0</v>
      </c>
      <c r="H34" s="47">
        <f>SUM(I34:J34)</f>
        <v>0</v>
      </c>
      <c r="I34" s="47">
        <v>0</v>
      </c>
      <c r="J34" s="47">
        <v>0</v>
      </c>
      <c r="K34" s="188" t="s">
        <v>234</v>
      </c>
      <c r="L34" s="129" t="s">
        <v>347</v>
      </c>
      <c r="M34" s="56"/>
    </row>
    <row r="35" spans="2:13" ht="13.5" customHeight="1" thickBot="1" x14ac:dyDescent="0.25">
      <c r="B35" s="47">
        <f t="shared" ref="B35:J35" si="9">SUM(B33:B34)</f>
        <v>105</v>
      </c>
      <c r="C35" s="47">
        <f t="shared" si="9"/>
        <v>74</v>
      </c>
      <c r="D35" s="47">
        <f t="shared" si="9"/>
        <v>31</v>
      </c>
      <c r="E35" s="47">
        <f t="shared" si="9"/>
        <v>0</v>
      </c>
      <c r="F35" s="47">
        <f t="shared" si="9"/>
        <v>0</v>
      </c>
      <c r="G35" s="47">
        <f t="shared" si="9"/>
        <v>0</v>
      </c>
      <c r="H35" s="47">
        <f t="shared" si="9"/>
        <v>105</v>
      </c>
      <c r="I35" s="47">
        <f t="shared" si="9"/>
        <v>74</v>
      </c>
      <c r="J35" s="47">
        <f t="shared" si="9"/>
        <v>31</v>
      </c>
      <c r="K35" s="188" t="s">
        <v>12</v>
      </c>
      <c r="L35" s="130"/>
      <c r="M35" s="56"/>
    </row>
    <row r="36" spans="2:13" ht="13.5" customHeight="1" thickBot="1" x14ac:dyDescent="0.25">
      <c r="B36" s="47">
        <f>SUM(C36:D36)</f>
        <v>216</v>
      </c>
      <c r="C36" s="47">
        <f>I36+F36</f>
        <v>115</v>
      </c>
      <c r="D36" s="47">
        <f>J36+G36</f>
        <v>101</v>
      </c>
      <c r="E36" s="47">
        <f>SUM(F36:G36)</f>
        <v>5</v>
      </c>
      <c r="F36" s="47">
        <v>3</v>
      </c>
      <c r="G36" s="47">
        <v>2</v>
      </c>
      <c r="H36" s="47">
        <f>SUM(I36:J36)</f>
        <v>211</v>
      </c>
      <c r="I36" s="47">
        <v>112</v>
      </c>
      <c r="J36" s="47">
        <v>99</v>
      </c>
      <c r="K36" s="188" t="s">
        <v>233</v>
      </c>
      <c r="L36" s="129"/>
      <c r="M36" s="56"/>
    </row>
    <row r="37" spans="2:13" ht="13.5" customHeight="1" thickBot="1" x14ac:dyDescent="0.25">
      <c r="B37" s="47">
        <f>SUM(C37:D37)</f>
        <v>0</v>
      </c>
      <c r="C37" s="47">
        <f>I37+F37</f>
        <v>0</v>
      </c>
      <c r="D37" s="47">
        <f>J37+G37</f>
        <v>0</v>
      </c>
      <c r="E37" s="47">
        <f>SUM(F37:G37)</f>
        <v>0</v>
      </c>
      <c r="F37" s="47">
        <v>0</v>
      </c>
      <c r="G37" s="47">
        <v>0</v>
      </c>
      <c r="H37" s="47">
        <f>SUM(I37:J37)</f>
        <v>0</v>
      </c>
      <c r="I37" s="47">
        <v>0</v>
      </c>
      <c r="J37" s="47">
        <v>0</v>
      </c>
      <c r="K37" s="188" t="s">
        <v>234</v>
      </c>
      <c r="L37" s="129" t="s">
        <v>349</v>
      </c>
      <c r="M37" s="56"/>
    </row>
    <row r="38" spans="2:13" ht="13.5" customHeight="1" thickBot="1" x14ac:dyDescent="0.25">
      <c r="B38" s="47">
        <f t="shared" ref="B38:J38" si="10">SUM(B36:B37)</f>
        <v>216</v>
      </c>
      <c r="C38" s="47">
        <f t="shared" si="10"/>
        <v>115</v>
      </c>
      <c r="D38" s="47">
        <f t="shared" si="10"/>
        <v>101</v>
      </c>
      <c r="E38" s="47">
        <f t="shared" si="10"/>
        <v>5</v>
      </c>
      <c r="F38" s="47">
        <f t="shared" si="10"/>
        <v>3</v>
      </c>
      <c r="G38" s="47">
        <f t="shared" si="10"/>
        <v>2</v>
      </c>
      <c r="H38" s="47">
        <f t="shared" si="10"/>
        <v>211</v>
      </c>
      <c r="I38" s="47">
        <f t="shared" si="10"/>
        <v>112</v>
      </c>
      <c r="J38" s="47">
        <f t="shared" si="10"/>
        <v>99</v>
      </c>
      <c r="K38" s="188" t="s">
        <v>12</v>
      </c>
      <c r="L38" s="130"/>
      <c r="M38" s="56"/>
    </row>
    <row r="39" spans="2:13" ht="13.5" customHeight="1" thickBot="1" x14ac:dyDescent="0.25">
      <c r="B39" s="47">
        <f>SUM(C39:D39)</f>
        <v>411</v>
      </c>
      <c r="C39" s="47">
        <f>I39+F39</f>
        <v>411</v>
      </c>
      <c r="D39" s="47">
        <f>J39+G39</f>
        <v>0</v>
      </c>
      <c r="E39" s="47">
        <f>SUM(F39:G39)</f>
        <v>0</v>
      </c>
      <c r="F39" s="47">
        <v>0</v>
      </c>
      <c r="G39" s="47">
        <v>0</v>
      </c>
      <c r="H39" s="47">
        <f>SUM(I39:J39)</f>
        <v>411</v>
      </c>
      <c r="I39" s="47">
        <f>361+50</f>
        <v>411</v>
      </c>
      <c r="J39" s="47">
        <v>0</v>
      </c>
      <c r="K39" s="188" t="s">
        <v>233</v>
      </c>
      <c r="L39" s="129"/>
      <c r="M39" s="56"/>
    </row>
    <row r="40" spans="2:13" ht="13.5" customHeight="1" thickBot="1" x14ac:dyDescent="0.25">
      <c r="B40" s="47">
        <f>SUM(C40:D40)</f>
        <v>0</v>
      </c>
      <c r="C40" s="47">
        <f>I40+F40</f>
        <v>0</v>
      </c>
      <c r="D40" s="47">
        <f>J40+G40</f>
        <v>0</v>
      </c>
      <c r="E40" s="47">
        <f>SUM(F40:G40)</f>
        <v>0</v>
      </c>
      <c r="F40" s="47">
        <v>0</v>
      </c>
      <c r="G40" s="47">
        <v>0</v>
      </c>
      <c r="H40" s="47">
        <f>SUM(I40:J40)</f>
        <v>0</v>
      </c>
      <c r="I40" s="47">
        <v>0</v>
      </c>
      <c r="J40" s="47">
        <v>0</v>
      </c>
      <c r="K40" s="188" t="s">
        <v>234</v>
      </c>
      <c r="L40" s="129" t="s">
        <v>350</v>
      </c>
      <c r="M40" s="56"/>
    </row>
    <row r="41" spans="2:13" ht="13.5" customHeight="1" thickBot="1" x14ac:dyDescent="0.25">
      <c r="B41" s="47">
        <f t="shared" ref="B41:J41" si="11">SUM(B39:B40)</f>
        <v>411</v>
      </c>
      <c r="C41" s="47">
        <f t="shared" si="11"/>
        <v>411</v>
      </c>
      <c r="D41" s="47">
        <f t="shared" si="11"/>
        <v>0</v>
      </c>
      <c r="E41" s="47">
        <f t="shared" si="11"/>
        <v>0</v>
      </c>
      <c r="F41" s="47">
        <f t="shared" si="11"/>
        <v>0</v>
      </c>
      <c r="G41" s="47">
        <f t="shared" si="11"/>
        <v>0</v>
      </c>
      <c r="H41" s="47">
        <f t="shared" si="11"/>
        <v>411</v>
      </c>
      <c r="I41" s="47">
        <f t="shared" si="11"/>
        <v>411</v>
      </c>
      <c r="J41" s="47">
        <f t="shared" si="11"/>
        <v>0</v>
      </c>
      <c r="K41" s="188" t="s">
        <v>12</v>
      </c>
      <c r="L41" s="130"/>
      <c r="M41" s="56"/>
    </row>
    <row r="42" spans="2:13" ht="13.5" customHeight="1" thickBot="1" x14ac:dyDescent="0.25">
      <c r="B42" s="47">
        <f>SUM(C42:D42)</f>
        <v>323</v>
      </c>
      <c r="C42" s="47">
        <f>I42+F42</f>
        <v>323</v>
      </c>
      <c r="D42" s="47">
        <f>J42+G42</f>
        <v>0</v>
      </c>
      <c r="E42" s="47">
        <f>SUM(F42:G42)</f>
        <v>0</v>
      </c>
      <c r="F42" s="47">
        <v>0</v>
      </c>
      <c r="G42" s="47">
        <v>0</v>
      </c>
      <c r="H42" s="47">
        <f>SUM(I42:J42)</f>
        <v>323</v>
      </c>
      <c r="I42" s="47">
        <f>273+50</f>
        <v>323</v>
      </c>
      <c r="J42" s="47">
        <v>0</v>
      </c>
      <c r="K42" s="188" t="s">
        <v>233</v>
      </c>
      <c r="L42" s="129"/>
      <c r="M42" s="56"/>
    </row>
    <row r="43" spans="2:13" ht="13.5" customHeight="1" thickBot="1" x14ac:dyDescent="0.25">
      <c r="B43" s="47">
        <f>SUM(C43:D43)</f>
        <v>0</v>
      </c>
      <c r="C43" s="47">
        <f>I43+F43</f>
        <v>0</v>
      </c>
      <c r="D43" s="47">
        <f>J43+G43</f>
        <v>0</v>
      </c>
      <c r="E43" s="47">
        <f>SUM(F43:G43)</f>
        <v>0</v>
      </c>
      <c r="F43" s="47">
        <v>0</v>
      </c>
      <c r="G43" s="47">
        <v>0</v>
      </c>
      <c r="H43" s="47">
        <f>SUM(I43:J43)</f>
        <v>0</v>
      </c>
      <c r="I43" s="47">
        <v>0</v>
      </c>
      <c r="J43" s="47">
        <v>0</v>
      </c>
      <c r="K43" s="188" t="s">
        <v>234</v>
      </c>
      <c r="L43" s="129" t="s">
        <v>351</v>
      </c>
      <c r="M43" s="56"/>
    </row>
    <row r="44" spans="2:13" ht="13.5" customHeight="1" thickBot="1" x14ac:dyDescent="0.25">
      <c r="B44" s="47">
        <f t="shared" ref="B44:J44" si="12">SUM(B42:B43)</f>
        <v>323</v>
      </c>
      <c r="C44" s="47">
        <f t="shared" si="12"/>
        <v>323</v>
      </c>
      <c r="D44" s="47">
        <f t="shared" si="12"/>
        <v>0</v>
      </c>
      <c r="E44" s="47">
        <f t="shared" si="12"/>
        <v>0</v>
      </c>
      <c r="F44" s="47">
        <f t="shared" si="12"/>
        <v>0</v>
      </c>
      <c r="G44" s="47">
        <f t="shared" si="12"/>
        <v>0</v>
      </c>
      <c r="H44" s="47">
        <f t="shared" si="12"/>
        <v>323</v>
      </c>
      <c r="I44" s="47">
        <f t="shared" si="12"/>
        <v>323</v>
      </c>
      <c r="J44" s="47">
        <f t="shared" si="12"/>
        <v>0</v>
      </c>
      <c r="K44" s="188" t="s">
        <v>12</v>
      </c>
      <c r="L44" s="130"/>
      <c r="M44" s="56"/>
    </row>
    <row r="45" spans="2:13" ht="13.5" customHeight="1" thickBot="1" x14ac:dyDescent="0.25">
      <c r="B45" s="47">
        <f>SUM(C45:D45)</f>
        <v>523</v>
      </c>
      <c r="C45" s="47">
        <f>I45+F45</f>
        <v>523</v>
      </c>
      <c r="D45" s="47">
        <f>J45+G45</f>
        <v>0</v>
      </c>
      <c r="E45" s="47">
        <f>SUM(F45:G45)</f>
        <v>0</v>
      </c>
      <c r="F45" s="47">
        <v>0</v>
      </c>
      <c r="G45" s="47">
        <v>0</v>
      </c>
      <c r="H45" s="47">
        <f>SUM(I45:J45)</f>
        <v>523</v>
      </c>
      <c r="I45" s="47">
        <f>476+47</f>
        <v>523</v>
      </c>
      <c r="J45" s="47">
        <v>0</v>
      </c>
      <c r="K45" s="188" t="s">
        <v>233</v>
      </c>
      <c r="L45" s="129"/>
      <c r="M45" s="56"/>
    </row>
    <row r="46" spans="2:13" ht="13.5" customHeight="1" thickBot="1" x14ac:dyDescent="0.25">
      <c r="B46" s="47">
        <f>SUM(C46:D46)</f>
        <v>0</v>
      </c>
      <c r="C46" s="47">
        <f>I46+F46</f>
        <v>0</v>
      </c>
      <c r="D46" s="47">
        <f>J46+G46</f>
        <v>0</v>
      </c>
      <c r="E46" s="47">
        <f>SUM(F46:G46)</f>
        <v>0</v>
      </c>
      <c r="F46" s="47">
        <v>0</v>
      </c>
      <c r="G46" s="47">
        <v>0</v>
      </c>
      <c r="H46" s="47">
        <f>SUM(I46:J46)</f>
        <v>0</v>
      </c>
      <c r="I46" s="47">
        <v>0</v>
      </c>
      <c r="J46" s="47">
        <v>0</v>
      </c>
      <c r="K46" s="188" t="s">
        <v>234</v>
      </c>
      <c r="L46" s="129" t="s">
        <v>710</v>
      </c>
      <c r="M46" s="56"/>
    </row>
    <row r="47" spans="2:13" ht="13.5" customHeight="1" thickBot="1" x14ac:dyDescent="0.25">
      <c r="B47" s="47">
        <f t="shared" ref="B47:J47" si="13">SUM(B45:B46)</f>
        <v>523</v>
      </c>
      <c r="C47" s="47">
        <f t="shared" si="13"/>
        <v>523</v>
      </c>
      <c r="D47" s="47">
        <f t="shared" si="13"/>
        <v>0</v>
      </c>
      <c r="E47" s="47">
        <f t="shared" si="13"/>
        <v>0</v>
      </c>
      <c r="F47" s="47">
        <f t="shared" si="13"/>
        <v>0</v>
      </c>
      <c r="G47" s="47">
        <f t="shared" si="13"/>
        <v>0</v>
      </c>
      <c r="H47" s="47">
        <f t="shared" si="13"/>
        <v>523</v>
      </c>
      <c r="I47" s="47">
        <f t="shared" si="13"/>
        <v>523</v>
      </c>
      <c r="J47" s="47">
        <f t="shared" si="13"/>
        <v>0</v>
      </c>
      <c r="K47" s="188" t="s">
        <v>12</v>
      </c>
      <c r="L47" s="130"/>
      <c r="M47" s="56"/>
    </row>
    <row r="48" spans="2:13" ht="13.5" customHeight="1" thickBot="1" x14ac:dyDescent="0.25">
      <c r="B48" s="47">
        <f>SUM(C48:D48)</f>
        <v>499</v>
      </c>
      <c r="C48" s="47">
        <f>I48+F48</f>
        <v>499</v>
      </c>
      <c r="D48" s="47">
        <f>J48+G48</f>
        <v>0</v>
      </c>
      <c r="E48" s="47">
        <f>SUM(F48:G48)</f>
        <v>0</v>
      </c>
      <c r="F48" s="47">
        <v>0</v>
      </c>
      <c r="G48" s="47">
        <v>0</v>
      </c>
      <c r="H48" s="47">
        <f>SUM(I48:J48)</f>
        <v>499</v>
      </c>
      <c r="I48" s="47">
        <v>499</v>
      </c>
      <c r="J48" s="47">
        <v>0</v>
      </c>
      <c r="K48" s="188" t="s">
        <v>233</v>
      </c>
      <c r="L48" s="129"/>
      <c r="M48" s="56"/>
    </row>
    <row r="49" spans="2:13" ht="13.5" customHeight="1" thickBot="1" x14ac:dyDescent="0.25">
      <c r="B49" s="47">
        <f>SUM(C49:D49)</f>
        <v>0</v>
      </c>
      <c r="C49" s="47">
        <f>I49+F49</f>
        <v>0</v>
      </c>
      <c r="D49" s="47">
        <f>J49+G49</f>
        <v>0</v>
      </c>
      <c r="E49" s="47">
        <f>SUM(F49:G49)</f>
        <v>0</v>
      </c>
      <c r="F49" s="47">
        <v>0</v>
      </c>
      <c r="G49" s="47">
        <v>0</v>
      </c>
      <c r="H49" s="47">
        <f>SUM(I49:J49)</f>
        <v>0</v>
      </c>
      <c r="I49" s="47">
        <v>0</v>
      </c>
      <c r="J49" s="47">
        <v>0</v>
      </c>
      <c r="K49" s="188" t="s">
        <v>234</v>
      </c>
      <c r="L49" s="129" t="s">
        <v>353</v>
      </c>
      <c r="M49" s="56"/>
    </row>
    <row r="50" spans="2:13" ht="13.5" customHeight="1" thickBot="1" x14ac:dyDescent="0.25">
      <c r="B50" s="47">
        <f t="shared" ref="B50:J50" si="14">SUM(B48:B49)</f>
        <v>499</v>
      </c>
      <c r="C50" s="47">
        <f t="shared" si="14"/>
        <v>499</v>
      </c>
      <c r="D50" s="47">
        <f t="shared" si="14"/>
        <v>0</v>
      </c>
      <c r="E50" s="47">
        <f t="shared" si="14"/>
        <v>0</v>
      </c>
      <c r="F50" s="47">
        <f t="shared" si="14"/>
        <v>0</v>
      </c>
      <c r="G50" s="47">
        <f t="shared" si="14"/>
        <v>0</v>
      </c>
      <c r="H50" s="47">
        <f t="shared" si="14"/>
        <v>499</v>
      </c>
      <c r="I50" s="47">
        <f t="shared" si="14"/>
        <v>499</v>
      </c>
      <c r="J50" s="47">
        <f t="shared" si="14"/>
        <v>0</v>
      </c>
      <c r="K50" s="188" t="s">
        <v>12</v>
      </c>
      <c r="L50" s="130"/>
      <c r="M50" s="56"/>
    </row>
    <row r="51" spans="2:13" ht="13.5" customHeight="1" thickBot="1" x14ac:dyDescent="0.25">
      <c r="B51" s="47">
        <f>SUM(C51:D51)</f>
        <v>283</v>
      </c>
      <c r="C51" s="47">
        <f>I51+F51</f>
        <v>0</v>
      </c>
      <c r="D51" s="47">
        <f>J51+G51</f>
        <v>283</v>
      </c>
      <c r="E51" s="47">
        <f>SUM(F51:G51)</f>
        <v>0</v>
      </c>
      <c r="F51" s="47">
        <v>0</v>
      </c>
      <c r="G51" s="47">
        <v>0</v>
      </c>
      <c r="H51" s="47">
        <f>SUM(I51:J51)</f>
        <v>283</v>
      </c>
      <c r="I51" s="47">
        <v>0</v>
      </c>
      <c r="J51" s="47">
        <v>283</v>
      </c>
      <c r="K51" s="188" t="s">
        <v>233</v>
      </c>
      <c r="L51" s="129"/>
      <c r="M51" s="56"/>
    </row>
    <row r="52" spans="2:13" ht="13.5" customHeight="1" thickBot="1" x14ac:dyDescent="0.25">
      <c r="B52" s="47">
        <f>SUM(C52:D52)</f>
        <v>0</v>
      </c>
      <c r="C52" s="47">
        <f>I52+F52</f>
        <v>0</v>
      </c>
      <c r="D52" s="47">
        <f>J52+G52</f>
        <v>0</v>
      </c>
      <c r="E52" s="47">
        <f>SUM(F52:G52)</f>
        <v>0</v>
      </c>
      <c r="F52" s="47">
        <v>0</v>
      </c>
      <c r="G52" s="47">
        <v>0</v>
      </c>
      <c r="H52" s="47">
        <f>SUM(I52:J52)</f>
        <v>0</v>
      </c>
      <c r="I52" s="47">
        <v>0</v>
      </c>
      <c r="J52" s="47">
        <v>0</v>
      </c>
      <c r="K52" s="188" t="s">
        <v>234</v>
      </c>
      <c r="L52" s="129" t="s">
        <v>250</v>
      </c>
      <c r="M52" s="56"/>
    </row>
    <row r="53" spans="2:13" ht="13.5" customHeight="1" thickBot="1" x14ac:dyDescent="0.25">
      <c r="B53" s="47">
        <f t="shared" ref="B53:J53" si="15">SUM(B51:B52)</f>
        <v>283</v>
      </c>
      <c r="C53" s="47">
        <f t="shared" si="15"/>
        <v>0</v>
      </c>
      <c r="D53" s="47">
        <f t="shared" si="15"/>
        <v>283</v>
      </c>
      <c r="E53" s="47">
        <f t="shared" si="15"/>
        <v>0</v>
      </c>
      <c r="F53" s="47">
        <f t="shared" si="15"/>
        <v>0</v>
      </c>
      <c r="G53" s="47">
        <f t="shared" si="15"/>
        <v>0</v>
      </c>
      <c r="H53" s="47">
        <f t="shared" si="15"/>
        <v>283</v>
      </c>
      <c r="I53" s="47">
        <f t="shared" si="15"/>
        <v>0</v>
      </c>
      <c r="J53" s="47">
        <f t="shared" si="15"/>
        <v>283</v>
      </c>
      <c r="K53" s="188" t="s">
        <v>12</v>
      </c>
      <c r="L53" s="130"/>
      <c r="M53" s="56"/>
    </row>
    <row r="54" spans="2:13" ht="13.5" customHeight="1" thickBot="1" x14ac:dyDescent="0.25">
      <c r="B54" s="47">
        <f>SUM(C54:D54)</f>
        <v>550</v>
      </c>
      <c r="C54" s="47">
        <f>I54+F54</f>
        <v>550</v>
      </c>
      <c r="D54" s="47">
        <f>J54+G54</f>
        <v>0</v>
      </c>
      <c r="E54" s="47">
        <f>SUM(F54:G54)</f>
        <v>11</v>
      </c>
      <c r="F54" s="47">
        <v>11</v>
      </c>
      <c r="G54" s="47">
        <v>0</v>
      </c>
      <c r="H54" s="47">
        <f>SUM(I54:J54)</f>
        <v>539</v>
      </c>
      <c r="I54" s="47">
        <f>492+47</f>
        <v>539</v>
      </c>
      <c r="J54" s="47">
        <v>0</v>
      </c>
      <c r="K54" s="188" t="s">
        <v>233</v>
      </c>
      <c r="L54" s="129"/>
      <c r="M54" s="56"/>
    </row>
    <row r="55" spans="2:13" ht="13.5" customHeight="1" thickBot="1" x14ac:dyDescent="0.25">
      <c r="B55" s="47">
        <f>SUM(C55:D55)</f>
        <v>0</v>
      </c>
      <c r="C55" s="47">
        <f>I55+F55</f>
        <v>0</v>
      </c>
      <c r="D55" s="47">
        <f>J55+G55</f>
        <v>0</v>
      </c>
      <c r="E55" s="47">
        <f>SUM(F55:G55)</f>
        <v>0</v>
      </c>
      <c r="F55" s="47">
        <v>0</v>
      </c>
      <c r="G55" s="47">
        <v>0</v>
      </c>
      <c r="H55" s="47">
        <f>SUM(I55:J55)</f>
        <v>0</v>
      </c>
      <c r="I55" s="47">
        <v>0</v>
      </c>
      <c r="J55" s="47">
        <v>0</v>
      </c>
      <c r="K55" s="188" t="s">
        <v>234</v>
      </c>
      <c r="L55" s="129" t="s">
        <v>354</v>
      </c>
      <c r="M55" s="56"/>
    </row>
    <row r="56" spans="2:13" ht="13.5" customHeight="1" thickBot="1" x14ac:dyDescent="0.25">
      <c r="B56" s="47">
        <f t="shared" ref="B56:J56" si="16">SUM(B54:B55)</f>
        <v>550</v>
      </c>
      <c r="C56" s="47">
        <f t="shared" si="16"/>
        <v>550</v>
      </c>
      <c r="D56" s="47">
        <f t="shared" si="16"/>
        <v>0</v>
      </c>
      <c r="E56" s="47">
        <f t="shared" si="16"/>
        <v>11</v>
      </c>
      <c r="F56" s="47">
        <f t="shared" si="16"/>
        <v>11</v>
      </c>
      <c r="G56" s="47">
        <f t="shared" si="16"/>
        <v>0</v>
      </c>
      <c r="H56" s="47">
        <f t="shared" si="16"/>
        <v>539</v>
      </c>
      <c r="I56" s="47">
        <f t="shared" si="16"/>
        <v>539</v>
      </c>
      <c r="J56" s="47">
        <f t="shared" si="16"/>
        <v>0</v>
      </c>
      <c r="K56" s="188" t="s">
        <v>12</v>
      </c>
      <c r="L56" s="130"/>
      <c r="M56" s="56"/>
    </row>
    <row r="57" spans="2:13" ht="13.5" customHeight="1" thickBot="1" x14ac:dyDescent="0.25">
      <c r="B57" s="47">
        <f>SUM(C57:D57)</f>
        <v>518</v>
      </c>
      <c r="C57" s="47">
        <f>I57+F57</f>
        <v>518</v>
      </c>
      <c r="D57" s="47">
        <f>J57+G57</f>
        <v>0</v>
      </c>
      <c r="E57" s="47">
        <f>SUM(F57:G57)</f>
        <v>0</v>
      </c>
      <c r="F57" s="47">
        <v>0</v>
      </c>
      <c r="G57" s="47">
        <v>0</v>
      </c>
      <c r="H57" s="47">
        <f>SUM(I57:J57)</f>
        <v>518</v>
      </c>
      <c r="I57" s="47">
        <v>518</v>
      </c>
      <c r="J57" s="47">
        <v>0</v>
      </c>
      <c r="K57" s="188" t="s">
        <v>233</v>
      </c>
      <c r="L57" s="129"/>
      <c r="M57" s="56"/>
    </row>
    <row r="58" spans="2:13" ht="13.5" customHeight="1" thickBot="1" x14ac:dyDescent="0.25">
      <c r="B58" s="47">
        <f>SUM(C58:D58)</f>
        <v>0</v>
      </c>
      <c r="C58" s="47">
        <f>I58+F58</f>
        <v>0</v>
      </c>
      <c r="D58" s="47">
        <f>J58+G58</f>
        <v>0</v>
      </c>
      <c r="E58" s="47">
        <f>SUM(F58:G58)</f>
        <v>0</v>
      </c>
      <c r="F58" s="47">
        <v>0</v>
      </c>
      <c r="G58" s="47">
        <v>0</v>
      </c>
      <c r="H58" s="47">
        <f>SUM(I58:J58)</f>
        <v>0</v>
      </c>
      <c r="I58" s="47">
        <v>0</v>
      </c>
      <c r="J58" s="47">
        <v>0</v>
      </c>
      <c r="K58" s="188" t="s">
        <v>234</v>
      </c>
      <c r="L58" s="129" t="s">
        <v>355</v>
      </c>
      <c r="M58" s="56"/>
    </row>
    <row r="59" spans="2:13" ht="13.5" customHeight="1" thickBot="1" x14ac:dyDescent="0.25">
      <c r="B59" s="47">
        <f t="shared" ref="B59:J59" si="17">SUM(B57:B58)</f>
        <v>518</v>
      </c>
      <c r="C59" s="47">
        <f t="shared" si="17"/>
        <v>518</v>
      </c>
      <c r="D59" s="47">
        <f t="shared" si="17"/>
        <v>0</v>
      </c>
      <c r="E59" s="47">
        <f t="shared" si="17"/>
        <v>0</v>
      </c>
      <c r="F59" s="47">
        <f t="shared" si="17"/>
        <v>0</v>
      </c>
      <c r="G59" s="47">
        <f t="shared" si="17"/>
        <v>0</v>
      </c>
      <c r="H59" s="47">
        <f t="shared" si="17"/>
        <v>518</v>
      </c>
      <c r="I59" s="47">
        <f t="shared" si="17"/>
        <v>518</v>
      </c>
      <c r="J59" s="47">
        <f t="shared" si="17"/>
        <v>0</v>
      </c>
      <c r="K59" s="188" t="s">
        <v>12</v>
      </c>
      <c r="L59" s="130"/>
      <c r="M59" s="56"/>
    </row>
    <row r="60" spans="2:13" ht="13.5" customHeight="1" thickBot="1" x14ac:dyDescent="0.25">
      <c r="B60" s="47">
        <f t="shared" ref="B60:J62" si="18">B6+B9+B12+B15+B18+B21+B24+B27+B30+B33+B36+B39+B42+B45+B48+B51+B54+B57</f>
        <v>7568</v>
      </c>
      <c r="C60" s="47">
        <f t="shared" si="18"/>
        <v>5035</v>
      </c>
      <c r="D60" s="47">
        <f t="shared" si="18"/>
        <v>2533</v>
      </c>
      <c r="E60" s="47">
        <f t="shared" si="18"/>
        <v>115</v>
      </c>
      <c r="F60" s="47">
        <f t="shared" si="18"/>
        <v>52</v>
      </c>
      <c r="G60" s="47">
        <f t="shared" si="18"/>
        <v>63</v>
      </c>
      <c r="H60" s="47">
        <f t="shared" si="18"/>
        <v>7453</v>
      </c>
      <c r="I60" s="47">
        <f t="shared" si="18"/>
        <v>4983</v>
      </c>
      <c r="J60" s="47">
        <f t="shared" si="18"/>
        <v>2470</v>
      </c>
      <c r="K60" s="188" t="s">
        <v>236</v>
      </c>
      <c r="L60" s="131"/>
      <c r="M60" s="56"/>
    </row>
    <row r="61" spans="2:13" ht="13.5" customHeight="1" thickBot="1" x14ac:dyDescent="0.25">
      <c r="B61" s="47">
        <f t="shared" si="18"/>
        <v>0</v>
      </c>
      <c r="C61" s="47">
        <f t="shared" si="18"/>
        <v>0</v>
      </c>
      <c r="D61" s="47">
        <f t="shared" si="18"/>
        <v>0</v>
      </c>
      <c r="E61" s="47">
        <f t="shared" si="18"/>
        <v>0</v>
      </c>
      <c r="F61" s="47">
        <f t="shared" si="18"/>
        <v>0</v>
      </c>
      <c r="G61" s="47">
        <f t="shared" si="18"/>
        <v>0</v>
      </c>
      <c r="H61" s="47">
        <f t="shared" si="18"/>
        <v>0</v>
      </c>
      <c r="I61" s="47">
        <f t="shared" si="18"/>
        <v>0</v>
      </c>
      <c r="J61" s="47">
        <f t="shared" si="18"/>
        <v>0</v>
      </c>
      <c r="K61" s="188" t="s">
        <v>237</v>
      </c>
      <c r="L61" s="132" t="s">
        <v>188</v>
      </c>
      <c r="M61" s="56"/>
    </row>
    <row r="62" spans="2:13" ht="13.5" customHeight="1" thickBot="1" x14ac:dyDescent="0.25">
      <c r="B62" s="47">
        <f t="shared" si="18"/>
        <v>7568</v>
      </c>
      <c r="C62" s="47">
        <f t="shared" si="18"/>
        <v>5035</v>
      </c>
      <c r="D62" s="47">
        <f t="shared" si="18"/>
        <v>2533</v>
      </c>
      <c r="E62" s="47">
        <f t="shared" si="18"/>
        <v>115</v>
      </c>
      <c r="F62" s="47">
        <f t="shared" si="18"/>
        <v>52</v>
      </c>
      <c r="G62" s="47">
        <f t="shared" si="18"/>
        <v>63</v>
      </c>
      <c r="H62" s="47">
        <f t="shared" si="18"/>
        <v>7453</v>
      </c>
      <c r="I62" s="47">
        <f t="shared" si="18"/>
        <v>4983</v>
      </c>
      <c r="J62" s="47">
        <f t="shared" si="18"/>
        <v>2470</v>
      </c>
      <c r="K62" s="188" t="s">
        <v>12</v>
      </c>
      <c r="L62" s="133"/>
      <c r="M62" s="56"/>
    </row>
    <row r="63" spans="2:13" ht="13.5" customHeight="1" thickBot="1" x14ac:dyDescent="0.25">
      <c r="B63" s="476" t="s">
        <v>4</v>
      </c>
      <c r="C63" s="476"/>
      <c r="D63" s="476"/>
      <c r="E63" s="476" t="s">
        <v>145</v>
      </c>
      <c r="F63" s="476"/>
      <c r="G63" s="476"/>
      <c r="H63" s="476" t="s">
        <v>146</v>
      </c>
      <c r="I63" s="476"/>
      <c r="J63" s="476"/>
      <c r="K63" s="479" t="s">
        <v>66</v>
      </c>
      <c r="L63" s="479"/>
      <c r="M63" s="56"/>
    </row>
    <row r="64" spans="2:13" ht="13.5" customHeight="1" thickBot="1" x14ac:dyDescent="0.25">
      <c r="B64" s="185" t="s">
        <v>227</v>
      </c>
      <c r="C64" s="185" t="s">
        <v>10</v>
      </c>
      <c r="D64" s="185" t="s">
        <v>9</v>
      </c>
      <c r="E64" s="185" t="s">
        <v>227</v>
      </c>
      <c r="F64" s="185" t="s">
        <v>10</v>
      </c>
      <c r="G64" s="185" t="s">
        <v>9</v>
      </c>
      <c r="H64" s="185" t="s">
        <v>227</v>
      </c>
      <c r="I64" s="185" t="s">
        <v>10</v>
      </c>
      <c r="J64" s="185" t="s">
        <v>9</v>
      </c>
      <c r="K64" s="480" t="s">
        <v>147</v>
      </c>
      <c r="L64" s="480"/>
      <c r="M64" s="56"/>
    </row>
    <row r="65" spans="2:13" ht="13.5" customHeight="1" thickBot="1" x14ac:dyDescent="0.25">
      <c r="B65" s="47">
        <f>SUM(C65:D65)</f>
        <v>75</v>
      </c>
      <c r="C65" s="47">
        <f>I65+F65</f>
        <v>0</v>
      </c>
      <c r="D65" s="47">
        <f>J65+G65</f>
        <v>75</v>
      </c>
      <c r="E65" s="47">
        <f>SUM(F65:G65)</f>
        <v>53</v>
      </c>
      <c r="F65" s="47">
        <v>0</v>
      </c>
      <c r="G65" s="47">
        <v>53</v>
      </c>
      <c r="H65" s="47">
        <f>SUM(I65:J65)</f>
        <v>22</v>
      </c>
      <c r="I65" s="47">
        <v>0</v>
      </c>
      <c r="J65" s="47">
        <v>22</v>
      </c>
      <c r="K65" s="188" t="s">
        <v>233</v>
      </c>
      <c r="L65" s="129"/>
      <c r="M65" s="56"/>
    </row>
    <row r="66" spans="2:13" ht="13.5" customHeight="1" thickBot="1" x14ac:dyDescent="0.25">
      <c r="B66" s="47">
        <f>SUM(C66:D66)</f>
        <v>0</v>
      </c>
      <c r="C66" s="47">
        <f>I66+F66</f>
        <v>0</v>
      </c>
      <c r="D66" s="47">
        <f>J66+G66</f>
        <v>0</v>
      </c>
      <c r="E66" s="47">
        <f>SUM(F66:G66)</f>
        <v>0</v>
      </c>
      <c r="F66" s="47">
        <v>0</v>
      </c>
      <c r="G66" s="47">
        <v>0</v>
      </c>
      <c r="H66" s="47">
        <f>SUM(I66:J66)</f>
        <v>0</v>
      </c>
      <c r="I66" s="47">
        <v>0</v>
      </c>
      <c r="J66" s="47">
        <v>0</v>
      </c>
      <c r="K66" s="188" t="s">
        <v>234</v>
      </c>
      <c r="L66" s="129" t="s">
        <v>356</v>
      </c>
      <c r="M66" s="56"/>
    </row>
    <row r="67" spans="2:13" ht="13.5" customHeight="1" thickBot="1" x14ac:dyDescent="0.25">
      <c r="B67" s="47">
        <f t="shared" ref="B67:J67" si="19">SUM(B65:B66)</f>
        <v>75</v>
      </c>
      <c r="C67" s="47">
        <f t="shared" si="19"/>
        <v>0</v>
      </c>
      <c r="D67" s="47">
        <f t="shared" si="19"/>
        <v>75</v>
      </c>
      <c r="E67" s="47">
        <f t="shared" si="19"/>
        <v>53</v>
      </c>
      <c r="F67" s="47">
        <f t="shared" si="19"/>
        <v>0</v>
      </c>
      <c r="G67" s="47">
        <f t="shared" si="19"/>
        <v>53</v>
      </c>
      <c r="H67" s="47">
        <f t="shared" si="19"/>
        <v>22</v>
      </c>
      <c r="I67" s="47">
        <f t="shared" si="19"/>
        <v>0</v>
      </c>
      <c r="J67" s="47">
        <f t="shared" si="19"/>
        <v>22</v>
      </c>
      <c r="K67" s="188" t="s">
        <v>12</v>
      </c>
      <c r="L67" s="130"/>
      <c r="M67" s="56"/>
    </row>
    <row r="68" spans="2:13" ht="13.5" customHeight="1" thickBot="1" x14ac:dyDescent="0.25">
      <c r="B68" s="47">
        <f>SUM(C68:D68)</f>
        <v>204</v>
      </c>
      <c r="C68" s="47">
        <f>I68+F68</f>
        <v>0</v>
      </c>
      <c r="D68" s="47">
        <f>J68+G68</f>
        <v>204</v>
      </c>
      <c r="E68" s="47">
        <f>SUM(F68:G68)</f>
        <v>191</v>
      </c>
      <c r="F68" s="47">
        <v>0</v>
      </c>
      <c r="G68" s="47">
        <v>191</v>
      </c>
      <c r="H68" s="47">
        <f>SUM(I68:J68)</f>
        <v>13</v>
      </c>
      <c r="I68" s="47">
        <v>0</v>
      </c>
      <c r="J68" s="47">
        <v>13</v>
      </c>
      <c r="K68" s="188" t="s">
        <v>233</v>
      </c>
      <c r="L68" s="129"/>
      <c r="M68" s="56"/>
    </row>
    <row r="69" spans="2:13" ht="13.5" customHeight="1" thickBot="1" x14ac:dyDescent="0.25">
      <c r="B69" s="47">
        <f>SUM(C69:D69)</f>
        <v>0</v>
      </c>
      <c r="C69" s="47">
        <f>I69+F69</f>
        <v>0</v>
      </c>
      <c r="D69" s="47">
        <f>J69+G69</f>
        <v>0</v>
      </c>
      <c r="E69" s="47">
        <f>SUM(F69:G69)</f>
        <v>0</v>
      </c>
      <c r="F69" s="47">
        <v>0</v>
      </c>
      <c r="G69" s="47">
        <v>0</v>
      </c>
      <c r="H69" s="47">
        <f>SUM(I69:J69)</f>
        <v>0</v>
      </c>
      <c r="I69" s="47">
        <v>0</v>
      </c>
      <c r="J69" s="47">
        <v>0</v>
      </c>
      <c r="K69" s="188" t="s">
        <v>234</v>
      </c>
      <c r="L69" s="129" t="s">
        <v>357</v>
      </c>
      <c r="M69" s="56"/>
    </row>
    <row r="70" spans="2:13" ht="13.5" customHeight="1" thickBot="1" x14ac:dyDescent="0.25">
      <c r="B70" s="47">
        <f t="shared" ref="B70:J70" si="20">SUM(B68:B69)</f>
        <v>204</v>
      </c>
      <c r="C70" s="47">
        <f t="shared" si="20"/>
        <v>0</v>
      </c>
      <c r="D70" s="47">
        <f t="shared" si="20"/>
        <v>204</v>
      </c>
      <c r="E70" s="47">
        <f t="shared" si="20"/>
        <v>191</v>
      </c>
      <c r="F70" s="47">
        <f t="shared" si="20"/>
        <v>0</v>
      </c>
      <c r="G70" s="47">
        <f t="shared" si="20"/>
        <v>191</v>
      </c>
      <c r="H70" s="47">
        <f t="shared" si="20"/>
        <v>13</v>
      </c>
      <c r="I70" s="47">
        <f t="shared" si="20"/>
        <v>0</v>
      </c>
      <c r="J70" s="47">
        <f t="shared" si="20"/>
        <v>13</v>
      </c>
      <c r="K70" s="188" t="s">
        <v>12</v>
      </c>
      <c r="L70" s="130"/>
      <c r="M70" s="56"/>
    </row>
    <row r="71" spans="2:13" ht="13.5" customHeight="1" thickBot="1" x14ac:dyDescent="0.25">
      <c r="B71" s="47">
        <f>SUM(C71:D71)</f>
        <v>499</v>
      </c>
      <c r="C71" s="47">
        <f>I71+F71</f>
        <v>0</v>
      </c>
      <c r="D71" s="47">
        <f>J71+G71</f>
        <v>499</v>
      </c>
      <c r="E71" s="47">
        <f>SUM(F71:G71)</f>
        <v>287</v>
      </c>
      <c r="F71" s="47">
        <v>0</v>
      </c>
      <c r="G71" s="47">
        <v>287</v>
      </c>
      <c r="H71" s="47">
        <f>SUM(I71:J71)</f>
        <v>212</v>
      </c>
      <c r="I71" s="47">
        <v>0</v>
      </c>
      <c r="J71" s="47">
        <v>212</v>
      </c>
      <c r="K71" s="188" t="s">
        <v>233</v>
      </c>
      <c r="L71" s="129"/>
      <c r="M71" s="56"/>
    </row>
    <row r="72" spans="2:13" ht="13.5" customHeight="1" thickBot="1" x14ac:dyDescent="0.25">
      <c r="B72" s="47">
        <f>SUM(C72:D72)</f>
        <v>0</v>
      </c>
      <c r="C72" s="47">
        <f>I72+F72</f>
        <v>0</v>
      </c>
      <c r="D72" s="47">
        <f>J72+G72</f>
        <v>0</v>
      </c>
      <c r="E72" s="47">
        <f>SUM(F72:G72)</f>
        <v>0</v>
      </c>
      <c r="F72" s="47">
        <v>0</v>
      </c>
      <c r="G72" s="47">
        <v>0</v>
      </c>
      <c r="H72" s="47">
        <f>SUM(I72:J72)</f>
        <v>0</v>
      </c>
      <c r="I72" s="47">
        <v>0</v>
      </c>
      <c r="J72" s="47">
        <v>0</v>
      </c>
      <c r="K72" s="188" t="s">
        <v>234</v>
      </c>
      <c r="L72" s="129" t="s">
        <v>358</v>
      </c>
      <c r="M72" s="56"/>
    </row>
    <row r="73" spans="2:13" ht="13.5" customHeight="1" thickBot="1" x14ac:dyDescent="0.25">
      <c r="B73" s="47">
        <f t="shared" ref="B73:J73" si="21">SUM(B71:B72)</f>
        <v>499</v>
      </c>
      <c r="C73" s="47">
        <f t="shared" si="21"/>
        <v>0</v>
      </c>
      <c r="D73" s="47">
        <f t="shared" si="21"/>
        <v>499</v>
      </c>
      <c r="E73" s="47">
        <f t="shared" si="21"/>
        <v>287</v>
      </c>
      <c r="F73" s="47">
        <f t="shared" si="21"/>
        <v>0</v>
      </c>
      <c r="G73" s="47">
        <f t="shared" si="21"/>
        <v>287</v>
      </c>
      <c r="H73" s="47">
        <f t="shared" si="21"/>
        <v>212</v>
      </c>
      <c r="I73" s="47">
        <f t="shared" si="21"/>
        <v>0</v>
      </c>
      <c r="J73" s="47">
        <f t="shared" si="21"/>
        <v>212</v>
      </c>
      <c r="K73" s="188" t="s">
        <v>12</v>
      </c>
      <c r="L73" s="130"/>
      <c r="M73" s="56"/>
    </row>
    <row r="74" spans="2:13" ht="13.5" customHeight="1" thickBot="1" x14ac:dyDescent="0.25">
      <c r="B74" s="47">
        <f>SUM(C74:D74)</f>
        <v>72</v>
      </c>
      <c r="C74" s="47">
        <f>I74+F74</f>
        <v>0</v>
      </c>
      <c r="D74" s="47">
        <f>J74+G74</f>
        <v>72</v>
      </c>
      <c r="E74" s="47">
        <f>SUM(F74:G74)</f>
        <v>63</v>
      </c>
      <c r="F74" s="47">
        <v>0</v>
      </c>
      <c r="G74" s="47">
        <v>63</v>
      </c>
      <c r="H74" s="47">
        <f>SUM(I74:J74)</f>
        <v>9</v>
      </c>
      <c r="I74" s="47">
        <v>0</v>
      </c>
      <c r="J74" s="47">
        <v>9</v>
      </c>
      <c r="K74" s="188" t="s">
        <v>233</v>
      </c>
      <c r="L74" s="129"/>
      <c r="M74" s="56"/>
    </row>
    <row r="75" spans="2:13" ht="13.5" customHeight="1" thickBot="1" x14ac:dyDescent="0.25">
      <c r="B75" s="47">
        <f>SUM(C75:D75)</f>
        <v>0</v>
      </c>
      <c r="C75" s="47">
        <f>I75+F75</f>
        <v>0</v>
      </c>
      <c r="D75" s="47">
        <f>J75+G75</f>
        <v>0</v>
      </c>
      <c r="E75" s="47">
        <f>SUM(F75:G75)</f>
        <v>0</v>
      </c>
      <c r="F75" s="47">
        <v>0</v>
      </c>
      <c r="G75" s="47">
        <v>0</v>
      </c>
      <c r="H75" s="47">
        <f>SUM(I75:J75)</f>
        <v>0</v>
      </c>
      <c r="I75" s="47">
        <v>0</v>
      </c>
      <c r="J75" s="47">
        <v>0</v>
      </c>
      <c r="K75" s="188" t="s">
        <v>234</v>
      </c>
      <c r="L75" s="129" t="s">
        <v>359</v>
      </c>
      <c r="M75" s="56"/>
    </row>
    <row r="76" spans="2:13" ht="13.5" customHeight="1" thickBot="1" x14ac:dyDescent="0.25">
      <c r="B76" s="47">
        <f t="shared" ref="B76:J76" si="22">SUM(B74:B75)</f>
        <v>72</v>
      </c>
      <c r="C76" s="47">
        <f t="shared" si="22"/>
        <v>0</v>
      </c>
      <c r="D76" s="47">
        <f t="shared" si="22"/>
        <v>72</v>
      </c>
      <c r="E76" s="47">
        <f t="shared" si="22"/>
        <v>63</v>
      </c>
      <c r="F76" s="47">
        <f t="shared" si="22"/>
        <v>0</v>
      </c>
      <c r="G76" s="47">
        <f t="shared" si="22"/>
        <v>63</v>
      </c>
      <c r="H76" s="47">
        <f t="shared" si="22"/>
        <v>9</v>
      </c>
      <c r="I76" s="47">
        <f t="shared" si="22"/>
        <v>0</v>
      </c>
      <c r="J76" s="47">
        <f t="shared" si="22"/>
        <v>9</v>
      </c>
      <c r="K76" s="188" t="s">
        <v>12</v>
      </c>
      <c r="L76" s="130"/>
      <c r="M76" s="56"/>
    </row>
    <row r="77" spans="2:13" ht="13.5" customHeight="1" thickBot="1" x14ac:dyDescent="0.25">
      <c r="B77" s="47">
        <f>SUM(C77:D77)</f>
        <v>203</v>
      </c>
      <c r="C77" s="47">
        <f>I77+F77</f>
        <v>0</v>
      </c>
      <c r="D77" s="47">
        <f>J77+G77</f>
        <v>203</v>
      </c>
      <c r="E77" s="47">
        <f>SUM(F77:G77)</f>
        <v>24</v>
      </c>
      <c r="F77" s="47">
        <v>0</v>
      </c>
      <c r="G77" s="47">
        <v>24</v>
      </c>
      <c r="H77" s="47">
        <f>SUM(I77:J77)</f>
        <v>179</v>
      </c>
      <c r="I77" s="47">
        <v>0</v>
      </c>
      <c r="J77" s="47">
        <v>179</v>
      </c>
      <c r="K77" s="188" t="s">
        <v>233</v>
      </c>
      <c r="L77" s="129"/>
      <c r="M77" s="56"/>
    </row>
    <row r="78" spans="2:13" ht="13.5" customHeight="1" thickBot="1" x14ac:dyDescent="0.25">
      <c r="B78" s="47">
        <f>SUM(C78:D78)</f>
        <v>0</v>
      </c>
      <c r="C78" s="47">
        <f>I78+F78</f>
        <v>0</v>
      </c>
      <c r="D78" s="47">
        <f>J78+G78</f>
        <v>0</v>
      </c>
      <c r="E78" s="47">
        <f>SUM(F78:G78)</f>
        <v>0</v>
      </c>
      <c r="F78" s="47">
        <v>0</v>
      </c>
      <c r="G78" s="47">
        <v>0</v>
      </c>
      <c r="H78" s="47">
        <f>SUM(I78:J78)</f>
        <v>0</v>
      </c>
      <c r="I78" s="47">
        <v>0</v>
      </c>
      <c r="J78" s="47">
        <v>0</v>
      </c>
      <c r="K78" s="188" t="s">
        <v>234</v>
      </c>
      <c r="L78" s="129" t="s">
        <v>360</v>
      </c>
      <c r="M78" s="56"/>
    </row>
    <row r="79" spans="2:13" ht="13.5" customHeight="1" thickBot="1" x14ac:dyDescent="0.25">
      <c r="B79" s="47">
        <f t="shared" ref="B79:J79" si="23">SUM(B77:B78)</f>
        <v>203</v>
      </c>
      <c r="C79" s="47">
        <f t="shared" si="23"/>
        <v>0</v>
      </c>
      <c r="D79" s="47">
        <f t="shared" si="23"/>
        <v>203</v>
      </c>
      <c r="E79" s="47">
        <f t="shared" si="23"/>
        <v>24</v>
      </c>
      <c r="F79" s="47">
        <f t="shared" si="23"/>
        <v>0</v>
      </c>
      <c r="G79" s="47">
        <f t="shared" si="23"/>
        <v>24</v>
      </c>
      <c r="H79" s="47">
        <f t="shared" si="23"/>
        <v>179</v>
      </c>
      <c r="I79" s="47">
        <f t="shared" si="23"/>
        <v>0</v>
      </c>
      <c r="J79" s="47">
        <f t="shared" si="23"/>
        <v>179</v>
      </c>
      <c r="K79" s="188" t="s">
        <v>12</v>
      </c>
      <c r="L79" s="130"/>
      <c r="M79" s="56"/>
    </row>
    <row r="80" spans="2:13" ht="13.5" customHeight="1" thickBot="1" x14ac:dyDescent="0.25">
      <c r="B80" s="47">
        <f t="shared" ref="B80:J82" si="24">B65+B68+B71+B74+B77</f>
        <v>1053</v>
      </c>
      <c r="C80" s="47">
        <f t="shared" si="24"/>
        <v>0</v>
      </c>
      <c r="D80" s="47">
        <f t="shared" si="24"/>
        <v>1053</v>
      </c>
      <c r="E80" s="47">
        <f t="shared" si="24"/>
        <v>618</v>
      </c>
      <c r="F80" s="47">
        <f t="shared" si="24"/>
        <v>0</v>
      </c>
      <c r="G80" s="47">
        <f t="shared" si="24"/>
        <v>618</v>
      </c>
      <c r="H80" s="47">
        <f t="shared" si="24"/>
        <v>435</v>
      </c>
      <c r="I80" s="47">
        <f t="shared" si="24"/>
        <v>0</v>
      </c>
      <c r="J80" s="47">
        <f t="shared" si="24"/>
        <v>435</v>
      </c>
      <c r="K80" s="188" t="s">
        <v>236</v>
      </c>
      <c r="L80" s="131"/>
      <c r="M80" s="56"/>
    </row>
    <row r="81" spans="2:13" ht="13.5" customHeight="1" thickBot="1" x14ac:dyDescent="0.25">
      <c r="B81" s="47">
        <f t="shared" si="24"/>
        <v>0</v>
      </c>
      <c r="C81" s="47">
        <f t="shared" si="24"/>
        <v>0</v>
      </c>
      <c r="D81" s="47">
        <f t="shared" si="24"/>
        <v>0</v>
      </c>
      <c r="E81" s="47">
        <f t="shared" si="24"/>
        <v>0</v>
      </c>
      <c r="F81" s="47">
        <f t="shared" si="24"/>
        <v>0</v>
      </c>
      <c r="G81" s="47">
        <f t="shared" si="24"/>
        <v>0</v>
      </c>
      <c r="H81" s="47">
        <f t="shared" si="24"/>
        <v>0</v>
      </c>
      <c r="I81" s="47">
        <f t="shared" si="24"/>
        <v>0</v>
      </c>
      <c r="J81" s="47">
        <f t="shared" si="24"/>
        <v>0</v>
      </c>
      <c r="K81" s="188" t="s">
        <v>237</v>
      </c>
      <c r="L81" s="132" t="s">
        <v>188</v>
      </c>
      <c r="M81" s="56"/>
    </row>
    <row r="82" spans="2:13" ht="13.5" customHeight="1" thickBot="1" x14ac:dyDescent="0.25">
      <c r="B82" s="47">
        <f t="shared" si="24"/>
        <v>1053</v>
      </c>
      <c r="C82" s="47">
        <f t="shared" si="24"/>
        <v>0</v>
      </c>
      <c r="D82" s="47">
        <f t="shared" si="24"/>
        <v>1053</v>
      </c>
      <c r="E82" s="47">
        <f t="shared" si="24"/>
        <v>618</v>
      </c>
      <c r="F82" s="47">
        <f t="shared" si="24"/>
        <v>0</v>
      </c>
      <c r="G82" s="47">
        <f t="shared" si="24"/>
        <v>618</v>
      </c>
      <c r="H82" s="47">
        <f t="shared" si="24"/>
        <v>435</v>
      </c>
      <c r="I82" s="47">
        <f t="shared" si="24"/>
        <v>0</v>
      </c>
      <c r="J82" s="47">
        <f t="shared" si="24"/>
        <v>435</v>
      </c>
      <c r="K82" s="188" t="s">
        <v>12</v>
      </c>
      <c r="L82" s="133"/>
      <c r="M82" s="56"/>
    </row>
    <row r="83" spans="2:13" ht="13.5" customHeight="1" thickBot="1" x14ac:dyDescent="0.25">
      <c r="B83" s="476" t="s">
        <v>4</v>
      </c>
      <c r="C83" s="476"/>
      <c r="D83" s="476"/>
      <c r="E83" s="476" t="s">
        <v>145</v>
      </c>
      <c r="F83" s="476"/>
      <c r="G83" s="476"/>
      <c r="H83" s="476" t="s">
        <v>146</v>
      </c>
      <c r="I83" s="476"/>
      <c r="J83" s="476"/>
      <c r="K83" s="479" t="s">
        <v>66</v>
      </c>
      <c r="L83" s="479"/>
      <c r="M83" s="56"/>
    </row>
    <row r="84" spans="2:13" ht="13.5" customHeight="1" thickBot="1" x14ac:dyDescent="0.25">
      <c r="B84" s="185" t="s">
        <v>227</v>
      </c>
      <c r="C84" s="185" t="s">
        <v>10</v>
      </c>
      <c r="D84" s="185" t="s">
        <v>9</v>
      </c>
      <c r="E84" s="185" t="s">
        <v>227</v>
      </c>
      <c r="F84" s="185" t="s">
        <v>10</v>
      </c>
      <c r="G84" s="185" t="s">
        <v>9</v>
      </c>
      <c r="H84" s="185" t="s">
        <v>227</v>
      </c>
      <c r="I84" s="185" t="s">
        <v>10</v>
      </c>
      <c r="J84" s="185" t="s">
        <v>9</v>
      </c>
      <c r="K84" s="480" t="s">
        <v>70</v>
      </c>
      <c r="L84" s="480"/>
      <c r="M84" s="56"/>
    </row>
    <row r="85" spans="2:13" ht="13.5" customHeight="1" thickBot="1" x14ac:dyDescent="0.25">
      <c r="B85" s="47">
        <f>SUM(C85:D85)</f>
        <v>502</v>
      </c>
      <c r="C85" s="47">
        <f>I85+F85</f>
        <v>218</v>
      </c>
      <c r="D85" s="47">
        <f>J85+G85</f>
        <v>284</v>
      </c>
      <c r="E85" s="47">
        <f>SUM(F85:G85)</f>
        <v>33</v>
      </c>
      <c r="F85" s="47">
        <v>6</v>
      </c>
      <c r="G85" s="47">
        <v>27</v>
      </c>
      <c r="H85" s="47">
        <f>SUM(I85:J85)</f>
        <v>469</v>
      </c>
      <c r="I85" s="47">
        <v>212</v>
      </c>
      <c r="J85" s="47">
        <f>307-50</f>
        <v>257</v>
      </c>
      <c r="K85" s="188" t="s">
        <v>233</v>
      </c>
      <c r="L85" s="129"/>
      <c r="M85" s="56"/>
    </row>
    <row r="86" spans="2:13" ht="13.5" customHeight="1" thickBot="1" x14ac:dyDescent="0.25">
      <c r="B86" s="47">
        <f>SUM(C86:D86)</f>
        <v>76</v>
      </c>
      <c r="C86" s="47">
        <f>I86+F86</f>
        <v>19</v>
      </c>
      <c r="D86" s="47">
        <f>J86+G86</f>
        <v>57</v>
      </c>
      <c r="E86" s="47">
        <f>SUM(F86:G86)</f>
        <v>3</v>
      </c>
      <c r="F86" s="47">
        <v>1</v>
      </c>
      <c r="G86" s="47">
        <v>2</v>
      </c>
      <c r="H86" s="47">
        <f>SUM(I86:J86)</f>
        <v>73</v>
      </c>
      <c r="I86" s="47">
        <v>18</v>
      </c>
      <c r="J86" s="47">
        <v>55</v>
      </c>
      <c r="K86" s="188" t="s">
        <v>234</v>
      </c>
      <c r="L86" s="129" t="s">
        <v>578</v>
      </c>
      <c r="M86" s="56"/>
    </row>
    <row r="87" spans="2:13" ht="13.5" customHeight="1" thickBot="1" x14ac:dyDescent="0.25">
      <c r="B87" s="47">
        <f t="shared" ref="B87:J87" si="25">SUM(B85:B86)</f>
        <v>578</v>
      </c>
      <c r="C87" s="47">
        <f t="shared" si="25"/>
        <v>237</v>
      </c>
      <c r="D87" s="47">
        <f t="shared" si="25"/>
        <v>341</v>
      </c>
      <c r="E87" s="47">
        <f t="shared" si="25"/>
        <v>36</v>
      </c>
      <c r="F87" s="47">
        <f t="shared" si="25"/>
        <v>7</v>
      </c>
      <c r="G87" s="47">
        <f t="shared" si="25"/>
        <v>29</v>
      </c>
      <c r="H87" s="47">
        <f t="shared" si="25"/>
        <v>542</v>
      </c>
      <c r="I87" s="47">
        <f t="shared" si="25"/>
        <v>230</v>
      </c>
      <c r="J87" s="47">
        <f t="shared" si="25"/>
        <v>312</v>
      </c>
      <c r="K87" s="188" t="s">
        <v>12</v>
      </c>
      <c r="L87" s="130"/>
      <c r="M87" s="56"/>
    </row>
    <row r="88" spans="2:13" ht="13.5" customHeight="1" thickBot="1" x14ac:dyDescent="0.25">
      <c r="B88" s="47">
        <f>SUM(C88:D88)</f>
        <v>355</v>
      </c>
      <c r="C88" s="47">
        <f>I88+F88</f>
        <v>211</v>
      </c>
      <c r="D88" s="47">
        <f>J88+G88</f>
        <v>144</v>
      </c>
      <c r="E88" s="47">
        <f>SUM(F88:G88)</f>
        <v>12</v>
      </c>
      <c r="F88" s="47">
        <v>7</v>
      </c>
      <c r="G88" s="47">
        <v>5</v>
      </c>
      <c r="H88" s="47">
        <f>SUM(I88:J88)</f>
        <v>343</v>
      </c>
      <c r="I88" s="47">
        <v>204</v>
      </c>
      <c r="J88" s="47">
        <f>179-40</f>
        <v>139</v>
      </c>
      <c r="K88" s="188" t="s">
        <v>233</v>
      </c>
      <c r="L88" s="129"/>
      <c r="M88" s="56"/>
    </row>
    <row r="89" spans="2:13" ht="13.5" customHeight="1" thickBot="1" x14ac:dyDescent="0.25">
      <c r="B89" s="47">
        <f>SUM(C89:D89)</f>
        <v>26</v>
      </c>
      <c r="C89" s="47">
        <f>I89+F89</f>
        <v>11</v>
      </c>
      <c r="D89" s="47">
        <f>J89+G89</f>
        <v>15</v>
      </c>
      <c r="E89" s="47">
        <f>SUM(F89:G89)</f>
        <v>0</v>
      </c>
      <c r="F89" s="47">
        <v>0</v>
      </c>
      <c r="G89" s="47">
        <v>0</v>
      </c>
      <c r="H89" s="47">
        <f>SUM(I89:J89)</f>
        <v>26</v>
      </c>
      <c r="I89" s="47">
        <v>11</v>
      </c>
      <c r="J89" s="47">
        <v>15</v>
      </c>
      <c r="K89" s="188" t="s">
        <v>234</v>
      </c>
      <c r="L89" s="129" t="s">
        <v>579</v>
      </c>
      <c r="M89" s="56"/>
    </row>
    <row r="90" spans="2:13" ht="13.5" customHeight="1" thickBot="1" x14ac:dyDescent="0.25">
      <c r="B90" s="47">
        <f t="shared" ref="B90:J90" si="26">SUM(B88:B89)</f>
        <v>381</v>
      </c>
      <c r="C90" s="47">
        <f t="shared" si="26"/>
        <v>222</v>
      </c>
      <c r="D90" s="47">
        <f t="shared" si="26"/>
        <v>159</v>
      </c>
      <c r="E90" s="47">
        <f t="shared" si="26"/>
        <v>12</v>
      </c>
      <c r="F90" s="47">
        <f t="shared" si="26"/>
        <v>7</v>
      </c>
      <c r="G90" s="47">
        <f t="shared" si="26"/>
        <v>5</v>
      </c>
      <c r="H90" s="47">
        <f t="shared" si="26"/>
        <v>369</v>
      </c>
      <c r="I90" s="47">
        <f t="shared" si="26"/>
        <v>215</v>
      </c>
      <c r="J90" s="47">
        <f t="shared" si="26"/>
        <v>154</v>
      </c>
      <c r="K90" s="188" t="s">
        <v>12</v>
      </c>
      <c r="L90" s="130"/>
      <c r="M90" s="56"/>
    </row>
    <row r="91" spans="2:13" ht="13.5" customHeight="1" thickBot="1" x14ac:dyDescent="0.25">
      <c r="B91" s="47">
        <f>SUM(C91:D91)</f>
        <v>503</v>
      </c>
      <c r="C91" s="47">
        <f>I91+F91</f>
        <v>368</v>
      </c>
      <c r="D91" s="47">
        <f>J91+G91</f>
        <v>135</v>
      </c>
      <c r="E91" s="47">
        <f>SUM(F91:G91)</f>
        <v>14</v>
      </c>
      <c r="F91" s="47">
        <v>3</v>
      </c>
      <c r="G91" s="47">
        <v>11</v>
      </c>
      <c r="H91" s="47">
        <f>SUM(I91:J91)</f>
        <v>489</v>
      </c>
      <c r="I91" s="47">
        <v>365</v>
      </c>
      <c r="J91" s="47">
        <f>164-40</f>
        <v>124</v>
      </c>
      <c r="K91" s="188" t="s">
        <v>233</v>
      </c>
      <c r="L91" s="129"/>
      <c r="M91" s="56"/>
    </row>
    <row r="92" spans="2:13" ht="13.5" customHeight="1" thickBot="1" x14ac:dyDescent="0.25">
      <c r="B92" s="47">
        <f>SUM(C92:D92)</f>
        <v>154</v>
      </c>
      <c r="C92" s="47">
        <f>I92+F92</f>
        <v>60</v>
      </c>
      <c r="D92" s="47">
        <f>J92+G92</f>
        <v>94</v>
      </c>
      <c r="E92" s="47">
        <f>SUM(F92:G92)</f>
        <v>0</v>
      </c>
      <c r="F92" s="47">
        <v>0</v>
      </c>
      <c r="G92" s="47">
        <v>0</v>
      </c>
      <c r="H92" s="47">
        <f>SUM(I92:J92)</f>
        <v>154</v>
      </c>
      <c r="I92" s="47">
        <v>60</v>
      </c>
      <c r="J92" s="47">
        <v>94</v>
      </c>
      <c r="K92" s="188" t="s">
        <v>234</v>
      </c>
      <c r="L92" s="129" t="s">
        <v>580</v>
      </c>
      <c r="M92" s="56"/>
    </row>
    <row r="93" spans="2:13" ht="13.5" customHeight="1" thickBot="1" x14ac:dyDescent="0.25">
      <c r="B93" s="47">
        <f t="shared" ref="B93:J93" si="27">SUM(B91:B92)</f>
        <v>657</v>
      </c>
      <c r="C93" s="47">
        <f t="shared" si="27"/>
        <v>428</v>
      </c>
      <c r="D93" s="47">
        <f t="shared" si="27"/>
        <v>229</v>
      </c>
      <c r="E93" s="47">
        <f t="shared" si="27"/>
        <v>14</v>
      </c>
      <c r="F93" s="47">
        <f t="shared" si="27"/>
        <v>3</v>
      </c>
      <c r="G93" s="47">
        <f t="shared" si="27"/>
        <v>11</v>
      </c>
      <c r="H93" s="47">
        <f t="shared" si="27"/>
        <v>643</v>
      </c>
      <c r="I93" s="47">
        <f t="shared" si="27"/>
        <v>425</v>
      </c>
      <c r="J93" s="47">
        <f t="shared" si="27"/>
        <v>218</v>
      </c>
      <c r="K93" s="188" t="s">
        <v>12</v>
      </c>
      <c r="L93" s="130"/>
      <c r="M93" s="56"/>
    </row>
    <row r="94" spans="2:13" ht="13.5" customHeight="1" thickBot="1" x14ac:dyDescent="0.25">
      <c r="B94" s="47">
        <f>SUM(C94:D94)</f>
        <v>220</v>
      </c>
      <c r="C94" s="47">
        <f>I94+F94</f>
        <v>126</v>
      </c>
      <c r="D94" s="47">
        <f>J94+G94</f>
        <v>94</v>
      </c>
      <c r="E94" s="47">
        <f>SUM(F94:G94)</f>
        <v>7</v>
      </c>
      <c r="F94" s="47">
        <v>3</v>
      </c>
      <c r="G94" s="47">
        <v>4</v>
      </c>
      <c r="H94" s="47">
        <f>SUM(I94:J94)</f>
        <v>213</v>
      </c>
      <c r="I94" s="47">
        <v>123</v>
      </c>
      <c r="J94" s="47">
        <v>90</v>
      </c>
      <c r="K94" s="188" t="s">
        <v>233</v>
      </c>
      <c r="L94" s="129"/>
      <c r="M94" s="56"/>
    </row>
    <row r="95" spans="2:13" ht="13.5" customHeight="1" thickBot="1" x14ac:dyDescent="0.25">
      <c r="B95" s="47">
        <f>SUM(C95:D95)</f>
        <v>114</v>
      </c>
      <c r="C95" s="47">
        <f>I95+F95</f>
        <v>40</v>
      </c>
      <c r="D95" s="47">
        <f>J95+G95</f>
        <v>74</v>
      </c>
      <c r="E95" s="47">
        <f>SUM(F95:G95)</f>
        <v>0</v>
      </c>
      <c r="F95" s="47">
        <v>0</v>
      </c>
      <c r="G95" s="47">
        <v>0</v>
      </c>
      <c r="H95" s="47">
        <f>SUM(I95:J95)</f>
        <v>114</v>
      </c>
      <c r="I95" s="47">
        <v>40</v>
      </c>
      <c r="J95" s="47">
        <f>84-10</f>
        <v>74</v>
      </c>
      <c r="K95" s="188" t="s">
        <v>234</v>
      </c>
      <c r="L95" s="129" t="s">
        <v>636</v>
      </c>
      <c r="M95" s="56"/>
    </row>
    <row r="96" spans="2:13" ht="13.5" customHeight="1" thickBot="1" x14ac:dyDescent="0.25">
      <c r="B96" s="47">
        <f t="shared" ref="B96:J96" si="28">SUM(B94:B95)</f>
        <v>334</v>
      </c>
      <c r="C96" s="47">
        <f t="shared" si="28"/>
        <v>166</v>
      </c>
      <c r="D96" s="47">
        <f t="shared" si="28"/>
        <v>168</v>
      </c>
      <c r="E96" s="47">
        <f t="shared" si="28"/>
        <v>7</v>
      </c>
      <c r="F96" s="47">
        <f t="shared" si="28"/>
        <v>3</v>
      </c>
      <c r="G96" s="47">
        <f t="shared" si="28"/>
        <v>4</v>
      </c>
      <c r="H96" s="47">
        <f t="shared" si="28"/>
        <v>327</v>
      </c>
      <c r="I96" s="47">
        <f t="shared" si="28"/>
        <v>163</v>
      </c>
      <c r="J96" s="47">
        <f t="shared" si="28"/>
        <v>164</v>
      </c>
      <c r="K96" s="188" t="s">
        <v>12</v>
      </c>
      <c r="L96" s="130"/>
      <c r="M96" s="56"/>
    </row>
    <row r="97" spans="2:13" ht="13.5" customHeight="1" thickBot="1" x14ac:dyDescent="0.25">
      <c r="B97" s="47">
        <f>SUM(C97:D97)</f>
        <v>262</v>
      </c>
      <c r="C97" s="47">
        <f>I97+F97</f>
        <v>164</v>
      </c>
      <c r="D97" s="47">
        <f>J97+G97</f>
        <v>98</v>
      </c>
      <c r="E97" s="47">
        <f>SUM(F97:G97)</f>
        <v>5</v>
      </c>
      <c r="F97" s="47">
        <v>5</v>
      </c>
      <c r="G97" s="47">
        <v>0</v>
      </c>
      <c r="H97" s="47">
        <f>SUM(I97:J97)</f>
        <v>257</v>
      </c>
      <c r="I97" s="47">
        <v>159</v>
      </c>
      <c r="J97" s="47">
        <f>118-20</f>
        <v>98</v>
      </c>
      <c r="K97" s="188" t="s">
        <v>233</v>
      </c>
      <c r="L97" s="129"/>
      <c r="M97" s="56"/>
    </row>
    <row r="98" spans="2:13" ht="13.5" customHeight="1" thickBot="1" x14ac:dyDescent="0.25">
      <c r="B98" s="47">
        <f>SUM(C98:D98)</f>
        <v>0</v>
      </c>
      <c r="C98" s="47">
        <f>I98+F98</f>
        <v>0</v>
      </c>
      <c r="D98" s="47">
        <f>J98+G98</f>
        <v>0</v>
      </c>
      <c r="E98" s="47">
        <f>SUM(F98:G98)</f>
        <v>0</v>
      </c>
      <c r="F98" s="47">
        <v>0</v>
      </c>
      <c r="G98" s="47">
        <v>0</v>
      </c>
      <c r="H98" s="47">
        <f>SUM(I98:J98)</f>
        <v>0</v>
      </c>
      <c r="I98" s="47">
        <v>0</v>
      </c>
      <c r="J98" s="47">
        <v>0</v>
      </c>
      <c r="K98" s="188" t="s">
        <v>234</v>
      </c>
      <c r="L98" s="129" t="s">
        <v>582</v>
      </c>
      <c r="M98" s="56"/>
    </row>
    <row r="99" spans="2:13" ht="13.5" customHeight="1" thickBot="1" x14ac:dyDescent="0.25">
      <c r="B99" s="47">
        <f t="shared" ref="B99:J99" si="29">SUM(B97:B98)</f>
        <v>262</v>
      </c>
      <c r="C99" s="47">
        <f t="shared" si="29"/>
        <v>164</v>
      </c>
      <c r="D99" s="47">
        <f t="shared" si="29"/>
        <v>98</v>
      </c>
      <c r="E99" s="47">
        <f t="shared" si="29"/>
        <v>5</v>
      </c>
      <c r="F99" s="47">
        <f t="shared" si="29"/>
        <v>5</v>
      </c>
      <c r="G99" s="47">
        <f t="shared" si="29"/>
        <v>0</v>
      </c>
      <c r="H99" s="47">
        <f t="shared" si="29"/>
        <v>257</v>
      </c>
      <c r="I99" s="47">
        <f t="shared" si="29"/>
        <v>159</v>
      </c>
      <c r="J99" s="47">
        <f t="shared" si="29"/>
        <v>98</v>
      </c>
      <c r="K99" s="188" t="s">
        <v>12</v>
      </c>
      <c r="L99" s="130"/>
      <c r="M99" s="56"/>
    </row>
    <row r="100" spans="2:13" ht="13.5" customHeight="1" thickBot="1" x14ac:dyDescent="0.25">
      <c r="B100" s="47">
        <f>SUM(C100:D100)</f>
        <v>293</v>
      </c>
      <c r="C100" s="47">
        <f>I100+F100</f>
        <v>203</v>
      </c>
      <c r="D100" s="47">
        <f>J100+G100</f>
        <v>90</v>
      </c>
      <c r="E100" s="47">
        <f>SUM(F100:G100)</f>
        <v>2</v>
      </c>
      <c r="F100" s="47">
        <v>1</v>
      </c>
      <c r="G100" s="47">
        <v>1</v>
      </c>
      <c r="H100" s="47">
        <f>SUM(I100:J100)</f>
        <v>291</v>
      </c>
      <c r="I100" s="47">
        <v>202</v>
      </c>
      <c r="J100" s="47">
        <v>89</v>
      </c>
      <c r="K100" s="188" t="s">
        <v>233</v>
      </c>
      <c r="L100" s="129"/>
      <c r="M100" s="56"/>
    </row>
    <row r="101" spans="2:13" ht="13.5" customHeight="1" thickBot="1" x14ac:dyDescent="0.25">
      <c r="B101" s="47">
        <f>SUM(C101:D101)</f>
        <v>0</v>
      </c>
      <c r="C101" s="47">
        <f>I101+F101</f>
        <v>0</v>
      </c>
      <c r="D101" s="47">
        <f>J101+G101</f>
        <v>0</v>
      </c>
      <c r="E101" s="47">
        <f>SUM(F101:G101)</f>
        <v>0</v>
      </c>
      <c r="F101" s="47">
        <v>0</v>
      </c>
      <c r="G101" s="47">
        <v>0</v>
      </c>
      <c r="H101" s="47">
        <f>SUM(I101:J101)</f>
        <v>0</v>
      </c>
      <c r="I101" s="47">
        <v>0</v>
      </c>
      <c r="J101" s="47">
        <v>0</v>
      </c>
      <c r="K101" s="188" t="s">
        <v>234</v>
      </c>
      <c r="L101" s="129" t="s">
        <v>583</v>
      </c>
      <c r="M101" s="56"/>
    </row>
    <row r="102" spans="2:13" ht="13.5" customHeight="1" thickBot="1" x14ac:dyDescent="0.25">
      <c r="B102" s="47">
        <f t="shared" ref="B102:J102" si="30">SUM(B100:B101)</f>
        <v>293</v>
      </c>
      <c r="C102" s="47">
        <f t="shared" si="30"/>
        <v>203</v>
      </c>
      <c r="D102" s="47">
        <f t="shared" si="30"/>
        <v>90</v>
      </c>
      <c r="E102" s="47">
        <f t="shared" si="30"/>
        <v>2</v>
      </c>
      <c r="F102" s="47">
        <f t="shared" si="30"/>
        <v>1</v>
      </c>
      <c r="G102" s="47">
        <f t="shared" si="30"/>
        <v>1</v>
      </c>
      <c r="H102" s="47">
        <f t="shared" si="30"/>
        <v>291</v>
      </c>
      <c r="I102" s="47">
        <f t="shared" si="30"/>
        <v>202</v>
      </c>
      <c r="J102" s="47">
        <f t="shared" si="30"/>
        <v>89</v>
      </c>
      <c r="K102" s="188" t="s">
        <v>12</v>
      </c>
      <c r="L102" s="130"/>
      <c r="M102" s="56"/>
    </row>
    <row r="103" spans="2:13" ht="13.5" customHeight="1" thickBot="1" x14ac:dyDescent="0.25">
      <c r="B103" s="47">
        <f>SUM(C103:D103)</f>
        <v>260</v>
      </c>
      <c r="C103" s="47">
        <f>I103+F103</f>
        <v>202</v>
      </c>
      <c r="D103" s="47">
        <f>J103+G103</f>
        <v>58</v>
      </c>
      <c r="E103" s="47">
        <f>SUM(F103:G103)</f>
        <v>1</v>
      </c>
      <c r="F103" s="47">
        <v>1</v>
      </c>
      <c r="G103" s="47">
        <v>0</v>
      </c>
      <c r="H103" s="47">
        <f>SUM(I103:J103)</f>
        <v>259</v>
      </c>
      <c r="I103" s="47">
        <v>201</v>
      </c>
      <c r="J103" s="47">
        <f>68-10</f>
        <v>58</v>
      </c>
      <c r="K103" s="188" t="s">
        <v>233</v>
      </c>
      <c r="L103" s="129"/>
      <c r="M103" s="56"/>
    </row>
    <row r="104" spans="2:13" ht="13.5" customHeight="1" thickBot="1" x14ac:dyDescent="0.25">
      <c r="B104" s="47">
        <f>SUM(C104:D104)</f>
        <v>0</v>
      </c>
      <c r="C104" s="47">
        <f>I104+F104</f>
        <v>0</v>
      </c>
      <c r="D104" s="47">
        <f>J104+G104</f>
        <v>0</v>
      </c>
      <c r="E104" s="47">
        <f>SUM(F104:G104)</f>
        <v>0</v>
      </c>
      <c r="F104" s="47">
        <v>0</v>
      </c>
      <c r="G104" s="47">
        <v>0</v>
      </c>
      <c r="H104" s="47">
        <f>SUM(I104:J104)</f>
        <v>0</v>
      </c>
      <c r="I104" s="47">
        <v>0</v>
      </c>
      <c r="J104" s="47">
        <v>0</v>
      </c>
      <c r="K104" s="188" t="s">
        <v>234</v>
      </c>
      <c r="L104" s="129" t="s">
        <v>637</v>
      </c>
      <c r="M104" s="56"/>
    </row>
    <row r="105" spans="2:13" ht="13.5" customHeight="1" thickBot="1" x14ac:dyDescent="0.25">
      <c r="B105" s="47">
        <f t="shared" ref="B105:J105" si="31">SUM(B103:B104)</f>
        <v>260</v>
      </c>
      <c r="C105" s="47">
        <f t="shared" si="31"/>
        <v>202</v>
      </c>
      <c r="D105" s="47">
        <f t="shared" si="31"/>
        <v>58</v>
      </c>
      <c r="E105" s="47">
        <f t="shared" si="31"/>
        <v>1</v>
      </c>
      <c r="F105" s="47">
        <f t="shared" si="31"/>
        <v>1</v>
      </c>
      <c r="G105" s="47">
        <f t="shared" si="31"/>
        <v>0</v>
      </c>
      <c r="H105" s="47">
        <f t="shared" si="31"/>
        <v>259</v>
      </c>
      <c r="I105" s="47">
        <f t="shared" si="31"/>
        <v>201</v>
      </c>
      <c r="J105" s="47">
        <f t="shared" si="31"/>
        <v>58</v>
      </c>
      <c r="K105" s="188" t="s">
        <v>12</v>
      </c>
      <c r="L105" s="130"/>
      <c r="M105" s="56"/>
    </row>
    <row r="106" spans="2:13" ht="13.5" customHeight="1" thickBot="1" x14ac:dyDescent="0.25">
      <c r="B106" s="47">
        <f>SUM(C106:D106)</f>
        <v>419</v>
      </c>
      <c r="C106" s="47">
        <f>I106+F106</f>
        <v>0</v>
      </c>
      <c r="D106" s="47">
        <f>J106+G106</f>
        <v>419</v>
      </c>
      <c r="E106" s="47">
        <f>SUM(F106:G106)</f>
        <v>0</v>
      </c>
      <c r="F106" s="47">
        <v>0</v>
      </c>
      <c r="G106" s="47">
        <v>0</v>
      </c>
      <c r="H106" s="47">
        <f>SUM(I106:J106)</f>
        <v>419</v>
      </c>
      <c r="I106" s="47">
        <v>0</v>
      </c>
      <c r="J106" s="47">
        <f>519-100</f>
        <v>419</v>
      </c>
      <c r="K106" s="188" t="s">
        <v>233</v>
      </c>
      <c r="L106" s="129"/>
      <c r="M106" s="56"/>
    </row>
    <row r="107" spans="2:13" ht="13.5" customHeight="1" thickBot="1" x14ac:dyDescent="0.25">
      <c r="B107" s="47">
        <f>SUM(C107:D107)</f>
        <v>106</v>
      </c>
      <c r="C107" s="47">
        <f>I107+F107</f>
        <v>10</v>
      </c>
      <c r="D107" s="47">
        <f>J107+G107</f>
        <v>96</v>
      </c>
      <c r="E107" s="47">
        <f>SUM(F107:G107)</f>
        <v>0</v>
      </c>
      <c r="F107" s="47">
        <v>0</v>
      </c>
      <c r="G107" s="47">
        <v>0</v>
      </c>
      <c r="H107" s="47">
        <f>SUM(I107:J107)</f>
        <v>106</v>
      </c>
      <c r="I107" s="47">
        <v>10</v>
      </c>
      <c r="J107" s="47">
        <v>96</v>
      </c>
      <c r="K107" s="188" t="s">
        <v>234</v>
      </c>
      <c r="L107" s="129" t="s">
        <v>711</v>
      </c>
      <c r="M107" s="56"/>
    </row>
    <row r="108" spans="2:13" ht="13.5" customHeight="1" thickBot="1" x14ac:dyDescent="0.25">
      <c r="B108" s="47">
        <f t="shared" ref="B108:J108" si="32">SUM(B106:B107)</f>
        <v>525</v>
      </c>
      <c r="C108" s="47">
        <f t="shared" si="32"/>
        <v>10</v>
      </c>
      <c r="D108" s="47">
        <f t="shared" si="32"/>
        <v>515</v>
      </c>
      <c r="E108" s="47">
        <f t="shared" si="32"/>
        <v>0</v>
      </c>
      <c r="F108" s="47">
        <f t="shared" si="32"/>
        <v>0</v>
      </c>
      <c r="G108" s="47">
        <f t="shared" si="32"/>
        <v>0</v>
      </c>
      <c r="H108" s="47">
        <f t="shared" si="32"/>
        <v>525</v>
      </c>
      <c r="I108" s="47">
        <f t="shared" si="32"/>
        <v>10</v>
      </c>
      <c r="J108" s="47">
        <f t="shared" si="32"/>
        <v>515</v>
      </c>
      <c r="K108" s="188" t="s">
        <v>12</v>
      </c>
      <c r="L108" s="130"/>
      <c r="M108" s="56"/>
    </row>
    <row r="109" spans="2:13" ht="13.5" customHeight="1" thickBot="1" x14ac:dyDescent="0.25">
      <c r="B109" s="47">
        <f>SUM(C109:D109)</f>
        <v>83</v>
      </c>
      <c r="C109" s="47">
        <f>I109+F109</f>
        <v>0</v>
      </c>
      <c r="D109" s="47">
        <f>J109+G109</f>
        <v>83</v>
      </c>
      <c r="E109" s="47">
        <f>SUM(F109:G109)</f>
        <v>6</v>
      </c>
      <c r="F109" s="47">
        <v>0</v>
      </c>
      <c r="G109" s="47">
        <v>6</v>
      </c>
      <c r="H109" s="47">
        <f>SUM(I109:J109)</f>
        <v>77</v>
      </c>
      <c r="I109" s="47">
        <v>0</v>
      </c>
      <c r="J109" s="47">
        <v>77</v>
      </c>
      <c r="K109" s="188" t="s">
        <v>233</v>
      </c>
      <c r="L109" s="129"/>
      <c r="M109" s="56"/>
    </row>
    <row r="110" spans="2:13" ht="13.5" customHeight="1" thickBot="1" x14ac:dyDescent="0.25">
      <c r="B110" s="47">
        <f>SUM(C110:D110)</f>
        <v>0</v>
      </c>
      <c r="C110" s="47">
        <f>I110+F110</f>
        <v>0</v>
      </c>
      <c r="D110" s="47">
        <f>J110+G110</f>
        <v>0</v>
      </c>
      <c r="E110" s="47">
        <f>SUM(F110:G110)</f>
        <v>0</v>
      </c>
      <c r="F110" s="47">
        <v>0</v>
      </c>
      <c r="G110" s="47">
        <v>0</v>
      </c>
      <c r="H110" s="47">
        <f>SUM(I110:J110)</f>
        <v>0</v>
      </c>
      <c r="I110" s="47">
        <v>0</v>
      </c>
      <c r="J110" s="47">
        <v>0</v>
      </c>
      <c r="K110" s="188" t="s">
        <v>234</v>
      </c>
      <c r="L110" s="129" t="s">
        <v>639</v>
      </c>
      <c r="M110" s="56"/>
    </row>
    <row r="111" spans="2:13" ht="13.5" customHeight="1" thickBot="1" x14ac:dyDescent="0.25">
      <c r="B111" s="47">
        <f t="shared" ref="B111:J111" si="33">SUM(B109:B110)</f>
        <v>83</v>
      </c>
      <c r="C111" s="47">
        <f t="shared" si="33"/>
        <v>0</v>
      </c>
      <c r="D111" s="47">
        <f t="shared" si="33"/>
        <v>83</v>
      </c>
      <c r="E111" s="47">
        <f t="shared" si="33"/>
        <v>6</v>
      </c>
      <c r="F111" s="47">
        <f t="shared" si="33"/>
        <v>0</v>
      </c>
      <c r="G111" s="47">
        <f t="shared" si="33"/>
        <v>6</v>
      </c>
      <c r="H111" s="47">
        <f t="shared" si="33"/>
        <v>77</v>
      </c>
      <c r="I111" s="47">
        <f t="shared" si="33"/>
        <v>0</v>
      </c>
      <c r="J111" s="47">
        <f t="shared" si="33"/>
        <v>77</v>
      </c>
      <c r="K111" s="188" t="s">
        <v>12</v>
      </c>
      <c r="L111" s="130"/>
      <c r="M111" s="56"/>
    </row>
    <row r="112" spans="2:13" ht="13.5" customHeight="1" thickBot="1" x14ac:dyDescent="0.25">
      <c r="B112" s="47">
        <f>SUM(C112:D112)</f>
        <v>317</v>
      </c>
      <c r="C112" s="47">
        <f>I112+F112</f>
        <v>75</v>
      </c>
      <c r="D112" s="47">
        <f>J112+G112</f>
        <v>242</v>
      </c>
      <c r="E112" s="47">
        <f>SUM(F112:G112)</f>
        <v>0</v>
      </c>
      <c r="F112" s="47">
        <v>0</v>
      </c>
      <c r="G112" s="47">
        <v>0</v>
      </c>
      <c r="H112" s="47">
        <f>SUM(I112:J112)</f>
        <v>317</v>
      </c>
      <c r="I112" s="47">
        <v>75</v>
      </c>
      <c r="J112" s="47">
        <f>262-20</f>
        <v>242</v>
      </c>
      <c r="K112" s="188" t="s">
        <v>233</v>
      </c>
      <c r="L112" s="129"/>
      <c r="M112" s="56"/>
    </row>
    <row r="113" spans="2:13" ht="13.5" customHeight="1" thickBot="1" x14ac:dyDescent="0.25">
      <c r="B113" s="47">
        <f>SUM(C113:D113)</f>
        <v>0</v>
      </c>
      <c r="C113" s="47">
        <f>I113+F113</f>
        <v>0</v>
      </c>
      <c r="D113" s="47">
        <f>J113+G113</f>
        <v>0</v>
      </c>
      <c r="E113" s="47">
        <f>SUM(F113:G113)</f>
        <v>0</v>
      </c>
      <c r="F113" s="47">
        <v>0</v>
      </c>
      <c r="G113" s="47">
        <v>0</v>
      </c>
      <c r="H113" s="47">
        <f>SUM(I113:J113)</f>
        <v>0</v>
      </c>
      <c r="I113" s="47">
        <v>0</v>
      </c>
      <c r="J113" s="47">
        <v>0</v>
      </c>
      <c r="K113" s="188" t="s">
        <v>234</v>
      </c>
      <c r="L113" s="129" t="s">
        <v>69</v>
      </c>
      <c r="M113" s="56"/>
    </row>
    <row r="114" spans="2:13" ht="13.5" customHeight="1" thickBot="1" x14ac:dyDescent="0.25">
      <c r="B114" s="47">
        <f t="shared" ref="B114:J114" si="34">SUM(B112:B113)</f>
        <v>317</v>
      </c>
      <c r="C114" s="47">
        <f t="shared" si="34"/>
        <v>75</v>
      </c>
      <c r="D114" s="47">
        <f t="shared" si="34"/>
        <v>242</v>
      </c>
      <c r="E114" s="47">
        <f t="shared" si="34"/>
        <v>0</v>
      </c>
      <c r="F114" s="47">
        <f t="shared" si="34"/>
        <v>0</v>
      </c>
      <c r="G114" s="47">
        <f t="shared" si="34"/>
        <v>0</v>
      </c>
      <c r="H114" s="47">
        <f t="shared" si="34"/>
        <v>317</v>
      </c>
      <c r="I114" s="47">
        <f t="shared" si="34"/>
        <v>75</v>
      </c>
      <c r="J114" s="47">
        <f t="shared" si="34"/>
        <v>242</v>
      </c>
      <c r="K114" s="188" t="s">
        <v>12</v>
      </c>
      <c r="L114" s="130"/>
      <c r="M114" s="56"/>
    </row>
    <row r="115" spans="2:13" ht="13.5" customHeight="1" thickBot="1" x14ac:dyDescent="0.25">
      <c r="B115" s="47">
        <f t="shared" ref="B115:J117" si="35">B85+B88+B91+B94+B97+B100+B103+B106+B109+B112</f>
        <v>3214</v>
      </c>
      <c r="C115" s="47">
        <f t="shared" si="35"/>
        <v>1567</v>
      </c>
      <c r="D115" s="47">
        <f t="shared" si="35"/>
        <v>1647</v>
      </c>
      <c r="E115" s="47">
        <f t="shared" si="35"/>
        <v>80</v>
      </c>
      <c r="F115" s="47">
        <f t="shared" si="35"/>
        <v>26</v>
      </c>
      <c r="G115" s="47">
        <f t="shared" si="35"/>
        <v>54</v>
      </c>
      <c r="H115" s="47">
        <f t="shared" si="35"/>
        <v>3134</v>
      </c>
      <c r="I115" s="47">
        <f t="shared" si="35"/>
        <v>1541</v>
      </c>
      <c r="J115" s="47">
        <f t="shared" si="35"/>
        <v>1593</v>
      </c>
      <c r="K115" s="188" t="s">
        <v>236</v>
      </c>
      <c r="L115" s="131"/>
      <c r="M115" s="56"/>
    </row>
    <row r="116" spans="2:13" ht="13.5" customHeight="1" thickBot="1" x14ac:dyDescent="0.25">
      <c r="B116" s="47">
        <f t="shared" si="35"/>
        <v>476</v>
      </c>
      <c r="C116" s="47">
        <f t="shared" si="35"/>
        <v>140</v>
      </c>
      <c r="D116" s="47">
        <f t="shared" si="35"/>
        <v>336</v>
      </c>
      <c r="E116" s="47">
        <f t="shared" si="35"/>
        <v>3</v>
      </c>
      <c r="F116" s="47">
        <f t="shared" si="35"/>
        <v>1</v>
      </c>
      <c r="G116" s="47">
        <f t="shared" si="35"/>
        <v>2</v>
      </c>
      <c r="H116" s="47">
        <f t="shared" si="35"/>
        <v>473</v>
      </c>
      <c r="I116" s="47">
        <f t="shared" si="35"/>
        <v>139</v>
      </c>
      <c r="J116" s="47">
        <f t="shared" si="35"/>
        <v>334</v>
      </c>
      <c r="K116" s="188" t="s">
        <v>237</v>
      </c>
      <c r="L116" s="132" t="s">
        <v>188</v>
      </c>
      <c r="M116" s="56"/>
    </row>
    <row r="117" spans="2:13" ht="13.5" customHeight="1" thickBot="1" x14ac:dyDescent="0.25">
      <c r="B117" s="47">
        <f t="shared" si="35"/>
        <v>3690</v>
      </c>
      <c r="C117" s="47">
        <f t="shared" si="35"/>
        <v>1707</v>
      </c>
      <c r="D117" s="47">
        <f t="shared" si="35"/>
        <v>1983</v>
      </c>
      <c r="E117" s="47">
        <f t="shared" si="35"/>
        <v>83</v>
      </c>
      <c r="F117" s="47">
        <f t="shared" si="35"/>
        <v>27</v>
      </c>
      <c r="G117" s="47">
        <f t="shared" si="35"/>
        <v>56</v>
      </c>
      <c r="H117" s="47">
        <f t="shared" si="35"/>
        <v>3607</v>
      </c>
      <c r="I117" s="47">
        <f t="shared" si="35"/>
        <v>1680</v>
      </c>
      <c r="J117" s="47">
        <f t="shared" si="35"/>
        <v>1927</v>
      </c>
      <c r="K117" s="188" t="s">
        <v>12</v>
      </c>
      <c r="L117" s="133"/>
      <c r="M117" s="56"/>
    </row>
    <row r="118" spans="2:13" ht="13.5" customHeight="1" thickBot="1" x14ac:dyDescent="0.25">
      <c r="B118" s="476" t="s">
        <v>4</v>
      </c>
      <c r="C118" s="476"/>
      <c r="D118" s="476"/>
      <c r="E118" s="476" t="s">
        <v>145</v>
      </c>
      <c r="F118" s="476"/>
      <c r="G118" s="476"/>
      <c r="H118" s="476" t="s">
        <v>146</v>
      </c>
      <c r="I118" s="476"/>
      <c r="J118" s="476"/>
      <c r="K118" s="479" t="s">
        <v>66</v>
      </c>
      <c r="L118" s="479"/>
      <c r="M118" s="56"/>
    </row>
    <row r="119" spans="2:13" ht="13.5" customHeight="1" thickBot="1" x14ac:dyDescent="0.25">
      <c r="B119" s="185" t="s">
        <v>227</v>
      </c>
      <c r="C119" s="185" t="s">
        <v>10</v>
      </c>
      <c r="D119" s="185" t="s">
        <v>9</v>
      </c>
      <c r="E119" s="185" t="s">
        <v>227</v>
      </c>
      <c r="F119" s="185" t="s">
        <v>10</v>
      </c>
      <c r="G119" s="185" t="s">
        <v>9</v>
      </c>
      <c r="H119" s="185" t="s">
        <v>227</v>
      </c>
      <c r="I119" s="185" t="s">
        <v>10</v>
      </c>
      <c r="J119" s="185" t="s">
        <v>9</v>
      </c>
      <c r="K119" s="480" t="s">
        <v>72</v>
      </c>
      <c r="L119" s="480"/>
      <c r="M119" s="56"/>
    </row>
    <row r="120" spans="2:13" ht="13.5" customHeight="1" thickBot="1" x14ac:dyDescent="0.25">
      <c r="B120" s="47">
        <f>SUM(C120:D120)</f>
        <v>172</v>
      </c>
      <c r="C120" s="47">
        <f>I120+F120</f>
        <v>62</v>
      </c>
      <c r="D120" s="47">
        <f>J120+G120</f>
        <v>110</v>
      </c>
      <c r="E120" s="47">
        <f>SUM(F120:G120)</f>
        <v>12</v>
      </c>
      <c r="F120" s="47">
        <v>0</v>
      </c>
      <c r="G120" s="47">
        <v>12</v>
      </c>
      <c r="H120" s="47">
        <f>SUM(I120:J120)</f>
        <v>160</v>
      </c>
      <c r="I120" s="47">
        <f>32+30</f>
        <v>62</v>
      </c>
      <c r="J120" s="47">
        <v>98</v>
      </c>
      <c r="K120" s="188" t="s">
        <v>233</v>
      </c>
      <c r="L120" s="129"/>
      <c r="M120" s="56"/>
    </row>
    <row r="121" spans="2:13" ht="13.5" customHeight="1" thickBot="1" x14ac:dyDescent="0.25">
      <c r="B121" s="47">
        <f>SUM(C121:D121)</f>
        <v>0</v>
      </c>
      <c r="C121" s="47">
        <f>I121+F121</f>
        <v>0</v>
      </c>
      <c r="D121" s="47">
        <f>J121+G121</f>
        <v>0</v>
      </c>
      <c r="E121" s="47">
        <f>SUM(F121:G121)</f>
        <v>0</v>
      </c>
      <c r="F121" s="47">
        <v>0</v>
      </c>
      <c r="G121" s="47">
        <v>0</v>
      </c>
      <c r="H121" s="47">
        <f>SUM(I121:J121)</f>
        <v>0</v>
      </c>
      <c r="I121" s="47">
        <v>0</v>
      </c>
      <c r="J121" s="47">
        <v>0</v>
      </c>
      <c r="K121" s="188" t="s">
        <v>234</v>
      </c>
      <c r="L121" s="129" t="s">
        <v>712</v>
      </c>
      <c r="M121" s="56"/>
    </row>
    <row r="122" spans="2:13" ht="13.5" customHeight="1" thickBot="1" x14ac:dyDescent="0.25">
      <c r="B122" s="47">
        <f t="shared" ref="B122:J122" si="36">SUM(B120:B121)</f>
        <v>172</v>
      </c>
      <c r="C122" s="47">
        <f t="shared" si="36"/>
        <v>62</v>
      </c>
      <c r="D122" s="47">
        <f t="shared" si="36"/>
        <v>110</v>
      </c>
      <c r="E122" s="47">
        <f t="shared" si="36"/>
        <v>12</v>
      </c>
      <c r="F122" s="47">
        <f t="shared" si="36"/>
        <v>0</v>
      </c>
      <c r="G122" s="47">
        <f t="shared" si="36"/>
        <v>12</v>
      </c>
      <c r="H122" s="47">
        <f t="shared" si="36"/>
        <v>160</v>
      </c>
      <c r="I122" s="47">
        <f t="shared" si="36"/>
        <v>62</v>
      </c>
      <c r="J122" s="47">
        <f t="shared" si="36"/>
        <v>98</v>
      </c>
      <c r="K122" s="188" t="s">
        <v>12</v>
      </c>
      <c r="L122" s="130"/>
      <c r="M122" s="56"/>
    </row>
    <row r="123" spans="2:13" ht="13.5" customHeight="1" thickBot="1" x14ac:dyDescent="0.25">
      <c r="B123" s="47">
        <f>SUM(C123:D123)</f>
        <v>221</v>
      </c>
      <c r="C123" s="47">
        <f>I123+F123</f>
        <v>89</v>
      </c>
      <c r="D123" s="47">
        <f>J123+G123</f>
        <v>132</v>
      </c>
      <c r="E123" s="47">
        <f>SUM(F123:G123)</f>
        <v>0</v>
      </c>
      <c r="F123" s="47">
        <v>0</v>
      </c>
      <c r="G123" s="47">
        <v>0</v>
      </c>
      <c r="H123" s="47">
        <f>SUM(I123:J123)</f>
        <v>221</v>
      </c>
      <c r="I123" s="47">
        <v>89</v>
      </c>
      <c r="J123" s="47">
        <v>132</v>
      </c>
      <c r="K123" s="188" t="s">
        <v>233</v>
      </c>
      <c r="L123" s="129"/>
      <c r="M123" s="56"/>
    </row>
    <row r="124" spans="2:13" ht="13.5" customHeight="1" thickBot="1" x14ac:dyDescent="0.25">
      <c r="B124" s="47">
        <f>SUM(C124:D124)</f>
        <v>0</v>
      </c>
      <c r="C124" s="47">
        <f>I124+F124</f>
        <v>0</v>
      </c>
      <c r="D124" s="47">
        <f>J124+G124</f>
        <v>0</v>
      </c>
      <c r="E124" s="47">
        <f>SUM(F124:G124)</f>
        <v>0</v>
      </c>
      <c r="F124" s="47">
        <v>0</v>
      </c>
      <c r="G124" s="47">
        <v>0</v>
      </c>
      <c r="H124" s="47">
        <f>SUM(I124:J124)</f>
        <v>0</v>
      </c>
      <c r="I124" s="47">
        <v>0</v>
      </c>
      <c r="J124" s="47">
        <v>0</v>
      </c>
      <c r="K124" s="188" t="s">
        <v>234</v>
      </c>
      <c r="L124" s="129" t="s">
        <v>348</v>
      </c>
      <c r="M124" s="56"/>
    </row>
    <row r="125" spans="2:13" ht="13.5" customHeight="1" thickBot="1" x14ac:dyDescent="0.25">
      <c r="B125" s="47">
        <f t="shared" ref="B125:J125" si="37">SUM(B123:B124)</f>
        <v>221</v>
      </c>
      <c r="C125" s="47">
        <f t="shared" si="37"/>
        <v>89</v>
      </c>
      <c r="D125" s="47">
        <f t="shared" si="37"/>
        <v>132</v>
      </c>
      <c r="E125" s="47">
        <f t="shared" si="37"/>
        <v>0</v>
      </c>
      <c r="F125" s="47">
        <f t="shared" si="37"/>
        <v>0</v>
      </c>
      <c r="G125" s="47">
        <f t="shared" si="37"/>
        <v>0</v>
      </c>
      <c r="H125" s="47">
        <f t="shared" si="37"/>
        <v>221</v>
      </c>
      <c r="I125" s="47">
        <f t="shared" si="37"/>
        <v>89</v>
      </c>
      <c r="J125" s="47">
        <f t="shared" si="37"/>
        <v>132</v>
      </c>
      <c r="K125" s="188" t="s">
        <v>12</v>
      </c>
      <c r="L125" s="130"/>
      <c r="M125" s="56"/>
    </row>
    <row r="126" spans="2:13" ht="13.5" customHeight="1" thickBot="1" x14ac:dyDescent="0.25">
      <c r="B126" s="47">
        <f>SUM(C126:D126)</f>
        <v>485</v>
      </c>
      <c r="C126" s="47">
        <f>I126+F126</f>
        <v>300</v>
      </c>
      <c r="D126" s="47">
        <f>J126+G126</f>
        <v>185</v>
      </c>
      <c r="E126" s="47">
        <f>SUM(F126:G126)</f>
        <v>0</v>
      </c>
      <c r="F126" s="47">
        <v>0</v>
      </c>
      <c r="G126" s="47">
        <v>0</v>
      </c>
      <c r="H126" s="47">
        <f>SUM(I126:J126)</f>
        <v>485</v>
      </c>
      <c r="I126" s="47">
        <f>250+50</f>
        <v>300</v>
      </c>
      <c r="J126" s="47">
        <v>185</v>
      </c>
      <c r="K126" s="188" t="s">
        <v>233</v>
      </c>
      <c r="L126" s="129"/>
      <c r="M126" s="56"/>
    </row>
    <row r="127" spans="2:13" ht="13.5" customHeight="1" thickBot="1" x14ac:dyDescent="0.25">
      <c r="B127" s="47">
        <f>SUM(C127:D127)</f>
        <v>0</v>
      </c>
      <c r="C127" s="47">
        <f>I127+F127</f>
        <v>0</v>
      </c>
      <c r="D127" s="47">
        <f>J127+G127</f>
        <v>0</v>
      </c>
      <c r="E127" s="47">
        <f>SUM(F127:G127)</f>
        <v>0</v>
      </c>
      <c r="F127" s="47">
        <v>0</v>
      </c>
      <c r="G127" s="47">
        <v>0</v>
      </c>
      <c r="H127" s="47">
        <f>SUM(I127:J127)</f>
        <v>0</v>
      </c>
      <c r="I127" s="47">
        <v>0</v>
      </c>
      <c r="J127" s="47">
        <v>0</v>
      </c>
      <c r="K127" s="188" t="s">
        <v>234</v>
      </c>
      <c r="L127" s="129" t="s">
        <v>364</v>
      </c>
      <c r="M127" s="56"/>
    </row>
    <row r="128" spans="2:13" ht="13.5" customHeight="1" thickBot="1" x14ac:dyDescent="0.25">
      <c r="B128" s="47">
        <f t="shared" ref="B128:J128" si="38">SUM(B126:B127)</f>
        <v>485</v>
      </c>
      <c r="C128" s="47">
        <f t="shared" si="38"/>
        <v>300</v>
      </c>
      <c r="D128" s="47">
        <f t="shared" si="38"/>
        <v>185</v>
      </c>
      <c r="E128" s="47">
        <f t="shared" si="38"/>
        <v>0</v>
      </c>
      <c r="F128" s="47">
        <f t="shared" si="38"/>
        <v>0</v>
      </c>
      <c r="G128" s="47">
        <f t="shared" si="38"/>
        <v>0</v>
      </c>
      <c r="H128" s="47">
        <f t="shared" si="38"/>
        <v>485</v>
      </c>
      <c r="I128" s="47">
        <f t="shared" si="38"/>
        <v>300</v>
      </c>
      <c r="J128" s="47">
        <f t="shared" si="38"/>
        <v>185</v>
      </c>
      <c r="K128" s="188" t="s">
        <v>12</v>
      </c>
      <c r="L128" s="130"/>
      <c r="M128" s="56"/>
    </row>
    <row r="129" spans="2:13" ht="13.5" customHeight="1" thickBot="1" x14ac:dyDescent="0.25">
      <c r="B129" s="47">
        <f>SUM(C129:D129)</f>
        <v>1183</v>
      </c>
      <c r="C129" s="47">
        <f>I129+F129</f>
        <v>585</v>
      </c>
      <c r="D129" s="47">
        <f>J129+G129</f>
        <v>598</v>
      </c>
      <c r="E129" s="47">
        <f>SUM(F129:G129)</f>
        <v>11</v>
      </c>
      <c r="F129" s="47">
        <v>6</v>
      </c>
      <c r="G129" s="47">
        <v>5</v>
      </c>
      <c r="H129" s="47">
        <f>SUM(I129:J129)</f>
        <v>1172</v>
      </c>
      <c r="I129" s="47">
        <f>529+50</f>
        <v>579</v>
      </c>
      <c r="J129" s="47">
        <v>593</v>
      </c>
      <c r="K129" s="188" t="s">
        <v>233</v>
      </c>
      <c r="L129" s="129"/>
      <c r="M129" s="56"/>
    </row>
    <row r="130" spans="2:13" ht="13.5" customHeight="1" thickBot="1" x14ac:dyDescent="0.25">
      <c r="B130" s="47">
        <f>SUM(C130:D130)</f>
        <v>0</v>
      </c>
      <c r="C130" s="47">
        <f>I130+F130</f>
        <v>0</v>
      </c>
      <c r="D130" s="47">
        <f>J130+G130</f>
        <v>0</v>
      </c>
      <c r="E130" s="47">
        <f>SUM(F130:G130)</f>
        <v>0</v>
      </c>
      <c r="F130" s="47">
        <v>0</v>
      </c>
      <c r="G130" s="47">
        <v>0</v>
      </c>
      <c r="H130" s="47">
        <f>SUM(I130:J130)</f>
        <v>0</v>
      </c>
      <c r="I130" s="47">
        <v>0</v>
      </c>
      <c r="J130" s="47">
        <v>0</v>
      </c>
      <c r="K130" s="188" t="s">
        <v>234</v>
      </c>
      <c r="L130" s="129" t="s">
        <v>371</v>
      </c>
      <c r="M130" s="56"/>
    </row>
    <row r="131" spans="2:13" ht="13.5" customHeight="1" thickBot="1" x14ac:dyDescent="0.25">
      <c r="B131" s="47">
        <f t="shared" ref="B131:J131" si="39">SUM(B129:B130)</f>
        <v>1183</v>
      </c>
      <c r="C131" s="47">
        <f t="shared" si="39"/>
        <v>585</v>
      </c>
      <c r="D131" s="47">
        <f t="shared" si="39"/>
        <v>598</v>
      </c>
      <c r="E131" s="47">
        <f t="shared" si="39"/>
        <v>11</v>
      </c>
      <c r="F131" s="47">
        <f t="shared" si="39"/>
        <v>6</v>
      </c>
      <c r="G131" s="47">
        <f t="shared" si="39"/>
        <v>5</v>
      </c>
      <c r="H131" s="47">
        <f t="shared" si="39"/>
        <v>1172</v>
      </c>
      <c r="I131" s="47">
        <f t="shared" si="39"/>
        <v>579</v>
      </c>
      <c r="J131" s="47">
        <f t="shared" si="39"/>
        <v>593</v>
      </c>
      <c r="K131" s="188" t="s">
        <v>12</v>
      </c>
      <c r="L131" s="130"/>
      <c r="M131" s="56"/>
    </row>
    <row r="132" spans="2:13" ht="13.5" customHeight="1" thickBot="1" x14ac:dyDescent="0.25">
      <c r="B132" s="47">
        <f>SUM(C132:D132)</f>
        <v>2080</v>
      </c>
      <c r="C132" s="47">
        <f>I132+F132</f>
        <v>1533</v>
      </c>
      <c r="D132" s="47">
        <f>J132+G132</f>
        <v>547</v>
      </c>
      <c r="E132" s="47">
        <f>SUM(F132:G132)</f>
        <v>17</v>
      </c>
      <c r="F132" s="47">
        <v>7</v>
      </c>
      <c r="G132" s="47">
        <v>10</v>
      </c>
      <c r="H132" s="47">
        <f>SUM(I132:J132)</f>
        <v>2063</v>
      </c>
      <c r="I132" s="47">
        <f>1476+50</f>
        <v>1526</v>
      </c>
      <c r="J132" s="47">
        <v>537</v>
      </c>
      <c r="K132" s="188" t="s">
        <v>233</v>
      </c>
      <c r="L132" s="129"/>
      <c r="M132" s="56"/>
    </row>
    <row r="133" spans="2:13" ht="13.5" customHeight="1" thickBot="1" x14ac:dyDescent="0.25">
      <c r="B133" s="47">
        <f>SUM(C133:D133)</f>
        <v>0</v>
      </c>
      <c r="C133" s="47">
        <f>I133+F133</f>
        <v>0</v>
      </c>
      <c r="D133" s="47">
        <f>J133+G133</f>
        <v>0</v>
      </c>
      <c r="E133" s="47">
        <f>SUM(F133:G133)</f>
        <v>0</v>
      </c>
      <c r="F133" s="47">
        <v>0</v>
      </c>
      <c r="G133" s="47">
        <v>0</v>
      </c>
      <c r="H133" s="47">
        <f>SUM(I133:J133)</f>
        <v>0</v>
      </c>
      <c r="I133" s="47">
        <v>0</v>
      </c>
      <c r="J133" s="47">
        <v>0</v>
      </c>
      <c r="K133" s="188" t="s">
        <v>234</v>
      </c>
      <c r="L133" s="129" t="s">
        <v>496</v>
      </c>
      <c r="M133" s="56"/>
    </row>
    <row r="134" spans="2:13" ht="13.5" customHeight="1" thickBot="1" x14ac:dyDescent="0.25">
      <c r="B134" s="47">
        <f t="shared" ref="B134:J134" si="40">SUM(B132:B133)</f>
        <v>2080</v>
      </c>
      <c r="C134" s="47">
        <f t="shared" si="40"/>
        <v>1533</v>
      </c>
      <c r="D134" s="47">
        <f t="shared" si="40"/>
        <v>547</v>
      </c>
      <c r="E134" s="47">
        <f t="shared" si="40"/>
        <v>17</v>
      </c>
      <c r="F134" s="47">
        <f t="shared" si="40"/>
        <v>7</v>
      </c>
      <c r="G134" s="47">
        <f t="shared" si="40"/>
        <v>10</v>
      </c>
      <c r="H134" s="47">
        <f t="shared" si="40"/>
        <v>2063</v>
      </c>
      <c r="I134" s="47">
        <f t="shared" si="40"/>
        <v>1526</v>
      </c>
      <c r="J134" s="47">
        <f t="shared" si="40"/>
        <v>537</v>
      </c>
      <c r="K134" s="188" t="s">
        <v>12</v>
      </c>
      <c r="L134" s="130"/>
      <c r="M134" s="56"/>
    </row>
    <row r="135" spans="2:13" ht="13.5" customHeight="1" thickBot="1" x14ac:dyDescent="0.25">
      <c r="B135" s="47">
        <f>SUM(C135:D135)</f>
        <v>119</v>
      </c>
      <c r="C135" s="47">
        <f>I135+F135</f>
        <v>72</v>
      </c>
      <c r="D135" s="47">
        <f>J135+G135</f>
        <v>47</v>
      </c>
      <c r="E135" s="47">
        <f>SUM(F135:G135)</f>
        <v>22</v>
      </c>
      <c r="F135" s="47">
        <v>22</v>
      </c>
      <c r="G135" s="47">
        <v>0</v>
      </c>
      <c r="H135" s="47">
        <f>SUM(I135:J135)</f>
        <v>97</v>
      </c>
      <c r="I135" s="47">
        <f>45+5</f>
        <v>50</v>
      </c>
      <c r="J135" s="47">
        <v>47</v>
      </c>
      <c r="K135" s="188" t="s">
        <v>233</v>
      </c>
      <c r="L135" s="129"/>
      <c r="M135" s="56"/>
    </row>
    <row r="136" spans="2:13" ht="13.5" customHeight="1" thickBot="1" x14ac:dyDescent="0.25">
      <c r="B136" s="47">
        <f>SUM(C136:D136)</f>
        <v>0</v>
      </c>
      <c r="C136" s="47">
        <f>I136+F136</f>
        <v>0</v>
      </c>
      <c r="D136" s="47">
        <f>J136+G136</f>
        <v>0</v>
      </c>
      <c r="E136" s="47">
        <f>SUM(F136:G136)</f>
        <v>0</v>
      </c>
      <c r="F136" s="47">
        <v>0</v>
      </c>
      <c r="G136" s="47">
        <v>0</v>
      </c>
      <c r="H136" s="47">
        <f>SUM(I136:J136)</f>
        <v>0</v>
      </c>
      <c r="I136" s="47">
        <v>0</v>
      </c>
      <c r="J136" s="47">
        <v>0</v>
      </c>
      <c r="K136" s="188" t="s">
        <v>234</v>
      </c>
      <c r="L136" s="129" t="s">
        <v>406</v>
      </c>
      <c r="M136" s="56"/>
    </row>
    <row r="137" spans="2:13" ht="13.5" customHeight="1" thickBot="1" x14ac:dyDescent="0.25">
      <c r="B137" s="47">
        <f t="shared" ref="B137:J137" si="41">SUM(B135:B136)</f>
        <v>119</v>
      </c>
      <c r="C137" s="47">
        <f t="shared" si="41"/>
        <v>72</v>
      </c>
      <c r="D137" s="47">
        <f t="shared" si="41"/>
        <v>47</v>
      </c>
      <c r="E137" s="47">
        <f t="shared" si="41"/>
        <v>22</v>
      </c>
      <c r="F137" s="47">
        <f t="shared" si="41"/>
        <v>22</v>
      </c>
      <c r="G137" s="47">
        <f t="shared" si="41"/>
        <v>0</v>
      </c>
      <c r="H137" s="47">
        <f t="shared" si="41"/>
        <v>97</v>
      </c>
      <c r="I137" s="47">
        <f t="shared" si="41"/>
        <v>50</v>
      </c>
      <c r="J137" s="47">
        <f t="shared" si="41"/>
        <v>47</v>
      </c>
      <c r="K137" s="188" t="s">
        <v>12</v>
      </c>
      <c r="L137" s="130"/>
      <c r="M137" s="56"/>
    </row>
    <row r="138" spans="2:13" ht="13.5" customHeight="1" thickBot="1" x14ac:dyDescent="0.25">
      <c r="B138" s="47">
        <f>SUM(C138:D138)</f>
        <v>645</v>
      </c>
      <c r="C138" s="47">
        <f>I138+F138</f>
        <v>271</v>
      </c>
      <c r="D138" s="47">
        <f>J138+G138</f>
        <v>374</v>
      </c>
      <c r="E138" s="47">
        <f>SUM(F138:G138)</f>
        <v>17</v>
      </c>
      <c r="F138" s="47">
        <v>12</v>
      </c>
      <c r="G138" s="47">
        <v>5</v>
      </c>
      <c r="H138" s="47">
        <f>SUM(I138:J138)</f>
        <v>628</v>
      </c>
      <c r="I138" s="47">
        <v>259</v>
      </c>
      <c r="J138" s="47">
        <v>369</v>
      </c>
      <c r="K138" s="188" t="s">
        <v>233</v>
      </c>
      <c r="L138" s="129"/>
      <c r="M138" s="56"/>
    </row>
    <row r="139" spans="2:13" ht="13.5" customHeight="1" thickBot="1" x14ac:dyDescent="0.25">
      <c r="B139" s="47">
        <f>SUM(C139:D139)</f>
        <v>0</v>
      </c>
      <c r="C139" s="47">
        <f>I139+F139</f>
        <v>0</v>
      </c>
      <c r="D139" s="47">
        <f>J139+G139</f>
        <v>0</v>
      </c>
      <c r="E139" s="47">
        <f>SUM(F139:G139)</f>
        <v>0</v>
      </c>
      <c r="F139" s="47">
        <v>0</v>
      </c>
      <c r="G139" s="47">
        <v>0</v>
      </c>
      <c r="H139" s="47">
        <f>SUM(I139:J139)</f>
        <v>0</v>
      </c>
      <c r="I139" s="47">
        <v>0</v>
      </c>
      <c r="J139" s="47">
        <v>0</v>
      </c>
      <c r="K139" s="188" t="s">
        <v>234</v>
      </c>
      <c r="L139" s="129" t="s">
        <v>455</v>
      </c>
      <c r="M139" s="56"/>
    </row>
    <row r="140" spans="2:13" ht="13.5" customHeight="1" thickBot="1" x14ac:dyDescent="0.25">
      <c r="B140" s="47">
        <f t="shared" ref="B140:J140" si="42">SUM(B138:B139)</f>
        <v>645</v>
      </c>
      <c r="C140" s="47">
        <f t="shared" si="42"/>
        <v>271</v>
      </c>
      <c r="D140" s="47">
        <f t="shared" si="42"/>
        <v>374</v>
      </c>
      <c r="E140" s="47">
        <f t="shared" si="42"/>
        <v>17</v>
      </c>
      <c r="F140" s="47">
        <f t="shared" si="42"/>
        <v>12</v>
      </c>
      <c r="G140" s="47">
        <f t="shared" si="42"/>
        <v>5</v>
      </c>
      <c r="H140" s="47">
        <f t="shared" si="42"/>
        <v>628</v>
      </c>
      <c r="I140" s="47">
        <f t="shared" si="42"/>
        <v>259</v>
      </c>
      <c r="J140" s="47">
        <f t="shared" si="42"/>
        <v>369</v>
      </c>
      <c r="K140" s="188" t="s">
        <v>12</v>
      </c>
      <c r="L140" s="130"/>
      <c r="M140" s="56"/>
    </row>
    <row r="141" spans="2:13" ht="13.5" customHeight="1" thickBot="1" x14ac:dyDescent="0.25">
      <c r="B141" s="47">
        <f>SUM(C141:D141)</f>
        <v>264</v>
      </c>
      <c r="C141" s="47">
        <f>I141+F141</f>
        <v>149</v>
      </c>
      <c r="D141" s="47">
        <f>J141+G141</f>
        <v>115</v>
      </c>
      <c r="E141" s="47">
        <f>SUM(F141:G141)</f>
        <v>21</v>
      </c>
      <c r="F141" s="47">
        <v>21</v>
      </c>
      <c r="G141" s="47">
        <v>0</v>
      </c>
      <c r="H141" s="47">
        <f>SUM(I141:J141)</f>
        <v>243</v>
      </c>
      <c r="I141" s="47">
        <f>123+5</f>
        <v>128</v>
      </c>
      <c r="J141" s="47">
        <v>115</v>
      </c>
      <c r="K141" s="188" t="s">
        <v>233</v>
      </c>
      <c r="L141" s="129"/>
      <c r="M141" s="56"/>
    </row>
    <row r="142" spans="2:13" ht="13.5" customHeight="1" thickBot="1" x14ac:dyDescent="0.25">
      <c r="B142" s="47">
        <f>SUM(C142:D142)</f>
        <v>0</v>
      </c>
      <c r="C142" s="47">
        <f>I142+F142</f>
        <v>0</v>
      </c>
      <c r="D142" s="47">
        <f>J142+G142</f>
        <v>0</v>
      </c>
      <c r="E142" s="47">
        <f>SUM(F142:G142)</f>
        <v>0</v>
      </c>
      <c r="F142" s="47">
        <v>0</v>
      </c>
      <c r="G142" s="47">
        <v>0</v>
      </c>
      <c r="H142" s="47">
        <f>SUM(I142:J142)</f>
        <v>0</v>
      </c>
      <c r="I142" s="47">
        <v>0</v>
      </c>
      <c r="J142" s="47">
        <v>0</v>
      </c>
      <c r="K142" s="188" t="s">
        <v>234</v>
      </c>
      <c r="L142" s="129" t="s">
        <v>670</v>
      </c>
      <c r="M142" s="56"/>
    </row>
    <row r="143" spans="2:13" ht="13.5" customHeight="1" thickBot="1" x14ac:dyDescent="0.25">
      <c r="B143" s="47">
        <f t="shared" ref="B143:J143" si="43">SUM(B141:B142)</f>
        <v>264</v>
      </c>
      <c r="C143" s="47">
        <f t="shared" si="43"/>
        <v>149</v>
      </c>
      <c r="D143" s="47">
        <f t="shared" si="43"/>
        <v>115</v>
      </c>
      <c r="E143" s="47">
        <f t="shared" si="43"/>
        <v>21</v>
      </c>
      <c r="F143" s="47">
        <f t="shared" si="43"/>
        <v>21</v>
      </c>
      <c r="G143" s="47">
        <f t="shared" si="43"/>
        <v>0</v>
      </c>
      <c r="H143" s="47">
        <f t="shared" si="43"/>
        <v>243</v>
      </c>
      <c r="I143" s="47">
        <f t="shared" si="43"/>
        <v>128</v>
      </c>
      <c r="J143" s="47">
        <f t="shared" si="43"/>
        <v>115</v>
      </c>
      <c r="K143" s="188" t="s">
        <v>12</v>
      </c>
      <c r="L143" s="130"/>
      <c r="M143" s="56"/>
    </row>
    <row r="144" spans="2:13" ht="13.5" customHeight="1" thickBot="1" x14ac:dyDescent="0.25">
      <c r="B144" s="47">
        <f>SUM(C144:D144)</f>
        <v>497</v>
      </c>
      <c r="C144" s="47">
        <f>I144+F144</f>
        <v>295</v>
      </c>
      <c r="D144" s="47">
        <f>J144+G144</f>
        <v>202</v>
      </c>
      <c r="E144" s="47">
        <f>SUM(F144:G144)</f>
        <v>24</v>
      </c>
      <c r="F144" s="47">
        <v>0</v>
      </c>
      <c r="G144" s="47">
        <v>24</v>
      </c>
      <c r="H144" s="47">
        <f>SUM(I144:J144)</f>
        <v>473</v>
      </c>
      <c r="I144" s="47">
        <v>295</v>
      </c>
      <c r="J144" s="47">
        <v>178</v>
      </c>
      <c r="K144" s="188" t="s">
        <v>233</v>
      </c>
      <c r="L144" s="129"/>
      <c r="M144" s="56"/>
    </row>
    <row r="145" spans="2:13" ht="13.5" customHeight="1" thickBot="1" x14ac:dyDescent="0.25">
      <c r="B145" s="47">
        <f>SUM(C145:D145)</f>
        <v>0</v>
      </c>
      <c r="C145" s="47">
        <f>I145+F145</f>
        <v>0</v>
      </c>
      <c r="D145" s="47">
        <f>J145+G145</f>
        <v>0</v>
      </c>
      <c r="E145" s="47">
        <f>SUM(F145:G145)</f>
        <v>0</v>
      </c>
      <c r="F145" s="47">
        <v>0</v>
      </c>
      <c r="G145" s="47">
        <v>0</v>
      </c>
      <c r="H145" s="47">
        <f>SUM(I145:J145)</f>
        <v>0</v>
      </c>
      <c r="I145" s="47">
        <v>0</v>
      </c>
      <c r="J145" s="47">
        <v>0</v>
      </c>
      <c r="K145" s="188" t="s">
        <v>234</v>
      </c>
      <c r="L145" s="129" t="s">
        <v>713</v>
      </c>
      <c r="M145" s="56"/>
    </row>
    <row r="146" spans="2:13" ht="13.5" customHeight="1" thickBot="1" x14ac:dyDescent="0.25">
      <c r="B146" s="47">
        <f t="shared" ref="B146:J146" si="44">SUM(B144:B145)</f>
        <v>497</v>
      </c>
      <c r="C146" s="47">
        <f t="shared" si="44"/>
        <v>295</v>
      </c>
      <c r="D146" s="47">
        <f t="shared" si="44"/>
        <v>202</v>
      </c>
      <c r="E146" s="47">
        <f t="shared" si="44"/>
        <v>24</v>
      </c>
      <c r="F146" s="47">
        <f t="shared" si="44"/>
        <v>0</v>
      </c>
      <c r="G146" s="47">
        <f t="shared" si="44"/>
        <v>24</v>
      </c>
      <c r="H146" s="47">
        <f t="shared" si="44"/>
        <v>473</v>
      </c>
      <c r="I146" s="47">
        <f t="shared" si="44"/>
        <v>295</v>
      </c>
      <c r="J146" s="47">
        <f t="shared" si="44"/>
        <v>178</v>
      </c>
      <c r="K146" s="188" t="s">
        <v>12</v>
      </c>
      <c r="L146" s="130"/>
      <c r="M146" s="56"/>
    </row>
    <row r="147" spans="2:13" ht="13.5" customHeight="1" thickBot="1" x14ac:dyDescent="0.25">
      <c r="B147" s="47">
        <f>SUM(C147:D147)</f>
        <v>112</v>
      </c>
      <c r="C147" s="47">
        <f>I147+F147</f>
        <v>0</v>
      </c>
      <c r="D147" s="47">
        <f>J147+G147</f>
        <v>112</v>
      </c>
      <c r="E147" s="47">
        <f>SUM(F147:G147)</f>
        <v>0</v>
      </c>
      <c r="F147" s="47">
        <v>0</v>
      </c>
      <c r="G147" s="47">
        <v>0</v>
      </c>
      <c r="H147" s="47">
        <f>SUM(I147:J147)</f>
        <v>112</v>
      </c>
      <c r="I147" s="47">
        <v>0</v>
      </c>
      <c r="J147" s="47">
        <v>112</v>
      </c>
      <c r="K147" s="188" t="s">
        <v>233</v>
      </c>
      <c r="L147" s="129"/>
      <c r="M147" s="56"/>
    </row>
    <row r="148" spans="2:13" ht="13.5" customHeight="1" thickBot="1" x14ac:dyDescent="0.25">
      <c r="B148" s="47">
        <f>SUM(C148:D148)</f>
        <v>0</v>
      </c>
      <c r="C148" s="47">
        <f>I148+F148</f>
        <v>0</v>
      </c>
      <c r="D148" s="47">
        <f>J148+G148</f>
        <v>0</v>
      </c>
      <c r="E148" s="47">
        <f>SUM(F148:G148)</f>
        <v>0</v>
      </c>
      <c r="F148" s="47">
        <v>0</v>
      </c>
      <c r="G148" s="47">
        <v>0</v>
      </c>
      <c r="H148" s="47">
        <f>SUM(I148:J148)</f>
        <v>0</v>
      </c>
      <c r="I148" s="47">
        <v>0</v>
      </c>
      <c r="J148" s="47">
        <v>0</v>
      </c>
      <c r="K148" s="188" t="s">
        <v>234</v>
      </c>
      <c r="L148" s="129" t="s">
        <v>380</v>
      </c>
      <c r="M148" s="56"/>
    </row>
    <row r="149" spans="2:13" ht="13.5" customHeight="1" thickBot="1" x14ac:dyDescent="0.25">
      <c r="B149" s="47">
        <f t="shared" ref="B149:J149" si="45">SUM(B147:B148)</f>
        <v>112</v>
      </c>
      <c r="C149" s="47">
        <f t="shared" si="45"/>
        <v>0</v>
      </c>
      <c r="D149" s="47">
        <f t="shared" si="45"/>
        <v>112</v>
      </c>
      <c r="E149" s="47">
        <f t="shared" si="45"/>
        <v>0</v>
      </c>
      <c r="F149" s="47">
        <f t="shared" si="45"/>
        <v>0</v>
      </c>
      <c r="G149" s="47">
        <f t="shared" si="45"/>
        <v>0</v>
      </c>
      <c r="H149" s="47">
        <f t="shared" si="45"/>
        <v>112</v>
      </c>
      <c r="I149" s="47">
        <f t="shared" si="45"/>
        <v>0</v>
      </c>
      <c r="J149" s="47">
        <f t="shared" si="45"/>
        <v>112</v>
      </c>
      <c r="K149" s="188" t="s">
        <v>12</v>
      </c>
      <c r="L149" s="130"/>
      <c r="M149" s="56"/>
    </row>
    <row r="150" spans="2:13" ht="13.5" customHeight="1" thickBot="1" x14ac:dyDescent="0.25">
      <c r="B150" s="47">
        <f>SUM(C150:D150)</f>
        <v>462</v>
      </c>
      <c r="C150" s="47">
        <f>I150+F150</f>
        <v>0</v>
      </c>
      <c r="D150" s="47">
        <f>J150+G150</f>
        <v>462</v>
      </c>
      <c r="E150" s="47">
        <f>SUM(F150:G150)</f>
        <v>25</v>
      </c>
      <c r="F150" s="47">
        <v>0</v>
      </c>
      <c r="G150" s="47">
        <v>25</v>
      </c>
      <c r="H150" s="47">
        <f>SUM(I150:J150)</f>
        <v>437</v>
      </c>
      <c r="I150" s="47">
        <v>0</v>
      </c>
      <c r="J150" s="47">
        <v>437</v>
      </c>
      <c r="K150" s="188" t="s">
        <v>233</v>
      </c>
      <c r="L150" s="129"/>
      <c r="M150" s="56"/>
    </row>
    <row r="151" spans="2:13" ht="13.5" customHeight="1" thickBot="1" x14ac:dyDescent="0.25">
      <c r="B151" s="47">
        <f>SUM(C151:D151)</f>
        <v>0</v>
      </c>
      <c r="C151" s="47">
        <f>I151+F151</f>
        <v>0</v>
      </c>
      <c r="D151" s="47">
        <f>J151+G151</f>
        <v>0</v>
      </c>
      <c r="E151" s="47">
        <f>SUM(F151:G151)</f>
        <v>0</v>
      </c>
      <c r="F151" s="47">
        <v>0</v>
      </c>
      <c r="G151" s="47">
        <v>0</v>
      </c>
      <c r="H151" s="47">
        <f>SUM(I151:J151)</f>
        <v>0</v>
      </c>
      <c r="I151" s="47">
        <v>0</v>
      </c>
      <c r="J151" s="47">
        <v>0</v>
      </c>
      <c r="K151" s="188" t="s">
        <v>234</v>
      </c>
      <c r="L151" s="129" t="s">
        <v>454</v>
      </c>
      <c r="M151" s="56"/>
    </row>
    <row r="152" spans="2:13" ht="13.5" customHeight="1" thickBot="1" x14ac:dyDescent="0.25">
      <c r="B152" s="47">
        <f t="shared" ref="B152:J152" si="46">SUM(B150:B151)</f>
        <v>462</v>
      </c>
      <c r="C152" s="47">
        <f t="shared" si="46"/>
        <v>0</v>
      </c>
      <c r="D152" s="47">
        <f t="shared" si="46"/>
        <v>462</v>
      </c>
      <c r="E152" s="47">
        <f t="shared" si="46"/>
        <v>25</v>
      </c>
      <c r="F152" s="47">
        <f t="shared" si="46"/>
        <v>0</v>
      </c>
      <c r="G152" s="47">
        <f t="shared" si="46"/>
        <v>25</v>
      </c>
      <c r="H152" s="47">
        <f t="shared" si="46"/>
        <v>437</v>
      </c>
      <c r="I152" s="47">
        <f t="shared" si="46"/>
        <v>0</v>
      </c>
      <c r="J152" s="47">
        <f t="shared" si="46"/>
        <v>437</v>
      </c>
      <c r="K152" s="188" t="s">
        <v>12</v>
      </c>
      <c r="L152" s="130"/>
      <c r="M152" s="56"/>
    </row>
    <row r="153" spans="2:13" ht="13.5" customHeight="1" thickBot="1" x14ac:dyDescent="0.25">
      <c r="B153" s="47">
        <f>SUM(C153:D153)</f>
        <v>539</v>
      </c>
      <c r="C153" s="47">
        <f>I153+F153</f>
        <v>308</v>
      </c>
      <c r="D153" s="47">
        <f>J153+G153</f>
        <v>231</v>
      </c>
      <c r="E153" s="47">
        <f>SUM(F153:G153)</f>
        <v>22</v>
      </c>
      <c r="F153" s="47">
        <v>22</v>
      </c>
      <c r="G153" s="47">
        <v>0</v>
      </c>
      <c r="H153" s="47">
        <f>SUM(I153:J153)</f>
        <v>517</v>
      </c>
      <c r="I153" s="47">
        <f>281+5</f>
        <v>286</v>
      </c>
      <c r="J153" s="47">
        <v>231</v>
      </c>
      <c r="K153" s="188" t="s">
        <v>233</v>
      </c>
      <c r="L153" s="129"/>
      <c r="M153" s="56"/>
    </row>
    <row r="154" spans="2:13" ht="13.5" customHeight="1" thickBot="1" x14ac:dyDescent="0.25">
      <c r="B154" s="47">
        <f>SUM(C154:D154)</f>
        <v>0</v>
      </c>
      <c r="C154" s="47">
        <f>I154+F154</f>
        <v>0</v>
      </c>
      <c r="D154" s="47">
        <f>J154+G154</f>
        <v>0</v>
      </c>
      <c r="E154" s="47">
        <f>SUM(F154:G154)</f>
        <v>0</v>
      </c>
      <c r="F154" s="47">
        <v>0</v>
      </c>
      <c r="G154" s="47">
        <v>0</v>
      </c>
      <c r="H154" s="47">
        <f>SUM(I154:J154)</f>
        <v>0</v>
      </c>
      <c r="I154" s="47">
        <v>0</v>
      </c>
      <c r="J154" s="47">
        <v>0</v>
      </c>
      <c r="K154" s="188" t="s">
        <v>234</v>
      </c>
      <c r="L154" s="129" t="s">
        <v>378</v>
      </c>
      <c r="M154" s="56"/>
    </row>
    <row r="155" spans="2:13" ht="13.5" customHeight="1" thickBot="1" x14ac:dyDescent="0.25">
      <c r="B155" s="47">
        <f t="shared" ref="B155:J155" si="47">SUM(B153:B154)</f>
        <v>539</v>
      </c>
      <c r="C155" s="47">
        <f t="shared" si="47"/>
        <v>308</v>
      </c>
      <c r="D155" s="47">
        <f t="shared" si="47"/>
        <v>231</v>
      </c>
      <c r="E155" s="47">
        <f t="shared" si="47"/>
        <v>22</v>
      </c>
      <c r="F155" s="47">
        <f t="shared" si="47"/>
        <v>22</v>
      </c>
      <c r="G155" s="47">
        <f t="shared" si="47"/>
        <v>0</v>
      </c>
      <c r="H155" s="47">
        <f t="shared" si="47"/>
        <v>517</v>
      </c>
      <c r="I155" s="47">
        <f t="shared" si="47"/>
        <v>286</v>
      </c>
      <c r="J155" s="47">
        <f t="shared" si="47"/>
        <v>231</v>
      </c>
      <c r="K155" s="188" t="s">
        <v>12</v>
      </c>
      <c r="L155" s="130"/>
      <c r="M155" s="56"/>
    </row>
    <row r="156" spans="2:13" ht="13.5" customHeight="1" thickBot="1" x14ac:dyDescent="0.25">
      <c r="B156" s="47">
        <f>SUM(C156:D156)</f>
        <v>121</v>
      </c>
      <c r="C156" s="47">
        <f>I156+F156</f>
        <v>104</v>
      </c>
      <c r="D156" s="47">
        <f>J156+G156</f>
        <v>17</v>
      </c>
      <c r="E156" s="47">
        <f>SUM(F156:G156)</f>
        <v>10</v>
      </c>
      <c r="F156" s="47">
        <v>10</v>
      </c>
      <c r="G156" s="47">
        <v>0</v>
      </c>
      <c r="H156" s="47">
        <f>SUM(I156:J156)</f>
        <v>111</v>
      </c>
      <c r="I156" s="47">
        <f>89+5</f>
        <v>94</v>
      </c>
      <c r="J156" s="47">
        <v>17</v>
      </c>
      <c r="K156" s="188" t="s">
        <v>233</v>
      </c>
      <c r="L156" s="129"/>
      <c r="M156" s="56"/>
    </row>
    <row r="157" spans="2:13" ht="13.5" customHeight="1" thickBot="1" x14ac:dyDescent="0.25">
      <c r="B157" s="47">
        <f>SUM(C157:D157)</f>
        <v>0</v>
      </c>
      <c r="C157" s="47">
        <f>I157+F157</f>
        <v>0</v>
      </c>
      <c r="D157" s="47">
        <f>J157+G157</f>
        <v>0</v>
      </c>
      <c r="E157" s="47">
        <f>SUM(F157:G157)</f>
        <v>0</v>
      </c>
      <c r="F157" s="47">
        <v>0</v>
      </c>
      <c r="G157" s="47">
        <v>0</v>
      </c>
      <c r="H157" s="47">
        <f>SUM(I157:J157)</f>
        <v>0</v>
      </c>
      <c r="I157" s="47">
        <v>0</v>
      </c>
      <c r="J157" s="47">
        <v>0</v>
      </c>
      <c r="K157" s="188" t="s">
        <v>234</v>
      </c>
      <c r="L157" s="129" t="s">
        <v>377</v>
      </c>
      <c r="M157" s="56"/>
    </row>
    <row r="158" spans="2:13" ht="13.5" customHeight="1" thickBot="1" x14ac:dyDescent="0.25">
      <c r="B158" s="47">
        <f t="shared" ref="B158:J158" si="48">SUM(B156:B157)</f>
        <v>121</v>
      </c>
      <c r="C158" s="47">
        <f t="shared" si="48"/>
        <v>104</v>
      </c>
      <c r="D158" s="47">
        <f t="shared" si="48"/>
        <v>17</v>
      </c>
      <c r="E158" s="47">
        <f t="shared" si="48"/>
        <v>10</v>
      </c>
      <c r="F158" s="47">
        <f t="shared" si="48"/>
        <v>10</v>
      </c>
      <c r="G158" s="47">
        <f t="shared" si="48"/>
        <v>0</v>
      </c>
      <c r="H158" s="47">
        <f t="shared" si="48"/>
        <v>111</v>
      </c>
      <c r="I158" s="47">
        <f t="shared" si="48"/>
        <v>94</v>
      </c>
      <c r="J158" s="47">
        <f t="shared" si="48"/>
        <v>17</v>
      </c>
      <c r="K158" s="188" t="s">
        <v>12</v>
      </c>
      <c r="L158" s="130"/>
      <c r="M158" s="56"/>
    </row>
    <row r="159" spans="2:13" ht="13.5" customHeight="1" thickBot="1" x14ac:dyDescent="0.25">
      <c r="B159" s="47">
        <f>SUM(C159:D159)</f>
        <v>111</v>
      </c>
      <c r="C159" s="47">
        <f>I159+F159</f>
        <v>106</v>
      </c>
      <c r="D159" s="47">
        <f>J159+G159</f>
        <v>5</v>
      </c>
      <c r="E159" s="47">
        <f>SUM(F159:G159)</f>
        <v>0</v>
      </c>
      <c r="F159" s="47">
        <v>0</v>
      </c>
      <c r="G159" s="47">
        <v>0</v>
      </c>
      <c r="H159" s="47">
        <f>SUM(I159:J159)</f>
        <v>111</v>
      </c>
      <c r="I159" s="47">
        <v>106</v>
      </c>
      <c r="J159" s="47">
        <v>5</v>
      </c>
      <c r="K159" s="188" t="s">
        <v>233</v>
      </c>
      <c r="L159" s="129"/>
      <c r="M159" s="56"/>
    </row>
    <row r="160" spans="2:13" ht="13.5" customHeight="1" thickBot="1" x14ac:dyDescent="0.25">
      <c r="B160" s="47">
        <f>SUM(C160:D160)</f>
        <v>0</v>
      </c>
      <c r="C160" s="47">
        <f>I160+F160</f>
        <v>0</v>
      </c>
      <c r="D160" s="47">
        <f>J160+G160</f>
        <v>0</v>
      </c>
      <c r="E160" s="47">
        <f>SUM(F160:G160)</f>
        <v>0</v>
      </c>
      <c r="F160" s="47">
        <v>0</v>
      </c>
      <c r="G160" s="47">
        <v>0</v>
      </c>
      <c r="H160" s="47">
        <f>SUM(I160:J160)</f>
        <v>0</v>
      </c>
      <c r="I160" s="47">
        <v>0</v>
      </c>
      <c r="J160" s="47">
        <v>0</v>
      </c>
      <c r="K160" s="188" t="s">
        <v>234</v>
      </c>
      <c r="L160" s="129" t="s">
        <v>379</v>
      </c>
      <c r="M160" s="56"/>
    </row>
    <row r="161" spans="2:13" ht="13.5" customHeight="1" thickBot="1" x14ac:dyDescent="0.25">
      <c r="B161" s="47">
        <f t="shared" ref="B161:J161" si="49">SUM(B159:B160)</f>
        <v>111</v>
      </c>
      <c r="C161" s="47">
        <f t="shared" si="49"/>
        <v>106</v>
      </c>
      <c r="D161" s="47">
        <f t="shared" si="49"/>
        <v>5</v>
      </c>
      <c r="E161" s="47">
        <f t="shared" si="49"/>
        <v>0</v>
      </c>
      <c r="F161" s="47">
        <f t="shared" si="49"/>
        <v>0</v>
      </c>
      <c r="G161" s="47">
        <f t="shared" si="49"/>
        <v>0</v>
      </c>
      <c r="H161" s="47">
        <f t="shared" si="49"/>
        <v>111</v>
      </c>
      <c r="I161" s="47">
        <f t="shared" si="49"/>
        <v>106</v>
      </c>
      <c r="J161" s="47">
        <f t="shared" si="49"/>
        <v>5</v>
      </c>
      <c r="K161" s="188" t="s">
        <v>12</v>
      </c>
      <c r="L161" s="130"/>
      <c r="M161" s="56"/>
    </row>
    <row r="162" spans="2:13" ht="13.5" customHeight="1" thickBot="1" x14ac:dyDescent="0.25">
      <c r="B162" s="47">
        <f>SUM(C162:D162)</f>
        <v>780</v>
      </c>
      <c r="C162" s="47">
        <f>I162+F162</f>
        <v>0</v>
      </c>
      <c r="D162" s="47">
        <f>J162+G162</f>
        <v>780</v>
      </c>
      <c r="E162" s="47">
        <f>SUM(F162:G162)</f>
        <v>0</v>
      </c>
      <c r="F162" s="47">
        <v>0</v>
      </c>
      <c r="G162" s="47">
        <v>0</v>
      </c>
      <c r="H162" s="47">
        <f>SUM(I162:J162)</f>
        <v>780</v>
      </c>
      <c r="I162" s="47">
        <v>0</v>
      </c>
      <c r="J162" s="47">
        <v>780</v>
      </c>
      <c r="K162" s="188" t="s">
        <v>233</v>
      </c>
      <c r="L162" s="129"/>
      <c r="M162" s="56"/>
    </row>
    <row r="163" spans="2:13" ht="13.5" customHeight="1" thickBot="1" x14ac:dyDescent="0.25">
      <c r="B163" s="47">
        <f>SUM(C163:D163)</f>
        <v>0</v>
      </c>
      <c r="C163" s="47">
        <f>I163+F163</f>
        <v>0</v>
      </c>
      <c r="D163" s="47">
        <f>J163+G163</f>
        <v>0</v>
      </c>
      <c r="E163" s="47">
        <f>SUM(F163:G163)</f>
        <v>0</v>
      </c>
      <c r="F163" s="47">
        <v>0</v>
      </c>
      <c r="G163" s="47">
        <v>0</v>
      </c>
      <c r="H163" s="47">
        <f>SUM(I163:J163)</f>
        <v>0</v>
      </c>
      <c r="I163" s="47">
        <v>0</v>
      </c>
      <c r="J163" s="47">
        <v>0</v>
      </c>
      <c r="K163" s="188" t="s">
        <v>234</v>
      </c>
      <c r="L163" s="129" t="s">
        <v>714</v>
      </c>
      <c r="M163" s="56"/>
    </row>
    <row r="164" spans="2:13" ht="13.5" customHeight="1" thickBot="1" x14ac:dyDescent="0.25">
      <c r="B164" s="47">
        <f t="shared" ref="B164:J164" si="50">SUM(B162:B163)</f>
        <v>780</v>
      </c>
      <c r="C164" s="47">
        <f t="shared" si="50"/>
        <v>0</v>
      </c>
      <c r="D164" s="47">
        <f t="shared" si="50"/>
        <v>780</v>
      </c>
      <c r="E164" s="47">
        <f t="shared" si="50"/>
        <v>0</v>
      </c>
      <c r="F164" s="47">
        <f t="shared" si="50"/>
        <v>0</v>
      </c>
      <c r="G164" s="47">
        <f t="shared" si="50"/>
        <v>0</v>
      </c>
      <c r="H164" s="47">
        <f t="shared" si="50"/>
        <v>780</v>
      </c>
      <c r="I164" s="47">
        <f t="shared" si="50"/>
        <v>0</v>
      </c>
      <c r="J164" s="47">
        <f t="shared" si="50"/>
        <v>780</v>
      </c>
      <c r="K164" s="188" t="s">
        <v>12</v>
      </c>
      <c r="L164" s="130"/>
      <c r="M164" s="56"/>
    </row>
    <row r="165" spans="2:13" ht="13.5" customHeight="1" thickBot="1" x14ac:dyDescent="0.25">
      <c r="B165" s="47">
        <f>SUM(C165:D165)</f>
        <v>313</v>
      </c>
      <c r="C165" s="47">
        <f>I165+F165</f>
        <v>81</v>
      </c>
      <c r="D165" s="47">
        <f>J165+G165</f>
        <v>232</v>
      </c>
      <c r="E165" s="47">
        <f>SUM(F165:G165)</f>
        <v>0</v>
      </c>
      <c r="F165" s="47">
        <v>0</v>
      </c>
      <c r="G165" s="47">
        <v>0</v>
      </c>
      <c r="H165" s="47">
        <f>SUM(I165:J165)</f>
        <v>313</v>
      </c>
      <c r="I165" s="47">
        <v>81</v>
      </c>
      <c r="J165" s="47">
        <v>232</v>
      </c>
      <c r="K165" s="188" t="s">
        <v>233</v>
      </c>
      <c r="L165" s="129"/>
      <c r="M165" s="56"/>
    </row>
    <row r="166" spans="2:13" ht="13.5" customHeight="1" thickBot="1" x14ac:dyDescent="0.25">
      <c r="B166" s="47">
        <f>SUM(C166:D166)</f>
        <v>0</v>
      </c>
      <c r="C166" s="47">
        <f>I166+F166</f>
        <v>0</v>
      </c>
      <c r="D166" s="47">
        <f>J166+G166</f>
        <v>0</v>
      </c>
      <c r="E166" s="47">
        <f>SUM(F166:G166)</f>
        <v>0</v>
      </c>
      <c r="F166" s="47">
        <v>0</v>
      </c>
      <c r="G166" s="47">
        <v>0</v>
      </c>
      <c r="H166" s="47">
        <f>SUM(I166:J166)</f>
        <v>0</v>
      </c>
      <c r="I166" s="47">
        <v>0</v>
      </c>
      <c r="J166" s="47">
        <v>0</v>
      </c>
      <c r="K166" s="188" t="s">
        <v>234</v>
      </c>
      <c r="L166" s="129" t="s">
        <v>344</v>
      </c>
      <c r="M166" s="56"/>
    </row>
    <row r="167" spans="2:13" ht="13.5" customHeight="1" thickBot="1" x14ac:dyDescent="0.25">
      <c r="B167" s="47">
        <f t="shared" ref="B167:J167" si="51">SUM(B165:B166)</f>
        <v>313</v>
      </c>
      <c r="C167" s="47">
        <f t="shared" si="51"/>
        <v>81</v>
      </c>
      <c r="D167" s="47">
        <f t="shared" si="51"/>
        <v>232</v>
      </c>
      <c r="E167" s="47">
        <f t="shared" si="51"/>
        <v>0</v>
      </c>
      <c r="F167" s="47">
        <f t="shared" si="51"/>
        <v>0</v>
      </c>
      <c r="G167" s="47">
        <f t="shared" si="51"/>
        <v>0</v>
      </c>
      <c r="H167" s="47">
        <f t="shared" si="51"/>
        <v>313</v>
      </c>
      <c r="I167" s="47">
        <f t="shared" si="51"/>
        <v>81</v>
      </c>
      <c r="J167" s="47">
        <f t="shared" si="51"/>
        <v>232</v>
      </c>
      <c r="K167" s="188" t="s">
        <v>12</v>
      </c>
      <c r="L167" s="130"/>
      <c r="M167" s="56"/>
    </row>
    <row r="168" spans="2:13" ht="13.5" customHeight="1" thickBot="1" x14ac:dyDescent="0.25">
      <c r="B168" s="47">
        <f t="shared" ref="B168:J170" si="52">B120+B123+B126+B129+B132+B135+B138+B141+B144+B147+B150+B153+B156+B159+B162+B165</f>
        <v>8104</v>
      </c>
      <c r="C168" s="47">
        <f t="shared" si="52"/>
        <v>3955</v>
      </c>
      <c r="D168" s="47">
        <f t="shared" si="52"/>
        <v>4149</v>
      </c>
      <c r="E168" s="47">
        <f t="shared" si="52"/>
        <v>181</v>
      </c>
      <c r="F168" s="47">
        <f t="shared" si="52"/>
        <v>100</v>
      </c>
      <c r="G168" s="47">
        <f t="shared" si="52"/>
        <v>81</v>
      </c>
      <c r="H168" s="47">
        <f t="shared" si="52"/>
        <v>7923</v>
      </c>
      <c r="I168" s="47">
        <f t="shared" si="52"/>
        <v>3855</v>
      </c>
      <c r="J168" s="47">
        <f t="shared" si="52"/>
        <v>4068</v>
      </c>
      <c r="K168" s="188" t="s">
        <v>236</v>
      </c>
      <c r="L168" s="131"/>
      <c r="M168" s="56"/>
    </row>
    <row r="169" spans="2:13" ht="13.5" customHeight="1" thickBot="1" x14ac:dyDescent="0.25">
      <c r="B169" s="47">
        <f t="shared" si="52"/>
        <v>0</v>
      </c>
      <c r="C169" s="47">
        <f t="shared" si="52"/>
        <v>0</v>
      </c>
      <c r="D169" s="47">
        <f t="shared" si="52"/>
        <v>0</v>
      </c>
      <c r="E169" s="47">
        <f t="shared" si="52"/>
        <v>0</v>
      </c>
      <c r="F169" s="47">
        <f t="shared" si="52"/>
        <v>0</v>
      </c>
      <c r="G169" s="47">
        <f t="shared" si="52"/>
        <v>0</v>
      </c>
      <c r="H169" s="47">
        <f t="shared" si="52"/>
        <v>0</v>
      </c>
      <c r="I169" s="47">
        <f t="shared" si="52"/>
        <v>0</v>
      </c>
      <c r="J169" s="47">
        <f t="shared" si="52"/>
        <v>0</v>
      </c>
      <c r="K169" s="188" t="s">
        <v>237</v>
      </c>
      <c r="L169" s="132" t="s">
        <v>188</v>
      </c>
      <c r="M169" s="56"/>
    </row>
    <row r="170" spans="2:13" ht="13.5" customHeight="1" thickBot="1" x14ac:dyDescent="0.25">
      <c r="B170" s="47">
        <f t="shared" si="52"/>
        <v>8104</v>
      </c>
      <c r="C170" s="47">
        <f t="shared" si="52"/>
        <v>3955</v>
      </c>
      <c r="D170" s="47">
        <f t="shared" si="52"/>
        <v>4149</v>
      </c>
      <c r="E170" s="47">
        <f t="shared" si="52"/>
        <v>181</v>
      </c>
      <c r="F170" s="47">
        <f t="shared" si="52"/>
        <v>100</v>
      </c>
      <c r="G170" s="47">
        <f t="shared" si="52"/>
        <v>81</v>
      </c>
      <c r="H170" s="47">
        <f t="shared" si="52"/>
        <v>7923</v>
      </c>
      <c r="I170" s="47">
        <f t="shared" si="52"/>
        <v>3855</v>
      </c>
      <c r="J170" s="47">
        <f t="shared" si="52"/>
        <v>4068</v>
      </c>
      <c r="K170" s="188" t="s">
        <v>12</v>
      </c>
      <c r="L170" s="133"/>
      <c r="M170" s="56"/>
    </row>
    <row r="171" spans="2:13" ht="13.5" customHeight="1" thickBot="1" x14ac:dyDescent="0.25">
      <c r="B171" s="476" t="s">
        <v>4</v>
      </c>
      <c r="C171" s="476"/>
      <c r="D171" s="476"/>
      <c r="E171" s="476" t="s">
        <v>145</v>
      </c>
      <c r="F171" s="476"/>
      <c r="G171" s="476"/>
      <c r="H171" s="476" t="s">
        <v>146</v>
      </c>
      <c r="I171" s="476"/>
      <c r="J171" s="476"/>
      <c r="K171" s="479" t="s">
        <v>66</v>
      </c>
      <c r="L171" s="479"/>
      <c r="M171" s="56"/>
    </row>
    <row r="172" spans="2:13" ht="13.5" customHeight="1" thickBot="1" x14ac:dyDescent="0.25">
      <c r="B172" s="185" t="s">
        <v>227</v>
      </c>
      <c r="C172" s="185" t="s">
        <v>10</v>
      </c>
      <c r="D172" s="185" t="s">
        <v>9</v>
      </c>
      <c r="E172" s="185" t="s">
        <v>227</v>
      </c>
      <c r="F172" s="185" t="s">
        <v>10</v>
      </c>
      <c r="G172" s="185" t="s">
        <v>9</v>
      </c>
      <c r="H172" s="185" t="s">
        <v>227</v>
      </c>
      <c r="I172" s="185" t="s">
        <v>10</v>
      </c>
      <c r="J172" s="185" t="s">
        <v>9</v>
      </c>
      <c r="K172" s="480" t="s">
        <v>73</v>
      </c>
      <c r="L172" s="480"/>
      <c r="M172" s="56"/>
    </row>
    <row r="173" spans="2:13" ht="13.5" customHeight="1" thickBot="1" x14ac:dyDescent="0.25">
      <c r="B173" s="47">
        <f>SUM(C173:D173)</f>
        <v>1390</v>
      </c>
      <c r="C173" s="47">
        <f>I173+F173</f>
        <v>730</v>
      </c>
      <c r="D173" s="47">
        <f>J173+G173</f>
        <v>660</v>
      </c>
      <c r="E173" s="47">
        <f>SUM(F173:G173)</f>
        <v>49</v>
      </c>
      <c r="F173" s="47">
        <v>32</v>
      </c>
      <c r="G173" s="47">
        <v>17</v>
      </c>
      <c r="H173" s="47">
        <f>SUM(I173:J173)</f>
        <v>1341</v>
      </c>
      <c r="I173" s="47">
        <v>698</v>
      </c>
      <c r="J173" s="47">
        <f>743-100</f>
        <v>643</v>
      </c>
      <c r="K173" s="188" t="s">
        <v>233</v>
      </c>
      <c r="L173" s="129"/>
      <c r="M173" s="56"/>
    </row>
    <row r="174" spans="2:13" ht="13.5" customHeight="1" thickBot="1" x14ac:dyDescent="0.25">
      <c r="B174" s="47">
        <f>SUM(C174:D174)</f>
        <v>1069</v>
      </c>
      <c r="C174" s="47">
        <f>I174+F174</f>
        <v>365</v>
      </c>
      <c r="D174" s="47">
        <f>J174+G174</f>
        <v>704</v>
      </c>
      <c r="E174" s="47">
        <f>SUM(F174:G174)</f>
        <v>118</v>
      </c>
      <c r="F174" s="47">
        <v>90</v>
      </c>
      <c r="G174" s="47">
        <v>28</v>
      </c>
      <c r="H174" s="47">
        <f>SUM(I174:J174)</f>
        <v>951</v>
      </c>
      <c r="I174" s="47">
        <f>225+50</f>
        <v>275</v>
      </c>
      <c r="J174" s="47">
        <f>826-150</f>
        <v>676</v>
      </c>
      <c r="K174" s="188" t="s">
        <v>234</v>
      </c>
      <c r="L174" s="129" t="s">
        <v>402</v>
      </c>
      <c r="M174" s="56"/>
    </row>
    <row r="175" spans="2:13" ht="13.5" customHeight="1" thickBot="1" x14ac:dyDescent="0.25">
      <c r="B175" s="47">
        <f t="shared" ref="B175:J175" si="53">SUM(B173:B174)</f>
        <v>2459</v>
      </c>
      <c r="C175" s="47">
        <f t="shared" si="53"/>
        <v>1095</v>
      </c>
      <c r="D175" s="47">
        <f t="shared" si="53"/>
        <v>1364</v>
      </c>
      <c r="E175" s="47">
        <f t="shared" si="53"/>
        <v>167</v>
      </c>
      <c r="F175" s="47">
        <f t="shared" si="53"/>
        <v>122</v>
      </c>
      <c r="G175" s="47">
        <f t="shared" si="53"/>
        <v>45</v>
      </c>
      <c r="H175" s="47">
        <f t="shared" si="53"/>
        <v>2292</v>
      </c>
      <c r="I175" s="47">
        <f t="shared" si="53"/>
        <v>973</v>
      </c>
      <c r="J175" s="47">
        <f t="shared" si="53"/>
        <v>1319</v>
      </c>
      <c r="K175" s="188" t="s">
        <v>12</v>
      </c>
      <c r="L175" s="130"/>
      <c r="M175" s="56"/>
    </row>
    <row r="176" spans="2:13" ht="13.5" customHeight="1" thickBot="1" x14ac:dyDescent="0.25">
      <c r="B176" s="47">
        <f>SUM(C176:D176)</f>
        <v>1520</v>
      </c>
      <c r="C176" s="47">
        <f>I176+F176</f>
        <v>1084</v>
      </c>
      <c r="D176" s="47">
        <f>J176+G176</f>
        <v>436</v>
      </c>
      <c r="E176" s="47">
        <f>SUM(F176:G176)</f>
        <v>44</v>
      </c>
      <c r="F176" s="47">
        <v>38</v>
      </c>
      <c r="G176" s="47">
        <v>6</v>
      </c>
      <c r="H176" s="47">
        <f>SUM(I176:J176)</f>
        <v>1476</v>
      </c>
      <c r="I176" s="47">
        <v>1046</v>
      </c>
      <c r="J176" s="47">
        <f>520-90</f>
        <v>430</v>
      </c>
      <c r="K176" s="188" t="s">
        <v>233</v>
      </c>
      <c r="L176" s="129"/>
      <c r="M176" s="56"/>
    </row>
    <row r="177" spans="2:13" ht="13.5" customHeight="1" thickBot="1" x14ac:dyDescent="0.25">
      <c r="B177" s="47">
        <f>SUM(C177:D177)</f>
        <v>1471</v>
      </c>
      <c r="C177" s="47">
        <f>I177+F177</f>
        <v>560</v>
      </c>
      <c r="D177" s="47">
        <f>J177+G177</f>
        <v>911</v>
      </c>
      <c r="E177" s="47">
        <f>SUM(F177:G177)</f>
        <v>133</v>
      </c>
      <c r="F177" s="47">
        <v>121</v>
      </c>
      <c r="G177" s="47">
        <v>12</v>
      </c>
      <c r="H177" s="47">
        <f>SUM(I177:J177)</f>
        <v>1338</v>
      </c>
      <c r="I177" s="47">
        <f>389+50</f>
        <v>439</v>
      </c>
      <c r="J177" s="47">
        <f>989-90</f>
        <v>899</v>
      </c>
      <c r="K177" s="188" t="s">
        <v>234</v>
      </c>
      <c r="L177" s="129" t="s">
        <v>403</v>
      </c>
      <c r="M177" s="56"/>
    </row>
    <row r="178" spans="2:13" ht="13.5" customHeight="1" thickBot="1" x14ac:dyDescent="0.25">
      <c r="B178" s="47">
        <f t="shared" ref="B178:J178" si="54">SUM(B176:B177)</f>
        <v>2991</v>
      </c>
      <c r="C178" s="47">
        <f t="shared" si="54"/>
        <v>1644</v>
      </c>
      <c r="D178" s="47">
        <f t="shared" si="54"/>
        <v>1347</v>
      </c>
      <c r="E178" s="47">
        <f t="shared" si="54"/>
        <v>177</v>
      </c>
      <c r="F178" s="47">
        <f t="shared" si="54"/>
        <v>159</v>
      </c>
      <c r="G178" s="47">
        <f t="shared" si="54"/>
        <v>18</v>
      </c>
      <c r="H178" s="47">
        <f t="shared" si="54"/>
        <v>2814</v>
      </c>
      <c r="I178" s="47">
        <f t="shared" si="54"/>
        <v>1485</v>
      </c>
      <c r="J178" s="47">
        <f t="shared" si="54"/>
        <v>1329</v>
      </c>
      <c r="K178" s="188" t="s">
        <v>12</v>
      </c>
      <c r="L178" s="130"/>
      <c r="M178" s="56"/>
    </row>
    <row r="179" spans="2:13" ht="13.5" customHeight="1" thickBot="1" x14ac:dyDescent="0.25">
      <c r="B179" s="47">
        <f>SUM(C179:D179)</f>
        <v>753</v>
      </c>
      <c r="C179" s="47">
        <f>I179+F179</f>
        <v>519</v>
      </c>
      <c r="D179" s="47">
        <f>J179+G179</f>
        <v>234</v>
      </c>
      <c r="E179" s="47">
        <f>SUM(F179:G179)</f>
        <v>44</v>
      </c>
      <c r="F179" s="47">
        <v>42</v>
      </c>
      <c r="G179" s="47">
        <v>2</v>
      </c>
      <c r="H179" s="47">
        <f>SUM(I179:J179)</f>
        <v>709</v>
      </c>
      <c r="I179" s="47">
        <v>477</v>
      </c>
      <c r="J179" s="47">
        <f>252-20</f>
        <v>232</v>
      </c>
      <c r="K179" s="188" t="s">
        <v>233</v>
      </c>
      <c r="L179" s="129"/>
      <c r="M179" s="56"/>
    </row>
    <row r="180" spans="2:13" ht="13.5" customHeight="1" thickBot="1" x14ac:dyDescent="0.25">
      <c r="B180" s="47">
        <f>SUM(C180:D180)</f>
        <v>0</v>
      </c>
      <c r="C180" s="47">
        <f>I180+F180</f>
        <v>0</v>
      </c>
      <c r="D180" s="47">
        <f>J180+G180</f>
        <v>0</v>
      </c>
      <c r="E180" s="47">
        <f>SUM(F180:G180)</f>
        <v>0</v>
      </c>
      <c r="F180" s="47">
        <v>0</v>
      </c>
      <c r="G180" s="47">
        <v>0</v>
      </c>
      <c r="H180" s="47">
        <f>SUM(I180:J180)</f>
        <v>0</v>
      </c>
      <c r="I180" s="47">
        <v>0</v>
      </c>
      <c r="J180" s="47">
        <v>0</v>
      </c>
      <c r="K180" s="188" t="s">
        <v>234</v>
      </c>
      <c r="L180" s="129" t="s">
        <v>367</v>
      </c>
      <c r="M180" s="56"/>
    </row>
    <row r="181" spans="2:13" ht="13.5" customHeight="1" thickBot="1" x14ac:dyDescent="0.25">
      <c r="B181" s="47">
        <f t="shared" ref="B181:J181" si="55">SUM(B179:B180)</f>
        <v>753</v>
      </c>
      <c r="C181" s="47">
        <f t="shared" si="55"/>
        <v>519</v>
      </c>
      <c r="D181" s="47">
        <f t="shared" si="55"/>
        <v>234</v>
      </c>
      <c r="E181" s="47">
        <f t="shared" si="55"/>
        <v>44</v>
      </c>
      <c r="F181" s="47">
        <f t="shared" si="55"/>
        <v>42</v>
      </c>
      <c r="G181" s="47">
        <f t="shared" si="55"/>
        <v>2</v>
      </c>
      <c r="H181" s="47">
        <f t="shared" si="55"/>
        <v>709</v>
      </c>
      <c r="I181" s="47">
        <f t="shared" si="55"/>
        <v>477</v>
      </c>
      <c r="J181" s="47">
        <f t="shared" si="55"/>
        <v>232</v>
      </c>
      <c r="K181" s="188" t="s">
        <v>12</v>
      </c>
      <c r="L181" s="130"/>
      <c r="M181" s="56"/>
    </row>
    <row r="182" spans="2:13" ht="13.5" customHeight="1" thickBot="1" x14ac:dyDescent="0.25">
      <c r="B182" s="47">
        <f>SUM(C182:D182)</f>
        <v>289</v>
      </c>
      <c r="C182" s="47">
        <f>I182+F182</f>
        <v>118</v>
      </c>
      <c r="D182" s="47">
        <f>J182+G182</f>
        <v>171</v>
      </c>
      <c r="E182" s="47">
        <f>SUM(F182:G182)</f>
        <v>38</v>
      </c>
      <c r="F182" s="47">
        <v>25</v>
      </c>
      <c r="G182" s="47">
        <v>13</v>
      </c>
      <c r="H182" s="47">
        <f>SUM(I182:J182)</f>
        <v>251</v>
      </c>
      <c r="I182" s="47">
        <f>73+20</f>
        <v>93</v>
      </c>
      <c r="J182" s="47">
        <v>158</v>
      </c>
      <c r="K182" s="188" t="s">
        <v>233</v>
      </c>
      <c r="L182" s="129"/>
      <c r="M182" s="56"/>
    </row>
    <row r="183" spans="2:13" ht="13.5" customHeight="1" thickBot="1" x14ac:dyDescent="0.25">
      <c r="B183" s="47">
        <f>SUM(C183:D183)</f>
        <v>0</v>
      </c>
      <c r="C183" s="47">
        <f>I183+F183</f>
        <v>0</v>
      </c>
      <c r="D183" s="47">
        <f>J183+G183</f>
        <v>0</v>
      </c>
      <c r="E183" s="47">
        <f>SUM(F183:G183)</f>
        <v>0</v>
      </c>
      <c r="F183" s="47">
        <v>0</v>
      </c>
      <c r="G183" s="47">
        <v>0</v>
      </c>
      <c r="H183" s="47">
        <f>SUM(I183:J183)</f>
        <v>0</v>
      </c>
      <c r="I183" s="47">
        <v>0</v>
      </c>
      <c r="J183" s="47">
        <v>0</v>
      </c>
      <c r="K183" s="188" t="s">
        <v>234</v>
      </c>
      <c r="L183" s="129" t="s">
        <v>404</v>
      </c>
      <c r="M183" s="56"/>
    </row>
    <row r="184" spans="2:13" ht="13.5" customHeight="1" thickBot="1" x14ac:dyDescent="0.25">
      <c r="B184" s="47">
        <f t="shared" ref="B184:J184" si="56">SUM(B182:B183)</f>
        <v>289</v>
      </c>
      <c r="C184" s="47">
        <f t="shared" si="56"/>
        <v>118</v>
      </c>
      <c r="D184" s="47">
        <f t="shared" si="56"/>
        <v>171</v>
      </c>
      <c r="E184" s="47">
        <f t="shared" si="56"/>
        <v>38</v>
      </c>
      <c r="F184" s="47">
        <f t="shared" si="56"/>
        <v>25</v>
      </c>
      <c r="G184" s="47">
        <f t="shared" si="56"/>
        <v>13</v>
      </c>
      <c r="H184" s="47">
        <f t="shared" si="56"/>
        <v>251</v>
      </c>
      <c r="I184" s="47">
        <f t="shared" si="56"/>
        <v>93</v>
      </c>
      <c r="J184" s="47">
        <f t="shared" si="56"/>
        <v>158</v>
      </c>
      <c r="K184" s="188" t="s">
        <v>12</v>
      </c>
      <c r="L184" s="130"/>
      <c r="M184" s="56"/>
    </row>
    <row r="185" spans="2:13" ht="13.5" customHeight="1" thickBot="1" x14ac:dyDescent="0.25">
      <c r="B185" s="47">
        <f>SUM(C185:D185)</f>
        <v>270</v>
      </c>
      <c r="C185" s="47">
        <f>I185+F185</f>
        <v>0</v>
      </c>
      <c r="D185" s="47">
        <f>J185+G185</f>
        <v>270</v>
      </c>
      <c r="E185" s="47">
        <f>SUM(F185:G185)</f>
        <v>14</v>
      </c>
      <c r="F185" s="47">
        <v>0</v>
      </c>
      <c r="G185" s="47">
        <v>14</v>
      </c>
      <c r="H185" s="47">
        <f>SUM(I185:J185)</f>
        <v>256</v>
      </c>
      <c r="I185" s="47">
        <v>0</v>
      </c>
      <c r="J185" s="47">
        <f>306-50</f>
        <v>256</v>
      </c>
      <c r="K185" s="188" t="s">
        <v>233</v>
      </c>
      <c r="L185" s="129"/>
      <c r="M185" s="56"/>
    </row>
    <row r="186" spans="2:13" ht="13.5" customHeight="1" thickBot="1" x14ac:dyDescent="0.25">
      <c r="B186" s="47">
        <f>SUM(C186:D186)</f>
        <v>0</v>
      </c>
      <c r="C186" s="47">
        <f>I186+F186</f>
        <v>0</v>
      </c>
      <c r="D186" s="47">
        <f>J186+G186</f>
        <v>0</v>
      </c>
      <c r="E186" s="47">
        <f>SUM(F186:G186)</f>
        <v>0</v>
      </c>
      <c r="F186" s="47">
        <v>0</v>
      </c>
      <c r="G186" s="47">
        <v>0</v>
      </c>
      <c r="H186" s="47">
        <f>SUM(I186:J186)</f>
        <v>0</v>
      </c>
      <c r="I186" s="47">
        <v>0</v>
      </c>
      <c r="J186" s="47">
        <v>0</v>
      </c>
      <c r="K186" s="188" t="s">
        <v>234</v>
      </c>
      <c r="L186" s="129" t="s">
        <v>418</v>
      </c>
      <c r="M186" s="56"/>
    </row>
    <row r="187" spans="2:13" ht="13.5" customHeight="1" thickBot="1" x14ac:dyDescent="0.25">
      <c r="B187" s="47">
        <f t="shared" ref="B187:J187" si="57">SUM(B185:B186)</f>
        <v>270</v>
      </c>
      <c r="C187" s="47">
        <f t="shared" si="57"/>
        <v>0</v>
      </c>
      <c r="D187" s="47">
        <f t="shared" si="57"/>
        <v>270</v>
      </c>
      <c r="E187" s="47">
        <f t="shared" si="57"/>
        <v>14</v>
      </c>
      <c r="F187" s="47">
        <f t="shared" si="57"/>
        <v>0</v>
      </c>
      <c r="G187" s="47">
        <f t="shared" si="57"/>
        <v>14</v>
      </c>
      <c r="H187" s="47">
        <f t="shared" si="57"/>
        <v>256</v>
      </c>
      <c r="I187" s="47">
        <f t="shared" si="57"/>
        <v>0</v>
      </c>
      <c r="J187" s="47">
        <f t="shared" si="57"/>
        <v>256</v>
      </c>
      <c r="K187" s="188" t="s">
        <v>12</v>
      </c>
      <c r="L187" s="130"/>
      <c r="M187" s="56"/>
    </row>
    <row r="188" spans="2:13" ht="13.5" customHeight="1" thickBot="1" x14ac:dyDescent="0.25">
      <c r="B188" s="47">
        <f>SUM(C188:D188)</f>
        <v>92</v>
      </c>
      <c r="C188" s="47">
        <f>I188+F188</f>
        <v>0</v>
      </c>
      <c r="D188" s="47">
        <f>J188+G188</f>
        <v>92</v>
      </c>
      <c r="E188" s="47">
        <f>SUM(F188:G188)</f>
        <v>0</v>
      </c>
      <c r="F188" s="47">
        <v>0</v>
      </c>
      <c r="G188" s="47">
        <v>0</v>
      </c>
      <c r="H188" s="47">
        <f>SUM(I188:J188)</f>
        <v>92</v>
      </c>
      <c r="I188" s="47">
        <v>0</v>
      </c>
      <c r="J188" s="47">
        <v>92</v>
      </c>
      <c r="K188" s="188" t="s">
        <v>233</v>
      </c>
      <c r="L188" s="129"/>
      <c r="M188" s="56"/>
    </row>
    <row r="189" spans="2:13" ht="13.5" customHeight="1" thickBot="1" x14ac:dyDescent="0.25">
      <c r="B189" s="47">
        <f>SUM(C189:D189)</f>
        <v>0</v>
      </c>
      <c r="C189" s="47">
        <f>I189+F189</f>
        <v>0</v>
      </c>
      <c r="D189" s="47">
        <f>J189+G189</f>
        <v>0</v>
      </c>
      <c r="E189" s="47">
        <f>SUM(F189:G189)</f>
        <v>0</v>
      </c>
      <c r="F189" s="47">
        <v>0</v>
      </c>
      <c r="G189" s="47">
        <v>0</v>
      </c>
      <c r="H189" s="47">
        <f>SUM(I189:J189)</f>
        <v>0</v>
      </c>
      <c r="I189" s="47">
        <v>0</v>
      </c>
      <c r="J189" s="47">
        <v>0</v>
      </c>
      <c r="K189" s="188" t="s">
        <v>234</v>
      </c>
      <c r="L189" s="129" t="s">
        <v>405</v>
      </c>
      <c r="M189" s="56"/>
    </row>
    <row r="190" spans="2:13" ht="13.5" customHeight="1" thickBot="1" x14ac:dyDescent="0.25">
      <c r="B190" s="47">
        <f t="shared" ref="B190:J190" si="58">SUM(B188:B189)</f>
        <v>92</v>
      </c>
      <c r="C190" s="47">
        <f t="shared" si="58"/>
        <v>0</v>
      </c>
      <c r="D190" s="47">
        <f t="shared" si="58"/>
        <v>92</v>
      </c>
      <c r="E190" s="47">
        <f t="shared" si="58"/>
        <v>0</v>
      </c>
      <c r="F190" s="47">
        <f t="shared" si="58"/>
        <v>0</v>
      </c>
      <c r="G190" s="47">
        <f t="shared" si="58"/>
        <v>0</v>
      </c>
      <c r="H190" s="47">
        <f t="shared" si="58"/>
        <v>92</v>
      </c>
      <c r="I190" s="47">
        <f t="shared" si="58"/>
        <v>0</v>
      </c>
      <c r="J190" s="47">
        <f t="shared" si="58"/>
        <v>92</v>
      </c>
      <c r="K190" s="188" t="s">
        <v>12</v>
      </c>
      <c r="L190" s="130"/>
      <c r="M190" s="56"/>
    </row>
    <row r="191" spans="2:13" ht="13.5" customHeight="1" thickBot="1" x14ac:dyDescent="0.25">
      <c r="B191" s="47">
        <f>SUM(C191:D191)</f>
        <v>312</v>
      </c>
      <c r="C191" s="47">
        <f>I191+F191</f>
        <v>164</v>
      </c>
      <c r="D191" s="47">
        <f>J191+G191</f>
        <v>148</v>
      </c>
      <c r="E191" s="47">
        <f>SUM(F191:G191)</f>
        <v>16</v>
      </c>
      <c r="F191" s="47">
        <v>11</v>
      </c>
      <c r="G191" s="47">
        <v>5</v>
      </c>
      <c r="H191" s="47">
        <f>SUM(I191:J191)</f>
        <v>296</v>
      </c>
      <c r="I191" s="47">
        <f>123+30</f>
        <v>153</v>
      </c>
      <c r="J191" s="47">
        <f>173-30</f>
        <v>143</v>
      </c>
      <c r="K191" s="188" t="s">
        <v>233</v>
      </c>
      <c r="L191" s="129"/>
      <c r="M191" s="56"/>
    </row>
    <row r="192" spans="2:13" ht="13.5" customHeight="1" thickBot="1" x14ac:dyDescent="0.25">
      <c r="B192" s="47">
        <f>SUM(C192:D192)</f>
        <v>0</v>
      </c>
      <c r="C192" s="47">
        <f>I192+F192</f>
        <v>0</v>
      </c>
      <c r="D192" s="47">
        <f>J192+G192</f>
        <v>0</v>
      </c>
      <c r="E192" s="47">
        <f>SUM(F192:G192)</f>
        <v>0</v>
      </c>
      <c r="F192" s="47">
        <v>0</v>
      </c>
      <c r="G192" s="47">
        <v>0</v>
      </c>
      <c r="H192" s="47">
        <f>SUM(I192:J192)</f>
        <v>0</v>
      </c>
      <c r="I192" s="47">
        <v>0</v>
      </c>
      <c r="J192" s="47">
        <v>0</v>
      </c>
      <c r="K192" s="188" t="s">
        <v>234</v>
      </c>
      <c r="L192" s="129" t="s">
        <v>344</v>
      </c>
      <c r="M192" s="56"/>
    </row>
    <row r="193" spans="2:13" ht="13.5" customHeight="1" thickBot="1" x14ac:dyDescent="0.25">
      <c r="B193" s="47">
        <f t="shared" ref="B193:J193" si="59">SUM(B191:B192)</f>
        <v>312</v>
      </c>
      <c r="C193" s="47">
        <f t="shared" si="59"/>
        <v>164</v>
      </c>
      <c r="D193" s="47">
        <f t="shared" si="59"/>
        <v>148</v>
      </c>
      <c r="E193" s="47">
        <f t="shared" si="59"/>
        <v>16</v>
      </c>
      <c r="F193" s="47">
        <f t="shared" si="59"/>
        <v>11</v>
      </c>
      <c r="G193" s="47">
        <f t="shared" si="59"/>
        <v>5</v>
      </c>
      <c r="H193" s="47">
        <f t="shared" si="59"/>
        <v>296</v>
      </c>
      <c r="I193" s="47">
        <f t="shared" si="59"/>
        <v>153</v>
      </c>
      <c r="J193" s="47">
        <f t="shared" si="59"/>
        <v>143</v>
      </c>
      <c r="K193" s="188" t="s">
        <v>12</v>
      </c>
      <c r="L193" s="130"/>
      <c r="M193" s="56"/>
    </row>
    <row r="194" spans="2:13" ht="13.5" customHeight="1" thickBot="1" x14ac:dyDescent="0.25">
      <c r="B194" s="47">
        <f>SUM(C194:D194)</f>
        <v>284</v>
      </c>
      <c r="C194" s="47">
        <f>I194+F194</f>
        <v>217</v>
      </c>
      <c r="D194" s="47">
        <f>J194+G194</f>
        <v>67</v>
      </c>
      <c r="E194" s="47">
        <f>SUM(F194:G194)</f>
        <v>5</v>
      </c>
      <c r="F194" s="47">
        <v>5</v>
      </c>
      <c r="G194" s="47">
        <v>0</v>
      </c>
      <c r="H194" s="47">
        <f>SUM(I194:J194)</f>
        <v>279</v>
      </c>
      <c r="I194" s="47">
        <f>192+20</f>
        <v>212</v>
      </c>
      <c r="J194" s="47">
        <v>67</v>
      </c>
      <c r="K194" s="188" t="s">
        <v>233</v>
      </c>
      <c r="L194" s="129"/>
      <c r="M194" s="56"/>
    </row>
    <row r="195" spans="2:13" ht="13.5" customHeight="1" thickBot="1" x14ac:dyDescent="0.25">
      <c r="B195" s="47">
        <f>SUM(C195:D195)</f>
        <v>0</v>
      </c>
      <c r="C195" s="47">
        <f>I195+F195</f>
        <v>0</v>
      </c>
      <c r="D195" s="47">
        <f>J195+G195</f>
        <v>0</v>
      </c>
      <c r="E195" s="47">
        <f>SUM(F195:G195)</f>
        <v>0</v>
      </c>
      <c r="F195" s="47">
        <v>0</v>
      </c>
      <c r="G195" s="47">
        <v>0</v>
      </c>
      <c r="H195" s="47">
        <f>SUM(I195:J195)</f>
        <v>0</v>
      </c>
      <c r="I195" s="47">
        <v>0</v>
      </c>
      <c r="J195" s="47">
        <v>0</v>
      </c>
      <c r="K195" s="188" t="s">
        <v>234</v>
      </c>
      <c r="L195" s="129" t="s">
        <v>641</v>
      </c>
      <c r="M195" s="56"/>
    </row>
    <row r="196" spans="2:13" ht="13.5" customHeight="1" thickBot="1" x14ac:dyDescent="0.25">
      <c r="B196" s="47">
        <f t="shared" ref="B196:J196" si="60">SUM(B194:B195)</f>
        <v>284</v>
      </c>
      <c r="C196" s="47">
        <f t="shared" si="60"/>
        <v>217</v>
      </c>
      <c r="D196" s="47">
        <f t="shared" si="60"/>
        <v>67</v>
      </c>
      <c r="E196" s="47">
        <f t="shared" si="60"/>
        <v>5</v>
      </c>
      <c r="F196" s="47">
        <f t="shared" si="60"/>
        <v>5</v>
      </c>
      <c r="G196" s="47">
        <f t="shared" si="60"/>
        <v>0</v>
      </c>
      <c r="H196" s="47">
        <f t="shared" si="60"/>
        <v>279</v>
      </c>
      <c r="I196" s="47">
        <f t="shared" si="60"/>
        <v>212</v>
      </c>
      <c r="J196" s="47">
        <f t="shared" si="60"/>
        <v>67</v>
      </c>
      <c r="K196" s="188" t="s">
        <v>12</v>
      </c>
      <c r="L196" s="130"/>
      <c r="M196" s="56"/>
    </row>
    <row r="197" spans="2:13" ht="13.5" customHeight="1" thickBot="1" x14ac:dyDescent="0.25">
      <c r="B197" s="47">
        <f>SUM(C197:D197)</f>
        <v>92</v>
      </c>
      <c r="C197" s="47">
        <f>I197+F197</f>
        <v>66</v>
      </c>
      <c r="D197" s="47">
        <f>J197+G197</f>
        <v>26</v>
      </c>
      <c r="E197" s="47">
        <f>SUM(F197:G197)</f>
        <v>4</v>
      </c>
      <c r="F197" s="47">
        <v>2</v>
      </c>
      <c r="G197" s="47">
        <v>2</v>
      </c>
      <c r="H197" s="47">
        <f>SUM(I197:J197)</f>
        <v>88</v>
      </c>
      <c r="I197" s="47">
        <f>54+10</f>
        <v>64</v>
      </c>
      <c r="J197" s="47">
        <v>24</v>
      </c>
      <c r="K197" s="188" t="s">
        <v>233</v>
      </c>
      <c r="L197" s="129"/>
      <c r="M197" s="56"/>
    </row>
    <row r="198" spans="2:13" ht="13.5" customHeight="1" thickBot="1" x14ac:dyDescent="0.25">
      <c r="B198" s="47">
        <f>SUM(C198:D198)</f>
        <v>0</v>
      </c>
      <c r="C198" s="47">
        <f>I198+F198</f>
        <v>0</v>
      </c>
      <c r="D198" s="47">
        <f>J198+G198</f>
        <v>0</v>
      </c>
      <c r="E198" s="47">
        <f>SUM(F198:G198)</f>
        <v>0</v>
      </c>
      <c r="F198" s="47">
        <v>0</v>
      </c>
      <c r="G198" s="47">
        <v>0</v>
      </c>
      <c r="H198" s="47">
        <f>SUM(I198:J198)</f>
        <v>0</v>
      </c>
      <c r="I198" s="47">
        <v>0</v>
      </c>
      <c r="J198" s="47">
        <v>0</v>
      </c>
      <c r="K198" s="188" t="s">
        <v>234</v>
      </c>
      <c r="L198" s="129" t="s">
        <v>406</v>
      </c>
      <c r="M198" s="56"/>
    </row>
    <row r="199" spans="2:13" ht="13.5" customHeight="1" thickBot="1" x14ac:dyDescent="0.25">
      <c r="B199" s="47">
        <f t="shared" ref="B199:J199" si="61">SUM(B197:B198)</f>
        <v>92</v>
      </c>
      <c r="C199" s="47">
        <f t="shared" si="61"/>
        <v>66</v>
      </c>
      <c r="D199" s="47">
        <f t="shared" si="61"/>
        <v>26</v>
      </c>
      <c r="E199" s="47">
        <f t="shared" si="61"/>
        <v>4</v>
      </c>
      <c r="F199" s="47">
        <f t="shared" si="61"/>
        <v>2</v>
      </c>
      <c r="G199" s="47">
        <f t="shared" si="61"/>
        <v>2</v>
      </c>
      <c r="H199" s="47">
        <f t="shared" si="61"/>
        <v>88</v>
      </c>
      <c r="I199" s="47">
        <f t="shared" si="61"/>
        <v>64</v>
      </c>
      <c r="J199" s="47">
        <f t="shared" si="61"/>
        <v>24</v>
      </c>
      <c r="K199" s="188" t="s">
        <v>12</v>
      </c>
      <c r="L199" s="130"/>
      <c r="M199" s="56"/>
    </row>
    <row r="200" spans="2:13" ht="13.5" customHeight="1" thickBot="1" x14ac:dyDescent="0.25">
      <c r="B200" s="47">
        <f>SUM(C200:D200)</f>
        <v>73</v>
      </c>
      <c r="C200" s="47">
        <f>I200+F200</f>
        <v>0</v>
      </c>
      <c r="D200" s="47">
        <f>J200+G200</f>
        <v>73</v>
      </c>
      <c r="E200" s="47">
        <f>SUM(F200:G200)</f>
        <v>2</v>
      </c>
      <c r="F200" s="47">
        <v>0</v>
      </c>
      <c r="G200" s="47">
        <v>2</v>
      </c>
      <c r="H200" s="47">
        <f>SUM(I200:J200)</f>
        <v>71</v>
      </c>
      <c r="I200" s="47">
        <v>0</v>
      </c>
      <c r="J200" s="47">
        <v>71</v>
      </c>
      <c r="K200" s="188" t="s">
        <v>233</v>
      </c>
      <c r="L200" s="129"/>
      <c r="M200" s="56"/>
    </row>
    <row r="201" spans="2:13" ht="13.5" customHeight="1" thickBot="1" x14ac:dyDescent="0.25">
      <c r="B201" s="47">
        <f>SUM(C201:D201)</f>
        <v>0</v>
      </c>
      <c r="C201" s="47">
        <f>I201+F201</f>
        <v>0</v>
      </c>
      <c r="D201" s="47">
        <f>J201+G201</f>
        <v>0</v>
      </c>
      <c r="E201" s="47">
        <f>SUM(F201:G201)</f>
        <v>0</v>
      </c>
      <c r="F201" s="47">
        <v>0</v>
      </c>
      <c r="G201" s="47">
        <v>0</v>
      </c>
      <c r="H201" s="47">
        <f>SUM(I201:J201)</f>
        <v>0</v>
      </c>
      <c r="I201" s="47">
        <v>0</v>
      </c>
      <c r="J201" s="47">
        <v>0</v>
      </c>
      <c r="K201" s="188" t="s">
        <v>234</v>
      </c>
      <c r="L201" s="129" t="s">
        <v>589</v>
      </c>
      <c r="M201" s="56"/>
    </row>
    <row r="202" spans="2:13" ht="13.5" customHeight="1" thickBot="1" x14ac:dyDescent="0.25">
      <c r="B202" s="47">
        <f t="shared" ref="B202:J202" si="62">SUM(B200:B201)</f>
        <v>73</v>
      </c>
      <c r="C202" s="47">
        <f t="shared" si="62"/>
        <v>0</v>
      </c>
      <c r="D202" s="47">
        <f t="shared" si="62"/>
        <v>73</v>
      </c>
      <c r="E202" s="47">
        <f t="shared" si="62"/>
        <v>2</v>
      </c>
      <c r="F202" s="47">
        <f t="shared" si="62"/>
        <v>0</v>
      </c>
      <c r="G202" s="47">
        <f t="shared" si="62"/>
        <v>2</v>
      </c>
      <c r="H202" s="47">
        <f t="shared" si="62"/>
        <v>71</v>
      </c>
      <c r="I202" s="47">
        <f t="shared" si="62"/>
        <v>0</v>
      </c>
      <c r="J202" s="47">
        <f t="shared" si="62"/>
        <v>71</v>
      </c>
      <c r="K202" s="188" t="s">
        <v>12</v>
      </c>
      <c r="L202" s="130"/>
      <c r="M202" s="56"/>
    </row>
    <row r="203" spans="2:13" ht="13.5" customHeight="1" thickBot="1" x14ac:dyDescent="0.25">
      <c r="B203" s="47">
        <f>SUM(C203:D203)</f>
        <v>43</v>
      </c>
      <c r="C203" s="47">
        <f>I203+F203</f>
        <v>0</v>
      </c>
      <c r="D203" s="47">
        <f>J203+G203</f>
        <v>43</v>
      </c>
      <c r="E203" s="47">
        <f>SUM(F203:G203)</f>
        <v>2</v>
      </c>
      <c r="F203" s="47">
        <v>0</v>
      </c>
      <c r="G203" s="47">
        <v>2</v>
      </c>
      <c r="H203" s="47">
        <f>SUM(I203:J203)</f>
        <v>41</v>
      </c>
      <c r="I203" s="47">
        <v>0</v>
      </c>
      <c r="J203" s="47">
        <v>41</v>
      </c>
      <c r="K203" s="188" t="s">
        <v>233</v>
      </c>
      <c r="L203" s="129"/>
      <c r="M203" s="56"/>
    </row>
    <row r="204" spans="2:13" ht="13.5" customHeight="1" thickBot="1" x14ac:dyDescent="0.25">
      <c r="B204" s="47">
        <f>SUM(C204:D204)</f>
        <v>0</v>
      </c>
      <c r="C204" s="47">
        <f>I204+F204</f>
        <v>0</v>
      </c>
      <c r="D204" s="47">
        <f>J204+G204</f>
        <v>0</v>
      </c>
      <c r="E204" s="47">
        <f>SUM(F204:G204)</f>
        <v>0</v>
      </c>
      <c r="F204" s="47">
        <v>0</v>
      </c>
      <c r="G204" s="47">
        <v>0</v>
      </c>
      <c r="H204" s="47">
        <f>SUM(I204:J204)</f>
        <v>0</v>
      </c>
      <c r="I204" s="47">
        <v>0</v>
      </c>
      <c r="J204" s="47">
        <v>0</v>
      </c>
      <c r="K204" s="188" t="s">
        <v>234</v>
      </c>
      <c r="L204" s="129" t="s">
        <v>590</v>
      </c>
      <c r="M204" s="56"/>
    </row>
    <row r="205" spans="2:13" ht="13.5" customHeight="1" thickBot="1" x14ac:dyDescent="0.25">
      <c r="B205" s="47">
        <f t="shared" ref="B205:J205" si="63">SUM(B203:B204)</f>
        <v>43</v>
      </c>
      <c r="C205" s="47">
        <f t="shared" si="63"/>
        <v>0</v>
      </c>
      <c r="D205" s="47">
        <f t="shared" si="63"/>
        <v>43</v>
      </c>
      <c r="E205" s="47">
        <f t="shared" si="63"/>
        <v>2</v>
      </c>
      <c r="F205" s="47">
        <f t="shared" si="63"/>
        <v>0</v>
      </c>
      <c r="G205" s="47">
        <f t="shared" si="63"/>
        <v>2</v>
      </c>
      <c r="H205" s="47">
        <f t="shared" si="63"/>
        <v>41</v>
      </c>
      <c r="I205" s="47">
        <f t="shared" si="63"/>
        <v>0</v>
      </c>
      <c r="J205" s="47">
        <f t="shared" si="63"/>
        <v>41</v>
      </c>
      <c r="K205" s="188" t="s">
        <v>12</v>
      </c>
      <c r="L205" s="130"/>
      <c r="M205" s="56"/>
    </row>
    <row r="206" spans="2:13" ht="13.5" customHeight="1" thickBot="1" x14ac:dyDescent="0.25">
      <c r="B206" s="47">
        <f>SUM(C206:D206)</f>
        <v>71</v>
      </c>
      <c r="C206" s="47">
        <f>I206+F206</f>
        <v>0</v>
      </c>
      <c r="D206" s="47">
        <f>J206+G206</f>
        <v>71</v>
      </c>
      <c r="E206" s="47">
        <f>SUM(F206:G206)</f>
        <v>0</v>
      </c>
      <c r="F206" s="47">
        <v>0</v>
      </c>
      <c r="G206" s="47">
        <v>0</v>
      </c>
      <c r="H206" s="47">
        <f>SUM(I206:J206)</f>
        <v>71</v>
      </c>
      <c r="I206" s="47">
        <v>0</v>
      </c>
      <c r="J206" s="47">
        <v>71</v>
      </c>
      <c r="K206" s="188" t="s">
        <v>233</v>
      </c>
      <c r="L206" s="129"/>
      <c r="M206" s="56"/>
    </row>
    <row r="207" spans="2:13" ht="13.5" customHeight="1" thickBot="1" x14ac:dyDescent="0.25">
      <c r="B207" s="47">
        <f>SUM(C207:D207)</f>
        <v>0</v>
      </c>
      <c r="C207" s="47">
        <f>I207+F207</f>
        <v>0</v>
      </c>
      <c r="D207" s="47">
        <f>J207+G207</f>
        <v>0</v>
      </c>
      <c r="E207" s="47">
        <f>SUM(F207:G207)</f>
        <v>0</v>
      </c>
      <c r="F207" s="47">
        <v>0</v>
      </c>
      <c r="G207" s="47">
        <v>0</v>
      </c>
      <c r="H207" s="47">
        <f>SUM(I207:J207)</f>
        <v>0</v>
      </c>
      <c r="I207" s="47">
        <v>0</v>
      </c>
      <c r="J207" s="47">
        <v>0</v>
      </c>
      <c r="K207" s="188" t="s">
        <v>234</v>
      </c>
      <c r="L207" s="129" t="s">
        <v>407</v>
      </c>
      <c r="M207" s="56"/>
    </row>
    <row r="208" spans="2:13" ht="13.5" customHeight="1" thickBot="1" x14ac:dyDescent="0.25">
      <c r="B208" s="47">
        <f t="shared" ref="B208:J208" si="64">SUM(B206:B207)</f>
        <v>71</v>
      </c>
      <c r="C208" s="47">
        <f t="shared" si="64"/>
        <v>0</v>
      </c>
      <c r="D208" s="47">
        <f t="shared" si="64"/>
        <v>71</v>
      </c>
      <c r="E208" s="47">
        <f t="shared" si="64"/>
        <v>0</v>
      </c>
      <c r="F208" s="47">
        <f t="shared" si="64"/>
        <v>0</v>
      </c>
      <c r="G208" s="47">
        <f t="shared" si="64"/>
        <v>0</v>
      </c>
      <c r="H208" s="47">
        <f t="shared" si="64"/>
        <v>71</v>
      </c>
      <c r="I208" s="47">
        <f t="shared" si="64"/>
        <v>0</v>
      </c>
      <c r="J208" s="47">
        <f t="shared" si="64"/>
        <v>71</v>
      </c>
      <c r="K208" s="188" t="s">
        <v>12</v>
      </c>
      <c r="L208" s="130"/>
      <c r="M208" s="56"/>
    </row>
    <row r="209" spans="2:13" ht="13.5" customHeight="1" thickBot="1" x14ac:dyDescent="0.25">
      <c r="B209" s="47">
        <f>SUM(C209:D209)</f>
        <v>275</v>
      </c>
      <c r="C209" s="47">
        <f>I209+F209</f>
        <v>275</v>
      </c>
      <c r="D209" s="47">
        <f>J209+G209</f>
        <v>0</v>
      </c>
      <c r="E209" s="47">
        <f>SUM(F209:G209)</f>
        <v>14</v>
      </c>
      <c r="F209" s="47">
        <v>14</v>
      </c>
      <c r="G209" s="47">
        <v>0</v>
      </c>
      <c r="H209" s="47">
        <f>SUM(I209:J209)</f>
        <v>261</v>
      </c>
      <c r="I209" s="47">
        <f>241+20</f>
        <v>261</v>
      </c>
      <c r="J209" s="47">
        <v>0</v>
      </c>
      <c r="K209" s="188" t="s">
        <v>233</v>
      </c>
      <c r="L209" s="129"/>
      <c r="M209" s="56"/>
    </row>
    <row r="210" spans="2:13" ht="13.5" customHeight="1" thickBot="1" x14ac:dyDescent="0.25">
      <c r="B210" s="47">
        <f>SUM(C210:D210)</f>
        <v>0</v>
      </c>
      <c r="C210" s="47">
        <f>I210+F210</f>
        <v>0</v>
      </c>
      <c r="D210" s="47">
        <f>J210+G210</f>
        <v>0</v>
      </c>
      <c r="E210" s="47">
        <f>SUM(F210:G210)</f>
        <v>0</v>
      </c>
      <c r="F210" s="47">
        <v>0</v>
      </c>
      <c r="G210" s="47">
        <v>0</v>
      </c>
      <c r="H210" s="47">
        <f>SUM(I210:J210)</f>
        <v>0</v>
      </c>
      <c r="I210" s="47">
        <v>0</v>
      </c>
      <c r="J210" s="47">
        <v>0</v>
      </c>
      <c r="K210" s="188" t="s">
        <v>234</v>
      </c>
      <c r="L210" s="129" t="s">
        <v>408</v>
      </c>
      <c r="M210" s="56"/>
    </row>
    <row r="211" spans="2:13" ht="13.5" customHeight="1" thickBot="1" x14ac:dyDescent="0.25">
      <c r="B211" s="47">
        <f t="shared" ref="B211:J211" si="65">SUM(B209:B210)</f>
        <v>275</v>
      </c>
      <c r="C211" s="47">
        <f t="shared" si="65"/>
        <v>275</v>
      </c>
      <c r="D211" s="47">
        <f t="shared" si="65"/>
        <v>0</v>
      </c>
      <c r="E211" s="47">
        <f t="shared" si="65"/>
        <v>14</v>
      </c>
      <c r="F211" s="47">
        <f t="shared" si="65"/>
        <v>14</v>
      </c>
      <c r="G211" s="47">
        <f t="shared" si="65"/>
        <v>0</v>
      </c>
      <c r="H211" s="47">
        <f t="shared" si="65"/>
        <v>261</v>
      </c>
      <c r="I211" s="47">
        <f t="shared" si="65"/>
        <v>261</v>
      </c>
      <c r="J211" s="47">
        <f t="shared" si="65"/>
        <v>0</v>
      </c>
      <c r="K211" s="188" t="s">
        <v>12</v>
      </c>
      <c r="L211" s="130"/>
      <c r="M211" s="56"/>
    </row>
    <row r="212" spans="2:13" ht="13.5" customHeight="1" thickBot="1" x14ac:dyDescent="0.25">
      <c r="B212" s="47">
        <f>SUM(C212:D212)</f>
        <v>1253</v>
      </c>
      <c r="C212" s="47">
        <f>I212+F212</f>
        <v>1253</v>
      </c>
      <c r="D212" s="47">
        <f>J212+G212</f>
        <v>0</v>
      </c>
      <c r="E212" s="47">
        <f>SUM(F212:G212)</f>
        <v>17</v>
      </c>
      <c r="F212" s="47">
        <v>17</v>
      </c>
      <c r="G212" s="47">
        <v>0</v>
      </c>
      <c r="H212" s="47">
        <f>SUM(I212:J212)</f>
        <v>1236</v>
      </c>
      <c r="I212" s="47">
        <f>1216+20</f>
        <v>1236</v>
      </c>
      <c r="J212" s="47">
        <v>0</v>
      </c>
      <c r="K212" s="188" t="s">
        <v>233</v>
      </c>
      <c r="L212" s="129"/>
      <c r="M212" s="56"/>
    </row>
    <row r="213" spans="2:13" ht="13.5" customHeight="1" thickBot="1" x14ac:dyDescent="0.25">
      <c r="B213" s="47">
        <f>SUM(C213:D213)</f>
        <v>0</v>
      </c>
      <c r="C213" s="47">
        <f>I213+F213</f>
        <v>0</v>
      </c>
      <c r="D213" s="47">
        <f>J213+G213</f>
        <v>0</v>
      </c>
      <c r="E213" s="47">
        <f>SUM(F213:G213)</f>
        <v>0</v>
      </c>
      <c r="F213" s="47">
        <v>0</v>
      </c>
      <c r="G213" s="47">
        <v>0</v>
      </c>
      <c r="H213" s="47">
        <f>SUM(I213:J213)</f>
        <v>0</v>
      </c>
      <c r="I213" s="47">
        <v>0</v>
      </c>
      <c r="J213" s="47">
        <v>0</v>
      </c>
      <c r="K213" s="188" t="s">
        <v>234</v>
      </c>
      <c r="L213" s="129" t="s">
        <v>410</v>
      </c>
      <c r="M213" s="56"/>
    </row>
    <row r="214" spans="2:13" ht="13.5" customHeight="1" thickBot="1" x14ac:dyDescent="0.25">
      <c r="B214" s="47">
        <f t="shared" ref="B214:J214" si="66">SUM(B212:B213)</f>
        <v>1253</v>
      </c>
      <c r="C214" s="47">
        <f t="shared" si="66"/>
        <v>1253</v>
      </c>
      <c r="D214" s="47">
        <f t="shared" si="66"/>
        <v>0</v>
      </c>
      <c r="E214" s="47">
        <f t="shared" si="66"/>
        <v>17</v>
      </c>
      <c r="F214" s="47">
        <f t="shared" si="66"/>
        <v>17</v>
      </c>
      <c r="G214" s="47">
        <f t="shared" si="66"/>
        <v>0</v>
      </c>
      <c r="H214" s="47">
        <f t="shared" si="66"/>
        <v>1236</v>
      </c>
      <c r="I214" s="47">
        <f t="shared" si="66"/>
        <v>1236</v>
      </c>
      <c r="J214" s="47">
        <f t="shared" si="66"/>
        <v>0</v>
      </c>
      <c r="K214" s="188" t="s">
        <v>12</v>
      </c>
      <c r="L214" s="130"/>
      <c r="M214" s="56"/>
    </row>
    <row r="215" spans="2:13" ht="13.5" customHeight="1" thickBot="1" x14ac:dyDescent="0.25">
      <c r="B215" s="47">
        <f>SUM(C215:D215)</f>
        <v>878</v>
      </c>
      <c r="C215" s="47">
        <f>I215+F215</f>
        <v>878</v>
      </c>
      <c r="D215" s="47">
        <f>J215+G215</f>
        <v>0</v>
      </c>
      <c r="E215" s="47">
        <f>SUM(F215:G215)</f>
        <v>10</v>
      </c>
      <c r="F215" s="47">
        <v>10</v>
      </c>
      <c r="G215" s="47">
        <v>0</v>
      </c>
      <c r="H215" s="47">
        <f>SUM(I215:J215)</f>
        <v>868</v>
      </c>
      <c r="I215" s="47">
        <f>845+23</f>
        <v>868</v>
      </c>
      <c r="J215" s="47">
        <v>0</v>
      </c>
      <c r="K215" s="188" t="s">
        <v>233</v>
      </c>
      <c r="L215" s="129"/>
      <c r="M215" s="56"/>
    </row>
    <row r="216" spans="2:13" ht="13.5" customHeight="1" thickBot="1" x14ac:dyDescent="0.25">
      <c r="B216" s="47">
        <f>SUM(C216:D216)</f>
        <v>0</v>
      </c>
      <c r="C216" s="47">
        <f>I216+F216</f>
        <v>0</v>
      </c>
      <c r="D216" s="47">
        <f>J216+G216</f>
        <v>0</v>
      </c>
      <c r="E216" s="47">
        <f>SUM(F216:G216)</f>
        <v>0</v>
      </c>
      <c r="F216" s="47">
        <v>0</v>
      </c>
      <c r="G216" s="47">
        <v>0</v>
      </c>
      <c r="H216" s="47">
        <f>SUM(I216:J216)</f>
        <v>0</v>
      </c>
      <c r="I216" s="47">
        <v>0</v>
      </c>
      <c r="J216" s="47">
        <v>0</v>
      </c>
      <c r="K216" s="188" t="s">
        <v>234</v>
      </c>
      <c r="L216" s="129" t="s">
        <v>676</v>
      </c>
      <c r="M216" s="56"/>
    </row>
    <row r="217" spans="2:13" ht="13.5" customHeight="1" thickBot="1" x14ac:dyDescent="0.25">
      <c r="B217" s="47">
        <f t="shared" ref="B217:J217" si="67">SUM(B215:B216)</f>
        <v>878</v>
      </c>
      <c r="C217" s="47">
        <f t="shared" si="67"/>
        <v>878</v>
      </c>
      <c r="D217" s="47">
        <f t="shared" si="67"/>
        <v>0</v>
      </c>
      <c r="E217" s="47">
        <f t="shared" si="67"/>
        <v>10</v>
      </c>
      <c r="F217" s="47">
        <f t="shared" si="67"/>
        <v>10</v>
      </c>
      <c r="G217" s="47">
        <f t="shared" si="67"/>
        <v>0</v>
      </c>
      <c r="H217" s="47">
        <f t="shared" si="67"/>
        <v>868</v>
      </c>
      <c r="I217" s="47">
        <f t="shared" si="67"/>
        <v>868</v>
      </c>
      <c r="J217" s="47">
        <f t="shared" si="67"/>
        <v>0</v>
      </c>
      <c r="K217" s="188" t="s">
        <v>12</v>
      </c>
      <c r="L217" s="130"/>
      <c r="M217" s="56"/>
    </row>
    <row r="218" spans="2:13" ht="13.5" customHeight="1" thickBot="1" x14ac:dyDescent="0.25">
      <c r="B218" s="47">
        <f>SUM(C218:D218)</f>
        <v>571</v>
      </c>
      <c r="C218" s="47">
        <f>I218+F218</f>
        <v>571</v>
      </c>
      <c r="D218" s="47">
        <f>J218+G218</f>
        <v>0</v>
      </c>
      <c r="E218" s="47">
        <f>SUM(F218:G218)</f>
        <v>9</v>
      </c>
      <c r="F218" s="47">
        <v>9</v>
      </c>
      <c r="G218" s="47">
        <v>0</v>
      </c>
      <c r="H218" s="47">
        <f>SUM(I218:J218)</f>
        <v>562</v>
      </c>
      <c r="I218" s="47">
        <f>512+50</f>
        <v>562</v>
      </c>
      <c r="J218" s="47">
        <v>0</v>
      </c>
      <c r="K218" s="188" t="s">
        <v>233</v>
      </c>
      <c r="L218" s="129"/>
      <c r="M218" s="56"/>
    </row>
    <row r="219" spans="2:13" ht="13.5" customHeight="1" thickBot="1" x14ac:dyDescent="0.25">
      <c r="B219" s="47">
        <f>SUM(C219:D219)</f>
        <v>1</v>
      </c>
      <c r="C219" s="47">
        <f>I219+F219</f>
        <v>1</v>
      </c>
      <c r="D219" s="47">
        <f>J219+G219</f>
        <v>0</v>
      </c>
      <c r="E219" s="47">
        <f>SUM(F219:G219)</f>
        <v>0</v>
      </c>
      <c r="F219" s="47">
        <v>0</v>
      </c>
      <c r="G219" s="47">
        <v>0</v>
      </c>
      <c r="H219" s="47">
        <f>SUM(I219:J219)</f>
        <v>1</v>
      </c>
      <c r="I219" s="47">
        <v>1</v>
      </c>
      <c r="J219" s="47">
        <v>0</v>
      </c>
      <c r="K219" s="188" t="s">
        <v>234</v>
      </c>
      <c r="L219" s="129" t="s">
        <v>715</v>
      </c>
      <c r="M219" s="56"/>
    </row>
    <row r="220" spans="2:13" ht="13.5" customHeight="1" thickBot="1" x14ac:dyDescent="0.25">
      <c r="B220" s="47">
        <f t="shared" ref="B220:J220" si="68">SUM(B218:B219)</f>
        <v>572</v>
      </c>
      <c r="C220" s="47">
        <f t="shared" si="68"/>
        <v>572</v>
      </c>
      <c r="D220" s="47">
        <f t="shared" si="68"/>
        <v>0</v>
      </c>
      <c r="E220" s="47">
        <f t="shared" si="68"/>
        <v>9</v>
      </c>
      <c r="F220" s="47">
        <f t="shared" si="68"/>
        <v>9</v>
      </c>
      <c r="G220" s="47">
        <f t="shared" si="68"/>
        <v>0</v>
      </c>
      <c r="H220" s="47">
        <f t="shared" si="68"/>
        <v>563</v>
      </c>
      <c r="I220" s="47">
        <f t="shared" si="68"/>
        <v>563</v>
      </c>
      <c r="J220" s="47">
        <f t="shared" si="68"/>
        <v>0</v>
      </c>
      <c r="K220" s="188" t="s">
        <v>12</v>
      </c>
      <c r="L220" s="130"/>
      <c r="M220" s="56"/>
    </row>
    <row r="221" spans="2:13" ht="13.5" customHeight="1" thickBot="1" x14ac:dyDescent="0.25">
      <c r="B221" s="47">
        <f>SUM(C221:D221)</f>
        <v>707</v>
      </c>
      <c r="C221" s="47">
        <f>I221+F221</f>
        <v>0</v>
      </c>
      <c r="D221" s="47">
        <f>J221+G221</f>
        <v>707</v>
      </c>
      <c r="E221" s="47">
        <f>SUM(F221:G221)</f>
        <v>26</v>
      </c>
      <c r="F221" s="47">
        <v>0</v>
      </c>
      <c r="G221" s="47">
        <v>26</v>
      </c>
      <c r="H221" s="47">
        <f>SUM(I221:J221)</f>
        <v>681</v>
      </c>
      <c r="I221" s="47">
        <v>0</v>
      </c>
      <c r="J221" s="47">
        <f>751-70</f>
        <v>681</v>
      </c>
      <c r="K221" s="188" t="s">
        <v>233</v>
      </c>
      <c r="L221" s="129"/>
      <c r="M221" s="56"/>
    </row>
    <row r="222" spans="2:13" ht="13.5" customHeight="1" thickBot="1" x14ac:dyDescent="0.25">
      <c r="B222" s="47">
        <f>SUM(C222:D222)</f>
        <v>0</v>
      </c>
      <c r="C222" s="47">
        <f>I222+F222</f>
        <v>0</v>
      </c>
      <c r="D222" s="47">
        <f>J222+G222</f>
        <v>0</v>
      </c>
      <c r="E222" s="47">
        <f>SUM(F222:G222)</f>
        <v>0</v>
      </c>
      <c r="F222" s="47">
        <v>0</v>
      </c>
      <c r="G222" s="47">
        <v>0</v>
      </c>
      <c r="H222" s="47">
        <f>SUM(I222:J222)</f>
        <v>0</v>
      </c>
      <c r="I222" s="47">
        <v>0</v>
      </c>
      <c r="J222" s="47">
        <v>0</v>
      </c>
      <c r="K222" s="188" t="s">
        <v>234</v>
      </c>
      <c r="L222" s="129" t="s">
        <v>416</v>
      </c>
      <c r="M222" s="56"/>
    </row>
    <row r="223" spans="2:13" ht="13.5" customHeight="1" thickBot="1" x14ac:dyDescent="0.25">
      <c r="B223" s="47">
        <f t="shared" ref="B223:J223" si="69">SUM(B221:B222)</f>
        <v>707</v>
      </c>
      <c r="C223" s="47">
        <f t="shared" si="69"/>
        <v>0</v>
      </c>
      <c r="D223" s="47">
        <f t="shared" si="69"/>
        <v>707</v>
      </c>
      <c r="E223" s="47">
        <f t="shared" si="69"/>
        <v>26</v>
      </c>
      <c r="F223" s="47">
        <f t="shared" si="69"/>
        <v>0</v>
      </c>
      <c r="G223" s="47">
        <f t="shared" si="69"/>
        <v>26</v>
      </c>
      <c r="H223" s="47">
        <f t="shared" si="69"/>
        <v>681</v>
      </c>
      <c r="I223" s="47">
        <f t="shared" si="69"/>
        <v>0</v>
      </c>
      <c r="J223" s="47">
        <f t="shared" si="69"/>
        <v>681</v>
      </c>
      <c r="K223" s="188" t="s">
        <v>12</v>
      </c>
      <c r="L223" s="130"/>
      <c r="M223" s="56"/>
    </row>
    <row r="224" spans="2:13" ht="13.5" customHeight="1" thickBot="1" x14ac:dyDescent="0.25">
      <c r="B224" s="47">
        <f t="shared" ref="B224:J226" si="70">B173+B176+B179+B182+B185+B188+B191+B194+B197+B200+B203+B206+B209+B212+B215+B218+B221</f>
        <v>8873</v>
      </c>
      <c r="C224" s="47">
        <f t="shared" si="70"/>
        <v>5875</v>
      </c>
      <c r="D224" s="47">
        <f t="shared" si="70"/>
        <v>2998</v>
      </c>
      <c r="E224" s="47">
        <f t="shared" si="70"/>
        <v>294</v>
      </c>
      <c r="F224" s="47">
        <f t="shared" si="70"/>
        <v>205</v>
      </c>
      <c r="G224" s="47">
        <f t="shared" si="70"/>
        <v>89</v>
      </c>
      <c r="H224" s="47">
        <f t="shared" si="70"/>
        <v>8579</v>
      </c>
      <c r="I224" s="47">
        <f t="shared" si="70"/>
        <v>5670</v>
      </c>
      <c r="J224" s="47">
        <f t="shared" si="70"/>
        <v>2909</v>
      </c>
      <c r="K224" s="188" t="s">
        <v>236</v>
      </c>
      <c r="L224" s="131"/>
      <c r="M224" s="56"/>
    </row>
    <row r="225" spans="2:13" ht="13.5" customHeight="1" thickBot="1" x14ac:dyDescent="0.25">
      <c r="B225" s="47">
        <f t="shared" si="70"/>
        <v>2541</v>
      </c>
      <c r="C225" s="47">
        <f t="shared" si="70"/>
        <v>926</v>
      </c>
      <c r="D225" s="47">
        <f t="shared" si="70"/>
        <v>1615</v>
      </c>
      <c r="E225" s="47">
        <f t="shared" si="70"/>
        <v>251</v>
      </c>
      <c r="F225" s="47">
        <f t="shared" si="70"/>
        <v>211</v>
      </c>
      <c r="G225" s="47">
        <f t="shared" si="70"/>
        <v>40</v>
      </c>
      <c r="H225" s="47">
        <f t="shared" si="70"/>
        <v>2290</v>
      </c>
      <c r="I225" s="47">
        <f t="shared" si="70"/>
        <v>715</v>
      </c>
      <c r="J225" s="47">
        <f t="shared" si="70"/>
        <v>1575</v>
      </c>
      <c r="K225" s="188" t="s">
        <v>237</v>
      </c>
      <c r="L225" s="132" t="s">
        <v>188</v>
      </c>
      <c r="M225" s="56"/>
    </row>
    <row r="226" spans="2:13" ht="13.5" customHeight="1" thickBot="1" x14ac:dyDescent="0.25">
      <c r="B226" s="47">
        <f t="shared" si="70"/>
        <v>11414</v>
      </c>
      <c r="C226" s="47">
        <f t="shared" si="70"/>
        <v>6801</v>
      </c>
      <c r="D226" s="47">
        <f t="shared" si="70"/>
        <v>4613</v>
      </c>
      <c r="E226" s="47">
        <f t="shared" si="70"/>
        <v>545</v>
      </c>
      <c r="F226" s="47">
        <f t="shared" si="70"/>
        <v>416</v>
      </c>
      <c r="G226" s="47">
        <f t="shared" si="70"/>
        <v>129</v>
      </c>
      <c r="H226" s="47">
        <f t="shared" si="70"/>
        <v>10869</v>
      </c>
      <c r="I226" s="47">
        <f t="shared" si="70"/>
        <v>6385</v>
      </c>
      <c r="J226" s="47">
        <f t="shared" si="70"/>
        <v>4484</v>
      </c>
      <c r="K226" s="188" t="s">
        <v>12</v>
      </c>
      <c r="L226" s="133"/>
      <c r="M226" s="56"/>
    </row>
    <row r="227" spans="2:13" ht="13.5" customHeight="1" thickBot="1" x14ac:dyDescent="0.25">
      <c r="B227" s="476" t="s">
        <v>4</v>
      </c>
      <c r="C227" s="476"/>
      <c r="D227" s="476"/>
      <c r="E227" s="476" t="s">
        <v>145</v>
      </c>
      <c r="F227" s="476"/>
      <c r="G227" s="476"/>
      <c r="H227" s="476" t="s">
        <v>146</v>
      </c>
      <c r="I227" s="476"/>
      <c r="J227" s="476"/>
      <c r="K227" s="479" t="s">
        <v>66</v>
      </c>
      <c r="L227" s="479"/>
      <c r="M227" s="56"/>
    </row>
    <row r="228" spans="2:13" ht="13.5" customHeight="1" thickBot="1" x14ac:dyDescent="0.25">
      <c r="B228" s="185" t="s">
        <v>227</v>
      </c>
      <c r="C228" s="185" t="s">
        <v>10</v>
      </c>
      <c r="D228" s="185" t="s">
        <v>9</v>
      </c>
      <c r="E228" s="185" t="s">
        <v>227</v>
      </c>
      <c r="F228" s="185" t="s">
        <v>10</v>
      </c>
      <c r="G228" s="185" t="s">
        <v>9</v>
      </c>
      <c r="H228" s="185" t="s">
        <v>227</v>
      </c>
      <c r="I228" s="185" t="s">
        <v>10</v>
      </c>
      <c r="J228" s="185" t="s">
        <v>9</v>
      </c>
      <c r="K228" s="480" t="s">
        <v>90</v>
      </c>
      <c r="L228" s="480"/>
      <c r="M228" s="56"/>
    </row>
    <row r="229" spans="2:13" ht="13.5" customHeight="1" thickBot="1" x14ac:dyDescent="0.25">
      <c r="B229" s="47">
        <f>SUM(C229:D229)</f>
        <v>326</v>
      </c>
      <c r="C229" s="47">
        <f>I229+F229</f>
        <v>0</v>
      </c>
      <c r="D229" s="47">
        <f>J229+G229</f>
        <v>326</v>
      </c>
      <c r="E229" s="47">
        <f>SUM(F229:G229)</f>
        <v>5</v>
      </c>
      <c r="F229" s="47">
        <v>0</v>
      </c>
      <c r="G229" s="47">
        <v>5</v>
      </c>
      <c r="H229" s="47">
        <f>SUM(I229:J229)</f>
        <v>321</v>
      </c>
      <c r="I229" s="47">
        <v>0</v>
      </c>
      <c r="J229" s="47">
        <v>321</v>
      </c>
      <c r="K229" s="188" t="s">
        <v>233</v>
      </c>
      <c r="L229" s="129"/>
      <c r="M229" s="56"/>
    </row>
    <row r="230" spans="2:13" ht="13.5" customHeight="1" thickBot="1" x14ac:dyDescent="0.25">
      <c r="B230" s="47">
        <f>SUM(C230:D230)</f>
        <v>0</v>
      </c>
      <c r="C230" s="47">
        <f>I230+F230</f>
        <v>0</v>
      </c>
      <c r="D230" s="47">
        <f>J230+G230</f>
        <v>0</v>
      </c>
      <c r="E230" s="47">
        <f>SUM(F230:G230)</f>
        <v>0</v>
      </c>
      <c r="F230" s="47">
        <v>0</v>
      </c>
      <c r="G230" s="47">
        <v>0</v>
      </c>
      <c r="H230" s="47">
        <f>SUM(I230:J230)</f>
        <v>0</v>
      </c>
      <c r="I230" s="47">
        <v>0</v>
      </c>
      <c r="J230" s="47">
        <v>0</v>
      </c>
      <c r="K230" s="188" t="s">
        <v>234</v>
      </c>
      <c r="L230" s="129" t="s">
        <v>420</v>
      </c>
      <c r="M230" s="56"/>
    </row>
    <row r="231" spans="2:13" ht="13.5" customHeight="1" thickBot="1" x14ac:dyDescent="0.25">
      <c r="B231" s="47">
        <f t="shared" ref="B231:J231" si="71">SUM(B229:B230)</f>
        <v>326</v>
      </c>
      <c r="C231" s="47">
        <f t="shared" si="71"/>
        <v>0</v>
      </c>
      <c r="D231" s="47">
        <f t="shared" si="71"/>
        <v>326</v>
      </c>
      <c r="E231" s="47">
        <f t="shared" si="71"/>
        <v>5</v>
      </c>
      <c r="F231" s="47">
        <f t="shared" si="71"/>
        <v>0</v>
      </c>
      <c r="G231" s="47">
        <f t="shared" si="71"/>
        <v>5</v>
      </c>
      <c r="H231" s="47">
        <f t="shared" si="71"/>
        <v>321</v>
      </c>
      <c r="I231" s="47">
        <f t="shared" si="71"/>
        <v>0</v>
      </c>
      <c r="J231" s="47">
        <f t="shared" si="71"/>
        <v>321</v>
      </c>
      <c r="K231" s="188" t="s">
        <v>12</v>
      </c>
      <c r="L231" s="130"/>
      <c r="M231" s="56"/>
    </row>
    <row r="232" spans="2:13" ht="13.5" customHeight="1" thickBot="1" x14ac:dyDescent="0.25">
      <c r="B232" s="47">
        <f>SUM(C232:D232)</f>
        <v>138</v>
      </c>
      <c r="C232" s="47">
        <f>I232+F232</f>
        <v>0</v>
      </c>
      <c r="D232" s="47">
        <f>J232+G232</f>
        <v>138</v>
      </c>
      <c r="E232" s="47">
        <f>SUM(F232:G232)</f>
        <v>2</v>
      </c>
      <c r="F232" s="47">
        <v>0</v>
      </c>
      <c r="G232" s="47">
        <v>2</v>
      </c>
      <c r="H232" s="47">
        <f>SUM(I232:J232)</f>
        <v>136</v>
      </c>
      <c r="I232" s="47">
        <v>0</v>
      </c>
      <c r="J232" s="47">
        <v>136</v>
      </c>
      <c r="K232" s="188" t="s">
        <v>233</v>
      </c>
      <c r="L232" s="129"/>
      <c r="M232" s="56"/>
    </row>
    <row r="233" spans="2:13" ht="13.5" customHeight="1" thickBot="1" x14ac:dyDescent="0.25">
      <c r="B233" s="47">
        <f>SUM(C233:D233)</f>
        <v>0</v>
      </c>
      <c r="C233" s="47">
        <f>I233+F233</f>
        <v>0</v>
      </c>
      <c r="D233" s="47">
        <f>J233+G233</f>
        <v>0</v>
      </c>
      <c r="E233" s="47">
        <f>SUM(F233:G233)</f>
        <v>0</v>
      </c>
      <c r="F233" s="47">
        <v>0</v>
      </c>
      <c r="G233" s="47">
        <v>0</v>
      </c>
      <c r="H233" s="47">
        <f>SUM(I233:J233)</f>
        <v>0</v>
      </c>
      <c r="I233" s="47">
        <v>0</v>
      </c>
      <c r="J233" s="47">
        <v>0</v>
      </c>
      <c r="K233" s="188" t="s">
        <v>234</v>
      </c>
      <c r="L233" s="129" t="s">
        <v>421</v>
      </c>
      <c r="M233" s="56"/>
    </row>
    <row r="234" spans="2:13" ht="13.5" customHeight="1" thickBot="1" x14ac:dyDescent="0.25">
      <c r="B234" s="47">
        <f t="shared" ref="B234:J234" si="72">SUM(B232:B233)</f>
        <v>138</v>
      </c>
      <c r="C234" s="47">
        <f t="shared" si="72"/>
        <v>0</v>
      </c>
      <c r="D234" s="47">
        <f t="shared" si="72"/>
        <v>138</v>
      </c>
      <c r="E234" s="47">
        <f t="shared" si="72"/>
        <v>2</v>
      </c>
      <c r="F234" s="47">
        <f t="shared" si="72"/>
        <v>0</v>
      </c>
      <c r="G234" s="47">
        <f t="shared" si="72"/>
        <v>2</v>
      </c>
      <c r="H234" s="47">
        <f t="shared" si="72"/>
        <v>136</v>
      </c>
      <c r="I234" s="47">
        <f t="shared" si="72"/>
        <v>0</v>
      </c>
      <c r="J234" s="47">
        <f t="shared" si="72"/>
        <v>136</v>
      </c>
      <c r="K234" s="188" t="s">
        <v>12</v>
      </c>
      <c r="L234" s="130"/>
      <c r="M234" s="56"/>
    </row>
    <row r="235" spans="2:13" ht="13.5" customHeight="1" thickBot="1" x14ac:dyDescent="0.25">
      <c r="B235" s="47">
        <f>SUM(C235:D235)</f>
        <v>298</v>
      </c>
      <c r="C235" s="47">
        <f>I235+F235</f>
        <v>0</v>
      </c>
      <c r="D235" s="47">
        <f>J235+G235</f>
        <v>298</v>
      </c>
      <c r="E235" s="47">
        <f>SUM(F235:G235)</f>
        <v>13</v>
      </c>
      <c r="F235" s="47">
        <v>0</v>
      </c>
      <c r="G235" s="47">
        <v>13</v>
      </c>
      <c r="H235" s="47">
        <f>SUM(I235:J235)</f>
        <v>285</v>
      </c>
      <c r="I235" s="47">
        <v>0</v>
      </c>
      <c r="J235" s="47">
        <v>285</v>
      </c>
      <c r="K235" s="188" t="s">
        <v>233</v>
      </c>
      <c r="L235" s="129"/>
      <c r="M235" s="56"/>
    </row>
    <row r="236" spans="2:13" ht="13.5" customHeight="1" thickBot="1" x14ac:dyDescent="0.25">
      <c r="B236" s="47">
        <f>SUM(C236:D236)</f>
        <v>0</v>
      </c>
      <c r="C236" s="47">
        <f>I236+F236</f>
        <v>0</v>
      </c>
      <c r="D236" s="47">
        <f>J236+G236</f>
        <v>0</v>
      </c>
      <c r="E236" s="47">
        <f>SUM(F236:G236)</f>
        <v>0</v>
      </c>
      <c r="F236" s="47">
        <v>0</v>
      </c>
      <c r="G236" s="47">
        <v>0</v>
      </c>
      <c r="H236" s="47">
        <f>SUM(I236:J236)</f>
        <v>0</v>
      </c>
      <c r="I236" s="47">
        <v>0</v>
      </c>
      <c r="J236" s="47">
        <v>0</v>
      </c>
      <c r="K236" s="188" t="s">
        <v>234</v>
      </c>
      <c r="L236" s="129" t="s">
        <v>422</v>
      </c>
      <c r="M236" s="56"/>
    </row>
    <row r="237" spans="2:13" ht="13.5" customHeight="1" thickBot="1" x14ac:dyDescent="0.25">
      <c r="B237" s="47">
        <f t="shared" ref="B237:J237" si="73">SUM(B235:B236)</f>
        <v>298</v>
      </c>
      <c r="C237" s="47">
        <f t="shared" si="73"/>
        <v>0</v>
      </c>
      <c r="D237" s="47">
        <f t="shared" si="73"/>
        <v>298</v>
      </c>
      <c r="E237" s="47">
        <f t="shared" si="73"/>
        <v>13</v>
      </c>
      <c r="F237" s="47">
        <f t="shared" si="73"/>
        <v>0</v>
      </c>
      <c r="G237" s="47">
        <f t="shared" si="73"/>
        <v>13</v>
      </c>
      <c r="H237" s="47">
        <f t="shared" si="73"/>
        <v>285</v>
      </c>
      <c r="I237" s="47">
        <f t="shared" si="73"/>
        <v>0</v>
      </c>
      <c r="J237" s="47">
        <f t="shared" si="73"/>
        <v>285</v>
      </c>
      <c r="K237" s="188" t="s">
        <v>12</v>
      </c>
      <c r="L237" s="130"/>
      <c r="M237" s="56"/>
    </row>
    <row r="238" spans="2:13" ht="13.5" customHeight="1" thickBot="1" x14ac:dyDescent="0.25">
      <c r="B238" s="47">
        <f>SUM(C238:D238)</f>
        <v>179</v>
      </c>
      <c r="C238" s="47">
        <f>I238+F238</f>
        <v>0</v>
      </c>
      <c r="D238" s="47">
        <f>J238+G238</f>
        <v>179</v>
      </c>
      <c r="E238" s="47">
        <f>SUM(F238:G238)</f>
        <v>46</v>
      </c>
      <c r="F238" s="47">
        <v>0</v>
      </c>
      <c r="G238" s="47">
        <v>46</v>
      </c>
      <c r="H238" s="47">
        <f>SUM(I238:J238)</f>
        <v>133</v>
      </c>
      <c r="I238" s="47">
        <v>0</v>
      </c>
      <c r="J238" s="47">
        <v>133</v>
      </c>
      <c r="K238" s="188" t="s">
        <v>233</v>
      </c>
      <c r="L238" s="129"/>
      <c r="M238" s="56"/>
    </row>
    <row r="239" spans="2:13" ht="13.5" customHeight="1" thickBot="1" x14ac:dyDescent="0.25">
      <c r="B239" s="47">
        <f>SUM(C239:D239)</f>
        <v>0</v>
      </c>
      <c r="C239" s="47">
        <f>I239+F239</f>
        <v>0</v>
      </c>
      <c r="D239" s="47">
        <f>J239+G239</f>
        <v>0</v>
      </c>
      <c r="E239" s="47">
        <f>SUM(F239:G239)</f>
        <v>0</v>
      </c>
      <c r="F239" s="47">
        <v>0</v>
      </c>
      <c r="G239" s="47">
        <v>0</v>
      </c>
      <c r="H239" s="47">
        <f>SUM(I239:J239)</f>
        <v>0</v>
      </c>
      <c r="I239" s="47">
        <v>0</v>
      </c>
      <c r="J239" s="47">
        <v>0</v>
      </c>
      <c r="K239" s="188" t="s">
        <v>234</v>
      </c>
      <c r="L239" s="129" t="s">
        <v>423</v>
      </c>
      <c r="M239" s="56"/>
    </row>
    <row r="240" spans="2:13" ht="13.5" customHeight="1" thickBot="1" x14ac:dyDescent="0.25">
      <c r="B240" s="47">
        <f t="shared" ref="B240:J240" si="74">SUM(B238:B239)</f>
        <v>179</v>
      </c>
      <c r="C240" s="47">
        <f t="shared" si="74"/>
        <v>0</v>
      </c>
      <c r="D240" s="47">
        <f t="shared" si="74"/>
        <v>179</v>
      </c>
      <c r="E240" s="47">
        <f t="shared" si="74"/>
        <v>46</v>
      </c>
      <c r="F240" s="47">
        <f t="shared" si="74"/>
        <v>0</v>
      </c>
      <c r="G240" s="47">
        <f t="shared" si="74"/>
        <v>46</v>
      </c>
      <c r="H240" s="47">
        <f t="shared" si="74"/>
        <v>133</v>
      </c>
      <c r="I240" s="47">
        <f t="shared" si="74"/>
        <v>0</v>
      </c>
      <c r="J240" s="47">
        <f t="shared" si="74"/>
        <v>133</v>
      </c>
      <c r="K240" s="188" t="s">
        <v>12</v>
      </c>
      <c r="L240" s="130"/>
      <c r="M240" s="56"/>
    </row>
    <row r="241" spans="2:13" ht="13.5" customHeight="1" thickBot="1" x14ac:dyDescent="0.25">
      <c r="B241" s="47">
        <f>SUM(C241:D241)</f>
        <v>15</v>
      </c>
      <c r="C241" s="47">
        <f>I241+F241</f>
        <v>0</v>
      </c>
      <c r="D241" s="47">
        <f>J241+G241</f>
        <v>15</v>
      </c>
      <c r="E241" s="47">
        <f>SUM(F241:G241)</f>
        <v>2</v>
      </c>
      <c r="F241" s="47">
        <v>0</v>
      </c>
      <c r="G241" s="47">
        <v>2</v>
      </c>
      <c r="H241" s="47">
        <f>SUM(I241:J241)</f>
        <v>13</v>
      </c>
      <c r="I241" s="47">
        <v>0</v>
      </c>
      <c r="J241" s="47">
        <v>13</v>
      </c>
      <c r="K241" s="188" t="s">
        <v>233</v>
      </c>
      <c r="L241" s="129"/>
      <c r="M241" s="56"/>
    </row>
    <row r="242" spans="2:13" ht="13.5" customHeight="1" thickBot="1" x14ac:dyDescent="0.25">
      <c r="B242" s="47">
        <f>SUM(C242:D242)</f>
        <v>0</v>
      </c>
      <c r="C242" s="47">
        <f>I242+F242</f>
        <v>0</v>
      </c>
      <c r="D242" s="47">
        <f>J242+G242</f>
        <v>0</v>
      </c>
      <c r="E242" s="47">
        <f>SUM(F242:G242)</f>
        <v>0</v>
      </c>
      <c r="F242" s="47">
        <v>0</v>
      </c>
      <c r="G242" s="47">
        <v>0</v>
      </c>
      <c r="H242" s="47">
        <f>SUM(I242:J242)</f>
        <v>0</v>
      </c>
      <c r="I242" s="47">
        <v>0</v>
      </c>
      <c r="J242" s="47">
        <v>0</v>
      </c>
      <c r="K242" s="188" t="s">
        <v>234</v>
      </c>
      <c r="L242" s="129" t="s">
        <v>367</v>
      </c>
      <c r="M242" s="56"/>
    </row>
    <row r="243" spans="2:13" ht="13.5" customHeight="1" thickBot="1" x14ac:dyDescent="0.25">
      <c r="B243" s="47">
        <f t="shared" ref="B243:J243" si="75">SUM(B241:B242)</f>
        <v>15</v>
      </c>
      <c r="C243" s="47">
        <f t="shared" si="75"/>
        <v>0</v>
      </c>
      <c r="D243" s="47">
        <f t="shared" si="75"/>
        <v>15</v>
      </c>
      <c r="E243" s="47">
        <f t="shared" si="75"/>
        <v>2</v>
      </c>
      <c r="F243" s="47">
        <f t="shared" si="75"/>
        <v>0</v>
      </c>
      <c r="G243" s="47">
        <f t="shared" si="75"/>
        <v>2</v>
      </c>
      <c r="H243" s="47">
        <f t="shared" si="75"/>
        <v>13</v>
      </c>
      <c r="I243" s="47">
        <f t="shared" si="75"/>
        <v>0</v>
      </c>
      <c r="J243" s="47">
        <f t="shared" si="75"/>
        <v>13</v>
      </c>
      <c r="K243" s="188" t="s">
        <v>12</v>
      </c>
      <c r="L243" s="130"/>
      <c r="M243" s="56"/>
    </row>
    <row r="244" spans="2:13" ht="13.5" customHeight="1" thickBot="1" x14ac:dyDescent="0.25">
      <c r="B244" s="47">
        <f>SUM(C244:D244)</f>
        <v>25</v>
      </c>
      <c r="C244" s="47">
        <f>I244+F244</f>
        <v>0</v>
      </c>
      <c r="D244" s="47">
        <f>J244+G244</f>
        <v>25</v>
      </c>
      <c r="E244" s="47">
        <f>SUM(F244:G244)</f>
        <v>7</v>
      </c>
      <c r="F244" s="47">
        <v>0</v>
      </c>
      <c r="G244" s="47">
        <v>7</v>
      </c>
      <c r="H244" s="47">
        <f>SUM(I244:J244)</f>
        <v>18</v>
      </c>
      <c r="I244" s="47">
        <v>0</v>
      </c>
      <c r="J244" s="47">
        <v>18</v>
      </c>
      <c r="K244" s="188" t="s">
        <v>233</v>
      </c>
      <c r="L244" s="129"/>
      <c r="M244" s="56"/>
    </row>
    <row r="245" spans="2:13" ht="13.5" customHeight="1" thickBot="1" x14ac:dyDescent="0.25">
      <c r="B245" s="47">
        <f>SUM(C245:D245)</f>
        <v>0</v>
      </c>
      <c r="C245" s="47">
        <f>I245+F245</f>
        <v>0</v>
      </c>
      <c r="D245" s="47">
        <f>J245+G245</f>
        <v>0</v>
      </c>
      <c r="E245" s="47">
        <f>SUM(F245:G245)</f>
        <v>0</v>
      </c>
      <c r="F245" s="47">
        <v>0</v>
      </c>
      <c r="G245" s="47">
        <v>0</v>
      </c>
      <c r="H245" s="47">
        <f>SUM(I245:J245)</f>
        <v>0</v>
      </c>
      <c r="I245" s="47">
        <v>0</v>
      </c>
      <c r="J245" s="47">
        <v>0</v>
      </c>
      <c r="K245" s="188" t="s">
        <v>234</v>
      </c>
      <c r="L245" s="129" t="s">
        <v>405</v>
      </c>
      <c r="M245" s="56"/>
    </row>
    <row r="246" spans="2:13" ht="13.5" customHeight="1" thickBot="1" x14ac:dyDescent="0.25">
      <c r="B246" s="47">
        <f t="shared" ref="B246:J246" si="76">SUM(B244:B245)</f>
        <v>25</v>
      </c>
      <c r="C246" s="47">
        <f t="shared" si="76"/>
        <v>0</v>
      </c>
      <c r="D246" s="47">
        <f t="shared" si="76"/>
        <v>25</v>
      </c>
      <c r="E246" s="47">
        <f t="shared" si="76"/>
        <v>7</v>
      </c>
      <c r="F246" s="47">
        <f t="shared" si="76"/>
        <v>0</v>
      </c>
      <c r="G246" s="47">
        <f t="shared" si="76"/>
        <v>7</v>
      </c>
      <c r="H246" s="47">
        <f t="shared" si="76"/>
        <v>18</v>
      </c>
      <c r="I246" s="47">
        <f t="shared" si="76"/>
        <v>0</v>
      </c>
      <c r="J246" s="47">
        <f t="shared" si="76"/>
        <v>18</v>
      </c>
      <c r="K246" s="188" t="s">
        <v>12</v>
      </c>
      <c r="L246" s="130"/>
      <c r="M246" s="56"/>
    </row>
    <row r="247" spans="2:13" ht="13.5" customHeight="1" thickBot="1" x14ac:dyDescent="0.25">
      <c r="B247" s="47">
        <f t="shared" ref="B247:J249" si="77">B229+B232+B235+B238+B241+B244</f>
        <v>981</v>
      </c>
      <c r="C247" s="47">
        <f t="shared" si="77"/>
        <v>0</v>
      </c>
      <c r="D247" s="47">
        <f t="shared" si="77"/>
        <v>981</v>
      </c>
      <c r="E247" s="47">
        <f t="shared" si="77"/>
        <v>75</v>
      </c>
      <c r="F247" s="47">
        <f t="shared" si="77"/>
        <v>0</v>
      </c>
      <c r="G247" s="47">
        <f t="shared" si="77"/>
        <v>75</v>
      </c>
      <c r="H247" s="47">
        <f t="shared" si="77"/>
        <v>906</v>
      </c>
      <c r="I247" s="47">
        <f t="shared" si="77"/>
        <v>0</v>
      </c>
      <c r="J247" s="47">
        <f t="shared" si="77"/>
        <v>906</v>
      </c>
      <c r="K247" s="188" t="s">
        <v>236</v>
      </c>
      <c r="L247" s="131"/>
      <c r="M247" s="56"/>
    </row>
    <row r="248" spans="2:13" ht="13.5" customHeight="1" thickBot="1" x14ac:dyDescent="0.25">
      <c r="B248" s="47">
        <f t="shared" si="77"/>
        <v>0</v>
      </c>
      <c r="C248" s="47">
        <f t="shared" si="77"/>
        <v>0</v>
      </c>
      <c r="D248" s="47">
        <f t="shared" si="77"/>
        <v>0</v>
      </c>
      <c r="E248" s="47">
        <f t="shared" si="77"/>
        <v>0</v>
      </c>
      <c r="F248" s="47">
        <f t="shared" si="77"/>
        <v>0</v>
      </c>
      <c r="G248" s="47">
        <f t="shared" si="77"/>
        <v>0</v>
      </c>
      <c r="H248" s="47">
        <f t="shared" si="77"/>
        <v>0</v>
      </c>
      <c r="I248" s="47">
        <f t="shared" si="77"/>
        <v>0</v>
      </c>
      <c r="J248" s="47">
        <f t="shared" si="77"/>
        <v>0</v>
      </c>
      <c r="K248" s="188" t="s">
        <v>237</v>
      </c>
      <c r="L248" s="132" t="s">
        <v>188</v>
      </c>
      <c r="M248" s="56"/>
    </row>
    <row r="249" spans="2:13" ht="13.5" customHeight="1" thickBot="1" x14ac:dyDescent="0.25">
      <c r="B249" s="47">
        <f t="shared" si="77"/>
        <v>981</v>
      </c>
      <c r="C249" s="47">
        <f t="shared" si="77"/>
        <v>0</v>
      </c>
      <c r="D249" s="47">
        <f t="shared" si="77"/>
        <v>981</v>
      </c>
      <c r="E249" s="47">
        <f t="shared" si="77"/>
        <v>75</v>
      </c>
      <c r="F249" s="47">
        <f t="shared" si="77"/>
        <v>0</v>
      </c>
      <c r="G249" s="47">
        <f t="shared" si="77"/>
        <v>75</v>
      </c>
      <c r="H249" s="47">
        <f t="shared" si="77"/>
        <v>906</v>
      </c>
      <c r="I249" s="47">
        <f t="shared" si="77"/>
        <v>0</v>
      </c>
      <c r="J249" s="47">
        <f t="shared" si="77"/>
        <v>906</v>
      </c>
      <c r="K249" s="188" t="s">
        <v>12</v>
      </c>
      <c r="L249" s="133"/>
      <c r="M249" s="56"/>
    </row>
    <row r="250" spans="2:13" ht="13.5" customHeight="1" thickBot="1" x14ac:dyDescent="0.25">
      <c r="B250" s="476" t="s">
        <v>4</v>
      </c>
      <c r="C250" s="476"/>
      <c r="D250" s="476"/>
      <c r="E250" s="476" t="s">
        <v>145</v>
      </c>
      <c r="F250" s="476"/>
      <c r="G250" s="476"/>
      <c r="H250" s="476" t="s">
        <v>146</v>
      </c>
      <c r="I250" s="476"/>
      <c r="J250" s="476"/>
      <c r="K250" s="479" t="s">
        <v>66</v>
      </c>
      <c r="L250" s="479"/>
      <c r="M250" s="56"/>
    </row>
    <row r="251" spans="2:13" ht="13.5" customHeight="1" thickBot="1" x14ac:dyDescent="0.25">
      <c r="B251" s="185" t="s">
        <v>227</v>
      </c>
      <c r="C251" s="185" t="s">
        <v>10</v>
      </c>
      <c r="D251" s="185" t="s">
        <v>9</v>
      </c>
      <c r="E251" s="185" t="s">
        <v>227</v>
      </c>
      <c r="F251" s="185" t="s">
        <v>10</v>
      </c>
      <c r="G251" s="185" t="s">
        <v>9</v>
      </c>
      <c r="H251" s="185" t="s">
        <v>227</v>
      </c>
      <c r="I251" s="185" t="s">
        <v>10</v>
      </c>
      <c r="J251" s="185" t="s">
        <v>9</v>
      </c>
      <c r="K251" s="480" t="s">
        <v>74</v>
      </c>
      <c r="L251" s="480"/>
      <c r="M251" s="56"/>
    </row>
    <row r="252" spans="2:13" ht="13.5" customHeight="1" thickBot="1" x14ac:dyDescent="0.25">
      <c r="B252" s="185">
        <f>SUM(C252:D252)</f>
        <v>292</v>
      </c>
      <c r="C252" s="185">
        <f>I252+F252</f>
        <v>0</v>
      </c>
      <c r="D252" s="185">
        <f>J252+G252</f>
        <v>292</v>
      </c>
      <c r="E252" s="185">
        <f>SUM(F252:G252)</f>
        <v>0</v>
      </c>
      <c r="F252" s="185">
        <v>0</v>
      </c>
      <c r="G252" s="185">
        <v>0</v>
      </c>
      <c r="H252" s="185">
        <f>SUM(I252:J252)</f>
        <v>292</v>
      </c>
      <c r="I252" s="185">
        <v>0</v>
      </c>
      <c r="J252" s="185">
        <v>292</v>
      </c>
      <c r="K252" s="188" t="s">
        <v>233</v>
      </c>
      <c r="L252" s="129"/>
      <c r="M252" s="56"/>
    </row>
    <row r="253" spans="2:13" ht="13.5" customHeight="1" thickBot="1" x14ac:dyDescent="0.25">
      <c r="B253" s="185">
        <f>SUM(C253:D253)</f>
        <v>0</v>
      </c>
      <c r="C253" s="185">
        <f>I253+F253</f>
        <v>0</v>
      </c>
      <c r="D253" s="185">
        <f>J253+G253</f>
        <v>0</v>
      </c>
      <c r="E253" s="185">
        <f>SUM(F253:G253)</f>
        <v>0</v>
      </c>
      <c r="F253" s="185">
        <v>0</v>
      </c>
      <c r="G253" s="185">
        <v>0</v>
      </c>
      <c r="H253" s="185">
        <f>SUM(I253:J253)</f>
        <v>0</v>
      </c>
      <c r="I253" s="185">
        <v>0</v>
      </c>
      <c r="J253" s="185">
        <v>0</v>
      </c>
      <c r="K253" s="188" t="s">
        <v>234</v>
      </c>
      <c r="L253" s="129" t="s">
        <v>649</v>
      </c>
      <c r="M253" s="56"/>
    </row>
    <row r="254" spans="2:13" ht="13.5" customHeight="1" thickBot="1" x14ac:dyDescent="0.25">
      <c r="B254" s="185">
        <f t="shared" ref="B254:J254" si="78">SUM(B252:B253)</f>
        <v>292</v>
      </c>
      <c r="C254" s="185">
        <f t="shared" si="78"/>
        <v>0</v>
      </c>
      <c r="D254" s="185">
        <f t="shared" si="78"/>
        <v>292</v>
      </c>
      <c r="E254" s="185">
        <f t="shared" si="78"/>
        <v>0</v>
      </c>
      <c r="F254" s="185">
        <f t="shared" si="78"/>
        <v>0</v>
      </c>
      <c r="G254" s="185">
        <f t="shared" si="78"/>
        <v>0</v>
      </c>
      <c r="H254" s="185">
        <f t="shared" si="78"/>
        <v>292</v>
      </c>
      <c r="I254" s="185">
        <f t="shared" si="78"/>
        <v>0</v>
      </c>
      <c r="J254" s="185">
        <f t="shared" si="78"/>
        <v>292</v>
      </c>
      <c r="K254" s="188" t="s">
        <v>12</v>
      </c>
      <c r="L254" s="130"/>
      <c r="M254" s="56"/>
    </row>
    <row r="255" spans="2:13" ht="13.5" customHeight="1" thickBot="1" x14ac:dyDescent="0.25">
      <c r="B255" s="185">
        <f>SUM(C255:D255)</f>
        <v>58</v>
      </c>
      <c r="C255" s="185">
        <f>I255+F255</f>
        <v>0</v>
      </c>
      <c r="D255" s="185">
        <f>J255+G255</f>
        <v>58</v>
      </c>
      <c r="E255" s="185">
        <f>SUM(F255:G255)</f>
        <v>6</v>
      </c>
      <c r="F255" s="185">
        <v>0</v>
      </c>
      <c r="G255" s="185">
        <v>6</v>
      </c>
      <c r="H255" s="185">
        <f>SUM(I255:J255)</f>
        <v>52</v>
      </c>
      <c r="I255" s="185">
        <v>0</v>
      </c>
      <c r="J255" s="185">
        <v>52</v>
      </c>
      <c r="K255" s="188" t="s">
        <v>233</v>
      </c>
      <c r="L255" s="129"/>
      <c r="M255" s="56"/>
    </row>
    <row r="256" spans="2:13" ht="13.5" customHeight="1" thickBot="1" x14ac:dyDescent="0.25">
      <c r="B256" s="185">
        <f>SUM(C256:D256)</f>
        <v>0</v>
      </c>
      <c r="C256" s="185">
        <f>I256+F256</f>
        <v>0</v>
      </c>
      <c r="D256" s="185">
        <f>J256+G256</f>
        <v>0</v>
      </c>
      <c r="E256" s="185">
        <f>SUM(F256:G256)</f>
        <v>0</v>
      </c>
      <c r="F256" s="185">
        <v>0</v>
      </c>
      <c r="G256" s="185">
        <v>0</v>
      </c>
      <c r="H256" s="185">
        <f>SUM(I256:J256)</f>
        <v>0</v>
      </c>
      <c r="I256" s="185">
        <v>0</v>
      </c>
      <c r="J256" s="185">
        <v>0</v>
      </c>
      <c r="K256" s="188" t="s">
        <v>234</v>
      </c>
      <c r="L256" s="129" t="s">
        <v>426</v>
      </c>
      <c r="M256" s="56"/>
    </row>
    <row r="257" spans="2:13" ht="13.5" customHeight="1" thickBot="1" x14ac:dyDescent="0.25">
      <c r="B257" s="185">
        <f t="shared" ref="B257:J257" si="79">SUM(B255:B256)</f>
        <v>58</v>
      </c>
      <c r="C257" s="185">
        <f t="shared" si="79"/>
        <v>0</v>
      </c>
      <c r="D257" s="185">
        <f t="shared" si="79"/>
        <v>58</v>
      </c>
      <c r="E257" s="185">
        <f t="shared" si="79"/>
        <v>6</v>
      </c>
      <c r="F257" s="185">
        <f t="shared" si="79"/>
        <v>0</v>
      </c>
      <c r="G257" s="185">
        <f t="shared" si="79"/>
        <v>6</v>
      </c>
      <c r="H257" s="185">
        <f t="shared" si="79"/>
        <v>52</v>
      </c>
      <c r="I257" s="185">
        <f t="shared" si="79"/>
        <v>0</v>
      </c>
      <c r="J257" s="185">
        <f t="shared" si="79"/>
        <v>52</v>
      </c>
      <c r="K257" s="188" t="s">
        <v>12</v>
      </c>
      <c r="L257" s="130"/>
      <c r="M257" s="56"/>
    </row>
    <row r="258" spans="2:13" ht="13.5" customHeight="1" thickBot="1" x14ac:dyDescent="0.25">
      <c r="B258" s="185">
        <f>SUM(C258:D258)</f>
        <v>413</v>
      </c>
      <c r="C258" s="185">
        <f>I258+F258</f>
        <v>305</v>
      </c>
      <c r="D258" s="185">
        <f>J258+G258</f>
        <v>108</v>
      </c>
      <c r="E258" s="185">
        <f>SUM(F258:G258)</f>
        <v>8</v>
      </c>
      <c r="F258" s="185">
        <v>7</v>
      </c>
      <c r="G258" s="185">
        <v>1</v>
      </c>
      <c r="H258" s="185">
        <f>SUM(I258:J258)</f>
        <v>405</v>
      </c>
      <c r="I258" s="185">
        <f>198+100</f>
        <v>298</v>
      </c>
      <c r="J258" s="185">
        <v>107</v>
      </c>
      <c r="K258" s="188" t="s">
        <v>233</v>
      </c>
      <c r="L258" s="129"/>
      <c r="M258" s="56"/>
    </row>
    <row r="259" spans="2:13" ht="13.5" customHeight="1" thickBot="1" x14ac:dyDescent="0.25">
      <c r="B259" s="185">
        <f>SUM(C259:D259)</f>
        <v>0</v>
      </c>
      <c r="C259" s="185">
        <f>I259+F259</f>
        <v>0</v>
      </c>
      <c r="D259" s="185">
        <f>J259+G259</f>
        <v>0</v>
      </c>
      <c r="E259" s="185">
        <f>SUM(F259:G259)</f>
        <v>0</v>
      </c>
      <c r="F259" s="185">
        <v>0</v>
      </c>
      <c r="G259" s="185">
        <v>0</v>
      </c>
      <c r="H259" s="185">
        <f>SUM(I259:J259)</f>
        <v>0</v>
      </c>
      <c r="I259" s="185">
        <v>0</v>
      </c>
      <c r="J259" s="185">
        <v>0</v>
      </c>
      <c r="K259" s="188" t="s">
        <v>234</v>
      </c>
      <c r="L259" s="129" t="s">
        <v>427</v>
      </c>
      <c r="M259" s="56"/>
    </row>
    <row r="260" spans="2:13" ht="13.5" customHeight="1" thickBot="1" x14ac:dyDescent="0.25">
      <c r="B260" s="185">
        <f t="shared" ref="B260:J260" si="80">SUM(B258:B259)</f>
        <v>413</v>
      </c>
      <c r="C260" s="185">
        <f t="shared" si="80"/>
        <v>305</v>
      </c>
      <c r="D260" s="185">
        <f t="shared" si="80"/>
        <v>108</v>
      </c>
      <c r="E260" s="185">
        <f t="shared" si="80"/>
        <v>8</v>
      </c>
      <c r="F260" s="185">
        <f t="shared" si="80"/>
        <v>7</v>
      </c>
      <c r="G260" s="185">
        <f t="shared" si="80"/>
        <v>1</v>
      </c>
      <c r="H260" s="185">
        <f t="shared" si="80"/>
        <v>405</v>
      </c>
      <c r="I260" s="185">
        <f t="shared" si="80"/>
        <v>298</v>
      </c>
      <c r="J260" s="185">
        <f t="shared" si="80"/>
        <v>107</v>
      </c>
      <c r="K260" s="188" t="s">
        <v>12</v>
      </c>
      <c r="L260" s="130"/>
      <c r="M260" s="56"/>
    </row>
    <row r="261" spans="2:13" ht="13.5" customHeight="1" thickBot="1" x14ac:dyDescent="0.25">
      <c r="B261" s="185">
        <f>SUM(C261:D261)</f>
        <v>241</v>
      </c>
      <c r="C261" s="185">
        <f>I261+F261</f>
        <v>0</v>
      </c>
      <c r="D261" s="185">
        <f>J261+G261</f>
        <v>241</v>
      </c>
      <c r="E261" s="185">
        <f>SUM(F261:G261)</f>
        <v>4</v>
      </c>
      <c r="F261" s="185">
        <v>0</v>
      </c>
      <c r="G261" s="185">
        <v>4</v>
      </c>
      <c r="H261" s="185">
        <f>SUM(I261:J261)</f>
        <v>237</v>
      </c>
      <c r="I261" s="185">
        <v>0</v>
      </c>
      <c r="J261" s="185">
        <v>237</v>
      </c>
      <c r="K261" s="188" t="s">
        <v>233</v>
      </c>
      <c r="L261" s="129"/>
      <c r="M261" s="56"/>
    </row>
    <row r="262" spans="2:13" ht="13.5" customHeight="1" thickBot="1" x14ac:dyDescent="0.25">
      <c r="B262" s="185">
        <f>SUM(C262:D262)</f>
        <v>0</v>
      </c>
      <c r="C262" s="185">
        <f>I262+F262</f>
        <v>0</v>
      </c>
      <c r="D262" s="185">
        <f>J262+G262</f>
        <v>0</v>
      </c>
      <c r="E262" s="185">
        <f>SUM(F262:G262)</f>
        <v>0</v>
      </c>
      <c r="F262" s="185">
        <v>0</v>
      </c>
      <c r="G262" s="185">
        <v>0</v>
      </c>
      <c r="H262" s="185">
        <f>SUM(I262:J262)</f>
        <v>0</v>
      </c>
      <c r="I262" s="185">
        <v>0</v>
      </c>
      <c r="J262" s="185">
        <v>0</v>
      </c>
      <c r="K262" s="188" t="s">
        <v>234</v>
      </c>
      <c r="L262" s="129" t="s">
        <v>428</v>
      </c>
      <c r="M262" s="56"/>
    </row>
    <row r="263" spans="2:13" ht="13.5" customHeight="1" thickBot="1" x14ac:dyDescent="0.25">
      <c r="B263" s="185">
        <f t="shared" ref="B263:J263" si="81">SUM(B261:B262)</f>
        <v>241</v>
      </c>
      <c r="C263" s="185">
        <f t="shared" si="81"/>
        <v>0</v>
      </c>
      <c r="D263" s="185">
        <f t="shared" si="81"/>
        <v>241</v>
      </c>
      <c r="E263" s="185">
        <f t="shared" si="81"/>
        <v>4</v>
      </c>
      <c r="F263" s="185">
        <f t="shared" si="81"/>
        <v>0</v>
      </c>
      <c r="G263" s="185">
        <f t="shared" si="81"/>
        <v>4</v>
      </c>
      <c r="H263" s="185">
        <f t="shared" si="81"/>
        <v>237</v>
      </c>
      <c r="I263" s="185">
        <f t="shared" si="81"/>
        <v>0</v>
      </c>
      <c r="J263" s="185">
        <f t="shared" si="81"/>
        <v>237</v>
      </c>
      <c r="K263" s="188" t="s">
        <v>12</v>
      </c>
      <c r="L263" s="130"/>
      <c r="M263" s="56"/>
    </row>
    <row r="264" spans="2:13" ht="13.5" customHeight="1" thickBot="1" x14ac:dyDescent="0.25">
      <c r="B264" s="185">
        <f>SUM(C264:D264)</f>
        <v>700</v>
      </c>
      <c r="C264" s="185">
        <f>I264+F264</f>
        <v>491</v>
      </c>
      <c r="D264" s="185">
        <f>J264+G264</f>
        <v>209</v>
      </c>
      <c r="E264" s="185">
        <f>SUM(F264:G264)</f>
        <v>7</v>
      </c>
      <c r="F264" s="185">
        <v>7</v>
      </c>
      <c r="G264" s="185">
        <v>0</v>
      </c>
      <c r="H264" s="185">
        <f>SUM(I264:J264)</f>
        <v>693</v>
      </c>
      <c r="I264" s="185">
        <f>284+200</f>
        <v>484</v>
      </c>
      <c r="J264" s="185">
        <v>209</v>
      </c>
      <c r="K264" s="188" t="s">
        <v>233</v>
      </c>
      <c r="L264" s="129"/>
      <c r="M264" s="56"/>
    </row>
    <row r="265" spans="2:13" ht="13.5" customHeight="1" thickBot="1" x14ac:dyDescent="0.25">
      <c r="B265" s="185">
        <f>SUM(C265:D265)</f>
        <v>0</v>
      </c>
      <c r="C265" s="185">
        <f>I265+F265</f>
        <v>0</v>
      </c>
      <c r="D265" s="185">
        <f>J265+G265</f>
        <v>0</v>
      </c>
      <c r="E265" s="185">
        <f>SUM(F265:G265)</f>
        <v>0</v>
      </c>
      <c r="F265" s="185">
        <v>0</v>
      </c>
      <c r="G265" s="185">
        <v>0</v>
      </c>
      <c r="H265" s="185">
        <f>SUM(I265:J265)</f>
        <v>0</v>
      </c>
      <c r="I265" s="185">
        <v>0</v>
      </c>
      <c r="J265" s="185">
        <v>0</v>
      </c>
      <c r="K265" s="188" t="s">
        <v>234</v>
      </c>
      <c r="L265" s="129" t="s">
        <v>429</v>
      </c>
      <c r="M265" s="56"/>
    </row>
    <row r="266" spans="2:13" ht="13.5" customHeight="1" thickBot="1" x14ac:dyDescent="0.25">
      <c r="B266" s="185">
        <f t="shared" ref="B266:J266" si="82">SUM(B264:B265)</f>
        <v>700</v>
      </c>
      <c r="C266" s="185">
        <f t="shared" si="82"/>
        <v>491</v>
      </c>
      <c r="D266" s="185">
        <f t="shared" si="82"/>
        <v>209</v>
      </c>
      <c r="E266" s="185">
        <f t="shared" si="82"/>
        <v>7</v>
      </c>
      <c r="F266" s="185">
        <f t="shared" si="82"/>
        <v>7</v>
      </c>
      <c r="G266" s="185">
        <f t="shared" si="82"/>
        <v>0</v>
      </c>
      <c r="H266" s="185">
        <f t="shared" si="82"/>
        <v>693</v>
      </c>
      <c r="I266" s="185">
        <f t="shared" si="82"/>
        <v>484</v>
      </c>
      <c r="J266" s="185">
        <f t="shared" si="82"/>
        <v>209</v>
      </c>
      <c r="K266" s="188" t="s">
        <v>12</v>
      </c>
      <c r="L266" s="130"/>
      <c r="M266" s="56"/>
    </row>
    <row r="267" spans="2:13" ht="13.5" customHeight="1" thickBot="1" x14ac:dyDescent="0.25">
      <c r="B267" s="185">
        <f>SUM(C267:D267)</f>
        <v>503</v>
      </c>
      <c r="C267" s="185">
        <f>I267+F267</f>
        <v>210</v>
      </c>
      <c r="D267" s="185">
        <f>J267+G267</f>
        <v>293</v>
      </c>
      <c r="E267" s="185">
        <f>SUM(F267:G267)</f>
        <v>12</v>
      </c>
      <c r="F267" s="185">
        <v>7</v>
      </c>
      <c r="G267" s="185">
        <v>5</v>
      </c>
      <c r="H267" s="185">
        <f>SUM(I267:J267)</f>
        <v>491</v>
      </c>
      <c r="I267" s="185">
        <f>103+100</f>
        <v>203</v>
      </c>
      <c r="J267" s="185">
        <v>288</v>
      </c>
      <c r="K267" s="188" t="s">
        <v>233</v>
      </c>
      <c r="L267" s="129"/>
      <c r="M267" s="56"/>
    </row>
    <row r="268" spans="2:13" ht="13.5" customHeight="1" thickBot="1" x14ac:dyDescent="0.25">
      <c r="B268" s="185">
        <f>SUM(C268:D268)</f>
        <v>0</v>
      </c>
      <c r="C268" s="185">
        <f>I268+F268</f>
        <v>0</v>
      </c>
      <c r="D268" s="185">
        <f>J268+G268</f>
        <v>0</v>
      </c>
      <c r="E268" s="185">
        <f>SUM(F268:G268)</f>
        <v>0</v>
      </c>
      <c r="F268" s="185">
        <v>0</v>
      </c>
      <c r="G268" s="185">
        <v>0</v>
      </c>
      <c r="H268" s="185">
        <f>SUM(I268:J268)</f>
        <v>0</v>
      </c>
      <c r="I268" s="185">
        <v>0</v>
      </c>
      <c r="J268" s="185">
        <v>0</v>
      </c>
      <c r="K268" s="188" t="s">
        <v>234</v>
      </c>
      <c r="L268" s="129" t="s">
        <v>430</v>
      </c>
      <c r="M268" s="56"/>
    </row>
    <row r="269" spans="2:13" ht="13.5" customHeight="1" thickBot="1" x14ac:dyDescent="0.25">
      <c r="B269" s="185">
        <f t="shared" ref="B269:J269" si="83">SUM(B267:B268)</f>
        <v>503</v>
      </c>
      <c r="C269" s="185">
        <f t="shared" si="83"/>
        <v>210</v>
      </c>
      <c r="D269" s="185">
        <f t="shared" si="83"/>
        <v>293</v>
      </c>
      <c r="E269" s="185">
        <f t="shared" si="83"/>
        <v>12</v>
      </c>
      <c r="F269" s="185">
        <f t="shared" si="83"/>
        <v>7</v>
      </c>
      <c r="G269" s="185">
        <f t="shared" si="83"/>
        <v>5</v>
      </c>
      <c r="H269" s="185">
        <f t="shared" si="83"/>
        <v>491</v>
      </c>
      <c r="I269" s="185">
        <f t="shared" si="83"/>
        <v>203</v>
      </c>
      <c r="J269" s="185">
        <f t="shared" si="83"/>
        <v>288</v>
      </c>
      <c r="K269" s="188" t="s">
        <v>12</v>
      </c>
      <c r="L269" s="130"/>
      <c r="M269" s="56"/>
    </row>
    <row r="270" spans="2:13" ht="13.5" customHeight="1" thickBot="1" x14ac:dyDescent="0.25">
      <c r="B270" s="185">
        <f>SUM(C270:D270)</f>
        <v>353</v>
      </c>
      <c r="C270" s="185">
        <f>I270+F270</f>
        <v>246</v>
      </c>
      <c r="D270" s="185">
        <f>J270+G270</f>
        <v>107</v>
      </c>
      <c r="E270" s="185">
        <f>SUM(F270:G270)</f>
        <v>10</v>
      </c>
      <c r="F270" s="185">
        <v>9</v>
      </c>
      <c r="G270" s="185">
        <v>1</v>
      </c>
      <c r="H270" s="185">
        <f>SUM(I270:J270)</f>
        <v>343</v>
      </c>
      <c r="I270" s="185">
        <f>137+100</f>
        <v>237</v>
      </c>
      <c r="J270" s="185">
        <v>106</v>
      </c>
      <c r="K270" s="188" t="s">
        <v>233</v>
      </c>
      <c r="L270" s="129"/>
      <c r="M270" s="56"/>
    </row>
    <row r="271" spans="2:13" ht="13.5" customHeight="1" thickBot="1" x14ac:dyDescent="0.25">
      <c r="B271" s="185">
        <f>SUM(C271:D271)</f>
        <v>0</v>
      </c>
      <c r="C271" s="185">
        <f>I271+F271</f>
        <v>0</v>
      </c>
      <c r="D271" s="185">
        <f>J271+G271</f>
        <v>0</v>
      </c>
      <c r="E271" s="185">
        <f>SUM(F271:G271)</f>
        <v>0</v>
      </c>
      <c r="F271" s="185">
        <v>0</v>
      </c>
      <c r="G271" s="185">
        <v>0</v>
      </c>
      <c r="H271" s="185">
        <f>SUM(I271:J271)</f>
        <v>0</v>
      </c>
      <c r="I271" s="185">
        <v>0</v>
      </c>
      <c r="J271" s="185">
        <v>0</v>
      </c>
      <c r="K271" s="188" t="s">
        <v>234</v>
      </c>
      <c r="L271" s="129" t="s">
        <v>432</v>
      </c>
      <c r="M271" s="56"/>
    </row>
    <row r="272" spans="2:13" ht="13.5" customHeight="1" thickBot="1" x14ac:dyDescent="0.25">
      <c r="B272" s="185">
        <f t="shared" ref="B272:J272" si="84">SUM(B270:B271)</f>
        <v>353</v>
      </c>
      <c r="C272" s="185">
        <f t="shared" si="84"/>
        <v>246</v>
      </c>
      <c r="D272" s="185">
        <f t="shared" si="84"/>
        <v>107</v>
      </c>
      <c r="E272" s="185">
        <f t="shared" si="84"/>
        <v>10</v>
      </c>
      <c r="F272" s="185">
        <f t="shared" si="84"/>
        <v>9</v>
      </c>
      <c r="G272" s="185">
        <f t="shared" si="84"/>
        <v>1</v>
      </c>
      <c r="H272" s="185">
        <f t="shared" si="84"/>
        <v>343</v>
      </c>
      <c r="I272" s="185">
        <f t="shared" si="84"/>
        <v>237</v>
      </c>
      <c r="J272" s="185">
        <f t="shared" si="84"/>
        <v>106</v>
      </c>
      <c r="K272" s="188" t="s">
        <v>12</v>
      </c>
      <c r="L272" s="130"/>
      <c r="M272" s="56"/>
    </row>
    <row r="273" spans="2:13" ht="13.5" customHeight="1" thickBot="1" x14ac:dyDescent="0.25">
      <c r="B273" s="185">
        <f>SUM(C273:D273)</f>
        <v>155</v>
      </c>
      <c r="C273" s="185">
        <f>I273+F273</f>
        <v>57</v>
      </c>
      <c r="D273" s="185">
        <f>J273+G273</f>
        <v>98</v>
      </c>
      <c r="E273" s="185">
        <f>SUM(F273:G273)</f>
        <v>5</v>
      </c>
      <c r="F273" s="185">
        <v>2</v>
      </c>
      <c r="G273" s="185">
        <v>3</v>
      </c>
      <c r="H273" s="185">
        <f>SUM(I273:J273)</f>
        <v>150</v>
      </c>
      <c r="I273" s="185">
        <f>35+20</f>
        <v>55</v>
      </c>
      <c r="J273" s="185">
        <v>95</v>
      </c>
      <c r="K273" s="188" t="s">
        <v>233</v>
      </c>
      <c r="L273" s="129"/>
      <c r="M273" s="56"/>
    </row>
    <row r="274" spans="2:13" ht="13.5" customHeight="1" thickBot="1" x14ac:dyDescent="0.25">
      <c r="B274" s="185">
        <f>SUM(C274:D274)</f>
        <v>0</v>
      </c>
      <c r="C274" s="185">
        <f>I274+F274</f>
        <v>0</v>
      </c>
      <c r="D274" s="185">
        <f>J274+G274</f>
        <v>0</v>
      </c>
      <c r="E274" s="185">
        <f>SUM(F274:G274)</f>
        <v>0</v>
      </c>
      <c r="F274" s="185">
        <v>0</v>
      </c>
      <c r="G274" s="185">
        <v>0</v>
      </c>
      <c r="H274" s="185">
        <f>SUM(I274:J274)</f>
        <v>0</v>
      </c>
      <c r="I274" s="185">
        <v>0</v>
      </c>
      <c r="J274" s="185">
        <v>0</v>
      </c>
      <c r="K274" s="188" t="s">
        <v>234</v>
      </c>
      <c r="L274" s="129" t="s">
        <v>434</v>
      </c>
      <c r="M274" s="56"/>
    </row>
    <row r="275" spans="2:13" ht="13.5" customHeight="1" thickBot="1" x14ac:dyDescent="0.25">
      <c r="B275" s="185">
        <f t="shared" ref="B275:J275" si="85">SUM(B273:B274)</f>
        <v>155</v>
      </c>
      <c r="C275" s="185">
        <f t="shared" si="85"/>
        <v>57</v>
      </c>
      <c r="D275" s="185">
        <f t="shared" si="85"/>
        <v>98</v>
      </c>
      <c r="E275" s="185">
        <f t="shared" si="85"/>
        <v>5</v>
      </c>
      <c r="F275" s="185">
        <f t="shared" si="85"/>
        <v>2</v>
      </c>
      <c r="G275" s="185">
        <f t="shared" si="85"/>
        <v>3</v>
      </c>
      <c r="H275" s="185">
        <f t="shared" si="85"/>
        <v>150</v>
      </c>
      <c r="I275" s="185">
        <f t="shared" si="85"/>
        <v>55</v>
      </c>
      <c r="J275" s="185">
        <f t="shared" si="85"/>
        <v>95</v>
      </c>
      <c r="K275" s="188" t="s">
        <v>12</v>
      </c>
      <c r="L275" s="130"/>
      <c r="M275" s="56"/>
    </row>
    <row r="276" spans="2:13" ht="13.5" customHeight="1" thickBot="1" x14ac:dyDescent="0.25">
      <c r="B276" s="185">
        <f>SUM(C276:D276)</f>
        <v>180</v>
      </c>
      <c r="C276" s="185">
        <f>I276+F276</f>
        <v>73</v>
      </c>
      <c r="D276" s="185">
        <f>J276+G276</f>
        <v>107</v>
      </c>
      <c r="E276" s="185">
        <f>SUM(F276:G276)</f>
        <v>16</v>
      </c>
      <c r="F276" s="185">
        <v>13</v>
      </c>
      <c r="G276" s="185">
        <v>3</v>
      </c>
      <c r="H276" s="185">
        <f>SUM(I276:J276)</f>
        <v>164</v>
      </c>
      <c r="I276" s="185">
        <f>50+10</f>
        <v>60</v>
      </c>
      <c r="J276" s="185">
        <v>104</v>
      </c>
      <c r="K276" s="188" t="s">
        <v>233</v>
      </c>
      <c r="L276" s="129"/>
      <c r="M276" s="56"/>
    </row>
    <row r="277" spans="2:13" ht="13.5" customHeight="1" thickBot="1" x14ac:dyDescent="0.25">
      <c r="B277" s="185">
        <f>SUM(C277:D277)</f>
        <v>0</v>
      </c>
      <c r="C277" s="185">
        <f>I277+F277</f>
        <v>0</v>
      </c>
      <c r="D277" s="185">
        <f>J277+G277</f>
        <v>0</v>
      </c>
      <c r="E277" s="185">
        <f>SUM(F277:G277)</f>
        <v>0</v>
      </c>
      <c r="F277" s="185">
        <v>0</v>
      </c>
      <c r="G277" s="185">
        <v>0</v>
      </c>
      <c r="H277" s="185">
        <f>SUM(I277:J277)</f>
        <v>0</v>
      </c>
      <c r="I277" s="185">
        <v>0</v>
      </c>
      <c r="J277" s="185">
        <v>0</v>
      </c>
      <c r="K277" s="188" t="s">
        <v>234</v>
      </c>
      <c r="L277" s="129" t="s">
        <v>435</v>
      </c>
      <c r="M277" s="56"/>
    </row>
    <row r="278" spans="2:13" ht="13.5" customHeight="1" thickBot="1" x14ac:dyDescent="0.25">
      <c r="B278" s="185">
        <f t="shared" ref="B278:J278" si="86">SUM(B276:B277)</f>
        <v>180</v>
      </c>
      <c r="C278" s="185">
        <f t="shared" si="86"/>
        <v>73</v>
      </c>
      <c r="D278" s="185">
        <f t="shared" si="86"/>
        <v>107</v>
      </c>
      <c r="E278" s="185">
        <f t="shared" si="86"/>
        <v>16</v>
      </c>
      <c r="F278" s="185">
        <f t="shared" si="86"/>
        <v>13</v>
      </c>
      <c r="G278" s="185">
        <f t="shared" si="86"/>
        <v>3</v>
      </c>
      <c r="H278" s="185">
        <f t="shared" si="86"/>
        <v>164</v>
      </c>
      <c r="I278" s="185">
        <f t="shared" si="86"/>
        <v>60</v>
      </c>
      <c r="J278" s="185">
        <f t="shared" si="86"/>
        <v>104</v>
      </c>
      <c r="K278" s="188" t="s">
        <v>12</v>
      </c>
      <c r="L278" s="130"/>
      <c r="M278" s="56"/>
    </row>
    <row r="279" spans="2:13" ht="13.5" customHeight="1" thickBot="1" x14ac:dyDescent="0.25">
      <c r="B279" s="185">
        <f>SUM(C279:D279)</f>
        <v>134</v>
      </c>
      <c r="C279" s="185">
        <f>I279+F279</f>
        <v>79</v>
      </c>
      <c r="D279" s="185">
        <f>J279+G279</f>
        <v>55</v>
      </c>
      <c r="E279" s="185">
        <f>SUM(F279:G279)</f>
        <v>0</v>
      </c>
      <c r="F279" s="185">
        <v>0</v>
      </c>
      <c r="G279" s="185">
        <v>0</v>
      </c>
      <c r="H279" s="185">
        <f>SUM(I279:J279)</f>
        <v>134</v>
      </c>
      <c r="I279" s="185">
        <f>49+30</f>
        <v>79</v>
      </c>
      <c r="J279" s="185">
        <v>55</v>
      </c>
      <c r="K279" s="188" t="s">
        <v>233</v>
      </c>
      <c r="L279" s="129"/>
      <c r="M279" s="56"/>
    </row>
    <row r="280" spans="2:13" ht="13.5" customHeight="1" thickBot="1" x14ac:dyDescent="0.25">
      <c r="B280" s="185">
        <f>SUM(C280:D280)</f>
        <v>0</v>
      </c>
      <c r="C280" s="185">
        <f>I280+F280</f>
        <v>0</v>
      </c>
      <c r="D280" s="185">
        <f>J280+G280</f>
        <v>0</v>
      </c>
      <c r="E280" s="185">
        <f>SUM(F280:G280)</f>
        <v>0</v>
      </c>
      <c r="F280" s="185">
        <v>0</v>
      </c>
      <c r="G280" s="185">
        <v>0</v>
      </c>
      <c r="H280" s="185">
        <f>SUM(I280:J280)</f>
        <v>0</v>
      </c>
      <c r="I280" s="185">
        <v>0</v>
      </c>
      <c r="J280" s="185">
        <v>0</v>
      </c>
      <c r="K280" s="188" t="s">
        <v>234</v>
      </c>
      <c r="L280" s="129" t="s">
        <v>437</v>
      </c>
      <c r="M280" s="56"/>
    </row>
    <row r="281" spans="2:13" ht="13.5" customHeight="1" thickBot="1" x14ac:dyDescent="0.25">
      <c r="B281" s="185">
        <f t="shared" ref="B281:J281" si="87">SUM(B279:B280)</f>
        <v>134</v>
      </c>
      <c r="C281" s="185">
        <f t="shared" si="87"/>
        <v>79</v>
      </c>
      <c r="D281" s="185">
        <f t="shared" si="87"/>
        <v>55</v>
      </c>
      <c r="E281" s="185">
        <f t="shared" si="87"/>
        <v>0</v>
      </c>
      <c r="F281" s="185">
        <f t="shared" si="87"/>
        <v>0</v>
      </c>
      <c r="G281" s="185">
        <f t="shared" si="87"/>
        <v>0</v>
      </c>
      <c r="H281" s="185">
        <f t="shared" si="87"/>
        <v>134</v>
      </c>
      <c r="I281" s="185">
        <f t="shared" si="87"/>
        <v>79</v>
      </c>
      <c r="J281" s="185">
        <f t="shared" si="87"/>
        <v>55</v>
      </c>
      <c r="K281" s="188" t="s">
        <v>12</v>
      </c>
      <c r="L281" s="130"/>
      <c r="M281" s="56"/>
    </row>
    <row r="282" spans="2:13" ht="13.5" customHeight="1" thickBot="1" x14ac:dyDescent="0.25">
      <c r="B282" s="185">
        <f>SUM(C282:D282)</f>
        <v>68</v>
      </c>
      <c r="C282" s="185">
        <f>I282+F282</f>
        <v>68</v>
      </c>
      <c r="D282" s="185">
        <f>J282+G282</f>
        <v>0</v>
      </c>
      <c r="E282" s="185">
        <f>SUM(F282:G282)</f>
        <v>0</v>
      </c>
      <c r="F282" s="185">
        <v>0</v>
      </c>
      <c r="G282" s="185">
        <v>0</v>
      </c>
      <c r="H282" s="185">
        <f>SUM(I282:J282)</f>
        <v>68</v>
      </c>
      <c r="I282" s="185">
        <f>38+30</f>
        <v>68</v>
      </c>
      <c r="J282" s="185">
        <v>0</v>
      </c>
      <c r="K282" s="188" t="s">
        <v>233</v>
      </c>
      <c r="L282" s="129"/>
      <c r="M282" s="56"/>
    </row>
    <row r="283" spans="2:13" ht="13.5" customHeight="1" thickBot="1" x14ac:dyDescent="0.25">
      <c r="B283" s="185">
        <f>SUM(C283:D283)</f>
        <v>0</v>
      </c>
      <c r="C283" s="185">
        <f>I283+F283</f>
        <v>0</v>
      </c>
      <c r="D283" s="185">
        <f>J283+G283</f>
        <v>0</v>
      </c>
      <c r="E283" s="185">
        <f>SUM(F283:G283)</f>
        <v>0</v>
      </c>
      <c r="F283" s="185">
        <v>0</v>
      </c>
      <c r="G283" s="185">
        <v>0</v>
      </c>
      <c r="H283" s="185">
        <f>SUM(I283:J283)</f>
        <v>0</v>
      </c>
      <c r="I283" s="185">
        <v>0</v>
      </c>
      <c r="J283" s="185">
        <v>0</v>
      </c>
      <c r="K283" s="188" t="s">
        <v>234</v>
      </c>
      <c r="L283" s="129" t="s">
        <v>438</v>
      </c>
      <c r="M283" s="56"/>
    </row>
    <row r="284" spans="2:13" ht="13.5" customHeight="1" thickBot="1" x14ac:dyDescent="0.25">
      <c r="B284" s="185">
        <f t="shared" ref="B284:J284" si="88">SUM(B282:B283)</f>
        <v>68</v>
      </c>
      <c r="C284" s="185">
        <f t="shared" si="88"/>
        <v>68</v>
      </c>
      <c r="D284" s="185">
        <f t="shared" si="88"/>
        <v>0</v>
      </c>
      <c r="E284" s="185">
        <f t="shared" si="88"/>
        <v>0</v>
      </c>
      <c r="F284" s="185">
        <f t="shared" si="88"/>
        <v>0</v>
      </c>
      <c r="G284" s="185">
        <f t="shared" si="88"/>
        <v>0</v>
      </c>
      <c r="H284" s="185">
        <f t="shared" si="88"/>
        <v>68</v>
      </c>
      <c r="I284" s="185">
        <f t="shared" si="88"/>
        <v>68</v>
      </c>
      <c r="J284" s="185">
        <f t="shared" si="88"/>
        <v>0</v>
      </c>
      <c r="K284" s="188" t="s">
        <v>12</v>
      </c>
      <c r="L284" s="130"/>
      <c r="M284" s="56"/>
    </row>
    <row r="285" spans="2:13" ht="13.5" customHeight="1" thickBot="1" x14ac:dyDescent="0.25">
      <c r="B285" s="185">
        <f>SUM(C285:D285)</f>
        <v>1237</v>
      </c>
      <c r="C285" s="185">
        <f>I285+F285</f>
        <v>1237</v>
      </c>
      <c r="D285" s="185">
        <f>J285+G285</f>
        <v>0</v>
      </c>
      <c r="E285" s="185">
        <f>SUM(F285:G285)</f>
        <v>0</v>
      </c>
      <c r="F285" s="185">
        <v>0</v>
      </c>
      <c r="G285" s="185">
        <v>0</v>
      </c>
      <c r="H285" s="185">
        <f>SUM(I285:J285)</f>
        <v>1237</v>
      </c>
      <c r="I285" s="185">
        <f>1037+200</f>
        <v>1237</v>
      </c>
      <c r="J285" s="185">
        <v>0</v>
      </c>
      <c r="K285" s="188" t="s">
        <v>233</v>
      </c>
      <c r="L285" s="129"/>
      <c r="M285" s="56"/>
    </row>
    <row r="286" spans="2:13" ht="13.5" customHeight="1" thickBot="1" x14ac:dyDescent="0.25">
      <c r="B286" s="185">
        <f>SUM(C286:D286)</f>
        <v>150</v>
      </c>
      <c r="C286" s="185">
        <f>I286+F286</f>
        <v>150</v>
      </c>
      <c r="D286" s="185">
        <f>J286+G286</f>
        <v>0</v>
      </c>
      <c r="E286" s="185">
        <f>SUM(F286:G286)</f>
        <v>0</v>
      </c>
      <c r="F286" s="185">
        <v>0</v>
      </c>
      <c r="G286" s="185">
        <v>0</v>
      </c>
      <c r="H286" s="185">
        <f>SUM(I286:J286)</f>
        <v>150</v>
      </c>
      <c r="I286" s="185">
        <f>50+100</f>
        <v>150</v>
      </c>
      <c r="J286" s="185">
        <v>0</v>
      </c>
      <c r="K286" s="188" t="s">
        <v>234</v>
      </c>
      <c r="L286" s="129" t="s">
        <v>650</v>
      </c>
      <c r="M286" s="56"/>
    </row>
    <row r="287" spans="2:13" ht="13.5" customHeight="1" thickBot="1" x14ac:dyDescent="0.25">
      <c r="B287" s="185">
        <f t="shared" ref="B287:J287" si="89">SUM(B285:B286)</f>
        <v>1387</v>
      </c>
      <c r="C287" s="185">
        <f t="shared" si="89"/>
        <v>1387</v>
      </c>
      <c r="D287" s="185">
        <f t="shared" si="89"/>
        <v>0</v>
      </c>
      <c r="E287" s="185">
        <f t="shared" si="89"/>
        <v>0</v>
      </c>
      <c r="F287" s="185">
        <f t="shared" si="89"/>
        <v>0</v>
      </c>
      <c r="G287" s="185">
        <f t="shared" si="89"/>
        <v>0</v>
      </c>
      <c r="H287" s="185">
        <f t="shared" si="89"/>
        <v>1387</v>
      </c>
      <c r="I287" s="185">
        <f t="shared" si="89"/>
        <v>1387</v>
      </c>
      <c r="J287" s="185">
        <f t="shared" si="89"/>
        <v>0</v>
      </c>
      <c r="K287" s="188" t="s">
        <v>12</v>
      </c>
      <c r="L287" s="130"/>
      <c r="M287" s="56"/>
    </row>
    <row r="288" spans="2:13" ht="13.5" customHeight="1" thickBot="1" x14ac:dyDescent="0.25">
      <c r="B288" s="185">
        <f>SUM(C288:D288)</f>
        <v>352</v>
      </c>
      <c r="C288" s="185">
        <f>I288+F288</f>
        <v>352</v>
      </c>
      <c r="D288" s="185">
        <f>J288+G288</f>
        <v>0</v>
      </c>
      <c r="E288" s="185">
        <f>SUM(F288:G288)</f>
        <v>0</v>
      </c>
      <c r="F288" s="185">
        <v>0</v>
      </c>
      <c r="G288" s="185">
        <v>0</v>
      </c>
      <c r="H288" s="185">
        <f>SUM(I288:J288)</f>
        <v>352</v>
      </c>
      <c r="I288" s="185">
        <f>252+100</f>
        <v>352</v>
      </c>
      <c r="J288" s="185">
        <v>0</v>
      </c>
      <c r="K288" s="188" t="s">
        <v>233</v>
      </c>
      <c r="L288" s="129"/>
      <c r="M288" s="56"/>
    </row>
    <row r="289" spans="2:13" ht="13.5" customHeight="1" thickBot="1" x14ac:dyDescent="0.25">
      <c r="B289" s="185">
        <f>SUM(C289:D289)</f>
        <v>1</v>
      </c>
      <c r="C289" s="185">
        <f>I289+F289</f>
        <v>1</v>
      </c>
      <c r="D289" s="185">
        <f>J289+G289</f>
        <v>0</v>
      </c>
      <c r="E289" s="185">
        <f>SUM(F289:G289)</f>
        <v>0</v>
      </c>
      <c r="F289" s="185">
        <v>0</v>
      </c>
      <c r="G289" s="185">
        <v>0</v>
      </c>
      <c r="H289" s="185">
        <f>SUM(I289:J289)</f>
        <v>1</v>
      </c>
      <c r="I289" s="185">
        <v>1</v>
      </c>
      <c r="J289" s="185">
        <v>0</v>
      </c>
      <c r="K289" s="188" t="s">
        <v>234</v>
      </c>
      <c r="L289" s="129" t="s">
        <v>441</v>
      </c>
      <c r="M289" s="56"/>
    </row>
    <row r="290" spans="2:13" ht="13.5" customHeight="1" thickBot="1" x14ac:dyDescent="0.25">
      <c r="B290" s="185">
        <f t="shared" ref="B290:J290" si="90">SUM(B288:B289)</f>
        <v>353</v>
      </c>
      <c r="C290" s="185">
        <f t="shared" si="90"/>
        <v>353</v>
      </c>
      <c r="D290" s="185">
        <f t="shared" si="90"/>
        <v>0</v>
      </c>
      <c r="E290" s="185">
        <f t="shared" si="90"/>
        <v>0</v>
      </c>
      <c r="F290" s="185">
        <f t="shared" si="90"/>
        <v>0</v>
      </c>
      <c r="G290" s="185">
        <f t="shared" si="90"/>
        <v>0</v>
      </c>
      <c r="H290" s="185">
        <f t="shared" si="90"/>
        <v>353</v>
      </c>
      <c r="I290" s="185">
        <f t="shared" si="90"/>
        <v>353</v>
      </c>
      <c r="J290" s="185">
        <f t="shared" si="90"/>
        <v>0</v>
      </c>
      <c r="K290" s="188" t="s">
        <v>12</v>
      </c>
      <c r="L290" s="130"/>
      <c r="M290" s="56"/>
    </row>
    <row r="291" spans="2:13" ht="13.5" customHeight="1" thickBot="1" x14ac:dyDescent="0.25">
      <c r="B291" s="185">
        <f>SUM(C291:D291)</f>
        <v>225</v>
      </c>
      <c r="C291" s="185">
        <f>I291+F291</f>
        <v>225</v>
      </c>
      <c r="D291" s="185">
        <f>J291+G291</f>
        <v>0</v>
      </c>
      <c r="E291" s="185">
        <f>SUM(F291:G291)</f>
        <v>0</v>
      </c>
      <c r="F291" s="185">
        <v>0</v>
      </c>
      <c r="G291" s="185">
        <v>0</v>
      </c>
      <c r="H291" s="185">
        <f>SUM(I291:J291)</f>
        <v>225</v>
      </c>
      <c r="I291" s="185">
        <v>225</v>
      </c>
      <c r="J291" s="185">
        <v>0</v>
      </c>
      <c r="K291" s="188" t="s">
        <v>233</v>
      </c>
      <c r="L291" s="129"/>
      <c r="M291" s="56"/>
    </row>
    <row r="292" spans="2:13" ht="13.5" customHeight="1" thickBot="1" x14ac:dyDescent="0.25">
      <c r="B292" s="185">
        <f>SUM(C292:D292)</f>
        <v>3</v>
      </c>
      <c r="C292" s="185">
        <f>I292+F292</f>
        <v>3</v>
      </c>
      <c r="D292" s="185">
        <f>J292+G292</f>
        <v>0</v>
      </c>
      <c r="E292" s="185">
        <f>SUM(F292:G292)</f>
        <v>0</v>
      </c>
      <c r="F292" s="185">
        <v>0</v>
      </c>
      <c r="G292" s="185">
        <v>0</v>
      </c>
      <c r="H292" s="185">
        <f>SUM(I292:J292)</f>
        <v>3</v>
      </c>
      <c r="I292" s="185">
        <v>3</v>
      </c>
      <c r="J292" s="185">
        <v>0</v>
      </c>
      <c r="K292" s="188" t="s">
        <v>234</v>
      </c>
      <c r="L292" s="129" t="s">
        <v>442</v>
      </c>
      <c r="M292" s="56"/>
    </row>
    <row r="293" spans="2:13" ht="13.5" customHeight="1" thickBot="1" x14ac:dyDescent="0.25">
      <c r="B293" s="185">
        <f t="shared" ref="B293:J293" si="91">SUM(B291:B292)</f>
        <v>228</v>
      </c>
      <c r="C293" s="185">
        <f t="shared" si="91"/>
        <v>228</v>
      </c>
      <c r="D293" s="185">
        <f t="shared" si="91"/>
        <v>0</v>
      </c>
      <c r="E293" s="185">
        <f t="shared" si="91"/>
        <v>0</v>
      </c>
      <c r="F293" s="185">
        <f t="shared" si="91"/>
        <v>0</v>
      </c>
      <c r="G293" s="185">
        <f t="shared" si="91"/>
        <v>0</v>
      </c>
      <c r="H293" s="185">
        <f t="shared" si="91"/>
        <v>228</v>
      </c>
      <c r="I293" s="185">
        <f t="shared" si="91"/>
        <v>228</v>
      </c>
      <c r="J293" s="185">
        <f t="shared" si="91"/>
        <v>0</v>
      </c>
      <c r="K293" s="188" t="s">
        <v>12</v>
      </c>
      <c r="L293" s="130"/>
      <c r="M293" s="56"/>
    </row>
    <row r="294" spans="2:13" ht="13.5" customHeight="1" thickBot="1" x14ac:dyDescent="0.25">
      <c r="B294" s="185">
        <f>SUM(C294:D294)</f>
        <v>441</v>
      </c>
      <c r="C294" s="185">
        <f>I294+F294</f>
        <v>441</v>
      </c>
      <c r="D294" s="185">
        <f>J294+G294</f>
        <v>0</v>
      </c>
      <c r="E294" s="185">
        <f>SUM(F294:G294)</f>
        <v>0</v>
      </c>
      <c r="F294" s="185">
        <v>0</v>
      </c>
      <c r="G294" s="185">
        <v>0</v>
      </c>
      <c r="H294" s="185">
        <f>SUM(I294:J294)</f>
        <v>441</v>
      </c>
      <c r="I294" s="185">
        <v>441</v>
      </c>
      <c r="J294" s="185">
        <v>0</v>
      </c>
      <c r="K294" s="188" t="s">
        <v>233</v>
      </c>
      <c r="L294" s="129"/>
      <c r="M294" s="56"/>
    </row>
    <row r="295" spans="2:13" ht="13.5" customHeight="1" thickBot="1" x14ac:dyDescent="0.25">
      <c r="B295" s="185">
        <f>SUM(C295:D295)</f>
        <v>20</v>
      </c>
      <c r="C295" s="185">
        <f>I295+F295</f>
        <v>20</v>
      </c>
      <c r="D295" s="185">
        <f>J295+G295</f>
        <v>0</v>
      </c>
      <c r="E295" s="185">
        <f>SUM(F295:G295)</f>
        <v>0</v>
      </c>
      <c r="F295" s="185">
        <v>0</v>
      </c>
      <c r="G295" s="185">
        <v>0</v>
      </c>
      <c r="H295" s="185">
        <f>SUM(I295:J295)</f>
        <v>20</v>
      </c>
      <c r="I295" s="185">
        <v>20</v>
      </c>
      <c r="J295" s="185">
        <v>0</v>
      </c>
      <c r="K295" s="188" t="s">
        <v>234</v>
      </c>
      <c r="L295" s="129" t="s">
        <v>651</v>
      </c>
      <c r="M295" s="56"/>
    </row>
    <row r="296" spans="2:13" ht="13.5" customHeight="1" thickBot="1" x14ac:dyDescent="0.25">
      <c r="B296" s="185">
        <f t="shared" ref="B296:J296" si="92">SUM(B294:B295)</f>
        <v>461</v>
      </c>
      <c r="C296" s="185">
        <f t="shared" si="92"/>
        <v>461</v>
      </c>
      <c r="D296" s="185">
        <f t="shared" si="92"/>
        <v>0</v>
      </c>
      <c r="E296" s="185">
        <f t="shared" si="92"/>
        <v>0</v>
      </c>
      <c r="F296" s="185">
        <f t="shared" si="92"/>
        <v>0</v>
      </c>
      <c r="G296" s="185">
        <f t="shared" si="92"/>
        <v>0</v>
      </c>
      <c r="H296" s="185">
        <f t="shared" si="92"/>
        <v>461</v>
      </c>
      <c r="I296" s="185">
        <f t="shared" si="92"/>
        <v>461</v>
      </c>
      <c r="J296" s="185">
        <f t="shared" si="92"/>
        <v>0</v>
      </c>
      <c r="K296" s="188" t="s">
        <v>12</v>
      </c>
      <c r="L296" s="130"/>
      <c r="M296" s="56"/>
    </row>
    <row r="297" spans="2:13" ht="13.5" customHeight="1" thickBot="1" x14ac:dyDescent="0.25">
      <c r="B297" s="185">
        <f>SUM(C297:D297)</f>
        <v>735</v>
      </c>
      <c r="C297" s="185">
        <f>I297+F297</f>
        <v>735</v>
      </c>
      <c r="D297" s="185">
        <f>J297+G297</f>
        <v>0</v>
      </c>
      <c r="E297" s="185">
        <f>SUM(F297:G297)</f>
        <v>7</v>
      </c>
      <c r="F297" s="185">
        <v>7</v>
      </c>
      <c r="G297" s="185">
        <v>0</v>
      </c>
      <c r="H297" s="185">
        <f>SUM(I297:J297)</f>
        <v>728</v>
      </c>
      <c r="I297" s="185">
        <v>728</v>
      </c>
      <c r="J297" s="185">
        <v>0</v>
      </c>
      <c r="K297" s="188" t="s">
        <v>233</v>
      </c>
      <c r="L297" s="129"/>
      <c r="M297" s="56"/>
    </row>
    <row r="298" spans="2:13" ht="13.5" customHeight="1" thickBot="1" x14ac:dyDescent="0.25">
      <c r="B298" s="185">
        <f>SUM(C298:D298)</f>
        <v>116</v>
      </c>
      <c r="C298" s="185">
        <f>I298+F298</f>
        <v>116</v>
      </c>
      <c r="D298" s="185">
        <f>J298+G298</f>
        <v>0</v>
      </c>
      <c r="E298" s="185">
        <f>SUM(F298:G298)</f>
        <v>0</v>
      </c>
      <c r="F298" s="185">
        <v>0</v>
      </c>
      <c r="G298" s="185">
        <v>0</v>
      </c>
      <c r="H298" s="185">
        <f>SUM(I298:J298)</f>
        <v>116</v>
      </c>
      <c r="I298" s="185">
        <v>116</v>
      </c>
      <c r="J298" s="185">
        <v>0</v>
      </c>
      <c r="K298" s="188" t="s">
        <v>234</v>
      </c>
      <c r="L298" s="129" t="s">
        <v>595</v>
      </c>
      <c r="M298" s="56"/>
    </row>
    <row r="299" spans="2:13" ht="13.5" customHeight="1" thickBot="1" x14ac:dyDescent="0.25">
      <c r="B299" s="185">
        <f t="shared" ref="B299:J299" si="93">SUM(B297:B298)</f>
        <v>851</v>
      </c>
      <c r="C299" s="185">
        <f t="shared" si="93"/>
        <v>851</v>
      </c>
      <c r="D299" s="185">
        <f t="shared" si="93"/>
        <v>0</v>
      </c>
      <c r="E299" s="185">
        <f t="shared" si="93"/>
        <v>7</v>
      </c>
      <c r="F299" s="185">
        <f t="shared" si="93"/>
        <v>7</v>
      </c>
      <c r="G299" s="185">
        <f t="shared" si="93"/>
        <v>0</v>
      </c>
      <c r="H299" s="185">
        <f t="shared" si="93"/>
        <v>844</v>
      </c>
      <c r="I299" s="185">
        <f t="shared" si="93"/>
        <v>844</v>
      </c>
      <c r="J299" s="185">
        <f t="shared" si="93"/>
        <v>0</v>
      </c>
      <c r="K299" s="188" t="s">
        <v>12</v>
      </c>
      <c r="L299" s="130"/>
      <c r="M299" s="56"/>
    </row>
    <row r="300" spans="2:13" ht="13.5" customHeight="1" thickBot="1" x14ac:dyDescent="0.25">
      <c r="B300" s="185">
        <f>SUM(C300:D300)</f>
        <v>233</v>
      </c>
      <c r="C300" s="185">
        <f>I300+F300</f>
        <v>233</v>
      </c>
      <c r="D300" s="185">
        <f>J300+G300</f>
        <v>0</v>
      </c>
      <c r="E300" s="185">
        <f>SUM(F300:G300)</f>
        <v>0</v>
      </c>
      <c r="F300" s="185">
        <v>0</v>
      </c>
      <c r="G300" s="185">
        <v>0</v>
      </c>
      <c r="H300" s="185">
        <f>SUM(I300:J300)</f>
        <v>233</v>
      </c>
      <c r="I300" s="185">
        <f>169+64</f>
        <v>233</v>
      </c>
      <c r="J300" s="185">
        <v>0</v>
      </c>
      <c r="K300" s="188" t="s">
        <v>233</v>
      </c>
      <c r="L300" s="129"/>
      <c r="M300" s="56"/>
    </row>
    <row r="301" spans="2:13" ht="13.5" customHeight="1" thickBot="1" x14ac:dyDescent="0.25">
      <c r="B301" s="185">
        <f>SUM(C301:D301)</f>
        <v>0</v>
      </c>
      <c r="C301" s="185">
        <f>I301+F301</f>
        <v>0</v>
      </c>
      <c r="D301" s="185">
        <f>J301+G301</f>
        <v>0</v>
      </c>
      <c r="E301" s="185">
        <f>SUM(F301:G301)</f>
        <v>0</v>
      </c>
      <c r="F301" s="185">
        <v>0</v>
      </c>
      <c r="G301" s="185">
        <v>0</v>
      </c>
      <c r="H301" s="185">
        <f>SUM(I301:J301)</f>
        <v>0</v>
      </c>
      <c r="I301" s="185">
        <v>0</v>
      </c>
      <c r="J301" s="185">
        <v>0</v>
      </c>
      <c r="K301" s="188" t="s">
        <v>234</v>
      </c>
      <c r="L301" s="129" t="s">
        <v>445</v>
      </c>
      <c r="M301" s="56"/>
    </row>
    <row r="302" spans="2:13" ht="13.5" customHeight="1" thickBot="1" x14ac:dyDescent="0.25">
      <c r="B302" s="185">
        <f t="shared" ref="B302:J302" si="94">SUM(B300:B301)</f>
        <v>233</v>
      </c>
      <c r="C302" s="185">
        <f t="shared" si="94"/>
        <v>233</v>
      </c>
      <c r="D302" s="185">
        <f t="shared" si="94"/>
        <v>0</v>
      </c>
      <c r="E302" s="185">
        <f t="shared" si="94"/>
        <v>0</v>
      </c>
      <c r="F302" s="185">
        <f t="shared" si="94"/>
        <v>0</v>
      </c>
      <c r="G302" s="185">
        <f t="shared" si="94"/>
        <v>0</v>
      </c>
      <c r="H302" s="185">
        <f t="shared" si="94"/>
        <v>233</v>
      </c>
      <c r="I302" s="185">
        <f t="shared" si="94"/>
        <v>233</v>
      </c>
      <c r="J302" s="185">
        <f t="shared" si="94"/>
        <v>0</v>
      </c>
      <c r="K302" s="188" t="s">
        <v>12</v>
      </c>
      <c r="L302" s="130"/>
      <c r="M302" s="56"/>
    </row>
    <row r="303" spans="2:13" ht="13.5" customHeight="1" thickBot="1" x14ac:dyDescent="0.25">
      <c r="B303" s="185">
        <f>SUM(C303:D303)</f>
        <v>498</v>
      </c>
      <c r="C303" s="185">
        <f>I303+F303</f>
        <v>498</v>
      </c>
      <c r="D303" s="185">
        <f>J303+G303</f>
        <v>0</v>
      </c>
      <c r="E303" s="185">
        <f>SUM(F303:G303)</f>
        <v>0</v>
      </c>
      <c r="F303" s="185">
        <v>0</v>
      </c>
      <c r="G303" s="185">
        <v>0</v>
      </c>
      <c r="H303" s="185">
        <f>SUM(I303:J303)</f>
        <v>498</v>
      </c>
      <c r="I303" s="185">
        <v>498</v>
      </c>
      <c r="J303" s="185">
        <v>0</v>
      </c>
      <c r="K303" s="188" t="s">
        <v>233</v>
      </c>
      <c r="L303" s="129"/>
      <c r="M303" s="56"/>
    </row>
    <row r="304" spans="2:13" ht="13.5" customHeight="1" thickBot="1" x14ac:dyDescent="0.25">
      <c r="B304" s="185">
        <f>SUM(C304:D304)</f>
        <v>0</v>
      </c>
      <c r="C304" s="185">
        <f>I304+F304</f>
        <v>0</v>
      </c>
      <c r="D304" s="185">
        <f>J304+G304</f>
        <v>0</v>
      </c>
      <c r="E304" s="185">
        <f>SUM(F304:G304)</f>
        <v>0</v>
      </c>
      <c r="F304" s="185">
        <v>0</v>
      </c>
      <c r="G304" s="185">
        <v>0</v>
      </c>
      <c r="H304" s="185">
        <f>SUM(I304:J304)</f>
        <v>0</v>
      </c>
      <c r="I304" s="185">
        <v>0</v>
      </c>
      <c r="J304" s="185">
        <v>0</v>
      </c>
      <c r="K304" s="188" t="s">
        <v>234</v>
      </c>
      <c r="L304" s="129" t="s">
        <v>446</v>
      </c>
      <c r="M304" s="56"/>
    </row>
    <row r="305" spans="2:13" ht="13.5" customHeight="1" thickBot="1" x14ac:dyDescent="0.25">
      <c r="B305" s="185">
        <f t="shared" ref="B305:J305" si="95">SUM(B303:B304)</f>
        <v>498</v>
      </c>
      <c r="C305" s="185">
        <f t="shared" si="95"/>
        <v>498</v>
      </c>
      <c r="D305" s="185">
        <f t="shared" si="95"/>
        <v>0</v>
      </c>
      <c r="E305" s="185">
        <f t="shared" si="95"/>
        <v>0</v>
      </c>
      <c r="F305" s="185">
        <f t="shared" si="95"/>
        <v>0</v>
      </c>
      <c r="G305" s="185">
        <f t="shared" si="95"/>
        <v>0</v>
      </c>
      <c r="H305" s="185">
        <f t="shared" si="95"/>
        <v>498</v>
      </c>
      <c r="I305" s="185">
        <f t="shared" si="95"/>
        <v>498</v>
      </c>
      <c r="J305" s="185">
        <f t="shared" si="95"/>
        <v>0</v>
      </c>
      <c r="K305" s="188" t="s">
        <v>12</v>
      </c>
      <c r="L305" s="130"/>
      <c r="M305" s="56"/>
    </row>
    <row r="306" spans="2:13" ht="13.5" customHeight="1" thickBot="1" x14ac:dyDescent="0.25">
      <c r="B306" s="185">
        <f>SUM(C306:D306)</f>
        <v>178</v>
      </c>
      <c r="C306" s="185">
        <f>I306+F306</f>
        <v>178</v>
      </c>
      <c r="D306" s="185">
        <f>J306+G306</f>
        <v>0</v>
      </c>
      <c r="E306" s="185">
        <f>SUM(F306:G306)</f>
        <v>0</v>
      </c>
      <c r="F306" s="185">
        <v>0</v>
      </c>
      <c r="G306" s="185">
        <v>0</v>
      </c>
      <c r="H306" s="185">
        <f>SUM(I306:J306)</f>
        <v>178</v>
      </c>
      <c r="I306" s="185">
        <v>178</v>
      </c>
      <c r="J306" s="185">
        <v>0</v>
      </c>
      <c r="K306" s="188" t="s">
        <v>233</v>
      </c>
      <c r="L306" s="129"/>
      <c r="M306" s="56"/>
    </row>
    <row r="307" spans="2:13" ht="13.5" customHeight="1" thickBot="1" x14ac:dyDescent="0.25">
      <c r="B307" s="185">
        <f>SUM(C307:D307)</f>
        <v>12</v>
      </c>
      <c r="C307" s="185">
        <f>I307+F307</f>
        <v>12</v>
      </c>
      <c r="D307" s="185">
        <f>J307+G307</f>
        <v>0</v>
      </c>
      <c r="E307" s="185">
        <f>SUM(F307:G307)</f>
        <v>0</v>
      </c>
      <c r="F307" s="185">
        <v>0</v>
      </c>
      <c r="G307" s="185">
        <v>0</v>
      </c>
      <c r="H307" s="185">
        <f>SUM(I307:J307)</f>
        <v>12</v>
      </c>
      <c r="I307" s="185">
        <v>12</v>
      </c>
      <c r="J307" s="185">
        <v>0</v>
      </c>
      <c r="K307" s="188" t="s">
        <v>234</v>
      </c>
      <c r="L307" s="129" t="s">
        <v>447</v>
      </c>
      <c r="M307" s="56"/>
    </row>
    <row r="308" spans="2:13" ht="13.5" customHeight="1" thickBot="1" x14ac:dyDescent="0.25">
      <c r="B308" s="185">
        <f t="shared" ref="B308:J308" si="96">SUM(B306:B307)</f>
        <v>190</v>
      </c>
      <c r="C308" s="185">
        <f t="shared" si="96"/>
        <v>190</v>
      </c>
      <c r="D308" s="185">
        <f t="shared" si="96"/>
        <v>0</v>
      </c>
      <c r="E308" s="185">
        <f t="shared" si="96"/>
        <v>0</v>
      </c>
      <c r="F308" s="185">
        <f t="shared" si="96"/>
        <v>0</v>
      </c>
      <c r="G308" s="185">
        <f t="shared" si="96"/>
        <v>0</v>
      </c>
      <c r="H308" s="185">
        <f t="shared" si="96"/>
        <v>190</v>
      </c>
      <c r="I308" s="185">
        <f t="shared" si="96"/>
        <v>190</v>
      </c>
      <c r="J308" s="185">
        <f t="shared" si="96"/>
        <v>0</v>
      </c>
      <c r="K308" s="188" t="s">
        <v>12</v>
      </c>
      <c r="L308" s="130"/>
      <c r="M308" s="56"/>
    </row>
    <row r="309" spans="2:13" ht="13.5" customHeight="1" thickBot="1" x14ac:dyDescent="0.25">
      <c r="B309" s="185">
        <f>SUM(C309:D309)</f>
        <v>633</v>
      </c>
      <c r="C309" s="185">
        <f>I309+F309</f>
        <v>633</v>
      </c>
      <c r="D309" s="185">
        <f>J309+G309</f>
        <v>0</v>
      </c>
      <c r="E309" s="185">
        <f>SUM(F309:G309)</f>
        <v>0</v>
      </c>
      <c r="F309" s="185">
        <v>0</v>
      </c>
      <c r="G309" s="185">
        <v>0</v>
      </c>
      <c r="H309" s="185">
        <f>SUM(I309:J309)</f>
        <v>633</v>
      </c>
      <c r="I309" s="185">
        <v>633</v>
      </c>
      <c r="J309" s="185">
        <v>0</v>
      </c>
      <c r="K309" s="188" t="s">
        <v>233</v>
      </c>
      <c r="L309" s="129"/>
      <c r="M309" s="56"/>
    </row>
    <row r="310" spans="2:13" ht="13.5" customHeight="1" thickBot="1" x14ac:dyDescent="0.25">
      <c r="B310" s="185">
        <f>SUM(C310:D310)</f>
        <v>0</v>
      </c>
      <c r="C310" s="185">
        <f>I310+F310</f>
        <v>0</v>
      </c>
      <c r="D310" s="185">
        <f>J310+G310</f>
        <v>0</v>
      </c>
      <c r="E310" s="185">
        <f>SUM(F310:G310)</f>
        <v>0</v>
      </c>
      <c r="F310" s="185">
        <v>0</v>
      </c>
      <c r="G310" s="185">
        <v>0</v>
      </c>
      <c r="H310" s="185">
        <f>SUM(I310:J310)</f>
        <v>0</v>
      </c>
      <c r="I310" s="185">
        <v>0</v>
      </c>
      <c r="J310" s="185">
        <v>0</v>
      </c>
      <c r="K310" s="188" t="s">
        <v>234</v>
      </c>
      <c r="L310" s="129" t="s">
        <v>652</v>
      </c>
      <c r="M310" s="56"/>
    </row>
    <row r="311" spans="2:13" ht="13.5" customHeight="1" thickBot="1" x14ac:dyDescent="0.25">
      <c r="B311" s="185">
        <f t="shared" ref="B311:J311" si="97">SUM(B309:B310)</f>
        <v>633</v>
      </c>
      <c r="C311" s="185">
        <f t="shared" si="97"/>
        <v>633</v>
      </c>
      <c r="D311" s="185">
        <f t="shared" si="97"/>
        <v>0</v>
      </c>
      <c r="E311" s="185">
        <f t="shared" si="97"/>
        <v>0</v>
      </c>
      <c r="F311" s="185">
        <f t="shared" si="97"/>
        <v>0</v>
      </c>
      <c r="G311" s="185">
        <f t="shared" si="97"/>
        <v>0</v>
      </c>
      <c r="H311" s="185">
        <f t="shared" si="97"/>
        <v>633</v>
      </c>
      <c r="I311" s="185">
        <f t="shared" si="97"/>
        <v>633</v>
      </c>
      <c r="J311" s="185">
        <f t="shared" si="97"/>
        <v>0</v>
      </c>
      <c r="K311" s="188" t="s">
        <v>12</v>
      </c>
      <c r="L311" s="130"/>
      <c r="M311" s="56"/>
    </row>
    <row r="312" spans="2:13" ht="13.5" customHeight="1" thickBot="1" x14ac:dyDescent="0.25">
      <c r="B312" s="185">
        <f>SUM(C312:D312)</f>
        <v>20</v>
      </c>
      <c r="C312" s="185">
        <f>I312+F312</f>
        <v>0</v>
      </c>
      <c r="D312" s="185">
        <f>J312+G312</f>
        <v>20</v>
      </c>
      <c r="E312" s="185">
        <f>SUM(F312:G312)</f>
        <v>2</v>
      </c>
      <c r="F312" s="185">
        <v>0</v>
      </c>
      <c r="G312" s="185">
        <v>2</v>
      </c>
      <c r="H312" s="185">
        <f>SUM(I312:J312)</f>
        <v>18</v>
      </c>
      <c r="I312" s="185">
        <v>0</v>
      </c>
      <c r="J312" s="185">
        <v>18</v>
      </c>
      <c r="K312" s="188" t="s">
        <v>233</v>
      </c>
      <c r="L312" s="129"/>
      <c r="M312" s="56"/>
    </row>
    <row r="313" spans="2:13" ht="13.5" customHeight="1" thickBot="1" x14ac:dyDescent="0.25">
      <c r="B313" s="185">
        <f>SUM(C313:D313)</f>
        <v>0</v>
      </c>
      <c r="C313" s="185">
        <f>I313+F313</f>
        <v>0</v>
      </c>
      <c r="D313" s="185">
        <f>J313+G313</f>
        <v>0</v>
      </c>
      <c r="E313" s="185">
        <f>SUM(F313:G313)</f>
        <v>0</v>
      </c>
      <c r="F313" s="185">
        <v>0</v>
      </c>
      <c r="G313" s="185">
        <v>0</v>
      </c>
      <c r="H313" s="185">
        <f>SUM(I313:J313)</f>
        <v>0</v>
      </c>
      <c r="I313" s="185">
        <v>0</v>
      </c>
      <c r="J313" s="185">
        <v>0</v>
      </c>
      <c r="K313" s="188" t="s">
        <v>234</v>
      </c>
      <c r="L313" s="129" t="s">
        <v>716</v>
      </c>
      <c r="M313" s="56"/>
    </row>
    <row r="314" spans="2:13" ht="13.5" customHeight="1" thickBot="1" x14ac:dyDescent="0.25">
      <c r="B314" s="185">
        <f t="shared" ref="B314:J314" si="98">SUM(B312:B313)</f>
        <v>20</v>
      </c>
      <c r="C314" s="185">
        <f t="shared" si="98"/>
        <v>0</v>
      </c>
      <c r="D314" s="185">
        <f t="shared" si="98"/>
        <v>20</v>
      </c>
      <c r="E314" s="185">
        <f t="shared" si="98"/>
        <v>2</v>
      </c>
      <c r="F314" s="185">
        <f t="shared" si="98"/>
        <v>0</v>
      </c>
      <c r="G314" s="185">
        <f t="shared" si="98"/>
        <v>2</v>
      </c>
      <c r="H314" s="185">
        <f t="shared" si="98"/>
        <v>18</v>
      </c>
      <c r="I314" s="185">
        <f t="shared" si="98"/>
        <v>0</v>
      </c>
      <c r="J314" s="185">
        <f t="shared" si="98"/>
        <v>18</v>
      </c>
      <c r="K314" s="188" t="s">
        <v>12</v>
      </c>
      <c r="L314" s="130"/>
      <c r="M314" s="56"/>
    </row>
    <row r="315" spans="2:13" ht="13.5" customHeight="1" thickBot="1" x14ac:dyDescent="0.25">
      <c r="B315" s="185">
        <f>SUM(C315:D315)</f>
        <v>19</v>
      </c>
      <c r="C315" s="185">
        <f>I315+F315</f>
        <v>0</v>
      </c>
      <c r="D315" s="185">
        <f>J315+G315</f>
        <v>19</v>
      </c>
      <c r="E315" s="185">
        <f>SUM(F315:G315)</f>
        <v>0</v>
      </c>
      <c r="F315" s="185">
        <v>0</v>
      </c>
      <c r="G315" s="185">
        <v>0</v>
      </c>
      <c r="H315" s="185">
        <f>SUM(I315:J315)</f>
        <v>19</v>
      </c>
      <c r="I315" s="185">
        <v>0</v>
      </c>
      <c r="J315" s="185">
        <v>19</v>
      </c>
      <c r="K315" s="188" t="s">
        <v>233</v>
      </c>
      <c r="L315" s="129"/>
      <c r="M315" s="56"/>
    </row>
    <row r="316" spans="2:13" ht="13.5" customHeight="1" thickBot="1" x14ac:dyDescent="0.25">
      <c r="B316" s="185">
        <f>SUM(C316:D316)</f>
        <v>0</v>
      </c>
      <c r="C316" s="185">
        <f>I316+F316</f>
        <v>0</v>
      </c>
      <c r="D316" s="185">
        <f>J316+G316</f>
        <v>0</v>
      </c>
      <c r="E316" s="185">
        <f>SUM(F316:G316)</f>
        <v>0</v>
      </c>
      <c r="F316" s="185">
        <v>0</v>
      </c>
      <c r="G316" s="185">
        <v>0</v>
      </c>
      <c r="H316" s="185">
        <f>SUM(I316:J316)</f>
        <v>0</v>
      </c>
      <c r="I316" s="185">
        <v>0</v>
      </c>
      <c r="J316" s="185">
        <v>0</v>
      </c>
      <c r="K316" s="188" t="s">
        <v>234</v>
      </c>
      <c r="L316" s="129" t="s">
        <v>717</v>
      </c>
      <c r="M316" s="56"/>
    </row>
    <row r="317" spans="2:13" ht="13.5" customHeight="1" thickBot="1" x14ac:dyDescent="0.25">
      <c r="B317" s="185">
        <f t="shared" ref="B317:J317" si="99">SUM(B315:B316)</f>
        <v>19</v>
      </c>
      <c r="C317" s="185">
        <f t="shared" si="99"/>
        <v>0</v>
      </c>
      <c r="D317" s="185">
        <f t="shared" si="99"/>
        <v>19</v>
      </c>
      <c r="E317" s="185">
        <f t="shared" si="99"/>
        <v>0</v>
      </c>
      <c r="F317" s="185">
        <f t="shared" si="99"/>
        <v>0</v>
      </c>
      <c r="G317" s="185">
        <f t="shared" si="99"/>
        <v>0</v>
      </c>
      <c r="H317" s="185">
        <f t="shared" si="99"/>
        <v>19</v>
      </c>
      <c r="I317" s="185">
        <f t="shared" si="99"/>
        <v>0</v>
      </c>
      <c r="J317" s="185">
        <f t="shared" si="99"/>
        <v>19</v>
      </c>
      <c r="K317" s="188" t="s">
        <v>12</v>
      </c>
      <c r="L317" s="130"/>
      <c r="M317" s="56"/>
    </row>
    <row r="318" spans="2:13" ht="13.5" customHeight="1" thickBot="1" x14ac:dyDescent="0.25">
      <c r="B318" s="185">
        <f>SUM(C318:D318)</f>
        <v>52</v>
      </c>
      <c r="C318" s="185">
        <f>I318+F318</f>
        <v>0</v>
      </c>
      <c r="D318" s="185">
        <f>J318+G318</f>
        <v>52</v>
      </c>
      <c r="E318" s="185">
        <f>SUM(F318:G318)</f>
        <v>0</v>
      </c>
      <c r="F318" s="185">
        <v>0</v>
      </c>
      <c r="G318" s="185">
        <v>0</v>
      </c>
      <c r="H318" s="185">
        <f>SUM(I318:J318)</f>
        <v>52</v>
      </c>
      <c r="I318" s="185">
        <v>0</v>
      </c>
      <c r="J318" s="185">
        <v>52</v>
      </c>
      <c r="K318" s="188" t="s">
        <v>233</v>
      </c>
      <c r="L318" s="129"/>
      <c r="M318" s="56"/>
    </row>
    <row r="319" spans="2:13" ht="13.5" customHeight="1" thickBot="1" x14ac:dyDescent="0.25">
      <c r="B319" s="185">
        <f>SUM(C319:D319)</f>
        <v>0</v>
      </c>
      <c r="C319" s="185">
        <f>I319+F319</f>
        <v>0</v>
      </c>
      <c r="D319" s="185">
        <f>J319+G319</f>
        <v>0</v>
      </c>
      <c r="E319" s="185">
        <f>SUM(F319:G319)</f>
        <v>0</v>
      </c>
      <c r="F319" s="185">
        <v>0</v>
      </c>
      <c r="G319" s="185">
        <v>0</v>
      </c>
      <c r="H319" s="185">
        <f>SUM(I319:J319)</f>
        <v>0</v>
      </c>
      <c r="I319" s="185">
        <v>0</v>
      </c>
      <c r="J319" s="185">
        <v>0</v>
      </c>
      <c r="K319" s="188" t="s">
        <v>234</v>
      </c>
      <c r="L319" s="129" t="s">
        <v>718</v>
      </c>
      <c r="M319" s="56"/>
    </row>
    <row r="320" spans="2:13" ht="13.5" customHeight="1" thickBot="1" x14ac:dyDescent="0.25">
      <c r="B320" s="185">
        <f t="shared" ref="B320:J320" si="100">SUM(B318:B319)</f>
        <v>52</v>
      </c>
      <c r="C320" s="185">
        <f t="shared" si="100"/>
        <v>0</v>
      </c>
      <c r="D320" s="185">
        <f t="shared" si="100"/>
        <v>52</v>
      </c>
      <c r="E320" s="185">
        <f t="shared" si="100"/>
        <v>0</v>
      </c>
      <c r="F320" s="185">
        <f t="shared" si="100"/>
        <v>0</v>
      </c>
      <c r="G320" s="185">
        <f t="shared" si="100"/>
        <v>0</v>
      </c>
      <c r="H320" s="185">
        <f t="shared" si="100"/>
        <v>52</v>
      </c>
      <c r="I320" s="185">
        <f t="shared" si="100"/>
        <v>0</v>
      </c>
      <c r="J320" s="185">
        <f t="shared" si="100"/>
        <v>52</v>
      </c>
      <c r="K320" s="188" t="s">
        <v>12</v>
      </c>
      <c r="L320" s="130"/>
      <c r="M320" s="56"/>
    </row>
    <row r="321" spans="2:13" ht="13.5" customHeight="1" thickBot="1" x14ac:dyDescent="0.25">
      <c r="B321" s="185">
        <f t="shared" ref="B321:J323" si="101">B252+B255+B258+B261+B264+B267+B270+B273+B276+B279+B282+B285+B288+B291+B294+B297+B300+B303+B306+B309+B312+B315+B318</f>
        <v>7720</v>
      </c>
      <c r="C321" s="185">
        <f t="shared" si="101"/>
        <v>6061</v>
      </c>
      <c r="D321" s="185">
        <f t="shared" si="101"/>
        <v>1659</v>
      </c>
      <c r="E321" s="185">
        <f t="shared" si="101"/>
        <v>77</v>
      </c>
      <c r="F321" s="185">
        <f t="shared" si="101"/>
        <v>52</v>
      </c>
      <c r="G321" s="185">
        <f t="shared" si="101"/>
        <v>25</v>
      </c>
      <c r="H321" s="185">
        <f t="shared" si="101"/>
        <v>7643</v>
      </c>
      <c r="I321" s="185">
        <f t="shared" si="101"/>
        <v>6009</v>
      </c>
      <c r="J321" s="185">
        <f t="shared" si="101"/>
        <v>1634</v>
      </c>
      <c r="K321" s="188" t="s">
        <v>236</v>
      </c>
      <c r="L321" s="131"/>
      <c r="M321" s="56"/>
    </row>
    <row r="322" spans="2:13" ht="13.5" customHeight="1" thickBot="1" x14ac:dyDescent="0.25">
      <c r="B322" s="185">
        <f t="shared" si="101"/>
        <v>302</v>
      </c>
      <c r="C322" s="185">
        <f t="shared" si="101"/>
        <v>302</v>
      </c>
      <c r="D322" s="185">
        <f t="shared" si="101"/>
        <v>0</v>
      </c>
      <c r="E322" s="185">
        <f t="shared" si="101"/>
        <v>0</v>
      </c>
      <c r="F322" s="185">
        <f t="shared" si="101"/>
        <v>0</v>
      </c>
      <c r="G322" s="185">
        <f t="shared" si="101"/>
        <v>0</v>
      </c>
      <c r="H322" s="185">
        <f t="shared" si="101"/>
        <v>302</v>
      </c>
      <c r="I322" s="185">
        <f t="shared" si="101"/>
        <v>302</v>
      </c>
      <c r="J322" s="185">
        <f t="shared" si="101"/>
        <v>0</v>
      </c>
      <c r="K322" s="188" t="s">
        <v>237</v>
      </c>
      <c r="L322" s="132" t="s">
        <v>188</v>
      </c>
      <c r="M322" s="56"/>
    </row>
    <row r="323" spans="2:13" ht="13.5" customHeight="1" thickBot="1" x14ac:dyDescent="0.25">
      <c r="B323" s="185">
        <f t="shared" si="101"/>
        <v>8022</v>
      </c>
      <c r="C323" s="185">
        <f t="shared" si="101"/>
        <v>6363</v>
      </c>
      <c r="D323" s="185">
        <f t="shared" si="101"/>
        <v>1659</v>
      </c>
      <c r="E323" s="185">
        <f t="shared" si="101"/>
        <v>77</v>
      </c>
      <c r="F323" s="185">
        <f t="shared" si="101"/>
        <v>52</v>
      </c>
      <c r="G323" s="185">
        <f t="shared" si="101"/>
        <v>25</v>
      </c>
      <c r="H323" s="185">
        <f t="shared" si="101"/>
        <v>7945</v>
      </c>
      <c r="I323" s="185">
        <f t="shared" si="101"/>
        <v>6311</v>
      </c>
      <c r="J323" s="185">
        <f t="shared" si="101"/>
        <v>1634</v>
      </c>
      <c r="K323" s="188" t="s">
        <v>12</v>
      </c>
      <c r="L323" s="133"/>
      <c r="M323" s="56"/>
    </row>
    <row r="324" spans="2:13" ht="13.5" customHeight="1" thickBot="1" x14ac:dyDescent="0.25">
      <c r="B324" s="476" t="s">
        <v>4</v>
      </c>
      <c r="C324" s="476"/>
      <c r="D324" s="476"/>
      <c r="E324" s="476" t="s">
        <v>145</v>
      </c>
      <c r="F324" s="476"/>
      <c r="G324" s="476"/>
      <c r="H324" s="476" t="s">
        <v>146</v>
      </c>
      <c r="I324" s="476"/>
      <c r="J324" s="476"/>
      <c r="K324" s="479" t="s">
        <v>66</v>
      </c>
      <c r="L324" s="479"/>
      <c r="M324" s="56"/>
    </row>
    <row r="325" spans="2:13" ht="13.5" customHeight="1" thickBot="1" x14ac:dyDescent="0.25">
      <c r="B325" s="185" t="s">
        <v>227</v>
      </c>
      <c r="C325" s="185" t="s">
        <v>10</v>
      </c>
      <c r="D325" s="185" t="s">
        <v>9</v>
      </c>
      <c r="E325" s="185" t="s">
        <v>227</v>
      </c>
      <c r="F325" s="185" t="s">
        <v>10</v>
      </c>
      <c r="G325" s="185" t="s">
        <v>9</v>
      </c>
      <c r="H325" s="185" t="s">
        <v>227</v>
      </c>
      <c r="I325" s="185" t="s">
        <v>10</v>
      </c>
      <c r="J325" s="185" t="s">
        <v>9</v>
      </c>
      <c r="K325" s="480" t="s">
        <v>75</v>
      </c>
      <c r="L325" s="480"/>
      <c r="M325" s="56"/>
    </row>
    <row r="326" spans="2:13" ht="13.5" customHeight="1" thickBot="1" x14ac:dyDescent="0.25">
      <c r="B326" s="185">
        <f>SUM(C326:D326)</f>
        <v>62</v>
      </c>
      <c r="C326" s="185">
        <f>I326+F326</f>
        <v>42</v>
      </c>
      <c r="D326" s="185">
        <f>J326+G326</f>
        <v>20</v>
      </c>
      <c r="E326" s="185">
        <f>SUM(F326:G326)</f>
        <v>20</v>
      </c>
      <c r="F326" s="185">
        <v>0</v>
      </c>
      <c r="G326" s="185">
        <v>20</v>
      </c>
      <c r="H326" s="185">
        <f>SUM(I326:J326)</f>
        <v>42</v>
      </c>
      <c r="I326" s="185">
        <v>42</v>
      </c>
      <c r="J326" s="185">
        <v>0</v>
      </c>
      <c r="K326" s="188" t="s">
        <v>233</v>
      </c>
      <c r="L326" s="129"/>
      <c r="M326" s="56"/>
    </row>
    <row r="327" spans="2:13" ht="13.5" customHeight="1" thickBot="1" x14ac:dyDescent="0.25">
      <c r="B327" s="185">
        <f>SUM(C327:D327)</f>
        <v>0</v>
      </c>
      <c r="C327" s="185">
        <f>I327+F327</f>
        <v>0</v>
      </c>
      <c r="D327" s="185">
        <f>J327+G327</f>
        <v>0</v>
      </c>
      <c r="E327" s="185">
        <f>SUM(F327:G327)</f>
        <v>0</v>
      </c>
      <c r="F327" s="185">
        <v>0</v>
      </c>
      <c r="G327" s="185">
        <v>0</v>
      </c>
      <c r="H327" s="185">
        <f>SUM(I327:J327)</f>
        <v>0</v>
      </c>
      <c r="I327" s="185">
        <v>0</v>
      </c>
      <c r="J327" s="185">
        <v>0</v>
      </c>
      <c r="K327" s="188" t="s">
        <v>234</v>
      </c>
      <c r="L327" s="129" t="s">
        <v>451</v>
      </c>
      <c r="M327" s="56"/>
    </row>
    <row r="328" spans="2:13" ht="13.5" customHeight="1" thickBot="1" x14ac:dyDescent="0.25">
      <c r="B328" s="185">
        <f t="shared" ref="B328:J328" si="102">SUM(B326:B327)</f>
        <v>62</v>
      </c>
      <c r="C328" s="185">
        <f t="shared" si="102"/>
        <v>42</v>
      </c>
      <c r="D328" s="185">
        <f t="shared" si="102"/>
        <v>20</v>
      </c>
      <c r="E328" s="185">
        <f t="shared" si="102"/>
        <v>20</v>
      </c>
      <c r="F328" s="185">
        <f t="shared" si="102"/>
        <v>0</v>
      </c>
      <c r="G328" s="185">
        <f t="shared" si="102"/>
        <v>20</v>
      </c>
      <c r="H328" s="185">
        <f t="shared" si="102"/>
        <v>42</v>
      </c>
      <c r="I328" s="185">
        <f t="shared" si="102"/>
        <v>42</v>
      </c>
      <c r="J328" s="185">
        <f t="shared" si="102"/>
        <v>0</v>
      </c>
      <c r="K328" s="188" t="s">
        <v>12</v>
      </c>
      <c r="L328" s="130"/>
      <c r="M328" s="56"/>
    </row>
    <row r="329" spans="2:13" ht="13.5" customHeight="1" thickBot="1" x14ac:dyDescent="0.25">
      <c r="B329" s="185">
        <f>SUM(C329:D329)</f>
        <v>200</v>
      </c>
      <c r="C329" s="185">
        <f>I329+F329</f>
        <v>0</v>
      </c>
      <c r="D329" s="185">
        <f>J329+G329</f>
        <v>200</v>
      </c>
      <c r="E329" s="185">
        <f>SUM(F329:G329)</f>
        <v>0</v>
      </c>
      <c r="F329" s="185">
        <v>0</v>
      </c>
      <c r="G329" s="185">
        <v>0</v>
      </c>
      <c r="H329" s="185">
        <f>SUM(I329:J329)</f>
        <v>200</v>
      </c>
      <c r="I329" s="185">
        <v>0</v>
      </c>
      <c r="J329" s="185">
        <f>300-100</f>
        <v>200</v>
      </c>
      <c r="K329" s="188" t="s">
        <v>233</v>
      </c>
      <c r="L329" s="129"/>
      <c r="M329" s="56"/>
    </row>
    <row r="330" spans="2:13" ht="13.5" customHeight="1" thickBot="1" x14ac:dyDescent="0.25">
      <c r="B330" s="185">
        <f>SUM(C330:D330)</f>
        <v>0</v>
      </c>
      <c r="C330" s="185">
        <f>I330+F330</f>
        <v>0</v>
      </c>
      <c r="D330" s="185">
        <f>J330+G330</f>
        <v>0</v>
      </c>
      <c r="E330" s="185">
        <f>SUM(F330:G330)</f>
        <v>0</v>
      </c>
      <c r="F330" s="185">
        <v>0</v>
      </c>
      <c r="G330" s="185">
        <v>0</v>
      </c>
      <c r="H330" s="185">
        <f>SUM(I330:J330)</f>
        <v>0</v>
      </c>
      <c r="I330" s="185">
        <v>0</v>
      </c>
      <c r="J330" s="185">
        <v>0</v>
      </c>
      <c r="K330" s="188" t="s">
        <v>234</v>
      </c>
      <c r="L330" s="129" t="s">
        <v>654</v>
      </c>
      <c r="M330" s="56"/>
    </row>
    <row r="331" spans="2:13" ht="13.5" customHeight="1" thickBot="1" x14ac:dyDescent="0.25">
      <c r="B331" s="185">
        <f t="shared" ref="B331:J331" si="103">SUM(B329:B330)</f>
        <v>200</v>
      </c>
      <c r="C331" s="185">
        <f t="shared" si="103"/>
        <v>0</v>
      </c>
      <c r="D331" s="185">
        <f t="shared" si="103"/>
        <v>200</v>
      </c>
      <c r="E331" s="185">
        <f t="shared" si="103"/>
        <v>0</v>
      </c>
      <c r="F331" s="185">
        <f t="shared" si="103"/>
        <v>0</v>
      </c>
      <c r="G331" s="185">
        <f t="shared" si="103"/>
        <v>0</v>
      </c>
      <c r="H331" s="185">
        <f t="shared" si="103"/>
        <v>200</v>
      </c>
      <c r="I331" s="185">
        <f t="shared" si="103"/>
        <v>0</v>
      </c>
      <c r="J331" s="185">
        <f t="shared" si="103"/>
        <v>200</v>
      </c>
      <c r="K331" s="188" t="s">
        <v>12</v>
      </c>
      <c r="L331" s="130"/>
      <c r="M331" s="56"/>
    </row>
    <row r="332" spans="2:13" ht="13.5" customHeight="1" thickBot="1" x14ac:dyDescent="0.25">
      <c r="B332" s="185">
        <f>SUM(C332:D332)</f>
        <v>377</v>
      </c>
      <c r="C332" s="185">
        <f>I332+F332</f>
        <v>0</v>
      </c>
      <c r="D332" s="185">
        <f>J332+G332</f>
        <v>377</v>
      </c>
      <c r="E332" s="185">
        <f>SUM(F332:G332)</f>
        <v>1</v>
      </c>
      <c r="F332" s="185">
        <v>0</v>
      </c>
      <c r="G332" s="185">
        <v>1</v>
      </c>
      <c r="H332" s="185">
        <f>SUM(I332:J332)</f>
        <v>376</v>
      </c>
      <c r="I332" s="185">
        <v>0</v>
      </c>
      <c r="J332" s="185">
        <f>476-100</f>
        <v>376</v>
      </c>
      <c r="K332" s="188" t="s">
        <v>233</v>
      </c>
      <c r="L332" s="129"/>
      <c r="M332" s="56"/>
    </row>
    <row r="333" spans="2:13" ht="13.5" customHeight="1" thickBot="1" x14ac:dyDescent="0.25">
      <c r="B333" s="185">
        <f>SUM(C333:D333)</f>
        <v>0</v>
      </c>
      <c r="C333" s="185">
        <f>I333+F333</f>
        <v>0</v>
      </c>
      <c r="D333" s="185">
        <f>J333+G333</f>
        <v>0</v>
      </c>
      <c r="E333" s="185">
        <f>SUM(F333:G333)</f>
        <v>0</v>
      </c>
      <c r="F333" s="185">
        <v>0</v>
      </c>
      <c r="G333" s="185">
        <v>0</v>
      </c>
      <c r="H333" s="185">
        <f>SUM(I333:J333)</f>
        <v>0</v>
      </c>
      <c r="I333" s="185">
        <v>0</v>
      </c>
      <c r="J333" s="185">
        <v>0</v>
      </c>
      <c r="K333" s="188" t="s">
        <v>234</v>
      </c>
      <c r="L333" s="129" t="s">
        <v>624</v>
      </c>
      <c r="M333" s="56"/>
    </row>
    <row r="334" spans="2:13" ht="13.5" customHeight="1" thickBot="1" x14ac:dyDescent="0.25">
      <c r="B334" s="185">
        <f t="shared" ref="B334:J334" si="104">SUM(B332:B333)</f>
        <v>377</v>
      </c>
      <c r="C334" s="185">
        <f t="shared" si="104"/>
        <v>0</v>
      </c>
      <c r="D334" s="185">
        <f t="shared" si="104"/>
        <v>377</v>
      </c>
      <c r="E334" s="185">
        <f t="shared" si="104"/>
        <v>1</v>
      </c>
      <c r="F334" s="185">
        <f t="shared" si="104"/>
        <v>0</v>
      </c>
      <c r="G334" s="185">
        <f t="shared" si="104"/>
        <v>1</v>
      </c>
      <c r="H334" s="185">
        <f t="shared" si="104"/>
        <v>376</v>
      </c>
      <c r="I334" s="185">
        <f t="shared" si="104"/>
        <v>0</v>
      </c>
      <c r="J334" s="185">
        <f t="shared" si="104"/>
        <v>376</v>
      </c>
      <c r="K334" s="188" t="s">
        <v>12</v>
      </c>
      <c r="L334" s="130"/>
      <c r="M334" s="56"/>
    </row>
    <row r="335" spans="2:13" ht="13.5" customHeight="1" thickBot="1" x14ac:dyDescent="0.25">
      <c r="B335" s="185">
        <f>SUM(C335:D335)</f>
        <v>388</v>
      </c>
      <c r="C335" s="185">
        <f>I335+F335</f>
        <v>0</v>
      </c>
      <c r="D335" s="185">
        <f>J335+G335</f>
        <v>388</v>
      </c>
      <c r="E335" s="185">
        <f>SUM(F335:G335)</f>
        <v>0</v>
      </c>
      <c r="F335" s="185">
        <v>0</v>
      </c>
      <c r="G335" s="185">
        <v>0</v>
      </c>
      <c r="H335" s="185">
        <f>SUM(I335:J335)</f>
        <v>388</v>
      </c>
      <c r="I335" s="185">
        <v>0</v>
      </c>
      <c r="J335" s="185">
        <f>488-100</f>
        <v>388</v>
      </c>
      <c r="K335" s="188" t="s">
        <v>233</v>
      </c>
      <c r="L335" s="129"/>
      <c r="M335" s="56"/>
    </row>
    <row r="336" spans="2:13" ht="13.5" customHeight="1" thickBot="1" x14ac:dyDescent="0.25">
      <c r="B336" s="185">
        <f>SUM(C336:D336)</f>
        <v>0</v>
      </c>
      <c r="C336" s="185">
        <f>I336+F336</f>
        <v>0</v>
      </c>
      <c r="D336" s="185">
        <f>J336+G336</f>
        <v>0</v>
      </c>
      <c r="E336" s="185">
        <f>SUM(F336:G336)</f>
        <v>0</v>
      </c>
      <c r="F336" s="185">
        <v>0</v>
      </c>
      <c r="G336" s="185">
        <v>0</v>
      </c>
      <c r="H336" s="185">
        <f>SUM(I336:J336)</f>
        <v>0</v>
      </c>
      <c r="I336" s="185">
        <v>0</v>
      </c>
      <c r="J336" s="185">
        <v>0</v>
      </c>
      <c r="K336" s="188" t="s">
        <v>234</v>
      </c>
      <c r="L336" s="129" t="s">
        <v>452</v>
      </c>
      <c r="M336" s="56"/>
    </row>
    <row r="337" spans="2:13" ht="13.5" customHeight="1" thickBot="1" x14ac:dyDescent="0.25">
      <c r="B337" s="185">
        <f t="shared" ref="B337:J337" si="105">SUM(B335:B336)</f>
        <v>388</v>
      </c>
      <c r="C337" s="185">
        <f t="shared" si="105"/>
        <v>0</v>
      </c>
      <c r="D337" s="185">
        <f t="shared" si="105"/>
        <v>388</v>
      </c>
      <c r="E337" s="185">
        <f t="shared" si="105"/>
        <v>0</v>
      </c>
      <c r="F337" s="185">
        <f t="shared" si="105"/>
        <v>0</v>
      </c>
      <c r="G337" s="185">
        <f t="shared" si="105"/>
        <v>0</v>
      </c>
      <c r="H337" s="185">
        <f t="shared" si="105"/>
        <v>388</v>
      </c>
      <c r="I337" s="185">
        <f t="shared" si="105"/>
        <v>0</v>
      </c>
      <c r="J337" s="185">
        <f t="shared" si="105"/>
        <v>388</v>
      </c>
      <c r="K337" s="188" t="s">
        <v>12</v>
      </c>
      <c r="L337" s="130"/>
      <c r="M337" s="56"/>
    </row>
    <row r="338" spans="2:13" ht="13.5" customHeight="1" thickBot="1" x14ac:dyDescent="0.25">
      <c r="B338" s="185">
        <f>SUM(C338:D338)</f>
        <v>310</v>
      </c>
      <c r="C338" s="185">
        <f>I338+F338</f>
        <v>0</v>
      </c>
      <c r="D338" s="185">
        <f>J338+G338</f>
        <v>310</v>
      </c>
      <c r="E338" s="185">
        <f>SUM(F338:G338)</f>
        <v>0</v>
      </c>
      <c r="F338" s="185">
        <v>0</v>
      </c>
      <c r="G338" s="185">
        <v>0</v>
      </c>
      <c r="H338" s="185">
        <f>SUM(I338:J338)</f>
        <v>310</v>
      </c>
      <c r="I338" s="185">
        <v>0</v>
      </c>
      <c r="J338" s="185">
        <v>310</v>
      </c>
      <c r="K338" s="188" t="s">
        <v>233</v>
      </c>
      <c r="L338" s="129"/>
      <c r="M338" s="56"/>
    </row>
    <row r="339" spans="2:13" ht="13.5" customHeight="1" thickBot="1" x14ac:dyDescent="0.25">
      <c r="B339" s="185">
        <f>SUM(C339:D339)</f>
        <v>0</v>
      </c>
      <c r="C339" s="185">
        <f>I339+F339</f>
        <v>0</v>
      </c>
      <c r="D339" s="185">
        <f>J339+G339</f>
        <v>0</v>
      </c>
      <c r="E339" s="185">
        <f>SUM(F339:G339)</f>
        <v>0</v>
      </c>
      <c r="F339" s="185">
        <v>0</v>
      </c>
      <c r="G339" s="185">
        <v>0</v>
      </c>
      <c r="H339" s="185">
        <f>SUM(I339:J339)</f>
        <v>0</v>
      </c>
      <c r="I339" s="185">
        <v>0</v>
      </c>
      <c r="J339" s="185">
        <v>0</v>
      </c>
      <c r="K339" s="188" t="s">
        <v>234</v>
      </c>
      <c r="L339" s="129" t="s">
        <v>453</v>
      </c>
      <c r="M339" s="56"/>
    </row>
    <row r="340" spans="2:13" ht="13.5" customHeight="1" thickBot="1" x14ac:dyDescent="0.25">
      <c r="B340" s="185">
        <f t="shared" ref="B340:J340" si="106">SUM(B338:B339)</f>
        <v>310</v>
      </c>
      <c r="C340" s="185">
        <f t="shared" si="106"/>
        <v>0</v>
      </c>
      <c r="D340" s="185">
        <f t="shared" si="106"/>
        <v>310</v>
      </c>
      <c r="E340" s="185">
        <f t="shared" si="106"/>
        <v>0</v>
      </c>
      <c r="F340" s="185">
        <f t="shared" si="106"/>
        <v>0</v>
      </c>
      <c r="G340" s="185">
        <f t="shared" si="106"/>
        <v>0</v>
      </c>
      <c r="H340" s="185">
        <f t="shared" si="106"/>
        <v>310</v>
      </c>
      <c r="I340" s="185">
        <f t="shared" si="106"/>
        <v>0</v>
      </c>
      <c r="J340" s="185">
        <f t="shared" si="106"/>
        <v>310</v>
      </c>
      <c r="K340" s="188" t="s">
        <v>12</v>
      </c>
      <c r="L340" s="130"/>
      <c r="M340" s="56"/>
    </row>
    <row r="341" spans="2:13" ht="13.5" customHeight="1" thickBot="1" x14ac:dyDescent="0.25">
      <c r="B341" s="185">
        <f>SUM(C341:D341)</f>
        <v>82</v>
      </c>
      <c r="C341" s="185">
        <f>I341+F341</f>
        <v>0</v>
      </c>
      <c r="D341" s="185">
        <f>J341+G341</f>
        <v>82</v>
      </c>
      <c r="E341" s="185">
        <f>SUM(F341:G341)</f>
        <v>0</v>
      </c>
      <c r="F341" s="185">
        <v>0</v>
      </c>
      <c r="G341" s="185">
        <v>0</v>
      </c>
      <c r="H341" s="185">
        <f>SUM(I341:J341)</f>
        <v>82</v>
      </c>
      <c r="I341" s="185">
        <v>0</v>
      </c>
      <c r="J341" s="185">
        <v>82</v>
      </c>
      <c r="K341" s="188" t="s">
        <v>233</v>
      </c>
      <c r="L341" s="129"/>
      <c r="M341" s="56"/>
    </row>
    <row r="342" spans="2:13" ht="13.5" customHeight="1" thickBot="1" x14ac:dyDescent="0.25">
      <c r="B342" s="185">
        <f>SUM(C342:D342)</f>
        <v>0</v>
      </c>
      <c r="C342" s="185">
        <f>I342+F342</f>
        <v>0</v>
      </c>
      <c r="D342" s="185">
        <f>J342+G342</f>
        <v>0</v>
      </c>
      <c r="E342" s="185">
        <f>SUM(F342:G342)</f>
        <v>0</v>
      </c>
      <c r="F342" s="185">
        <v>0</v>
      </c>
      <c r="G342" s="185">
        <v>0</v>
      </c>
      <c r="H342" s="185">
        <f>SUM(I342:J342)</f>
        <v>0</v>
      </c>
      <c r="I342" s="185">
        <v>0</v>
      </c>
      <c r="J342" s="185">
        <v>0</v>
      </c>
      <c r="K342" s="188" t="s">
        <v>234</v>
      </c>
      <c r="L342" s="129" t="s">
        <v>348</v>
      </c>
      <c r="M342" s="56"/>
    </row>
    <row r="343" spans="2:13" ht="13.5" customHeight="1" thickBot="1" x14ac:dyDescent="0.25">
      <c r="B343" s="185">
        <f t="shared" ref="B343:J343" si="107">SUM(B341:B342)</f>
        <v>82</v>
      </c>
      <c r="C343" s="185">
        <f t="shared" si="107"/>
        <v>0</v>
      </c>
      <c r="D343" s="185">
        <f t="shared" si="107"/>
        <v>82</v>
      </c>
      <c r="E343" s="185">
        <f t="shared" si="107"/>
        <v>0</v>
      </c>
      <c r="F343" s="185">
        <f t="shared" si="107"/>
        <v>0</v>
      </c>
      <c r="G343" s="185">
        <f t="shared" si="107"/>
        <v>0</v>
      </c>
      <c r="H343" s="185">
        <f t="shared" si="107"/>
        <v>82</v>
      </c>
      <c r="I343" s="185">
        <f t="shared" si="107"/>
        <v>0</v>
      </c>
      <c r="J343" s="185">
        <f t="shared" si="107"/>
        <v>82</v>
      </c>
      <c r="K343" s="188" t="s">
        <v>12</v>
      </c>
      <c r="L343" s="130"/>
      <c r="M343" s="56"/>
    </row>
    <row r="344" spans="2:13" ht="13.5" customHeight="1" thickBot="1" x14ac:dyDescent="0.25">
      <c r="B344" s="185">
        <f>SUM(C344:D344)</f>
        <v>97</v>
      </c>
      <c r="C344" s="185">
        <f>I344+F344</f>
        <v>0</v>
      </c>
      <c r="D344" s="185">
        <f>J344+G344</f>
        <v>97</v>
      </c>
      <c r="E344" s="185">
        <f>SUM(F344:G344)</f>
        <v>0</v>
      </c>
      <c r="F344" s="185">
        <v>0</v>
      </c>
      <c r="G344" s="185">
        <v>0</v>
      </c>
      <c r="H344" s="185">
        <f>SUM(I344:J344)</f>
        <v>97</v>
      </c>
      <c r="I344" s="185">
        <v>0</v>
      </c>
      <c r="J344" s="185">
        <v>97</v>
      </c>
      <c r="K344" s="188" t="s">
        <v>233</v>
      </c>
      <c r="L344" s="129"/>
      <c r="M344" s="56"/>
    </row>
    <row r="345" spans="2:13" ht="13.5" customHeight="1" thickBot="1" x14ac:dyDescent="0.25">
      <c r="B345" s="185">
        <f>SUM(C345:D345)</f>
        <v>0</v>
      </c>
      <c r="C345" s="185">
        <f>I345+F345</f>
        <v>0</v>
      </c>
      <c r="D345" s="185">
        <f>J345+G345</f>
        <v>0</v>
      </c>
      <c r="E345" s="185">
        <f>SUM(F345:G345)</f>
        <v>0</v>
      </c>
      <c r="F345" s="185">
        <v>0</v>
      </c>
      <c r="G345" s="185">
        <v>0</v>
      </c>
      <c r="H345" s="185">
        <f>SUM(I345:J345)</f>
        <v>0</v>
      </c>
      <c r="I345" s="185">
        <v>0</v>
      </c>
      <c r="J345" s="185">
        <v>0</v>
      </c>
      <c r="K345" s="188" t="s">
        <v>234</v>
      </c>
      <c r="L345" s="129" t="s">
        <v>347</v>
      </c>
      <c r="M345" s="56"/>
    </row>
    <row r="346" spans="2:13" ht="13.5" customHeight="1" thickBot="1" x14ac:dyDescent="0.25">
      <c r="B346" s="185">
        <f t="shared" ref="B346:J346" si="108">SUM(B344:B345)</f>
        <v>97</v>
      </c>
      <c r="C346" s="185">
        <f t="shared" si="108"/>
        <v>0</v>
      </c>
      <c r="D346" s="185">
        <f t="shared" si="108"/>
        <v>97</v>
      </c>
      <c r="E346" s="185">
        <f t="shared" si="108"/>
        <v>0</v>
      </c>
      <c r="F346" s="185">
        <f t="shared" si="108"/>
        <v>0</v>
      </c>
      <c r="G346" s="185">
        <f t="shared" si="108"/>
        <v>0</v>
      </c>
      <c r="H346" s="185">
        <f t="shared" si="108"/>
        <v>97</v>
      </c>
      <c r="I346" s="185">
        <f t="shared" si="108"/>
        <v>0</v>
      </c>
      <c r="J346" s="185">
        <f t="shared" si="108"/>
        <v>97</v>
      </c>
      <c r="K346" s="188" t="s">
        <v>12</v>
      </c>
      <c r="L346" s="130"/>
      <c r="M346" s="56"/>
    </row>
    <row r="347" spans="2:13" ht="13.5" customHeight="1" thickBot="1" x14ac:dyDescent="0.25">
      <c r="B347" s="185">
        <f>SUM(C347:D347)</f>
        <v>100</v>
      </c>
      <c r="C347" s="185">
        <f>I347+F347</f>
        <v>0</v>
      </c>
      <c r="D347" s="185">
        <f>J347+G347</f>
        <v>100</v>
      </c>
      <c r="E347" s="185">
        <f>SUM(F347:G347)</f>
        <v>0</v>
      </c>
      <c r="F347" s="185">
        <v>0</v>
      </c>
      <c r="G347" s="185">
        <v>0</v>
      </c>
      <c r="H347" s="185">
        <f>SUM(I347:J347)</f>
        <v>100</v>
      </c>
      <c r="I347" s="185">
        <v>0</v>
      </c>
      <c r="J347" s="185">
        <v>100</v>
      </c>
      <c r="K347" s="188" t="s">
        <v>233</v>
      </c>
      <c r="L347" s="129"/>
      <c r="M347" s="56"/>
    </row>
    <row r="348" spans="2:13" ht="13.5" customHeight="1" thickBot="1" x14ac:dyDescent="0.25">
      <c r="B348" s="185">
        <f>SUM(C348:D348)</f>
        <v>0</v>
      </c>
      <c r="C348" s="185">
        <f>I348+F348</f>
        <v>0</v>
      </c>
      <c r="D348" s="185">
        <f>J348+G348</f>
        <v>0</v>
      </c>
      <c r="E348" s="185">
        <f>SUM(F348:G348)</f>
        <v>0</v>
      </c>
      <c r="F348" s="185">
        <v>0</v>
      </c>
      <c r="G348" s="185">
        <v>0</v>
      </c>
      <c r="H348" s="185">
        <f>SUM(I348:J348)</f>
        <v>0</v>
      </c>
      <c r="I348" s="185">
        <v>0</v>
      </c>
      <c r="J348" s="185">
        <v>0</v>
      </c>
      <c r="K348" s="188" t="s">
        <v>234</v>
      </c>
      <c r="L348" s="129" t="s">
        <v>454</v>
      </c>
      <c r="M348" s="56"/>
    </row>
    <row r="349" spans="2:13" ht="13.5" customHeight="1" thickBot="1" x14ac:dyDescent="0.25">
      <c r="B349" s="185">
        <f t="shared" ref="B349:J349" si="109">SUM(B347:B348)</f>
        <v>100</v>
      </c>
      <c r="C349" s="185">
        <f t="shared" si="109"/>
        <v>0</v>
      </c>
      <c r="D349" s="185">
        <f t="shared" si="109"/>
        <v>100</v>
      </c>
      <c r="E349" s="185">
        <f t="shared" si="109"/>
        <v>0</v>
      </c>
      <c r="F349" s="185">
        <f t="shared" si="109"/>
        <v>0</v>
      </c>
      <c r="G349" s="185">
        <f t="shared" si="109"/>
        <v>0</v>
      </c>
      <c r="H349" s="185">
        <f t="shared" si="109"/>
        <v>100</v>
      </c>
      <c r="I349" s="185">
        <f t="shared" si="109"/>
        <v>0</v>
      </c>
      <c r="J349" s="185">
        <f t="shared" si="109"/>
        <v>100</v>
      </c>
      <c r="K349" s="188" t="s">
        <v>12</v>
      </c>
      <c r="L349" s="130"/>
      <c r="M349" s="56"/>
    </row>
    <row r="350" spans="2:13" ht="13.5" customHeight="1" thickBot="1" x14ac:dyDescent="0.25">
      <c r="B350" s="185">
        <f>SUM(C350:D350)</f>
        <v>43</v>
      </c>
      <c r="C350" s="185">
        <f>I350+F350</f>
        <v>43</v>
      </c>
      <c r="D350" s="185">
        <f>J350+G350</f>
        <v>0</v>
      </c>
      <c r="E350" s="185">
        <f>SUM(F350:G350)</f>
        <v>4</v>
      </c>
      <c r="F350" s="185">
        <v>4</v>
      </c>
      <c r="G350" s="185">
        <v>0</v>
      </c>
      <c r="H350" s="185">
        <f>SUM(I350:J350)</f>
        <v>39</v>
      </c>
      <c r="I350" s="185">
        <v>39</v>
      </c>
      <c r="J350" s="185">
        <v>0</v>
      </c>
      <c r="K350" s="188" t="s">
        <v>233</v>
      </c>
      <c r="L350" s="129"/>
      <c r="M350" s="56"/>
    </row>
    <row r="351" spans="2:13" ht="13.5" customHeight="1" thickBot="1" x14ac:dyDescent="0.25">
      <c r="B351" s="185">
        <f>SUM(C351:D351)</f>
        <v>0</v>
      </c>
      <c r="C351" s="185">
        <f>I351+F351</f>
        <v>0</v>
      </c>
      <c r="D351" s="185">
        <f>J351+G351</f>
        <v>0</v>
      </c>
      <c r="E351" s="185">
        <f>SUM(F351:G351)</f>
        <v>0</v>
      </c>
      <c r="F351" s="185">
        <v>0</v>
      </c>
      <c r="G351" s="185">
        <v>0</v>
      </c>
      <c r="H351" s="185">
        <f>SUM(I351:J351)</f>
        <v>0</v>
      </c>
      <c r="I351" s="185">
        <v>0</v>
      </c>
      <c r="J351" s="185">
        <v>0</v>
      </c>
      <c r="K351" s="188" t="s">
        <v>234</v>
      </c>
      <c r="L351" s="129" t="s">
        <v>364</v>
      </c>
      <c r="M351" s="56"/>
    </row>
    <row r="352" spans="2:13" ht="13.5" customHeight="1" thickBot="1" x14ac:dyDescent="0.25">
      <c r="B352" s="185">
        <f t="shared" ref="B352:J352" si="110">SUM(B350:B351)</f>
        <v>43</v>
      </c>
      <c r="C352" s="185">
        <f t="shared" si="110"/>
        <v>43</v>
      </c>
      <c r="D352" s="185">
        <f t="shared" si="110"/>
        <v>0</v>
      </c>
      <c r="E352" s="185">
        <f t="shared" si="110"/>
        <v>4</v>
      </c>
      <c r="F352" s="185">
        <f t="shared" si="110"/>
        <v>4</v>
      </c>
      <c r="G352" s="185">
        <f t="shared" si="110"/>
        <v>0</v>
      </c>
      <c r="H352" s="185">
        <f t="shared" si="110"/>
        <v>39</v>
      </c>
      <c r="I352" s="185">
        <f t="shared" si="110"/>
        <v>39</v>
      </c>
      <c r="J352" s="185">
        <f t="shared" si="110"/>
        <v>0</v>
      </c>
      <c r="K352" s="188" t="s">
        <v>12</v>
      </c>
      <c r="L352" s="130"/>
      <c r="M352" s="56"/>
    </row>
    <row r="353" spans="2:13" ht="13.5" customHeight="1" thickBot="1" x14ac:dyDescent="0.25">
      <c r="B353" s="185">
        <f>SUM(C353:D353)</f>
        <v>436</v>
      </c>
      <c r="C353" s="185">
        <f>I353+F353</f>
        <v>172</v>
      </c>
      <c r="D353" s="185">
        <f>J353+G353</f>
        <v>264</v>
      </c>
      <c r="E353" s="185">
        <f>SUM(F353:G353)</f>
        <v>0</v>
      </c>
      <c r="F353" s="185">
        <v>0</v>
      </c>
      <c r="G353" s="185">
        <v>0</v>
      </c>
      <c r="H353" s="185">
        <f>SUM(I353:J353)</f>
        <v>436</v>
      </c>
      <c r="I353" s="185">
        <f>72+100</f>
        <v>172</v>
      </c>
      <c r="J353" s="185">
        <v>264</v>
      </c>
      <c r="K353" s="188" t="s">
        <v>233</v>
      </c>
      <c r="L353" s="129"/>
      <c r="M353" s="56"/>
    </row>
    <row r="354" spans="2:13" ht="13.5" customHeight="1" thickBot="1" x14ac:dyDescent="0.25">
      <c r="B354" s="185">
        <f>SUM(C354:D354)</f>
        <v>0</v>
      </c>
      <c r="C354" s="185">
        <f>I354+F354</f>
        <v>0</v>
      </c>
      <c r="D354" s="185">
        <f>J354+G354</f>
        <v>0</v>
      </c>
      <c r="E354" s="185">
        <f>SUM(F354:G354)</f>
        <v>0</v>
      </c>
      <c r="F354" s="185">
        <v>0</v>
      </c>
      <c r="G354" s="185">
        <v>0</v>
      </c>
      <c r="H354" s="185">
        <f>SUM(I354:J354)</f>
        <v>0</v>
      </c>
      <c r="I354" s="185">
        <v>0</v>
      </c>
      <c r="J354" s="185">
        <v>0</v>
      </c>
      <c r="K354" s="188" t="s">
        <v>234</v>
      </c>
      <c r="L354" s="129" t="s">
        <v>455</v>
      </c>
      <c r="M354" s="56"/>
    </row>
    <row r="355" spans="2:13" ht="13.5" customHeight="1" thickBot="1" x14ac:dyDescent="0.25">
      <c r="B355" s="185">
        <f t="shared" ref="B355:J355" si="111">SUM(B353:B354)</f>
        <v>436</v>
      </c>
      <c r="C355" s="185">
        <f t="shared" si="111"/>
        <v>172</v>
      </c>
      <c r="D355" s="185">
        <f t="shared" si="111"/>
        <v>264</v>
      </c>
      <c r="E355" s="185">
        <f t="shared" si="111"/>
        <v>0</v>
      </c>
      <c r="F355" s="185">
        <f t="shared" si="111"/>
        <v>0</v>
      </c>
      <c r="G355" s="185">
        <f t="shared" si="111"/>
        <v>0</v>
      </c>
      <c r="H355" s="185">
        <f t="shared" si="111"/>
        <v>436</v>
      </c>
      <c r="I355" s="185">
        <f t="shared" si="111"/>
        <v>172</v>
      </c>
      <c r="J355" s="185">
        <f t="shared" si="111"/>
        <v>264</v>
      </c>
      <c r="K355" s="188" t="s">
        <v>12</v>
      </c>
      <c r="L355" s="130"/>
      <c r="M355" s="56"/>
    </row>
    <row r="356" spans="2:13" ht="13.5" customHeight="1" thickBot="1" x14ac:dyDescent="0.25">
      <c r="B356" s="185">
        <f>SUM(C356:D356)</f>
        <v>88</v>
      </c>
      <c r="C356" s="185">
        <f>I356+F356</f>
        <v>0</v>
      </c>
      <c r="D356" s="185">
        <f>J356+G356</f>
        <v>88</v>
      </c>
      <c r="E356" s="185">
        <f>SUM(F356:G356)</f>
        <v>0</v>
      </c>
      <c r="F356" s="185">
        <v>0</v>
      </c>
      <c r="G356" s="185">
        <v>0</v>
      </c>
      <c r="H356" s="185">
        <f>SUM(I356:J356)</f>
        <v>88</v>
      </c>
      <c r="I356" s="185">
        <v>0</v>
      </c>
      <c r="J356" s="185">
        <v>88</v>
      </c>
      <c r="K356" s="188" t="s">
        <v>233</v>
      </c>
      <c r="L356" s="129"/>
      <c r="M356" s="56"/>
    </row>
    <row r="357" spans="2:13" ht="13.5" customHeight="1" thickBot="1" x14ac:dyDescent="0.25">
      <c r="B357" s="185">
        <f>SUM(C357:D357)</f>
        <v>0</v>
      </c>
      <c r="C357" s="185">
        <f>I357+F357</f>
        <v>0</v>
      </c>
      <c r="D357" s="185">
        <f>J357+G357</f>
        <v>0</v>
      </c>
      <c r="E357" s="185">
        <f>SUM(F357:G357)</f>
        <v>0</v>
      </c>
      <c r="F357" s="185">
        <v>0</v>
      </c>
      <c r="G357" s="185">
        <v>0</v>
      </c>
      <c r="H357" s="185">
        <f>SUM(I357:J357)</f>
        <v>0</v>
      </c>
      <c r="I357" s="185">
        <v>0</v>
      </c>
      <c r="J357" s="185">
        <v>0</v>
      </c>
      <c r="K357" s="188" t="s">
        <v>234</v>
      </c>
      <c r="L357" s="129" t="s">
        <v>344</v>
      </c>
      <c r="M357" s="56"/>
    </row>
    <row r="358" spans="2:13" ht="13.5" customHeight="1" thickBot="1" x14ac:dyDescent="0.25">
      <c r="B358" s="185">
        <f t="shared" ref="B358:J358" si="112">SUM(B356:B357)</f>
        <v>88</v>
      </c>
      <c r="C358" s="185">
        <f t="shared" si="112"/>
        <v>0</v>
      </c>
      <c r="D358" s="185">
        <f t="shared" si="112"/>
        <v>88</v>
      </c>
      <c r="E358" s="185">
        <f t="shared" si="112"/>
        <v>0</v>
      </c>
      <c r="F358" s="185">
        <f t="shared" si="112"/>
        <v>0</v>
      </c>
      <c r="G358" s="185">
        <f t="shared" si="112"/>
        <v>0</v>
      </c>
      <c r="H358" s="185">
        <f t="shared" si="112"/>
        <v>88</v>
      </c>
      <c r="I358" s="185">
        <f t="shared" si="112"/>
        <v>0</v>
      </c>
      <c r="J358" s="185">
        <f t="shared" si="112"/>
        <v>88</v>
      </c>
      <c r="K358" s="188" t="s">
        <v>12</v>
      </c>
      <c r="L358" s="130"/>
      <c r="M358" s="56"/>
    </row>
    <row r="359" spans="2:13" ht="13.5" customHeight="1" thickBot="1" x14ac:dyDescent="0.25">
      <c r="B359" s="185">
        <f>SUM(C359:D359)</f>
        <v>115</v>
      </c>
      <c r="C359" s="185">
        <f>I359+F359</f>
        <v>115</v>
      </c>
      <c r="D359" s="185">
        <f>J359+G359</f>
        <v>0</v>
      </c>
      <c r="E359" s="185">
        <f>SUM(F359:G359)</f>
        <v>0</v>
      </c>
      <c r="F359" s="185">
        <v>0</v>
      </c>
      <c r="G359" s="185">
        <v>0</v>
      </c>
      <c r="H359" s="185">
        <f>SUM(I359:J359)</f>
        <v>115</v>
      </c>
      <c r="I359" s="185">
        <f>95+20</f>
        <v>115</v>
      </c>
      <c r="J359" s="185">
        <v>0</v>
      </c>
      <c r="K359" s="188" t="s">
        <v>233</v>
      </c>
      <c r="L359" s="129"/>
      <c r="M359" s="56"/>
    </row>
    <row r="360" spans="2:13" ht="13.5" customHeight="1" thickBot="1" x14ac:dyDescent="0.25">
      <c r="B360" s="185">
        <f>SUM(C360:D360)</f>
        <v>25</v>
      </c>
      <c r="C360" s="185">
        <f>I360+F360</f>
        <v>25</v>
      </c>
      <c r="D360" s="185">
        <f>J360+G360</f>
        <v>0</v>
      </c>
      <c r="E360" s="185">
        <f>SUM(F360:G360)</f>
        <v>0</v>
      </c>
      <c r="F360" s="185">
        <v>0</v>
      </c>
      <c r="G360" s="185">
        <v>0</v>
      </c>
      <c r="H360" s="185">
        <f>SUM(I360:J360)</f>
        <v>25</v>
      </c>
      <c r="I360" s="185">
        <f>5+20</f>
        <v>25</v>
      </c>
      <c r="J360" s="185">
        <v>0</v>
      </c>
      <c r="K360" s="188" t="s">
        <v>234</v>
      </c>
      <c r="L360" s="129" t="s">
        <v>456</v>
      </c>
      <c r="M360" s="56"/>
    </row>
    <row r="361" spans="2:13" ht="13.5" customHeight="1" thickBot="1" x14ac:dyDescent="0.25">
      <c r="B361" s="185">
        <f t="shared" ref="B361:J361" si="113">SUM(B359:B360)</f>
        <v>140</v>
      </c>
      <c r="C361" s="185">
        <f t="shared" si="113"/>
        <v>140</v>
      </c>
      <c r="D361" s="185">
        <f t="shared" si="113"/>
        <v>0</v>
      </c>
      <c r="E361" s="185">
        <f t="shared" si="113"/>
        <v>0</v>
      </c>
      <c r="F361" s="185">
        <f t="shared" si="113"/>
        <v>0</v>
      </c>
      <c r="G361" s="185">
        <f t="shared" si="113"/>
        <v>0</v>
      </c>
      <c r="H361" s="185">
        <f t="shared" si="113"/>
        <v>140</v>
      </c>
      <c r="I361" s="185">
        <f t="shared" si="113"/>
        <v>140</v>
      </c>
      <c r="J361" s="185">
        <f t="shared" si="113"/>
        <v>0</v>
      </c>
      <c r="K361" s="188" t="s">
        <v>12</v>
      </c>
      <c r="L361" s="130"/>
      <c r="M361" s="56"/>
    </row>
    <row r="362" spans="2:13" ht="13.5" customHeight="1" thickBot="1" x14ac:dyDescent="0.25">
      <c r="B362" s="185">
        <f>SUM(C362:D362)</f>
        <v>589</v>
      </c>
      <c r="C362" s="185">
        <f>I362+F362</f>
        <v>589</v>
      </c>
      <c r="D362" s="185">
        <f>J362+G362</f>
        <v>0</v>
      </c>
      <c r="E362" s="185">
        <f>SUM(F362:G362)</f>
        <v>0</v>
      </c>
      <c r="F362" s="185">
        <v>0</v>
      </c>
      <c r="G362" s="185">
        <v>0</v>
      </c>
      <c r="H362" s="185">
        <f>SUM(I362:J362)</f>
        <v>589</v>
      </c>
      <c r="I362" s="185">
        <v>589</v>
      </c>
      <c r="J362" s="185">
        <v>0</v>
      </c>
      <c r="K362" s="188" t="s">
        <v>233</v>
      </c>
      <c r="L362" s="129"/>
      <c r="M362" s="56"/>
    </row>
    <row r="363" spans="2:13" ht="13.5" customHeight="1" thickBot="1" x14ac:dyDescent="0.25">
      <c r="B363" s="185">
        <f>SUM(C363:D363)</f>
        <v>0</v>
      </c>
      <c r="C363" s="185">
        <f>I363+F363</f>
        <v>0</v>
      </c>
      <c r="D363" s="185">
        <f>J363+G363</f>
        <v>0</v>
      </c>
      <c r="E363" s="185">
        <f>SUM(F363:G363)</f>
        <v>0</v>
      </c>
      <c r="F363" s="185">
        <v>0</v>
      </c>
      <c r="G363" s="185">
        <v>0</v>
      </c>
      <c r="H363" s="185">
        <f>SUM(I363:J363)</f>
        <v>0</v>
      </c>
      <c r="I363" s="185">
        <v>0</v>
      </c>
      <c r="J363" s="185">
        <v>0</v>
      </c>
      <c r="K363" s="188" t="s">
        <v>234</v>
      </c>
      <c r="L363" s="129" t="s">
        <v>457</v>
      </c>
      <c r="M363" s="56"/>
    </row>
    <row r="364" spans="2:13" ht="13.5" customHeight="1" thickBot="1" x14ac:dyDescent="0.25">
      <c r="B364" s="185">
        <f t="shared" ref="B364:J364" si="114">SUM(B362:B363)</f>
        <v>589</v>
      </c>
      <c r="C364" s="185">
        <f t="shared" si="114"/>
        <v>589</v>
      </c>
      <c r="D364" s="185">
        <f t="shared" si="114"/>
        <v>0</v>
      </c>
      <c r="E364" s="185">
        <f t="shared" si="114"/>
        <v>0</v>
      </c>
      <c r="F364" s="185">
        <f t="shared" si="114"/>
        <v>0</v>
      </c>
      <c r="G364" s="185">
        <f t="shared" si="114"/>
        <v>0</v>
      </c>
      <c r="H364" s="185">
        <f t="shared" si="114"/>
        <v>589</v>
      </c>
      <c r="I364" s="185">
        <f t="shared" si="114"/>
        <v>589</v>
      </c>
      <c r="J364" s="185">
        <f t="shared" si="114"/>
        <v>0</v>
      </c>
      <c r="K364" s="188" t="s">
        <v>12</v>
      </c>
      <c r="L364" s="130"/>
      <c r="M364" s="56"/>
    </row>
    <row r="365" spans="2:13" ht="13.5" customHeight="1" thickBot="1" x14ac:dyDescent="0.25">
      <c r="B365" s="185">
        <f>SUM(C365:D365)</f>
        <v>953</v>
      </c>
      <c r="C365" s="185">
        <f>I365+F365</f>
        <v>953</v>
      </c>
      <c r="D365" s="185">
        <f>J365+G365</f>
        <v>0</v>
      </c>
      <c r="E365" s="185">
        <f>SUM(F365:G365)</f>
        <v>0</v>
      </c>
      <c r="F365" s="185">
        <v>0</v>
      </c>
      <c r="G365" s="185">
        <v>0</v>
      </c>
      <c r="H365" s="185">
        <f>SUM(I365:J365)</f>
        <v>953</v>
      </c>
      <c r="I365" s="185">
        <v>953</v>
      </c>
      <c r="J365" s="185">
        <v>0</v>
      </c>
      <c r="K365" s="188" t="s">
        <v>233</v>
      </c>
      <c r="L365" s="129"/>
      <c r="M365" s="56"/>
    </row>
    <row r="366" spans="2:13" ht="13.5" customHeight="1" thickBot="1" x14ac:dyDescent="0.25">
      <c r="B366" s="185">
        <f>SUM(C366:D366)</f>
        <v>68</v>
      </c>
      <c r="C366" s="185">
        <f>I366+F366</f>
        <v>68</v>
      </c>
      <c r="D366" s="185">
        <f>J366+G366</f>
        <v>0</v>
      </c>
      <c r="E366" s="185">
        <f>SUM(F366:G366)</f>
        <v>0</v>
      </c>
      <c r="F366" s="185">
        <v>0</v>
      </c>
      <c r="G366" s="185">
        <v>0</v>
      </c>
      <c r="H366" s="185">
        <f>SUM(I366:J366)</f>
        <v>68</v>
      </c>
      <c r="I366" s="185">
        <v>68</v>
      </c>
      <c r="J366" s="185">
        <v>0</v>
      </c>
      <c r="K366" s="188" t="s">
        <v>234</v>
      </c>
      <c r="L366" s="129" t="s">
        <v>458</v>
      </c>
      <c r="M366" s="56"/>
    </row>
    <row r="367" spans="2:13" ht="13.5" customHeight="1" thickBot="1" x14ac:dyDescent="0.25">
      <c r="B367" s="185">
        <f t="shared" ref="B367:J367" si="115">SUM(B365:B366)</f>
        <v>1021</v>
      </c>
      <c r="C367" s="185">
        <f t="shared" si="115"/>
        <v>1021</v>
      </c>
      <c r="D367" s="185">
        <f t="shared" si="115"/>
        <v>0</v>
      </c>
      <c r="E367" s="185">
        <f t="shared" si="115"/>
        <v>0</v>
      </c>
      <c r="F367" s="185">
        <f t="shared" si="115"/>
        <v>0</v>
      </c>
      <c r="G367" s="185">
        <f t="shared" si="115"/>
        <v>0</v>
      </c>
      <c r="H367" s="185">
        <f t="shared" si="115"/>
        <v>1021</v>
      </c>
      <c r="I367" s="185">
        <f t="shared" si="115"/>
        <v>1021</v>
      </c>
      <c r="J367" s="185">
        <f t="shared" si="115"/>
        <v>0</v>
      </c>
      <c r="K367" s="188" t="s">
        <v>12</v>
      </c>
      <c r="L367" s="130"/>
      <c r="M367" s="56"/>
    </row>
    <row r="368" spans="2:13" ht="13.5" customHeight="1" thickBot="1" x14ac:dyDescent="0.25">
      <c r="B368" s="185">
        <f>SUM(C368:D368)</f>
        <v>296</v>
      </c>
      <c r="C368" s="185">
        <f>I368+F368</f>
        <v>296</v>
      </c>
      <c r="D368" s="185">
        <f>J368+G368</f>
        <v>0</v>
      </c>
      <c r="E368" s="185">
        <f>SUM(F368:G368)</f>
        <v>0</v>
      </c>
      <c r="F368" s="185">
        <v>0</v>
      </c>
      <c r="G368" s="185">
        <v>0</v>
      </c>
      <c r="H368" s="185">
        <f>SUM(I368:J368)</f>
        <v>296</v>
      </c>
      <c r="I368" s="185">
        <v>296</v>
      </c>
      <c r="J368" s="185">
        <v>0</v>
      </c>
      <c r="K368" s="188" t="s">
        <v>233</v>
      </c>
      <c r="L368" s="129"/>
      <c r="M368" s="56"/>
    </row>
    <row r="369" spans="2:13" ht="13.5" customHeight="1" thickBot="1" x14ac:dyDescent="0.25">
      <c r="B369" s="185">
        <f>SUM(C369:D369)</f>
        <v>0</v>
      </c>
      <c r="C369" s="185">
        <f>I369+F369</f>
        <v>0</v>
      </c>
      <c r="D369" s="185">
        <f>J369+G369</f>
        <v>0</v>
      </c>
      <c r="E369" s="185">
        <f>SUM(F369:G369)</f>
        <v>0</v>
      </c>
      <c r="F369" s="185">
        <v>0</v>
      </c>
      <c r="G369" s="185">
        <v>0</v>
      </c>
      <c r="H369" s="185">
        <f>SUM(I369:J369)</f>
        <v>0</v>
      </c>
      <c r="I369" s="185">
        <v>0</v>
      </c>
      <c r="J369" s="185">
        <v>0</v>
      </c>
      <c r="K369" s="188" t="s">
        <v>234</v>
      </c>
      <c r="L369" s="129" t="s">
        <v>459</v>
      </c>
      <c r="M369" s="56"/>
    </row>
    <row r="370" spans="2:13" ht="13.5" customHeight="1" thickBot="1" x14ac:dyDescent="0.25">
      <c r="B370" s="185">
        <f t="shared" ref="B370:J370" si="116">SUM(B368:B369)</f>
        <v>296</v>
      </c>
      <c r="C370" s="185">
        <f t="shared" si="116"/>
        <v>296</v>
      </c>
      <c r="D370" s="185">
        <f t="shared" si="116"/>
        <v>0</v>
      </c>
      <c r="E370" s="185">
        <f t="shared" si="116"/>
        <v>0</v>
      </c>
      <c r="F370" s="185">
        <f t="shared" si="116"/>
        <v>0</v>
      </c>
      <c r="G370" s="185">
        <f t="shared" si="116"/>
        <v>0</v>
      </c>
      <c r="H370" s="185">
        <f t="shared" si="116"/>
        <v>296</v>
      </c>
      <c r="I370" s="185">
        <f t="shared" si="116"/>
        <v>296</v>
      </c>
      <c r="J370" s="185">
        <f t="shared" si="116"/>
        <v>0</v>
      </c>
      <c r="K370" s="188" t="s">
        <v>12</v>
      </c>
      <c r="L370" s="130"/>
      <c r="M370" s="56"/>
    </row>
    <row r="371" spans="2:13" ht="13.5" customHeight="1" thickBot="1" x14ac:dyDescent="0.25">
      <c r="B371" s="185">
        <f>SUM(C371:D371)</f>
        <v>372</v>
      </c>
      <c r="C371" s="185">
        <f>I371+F371</f>
        <v>372</v>
      </c>
      <c r="D371" s="185">
        <f>J371+G371</f>
        <v>0</v>
      </c>
      <c r="E371" s="185">
        <f>SUM(F371:G371)</f>
        <v>0</v>
      </c>
      <c r="F371" s="185">
        <v>0</v>
      </c>
      <c r="G371" s="185">
        <v>0</v>
      </c>
      <c r="H371" s="185">
        <f>SUM(I371:J371)</f>
        <v>372</v>
      </c>
      <c r="I371" s="185">
        <f>322+50</f>
        <v>372</v>
      </c>
      <c r="J371" s="185">
        <v>0</v>
      </c>
      <c r="K371" s="188" t="s">
        <v>233</v>
      </c>
      <c r="L371" s="129"/>
      <c r="M371" s="56"/>
    </row>
    <row r="372" spans="2:13" ht="13.5" customHeight="1" thickBot="1" x14ac:dyDescent="0.25">
      <c r="B372" s="185">
        <f>SUM(C372:D372)</f>
        <v>0</v>
      </c>
      <c r="C372" s="185">
        <f>I372+F372</f>
        <v>0</v>
      </c>
      <c r="D372" s="185">
        <f>J372+G372</f>
        <v>0</v>
      </c>
      <c r="E372" s="185">
        <f>SUM(F372:G372)</f>
        <v>0</v>
      </c>
      <c r="F372" s="185">
        <v>0</v>
      </c>
      <c r="G372" s="185">
        <v>0</v>
      </c>
      <c r="H372" s="185">
        <f>SUM(I372:J372)</f>
        <v>0</v>
      </c>
      <c r="I372" s="185">
        <v>0</v>
      </c>
      <c r="J372" s="185">
        <v>0</v>
      </c>
      <c r="K372" s="188" t="s">
        <v>234</v>
      </c>
      <c r="L372" s="129" t="s">
        <v>460</v>
      </c>
      <c r="M372" s="56"/>
    </row>
    <row r="373" spans="2:13" ht="13.5" customHeight="1" thickBot="1" x14ac:dyDescent="0.25">
      <c r="B373" s="185">
        <f t="shared" ref="B373:J373" si="117">SUM(B371:B372)</f>
        <v>372</v>
      </c>
      <c r="C373" s="185">
        <f t="shared" si="117"/>
        <v>372</v>
      </c>
      <c r="D373" s="185">
        <f t="shared" si="117"/>
        <v>0</v>
      </c>
      <c r="E373" s="185">
        <f t="shared" si="117"/>
        <v>0</v>
      </c>
      <c r="F373" s="185">
        <f t="shared" si="117"/>
        <v>0</v>
      </c>
      <c r="G373" s="185">
        <f t="shared" si="117"/>
        <v>0</v>
      </c>
      <c r="H373" s="185">
        <f t="shared" si="117"/>
        <v>372</v>
      </c>
      <c r="I373" s="185">
        <f t="shared" si="117"/>
        <v>372</v>
      </c>
      <c r="J373" s="185">
        <f t="shared" si="117"/>
        <v>0</v>
      </c>
      <c r="K373" s="188" t="s">
        <v>12</v>
      </c>
      <c r="L373" s="130"/>
      <c r="M373" s="56"/>
    </row>
    <row r="374" spans="2:13" ht="13.5" customHeight="1" thickBot="1" x14ac:dyDescent="0.25">
      <c r="B374" s="185">
        <f>SUM(C374:D374)</f>
        <v>259</v>
      </c>
      <c r="C374" s="185">
        <f>I374+F374</f>
        <v>259</v>
      </c>
      <c r="D374" s="185">
        <f>J374+G374</f>
        <v>0</v>
      </c>
      <c r="E374" s="185">
        <f>SUM(F374:G374)</f>
        <v>0</v>
      </c>
      <c r="F374" s="185">
        <v>0</v>
      </c>
      <c r="G374" s="185">
        <v>0</v>
      </c>
      <c r="H374" s="185">
        <f>SUM(I374:J374)</f>
        <v>259</v>
      </c>
      <c r="I374" s="185">
        <f>209+50</f>
        <v>259</v>
      </c>
      <c r="J374" s="185">
        <v>0</v>
      </c>
      <c r="K374" s="188" t="s">
        <v>233</v>
      </c>
      <c r="L374" s="129"/>
      <c r="M374" s="56"/>
    </row>
    <row r="375" spans="2:13" ht="13.5" customHeight="1" thickBot="1" x14ac:dyDescent="0.25">
      <c r="B375" s="185">
        <f>SUM(C375:D375)</f>
        <v>55</v>
      </c>
      <c r="C375" s="185">
        <f>I375+F375</f>
        <v>55</v>
      </c>
      <c r="D375" s="185">
        <f>J375+G375</f>
        <v>0</v>
      </c>
      <c r="E375" s="185">
        <f>SUM(F375:G375)</f>
        <v>0</v>
      </c>
      <c r="F375" s="185">
        <v>0</v>
      </c>
      <c r="G375" s="185">
        <v>0</v>
      </c>
      <c r="H375" s="185">
        <f>SUM(I375:J375)</f>
        <v>55</v>
      </c>
      <c r="I375" s="185">
        <f>5+50</f>
        <v>55</v>
      </c>
      <c r="J375" s="185">
        <v>0</v>
      </c>
      <c r="K375" s="188" t="s">
        <v>234</v>
      </c>
      <c r="L375" s="129" t="s">
        <v>461</v>
      </c>
      <c r="M375" s="56"/>
    </row>
    <row r="376" spans="2:13" ht="13.5" customHeight="1" thickBot="1" x14ac:dyDescent="0.25">
      <c r="B376" s="185">
        <f t="shared" ref="B376:J376" si="118">SUM(B374:B375)</f>
        <v>314</v>
      </c>
      <c r="C376" s="185">
        <f t="shared" si="118"/>
        <v>314</v>
      </c>
      <c r="D376" s="185">
        <f t="shared" si="118"/>
        <v>0</v>
      </c>
      <c r="E376" s="185">
        <f t="shared" si="118"/>
        <v>0</v>
      </c>
      <c r="F376" s="185">
        <f t="shared" si="118"/>
        <v>0</v>
      </c>
      <c r="G376" s="185">
        <f t="shared" si="118"/>
        <v>0</v>
      </c>
      <c r="H376" s="185">
        <f t="shared" si="118"/>
        <v>314</v>
      </c>
      <c r="I376" s="185">
        <f t="shared" si="118"/>
        <v>314</v>
      </c>
      <c r="J376" s="185">
        <f t="shared" si="118"/>
        <v>0</v>
      </c>
      <c r="K376" s="188" t="s">
        <v>12</v>
      </c>
      <c r="L376" s="130"/>
      <c r="M376" s="56"/>
    </row>
    <row r="377" spans="2:13" ht="13.5" customHeight="1" thickBot="1" x14ac:dyDescent="0.25">
      <c r="B377" s="185">
        <f>SUM(C377:D377)</f>
        <v>384</v>
      </c>
      <c r="C377" s="185">
        <f>I377+F377</f>
        <v>384</v>
      </c>
      <c r="D377" s="185">
        <f>J377+G377</f>
        <v>0</v>
      </c>
      <c r="E377" s="185">
        <f>SUM(F377:G377)</f>
        <v>0</v>
      </c>
      <c r="F377" s="185">
        <v>0</v>
      </c>
      <c r="G377" s="185">
        <v>0</v>
      </c>
      <c r="H377" s="185">
        <f>SUM(I377:J377)</f>
        <v>384</v>
      </c>
      <c r="I377" s="185">
        <f>334+50</f>
        <v>384</v>
      </c>
      <c r="J377" s="185">
        <v>0</v>
      </c>
      <c r="K377" s="188" t="s">
        <v>233</v>
      </c>
      <c r="L377" s="129"/>
      <c r="M377" s="56"/>
    </row>
    <row r="378" spans="2:13" ht="13.5" customHeight="1" thickBot="1" x14ac:dyDescent="0.25">
      <c r="B378" s="185">
        <f>SUM(C378:D378)</f>
        <v>49</v>
      </c>
      <c r="C378" s="185">
        <f>I378+F378</f>
        <v>49</v>
      </c>
      <c r="D378" s="185">
        <f>J378+G378</f>
        <v>0</v>
      </c>
      <c r="E378" s="185">
        <f>SUM(F378:G378)</f>
        <v>0</v>
      </c>
      <c r="F378" s="185">
        <v>0</v>
      </c>
      <c r="G378" s="185">
        <v>0</v>
      </c>
      <c r="H378" s="185">
        <f>SUM(I378:J378)</f>
        <v>49</v>
      </c>
      <c r="I378" s="185">
        <f>19+30</f>
        <v>49</v>
      </c>
      <c r="J378" s="185">
        <v>0</v>
      </c>
      <c r="K378" s="188" t="s">
        <v>234</v>
      </c>
      <c r="L378" s="129" t="s">
        <v>462</v>
      </c>
      <c r="M378" s="56"/>
    </row>
    <row r="379" spans="2:13" ht="13.5" customHeight="1" thickBot="1" x14ac:dyDescent="0.25">
      <c r="B379" s="185">
        <f t="shared" ref="B379:J379" si="119">SUM(B377:B378)</f>
        <v>433</v>
      </c>
      <c r="C379" s="185">
        <f t="shared" si="119"/>
        <v>433</v>
      </c>
      <c r="D379" s="185">
        <f t="shared" si="119"/>
        <v>0</v>
      </c>
      <c r="E379" s="185">
        <f t="shared" si="119"/>
        <v>0</v>
      </c>
      <c r="F379" s="185">
        <f t="shared" si="119"/>
        <v>0</v>
      </c>
      <c r="G379" s="185">
        <f t="shared" si="119"/>
        <v>0</v>
      </c>
      <c r="H379" s="185">
        <f t="shared" si="119"/>
        <v>433</v>
      </c>
      <c r="I379" s="185">
        <f t="shared" si="119"/>
        <v>433</v>
      </c>
      <c r="J379" s="185">
        <f t="shared" si="119"/>
        <v>0</v>
      </c>
      <c r="K379" s="188" t="s">
        <v>12</v>
      </c>
      <c r="L379" s="130"/>
      <c r="M379" s="56"/>
    </row>
    <row r="380" spans="2:13" ht="13.5" customHeight="1" thickBot="1" x14ac:dyDescent="0.25">
      <c r="B380" s="185">
        <f>SUM(C380:D380)</f>
        <v>296</v>
      </c>
      <c r="C380" s="185">
        <f>I380+F380</f>
        <v>296</v>
      </c>
      <c r="D380" s="185">
        <f>J380+G380</f>
        <v>0</v>
      </c>
      <c r="E380" s="185">
        <f>SUM(F380:G380)</f>
        <v>0</v>
      </c>
      <c r="F380" s="185">
        <v>0</v>
      </c>
      <c r="G380" s="185">
        <v>0</v>
      </c>
      <c r="H380" s="185">
        <f>SUM(I380:J380)</f>
        <v>296</v>
      </c>
      <c r="I380" s="185">
        <f>246+50</f>
        <v>296</v>
      </c>
      <c r="J380" s="185">
        <v>0</v>
      </c>
      <c r="K380" s="188" t="s">
        <v>233</v>
      </c>
      <c r="L380" s="129"/>
      <c r="M380" s="56"/>
    </row>
    <row r="381" spans="2:13" ht="13.5" customHeight="1" thickBot="1" x14ac:dyDescent="0.25">
      <c r="B381" s="185">
        <f>SUM(C381:D381)</f>
        <v>26</v>
      </c>
      <c r="C381" s="185">
        <f>I381+F381</f>
        <v>26</v>
      </c>
      <c r="D381" s="185">
        <f>J381+G381</f>
        <v>0</v>
      </c>
      <c r="E381" s="185">
        <f>SUM(F381:G381)</f>
        <v>0</v>
      </c>
      <c r="F381" s="185">
        <v>0</v>
      </c>
      <c r="G381" s="185">
        <v>0</v>
      </c>
      <c r="H381" s="185">
        <f>SUM(I381:J381)</f>
        <v>26</v>
      </c>
      <c r="I381" s="185">
        <v>26</v>
      </c>
      <c r="J381" s="185">
        <v>0</v>
      </c>
      <c r="K381" s="188" t="s">
        <v>234</v>
      </c>
      <c r="L381" s="129" t="s">
        <v>463</v>
      </c>
      <c r="M381" s="56"/>
    </row>
    <row r="382" spans="2:13" ht="13.5" customHeight="1" thickBot="1" x14ac:dyDescent="0.25">
      <c r="B382" s="185">
        <f t="shared" ref="B382:J382" si="120">SUM(B380:B381)</f>
        <v>322</v>
      </c>
      <c r="C382" s="185">
        <f t="shared" si="120"/>
        <v>322</v>
      </c>
      <c r="D382" s="185">
        <f t="shared" si="120"/>
        <v>0</v>
      </c>
      <c r="E382" s="185">
        <f t="shared" si="120"/>
        <v>0</v>
      </c>
      <c r="F382" s="185">
        <f t="shared" si="120"/>
        <v>0</v>
      </c>
      <c r="G382" s="185">
        <f t="shared" si="120"/>
        <v>0</v>
      </c>
      <c r="H382" s="185">
        <f t="shared" si="120"/>
        <v>322</v>
      </c>
      <c r="I382" s="185">
        <f t="shared" si="120"/>
        <v>322</v>
      </c>
      <c r="J382" s="185">
        <f t="shared" si="120"/>
        <v>0</v>
      </c>
      <c r="K382" s="188" t="s">
        <v>12</v>
      </c>
      <c r="L382" s="130"/>
      <c r="M382" s="56"/>
    </row>
    <row r="383" spans="2:13" ht="13.5" customHeight="1" thickBot="1" x14ac:dyDescent="0.25">
      <c r="B383" s="185">
        <f>SUM(C383:D383)</f>
        <v>398</v>
      </c>
      <c r="C383" s="185">
        <f>I383+F383</f>
        <v>398</v>
      </c>
      <c r="D383" s="185">
        <f>J383+G383</f>
        <v>0</v>
      </c>
      <c r="E383" s="185">
        <f>SUM(F383:G383)</f>
        <v>0</v>
      </c>
      <c r="F383" s="185">
        <v>0</v>
      </c>
      <c r="G383" s="185">
        <v>0</v>
      </c>
      <c r="H383" s="185">
        <f>SUM(I383:J383)</f>
        <v>398</v>
      </c>
      <c r="I383" s="185">
        <f>378+20</f>
        <v>398</v>
      </c>
      <c r="J383" s="185">
        <v>0</v>
      </c>
      <c r="K383" s="188" t="s">
        <v>233</v>
      </c>
      <c r="L383" s="129"/>
      <c r="M383" s="56"/>
    </row>
    <row r="384" spans="2:13" ht="13.5" customHeight="1" thickBot="1" x14ac:dyDescent="0.25">
      <c r="B384" s="185">
        <f>SUM(C384:D384)</f>
        <v>36</v>
      </c>
      <c r="C384" s="185">
        <f>I384+F384</f>
        <v>36</v>
      </c>
      <c r="D384" s="185">
        <f>J384+G384</f>
        <v>0</v>
      </c>
      <c r="E384" s="185">
        <f>SUM(F384:G384)</f>
        <v>0</v>
      </c>
      <c r="F384" s="185">
        <v>0</v>
      </c>
      <c r="G384" s="185">
        <v>0</v>
      </c>
      <c r="H384" s="185">
        <f>SUM(I384:J384)</f>
        <v>36</v>
      </c>
      <c r="I384" s="185">
        <f>6+30</f>
        <v>36</v>
      </c>
      <c r="J384" s="185">
        <v>0</v>
      </c>
      <c r="K384" s="188" t="s">
        <v>234</v>
      </c>
      <c r="L384" s="129" t="s">
        <v>464</v>
      </c>
      <c r="M384" s="56"/>
    </row>
    <row r="385" spans="2:13" ht="13.5" customHeight="1" thickBot="1" x14ac:dyDescent="0.25">
      <c r="B385" s="185">
        <f t="shared" ref="B385:J385" si="121">SUM(B383:B384)</f>
        <v>434</v>
      </c>
      <c r="C385" s="185">
        <f t="shared" si="121"/>
        <v>434</v>
      </c>
      <c r="D385" s="185">
        <f t="shared" si="121"/>
        <v>0</v>
      </c>
      <c r="E385" s="185">
        <f t="shared" si="121"/>
        <v>0</v>
      </c>
      <c r="F385" s="185">
        <f t="shared" si="121"/>
        <v>0</v>
      </c>
      <c r="G385" s="185">
        <f t="shared" si="121"/>
        <v>0</v>
      </c>
      <c r="H385" s="185">
        <f t="shared" si="121"/>
        <v>434</v>
      </c>
      <c r="I385" s="185">
        <f t="shared" si="121"/>
        <v>434</v>
      </c>
      <c r="J385" s="185">
        <f t="shared" si="121"/>
        <v>0</v>
      </c>
      <c r="K385" s="188" t="s">
        <v>12</v>
      </c>
      <c r="L385" s="130"/>
      <c r="M385" s="56"/>
    </row>
    <row r="386" spans="2:13" ht="13.5" customHeight="1" thickBot="1" x14ac:dyDescent="0.25">
      <c r="B386" s="185">
        <f>SUM(C386:D386)</f>
        <v>195</v>
      </c>
      <c r="C386" s="185">
        <f>I386+F386</f>
        <v>195</v>
      </c>
      <c r="D386" s="185">
        <f>J386+G386</f>
        <v>0</v>
      </c>
      <c r="E386" s="185">
        <f>SUM(F386:G386)</f>
        <v>0</v>
      </c>
      <c r="F386" s="185">
        <v>0</v>
      </c>
      <c r="G386" s="185">
        <v>0</v>
      </c>
      <c r="H386" s="185">
        <f>SUM(I386:J386)</f>
        <v>195</v>
      </c>
      <c r="I386" s="185">
        <f>175+20</f>
        <v>195</v>
      </c>
      <c r="J386" s="185">
        <v>0</v>
      </c>
      <c r="K386" s="188" t="s">
        <v>233</v>
      </c>
      <c r="L386" s="129"/>
      <c r="M386" s="56"/>
    </row>
    <row r="387" spans="2:13" ht="13.5" customHeight="1" thickBot="1" x14ac:dyDescent="0.25">
      <c r="B387" s="185">
        <f>SUM(C387:D387)</f>
        <v>42</v>
      </c>
      <c r="C387" s="185">
        <f>I387+F387</f>
        <v>42</v>
      </c>
      <c r="D387" s="185">
        <f>J387+G387</f>
        <v>0</v>
      </c>
      <c r="E387" s="185">
        <f>SUM(F387:G387)</f>
        <v>0</v>
      </c>
      <c r="F387" s="185">
        <v>0</v>
      </c>
      <c r="G387" s="185">
        <v>0</v>
      </c>
      <c r="H387" s="185">
        <f>SUM(I387:J387)</f>
        <v>42</v>
      </c>
      <c r="I387" s="185">
        <f>12+30</f>
        <v>42</v>
      </c>
      <c r="J387" s="185">
        <v>0</v>
      </c>
      <c r="K387" s="188" t="s">
        <v>234</v>
      </c>
      <c r="L387" s="129" t="s">
        <v>465</v>
      </c>
      <c r="M387" s="56"/>
    </row>
    <row r="388" spans="2:13" ht="13.5" customHeight="1" thickBot="1" x14ac:dyDescent="0.25">
      <c r="B388" s="185">
        <f t="shared" ref="B388:J388" si="122">SUM(B386:B387)</f>
        <v>237</v>
      </c>
      <c r="C388" s="185">
        <f t="shared" si="122"/>
        <v>237</v>
      </c>
      <c r="D388" s="185">
        <f t="shared" si="122"/>
        <v>0</v>
      </c>
      <c r="E388" s="185">
        <f t="shared" si="122"/>
        <v>0</v>
      </c>
      <c r="F388" s="185">
        <f t="shared" si="122"/>
        <v>0</v>
      </c>
      <c r="G388" s="185">
        <f t="shared" si="122"/>
        <v>0</v>
      </c>
      <c r="H388" s="185">
        <f t="shared" si="122"/>
        <v>237</v>
      </c>
      <c r="I388" s="185">
        <f t="shared" si="122"/>
        <v>237</v>
      </c>
      <c r="J388" s="185">
        <f t="shared" si="122"/>
        <v>0</v>
      </c>
      <c r="K388" s="188" t="s">
        <v>12</v>
      </c>
      <c r="L388" s="130"/>
      <c r="M388" s="56"/>
    </row>
    <row r="389" spans="2:13" ht="13.5" customHeight="1" thickBot="1" x14ac:dyDescent="0.25">
      <c r="B389" s="185">
        <f>SUM(C389:D389)</f>
        <v>459</v>
      </c>
      <c r="C389" s="185">
        <f>I389+F389</f>
        <v>120</v>
      </c>
      <c r="D389" s="185">
        <f>J389+G389</f>
        <v>339</v>
      </c>
      <c r="E389" s="185">
        <f>SUM(F389:G389)</f>
        <v>0</v>
      </c>
      <c r="F389" s="185">
        <v>0</v>
      </c>
      <c r="G389" s="185">
        <v>0</v>
      </c>
      <c r="H389" s="185">
        <f>SUM(I389:J389)</f>
        <v>459</v>
      </c>
      <c r="I389" s="185">
        <v>120</v>
      </c>
      <c r="J389" s="185">
        <v>339</v>
      </c>
      <c r="K389" s="188" t="s">
        <v>233</v>
      </c>
      <c r="L389" s="129"/>
      <c r="M389" s="56"/>
    </row>
    <row r="390" spans="2:13" ht="13.5" customHeight="1" thickBot="1" x14ac:dyDescent="0.25">
      <c r="B390" s="185">
        <f>SUM(C390:D390)</f>
        <v>0</v>
      </c>
      <c r="C390" s="185">
        <f>I390+F390</f>
        <v>0</v>
      </c>
      <c r="D390" s="185">
        <f>J390+G390</f>
        <v>0</v>
      </c>
      <c r="E390" s="185">
        <f>SUM(F390:G390)</f>
        <v>0</v>
      </c>
      <c r="F390" s="185">
        <v>0</v>
      </c>
      <c r="G390" s="185">
        <v>0</v>
      </c>
      <c r="H390" s="185">
        <f>SUM(I390:J390)</f>
        <v>0</v>
      </c>
      <c r="I390" s="185">
        <v>0</v>
      </c>
      <c r="J390" s="185">
        <v>0</v>
      </c>
      <c r="K390" s="188" t="s">
        <v>234</v>
      </c>
      <c r="L390" s="129" t="s">
        <v>376</v>
      </c>
      <c r="M390" s="56"/>
    </row>
    <row r="391" spans="2:13" ht="13.5" customHeight="1" thickBot="1" x14ac:dyDescent="0.25">
      <c r="B391" s="185">
        <f t="shared" ref="B391:J391" si="123">SUM(B389:B390)</f>
        <v>459</v>
      </c>
      <c r="C391" s="185">
        <f t="shared" si="123"/>
        <v>120</v>
      </c>
      <c r="D391" s="185">
        <f t="shared" si="123"/>
        <v>339</v>
      </c>
      <c r="E391" s="185">
        <f t="shared" si="123"/>
        <v>0</v>
      </c>
      <c r="F391" s="185">
        <f t="shared" si="123"/>
        <v>0</v>
      </c>
      <c r="G391" s="185">
        <f t="shared" si="123"/>
        <v>0</v>
      </c>
      <c r="H391" s="185">
        <f t="shared" si="123"/>
        <v>459</v>
      </c>
      <c r="I391" s="185">
        <f t="shared" si="123"/>
        <v>120</v>
      </c>
      <c r="J391" s="185">
        <f t="shared" si="123"/>
        <v>339</v>
      </c>
      <c r="K391" s="188" t="s">
        <v>12</v>
      </c>
      <c r="L391" s="130"/>
      <c r="M391" s="56"/>
    </row>
    <row r="392" spans="2:13" ht="13.5" customHeight="1" thickBot="1" x14ac:dyDescent="0.25">
      <c r="B392" s="185">
        <f t="shared" ref="B392:J394" si="124">B326+B329+B332+B335+B338+B341+B344+B347+B350+B353+B356+B359+B362+B365+B368+B371+B374+B377+B380+B383+B386+B389</f>
        <v>6499</v>
      </c>
      <c r="C392" s="185">
        <f t="shared" si="124"/>
        <v>4234</v>
      </c>
      <c r="D392" s="185">
        <f t="shared" si="124"/>
        <v>2265</v>
      </c>
      <c r="E392" s="185">
        <f t="shared" si="124"/>
        <v>25</v>
      </c>
      <c r="F392" s="185">
        <f t="shared" si="124"/>
        <v>4</v>
      </c>
      <c r="G392" s="185">
        <f t="shared" si="124"/>
        <v>21</v>
      </c>
      <c r="H392" s="185">
        <f t="shared" si="124"/>
        <v>6474</v>
      </c>
      <c r="I392" s="185">
        <f t="shared" si="124"/>
        <v>4230</v>
      </c>
      <c r="J392" s="185">
        <f t="shared" si="124"/>
        <v>2244</v>
      </c>
      <c r="K392" s="188" t="s">
        <v>236</v>
      </c>
      <c r="L392" s="131"/>
      <c r="M392" s="56"/>
    </row>
    <row r="393" spans="2:13" ht="13.5" customHeight="1" thickBot="1" x14ac:dyDescent="0.25">
      <c r="B393" s="185">
        <f t="shared" si="124"/>
        <v>301</v>
      </c>
      <c r="C393" s="185">
        <f t="shared" si="124"/>
        <v>301</v>
      </c>
      <c r="D393" s="185">
        <f t="shared" si="124"/>
        <v>0</v>
      </c>
      <c r="E393" s="185">
        <f t="shared" si="124"/>
        <v>0</v>
      </c>
      <c r="F393" s="185">
        <f t="shared" si="124"/>
        <v>0</v>
      </c>
      <c r="G393" s="185">
        <f t="shared" si="124"/>
        <v>0</v>
      </c>
      <c r="H393" s="185">
        <f t="shared" si="124"/>
        <v>301</v>
      </c>
      <c r="I393" s="185">
        <f t="shared" si="124"/>
        <v>301</v>
      </c>
      <c r="J393" s="185">
        <f t="shared" si="124"/>
        <v>0</v>
      </c>
      <c r="K393" s="188" t="s">
        <v>237</v>
      </c>
      <c r="L393" s="132" t="s">
        <v>188</v>
      </c>
      <c r="M393" s="56"/>
    </row>
    <row r="394" spans="2:13" ht="13.5" customHeight="1" thickBot="1" x14ac:dyDescent="0.25">
      <c r="B394" s="185">
        <f t="shared" si="124"/>
        <v>6800</v>
      </c>
      <c r="C394" s="185">
        <f t="shared" si="124"/>
        <v>4535</v>
      </c>
      <c r="D394" s="185">
        <f t="shared" si="124"/>
        <v>2265</v>
      </c>
      <c r="E394" s="185">
        <f t="shared" si="124"/>
        <v>25</v>
      </c>
      <c r="F394" s="185">
        <f t="shared" si="124"/>
        <v>4</v>
      </c>
      <c r="G394" s="185">
        <f t="shared" si="124"/>
        <v>21</v>
      </c>
      <c r="H394" s="185">
        <f t="shared" si="124"/>
        <v>6775</v>
      </c>
      <c r="I394" s="185">
        <f t="shared" si="124"/>
        <v>4531</v>
      </c>
      <c r="J394" s="185">
        <f t="shared" si="124"/>
        <v>2244</v>
      </c>
      <c r="K394" s="188" t="s">
        <v>12</v>
      </c>
      <c r="L394" s="133"/>
      <c r="M394" s="56"/>
    </row>
    <row r="395" spans="2:13" ht="13.5" customHeight="1" thickBot="1" x14ac:dyDescent="0.25">
      <c r="B395" s="476" t="s">
        <v>4</v>
      </c>
      <c r="C395" s="476"/>
      <c r="D395" s="476"/>
      <c r="E395" s="476" t="s">
        <v>145</v>
      </c>
      <c r="F395" s="476"/>
      <c r="G395" s="476"/>
      <c r="H395" s="476" t="s">
        <v>146</v>
      </c>
      <c r="I395" s="476"/>
      <c r="J395" s="476"/>
      <c r="K395" s="479" t="s">
        <v>66</v>
      </c>
      <c r="L395" s="479"/>
      <c r="M395" s="56"/>
    </row>
    <row r="396" spans="2:13" ht="13.5" customHeight="1" thickBot="1" x14ac:dyDescent="0.25">
      <c r="B396" s="185" t="s">
        <v>227</v>
      </c>
      <c r="C396" s="185" t="s">
        <v>10</v>
      </c>
      <c r="D396" s="185" t="s">
        <v>9</v>
      </c>
      <c r="E396" s="185" t="s">
        <v>227</v>
      </c>
      <c r="F396" s="185" t="s">
        <v>10</v>
      </c>
      <c r="G396" s="185" t="s">
        <v>9</v>
      </c>
      <c r="H396" s="185" t="s">
        <v>227</v>
      </c>
      <c r="I396" s="185" t="s">
        <v>10</v>
      </c>
      <c r="J396" s="185" t="s">
        <v>9</v>
      </c>
      <c r="K396" s="480" t="s">
        <v>100</v>
      </c>
      <c r="L396" s="480"/>
      <c r="M396" s="56"/>
    </row>
    <row r="397" spans="2:13" ht="13.5" customHeight="1" thickBot="1" x14ac:dyDescent="0.25">
      <c r="B397" s="47">
        <f>SUM(C397:D397)</f>
        <v>306</v>
      </c>
      <c r="C397" s="47">
        <f>I397+F397</f>
        <v>0</v>
      </c>
      <c r="D397" s="47">
        <f>J397+G397</f>
        <v>306</v>
      </c>
      <c r="E397" s="47">
        <f>SUM(F397:G397)</f>
        <v>0</v>
      </c>
      <c r="F397" s="47">
        <v>0</v>
      </c>
      <c r="G397" s="47">
        <v>0</v>
      </c>
      <c r="H397" s="47">
        <f>SUM(I397:J397)</f>
        <v>306</v>
      </c>
      <c r="I397" s="47">
        <v>0</v>
      </c>
      <c r="J397" s="47">
        <f>286+20</f>
        <v>306</v>
      </c>
      <c r="K397" s="188" t="s">
        <v>233</v>
      </c>
      <c r="L397" s="129"/>
      <c r="M397" s="56"/>
    </row>
    <row r="398" spans="2:13" ht="13.5" customHeight="1" thickBot="1" x14ac:dyDescent="0.25">
      <c r="B398" s="47">
        <f>SUM(C398:D398)</f>
        <v>0</v>
      </c>
      <c r="C398" s="47">
        <f>I398+F398</f>
        <v>0</v>
      </c>
      <c r="D398" s="47">
        <f>J398+G398</f>
        <v>0</v>
      </c>
      <c r="E398" s="47">
        <f>SUM(F398:G398)</f>
        <v>0</v>
      </c>
      <c r="F398" s="47">
        <v>0</v>
      </c>
      <c r="G398" s="47">
        <v>0</v>
      </c>
      <c r="H398" s="47">
        <f>SUM(I398:J398)</f>
        <v>0</v>
      </c>
      <c r="I398" s="47">
        <v>0</v>
      </c>
      <c r="J398" s="47">
        <v>0</v>
      </c>
      <c r="K398" s="188" t="s">
        <v>234</v>
      </c>
      <c r="L398" s="129" t="s">
        <v>469</v>
      </c>
      <c r="M398" s="56"/>
    </row>
    <row r="399" spans="2:13" ht="13.5" customHeight="1" thickBot="1" x14ac:dyDescent="0.25">
      <c r="B399" s="47">
        <f t="shared" ref="B399:J399" si="125">SUM(B397:B398)</f>
        <v>306</v>
      </c>
      <c r="C399" s="47">
        <f t="shared" si="125"/>
        <v>0</v>
      </c>
      <c r="D399" s="47">
        <f t="shared" si="125"/>
        <v>306</v>
      </c>
      <c r="E399" s="47">
        <f t="shared" si="125"/>
        <v>0</v>
      </c>
      <c r="F399" s="47">
        <f t="shared" si="125"/>
        <v>0</v>
      </c>
      <c r="G399" s="47">
        <f t="shared" si="125"/>
        <v>0</v>
      </c>
      <c r="H399" s="47">
        <f t="shared" si="125"/>
        <v>306</v>
      </c>
      <c r="I399" s="47">
        <f t="shared" si="125"/>
        <v>0</v>
      </c>
      <c r="J399" s="47">
        <f t="shared" si="125"/>
        <v>306</v>
      </c>
      <c r="K399" s="188" t="s">
        <v>12</v>
      </c>
      <c r="L399" s="130"/>
      <c r="M399" s="56"/>
    </row>
    <row r="400" spans="2:13" ht="13.5" customHeight="1" thickBot="1" x14ac:dyDescent="0.25">
      <c r="B400" s="47">
        <f>SUM(C400:D400)</f>
        <v>189</v>
      </c>
      <c r="C400" s="47">
        <f>I400+F400</f>
        <v>0</v>
      </c>
      <c r="D400" s="47">
        <f>J400+G400</f>
        <v>189</v>
      </c>
      <c r="E400" s="47">
        <f>SUM(F400:G400)</f>
        <v>1</v>
      </c>
      <c r="F400" s="47">
        <v>0</v>
      </c>
      <c r="G400" s="47">
        <v>1</v>
      </c>
      <c r="H400" s="47">
        <f>SUM(I400:J400)</f>
        <v>188</v>
      </c>
      <c r="I400" s="47">
        <v>0</v>
      </c>
      <c r="J400" s="47">
        <f>178+10</f>
        <v>188</v>
      </c>
      <c r="K400" s="188" t="s">
        <v>233</v>
      </c>
      <c r="L400" s="129"/>
      <c r="M400" s="56"/>
    </row>
    <row r="401" spans="2:13" ht="13.5" customHeight="1" thickBot="1" x14ac:dyDescent="0.25">
      <c r="B401" s="47">
        <f>SUM(C401:D401)</f>
        <v>6</v>
      </c>
      <c r="C401" s="47">
        <f>I401+F401</f>
        <v>0</v>
      </c>
      <c r="D401" s="47">
        <f>J401+G401</f>
        <v>6</v>
      </c>
      <c r="E401" s="47">
        <f>SUM(F401:G401)</f>
        <v>0</v>
      </c>
      <c r="F401" s="47">
        <v>0</v>
      </c>
      <c r="G401" s="47">
        <v>0</v>
      </c>
      <c r="H401" s="47">
        <f>SUM(I401:J401)</f>
        <v>6</v>
      </c>
      <c r="I401" s="47">
        <v>0</v>
      </c>
      <c r="J401" s="47">
        <v>6</v>
      </c>
      <c r="K401" s="188" t="s">
        <v>234</v>
      </c>
      <c r="L401" s="129" t="s">
        <v>453</v>
      </c>
      <c r="M401" s="56"/>
    </row>
    <row r="402" spans="2:13" ht="13.5" customHeight="1" thickBot="1" x14ac:dyDescent="0.25">
      <c r="B402" s="47">
        <f t="shared" ref="B402:J402" si="126">SUM(B400:B401)</f>
        <v>195</v>
      </c>
      <c r="C402" s="47">
        <f t="shared" si="126"/>
        <v>0</v>
      </c>
      <c r="D402" s="47">
        <f t="shared" si="126"/>
        <v>195</v>
      </c>
      <c r="E402" s="47">
        <f t="shared" si="126"/>
        <v>1</v>
      </c>
      <c r="F402" s="47">
        <f t="shared" si="126"/>
        <v>0</v>
      </c>
      <c r="G402" s="47">
        <f t="shared" si="126"/>
        <v>1</v>
      </c>
      <c r="H402" s="47">
        <f t="shared" si="126"/>
        <v>194</v>
      </c>
      <c r="I402" s="47">
        <f t="shared" si="126"/>
        <v>0</v>
      </c>
      <c r="J402" s="47">
        <f t="shared" si="126"/>
        <v>194</v>
      </c>
      <c r="K402" s="188" t="s">
        <v>12</v>
      </c>
      <c r="L402" s="130"/>
      <c r="M402" s="56"/>
    </row>
    <row r="403" spans="2:13" ht="13.5" customHeight="1" thickBot="1" x14ac:dyDescent="0.25">
      <c r="B403" s="47">
        <f>SUM(C403:D403)</f>
        <v>353</v>
      </c>
      <c r="C403" s="47">
        <f>I403+F403</f>
        <v>0</v>
      </c>
      <c r="D403" s="47">
        <f>J403+G403</f>
        <v>353</v>
      </c>
      <c r="E403" s="47">
        <f>SUM(F403:G403)</f>
        <v>0</v>
      </c>
      <c r="F403" s="47">
        <v>0</v>
      </c>
      <c r="G403" s="47">
        <v>0</v>
      </c>
      <c r="H403" s="47">
        <f>SUM(I403:J403)</f>
        <v>353</v>
      </c>
      <c r="I403" s="47">
        <v>0</v>
      </c>
      <c r="J403" s="47">
        <f>343+10</f>
        <v>353</v>
      </c>
      <c r="K403" s="188" t="s">
        <v>233</v>
      </c>
      <c r="L403" s="129"/>
      <c r="M403" s="56"/>
    </row>
    <row r="404" spans="2:13" ht="13.5" customHeight="1" thickBot="1" x14ac:dyDescent="0.25">
      <c r="B404" s="47">
        <f>SUM(C404:D404)</f>
        <v>1</v>
      </c>
      <c r="C404" s="47">
        <f>I404+F404</f>
        <v>0</v>
      </c>
      <c r="D404" s="47">
        <f>J404+G404</f>
        <v>1</v>
      </c>
      <c r="E404" s="47">
        <f>SUM(F404:G404)</f>
        <v>0</v>
      </c>
      <c r="F404" s="47">
        <v>0</v>
      </c>
      <c r="G404" s="47">
        <v>0</v>
      </c>
      <c r="H404" s="47">
        <f>SUM(I404:J404)</f>
        <v>1</v>
      </c>
      <c r="I404" s="47">
        <v>0</v>
      </c>
      <c r="J404" s="47">
        <v>1</v>
      </c>
      <c r="K404" s="188" t="s">
        <v>234</v>
      </c>
      <c r="L404" s="129" t="s">
        <v>470</v>
      </c>
      <c r="M404" s="56"/>
    </row>
    <row r="405" spans="2:13" ht="13.5" customHeight="1" thickBot="1" x14ac:dyDescent="0.25">
      <c r="B405" s="47">
        <f t="shared" ref="B405:J405" si="127">SUM(B403:B404)</f>
        <v>354</v>
      </c>
      <c r="C405" s="47">
        <f t="shared" si="127"/>
        <v>0</v>
      </c>
      <c r="D405" s="47">
        <f t="shared" si="127"/>
        <v>354</v>
      </c>
      <c r="E405" s="47">
        <f t="shared" si="127"/>
        <v>0</v>
      </c>
      <c r="F405" s="47">
        <f t="shared" si="127"/>
        <v>0</v>
      </c>
      <c r="G405" s="47">
        <f t="shared" si="127"/>
        <v>0</v>
      </c>
      <c r="H405" s="47">
        <f t="shared" si="127"/>
        <v>354</v>
      </c>
      <c r="I405" s="47">
        <f t="shared" si="127"/>
        <v>0</v>
      </c>
      <c r="J405" s="47">
        <f t="shared" si="127"/>
        <v>354</v>
      </c>
      <c r="K405" s="188" t="s">
        <v>12</v>
      </c>
      <c r="L405" s="130"/>
      <c r="M405" s="56"/>
    </row>
    <row r="406" spans="2:13" ht="13.5" customHeight="1" thickBot="1" x14ac:dyDescent="0.25">
      <c r="B406" s="47">
        <f>SUM(C406:D406)</f>
        <v>414</v>
      </c>
      <c r="C406" s="47">
        <f>I406+F406</f>
        <v>162</v>
      </c>
      <c r="D406" s="47">
        <f>J406+G406</f>
        <v>252</v>
      </c>
      <c r="E406" s="47">
        <f>SUM(F406:G406)</f>
        <v>0</v>
      </c>
      <c r="F406" s="47">
        <v>0</v>
      </c>
      <c r="G406" s="47">
        <v>0</v>
      </c>
      <c r="H406" s="47">
        <f>SUM(I406:J406)</f>
        <v>414</v>
      </c>
      <c r="I406" s="47">
        <f>182-20</f>
        <v>162</v>
      </c>
      <c r="J406" s="47">
        <v>252</v>
      </c>
      <c r="K406" s="188" t="s">
        <v>233</v>
      </c>
      <c r="L406" s="129"/>
      <c r="M406" s="56"/>
    </row>
    <row r="407" spans="2:13" ht="13.5" customHeight="1" thickBot="1" x14ac:dyDescent="0.25">
      <c r="B407" s="47">
        <f>SUM(C407:D407)</f>
        <v>0</v>
      </c>
      <c r="C407" s="47">
        <f>I407+F407</f>
        <v>0</v>
      </c>
      <c r="D407" s="47">
        <f>J407+G407</f>
        <v>0</v>
      </c>
      <c r="E407" s="47">
        <f>SUM(F407:G407)</f>
        <v>0</v>
      </c>
      <c r="F407" s="47">
        <v>0</v>
      </c>
      <c r="G407" s="47">
        <v>0</v>
      </c>
      <c r="H407" s="47">
        <f>SUM(I407:J407)</f>
        <v>0</v>
      </c>
      <c r="I407" s="47">
        <v>0</v>
      </c>
      <c r="J407" s="47">
        <v>0</v>
      </c>
      <c r="K407" s="188" t="s">
        <v>234</v>
      </c>
      <c r="L407" s="129" t="s">
        <v>471</v>
      </c>
      <c r="M407" s="56"/>
    </row>
    <row r="408" spans="2:13" ht="13.5" customHeight="1" thickBot="1" x14ac:dyDescent="0.25">
      <c r="B408" s="47">
        <f t="shared" ref="B408:J408" si="128">SUM(B406:B407)</f>
        <v>414</v>
      </c>
      <c r="C408" s="47">
        <f t="shared" si="128"/>
        <v>162</v>
      </c>
      <c r="D408" s="47">
        <f t="shared" si="128"/>
        <v>252</v>
      </c>
      <c r="E408" s="47">
        <f t="shared" si="128"/>
        <v>0</v>
      </c>
      <c r="F408" s="47">
        <f t="shared" si="128"/>
        <v>0</v>
      </c>
      <c r="G408" s="47">
        <f t="shared" si="128"/>
        <v>0</v>
      </c>
      <c r="H408" s="47">
        <f t="shared" si="128"/>
        <v>414</v>
      </c>
      <c r="I408" s="47">
        <f t="shared" si="128"/>
        <v>162</v>
      </c>
      <c r="J408" s="47">
        <f t="shared" si="128"/>
        <v>252</v>
      </c>
      <c r="K408" s="188" t="s">
        <v>12</v>
      </c>
      <c r="L408" s="130"/>
      <c r="M408" s="56"/>
    </row>
    <row r="409" spans="2:13" ht="13.5" customHeight="1" thickBot="1" x14ac:dyDescent="0.25">
      <c r="B409" s="47">
        <f>SUM(C409:D409)</f>
        <v>162</v>
      </c>
      <c r="C409" s="47">
        <f>I409+F409</f>
        <v>0</v>
      </c>
      <c r="D409" s="47">
        <f>J409+G409</f>
        <v>162</v>
      </c>
      <c r="E409" s="47">
        <f>SUM(F409:G409)</f>
        <v>0</v>
      </c>
      <c r="F409" s="47">
        <v>0</v>
      </c>
      <c r="G409" s="47">
        <v>0</v>
      </c>
      <c r="H409" s="47">
        <f>SUM(I409:J409)</f>
        <v>162</v>
      </c>
      <c r="I409" s="47">
        <v>0</v>
      </c>
      <c r="J409" s="47">
        <f>152+10</f>
        <v>162</v>
      </c>
      <c r="K409" s="188" t="s">
        <v>233</v>
      </c>
      <c r="L409" s="129"/>
      <c r="M409" s="56"/>
    </row>
    <row r="410" spans="2:13" ht="13.5" customHeight="1" thickBot="1" x14ac:dyDescent="0.25">
      <c r="B410" s="47">
        <f>SUM(C410:D410)</f>
        <v>0</v>
      </c>
      <c r="C410" s="47">
        <f>I410+F410</f>
        <v>0</v>
      </c>
      <c r="D410" s="47">
        <f>J410+G410</f>
        <v>0</v>
      </c>
      <c r="E410" s="47">
        <f>SUM(F410:G410)</f>
        <v>0</v>
      </c>
      <c r="F410" s="47">
        <v>0</v>
      </c>
      <c r="G410" s="47">
        <v>0</v>
      </c>
      <c r="H410" s="47">
        <f>SUM(I410:J410)</f>
        <v>0</v>
      </c>
      <c r="I410" s="47">
        <v>0</v>
      </c>
      <c r="J410" s="47">
        <v>0</v>
      </c>
      <c r="K410" s="188" t="s">
        <v>234</v>
      </c>
      <c r="L410" s="129" t="s">
        <v>472</v>
      </c>
      <c r="M410" s="56"/>
    </row>
    <row r="411" spans="2:13" ht="13.5" customHeight="1" thickBot="1" x14ac:dyDescent="0.25">
      <c r="B411" s="47">
        <f t="shared" ref="B411:J411" si="129">SUM(B409:B410)</f>
        <v>162</v>
      </c>
      <c r="C411" s="47">
        <f t="shared" si="129"/>
        <v>0</v>
      </c>
      <c r="D411" s="47">
        <f t="shared" si="129"/>
        <v>162</v>
      </c>
      <c r="E411" s="47">
        <f t="shared" si="129"/>
        <v>0</v>
      </c>
      <c r="F411" s="47">
        <f t="shared" si="129"/>
        <v>0</v>
      </c>
      <c r="G411" s="47">
        <f t="shared" si="129"/>
        <v>0</v>
      </c>
      <c r="H411" s="47">
        <f t="shared" si="129"/>
        <v>162</v>
      </c>
      <c r="I411" s="47">
        <f t="shared" si="129"/>
        <v>0</v>
      </c>
      <c r="J411" s="47">
        <f t="shared" si="129"/>
        <v>162</v>
      </c>
      <c r="K411" s="188" t="s">
        <v>12</v>
      </c>
      <c r="L411" s="130"/>
      <c r="M411" s="56"/>
    </row>
    <row r="412" spans="2:13" ht="13.5" customHeight="1" thickBot="1" x14ac:dyDescent="0.25">
      <c r="B412" s="47">
        <f>SUM(C412:D412)</f>
        <v>114</v>
      </c>
      <c r="C412" s="47">
        <f>I412+F412</f>
        <v>32</v>
      </c>
      <c r="D412" s="47">
        <f>J412+G412</f>
        <v>82</v>
      </c>
      <c r="E412" s="47">
        <f>SUM(F412:G412)</f>
        <v>0</v>
      </c>
      <c r="F412" s="47">
        <v>0</v>
      </c>
      <c r="G412" s="47">
        <v>0</v>
      </c>
      <c r="H412" s="47">
        <f>SUM(I412:J412)</f>
        <v>114</v>
      </c>
      <c r="I412" s="47">
        <v>32</v>
      </c>
      <c r="J412" s="47">
        <v>82</v>
      </c>
      <c r="K412" s="188" t="s">
        <v>233</v>
      </c>
      <c r="L412" s="129"/>
      <c r="M412" s="56"/>
    </row>
    <row r="413" spans="2:13" ht="13.5" customHeight="1" thickBot="1" x14ac:dyDescent="0.25">
      <c r="B413" s="47">
        <f>SUM(C413:D413)</f>
        <v>0</v>
      </c>
      <c r="C413" s="47">
        <f>I413+F413</f>
        <v>0</v>
      </c>
      <c r="D413" s="47">
        <f>J413+G413</f>
        <v>0</v>
      </c>
      <c r="E413" s="47">
        <f>SUM(F413:G413)</f>
        <v>0</v>
      </c>
      <c r="F413" s="47">
        <v>0</v>
      </c>
      <c r="G413" s="47">
        <v>0</v>
      </c>
      <c r="H413" s="47">
        <f>SUM(I413:J413)</f>
        <v>0</v>
      </c>
      <c r="I413" s="47">
        <v>0</v>
      </c>
      <c r="J413" s="47">
        <v>0</v>
      </c>
      <c r="K413" s="188" t="s">
        <v>234</v>
      </c>
      <c r="L413" s="129" t="s">
        <v>417</v>
      </c>
      <c r="M413" s="56"/>
    </row>
    <row r="414" spans="2:13" ht="13.5" customHeight="1" thickBot="1" x14ac:dyDescent="0.25">
      <c r="B414" s="47">
        <f t="shared" ref="B414:J414" si="130">SUM(B412:B413)</f>
        <v>114</v>
      </c>
      <c r="C414" s="47">
        <f t="shared" si="130"/>
        <v>32</v>
      </c>
      <c r="D414" s="47">
        <f t="shared" si="130"/>
        <v>82</v>
      </c>
      <c r="E414" s="47">
        <f t="shared" si="130"/>
        <v>0</v>
      </c>
      <c r="F414" s="47">
        <f t="shared" si="130"/>
        <v>0</v>
      </c>
      <c r="G414" s="47">
        <f t="shared" si="130"/>
        <v>0</v>
      </c>
      <c r="H414" s="47">
        <f t="shared" si="130"/>
        <v>114</v>
      </c>
      <c r="I414" s="47">
        <f t="shared" si="130"/>
        <v>32</v>
      </c>
      <c r="J414" s="47">
        <f t="shared" si="130"/>
        <v>82</v>
      </c>
      <c r="K414" s="188" t="s">
        <v>12</v>
      </c>
      <c r="L414" s="130"/>
      <c r="M414" s="56"/>
    </row>
    <row r="415" spans="2:13" ht="13.5" customHeight="1" thickBot="1" x14ac:dyDescent="0.25">
      <c r="B415" s="47">
        <f>SUM(C415:D415)</f>
        <v>66</v>
      </c>
      <c r="C415" s="47">
        <f>I415+F415</f>
        <v>0</v>
      </c>
      <c r="D415" s="47">
        <f>J415+G415</f>
        <v>66</v>
      </c>
      <c r="E415" s="47">
        <f>SUM(F415:G415)</f>
        <v>0</v>
      </c>
      <c r="F415" s="47">
        <v>0</v>
      </c>
      <c r="G415" s="47">
        <v>0</v>
      </c>
      <c r="H415" s="47">
        <f>SUM(I415:J415)</f>
        <v>66</v>
      </c>
      <c r="I415" s="47">
        <v>0</v>
      </c>
      <c r="J415" s="47">
        <f>51+15</f>
        <v>66</v>
      </c>
      <c r="K415" s="188" t="s">
        <v>233</v>
      </c>
      <c r="L415" s="129"/>
      <c r="M415" s="56"/>
    </row>
    <row r="416" spans="2:13" ht="13.5" customHeight="1" thickBot="1" x14ac:dyDescent="0.25">
      <c r="B416" s="47">
        <f>SUM(C416:D416)</f>
        <v>0</v>
      </c>
      <c r="C416" s="47">
        <f>I416+F416</f>
        <v>0</v>
      </c>
      <c r="D416" s="47">
        <f>J416+G416</f>
        <v>0</v>
      </c>
      <c r="E416" s="47">
        <f>SUM(F416:G416)</f>
        <v>0</v>
      </c>
      <c r="F416" s="47">
        <v>0</v>
      </c>
      <c r="G416" s="47">
        <v>0</v>
      </c>
      <c r="H416" s="47">
        <f>SUM(I416:J416)</f>
        <v>0</v>
      </c>
      <c r="I416" s="47">
        <v>0</v>
      </c>
      <c r="J416" s="47">
        <v>0</v>
      </c>
      <c r="K416" s="188" t="s">
        <v>234</v>
      </c>
      <c r="L416" s="129" t="s">
        <v>454</v>
      </c>
      <c r="M416" s="56"/>
    </row>
    <row r="417" spans="2:13" ht="13.5" customHeight="1" thickBot="1" x14ac:dyDescent="0.25">
      <c r="B417" s="47">
        <f t="shared" ref="B417:J417" si="131">SUM(B415:B416)</f>
        <v>66</v>
      </c>
      <c r="C417" s="47">
        <f t="shared" si="131"/>
        <v>0</v>
      </c>
      <c r="D417" s="47">
        <f t="shared" si="131"/>
        <v>66</v>
      </c>
      <c r="E417" s="47">
        <f t="shared" si="131"/>
        <v>0</v>
      </c>
      <c r="F417" s="47">
        <f t="shared" si="131"/>
        <v>0</v>
      </c>
      <c r="G417" s="47">
        <f t="shared" si="131"/>
        <v>0</v>
      </c>
      <c r="H417" s="47">
        <f t="shared" si="131"/>
        <v>66</v>
      </c>
      <c r="I417" s="47">
        <f t="shared" si="131"/>
        <v>0</v>
      </c>
      <c r="J417" s="47">
        <f t="shared" si="131"/>
        <v>66</v>
      </c>
      <c r="K417" s="188" t="s">
        <v>12</v>
      </c>
      <c r="L417" s="130"/>
      <c r="M417" s="56"/>
    </row>
    <row r="418" spans="2:13" ht="13.5" customHeight="1" thickBot="1" x14ac:dyDescent="0.25">
      <c r="B418" s="47">
        <f>SUM(C418:D418)</f>
        <v>231</v>
      </c>
      <c r="C418" s="47">
        <f>I418+F418</f>
        <v>0</v>
      </c>
      <c r="D418" s="47">
        <f>J418+G418</f>
        <v>231</v>
      </c>
      <c r="E418" s="47">
        <f>SUM(F418:G418)</f>
        <v>0</v>
      </c>
      <c r="F418" s="47">
        <v>0</v>
      </c>
      <c r="G418" s="47">
        <v>0</v>
      </c>
      <c r="H418" s="47">
        <f>SUM(I418:J418)</f>
        <v>231</v>
      </c>
      <c r="I418" s="47">
        <v>0</v>
      </c>
      <c r="J418" s="47">
        <f>181+50</f>
        <v>231</v>
      </c>
      <c r="K418" s="188" t="s">
        <v>233</v>
      </c>
      <c r="L418" s="129"/>
      <c r="M418" s="56"/>
    </row>
    <row r="419" spans="2:13" ht="13.5" customHeight="1" thickBot="1" x14ac:dyDescent="0.25">
      <c r="B419" s="47">
        <f>SUM(C419:D419)</f>
        <v>0</v>
      </c>
      <c r="C419" s="47">
        <f>I419+F419</f>
        <v>0</v>
      </c>
      <c r="D419" s="47">
        <f>J419+G419</f>
        <v>0</v>
      </c>
      <c r="E419" s="47">
        <f>SUM(F419:G419)</f>
        <v>0</v>
      </c>
      <c r="F419" s="47">
        <v>0</v>
      </c>
      <c r="G419" s="47">
        <v>0</v>
      </c>
      <c r="H419" s="47">
        <f>SUM(I419:J419)</f>
        <v>0</v>
      </c>
      <c r="I419" s="47">
        <v>0</v>
      </c>
      <c r="J419" s="47">
        <v>0</v>
      </c>
      <c r="K419" s="188" t="s">
        <v>234</v>
      </c>
      <c r="L419" s="129" t="s">
        <v>367</v>
      </c>
      <c r="M419" s="56"/>
    </row>
    <row r="420" spans="2:13" ht="13.5" customHeight="1" thickBot="1" x14ac:dyDescent="0.25">
      <c r="B420" s="47">
        <f t="shared" ref="B420:J420" si="132">SUM(B418:B419)</f>
        <v>231</v>
      </c>
      <c r="C420" s="47">
        <f t="shared" si="132"/>
        <v>0</v>
      </c>
      <c r="D420" s="47">
        <f t="shared" si="132"/>
        <v>231</v>
      </c>
      <c r="E420" s="47">
        <f t="shared" si="132"/>
        <v>0</v>
      </c>
      <c r="F420" s="47">
        <f t="shared" si="132"/>
        <v>0</v>
      </c>
      <c r="G420" s="47">
        <f t="shared" si="132"/>
        <v>0</v>
      </c>
      <c r="H420" s="47">
        <f t="shared" si="132"/>
        <v>231</v>
      </c>
      <c r="I420" s="47">
        <f t="shared" si="132"/>
        <v>0</v>
      </c>
      <c r="J420" s="47">
        <f t="shared" si="132"/>
        <v>231</v>
      </c>
      <c r="K420" s="188" t="s">
        <v>12</v>
      </c>
      <c r="L420" s="130"/>
      <c r="M420" s="56"/>
    </row>
    <row r="421" spans="2:13" ht="13.5" customHeight="1" thickBot="1" x14ac:dyDescent="0.25">
      <c r="B421" s="47">
        <f>SUM(C421:D421)</f>
        <v>381</v>
      </c>
      <c r="C421" s="47">
        <f>I421+F421</f>
        <v>112</v>
      </c>
      <c r="D421" s="47">
        <f>J421+G421</f>
        <v>269</v>
      </c>
      <c r="E421" s="47">
        <f>SUM(F421:G421)</f>
        <v>3</v>
      </c>
      <c r="F421" s="47">
        <v>0</v>
      </c>
      <c r="G421" s="47">
        <v>3</v>
      </c>
      <c r="H421" s="47">
        <f>SUM(I421:J421)</f>
        <v>378</v>
      </c>
      <c r="I421" s="47">
        <f>127-15</f>
        <v>112</v>
      </c>
      <c r="J421" s="47">
        <f>216+50</f>
        <v>266</v>
      </c>
      <c r="K421" s="188" t="s">
        <v>233</v>
      </c>
      <c r="L421" s="129"/>
      <c r="M421" s="56"/>
    </row>
    <row r="422" spans="2:13" ht="13.5" customHeight="1" thickBot="1" x14ac:dyDescent="0.25">
      <c r="B422" s="47">
        <f>SUM(C422:D422)</f>
        <v>0</v>
      </c>
      <c r="C422" s="47">
        <f>I422+F422</f>
        <v>0</v>
      </c>
      <c r="D422" s="47">
        <f>J422+G422</f>
        <v>0</v>
      </c>
      <c r="E422" s="47">
        <f>SUM(F422:G422)</f>
        <v>0</v>
      </c>
      <c r="F422" s="47">
        <v>0</v>
      </c>
      <c r="G422" s="47">
        <v>0</v>
      </c>
      <c r="H422" s="47">
        <f>SUM(I422:J422)</f>
        <v>0</v>
      </c>
      <c r="I422" s="47">
        <v>0</v>
      </c>
      <c r="J422" s="47">
        <v>0</v>
      </c>
      <c r="K422" s="188" t="s">
        <v>234</v>
      </c>
      <c r="L422" s="129" t="s">
        <v>474</v>
      </c>
      <c r="M422" s="56"/>
    </row>
    <row r="423" spans="2:13" ht="13.5" customHeight="1" thickBot="1" x14ac:dyDescent="0.25">
      <c r="B423" s="47">
        <f t="shared" ref="B423:J423" si="133">SUM(B421:B422)</f>
        <v>381</v>
      </c>
      <c r="C423" s="47">
        <f t="shared" si="133"/>
        <v>112</v>
      </c>
      <c r="D423" s="47">
        <f t="shared" si="133"/>
        <v>269</v>
      </c>
      <c r="E423" s="47">
        <f t="shared" si="133"/>
        <v>3</v>
      </c>
      <c r="F423" s="47">
        <f t="shared" si="133"/>
        <v>0</v>
      </c>
      <c r="G423" s="47">
        <f t="shared" si="133"/>
        <v>3</v>
      </c>
      <c r="H423" s="47">
        <f t="shared" si="133"/>
        <v>378</v>
      </c>
      <c r="I423" s="47">
        <f t="shared" si="133"/>
        <v>112</v>
      </c>
      <c r="J423" s="47">
        <f t="shared" si="133"/>
        <v>266</v>
      </c>
      <c r="K423" s="188" t="s">
        <v>12</v>
      </c>
      <c r="L423" s="130"/>
      <c r="M423" s="56"/>
    </row>
    <row r="424" spans="2:13" ht="13.5" customHeight="1" thickBot="1" x14ac:dyDescent="0.25">
      <c r="B424" s="47">
        <f>SUM(C424:D424)</f>
        <v>385</v>
      </c>
      <c r="C424" s="47">
        <f>I424+F424</f>
        <v>385</v>
      </c>
      <c r="D424" s="47">
        <f>J424+G424</f>
        <v>0</v>
      </c>
      <c r="E424" s="47">
        <f>SUM(F424:G424)</f>
        <v>0</v>
      </c>
      <c r="F424" s="47">
        <v>0</v>
      </c>
      <c r="G424" s="47">
        <v>0</v>
      </c>
      <c r="H424" s="47">
        <f>SUM(I424:J424)</f>
        <v>385</v>
      </c>
      <c r="I424" s="47">
        <f>435-50</f>
        <v>385</v>
      </c>
      <c r="J424" s="47">
        <v>0</v>
      </c>
      <c r="K424" s="188" t="s">
        <v>233</v>
      </c>
      <c r="L424" s="129"/>
      <c r="M424" s="56"/>
    </row>
    <row r="425" spans="2:13" ht="13.5" customHeight="1" thickBot="1" x14ac:dyDescent="0.25">
      <c r="B425" s="47">
        <f>SUM(C425:D425)</f>
        <v>0</v>
      </c>
      <c r="C425" s="47">
        <f>I425+F425</f>
        <v>0</v>
      </c>
      <c r="D425" s="47">
        <f>J425+G425</f>
        <v>0</v>
      </c>
      <c r="E425" s="47">
        <f>SUM(F425:G425)</f>
        <v>0</v>
      </c>
      <c r="F425" s="47">
        <v>0</v>
      </c>
      <c r="G425" s="47">
        <v>0</v>
      </c>
      <c r="H425" s="47">
        <f>SUM(I425:J425)</f>
        <v>0</v>
      </c>
      <c r="I425" s="47">
        <v>0</v>
      </c>
      <c r="J425" s="47">
        <v>0</v>
      </c>
      <c r="K425" s="188" t="s">
        <v>234</v>
      </c>
      <c r="L425" s="129" t="s">
        <v>475</v>
      </c>
      <c r="M425" s="56"/>
    </row>
    <row r="426" spans="2:13" ht="13.5" customHeight="1" thickBot="1" x14ac:dyDescent="0.25">
      <c r="B426" s="47">
        <f t="shared" ref="B426:J426" si="134">SUM(B424:B425)</f>
        <v>385</v>
      </c>
      <c r="C426" s="47">
        <f t="shared" si="134"/>
        <v>385</v>
      </c>
      <c r="D426" s="47">
        <f t="shared" si="134"/>
        <v>0</v>
      </c>
      <c r="E426" s="47">
        <f t="shared" si="134"/>
        <v>0</v>
      </c>
      <c r="F426" s="47">
        <f t="shared" si="134"/>
        <v>0</v>
      </c>
      <c r="G426" s="47">
        <f t="shared" si="134"/>
        <v>0</v>
      </c>
      <c r="H426" s="47">
        <f t="shared" si="134"/>
        <v>385</v>
      </c>
      <c r="I426" s="47">
        <f t="shared" si="134"/>
        <v>385</v>
      </c>
      <c r="J426" s="47">
        <f t="shared" si="134"/>
        <v>0</v>
      </c>
      <c r="K426" s="188" t="s">
        <v>12</v>
      </c>
      <c r="L426" s="130"/>
      <c r="M426" s="56"/>
    </row>
    <row r="427" spans="2:13" ht="13.5" customHeight="1" thickBot="1" x14ac:dyDescent="0.25">
      <c r="B427" s="47">
        <f>SUM(C427:D427)</f>
        <v>374</v>
      </c>
      <c r="C427" s="47">
        <f>I427+F427</f>
        <v>374</v>
      </c>
      <c r="D427" s="47">
        <f>J427+G427</f>
        <v>0</v>
      </c>
      <c r="E427" s="47">
        <f>SUM(F427:G427)</f>
        <v>3</v>
      </c>
      <c r="F427" s="47">
        <v>3</v>
      </c>
      <c r="G427" s="47">
        <v>0</v>
      </c>
      <c r="H427" s="47">
        <f>SUM(I427:J427)</f>
        <v>371</v>
      </c>
      <c r="I427" s="47">
        <f>401-30</f>
        <v>371</v>
      </c>
      <c r="J427" s="47">
        <v>0</v>
      </c>
      <c r="K427" s="188" t="s">
        <v>233</v>
      </c>
      <c r="L427" s="129"/>
      <c r="M427" s="56"/>
    </row>
    <row r="428" spans="2:13" ht="13.5" customHeight="1" thickBot="1" x14ac:dyDescent="0.25">
      <c r="B428" s="47">
        <f>SUM(C428:D428)</f>
        <v>0</v>
      </c>
      <c r="C428" s="47">
        <f>I428+F428</f>
        <v>0</v>
      </c>
      <c r="D428" s="47">
        <f>J428+G428</f>
        <v>0</v>
      </c>
      <c r="E428" s="47">
        <f>SUM(F428:G428)</f>
        <v>0</v>
      </c>
      <c r="F428" s="47">
        <v>0</v>
      </c>
      <c r="G428" s="47">
        <v>0</v>
      </c>
      <c r="H428" s="47">
        <f>SUM(I428:J428)</f>
        <v>0</v>
      </c>
      <c r="I428" s="47">
        <v>0</v>
      </c>
      <c r="J428" s="47">
        <v>0</v>
      </c>
      <c r="K428" s="188" t="s">
        <v>234</v>
      </c>
      <c r="L428" s="129" t="s">
        <v>476</v>
      </c>
      <c r="M428" s="56"/>
    </row>
    <row r="429" spans="2:13" ht="13.5" customHeight="1" thickBot="1" x14ac:dyDescent="0.25">
      <c r="B429" s="47">
        <f t="shared" ref="B429:J429" si="135">SUM(B427:B428)</f>
        <v>374</v>
      </c>
      <c r="C429" s="47">
        <f t="shared" si="135"/>
        <v>374</v>
      </c>
      <c r="D429" s="47">
        <f t="shared" si="135"/>
        <v>0</v>
      </c>
      <c r="E429" s="47">
        <f t="shared" si="135"/>
        <v>3</v>
      </c>
      <c r="F429" s="47">
        <f t="shared" si="135"/>
        <v>3</v>
      </c>
      <c r="G429" s="47">
        <f t="shared" si="135"/>
        <v>0</v>
      </c>
      <c r="H429" s="47">
        <f t="shared" si="135"/>
        <v>371</v>
      </c>
      <c r="I429" s="47">
        <f t="shared" si="135"/>
        <v>371</v>
      </c>
      <c r="J429" s="47">
        <f t="shared" si="135"/>
        <v>0</v>
      </c>
      <c r="K429" s="188" t="s">
        <v>12</v>
      </c>
      <c r="L429" s="130"/>
      <c r="M429" s="56"/>
    </row>
    <row r="430" spans="2:13" ht="13.5" customHeight="1" thickBot="1" x14ac:dyDescent="0.25">
      <c r="B430" s="47">
        <f>SUM(C430:D430)</f>
        <v>593</v>
      </c>
      <c r="C430" s="47">
        <f>I430+F430</f>
        <v>593</v>
      </c>
      <c r="D430" s="47">
        <f>J430+G430</f>
        <v>0</v>
      </c>
      <c r="E430" s="47">
        <f>SUM(F430:G430)</f>
        <v>0</v>
      </c>
      <c r="F430" s="47">
        <v>0</v>
      </c>
      <c r="G430" s="47">
        <v>0</v>
      </c>
      <c r="H430" s="47">
        <f>SUM(I430:J430)</f>
        <v>593</v>
      </c>
      <c r="I430" s="47">
        <f>693-100</f>
        <v>593</v>
      </c>
      <c r="J430" s="47">
        <v>0</v>
      </c>
      <c r="K430" s="188" t="s">
        <v>233</v>
      </c>
      <c r="L430" s="129"/>
      <c r="M430" s="56"/>
    </row>
    <row r="431" spans="2:13" ht="13.5" customHeight="1" thickBot="1" x14ac:dyDescent="0.25">
      <c r="B431" s="47">
        <f>SUM(C431:D431)</f>
        <v>0</v>
      </c>
      <c r="C431" s="47">
        <f>I431+F431</f>
        <v>0</v>
      </c>
      <c r="D431" s="47">
        <f>J431+G431</f>
        <v>0</v>
      </c>
      <c r="E431" s="47">
        <f>SUM(F431:G431)</f>
        <v>0</v>
      </c>
      <c r="F431" s="47">
        <v>0</v>
      </c>
      <c r="G431" s="47">
        <v>0</v>
      </c>
      <c r="H431" s="47">
        <f>SUM(I431:J431)</f>
        <v>0</v>
      </c>
      <c r="I431" s="47">
        <v>0</v>
      </c>
      <c r="J431" s="47">
        <v>0</v>
      </c>
      <c r="K431" s="188" t="s">
        <v>234</v>
      </c>
      <c r="L431" s="129" t="s">
        <v>481</v>
      </c>
      <c r="M431" s="56"/>
    </row>
    <row r="432" spans="2:13" ht="13.5" customHeight="1" thickBot="1" x14ac:dyDescent="0.25">
      <c r="B432" s="47">
        <f t="shared" ref="B432:J432" si="136">SUM(B430:B431)</f>
        <v>593</v>
      </c>
      <c r="C432" s="47">
        <f t="shared" si="136"/>
        <v>593</v>
      </c>
      <c r="D432" s="47">
        <f t="shared" si="136"/>
        <v>0</v>
      </c>
      <c r="E432" s="47">
        <f t="shared" si="136"/>
        <v>0</v>
      </c>
      <c r="F432" s="47">
        <f t="shared" si="136"/>
        <v>0</v>
      </c>
      <c r="G432" s="47">
        <f t="shared" si="136"/>
        <v>0</v>
      </c>
      <c r="H432" s="47">
        <f t="shared" si="136"/>
        <v>593</v>
      </c>
      <c r="I432" s="47">
        <f t="shared" si="136"/>
        <v>593</v>
      </c>
      <c r="J432" s="47">
        <f t="shared" si="136"/>
        <v>0</v>
      </c>
      <c r="K432" s="188" t="s">
        <v>12</v>
      </c>
      <c r="L432" s="130"/>
      <c r="M432" s="56"/>
    </row>
    <row r="433" spans="2:13" ht="13.5" customHeight="1" thickBot="1" x14ac:dyDescent="0.25">
      <c r="B433" s="47">
        <f>SUM(C433:D433)</f>
        <v>368</v>
      </c>
      <c r="C433" s="47">
        <f>I433+F433</f>
        <v>368</v>
      </c>
      <c r="D433" s="47">
        <f>J433+G433</f>
        <v>0</v>
      </c>
      <c r="E433" s="47">
        <f>SUM(F433:G433)</f>
        <v>0</v>
      </c>
      <c r="F433" s="47">
        <v>0</v>
      </c>
      <c r="G433" s="47">
        <v>0</v>
      </c>
      <c r="H433" s="47">
        <f>SUM(I433:J433)</f>
        <v>368</v>
      </c>
      <c r="I433" s="47">
        <f>468-100</f>
        <v>368</v>
      </c>
      <c r="J433" s="47">
        <v>0</v>
      </c>
      <c r="K433" s="188" t="s">
        <v>233</v>
      </c>
      <c r="L433" s="129"/>
      <c r="M433" s="56"/>
    </row>
    <row r="434" spans="2:13" ht="13.5" customHeight="1" thickBot="1" x14ac:dyDescent="0.25">
      <c r="B434" s="47">
        <f>SUM(C434:D434)</f>
        <v>0</v>
      </c>
      <c r="C434" s="47">
        <f>I434+F434</f>
        <v>0</v>
      </c>
      <c r="D434" s="47">
        <f>J434+G434</f>
        <v>0</v>
      </c>
      <c r="E434" s="47">
        <f>SUM(F434:G434)</f>
        <v>0</v>
      </c>
      <c r="F434" s="47">
        <v>0</v>
      </c>
      <c r="G434" s="47">
        <v>0</v>
      </c>
      <c r="H434" s="47">
        <f>SUM(I434:J434)</f>
        <v>0</v>
      </c>
      <c r="I434" s="47">
        <v>0</v>
      </c>
      <c r="J434" s="47">
        <v>0</v>
      </c>
      <c r="K434" s="188" t="s">
        <v>234</v>
      </c>
      <c r="L434" s="129" t="s">
        <v>477</v>
      </c>
      <c r="M434" s="56"/>
    </row>
    <row r="435" spans="2:13" ht="13.5" customHeight="1" thickBot="1" x14ac:dyDescent="0.25">
      <c r="B435" s="47">
        <f t="shared" ref="B435:J435" si="137">SUM(B433:B434)</f>
        <v>368</v>
      </c>
      <c r="C435" s="47">
        <f t="shared" si="137"/>
        <v>368</v>
      </c>
      <c r="D435" s="47">
        <f t="shared" si="137"/>
        <v>0</v>
      </c>
      <c r="E435" s="47">
        <f t="shared" si="137"/>
        <v>0</v>
      </c>
      <c r="F435" s="47">
        <f t="shared" si="137"/>
        <v>0</v>
      </c>
      <c r="G435" s="47">
        <f t="shared" si="137"/>
        <v>0</v>
      </c>
      <c r="H435" s="47">
        <f t="shared" si="137"/>
        <v>368</v>
      </c>
      <c r="I435" s="47">
        <f t="shared" si="137"/>
        <v>368</v>
      </c>
      <c r="J435" s="47">
        <f t="shared" si="137"/>
        <v>0</v>
      </c>
      <c r="K435" s="188" t="s">
        <v>12</v>
      </c>
      <c r="L435" s="130"/>
      <c r="M435" s="56"/>
    </row>
    <row r="436" spans="2:13" ht="13.5" customHeight="1" thickBot="1" x14ac:dyDescent="0.25">
      <c r="B436" s="47">
        <f>SUM(C436:D436)</f>
        <v>229</v>
      </c>
      <c r="C436" s="47">
        <f>I436+F436</f>
        <v>229</v>
      </c>
      <c r="D436" s="47">
        <f>J436+G436</f>
        <v>0</v>
      </c>
      <c r="E436" s="47">
        <f>SUM(F436:G436)</f>
        <v>0</v>
      </c>
      <c r="F436" s="47">
        <v>0</v>
      </c>
      <c r="G436" s="47">
        <v>0</v>
      </c>
      <c r="H436" s="47">
        <f>SUM(I436:J436)</f>
        <v>229</v>
      </c>
      <c r="I436" s="47">
        <f>279-50</f>
        <v>229</v>
      </c>
      <c r="J436" s="47">
        <v>0</v>
      </c>
      <c r="K436" s="188" t="s">
        <v>233</v>
      </c>
      <c r="L436" s="129"/>
      <c r="M436" s="56"/>
    </row>
    <row r="437" spans="2:13" ht="13.5" customHeight="1" thickBot="1" x14ac:dyDescent="0.25">
      <c r="B437" s="47">
        <f>SUM(C437:D437)</f>
        <v>0</v>
      </c>
      <c r="C437" s="47">
        <f>I437+F437</f>
        <v>0</v>
      </c>
      <c r="D437" s="47">
        <f>J437+G437</f>
        <v>0</v>
      </c>
      <c r="E437" s="47">
        <f>SUM(F437:G437)</f>
        <v>0</v>
      </c>
      <c r="F437" s="47">
        <v>0</v>
      </c>
      <c r="G437" s="47">
        <v>0</v>
      </c>
      <c r="H437" s="47">
        <f>SUM(I437:J437)</f>
        <v>0</v>
      </c>
      <c r="I437" s="47">
        <v>0</v>
      </c>
      <c r="J437" s="47">
        <v>0</v>
      </c>
      <c r="K437" s="188" t="s">
        <v>234</v>
      </c>
      <c r="L437" s="129" t="s">
        <v>478</v>
      </c>
      <c r="M437" s="56"/>
    </row>
    <row r="438" spans="2:13" ht="13.5" customHeight="1" thickBot="1" x14ac:dyDescent="0.25">
      <c r="B438" s="47">
        <f t="shared" ref="B438:J438" si="138">SUM(B436:B437)</f>
        <v>229</v>
      </c>
      <c r="C438" s="47">
        <f t="shared" si="138"/>
        <v>229</v>
      </c>
      <c r="D438" s="47">
        <f t="shared" si="138"/>
        <v>0</v>
      </c>
      <c r="E438" s="47">
        <f t="shared" si="138"/>
        <v>0</v>
      </c>
      <c r="F438" s="47">
        <f t="shared" si="138"/>
        <v>0</v>
      </c>
      <c r="G438" s="47">
        <f t="shared" si="138"/>
        <v>0</v>
      </c>
      <c r="H438" s="47">
        <f t="shared" si="138"/>
        <v>229</v>
      </c>
      <c r="I438" s="47">
        <f t="shared" si="138"/>
        <v>229</v>
      </c>
      <c r="J438" s="47">
        <f t="shared" si="138"/>
        <v>0</v>
      </c>
      <c r="K438" s="188" t="s">
        <v>12</v>
      </c>
      <c r="L438" s="130"/>
      <c r="M438" s="56"/>
    </row>
    <row r="439" spans="2:13" ht="13.5" customHeight="1" thickBot="1" x14ac:dyDescent="0.25">
      <c r="B439" s="47">
        <f>SUM(C439:D439)</f>
        <v>365</v>
      </c>
      <c r="C439" s="47">
        <f>I439+F439</f>
        <v>365</v>
      </c>
      <c r="D439" s="47">
        <f>J439+G439</f>
        <v>0</v>
      </c>
      <c r="E439" s="47">
        <f>SUM(F439:G439)</f>
        <v>0</v>
      </c>
      <c r="F439" s="47">
        <v>0</v>
      </c>
      <c r="G439" s="47">
        <v>0</v>
      </c>
      <c r="H439" s="47">
        <f>SUM(I439:J439)</f>
        <v>365</v>
      </c>
      <c r="I439" s="47">
        <f>615-250</f>
        <v>365</v>
      </c>
      <c r="J439" s="47">
        <v>0</v>
      </c>
      <c r="K439" s="188" t="s">
        <v>233</v>
      </c>
      <c r="L439" s="129"/>
      <c r="M439" s="56"/>
    </row>
    <row r="440" spans="2:13" ht="13.5" customHeight="1" thickBot="1" x14ac:dyDescent="0.25">
      <c r="B440" s="47">
        <f>SUM(C440:D440)</f>
        <v>0</v>
      </c>
      <c r="C440" s="47">
        <f>I440+F440</f>
        <v>0</v>
      </c>
      <c r="D440" s="47">
        <f>J440+G440</f>
        <v>0</v>
      </c>
      <c r="E440" s="47">
        <f>SUM(F440:G440)</f>
        <v>0</v>
      </c>
      <c r="F440" s="47">
        <v>0</v>
      </c>
      <c r="G440" s="47">
        <v>0</v>
      </c>
      <c r="H440" s="47">
        <f>SUM(I440:J440)</f>
        <v>0</v>
      </c>
      <c r="I440" s="47">
        <v>0</v>
      </c>
      <c r="J440" s="47">
        <v>0</v>
      </c>
      <c r="K440" s="188" t="s">
        <v>234</v>
      </c>
      <c r="L440" s="129" t="s">
        <v>719</v>
      </c>
      <c r="M440" s="56"/>
    </row>
    <row r="441" spans="2:13" ht="13.5" customHeight="1" thickBot="1" x14ac:dyDescent="0.25">
      <c r="B441" s="47">
        <f t="shared" ref="B441:J441" si="139">SUM(B439:B440)</f>
        <v>365</v>
      </c>
      <c r="C441" s="47">
        <f t="shared" si="139"/>
        <v>365</v>
      </c>
      <c r="D441" s="47">
        <f t="shared" si="139"/>
        <v>0</v>
      </c>
      <c r="E441" s="47">
        <f t="shared" si="139"/>
        <v>0</v>
      </c>
      <c r="F441" s="47">
        <f t="shared" si="139"/>
        <v>0</v>
      </c>
      <c r="G441" s="47">
        <f t="shared" si="139"/>
        <v>0</v>
      </c>
      <c r="H441" s="47">
        <f t="shared" si="139"/>
        <v>365</v>
      </c>
      <c r="I441" s="47">
        <f t="shared" si="139"/>
        <v>365</v>
      </c>
      <c r="J441" s="47">
        <f t="shared" si="139"/>
        <v>0</v>
      </c>
      <c r="K441" s="188" t="s">
        <v>12</v>
      </c>
      <c r="L441" s="130"/>
      <c r="M441" s="56"/>
    </row>
    <row r="442" spans="2:13" ht="13.5" customHeight="1" thickBot="1" x14ac:dyDescent="0.25">
      <c r="B442" s="47">
        <f>SUM(C442:D442)</f>
        <v>163</v>
      </c>
      <c r="C442" s="47">
        <f>I442+F442</f>
        <v>0</v>
      </c>
      <c r="D442" s="47">
        <f>J442+G442</f>
        <v>163</v>
      </c>
      <c r="E442" s="47">
        <f>SUM(F442:G442)</f>
        <v>0</v>
      </c>
      <c r="F442" s="47">
        <v>0</v>
      </c>
      <c r="G442" s="47">
        <v>0</v>
      </c>
      <c r="H442" s="47">
        <f>SUM(I442:J442)</f>
        <v>163</v>
      </c>
      <c r="I442" s="47">
        <v>0</v>
      </c>
      <c r="J442" s="47">
        <f>113+50</f>
        <v>163</v>
      </c>
      <c r="K442" s="188" t="s">
        <v>233</v>
      </c>
      <c r="L442" s="129"/>
      <c r="M442" s="56"/>
    </row>
    <row r="443" spans="2:13" ht="13.5" customHeight="1" thickBot="1" x14ac:dyDescent="0.25">
      <c r="B443" s="47">
        <f>SUM(C443:D443)</f>
        <v>0</v>
      </c>
      <c r="C443" s="47">
        <f>I443+F443</f>
        <v>0</v>
      </c>
      <c r="D443" s="47">
        <f>J443+G443</f>
        <v>0</v>
      </c>
      <c r="E443" s="47">
        <f>SUM(F443:G443)</f>
        <v>0</v>
      </c>
      <c r="F443" s="47">
        <v>0</v>
      </c>
      <c r="G443" s="47">
        <v>0</v>
      </c>
      <c r="H443" s="47">
        <f>SUM(I443:J443)</f>
        <v>0</v>
      </c>
      <c r="I443" s="47">
        <v>0</v>
      </c>
      <c r="J443" s="47">
        <v>0</v>
      </c>
      <c r="K443" s="188" t="s">
        <v>234</v>
      </c>
      <c r="L443" s="129" t="s">
        <v>347</v>
      </c>
      <c r="M443" s="56"/>
    </row>
    <row r="444" spans="2:13" ht="13.5" customHeight="1" thickBot="1" x14ac:dyDescent="0.25">
      <c r="B444" s="47">
        <f t="shared" ref="B444:J444" si="140">SUM(B442:B443)</f>
        <v>163</v>
      </c>
      <c r="C444" s="47">
        <f t="shared" si="140"/>
        <v>0</v>
      </c>
      <c r="D444" s="47">
        <f t="shared" si="140"/>
        <v>163</v>
      </c>
      <c r="E444" s="47">
        <f t="shared" si="140"/>
        <v>0</v>
      </c>
      <c r="F444" s="47">
        <f t="shared" si="140"/>
        <v>0</v>
      </c>
      <c r="G444" s="47">
        <f t="shared" si="140"/>
        <v>0</v>
      </c>
      <c r="H444" s="47">
        <f t="shared" si="140"/>
        <v>163</v>
      </c>
      <c r="I444" s="47">
        <f t="shared" si="140"/>
        <v>0</v>
      </c>
      <c r="J444" s="47">
        <f t="shared" si="140"/>
        <v>163</v>
      </c>
      <c r="K444" s="188" t="s">
        <v>12</v>
      </c>
      <c r="L444" s="130"/>
      <c r="M444" s="56"/>
    </row>
    <row r="445" spans="2:13" ht="13.5" customHeight="1" thickBot="1" x14ac:dyDescent="0.25">
      <c r="B445" s="47">
        <f>SUM(C445:D445)</f>
        <v>386</v>
      </c>
      <c r="C445" s="47">
        <f>I445+F445</f>
        <v>386</v>
      </c>
      <c r="D445" s="47">
        <f>J445+G445</f>
        <v>0</v>
      </c>
      <c r="E445" s="47">
        <f>SUM(F445:G445)</f>
        <v>0</v>
      </c>
      <c r="F445" s="47">
        <v>0</v>
      </c>
      <c r="G445" s="47">
        <v>0</v>
      </c>
      <c r="H445" s="47">
        <f>SUM(I445:J445)</f>
        <v>386</v>
      </c>
      <c r="I445" s="47">
        <v>386</v>
      </c>
      <c r="J445" s="47">
        <v>0</v>
      </c>
      <c r="K445" s="188" t="s">
        <v>233</v>
      </c>
      <c r="L445" s="129"/>
      <c r="M445" s="56"/>
    </row>
    <row r="446" spans="2:13" ht="13.5" customHeight="1" thickBot="1" x14ac:dyDescent="0.25">
      <c r="B446" s="47">
        <f>SUM(C446:D446)</f>
        <v>0</v>
      </c>
      <c r="C446" s="47">
        <f>I446+F446</f>
        <v>0</v>
      </c>
      <c r="D446" s="47">
        <f>J446+G446</f>
        <v>0</v>
      </c>
      <c r="E446" s="47">
        <f>SUM(F446:G446)</f>
        <v>0</v>
      </c>
      <c r="F446" s="47">
        <v>0</v>
      </c>
      <c r="G446" s="47">
        <v>0</v>
      </c>
      <c r="H446" s="47">
        <f>SUM(I446:J446)</f>
        <v>0</v>
      </c>
      <c r="I446" s="47">
        <v>0</v>
      </c>
      <c r="J446" s="47">
        <v>0</v>
      </c>
      <c r="K446" s="188" t="s">
        <v>234</v>
      </c>
      <c r="L446" s="129" t="s">
        <v>482</v>
      </c>
      <c r="M446" s="56"/>
    </row>
    <row r="447" spans="2:13" ht="13.5" customHeight="1" thickBot="1" x14ac:dyDescent="0.25">
      <c r="B447" s="47">
        <f t="shared" ref="B447:J447" si="141">SUM(B445:B446)</f>
        <v>386</v>
      </c>
      <c r="C447" s="47">
        <f t="shared" si="141"/>
        <v>386</v>
      </c>
      <c r="D447" s="47">
        <f t="shared" si="141"/>
        <v>0</v>
      </c>
      <c r="E447" s="47">
        <f t="shared" si="141"/>
        <v>0</v>
      </c>
      <c r="F447" s="47">
        <f t="shared" si="141"/>
        <v>0</v>
      </c>
      <c r="G447" s="47">
        <f t="shared" si="141"/>
        <v>0</v>
      </c>
      <c r="H447" s="47">
        <f t="shared" si="141"/>
        <v>386</v>
      </c>
      <c r="I447" s="47">
        <f t="shared" si="141"/>
        <v>386</v>
      </c>
      <c r="J447" s="47">
        <f t="shared" si="141"/>
        <v>0</v>
      </c>
      <c r="K447" s="188" t="s">
        <v>12</v>
      </c>
      <c r="L447" s="130"/>
      <c r="M447" s="56"/>
    </row>
    <row r="448" spans="2:13" ht="13.5" customHeight="1" thickBot="1" x14ac:dyDescent="0.25">
      <c r="B448" s="47">
        <f>SUM(C448:D448)</f>
        <v>497</v>
      </c>
      <c r="C448" s="47">
        <f>I448+F448</f>
        <v>497</v>
      </c>
      <c r="D448" s="47">
        <f>J448+G448</f>
        <v>0</v>
      </c>
      <c r="E448" s="47">
        <f>SUM(F448:G448)</f>
        <v>0</v>
      </c>
      <c r="F448" s="47">
        <v>0</v>
      </c>
      <c r="G448" s="47">
        <v>0</v>
      </c>
      <c r="H448" s="47">
        <f>SUM(I448:J448)</f>
        <v>497</v>
      </c>
      <c r="I448" s="47">
        <v>497</v>
      </c>
      <c r="J448" s="47">
        <v>0</v>
      </c>
      <c r="K448" s="188" t="s">
        <v>233</v>
      </c>
      <c r="L448" s="129"/>
      <c r="M448" s="56"/>
    </row>
    <row r="449" spans="2:13" ht="13.5" customHeight="1" thickBot="1" x14ac:dyDescent="0.25">
      <c r="B449" s="47">
        <f>SUM(C449:D449)</f>
        <v>0</v>
      </c>
      <c r="C449" s="47">
        <f>I449+F449</f>
        <v>0</v>
      </c>
      <c r="D449" s="47">
        <f>J449+G449</f>
        <v>0</v>
      </c>
      <c r="E449" s="47">
        <f>SUM(F449:G449)</f>
        <v>0</v>
      </c>
      <c r="F449" s="47">
        <v>0</v>
      </c>
      <c r="G449" s="47">
        <v>0</v>
      </c>
      <c r="H449" s="47">
        <f>SUM(I449:J449)</f>
        <v>0</v>
      </c>
      <c r="I449" s="47">
        <v>0</v>
      </c>
      <c r="J449" s="47">
        <v>0</v>
      </c>
      <c r="K449" s="188" t="s">
        <v>234</v>
      </c>
      <c r="L449" s="129" t="s">
        <v>479</v>
      </c>
      <c r="M449" s="56"/>
    </row>
    <row r="450" spans="2:13" ht="13.5" customHeight="1" thickBot="1" x14ac:dyDescent="0.25">
      <c r="B450" s="47">
        <f t="shared" ref="B450:J450" si="142">SUM(B448:B449)</f>
        <v>497</v>
      </c>
      <c r="C450" s="47">
        <f t="shared" si="142"/>
        <v>497</v>
      </c>
      <c r="D450" s="47">
        <f t="shared" si="142"/>
        <v>0</v>
      </c>
      <c r="E450" s="47">
        <f t="shared" si="142"/>
        <v>0</v>
      </c>
      <c r="F450" s="47">
        <f t="shared" si="142"/>
        <v>0</v>
      </c>
      <c r="G450" s="47">
        <f t="shared" si="142"/>
        <v>0</v>
      </c>
      <c r="H450" s="47">
        <f t="shared" si="142"/>
        <v>497</v>
      </c>
      <c r="I450" s="47">
        <f t="shared" si="142"/>
        <v>497</v>
      </c>
      <c r="J450" s="47">
        <f t="shared" si="142"/>
        <v>0</v>
      </c>
      <c r="K450" s="188" t="s">
        <v>12</v>
      </c>
      <c r="L450" s="130"/>
      <c r="M450" s="56"/>
    </row>
    <row r="451" spans="2:13" ht="13.5" customHeight="1" thickBot="1" x14ac:dyDescent="0.25">
      <c r="B451" s="47">
        <f t="shared" ref="B451:J453" si="143">B397+B400+B403+B406+B409+B412+B415+B418+B421+B424+B427+B430+B433+B436+B439+B442+B445+B448</f>
        <v>5576</v>
      </c>
      <c r="C451" s="47">
        <f t="shared" si="143"/>
        <v>3503</v>
      </c>
      <c r="D451" s="47">
        <f t="shared" si="143"/>
        <v>2073</v>
      </c>
      <c r="E451" s="47">
        <f t="shared" si="143"/>
        <v>7</v>
      </c>
      <c r="F451" s="47">
        <f t="shared" si="143"/>
        <v>3</v>
      </c>
      <c r="G451" s="47">
        <f t="shared" si="143"/>
        <v>4</v>
      </c>
      <c r="H451" s="47">
        <f t="shared" si="143"/>
        <v>5569</v>
      </c>
      <c r="I451" s="47">
        <f t="shared" si="143"/>
        <v>3500</v>
      </c>
      <c r="J451" s="47">
        <f t="shared" si="143"/>
        <v>2069</v>
      </c>
      <c r="K451" s="188" t="s">
        <v>236</v>
      </c>
      <c r="L451" s="131"/>
      <c r="M451" s="56"/>
    </row>
    <row r="452" spans="2:13" ht="13.5" customHeight="1" thickBot="1" x14ac:dyDescent="0.25">
      <c r="B452" s="47">
        <f t="shared" si="143"/>
        <v>7</v>
      </c>
      <c r="C452" s="47">
        <f t="shared" si="143"/>
        <v>0</v>
      </c>
      <c r="D452" s="47">
        <f t="shared" si="143"/>
        <v>7</v>
      </c>
      <c r="E452" s="47">
        <f t="shared" si="143"/>
        <v>0</v>
      </c>
      <c r="F452" s="47">
        <f t="shared" si="143"/>
        <v>0</v>
      </c>
      <c r="G452" s="47">
        <f t="shared" si="143"/>
        <v>0</v>
      </c>
      <c r="H452" s="47">
        <f t="shared" si="143"/>
        <v>7</v>
      </c>
      <c r="I452" s="47">
        <f t="shared" si="143"/>
        <v>0</v>
      </c>
      <c r="J452" s="47">
        <f t="shared" si="143"/>
        <v>7</v>
      </c>
      <c r="K452" s="188" t="s">
        <v>237</v>
      </c>
      <c r="L452" s="132" t="s">
        <v>188</v>
      </c>
      <c r="M452" s="56"/>
    </row>
    <row r="453" spans="2:13" ht="13.5" customHeight="1" thickBot="1" x14ac:dyDescent="0.25">
      <c r="B453" s="47">
        <f t="shared" si="143"/>
        <v>5583</v>
      </c>
      <c r="C453" s="47">
        <f t="shared" si="143"/>
        <v>3503</v>
      </c>
      <c r="D453" s="47">
        <f t="shared" si="143"/>
        <v>2080</v>
      </c>
      <c r="E453" s="47">
        <f t="shared" si="143"/>
        <v>7</v>
      </c>
      <c r="F453" s="47">
        <f t="shared" si="143"/>
        <v>3</v>
      </c>
      <c r="G453" s="47">
        <f t="shared" si="143"/>
        <v>4</v>
      </c>
      <c r="H453" s="47">
        <f t="shared" si="143"/>
        <v>5576</v>
      </c>
      <c r="I453" s="47">
        <f t="shared" si="143"/>
        <v>3500</v>
      </c>
      <c r="J453" s="47">
        <f t="shared" si="143"/>
        <v>2076</v>
      </c>
      <c r="K453" s="188" t="s">
        <v>12</v>
      </c>
      <c r="L453" s="133"/>
      <c r="M453" s="56"/>
    </row>
    <row r="454" spans="2:13" ht="13.5" customHeight="1" thickBot="1" x14ac:dyDescent="0.25">
      <c r="B454" s="476" t="s">
        <v>4</v>
      </c>
      <c r="C454" s="476"/>
      <c r="D454" s="476"/>
      <c r="E454" s="476" t="s">
        <v>145</v>
      </c>
      <c r="F454" s="476"/>
      <c r="G454" s="476"/>
      <c r="H454" s="476" t="s">
        <v>146</v>
      </c>
      <c r="I454" s="476"/>
      <c r="J454" s="476"/>
      <c r="K454" s="479" t="s">
        <v>66</v>
      </c>
      <c r="L454" s="479"/>
      <c r="M454" s="56"/>
    </row>
    <row r="455" spans="2:13" ht="13.5" customHeight="1" thickBot="1" x14ac:dyDescent="0.25">
      <c r="B455" s="185" t="s">
        <v>227</v>
      </c>
      <c r="C455" s="185" t="s">
        <v>10</v>
      </c>
      <c r="D455" s="185" t="s">
        <v>9</v>
      </c>
      <c r="E455" s="185" t="s">
        <v>227</v>
      </c>
      <c r="F455" s="185" t="s">
        <v>10</v>
      </c>
      <c r="G455" s="185" t="s">
        <v>9</v>
      </c>
      <c r="H455" s="185" t="s">
        <v>227</v>
      </c>
      <c r="I455" s="185" t="s">
        <v>10</v>
      </c>
      <c r="J455" s="185" t="s">
        <v>9</v>
      </c>
      <c r="K455" s="480" t="s">
        <v>76</v>
      </c>
      <c r="L455" s="480"/>
      <c r="M455" s="56"/>
    </row>
    <row r="456" spans="2:13" ht="13.5" customHeight="1" thickBot="1" x14ac:dyDescent="0.25">
      <c r="B456" s="47">
        <f>SUM(C456:D456)</f>
        <v>362</v>
      </c>
      <c r="C456" s="47">
        <f>I456+F456</f>
        <v>0</v>
      </c>
      <c r="D456" s="47">
        <f>J456+G456</f>
        <v>362</v>
      </c>
      <c r="E456" s="47">
        <f>SUM(F456:G456)</f>
        <v>0</v>
      </c>
      <c r="F456" s="47">
        <v>0</v>
      </c>
      <c r="G456" s="47">
        <v>0</v>
      </c>
      <c r="H456" s="47">
        <f>SUM(I456:J456)</f>
        <v>362</v>
      </c>
      <c r="I456" s="47">
        <v>0</v>
      </c>
      <c r="J456" s="47">
        <f>392-30</f>
        <v>362</v>
      </c>
      <c r="K456" s="188" t="s">
        <v>233</v>
      </c>
      <c r="L456" s="129"/>
      <c r="M456" s="56"/>
    </row>
    <row r="457" spans="2:13" ht="13.5" customHeight="1" thickBot="1" x14ac:dyDescent="0.25">
      <c r="B457" s="47">
        <f>SUM(C457:D457)</f>
        <v>0</v>
      </c>
      <c r="C457" s="47">
        <f>I457+F457</f>
        <v>0</v>
      </c>
      <c r="D457" s="47">
        <f>J457+G457</f>
        <v>0</v>
      </c>
      <c r="E457" s="47">
        <f>SUM(F457:G457)</f>
        <v>0</v>
      </c>
      <c r="F457" s="47">
        <v>0</v>
      </c>
      <c r="G457" s="47">
        <v>0</v>
      </c>
      <c r="H457" s="47">
        <f>SUM(I457:J457)</f>
        <v>0</v>
      </c>
      <c r="I457" s="47">
        <v>0</v>
      </c>
      <c r="J457" s="47">
        <v>0</v>
      </c>
      <c r="K457" s="188" t="s">
        <v>234</v>
      </c>
      <c r="L457" s="129" t="s">
        <v>658</v>
      </c>
      <c r="M457" s="56"/>
    </row>
    <row r="458" spans="2:13" ht="13.5" customHeight="1" thickBot="1" x14ac:dyDescent="0.25">
      <c r="B458" s="47">
        <f t="shared" ref="B458:J458" si="144">SUM(B456:B457)</f>
        <v>362</v>
      </c>
      <c r="C458" s="47">
        <f t="shared" si="144"/>
        <v>0</v>
      </c>
      <c r="D458" s="47">
        <f t="shared" si="144"/>
        <v>362</v>
      </c>
      <c r="E458" s="47">
        <f t="shared" si="144"/>
        <v>0</v>
      </c>
      <c r="F458" s="47">
        <f t="shared" si="144"/>
        <v>0</v>
      </c>
      <c r="G458" s="47">
        <f t="shared" si="144"/>
        <v>0</v>
      </c>
      <c r="H458" s="47">
        <f t="shared" si="144"/>
        <v>362</v>
      </c>
      <c r="I458" s="47">
        <f t="shared" si="144"/>
        <v>0</v>
      </c>
      <c r="J458" s="47">
        <f t="shared" si="144"/>
        <v>362</v>
      </c>
      <c r="K458" s="188" t="s">
        <v>12</v>
      </c>
      <c r="L458" s="130"/>
      <c r="M458" s="56"/>
    </row>
    <row r="459" spans="2:13" ht="13.5" customHeight="1" thickBot="1" x14ac:dyDescent="0.25">
      <c r="B459" s="47">
        <f>SUM(C459:D459)</f>
        <v>366</v>
      </c>
      <c r="C459" s="47">
        <f>I459+F459</f>
        <v>217</v>
      </c>
      <c r="D459" s="47">
        <f>J459+G459</f>
        <v>149</v>
      </c>
      <c r="E459" s="47">
        <f>SUM(F459:G459)</f>
        <v>10</v>
      </c>
      <c r="F459" s="47">
        <v>10</v>
      </c>
      <c r="G459" s="47">
        <v>0</v>
      </c>
      <c r="H459" s="47">
        <f>SUM(I459:J459)</f>
        <v>356</v>
      </c>
      <c r="I459" s="47">
        <v>207</v>
      </c>
      <c r="J459" s="47">
        <f>159-10</f>
        <v>149</v>
      </c>
      <c r="K459" s="188" t="s">
        <v>233</v>
      </c>
      <c r="L459" s="129"/>
      <c r="M459" s="56"/>
    </row>
    <row r="460" spans="2:13" ht="13.5" customHeight="1" thickBot="1" x14ac:dyDescent="0.25">
      <c r="B460" s="47">
        <f>SUM(C460:D460)</f>
        <v>0</v>
      </c>
      <c r="C460" s="47">
        <f>I460+F460</f>
        <v>0</v>
      </c>
      <c r="D460" s="47">
        <f>J460+G460</f>
        <v>0</v>
      </c>
      <c r="E460" s="47">
        <f>SUM(F460:G460)</f>
        <v>0</v>
      </c>
      <c r="F460" s="47">
        <v>0</v>
      </c>
      <c r="G460" s="47">
        <v>0</v>
      </c>
      <c r="H460" s="47">
        <f>SUM(I460:J460)</f>
        <v>0</v>
      </c>
      <c r="I460" s="47">
        <v>0</v>
      </c>
      <c r="J460" s="47">
        <v>0</v>
      </c>
      <c r="K460" s="188" t="s">
        <v>234</v>
      </c>
      <c r="L460" s="129" t="s">
        <v>367</v>
      </c>
      <c r="M460" s="56"/>
    </row>
    <row r="461" spans="2:13" ht="13.5" customHeight="1" thickBot="1" x14ac:dyDescent="0.25">
      <c r="B461" s="47">
        <f t="shared" ref="B461:J461" si="145">SUM(B459:B460)</f>
        <v>366</v>
      </c>
      <c r="C461" s="47">
        <f t="shared" si="145"/>
        <v>217</v>
      </c>
      <c r="D461" s="47">
        <f t="shared" si="145"/>
        <v>149</v>
      </c>
      <c r="E461" s="47">
        <f t="shared" si="145"/>
        <v>10</v>
      </c>
      <c r="F461" s="47">
        <f t="shared" si="145"/>
        <v>10</v>
      </c>
      <c r="G461" s="47">
        <f t="shared" si="145"/>
        <v>0</v>
      </c>
      <c r="H461" s="47">
        <f t="shared" si="145"/>
        <v>356</v>
      </c>
      <c r="I461" s="47">
        <f t="shared" si="145"/>
        <v>207</v>
      </c>
      <c r="J461" s="47">
        <f t="shared" si="145"/>
        <v>149</v>
      </c>
      <c r="K461" s="188" t="s">
        <v>12</v>
      </c>
      <c r="L461" s="130"/>
      <c r="M461" s="56"/>
    </row>
    <row r="462" spans="2:13" ht="13.5" customHeight="1" thickBot="1" x14ac:dyDescent="0.25">
      <c r="B462" s="47">
        <f>SUM(C462:D462)</f>
        <v>52</v>
      </c>
      <c r="C462" s="47">
        <f>I462+F462</f>
        <v>20</v>
      </c>
      <c r="D462" s="47">
        <f>J462+G462</f>
        <v>32</v>
      </c>
      <c r="E462" s="47">
        <f>SUM(F462:G462)</f>
        <v>0</v>
      </c>
      <c r="F462" s="47">
        <v>0</v>
      </c>
      <c r="G462" s="47">
        <v>0</v>
      </c>
      <c r="H462" s="47">
        <f>SUM(I462:J462)</f>
        <v>52</v>
      </c>
      <c r="I462" s="47">
        <v>20</v>
      </c>
      <c r="J462" s="47">
        <v>32</v>
      </c>
      <c r="K462" s="188" t="s">
        <v>233</v>
      </c>
      <c r="L462" s="129"/>
      <c r="M462" s="56"/>
    </row>
    <row r="463" spans="2:13" ht="13.5" customHeight="1" thickBot="1" x14ac:dyDescent="0.25">
      <c r="B463" s="47">
        <f>SUM(C463:D463)</f>
        <v>0</v>
      </c>
      <c r="C463" s="47">
        <f>I463+F463</f>
        <v>0</v>
      </c>
      <c r="D463" s="47">
        <f>J463+G463</f>
        <v>0</v>
      </c>
      <c r="E463" s="47">
        <f>SUM(F463:G463)</f>
        <v>0</v>
      </c>
      <c r="F463" s="47">
        <v>0</v>
      </c>
      <c r="G463" s="47">
        <v>0</v>
      </c>
      <c r="H463" s="47">
        <f>SUM(I463:J463)</f>
        <v>0</v>
      </c>
      <c r="I463" s="47">
        <v>0</v>
      </c>
      <c r="J463" s="47">
        <v>0</v>
      </c>
      <c r="K463" s="188" t="s">
        <v>234</v>
      </c>
      <c r="L463" s="129" t="s">
        <v>417</v>
      </c>
      <c r="M463" s="56"/>
    </row>
    <row r="464" spans="2:13" ht="13.5" customHeight="1" thickBot="1" x14ac:dyDescent="0.25">
      <c r="B464" s="47">
        <f t="shared" ref="B464:J464" si="146">SUM(B462:B463)</f>
        <v>52</v>
      </c>
      <c r="C464" s="47">
        <f t="shared" si="146"/>
        <v>20</v>
      </c>
      <c r="D464" s="47">
        <f t="shared" si="146"/>
        <v>32</v>
      </c>
      <c r="E464" s="47">
        <f t="shared" si="146"/>
        <v>0</v>
      </c>
      <c r="F464" s="47">
        <f t="shared" si="146"/>
        <v>0</v>
      </c>
      <c r="G464" s="47">
        <f t="shared" si="146"/>
        <v>0</v>
      </c>
      <c r="H464" s="47">
        <f t="shared" si="146"/>
        <v>52</v>
      </c>
      <c r="I464" s="47">
        <f t="shared" si="146"/>
        <v>20</v>
      </c>
      <c r="J464" s="47">
        <f t="shared" si="146"/>
        <v>32</v>
      </c>
      <c r="K464" s="188" t="s">
        <v>12</v>
      </c>
      <c r="L464" s="130"/>
      <c r="M464" s="56"/>
    </row>
    <row r="465" spans="2:13" ht="13.5" customHeight="1" thickBot="1" x14ac:dyDescent="0.25">
      <c r="B465" s="47">
        <f>SUM(C465:D465)</f>
        <v>55</v>
      </c>
      <c r="C465" s="47">
        <f>I465+F465</f>
        <v>0</v>
      </c>
      <c r="D465" s="47">
        <f>J465+G465</f>
        <v>55</v>
      </c>
      <c r="E465" s="47">
        <f>SUM(F465:G465)</f>
        <v>0</v>
      </c>
      <c r="F465" s="47">
        <v>0</v>
      </c>
      <c r="G465" s="47">
        <v>0</v>
      </c>
      <c r="H465" s="47">
        <f>SUM(I465:J465)</f>
        <v>55</v>
      </c>
      <c r="I465" s="47">
        <v>0</v>
      </c>
      <c r="J465" s="47">
        <v>55</v>
      </c>
      <c r="K465" s="188" t="s">
        <v>233</v>
      </c>
      <c r="L465" s="129"/>
      <c r="M465" s="56"/>
    </row>
    <row r="466" spans="2:13" ht="13.5" customHeight="1" thickBot="1" x14ac:dyDescent="0.25">
      <c r="B466" s="47">
        <f>SUM(C466:D466)</f>
        <v>0</v>
      </c>
      <c r="C466" s="47">
        <f>I466+F466</f>
        <v>0</v>
      </c>
      <c r="D466" s="47">
        <f>J466+G466</f>
        <v>0</v>
      </c>
      <c r="E466" s="47">
        <f>SUM(F466:G466)</f>
        <v>0</v>
      </c>
      <c r="F466" s="47">
        <v>0</v>
      </c>
      <c r="G466" s="47">
        <v>0</v>
      </c>
      <c r="H466" s="47">
        <f>SUM(I466:J466)</f>
        <v>0</v>
      </c>
      <c r="I466" s="47">
        <v>0</v>
      </c>
      <c r="J466" s="47">
        <v>0</v>
      </c>
      <c r="K466" s="188" t="s">
        <v>234</v>
      </c>
      <c r="L466" s="129" t="s">
        <v>499</v>
      </c>
      <c r="M466" s="56"/>
    </row>
    <row r="467" spans="2:13" ht="13.5" customHeight="1" thickBot="1" x14ac:dyDescent="0.25">
      <c r="B467" s="47">
        <f t="shared" ref="B467:J467" si="147">SUM(B465:B466)</f>
        <v>55</v>
      </c>
      <c r="C467" s="47">
        <f t="shared" si="147"/>
        <v>0</v>
      </c>
      <c r="D467" s="47">
        <f t="shared" si="147"/>
        <v>55</v>
      </c>
      <c r="E467" s="47">
        <f t="shared" si="147"/>
        <v>0</v>
      </c>
      <c r="F467" s="47">
        <f t="shared" si="147"/>
        <v>0</v>
      </c>
      <c r="G467" s="47">
        <f t="shared" si="147"/>
        <v>0</v>
      </c>
      <c r="H467" s="47">
        <f t="shared" si="147"/>
        <v>55</v>
      </c>
      <c r="I467" s="47">
        <f t="shared" si="147"/>
        <v>0</v>
      </c>
      <c r="J467" s="47">
        <f t="shared" si="147"/>
        <v>55</v>
      </c>
      <c r="K467" s="188" t="s">
        <v>12</v>
      </c>
      <c r="L467" s="130"/>
      <c r="M467" s="56"/>
    </row>
    <row r="468" spans="2:13" ht="13.5" customHeight="1" thickBot="1" x14ac:dyDescent="0.25">
      <c r="B468" s="47">
        <f>SUM(C468:D468)</f>
        <v>390</v>
      </c>
      <c r="C468" s="47">
        <f>I468+F468</f>
        <v>246</v>
      </c>
      <c r="D468" s="47">
        <f>J468+G468</f>
        <v>144</v>
      </c>
      <c r="E468" s="47">
        <f>SUM(F468:G468)</f>
        <v>3</v>
      </c>
      <c r="F468" s="47">
        <v>3</v>
      </c>
      <c r="G468" s="47">
        <v>0</v>
      </c>
      <c r="H468" s="47">
        <f>SUM(I468:J468)</f>
        <v>387</v>
      </c>
      <c r="I468" s="47">
        <v>243</v>
      </c>
      <c r="J468" s="47">
        <f>164-20</f>
        <v>144</v>
      </c>
      <c r="K468" s="188" t="s">
        <v>233</v>
      </c>
      <c r="L468" s="129"/>
      <c r="M468" s="56"/>
    </row>
    <row r="469" spans="2:13" ht="13.5" customHeight="1" thickBot="1" x14ac:dyDescent="0.25">
      <c r="B469" s="47">
        <f>SUM(C469:D469)</f>
        <v>0</v>
      </c>
      <c r="C469" s="47">
        <f>I469+F469</f>
        <v>0</v>
      </c>
      <c r="D469" s="47">
        <f>J469+G469</f>
        <v>0</v>
      </c>
      <c r="E469" s="47">
        <f>SUM(F469:G469)</f>
        <v>0</v>
      </c>
      <c r="F469" s="47">
        <v>0</v>
      </c>
      <c r="G469" s="47">
        <v>0</v>
      </c>
      <c r="H469" s="47">
        <f>SUM(I469:J469)</f>
        <v>0</v>
      </c>
      <c r="I469" s="47">
        <v>0</v>
      </c>
      <c r="J469" s="47">
        <v>0</v>
      </c>
      <c r="K469" s="188" t="s">
        <v>234</v>
      </c>
      <c r="L469" s="129" t="s">
        <v>659</v>
      </c>
      <c r="M469" s="56"/>
    </row>
    <row r="470" spans="2:13" ht="13.5" customHeight="1" thickBot="1" x14ac:dyDescent="0.25">
      <c r="B470" s="47">
        <f t="shared" ref="B470:J470" si="148">SUM(B468:B469)</f>
        <v>390</v>
      </c>
      <c r="C470" s="47">
        <f t="shared" si="148"/>
        <v>246</v>
      </c>
      <c r="D470" s="47">
        <f t="shared" si="148"/>
        <v>144</v>
      </c>
      <c r="E470" s="47">
        <f t="shared" si="148"/>
        <v>3</v>
      </c>
      <c r="F470" s="47">
        <f t="shared" si="148"/>
        <v>3</v>
      </c>
      <c r="G470" s="47">
        <f t="shared" si="148"/>
        <v>0</v>
      </c>
      <c r="H470" s="47">
        <f t="shared" si="148"/>
        <v>387</v>
      </c>
      <c r="I470" s="47">
        <f t="shared" si="148"/>
        <v>243</v>
      </c>
      <c r="J470" s="47">
        <f t="shared" si="148"/>
        <v>144</v>
      </c>
      <c r="K470" s="188" t="s">
        <v>12</v>
      </c>
      <c r="L470" s="130"/>
      <c r="M470" s="56"/>
    </row>
    <row r="471" spans="2:13" ht="13.5" customHeight="1" thickBot="1" x14ac:dyDescent="0.25">
      <c r="B471" s="47">
        <f>SUM(C471:D471)</f>
        <v>275</v>
      </c>
      <c r="C471" s="47">
        <f>I471+F471</f>
        <v>275</v>
      </c>
      <c r="D471" s="47">
        <f>J471+G471</f>
        <v>0</v>
      </c>
      <c r="E471" s="47">
        <f>SUM(F471:G471)</f>
        <v>0</v>
      </c>
      <c r="F471" s="47">
        <v>0</v>
      </c>
      <c r="G471" s="47">
        <v>0</v>
      </c>
      <c r="H471" s="47">
        <f>SUM(I471:J471)</f>
        <v>275</v>
      </c>
      <c r="I471" s="47">
        <v>275</v>
      </c>
      <c r="J471" s="47">
        <v>0</v>
      </c>
      <c r="K471" s="188" t="s">
        <v>233</v>
      </c>
      <c r="L471" s="129"/>
      <c r="M471" s="56"/>
    </row>
    <row r="472" spans="2:13" ht="13.5" customHeight="1" thickBot="1" x14ac:dyDescent="0.25">
      <c r="B472" s="47">
        <f>SUM(C472:D472)</f>
        <v>0</v>
      </c>
      <c r="C472" s="47">
        <f>I472+F472</f>
        <v>0</v>
      </c>
      <c r="D472" s="47">
        <f>J472+G472</f>
        <v>0</v>
      </c>
      <c r="E472" s="47">
        <f>SUM(F472:G472)</f>
        <v>0</v>
      </c>
      <c r="F472" s="47">
        <v>0</v>
      </c>
      <c r="G472" s="47">
        <v>0</v>
      </c>
      <c r="H472" s="47">
        <f>SUM(I472:J472)</f>
        <v>0</v>
      </c>
      <c r="I472" s="47">
        <v>0</v>
      </c>
      <c r="J472" s="47">
        <v>0</v>
      </c>
      <c r="K472" s="188" t="s">
        <v>234</v>
      </c>
      <c r="L472" s="129" t="s">
        <v>484</v>
      </c>
      <c r="M472" s="56"/>
    </row>
    <row r="473" spans="2:13" ht="13.5" customHeight="1" thickBot="1" x14ac:dyDescent="0.25">
      <c r="B473" s="47">
        <f t="shared" ref="B473:J473" si="149">SUM(B471:B472)</f>
        <v>275</v>
      </c>
      <c r="C473" s="47">
        <f t="shared" si="149"/>
        <v>275</v>
      </c>
      <c r="D473" s="47">
        <f t="shared" si="149"/>
        <v>0</v>
      </c>
      <c r="E473" s="47">
        <f t="shared" si="149"/>
        <v>0</v>
      </c>
      <c r="F473" s="47">
        <f t="shared" si="149"/>
        <v>0</v>
      </c>
      <c r="G473" s="47">
        <f t="shared" si="149"/>
        <v>0</v>
      </c>
      <c r="H473" s="47">
        <f t="shared" si="149"/>
        <v>275</v>
      </c>
      <c r="I473" s="47">
        <f t="shared" si="149"/>
        <v>275</v>
      </c>
      <c r="J473" s="47">
        <f t="shared" si="149"/>
        <v>0</v>
      </c>
      <c r="K473" s="188" t="s">
        <v>12</v>
      </c>
      <c r="L473" s="130"/>
      <c r="M473" s="56"/>
    </row>
    <row r="474" spans="2:13" ht="13.5" customHeight="1" thickBot="1" x14ac:dyDescent="0.25">
      <c r="B474" s="47">
        <f>SUM(C474:D474)</f>
        <v>997</v>
      </c>
      <c r="C474" s="47">
        <f>I474+F474</f>
        <v>997</v>
      </c>
      <c r="D474" s="47">
        <f>J474+G474</f>
        <v>0</v>
      </c>
      <c r="E474" s="47">
        <f>SUM(F474:G474)</f>
        <v>0</v>
      </c>
      <c r="F474" s="47">
        <v>0</v>
      </c>
      <c r="G474" s="47">
        <v>0</v>
      </c>
      <c r="H474" s="47">
        <f>SUM(I474:J474)</f>
        <v>997</v>
      </c>
      <c r="I474" s="47">
        <v>997</v>
      </c>
      <c r="J474" s="47">
        <v>0</v>
      </c>
      <c r="K474" s="188" t="s">
        <v>233</v>
      </c>
      <c r="L474" s="129"/>
      <c r="M474" s="56"/>
    </row>
    <row r="475" spans="2:13" ht="13.5" customHeight="1" thickBot="1" x14ac:dyDescent="0.25">
      <c r="B475" s="47">
        <f>SUM(C475:D475)</f>
        <v>251</v>
      </c>
      <c r="C475" s="47">
        <f>I475+F475</f>
        <v>251</v>
      </c>
      <c r="D475" s="47">
        <f>J475+G475</f>
        <v>0</v>
      </c>
      <c r="E475" s="47">
        <f>SUM(F475:G475)</f>
        <v>0</v>
      </c>
      <c r="F475" s="47">
        <v>0</v>
      </c>
      <c r="G475" s="47">
        <v>0</v>
      </c>
      <c r="H475" s="47">
        <f>SUM(I475:J475)</f>
        <v>251</v>
      </c>
      <c r="I475" s="47">
        <v>251</v>
      </c>
      <c r="J475" s="47">
        <v>0</v>
      </c>
      <c r="K475" s="188" t="s">
        <v>234</v>
      </c>
      <c r="L475" s="129" t="s">
        <v>485</v>
      </c>
      <c r="M475" s="56"/>
    </row>
    <row r="476" spans="2:13" ht="13.5" customHeight="1" thickBot="1" x14ac:dyDescent="0.25">
      <c r="B476" s="47">
        <f t="shared" ref="B476:J476" si="150">SUM(B474:B475)</f>
        <v>1248</v>
      </c>
      <c r="C476" s="47">
        <f t="shared" si="150"/>
        <v>1248</v>
      </c>
      <c r="D476" s="47">
        <f t="shared" si="150"/>
        <v>0</v>
      </c>
      <c r="E476" s="47">
        <f t="shared" si="150"/>
        <v>0</v>
      </c>
      <c r="F476" s="47">
        <f t="shared" si="150"/>
        <v>0</v>
      </c>
      <c r="G476" s="47">
        <f t="shared" si="150"/>
        <v>0</v>
      </c>
      <c r="H476" s="47">
        <f t="shared" si="150"/>
        <v>1248</v>
      </c>
      <c r="I476" s="47">
        <f t="shared" si="150"/>
        <v>1248</v>
      </c>
      <c r="J476" s="47">
        <f t="shared" si="150"/>
        <v>0</v>
      </c>
      <c r="K476" s="188" t="s">
        <v>12</v>
      </c>
      <c r="L476" s="130"/>
      <c r="M476" s="56"/>
    </row>
    <row r="477" spans="2:13" ht="13.5" customHeight="1" thickBot="1" x14ac:dyDescent="0.25">
      <c r="B477" s="47">
        <f>SUM(C477:D477)</f>
        <v>313</v>
      </c>
      <c r="C477" s="47">
        <f>I477+F477</f>
        <v>313</v>
      </c>
      <c r="D477" s="47">
        <f>J477+G477</f>
        <v>0</v>
      </c>
      <c r="E477" s="47">
        <f>SUM(F477:G477)</f>
        <v>0</v>
      </c>
      <c r="F477" s="47">
        <v>0</v>
      </c>
      <c r="G477" s="47">
        <v>0</v>
      </c>
      <c r="H477" s="47">
        <f>SUM(I477:J477)</f>
        <v>313</v>
      </c>
      <c r="I477" s="47">
        <v>313</v>
      </c>
      <c r="J477" s="47">
        <v>0</v>
      </c>
      <c r="K477" s="188" t="s">
        <v>233</v>
      </c>
      <c r="L477" s="129"/>
      <c r="M477" s="56"/>
    </row>
    <row r="478" spans="2:13" ht="13.5" customHeight="1" thickBot="1" x14ac:dyDescent="0.25">
      <c r="B478" s="47">
        <f>SUM(C478:D478)</f>
        <v>0</v>
      </c>
      <c r="C478" s="47">
        <f>I478+F478</f>
        <v>0</v>
      </c>
      <c r="D478" s="47">
        <f>J478+G478</f>
        <v>0</v>
      </c>
      <c r="E478" s="47">
        <f>SUM(F478:G478)</f>
        <v>0</v>
      </c>
      <c r="F478" s="47">
        <v>0</v>
      </c>
      <c r="G478" s="47">
        <v>0</v>
      </c>
      <c r="H478" s="47">
        <f>SUM(I478:J478)</f>
        <v>0</v>
      </c>
      <c r="I478" s="47">
        <v>0</v>
      </c>
      <c r="J478" s="47">
        <v>0</v>
      </c>
      <c r="K478" s="188" t="s">
        <v>234</v>
      </c>
      <c r="L478" s="129" t="s">
        <v>486</v>
      </c>
      <c r="M478" s="56"/>
    </row>
    <row r="479" spans="2:13" ht="13.5" customHeight="1" thickBot="1" x14ac:dyDescent="0.25">
      <c r="B479" s="47">
        <f t="shared" ref="B479:J479" si="151">SUM(B477:B478)</f>
        <v>313</v>
      </c>
      <c r="C479" s="47">
        <f t="shared" si="151"/>
        <v>313</v>
      </c>
      <c r="D479" s="47">
        <f t="shared" si="151"/>
        <v>0</v>
      </c>
      <c r="E479" s="47">
        <f t="shared" si="151"/>
        <v>0</v>
      </c>
      <c r="F479" s="47">
        <f t="shared" si="151"/>
        <v>0</v>
      </c>
      <c r="G479" s="47">
        <f t="shared" si="151"/>
        <v>0</v>
      </c>
      <c r="H479" s="47">
        <f t="shared" si="151"/>
        <v>313</v>
      </c>
      <c r="I479" s="47">
        <f t="shared" si="151"/>
        <v>313</v>
      </c>
      <c r="J479" s="47">
        <f t="shared" si="151"/>
        <v>0</v>
      </c>
      <c r="K479" s="188" t="s">
        <v>12</v>
      </c>
      <c r="L479" s="130"/>
      <c r="M479" s="56"/>
    </row>
    <row r="480" spans="2:13" ht="13.5" customHeight="1" thickBot="1" x14ac:dyDescent="0.25">
      <c r="B480" s="47">
        <f>SUM(C480:D480)</f>
        <v>693</v>
      </c>
      <c r="C480" s="47">
        <f>I480+F480</f>
        <v>693</v>
      </c>
      <c r="D480" s="47">
        <f>J480+G480</f>
        <v>0</v>
      </c>
      <c r="E480" s="47">
        <f>SUM(F480:G480)</f>
        <v>0</v>
      </c>
      <c r="F480" s="47">
        <v>0</v>
      </c>
      <c r="G480" s="47">
        <v>0</v>
      </c>
      <c r="H480" s="47">
        <f>SUM(I480:J480)</f>
        <v>693</v>
      </c>
      <c r="I480" s="47">
        <v>693</v>
      </c>
      <c r="J480" s="47">
        <v>0</v>
      </c>
      <c r="K480" s="188" t="s">
        <v>233</v>
      </c>
      <c r="L480" s="129"/>
      <c r="M480" s="56"/>
    </row>
    <row r="481" spans="2:13" ht="13.5" customHeight="1" thickBot="1" x14ac:dyDescent="0.25">
      <c r="B481" s="47">
        <f>SUM(C481:D481)</f>
        <v>82</v>
      </c>
      <c r="C481" s="47">
        <f>I481+F481</f>
        <v>82</v>
      </c>
      <c r="D481" s="47">
        <f>J481+G481</f>
        <v>0</v>
      </c>
      <c r="E481" s="47">
        <f>SUM(F481:G481)</f>
        <v>0</v>
      </c>
      <c r="F481" s="47">
        <v>0</v>
      </c>
      <c r="G481" s="47">
        <v>0</v>
      </c>
      <c r="H481" s="47">
        <f>SUM(I481:J481)</f>
        <v>82</v>
      </c>
      <c r="I481" s="47">
        <v>82</v>
      </c>
      <c r="J481" s="47">
        <v>0</v>
      </c>
      <c r="K481" s="188" t="s">
        <v>234</v>
      </c>
      <c r="L481" s="129" t="s">
        <v>487</v>
      </c>
      <c r="M481" s="56"/>
    </row>
    <row r="482" spans="2:13" ht="13.5" customHeight="1" thickBot="1" x14ac:dyDescent="0.25">
      <c r="B482" s="47">
        <f t="shared" ref="B482:J482" si="152">SUM(B480:B481)</f>
        <v>775</v>
      </c>
      <c r="C482" s="47">
        <f t="shared" si="152"/>
        <v>775</v>
      </c>
      <c r="D482" s="47">
        <f t="shared" si="152"/>
        <v>0</v>
      </c>
      <c r="E482" s="47">
        <f t="shared" si="152"/>
        <v>0</v>
      </c>
      <c r="F482" s="47">
        <f t="shared" si="152"/>
        <v>0</v>
      </c>
      <c r="G482" s="47">
        <f t="shared" si="152"/>
        <v>0</v>
      </c>
      <c r="H482" s="47">
        <f t="shared" si="152"/>
        <v>775</v>
      </c>
      <c r="I482" s="47">
        <f t="shared" si="152"/>
        <v>775</v>
      </c>
      <c r="J482" s="47">
        <f t="shared" si="152"/>
        <v>0</v>
      </c>
      <c r="K482" s="188" t="s">
        <v>12</v>
      </c>
      <c r="L482" s="130"/>
      <c r="M482" s="56"/>
    </row>
    <row r="483" spans="2:13" ht="13.5" customHeight="1" thickBot="1" x14ac:dyDescent="0.25">
      <c r="B483" s="47">
        <f>SUM(C483:D483)</f>
        <v>131</v>
      </c>
      <c r="C483" s="47">
        <f>I483+F483</f>
        <v>0</v>
      </c>
      <c r="D483" s="47">
        <f>J483+G483</f>
        <v>131</v>
      </c>
      <c r="E483" s="47">
        <f>SUM(F483:G483)</f>
        <v>0</v>
      </c>
      <c r="F483" s="47">
        <v>0</v>
      </c>
      <c r="G483" s="47">
        <v>0</v>
      </c>
      <c r="H483" s="47">
        <f>SUM(I483:J483)</f>
        <v>131</v>
      </c>
      <c r="I483" s="47">
        <v>0</v>
      </c>
      <c r="J483" s="47">
        <f>141-10</f>
        <v>131</v>
      </c>
      <c r="K483" s="188" t="s">
        <v>233</v>
      </c>
      <c r="L483" s="129"/>
      <c r="M483" s="56"/>
    </row>
    <row r="484" spans="2:13" ht="13.5" customHeight="1" thickBot="1" x14ac:dyDescent="0.25">
      <c r="B484" s="47">
        <f>SUM(C484:D484)</f>
        <v>0</v>
      </c>
      <c r="C484" s="47">
        <f>I484+F484</f>
        <v>0</v>
      </c>
      <c r="D484" s="47">
        <f>J484+G484</f>
        <v>0</v>
      </c>
      <c r="E484" s="47">
        <f>SUM(F484:G484)</f>
        <v>0</v>
      </c>
      <c r="F484" s="47">
        <v>0</v>
      </c>
      <c r="G484" s="47">
        <v>0</v>
      </c>
      <c r="H484" s="47">
        <f>SUM(I484:J484)</f>
        <v>0</v>
      </c>
      <c r="I484" s="47">
        <v>0</v>
      </c>
      <c r="J484" s="47">
        <v>0</v>
      </c>
      <c r="K484" s="188" t="s">
        <v>234</v>
      </c>
      <c r="L484" s="129" t="s">
        <v>489</v>
      </c>
      <c r="M484" s="56"/>
    </row>
    <row r="485" spans="2:13" ht="13.5" customHeight="1" thickBot="1" x14ac:dyDescent="0.25">
      <c r="B485" s="47">
        <f t="shared" ref="B485:J485" si="153">SUM(B483:B484)</f>
        <v>131</v>
      </c>
      <c r="C485" s="47">
        <f t="shared" si="153"/>
        <v>0</v>
      </c>
      <c r="D485" s="47">
        <f t="shared" si="153"/>
        <v>131</v>
      </c>
      <c r="E485" s="47">
        <f t="shared" si="153"/>
        <v>0</v>
      </c>
      <c r="F485" s="47">
        <f t="shared" si="153"/>
        <v>0</v>
      </c>
      <c r="G485" s="47">
        <f t="shared" si="153"/>
        <v>0</v>
      </c>
      <c r="H485" s="47">
        <f t="shared" si="153"/>
        <v>131</v>
      </c>
      <c r="I485" s="47">
        <f t="shared" si="153"/>
        <v>0</v>
      </c>
      <c r="J485" s="47">
        <f t="shared" si="153"/>
        <v>131</v>
      </c>
      <c r="K485" s="188" t="s">
        <v>12</v>
      </c>
      <c r="L485" s="130"/>
      <c r="M485" s="56"/>
    </row>
    <row r="486" spans="2:13" ht="13.5" customHeight="1" thickBot="1" x14ac:dyDescent="0.25">
      <c r="B486" s="47">
        <f>SUM(C486:D486)</f>
        <v>126</v>
      </c>
      <c r="C486" s="47">
        <f>I486+F486</f>
        <v>126</v>
      </c>
      <c r="D486" s="47">
        <f>J486+G486</f>
        <v>0</v>
      </c>
      <c r="E486" s="47">
        <f>SUM(F486:G486)</f>
        <v>0</v>
      </c>
      <c r="F486" s="47">
        <v>0</v>
      </c>
      <c r="G486" s="47">
        <v>0</v>
      </c>
      <c r="H486" s="47">
        <f>SUM(I486:J486)</f>
        <v>126</v>
      </c>
      <c r="I486" s="47">
        <v>126</v>
      </c>
      <c r="J486" s="47">
        <v>0</v>
      </c>
      <c r="K486" s="188" t="s">
        <v>233</v>
      </c>
      <c r="L486" s="129"/>
      <c r="M486" s="56"/>
    </row>
    <row r="487" spans="2:13" ht="13.5" customHeight="1" thickBot="1" x14ac:dyDescent="0.25">
      <c r="B487" s="47">
        <f>SUM(C487:D487)</f>
        <v>0</v>
      </c>
      <c r="C487" s="47">
        <f>I487+F487</f>
        <v>0</v>
      </c>
      <c r="D487" s="47">
        <f>J487+G487</f>
        <v>0</v>
      </c>
      <c r="E487" s="47">
        <f>SUM(F487:G487)</f>
        <v>0</v>
      </c>
      <c r="F487" s="47">
        <v>0</v>
      </c>
      <c r="G487" s="47">
        <v>0</v>
      </c>
      <c r="H487" s="47">
        <f>SUM(I487:J487)</f>
        <v>0</v>
      </c>
      <c r="I487" s="47">
        <v>0</v>
      </c>
      <c r="J487" s="47">
        <v>0</v>
      </c>
      <c r="K487" s="188" t="s">
        <v>234</v>
      </c>
      <c r="L487" s="129" t="s">
        <v>490</v>
      </c>
      <c r="M487" s="56"/>
    </row>
    <row r="488" spans="2:13" ht="13.5" customHeight="1" thickBot="1" x14ac:dyDescent="0.25">
      <c r="B488" s="47">
        <f t="shared" ref="B488:J488" si="154">SUM(B486:B487)</f>
        <v>126</v>
      </c>
      <c r="C488" s="47">
        <f t="shared" si="154"/>
        <v>126</v>
      </c>
      <c r="D488" s="47">
        <f t="shared" si="154"/>
        <v>0</v>
      </c>
      <c r="E488" s="47">
        <f t="shared" si="154"/>
        <v>0</v>
      </c>
      <c r="F488" s="47">
        <f t="shared" si="154"/>
        <v>0</v>
      </c>
      <c r="G488" s="47">
        <f t="shared" si="154"/>
        <v>0</v>
      </c>
      <c r="H488" s="47">
        <f t="shared" si="154"/>
        <v>126</v>
      </c>
      <c r="I488" s="47">
        <f t="shared" si="154"/>
        <v>126</v>
      </c>
      <c r="J488" s="47">
        <f t="shared" si="154"/>
        <v>0</v>
      </c>
      <c r="K488" s="188" t="s">
        <v>12</v>
      </c>
      <c r="L488" s="130"/>
      <c r="M488" s="56"/>
    </row>
    <row r="489" spans="2:13" ht="13.5" customHeight="1" thickBot="1" x14ac:dyDescent="0.25">
      <c r="B489" s="47">
        <f>SUM(C489:D489)</f>
        <v>41</v>
      </c>
      <c r="C489" s="47">
        <f>I489+F489</f>
        <v>41</v>
      </c>
      <c r="D489" s="47">
        <f>J489+G489</f>
        <v>0</v>
      </c>
      <c r="E489" s="47">
        <f>SUM(F489:G489)</f>
        <v>0</v>
      </c>
      <c r="F489" s="47">
        <v>0</v>
      </c>
      <c r="G489" s="47">
        <v>0</v>
      </c>
      <c r="H489" s="47">
        <f>SUM(I489:J489)</f>
        <v>41</v>
      </c>
      <c r="I489" s="47">
        <v>41</v>
      </c>
      <c r="J489" s="47">
        <v>0</v>
      </c>
      <c r="K489" s="188" t="s">
        <v>233</v>
      </c>
      <c r="L489" s="129"/>
      <c r="M489" s="56"/>
    </row>
    <row r="490" spans="2:13" ht="13.5" customHeight="1" thickBot="1" x14ac:dyDescent="0.25">
      <c r="B490" s="47">
        <f>SUM(C490:D490)</f>
        <v>0</v>
      </c>
      <c r="C490" s="47">
        <f>I490+F490</f>
        <v>0</v>
      </c>
      <c r="D490" s="47">
        <f>J490+G490</f>
        <v>0</v>
      </c>
      <c r="E490" s="47">
        <f>SUM(F490:G490)</f>
        <v>0</v>
      </c>
      <c r="F490" s="47">
        <v>0</v>
      </c>
      <c r="G490" s="47">
        <v>0</v>
      </c>
      <c r="H490" s="47">
        <f>SUM(I490:J490)</f>
        <v>0</v>
      </c>
      <c r="I490" s="47">
        <v>0</v>
      </c>
      <c r="J490" s="47">
        <v>0</v>
      </c>
      <c r="K490" s="188" t="s">
        <v>234</v>
      </c>
      <c r="L490" s="129" t="s">
        <v>491</v>
      </c>
      <c r="M490" s="56"/>
    </row>
    <row r="491" spans="2:13" ht="13.5" customHeight="1" thickBot="1" x14ac:dyDescent="0.25">
      <c r="B491" s="47">
        <f t="shared" ref="B491:J491" si="155">SUM(B489:B490)</f>
        <v>41</v>
      </c>
      <c r="C491" s="47">
        <f t="shared" si="155"/>
        <v>41</v>
      </c>
      <c r="D491" s="47">
        <f t="shared" si="155"/>
        <v>0</v>
      </c>
      <c r="E491" s="47">
        <f t="shared" si="155"/>
        <v>0</v>
      </c>
      <c r="F491" s="47">
        <f t="shared" si="155"/>
        <v>0</v>
      </c>
      <c r="G491" s="47">
        <f t="shared" si="155"/>
        <v>0</v>
      </c>
      <c r="H491" s="47">
        <f t="shared" si="155"/>
        <v>41</v>
      </c>
      <c r="I491" s="47">
        <f t="shared" si="155"/>
        <v>41</v>
      </c>
      <c r="J491" s="47">
        <f t="shared" si="155"/>
        <v>0</v>
      </c>
      <c r="K491" s="188" t="s">
        <v>12</v>
      </c>
      <c r="L491" s="130"/>
      <c r="M491" s="56"/>
    </row>
    <row r="492" spans="2:13" ht="13.5" customHeight="1" thickBot="1" x14ac:dyDescent="0.25">
      <c r="B492" s="47">
        <f>SUM(C492:D492)</f>
        <v>6</v>
      </c>
      <c r="C492" s="47">
        <f>I492+F492</f>
        <v>3</v>
      </c>
      <c r="D492" s="47">
        <f>J492+G492</f>
        <v>3</v>
      </c>
      <c r="E492" s="47">
        <f>SUM(F492:G492)</f>
        <v>6</v>
      </c>
      <c r="F492" s="47">
        <v>3</v>
      </c>
      <c r="G492" s="47">
        <v>3</v>
      </c>
      <c r="H492" s="47">
        <f>SUM(I492:J492)</f>
        <v>0</v>
      </c>
      <c r="I492" s="47">
        <v>0</v>
      </c>
      <c r="J492" s="47">
        <v>0</v>
      </c>
      <c r="K492" s="188" t="s">
        <v>233</v>
      </c>
      <c r="L492" s="129"/>
      <c r="M492" s="56"/>
    </row>
    <row r="493" spans="2:13" ht="13.5" customHeight="1" thickBot="1" x14ac:dyDescent="0.25">
      <c r="B493" s="47">
        <f>SUM(C493:D493)</f>
        <v>0</v>
      </c>
      <c r="C493" s="47">
        <f>I493+F493</f>
        <v>0</v>
      </c>
      <c r="D493" s="47">
        <f>J493+G493</f>
        <v>0</v>
      </c>
      <c r="E493" s="47">
        <f>SUM(F493:G493)</f>
        <v>0</v>
      </c>
      <c r="F493" s="47">
        <v>0</v>
      </c>
      <c r="G493" s="47">
        <v>0</v>
      </c>
      <c r="H493" s="47">
        <f>SUM(I493:J493)</f>
        <v>0</v>
      </c>
      <c r="I493" s="47">
        <v>0</v>
      </c>
      <c r="J493" s="47">
        <v>0</v>
      </c>
      <c r="K493" s="188" t="s">
        <v>234</v>
      </c>
      <c r="L493" s="129" t="s">
        <v>103</v>
      </c>
      <c r="M493" s="56"/>
    </row>
    <row r="494" spans="2:13" ht="13.5" customHeight="1" thickBot="1" x14ac:dyDescent="0.25">
      <c r="B494" s="47">
        <f t="shared" ref="B494:J494" si="156">SUM(B492:B493)</f>
        <v>6</v>
      </c>
      <c r="C494" s="47">
        <f t="shared" si="156"/>
        <v>3</v>
      </c>
      <c r="D494" s="47">
        <f t="shared" si="156"/>
        <v>3</v>
      </c>
      <c r="E494" s="47">
        <f t="shared" si="156"/>
        <v>6</v>
      </c>
      <c r="F494" s="47">
        <f t="shared" si="156"/>
        <v>3</v>
      </c>
      <c r="G494" s="47">
        <f t="shared" si="156"/>
        <v>3</v>
      </c>
      <c r="H494" s="47">
        <f t="shared" si="156"/>
        <v>0</v>
      </c>
      <c r="I494" s="47">
        <f t="shared" si="156"/>
        <v>0</v>
      </c>
      <c r="J494" s="47">
        <f t="shared" si="156"/>
        <v>0</v>
      </c>
      <c r="K494" s="188" t="s">
        <v>12</v>
      </c>
      <c r="L494" s="130"/>
      <c r="M494" s="56"/>
    </row>
    <row r="495" spans="2:13" ht="13.5" customHeight="1" thickBot="1" x14ac:dyDescent="0.25">
      <c r="B495" s="47">
        <f>SUM(C495:D495)</f>
        <v>560</v>
      </c>
      <c r="C495" s="47">
        <f>I495+F495</f>
        <v>306</v>
      </c>
      <c r="D495" s="47">
        <f>J495+G495</f>
        <v>254</v>
      </c>
      <c r="E495" s="47">
        <f>SUM(F495:G495)</f>
        <v>6</v>
      </c>
      <c r="F495" s="47">
        <v>6</v>
      </c>
      <c r="G495" s="47">
        <v>0</v>
      </c>
      <c r="H495" s="47">
        <f>SUM(I495:J495)</f>
        <v>554</v>
      </c>
      <c r="I495" s="47">
        <v>300</v>
      </c>
      <c r="J495" s="47">
        <f>264-10</f>
        <v>254</v>
      </c>
      <c r="K495" s="188" t="s">
        <v>233</v>
      </c>
      <c r="L495" s="129"/>
      <c r="M495" s="56"/>
    </row>
    <row r="496" spans="2:13" ht="13.5" customHeight="1" thickBot="1" x14ac:dyDescent="0.25">
      <c r="B496" s="47">
        <f>SUM(C496:D496)</f>
        <v>0</v>
      </c>
      <c r="C496" s="47">
        <f>I496+F496</f>
        <v>0</v>
      </c>
      <c r="D496" s="47">
        <f>J496+G496</f>
        <v>0</v>
      </c>
      <c r="E496" s="47">
        <f>SUM(F496:G496)</f>
        <v>0</v>
      </c>
      <c r="F496" s="47">
        <v>0</v>
      </c>
      <c r="G496" s="47">
        <v>0</v>
      </c>
      <c r="H496" s="47">
        <f>SUM(I496:J496)</f>
        <v>0</v>
      </c>
      <c r="I496" s="47">
        <v>0</v>
      </c>
      <c r="J496" s="47">
        <v>0</v>
      </c>
      <c r="K496" s="188" t="s">
        <v>234</v>
      </c>
      <c r="L496" s="129" t="s">
        <v>720</v>
      </c>
      <c r="M496" s="56"/>
    </row>
    <row r="497" spans="2:13" ht="13.5" customHeight="1" thickBot="1" x14ac:dyDescent="0.25">
      <c r="B497" s="47">
        <f t="shared" ref="B497:J497" si="157">SUM(B495:B496)</f>
        <v>560</v>
      </c>
      <c r="C497" s="47">
        <f t="shared" si="157"/>
        <v>306</v>
      </c>
      <c r="D497" s="47">
        <f t="shared" si="157"/>
        <v>254</v>
      </c>
      <c r="E497" s="47">
        <f t="shared" si="157"/>
        <v>6</v>
      </c>
      <c r="F497" s="47">
        <f t="shared" si="157"/>
        <v>6</v>
      </c>
      <c r="G497" s="47">
        <f t="shared" si="157"/>
        <v>0</v>
      </c>
      <c r="H497" s="47">
        <f t="shared" si="157"/>
        <v>554</v>
      </c>
      <c r="I497" s="47">
        <f t="shared" si="157"/>
        <v>300</v>
      </c>
      <c r="J497" s="47">
        <f t="shared" si="157"/>
        <v>254</v>
      </c>
      <c r="K497" s="188" t="s">
        <v>12</v>
      </c>
      <c r="L497" s="130"/>
      <c r="M497" s="56"/>
    </row>
    <row r="498" spans="2:13" ht="13.5" customHeight="1" thickBot="1" x14ac:dyDescent="0.25">
      <c r="B498" s="47">
        <f>SUM(C498:D498)</f>
        <v>452</v>
      </c>
      <c r="C498" s="47">
        <f>I498+F498</f>
        <v>178</v>
      </c>
      <c r="D498" s="47">
        <f>J498+G498</f>
        <v>274</v>
      </c>
      <c r="E498" s="47">
        <f>SUM(F498:G498)</f>
        <v>0</v>
      </c>
      <c r="F498" s="47">
        <v>0</v>
      </c>
      <c r="G498" s="47">
        <v>0</v>
      </c>
      <c r="H498" s="47">
        <f>SUM(I498:J498)</f>
        <v>452</v>
      </c>
      <c r="I498" s="47">
        <v>178</v>
      </c>
      <c r="J498" s="47">
        <f>293-19</f>
        <v>274</v>
      </c>
      <c r="K498" s="188" t="s">
        <v>233</v>
      </c>
      <c r="L498" s="129"/>
      <c r="M498" s="56"/>
    </row>
    <row r="499" spans="2:13" ht="13.5" customHeight="1" thickBot="1" x14ac:dyDescent="0.25">
      <c r="B499" s="47">
        <f>SUM(C499:D499)</f>
        <v>72</v>
      </c>
      <c r="C499" s="47">
        <f>I499+F499</f>
        <v>55</v>
      </c>
      <c r="D499" s="47">
        <f>J499+G499</f>
        <v>17</v>
      </c>
      <c r="E499" s="47">
        <f>SUM(F499:G499)</f>
        <v>0</v>
      </c>
      <c r="F499" s="47">
        <v>0</v>
      </c>
      <c r="G499" s="47">
        <v>0</v>
      </c>
      <c r="H499" s="47">
        <f>SUM(I499:J499)</f>
        <v>72</v>
      </c>
      <c r="I499" s="47">
        <v>55</v>
      </c>
      <c r="J499" s="47">
        <v>17</v>
      </c>
      <c r="K499" s="188" t="s">
        <v>234</v>
      </c>
      <c r="L499" s="129" t="s">
        <v>189</v>
      </c>
      <c r="M499" s="56"/>
    </row>
    <row r="500" spans="2:13" ht="13.5" customHeight="1" thickBot="1" x14ac:dyDescent="0.25">
      <c r="B500" s="47">
        <f t="shared" ref="B500:J500" si="158">SUM(B498:B499)</f>
        <v>524</v>
      </c>
      <c r="C500" s="47">
        <f t="shared" si="158"/>
        <v>233</v>
      </c>
      <c r="D500" s="47">
        <f t="shared" si="158"/>
        <v>291</v>
      </c>
      <c r="E500" s="47">
        <f t="shared" si="158"/>
        <v>0</v>
      </c>
      <c r="F500" s="47">
        <f t="shared" si="158"/>
        <v>0</v>
      </c>
      <c r="G500" s="47">
        <f t="shared" si="158"/>
        <v>0</v>
      </c>
      <c r="H500" s="47">
        <f t="shared" si="158"/>
        <v>524</v>
      </c>
      <c r="I500" s="47">
        <f t="shared" si="158"/>
        <v>233</v>
      </c>
      <c r="J500" s="47">
        <f t="shared" si="158"/>
        <v>291</v>
      </c>
      <c r="K500" s="188" t="s">
        <v>12</v>
      </c>
      <c r="L500" s="130"/>
      <c r="M500" s="56"/>
    </row>
    <row r="501" spans="2:13" ht="13.5" customHeight="1" thickBot="1" x14ac:dyDescent="0.25">
      <c r="B501" s="47">
        <f>SUM(C501:D501)</f>
        <v>64</v>
      </c>
      <c r="C501" s="47">
        <f>I501+F501</f>
        <v>64</v>
      </c>
      <c r="D501" s="47">
        <f>J501+G501</f>
        <v>0</v>
      </c>
      <c r="E501" s="47">
        <f>SUM(F501:G501)</f>
        <v>0</v>
      </c>
      <c r="F501" s="47">
        <v>0</v>
      </c>
      <c r="G501" s="47">
        <v>0</v>
      </c>
      <c r="H501" s="47">
        <f>SUM(I501:J501)</f>
        <v>64</v>
      </c>
      <c r="I501" s="47">
        <v>64</v>
      </c>
      <c r="J501" s="47">
        <v>0</v>
      </c>
      <c r="K501" s="188" t="s">
        <v>233</v>
      </c>
      <c r="L501" s="129"/>
      <c r="M501" s="56"/>
    </row>
    <row r="502" spans="2:13" ht="13.5" customHeight="1" thickBot="1" x14ac:dyDescent="0.25">
      <c r="B502" s="47">
        <f>SUM(C502:D502)</f>
        <v>0</v>
      </c>
      <c r="C502" s="47">
        <f>I502+F502</f>
        <v>0</v>
      </c>
      <c r="D502" s="47">
        <f>J502+G502</f>
        <v>0</v>
      </c>
      <c r="E502" s="47">
        <f>SUM(F502:G502)</f>
        <v>0</v>
      </c>
      <c r="F502" s="47">
        <v>0</v>
      </c>
      <c r="G502" s="47">
        <v>0</v>
      </c>
      <c r="H502" s="47">
        <f>SUM(I502:J502)</f>
        <v>0</v>
      </c>
      <c r="I502" s="47">
        <v>0</v>
      </c>
      <c r="J502" s="47">
        <v>0</v>
      </c>
      <c r="K502" s="188" t="s">
        <v>234</v>
      </c>
      <c r="L502" s="129" t="s">
        <v>494</v>
      </c>
      <c r="M502" s="56"/>
    </row>
    <row r="503" spans="2:13" ht="13.5" customHeight="1" thickBot="1" x14ac:dyDescent="0.25">
      <c r="B503" s="47">
        <f t="shared" ref="B503:J503" si="159">SUM(B501:B502)</f>
        <v>64</v>
      </c>
      <c r="C503" s="47">
        <f t="shared" si="159"/>
        <v>64</v>
      </c>
      <c r="D503" s="47">
        <f t="shared" si="159"/>
        <v>0</v>
      </c>
      <c r="E503" s="47">
        <f t="shared" si="159"/>
        <v>0</v>
      </c>
      <c r="F503" s="47">
        <f t="shared" si="159"/>
        <v>0</v>
      </c>
      <c r="G503" s="47">
        <f t="shared" si="159"/>
        <v>0</v>
      </c>
      <c r="H503" s="47">
        <f t="shared" si="159"/>
        <v>64</v>
      </c>
      <c r="I503" s="47">
        <f t="shared" si="159"/>
        <v>64</v>
      </c>
      <c r="J503" s="47">
        <f t="shared" si="159"/>
        <v>0</v>
      </c>
      <c r="K503" s="188" t="s">
        <v>12</v>
      </c>
      <c r="L503" s="130"/>
      <c r="M503" s="56"/>
    </row>
    <row r="504" spans="2:13" ht="13.5" customHeight="1" thickBot="1" x14ac:dyDescent="0.25">
      <c r="B504" s="47">
        <f>SUM(C504:D504)</f>
        <v>984</v>
      </c>
      <c r="C504" s="47">
        <f>I504+F504</f>
        <v>984</v>
      </c>
      <c r="D504" s="47">
        <f>J504+G504</f>
        <v>0</v>
      </c>
      <c r="E504" s="47">
        <f>SUM(F504:G504)</f>
        <v>0</v>
      </c>
      <c r="F504" s="47">
        <v>0</v>
      </c>
      <c r="G504" s="47">
        <v>0</v>
      </c>
      <c r="H504" s="47">
        <f>SUM(I504:J504)</f>
        <v>984</v>
      </c>
      <c r="I504" s="47">
        <v>984</v>
      </c>
      <c r="J504" s="47">
        <v>0</v>
      </c>
      <c r="K504" s="188" t="s">
        <v>233</v>
      </c>
      <c r="L504" s="129"/>
      <c r="M504" s="56"/>
    </row>
    <row r="505" spans="2:13" ht="13.5" customHeight="1" thickBot="1" x14ac:dyDescent="0.25">
      <c r="B505" s="47">
        <f>SUM(C505:D505)</f>
        <v>77</v>
      </c>
      <c r="C505" s="47">
        <f>I505+F505</f>
        <v>77</v>
      </c>
      <c r="D505" s="47">
        <f>J505+G505</f>
        <v>0</v>
      </c>
      <c r="E505" s="47">
        <f>SUM(F505:G505)</f>
        <v>0</v>
      </c>
      <c r="F505" s="47">
        <v>0</v>
      </c>
      <c r="G505" s="47">
        <v>0</v>
      </c>
      <c r="H505" s="47">
        <f>SUM(I505:J505)</f>
        <v>77</v>
      </c>
      <c r="I505" s="47">
        <v>77</v>
      </c>
      <c r="J505" s="47">
        <v>0</v>
      </c>
      <c r="K505" s="188" t="s">
        <v>234</v>
      </c>
      <c r="L505" s="129" t="s">
        <v>495</v>
      </c>
      <c r="M505" s="56"/>
    </row>
    <row r="506" spans="2:13" ht="13.5" customHeight="1" thickBot="1" x14ac:dyDescent="0.25">
      <c r="B506" s="47">
        <f t="shared" ref="B506:J506" si="160">SUM(B504:B505)</f>
        <v>1061</v>
      </c>
      <c r="C506" s="47">
        <f t="shared" si="160"/>
        <v>1061</v>
      </c>
      <c r="D506" s="47">
        <f t="shared" si="160"/>
        <v>0</v>
      </c>
      <c r="E506" s="47">
        <f t="shared" si="160"/>
        <v>0</v>
      </c>
      <c r="F506" s="47">
        <f t="shared" si="160"/>
        <v>0</v>
      </c>
      <c r="G506" s="47">
        <f t="shared" si="160"/>
        <v>0</v>
      </c>
      <c r="H506" s="47">
        <f t="shared" si="160"/>
        <v>1061</v>
      </c>
      <c r="I506" s="47">
        <f t="shared" si="160"/>
        <v>1061</v>
      </c>
      <c r="J506" s="47">
        <f t="shared" si="160"/>
        <v>0</v>
      </c>
      <c r="K506" s="188" t="s">
        <v>12</v>
      </c>
      <c r="L506" s="130"/>
      <c r="M506" s="56"/>
    </row>
    <row r="507" spans="2:13" ht="13.5" customHeight="1" thickBot="1" x14ac:dyDescent="0.25">
      <c r="B507" s="47">
        <f t="shared" ref="B507:J509" si="161">B456+B459+B462+B465+B468+B471+B474+B477+B480+B483+B486+B489+B492+B495+B498+B501+B504</f>
        <v>5867</v>
      </c>
      <c r="C507" s="47">
        <f t="shared" si="161"/>
        <v>4463</v>
      </c>
      <c r="D507" s="47">
        <f t="shared" si="161"/>
        <v>1404</v>
      </c>
      <c r="E507" s="47">
        <f t="shared" si="161"/>
        <v>25</v>
      </c>
      <c r="F507" s="47">
        <f t="shared" si="161"/>
        <v>22</v>
      </c>
      <c r="G507" s="47">
        <f t="shared" si="161"/>
        <v>3</v>
      </c>
      <c r="H507" s="47">
        <f t="shared" si="161"/>
        <v>5842</v>
      </c>
      <c r="I507" s="47">
        <f t="shared" si="161"/>
        <v>4441</v>
      </c>
      <c r="J507" s="47">
        <f t="shared" si="161"/>
        <v>1401</v>
      </c>
      <c r="K507" s="188" t="s">
        <v>236</v>
      </c>
      <c r="L507" s="131"/>
      <c r="M507" s="56"/>
    </row>
    <row r="508" spans="2:13" ht="13.5" customHeight="1" thickBot="1" x14ac:dyDescent="0.25">
      <c r="B508" s="47">
        <f t="shared" si="161"/>
        <v>482</v>
      </c>
      <c r="C508" s="47">
        <f t="shared" si="161"/>
        <v>465</v>
      </c>
      <c r="D508" s="47">
        <f t="shared" si="161"/>
        <v>17</v>
      </c>
      <c r="E508" s="47">
        <f t="shared" si="161"/>
        <v>0</v>
      </c>
      <c r="F508" s="47">
        <f t="shared" si="161"/>
        <v>0</v>
      </c>
      <c r="G508" s="47">
        <f t="shared" si="161"/>
        <v>0</v>
      </c>
      <c r="H508" s="47">
        <f t="shared" si="161"/>
        <v>482</v>
      </c>
      <c r="I508" s="47">
        <f t="shared" si="161"/>
        <v>465</v>
      </c>
      <c r="J508" s="47">
        <f t="shared" si="161"/>
        <v>17</v>
      </c>
      <c r="K508" s="188" t="s">
        <v>237</v>
      </c>
      <c r="L508" s="132" t="s">
        <v>188</v>
      </c>
      <c r="M508" s="56"/>
    </row>
    <row r="509" spans="2:13" ht="13.5" customHeight="1" thickBot="1" x14ac:dyDescent="0.25">
      <c r="B509" s="47">
        <f t="shared" si="161"/>
        <v>6349</v>
      </c>
      <c r="C509" s="47">
        <f t="shared" si="161"/>
        <v>4928</v>
      </c>
      <c r="D509" s="47">
        <f t="shared" si="161"/>
        <v>1421</v>
      </c>
      <c r="E509" s="47">
        <f t="shared" si="161"/>
        <v>25</v>
      </c>
      <c r="F509" s="47">
        <f t="shared" si="161"/>
        <v>22</v>
      </c>
      <c r="G509" s="47">
        <f t="shared" si="161"/>
        <v>3</v>
      </c>
      <c r="H509" s="47">
        <f t="shared" si="161"/>
        <v>6324</v>
      </c>
      <c r="I509" s="47">
        <f t="shared" si="161"/>
        <v>4906</v>
      </c>
      <c r="J509" s="47">
        <f t="shared" si="161"/>
        <v>1418</v>
      </c>
      <c r="K509" s="188" t="s">
        <v>12</v>
      </c>
      <c r="L509" s="133"/>
      <c r="M509" s="56"/>
    </row>
    <row r="510" spans="2:13" ht="13.5" customHeight="1" thickBot="1" x14ac:dyDescent="0.25">
      <c r="B510" s="476" t="s">
        <v>4</v>
      </c>
      <c r="C510" s="476"/>
      <c r="D510" s="476"/>
      <c r="E510" s="476" t="s">
        <v>145</v>
      </c>
      <c r="F510" s="476"/>
      <c r="G510" s="476"/>
      <c r="H510" s="476" t="s">
        <v>146</v>
      </c>
      <c r="I510" s="476"/>
      <c r="J510" s="476"/>
      <c r="K510" s="479" t="s">
        <v>66</v>
      </c>
      <c r="L510" s="479"/>
      <c r="M510" s="56"/>
    </row>
    <row r="511" spans="2:13" ht="13.5" customHeight="1" thickBot="1" x14ac:dyDescent="0.25">
      <c r="B511" s="185" t="s">
        <v>227</v>
      </c>
      <c r="C511" s="185" t="s">
        <v>10</v>
      </c>
      <c r="D511" s="185" t="s">
        <v>9</v>
      </c>
      <c r="E511" s="185" t="s">
        <v>227</v>
      </c>
      <c r="F511" s="185" t="s">
        <v>10</v>
      </c>
      <c r="G511" s="185" t="s">
        <v>9</v>
      </c>
      <c r="H511" s="185" t="s">
        <v>227</v>
      </c>
      <c r="I511" s="185" t="s">
        <v>10</v>
      </c>
      <c r="J511" s="185" t="s">
        <v>9</v>
      </c>
      <c r="K511" s="480" t="s">
        <v>77</v>
      </c>
      <c r="L511" s="480"/>
      <c r="M511" s="56"/>
    </row>
    <row r="512" spans="2:13" ht="13.5" customHeight="1" thickBot="1" x14ac:dyDescent="0.25">
      <c r="B512" s="47">
        <f>SUM(C512:D512)</f>
        <v>1130</v>
      </c>
      <c r="C512" s="47">
        <f>I512+F512</f>
        <v>762</v>
      </c>
      <c r="D512" s="47">
        <f>J512+G512</f>
        <v>368</v>
      </c>
      <c r="E512" s="47">
        <f>SUM(F512:G512)</f>
        <v>7</v>
      </c>
      <c r="F512" s="47">
        <v>5</v>
      </c>
      <c r="G512" s="47">
        <v>2</v>
      </c>
      <c r="H512" s="47">
        <f>SUM(I512:J512)</f>
        <v>1123</v>
      </c>
      <c r="I512" s="47">
        <v>757</v>
      </c>
      <c r="J512" s="47">
        <f>626-260</f>
        <v>366</v>
      </c>
      <c r="K512" s="188" t="s">
        <v>233</v>
      </c>
      <c r="L512" s="129"/>
      <c r="M512" s="56"/>
    </row>
    <row r="513" spans="2:13" ht="13.5" customHeight="1" thickBot="1" x14ac:dyDescent="0.25">
      <c r="B513" s="47">
        <f>SUM(C513:D513)</f>
        <v>0</v>
      </c>
      <c r="C513" s="47">
        <f>I513+F513</f>
        <v>0</v>
      </c>
      <c r="D513" s="47">
        <f>J513+G513</f>
        <v>0</v>
      </c>
      <c r="E513" s="47">
        <f>SUM(F513:G513)</f>
        <v>0</v>
      </c>
      <c r="F513" s="47">
        <v>0</v>
      </c>
      <c r="G513" s="47">
        <v>0</v>
      </c>
      <c r="H513" s="47">
        <f>SUM(I513:J513)</f>
        <v>0</v>
      </c>
      <c r="I513" s="47">
        <v>0</v>
      </c>
      <c r="J513" s="47">
        <v>0</v>
      </c>
      <c r="K513" s="188" t="s">
        <v>234</v>
      </c>
      <c r="L513" s="129" t="s">
        <v>496</v>
      </c>
      <c r="M513" s="56"/>
    </row>
    <row r="514" spans="2:13" ht="13.5" customHeight="1" thickBot="1" x14ac:dyDescent="0.25">
      <c r="B514" s="47">
        <f t="shared" ref="B514:J514" si="162">SUM(B512:B513)</f>
        <v>1130</v>
      </c>
      <c r="C514" s="47">
        <f t="shared" si="162"/>
        <v>762</v>
      </c>
      <c r="D514" s="47">
        <f t="shared" si="162"/>
        <v>368</v>
      </c>
      <c r="E514" s="47">
        <f t="shared" si="162"/>
        <v>7</v>
      </c>
      <c r="F514" s="47">
        <f t="shared" si="162"/>
        <v>5</v>
      </c>
      <c r="G514" s="47">
        <f t="shared" si="162"/>
        <v>2</v>
      </c>
      <c r="H514" s="47">
        <f t="shared" si="162"/>
        <v>1123</v>
      </c>
      <c r="I514" s="47">
        <f t="shared" si="162"/>
        <v>757</v>
      </c>
      <c r="J514" s="47">
        <f t="shared" si="162"/>
        <v>366</v>
      </c>
      <c r="K514" s="188" t="s">
        <v>12</v>
      </c>
      <c r="L514" s="130"/>
      <c r="M514" s="56"/>
    </row>
    <row r="515" spans="2:13" ht="13.5" customHeight="1" thickBot="1" x14ac:dyDescent="0.25">
      <c r="B515" s="47">
        <f>SUM(C515:D515)</f>
        <v>677</v>
      </c>
      <c r="C515" s="47">
        <f>I515+F515</f>
        <v>351</v>
      </c>
      <c r="D515" s="47">
        <f>J515+G515</f>
        <v>326</v>
      </c>
      <c r="E515" s="47">
        <f>SUM(F515:G515)</f>
        <v>4</v>
      </c>
      <c r="F515" s="47">
        <v>2</v>
      </c>
      <c r="G515" s="47">
        <v>2</v>
      </c>
      <c r="H515" s="47">
        <f>SUM(I515:J515)</f>
        <v>673</v>
      </c>
      <c r="I515" s="47">
        <v>349</v>
      </c>
      <c r="J515" s="47">
        <f>514-150-40</f>
        <v>324</v>
      </c>
      <c r="K515" s="188" t="s">
        <v>233</v>
      </c>
      <c r="L515" s="129"/>
      <c r="M515" s="56"/>
    </row>
    <row r="516" spans="2:13" ht="13.5" customHeight="1" thickBot="1" x14ac:dyDescent="0.25">
      <c r="B516" s="47">
        <f>SUM(C516:D516)</f>
        <v>0</v>
      </c>
      <c r="C516" s="47">
        <f>I516+F516</f>
        <v>0</v>
      </c>
      <c r="D516" s="47">
        <f>J516+G516</f>
        <v>0</v>
      </c>
      <c r="E516" s="47">
        <f>SUM(F516:G516)</f>
        <v>0</v>
      </c>
      <c r="F516" s="47">
        <v>0</v>
      </c>
      <c r="G516" s="47">
        <v>0</v>
      </c>
      <c r="H516" s="47">
        <f>SUM(I516:J516)</f>
        <v>0</v>
      </c>
      <c r="I516" s="47">
        <v>0</v>
      </c>
      <c r="J516" s="47">
        <v>0</v>
      </c>
      <c r="K516" s="188" t="s">
        <v>234</v>
      </c>
      <c r="L516" s="129" t="s">
        <v>367</v>
      </c>
      <c r="M516" s="56"/>
    </row>
    <row r="517" spans="2:13" ht="13.5" customHeight="1" thickBot="1" x14ac:dyDescent="0.25">
      <c r="B517" s="47">
        <f t="shared" ref="B517:J517" si="163">SUM(B515:B516)</f>
        <v>677</v>
      </c>
      <c r="C517" s="47">
        <f t="shared" si="163"/>
        <v>351</v>
      </c>
      <c r="D517" s="47">
        <f t="shared" si="163"/>
        <v>326</v>
      </c>
      <c r="E517" s="47">
        <f t="shared" si="163"/>
        <v>4</v>
      </c>
      <c r="F517" s="47">
        <f t="shared" si="163"/>
        <v>2</v>
      </c>
      <c r="G517" s="47">
        <f t="shared" si="163"/>
        <v>2</v>
      </c>
      <c r="H517" s="47">
        <f t="shared" si="163"/>
        <v>673</v>
      </c>
      <c r="I517" s="47">
        <f t="shared" si="163"/>
        <v>349</v>
      </c>
      <c r="J517" s="47">
        <f t="shared" si="163"/>
        <v>324</v>
      </c>
      <c r="K517" s="188" t="s">
        <v>12</v>
      </c>
      <c r="L517" s="130"/>
      <c r="M517" s="56"/>
    </row>
    <row r="518" spans="2:13" ht="13.5" customHeight="1" thickBot="1" x14ac:dyDescent="0.25">
      <c r="B518" s="47">
        <f>SUM(C518:D518)</f>
        <v>767</v>
      </c>
      <c r="C518" s="47">
        <f>I518+F518</f>
        <v>350</v>
      </c>
      <c r="D518" s="47">
        <f>J518+G518</f>
        <v>417</v>
      </c>
      <c r="E518" s="47">
        <f>SUM(F518:G518)</f>
        <v>8</v>
      </c>
      <c r="F518" s="47">
        <v>8</v>
      </c>
      <c r="G518" s="47">
        <v>0</v>
      </c>
      <c r="H518" s="47">
        <f>SUM(I518:J518)</f>
        <v>759</v>
      </c>
      <c r="I518" s="47">
        <v>342</v>
      </c>
      <c r="J518" s="47">
        <f>607-190</f>
        <v>417</v>
      </c>
      <c r="K518" s="188" t="s">
        <v>233</v>
      </c>
      <c r="L518" s="129"/>
      <c r="M518" s="56"/>
    </row>
    <row r="519" spans="2:13" ht="13.5" customHeight="1" thickBot="1" x14ac:dyDescent="0.25">
      <c r="B519" s="47">
        <f>SUM(C519:D519)</f>
        <v>0</v>
      </c>
      <c r="C519" s="47">
        <f>I519+F519</f>
        <v>0</v>
      </c>
      <c r="D519" s="47">
        <f>J519+G519</f>
        <v>0</v>
      </c>
      <c r="E519" s="47">
        <f>SUM(F519:G519)</f>
        <v>0</v>
      </c>
      <c r="F519" s="47">
        <v>0</v>
      </c>
      <c r="G519" s="47">
        <v>0</v>
      </c>
      <c r="H519" s="47">
        <f>SUM(I519:J519)</f>
        <v>0</v>
      </c>
      <c r="I519" s="47">
        <v>0</v>
      </c>
      <c r="J519" s="47">
        <v>0</v>
      </c>
      <c r="K519" s="188" t="s">
        <v>234</v>
      </c>
      <c r="L519" s="129" t="s">
        <v>371</v>
      </c>
      <c r="M519" s="56"/>
    </row>
    <row r="520" spans="2:13" ht="13.5" customHeight="1" thickBot="1" x14ac:dyDescent="0.25">
      <c r="B520" s="47">
        <f t="shared" ref="B520:J520" si="164">SUM(B518:B519)</f>
        <v>767</v>
      </c>
      <c r="C520" s="47">
        <f t="shared" si="164"/>
        <v>350</v>
      </c>
      <c r="D520" s="47">
        <f t="shared" si="164"/>
        <v>417</v>
      </c>
      <c r="E520" s="47">
        <f t="shared" si="164"/>
        <v>8</v>
      </c>
      <c r="F520" s="47">
        <f t="shared" si="164"/>
        <v>8</v>
      </c>
      <c r="G520" s="47">
        <f t="shared" si="164"/>
        <v>0</v>
      </c>
      <c r="H520" s="47">
        <f t="shared" si="164"/>
        <v>759</v>
      </c>
      <c r="I520" s="47">
        <f t="shared" si="164"/>
        <v>342</v>
      </c>
      <c r="J520" s="47">
        <f t="shared" si="164"/>
        <v>417</v>
      </c>
      <c r="K520" s="188" t="s">
        <v>12</v>
      </c>
      <c r="L520" s="130"/>
      <c r="M520" s="56"/>
    </row>
    <row r="521" spans="2:13" ht="13.5" customHeight="1" thickBot="1" x14ac:dyDescent="0.25">
      <c r="B521" s="47">
        <f>SUM(C521:D521)</f>
        <v>272</v>
      </c>
      <c r="C521" s="47">
        <f>I521+F521</f>
        <v>272</v>
      </c>
      <c r="D521" s="47">
        <f>J521+G521</f>
        <v>0</v>
      </c>
      <c r="E521" s="47">
        <f>SUM(F521:G521)</f>
        <v>0</v>
      </c>
      <c r="F521" s="47">
        <v>0</v>
      </c>
      <c r="G521" s="47">
        <v>0</v>
      </c>
      <c r="H521" s="47">
        <f>SUM(I521:J521)</f>
        <v>272</v>
      </c>
      <c r="I521" s="47">
        <v>272</v>
      </c>
      <c r="J521" s="47">
        <v>0</v>
      </c>
      <c r="K521" s="188" t="s">
        <v>233</v>
      </c>
      <c r="L521" s="129"/>
      <c r="M521" s="56"/>
    </row>
    <row r="522" spans="2:13" ht="13.5" customHeight="1" thickBot="1" x14ac:dyDescent="0.25">
      <c r="B522" s="47">
        <f>SUM(C522:D522)</f>
        <v>0</v>
      </c>
      <c r="C522" s="47">
        <f>I522+F522</f>
        <v>0</v>
      </c>
      <c r="D522" s="47">
        <f>J522+G522</f>
        <v>0</v>
      </c>
      <c r="E522" s="47">
        <f>SUM(F522:G522)</f>
        <v>0</v>
      </c>
      <c r="F522" s="47">
        <v>0</v>
      </c>
      <c r="G522" s="47">
        <v>0</v>
      </c>
      <c r="H522" s="47">
        <f>SUM(I522:J522)</f>
        <v>0</v>
      </c>
      <c r="I522" s="47">
        <v>0</v>
      </c>
      <c r="J522" s="47">
        <v>0</v>
      </c>
      <c r="K522" s="188" t="s">
        <v>234</v>
      </c>
      <c r="L522" s="129" t="s">
        <v>721</v>
      </c>
      <c r="M522" s="56"/>
    </row>
    <row r="523" spans="2:13" ht="13.5" customHeight="1" thickBot="1" x14ac:dyDescent="0.25">
      <c r="B523" s="47">
        <f t="shared" ref="B523:J523" si="165">SUM(B521:B522)</f>
        <v>272</v>
      </c>
      <c r="C523" s="47">
        <f t="shared" si="165"/>
        <v>272</v>
      </c>
      <c r="D523" s="47">
        <f t="shared" si="165"/>
        <v>0</v>
      </c>
      <c r="E523" s="47">
        <f t="shared" si="165"/>
        <v>0</v>
      </c>
      <c r="F523" s="47">
        <f t="shared" si="165"/>
        <v>0</v>
      </c>
      <c r="G523" s="47">
        <f t="shared" si="165"/>
        <v>0</v>
      </c>
      <c r="H523" s="47">
        <f t="shared" si="165"/>
        <v>272</v>
      </c>
      <c r="I523" s="47">
        <f t="shared" si="165"/>
        <v>272</v>
      </c>
      <c r="J523" s="47">
        <f t="shared" si="165"/>
        <v>0</v>
      </c>
      <c r="K523" s="188" t="s">
        <v>12</v>
      </c>
      <c r="L523" s="130"/>
      <c r="M523" s="56"/>
    </row>
    <row r="524" spans="2:13" ht="13.5" customHeight="1" thickBot="1" x14ac:dyDescent="0.25">
      <c r="B524" s="47">
        <f>SUM(C524:D524)</f>
        <v>165</v>
      </c>
      <c r="C524" s="47">
        <f>I524+F524</f>
        <v>165</v>
      </c>
      <c r="D524" s="47">
        <f>J524+G524</f>
        <v>0</v>
      </c>
      <c r="E524" s="47">
        <f>SUM(F524:G524)</f>
        <v>0</v>
      </c>
      <c r="F524" s="47">
        <v>0</v>
      </c>
      <c r="G524" s="47">
        <v>0</v>
      </c>
      <c r="H524" s="47">
        <f>SUM(I524:J524)</f>
        <v>165</v>
      </c>
      <c r="I524" s="47">
        <v>165</v>
      </c>
      <c r="J524" s="47">
        <v>0</v>
      </c>
      <c r="K524" s="188" t="s">
        <v>233</v>
      </c>
      <c r="L524" s="129"/>
      <c r="M524" s="56"/>
    </row>
    <row r="525" spans="2:13" ht="13.5" customHeight="1" thickBot="1" x14ac:dyDescent="0.25">
      <c r="B525" s="47">
        <f>SUM(C525:D525)</f>
        <v>0</v>
      </c>
      <c r="C525" s="47">
        <f>I525+F525</f>
        <v>0</v>
      </c>
      <c r="D525" s="47">
        <f>J525+G525</f>
        <v>0</v>
      </c>
      <c r="E525" s="47">
        <f>SUM(F525:G525)</f>
        <v>0</v>
      </c>
      <c r="F525" s="47">
        <v>0</v>
      </c>
      <c r="G525" s="47">
        <v>0</v>
      </c>
      <c r="H525" s="47">
        <f>SUM(I525:J525)</f>
        <v>0</v>
      </c>
      <c r="I525" s="47">
        <v>0</v>
      </c>
      <c r="J525" s="47">
        <v>0</v>
      </c>
      <c r="K525" s="188" t="s">
        <v>234</v>
      </c>
      <c r="L525" s="129" t="s">
        <v>722</v>
      </c>
      <c r="M525" s="56"/>
    </row>
    <row r="526" spans="2:13" ht="13.5" customHeight="1" thickBot="1" x14ac:dyDescent="0.25">
      <c r="B526" s="47">
        <f t="shared" ref="B526:J526" si="166">SUM(B524:B525)</f>
        <v>165</v>
      </c>
      <c r="C526" s="47">
        <f t="shared" si="166"/>
        <v>165</v>
      </c>
      <c r="D526" s="47">
        <f t="shared" si="166"/>
        <v>0</v>
      </c>
      <c r="E526" s="47">
        <f t="shared" si="166"/>
        <v>0</v>
      </c>
      <c r="F526" s="47">
        <f t="shared" si="166"/>
        <v>0</v>
      </c>
      <c r="G526" s="47">
        <f t="shared" si="166"/>
        <v>0</v>
      </c>
      <c r="H526" s="47">
        <f t="shared" si="166"/>
        <v>165</v>
      </c>
      <c r="I526" s="47">
        <f t="shared" si="166"/>
        <v>165</v>
      </c>
      <c r="J526" s="47">
        <f t="shared" si="166"/>
        <v>0</v>
      </c>
      <c r="K526" s="188" t="s">
        <v>12</v>
      </c>
      <c r="L526" s="130"/>
      <c r="M526" s="56"/>
    </row>
    <row r="527" spans="2:13" ht="13.5" customHeight="1" thickBot="1" x14ac:dyDescent="0.25">
      <c r="B527" s="47">
        <f>SUM(C527:D527)</f>
        <v>799</v>
      </c>
      <c r="C527" s="47">
        <f>I527+F527</f>
        <v>799</v>
      </c>
      <c r="D527" s="47">
        <f>J527+G527</f>
        <v>0</v>
      </c>
      <c r="E527" s="47">
        <f>SUM(F527:G527)</f>
        <v>0</v>
      </c>
      <c r="F527" s="47">
        <v>0</v>
      </c>
      <c r="G527" s="47">
        <v>0</v>
      </c>
      <c r="H527" s="47">
        <f>SUM(I527:J527)</f>
        <v>799</v>
      </c>
      <c r="I527" s="47">
        <v>799</v>
      </c>
      <c r="J527" s="47">
        <v>0</v>
      </c>
      <c r="K527" s="188" t="s">
        <v>233</v>
      </c>
      <c r="L527" s="129"/>
      <c r="M527" s="56"/>
    </row>
    <row r="528" spans="2:13" ht="13.5" customHeight="1" thickBot="1" x14ac:dyDescent="0.25">
      <c r="B528" s="47">
        <f>SUM(C528:D528)</f>
        <v>0</v>
      </c>
      <c r="C528" s="47">
        <f>I528+F528</f>
        <v>0</v>
      </c>
      <c r="D528" s="47">
        <f>J528+G528</f>
        <v>0</v>
      </c>
      <c r="E528" s="47">
        <f>SUM(F528:G528)</f>
        <v>0</v>
      </c>
      <c r="F528" s="47">
        <v>0</v>
      </c>
      <c r="G528" s="47">
        <v>0</v>
      </c>
      <c r="H528" s="47">
        <f>SUM(I528:J528)</f>
        <v>0</v>
      </c>
      <c r="I528" s="47">
        <v>0</v>
      </c>
      <c r="J528" s="47">
        <v>0</v>
      </c>
      <c r="K528" s="188" t="s">
        <v>234</v>
      </c>
      <c r="L528" s="129" t="s">
        <v>723</v>
      </c>
      <c r="M528" s="56"/>
    </row>
    <row r="529" spans="2:13" ht="13.5" customHeight="1" thickBot="1" x14ac:dyDescent="0.25">
      <c r="B529" s="47">
        <f t="shared" ref="B529:J529" si="167">SUM(B527:B528)</f>
        <v>799</v>
      </c>
      <c r="C529" s="47">
        <f t="shared" si="167"/>
        <v>799</v>
      </c>
      <c r="D529" s="47">
        <f t="shared" si="167"/>
        <v>0</v>
      </c>
      <c r="E529" s="47">
        <f t="shared" si="167"/>
        <v>0</v>
      </c>
      <c r="F529" s="47">
        <f t="shared" si="167"/>
        <v>0</v>
      </c>
      <c r="G529" s="47">
        <f t="shared" si="167"/>
        <v>0</v>
      </c>
      <c r="H529" s="47">
        <f t="shared" si="167"/>
        <v>799</v>
      </c>
      <c r="I529" s="47">
        <f t="shared" si="167"/>
        <v>799</v>
      </c>
      <c r="J529" s="47">
        <f t="shared" si="167"/>
        <v>0</v>
      </c>
      <c r="K529" s="188" t="s">
        <v>12</v>
      </c>
      <c r="L529" s="130"/>
      <c r="M529" s="56"/>
    </row>
    <row r="530" spans="2:13" ht="13.5" customHeight="1" thickBot="1" x14ac:dyDescent="0.25">
      <c r="B530" s="47">
        <f>SUM(C530:D530)</f>
        <v>351</v>
      </c>
      <c r="C530" s="47">
        <f>I530+F530</f>
        <v>351</v>
      </c>
      <c r="D530" s="47">
        <f>J530+G530</f>
        <v>0</v>
      </c>
      <c r="E530" s="47">
        <f>SUM(F530:G530)</f>
        <v>0</v>
      </c>
      <c r="F530" s="47">
        <v>0</v>
      </c>
      <c r="G530" s="47">
        <v>0</v>
      </c>
      <c r="H530" s="47">
        <f>SUM(I530:J530)</f>
        <v>351</v>
      </c>
      <c r="I530" s="47">
        <v>351</v>
      </c>
      <c r="J530" s="47">
        <v>0</v>
      </c>
      <c r="K530" s="188" t="s">
        <v>233</v>
      </c>
      <c r="L530" s="129"/>
      <c r="M530" s="56"/>
    </row>
    <row r="531" spans="2:13" ht="13.5" customHeight="1" thickBot="1" x14ac:dyDescent="0.25">
      <c r="B531" s="47">
        <f>SUM(C531:D531)</f>
        <v>0</v>
      </c>
      <c r="C531" s="47">
        <f>I531+F531</f>
        <v>0</v>
      </c>
      <c r="D531" s="47">
        <f>J531+G531</f>
        <v>0</v>
      </c>
      <c r="E531" s="47">
        <f>SUM(F531:G531)</f>
        <v>0</v>
      </c>
      <c r="F531" s="47">
        <v>0</v>
      </c>
      <c r="G531" s="47">
        <v>0</v>
      </c>
      <c r="H531" s="47">
        <f>SUM(I531:J531)</f>
        <v>0</v>
      </c>
      <c r="I531" s="47">
        <v>0</v>
      </c>
      <c r="J531" s="47">
        <v>0</v>
      </c>
      <c r="K531" s="188" t="s">
        <v>234</v>
      </c>
      <c r="L531" s="129" t="s">
        <v>724</v>
      </c>
      <c r="M531" s="56"/>
    </row>
    <row r="532" spans="2:13" ht="13.5" customHeight="1" thickBot="1" x14ac:dyDescent="0.25">
      <c r="B532" s="47">
        <f t="shared" ref="B532:J532" si="168">SUM(B530:B531)</f>
        <v>351</v>
      </c>
      <c r="C532" s="47">
        <f t="shared" si="168"/>
        <v>351</v>
      </c>
      <c r="D532" s="47">
        <f t="shared" si="168"/>
        <v>0</v>
      </c>
      <c r="E532" s="47">
        <f t="shared" si="168"/>
        <v>0</v>
      </c>
      <c r="F532" s="47">
        <f t="shared" si="168"/>
        <v>0</v>
      </c>
      <c r="G532" s="47">
        <f t="shared" si="168"/>
        <v>0</v>
      </c>
      <c r="H532" s="47">
        <f t="shared" si="168"/>
        <v>351</v>
      </c>
      <c r="I532" s="47">
        <f t="shared" si="168"/>
        <v>351</v>
      </c>
      <c r="J532" s="47">
        <f t="shared" si="168"/>
        <v>0</v>
      </c>
      <c r="K532" s="188" t="s">
        <v>12</v>
      </c>
      <c r="L532" s="130"/>
      <c r="M532" s="56"/>
    </row>
    <row r="533" spans="2:13" ht="13.5" customHeight="1" thickBot="1" x14ac:dyDescent="0.25">
      <c r="B533" s="47">
        <f>SUM(C533:D533)</f>
        <v>125</v>
      </c>
      <c r="C533" s="47">
        <f>I533+F533</f>
        <v>66</v>
      </c>
      <c r="D533" s="47">
        <f>J533+G533</f>
        <v>59</v>
      </c>
      <c r="E533" s="47">
        <f>SUM(F533:G533)</f>
        <v>2</v>
      </c>
      <c r="F533" s="47">
        <v>2</v>
      </c>
      <c r="G533" s="47">
        <v>0</v>
      </c>
      <c r="H533" s="47">
        <f>SUM(I533:J533)</f>
        <v>123</v>
      </c>
      <c r="I533" s="47">
        <v>64</v>
      </c>
      <c r="J533" s="47">
        <v>59</v>
      </c>
      <c r="K533" s="188" t="s">
        <v>233</v>
      </c>
      <c r="L533" s="129"/>
      <c r="M533" s="56"/>
    </row>
    <row r="534" spans="2:13" ht="13.5" customHeight="1" thickBot="1" x14ac:dyDescent="0.25">
      <c r="B534" s="47">
        <f>SUM(C534:D534)</f>
        <v>0</v>
      </c>
      <c r="C534" s="47">
        <f>I534+F534</f>
        <v>0</v>
      </c>
      <c r="D534" s="47">
        <f>J534+G534</f>
        <v>0</v>
      </c>
      <c r="E534" s="47">
        <f>SUM(F534:G534)</f>
        <v>0</v>
      </c>
      <c r="F534" s="47">
        <v>0</v>
      </c>
      <c r="G534" s="47">
        <v>0</v>
      </c>
      <c r="H534" s="47">
        <f>SUM(I534:J534)</f>
        <v>0</v>
      </c>
      <c r="I534" s="47">
        <v>0</v>
      </c>
      <c r="J534" s="47">
        <v>0</v>
      </c>
      <c r="K534" s="188" t="s">
        <v>234</v>
      </c>
      <c r="L534" s="129" t="s">
        <v>725</v>
      </c>
      <c r="M534" s="56"/>
    </row>
    <row r="535" spans="2:13" ht="13.5" customHeight="1" thickBot="1" x14ac:dyDescent="0.25">
      <c r="B535" s="47">
        <f t="shared" ref="B535:J535" si="169">SUM(B533:B534)</f>
        <v>125</v>
      </c>
      <c r="C535" s="47">
        <f t="shared" si="169"/>
        <v>66</v>
      </c>
      <c r="D535" s="47">
        <f t="shared" si="169"/>
        <v>59</v>
      </c>
      <c r="E535" s="47">
        <f t="shared" si="169"/>
        <v>2</v>
      </c>
      <c r="F535" s="47">
        <f t="shared" si="169"/>
        <v>2</v>
      </c>
      <c r="G535" s="47">
        <f t="shared" si="169"/>
        <v>0</v>
      </c>
      <c r="H535" s="47">
        <f t="shared" si="169"/>
        <v>123</v>
      </c>
      <c r="I535" s="47">
        <f t="shared" si="169"/>
        <v>64</v>
      </c>
      <c r="J535" s="47">
        <f t="shared" si="169"/>
        <v>59</v>
      </c>
      <c r="K535" s="188" t="s">
        <v>12</v>
      </c>
      <c r="L535" s="130"/>
      <c r="M535" s="56"/>
    </row>
    <row r="536" spans="2:13" ht="13.5" customHeight="1" thickBot="1" x14ac:dyDescent="0.25">
      <c r="B536" s="47">
        <f>SUM(C536:D536)</f>
        <v>394</v>
      </c>
      <c r="C536" s="47">
        <f>I536+F536</f>
        <v>0</v>
      </c>
      <c r="D536" s="47">
        <f>J536+G536</f>
        <v>394</v>
      </c>
      <c r="E536" s="47">
        <f>SUM(F536:G536)</f>
        <v>0</v>
      </c>
      <c r="F536" s="47">
        <v>0</v>
      </c>
      <c r="G536" s="47">
        <v>0</v>
      </c>
      <c r="H536" s="47">
        <f>SUM(I536:J536)</f>
        <v>394</v>
      </c>
      <c r="I536" s="47">
        <v>0</v>
      </c>
      <c r="J536" s="47">
        <f>524-130</f>
        <v>394</v>
      </c>
      <c r="K536" s="188" t="s">
        <v>233</v>
      </c>
      <c r="L536" s="129"/>
      <c r="M536" s="56"/>
    </row>
    <row r="537" spans="2:13" ht="13.5" customHeight="1" thickBot="1" x14ac:dyDescent="0.25">
      <c r="B537" s="47">
        <f>SUM(C537:D537)</f>
        <v>0</v>
      </c>
      <c r="C537" s="47">
        <f>I537+F537</f>
        <v>0</v>
      </c>
      <c r="D537" s="47">
        <f>J537+G537</f>
        <v>0</v>
      </c>
      <c r="E537" s="47">
        <f>SUM(F537:G537)</f>
        <v>0</v>
      </c>
      <c r="F537" s="47">
        <v>0</v>
      </c>
      <c r="G537" s="47">
        <v>0</v>
      </c>
      <c r="H537" s="47">
        <f>SUM(I537:J537)</f>
        <v>0</v>
      </c>
      <c r="I537" s="47">
        <v>0</v>
      </c>
      <c r="J537" s="47">
        <v>0</v>
      </c>
      <c r="K537" s="188" t="s">
        <v>234</v>
      </c>
      <c r="L537" s="129" t="s">
        <v>274</v>
      </c>
      <c r="M537" s="56"/>
    </row>
    <row r="538" spans="2:13" ht="13.5" customHeight="1" thickBot="1" x14ac:dyDescent="0.25">
      <c r="B538" s="47">
        <f t="shared" ref="B538:J538" si="170">SUM(B536:B537)</f>
        <v>394</v>
      </c>
      <c r="C538" s="47">
        <f t="shared" si="170"/>
        <v>0</v>
      </c>
      <c r="D538" s="47">
        <f t="shared" si="170"/>
        <v>394</v>
      </c>
      <c r="E538" s="47">
        <f t="shared" si="170"/>
        <v>0</v>
      </c>
      <c r="F538" s="47">
        <f t="shared" si="170"/>
        <v>0</v>
      </c>
      <c r="G538" s="47">
        <f t="shared" si="170"/>
        <v>0</v>
      </c>
      <c r="H538" s="47">
        <f t="shared" si="170"/>
        <v>394</v>
      </c>
      <c r="I538" s="47">
        <f t="shared" si="170"/>
        <v>0</v>
      </c>
      <c r="J538" s="47">
        <f t="shared" si="170"/>
        <v>394</v>
      </c>
      <c r="K538" s="188" t="s">
        <v>12</v>
      </c>
      <c r="L538" s="130"/>
      <c r="M538" s="56"/>
    </row>
    <row r="539" spans="2:13" ht="13.5" customHeight="1" thickBot="1" x14ac:dyDescent="0.25">
      <c r="B539" s="47">
        <f t="shared" ref="B539:J541" si="171">B512+B515+B518+B521+B524+B527+B530+B533+B536</f>
        <v>4680</v>
      </c>
      <c r="C539" s="47">
        <f t="shared" si="171"/>
        <v>3116</v>
      </c>
      <c r="D539" s="47">
        <f t="shared" si="171"/>
        <v>1564</v>
      </c>
      <c r="E539" s="47">
        <f t="shared" si="171"/>
        <v>21</v>
      </c>
      <c r="F539" s="47">
        <f t="shared" si="171"/>
        <v>17</v>
      </c>
      <c r="G539" s="47">
        <f t="shared" si="171"/>
        <v>4</v>
      </c>
      <c r="H539" s="47">
        <f t="shared" si="171"/>
        <v>4659</v>
      </c>
      <c r="I539" s="47">
        <f t="shared" si="171"/>
        <v>3099</v>
      </c>
      <c r="J539" s="47">
        <f t="shared" si="171"/>
        <v>1560</v>
      </c>
      <c r="K539" s="188" t="s">
        <v>236</v>
      </c>
      <c r="L539" s="131"/>
      <c r="M539" s="56"/>
    </row>
    <row r="540" spans="2:13" ht="13.5" customHeight="1" thickBot="1" x14ac:dyDescent="0.25">
      <c r="B540" s="47">
        <f t="shared" si="171"/>
        <v>0</v>
      </c>
      <c r="C540" s="47">
        <f t="shared" si="171"/>
        <v>0</v>
      </c>
      <c r="D540" s="47">
        <f t="shared" si="171"/>
        <v>0</v>
      </c>
      <c r="E540" s="47">
        <f t="shared" si="171"/>
        <v>0</v>
      </c>
      <c r="F540" s="47">
        <f t="shared" si="171"/>
        <v>0</v>
      </c>
      <c r="G540" s="47">
        <f t="shared" si="171"/>
        <v>0</v>
      </c>
      <c r="H540" s="47">
        <f t="shared" si="171"/>
        <v>0</v>
      </c>
      <c r="I540" s="47">
        <f t="shared" si="171"/>
        <v>0</v>
      </c>
      <c r="J540" s="47">
        <f t="shared" si="171"/>
        <v>0</v>
      </c>
      <c r="K540" s="188" t="s">
        <v>237</v>
      </c>
      <c r="L540" s="132" t="s">
        <v>188</v>
      </c>
      <c r="M540" s="56"/>
    </row>
    <row r="541" spans="2:13" ht="13.5" customHeight="1" thickBot="1" x14ac:dyDescent="0.25">
      <c r="B541" s="47">
        <f t="shared" si="171"/>
        <v>4680</v>
      </c>
      <c r="C541" s="47">
        <f t="shared" si="171"/>
        <v>3116</v>
      </c>
      <c r="D541" s="47">
        <f t="shared" si="171"/>
        <v>1564</v>
      </c>
      <c r="E541" s="47">
        <f t="shared" si="171"/>
        <v>21</v>
      </c>
      <c r="F541" s="47">
        <f t="shared" si="171"/>
        <v>17</v>
      </c>
      <c r="G541" s="47">
        <f t="shared" si="171"/>
        <v>4</v>
      </c>
      <c r="H541" s="47">
        <f t="shared" si="171"/>
        <v>4659</v>
      </c>
      <c r="I541" s="47">
        <f t="shared" si="171"/>
        <v>3099</v>
      </c>
      <c r="J541" s="47">
        <f t="shared" si="171"/>
        <v>1560</v>
      </c>
      <c r="K541" s="188" t="s">
        <v>12</v>
      </c>
      <c r="L541" s="133"/>
      <c r="M541" s="56"/>
    </row>
    <row r="542" spans="2:13" ht="13.5" customHeight="1" thickBot="1" x14ac:dyDescent="0.25">
      <c r="B542" s="476" t="s">
        <v>4</v>
      </c>
      <c r="C542" s="476"/>
      <c r="D542" s="476"/>
      <c r="E542" s="476" t="s">
        <v>145</v>
      </c>
      <c r="F542" s="476"/>
      <c r="G542" s="476"/>
      <c r="H542" s="476" t="s">
        <v>146</v>
      </c>
      <c r="I542" s="476"/>
      <c r="J542" s="476"/>
      <c r="K542" s="479" t="s">
        <v>66</v>
      </c>
      <c r="L542" s="479"/>
      <c r="M542" s="56"/>
    </row>
    <row r="543" spans="2:13" ht="13.5" customHeight="1" thickBot="1" x14ac:dyDescent="0.25">
      <c r="B543" s="185" t="s">
        <v>227</v>
      </c>
      <c r="C543" s="185" t="s">
        <v>10</v>
      </c>
      <c r="D543" s="185" t="s">
        <v>9</v>
      </c>
      <c r="E543" s="185" t="s">
        <v>227</v>
      </c>
      <c r="F543" s="185" t="s">
        <v>10</v>
      </c>
      <c r="G543" s="185" t="s">
        <v>9</v>
      </c>
      <c r="H543" s="185" t="s">
        <v>227</v>
      </c>
      <c r="I543" s="185" t="s">
        <v>10</v>
      </c>
      <c r="J543" s="185" t="s">
        <v>9</v>
      </c>
      <c r="K543" s="480" t="s">
        <v>111</v>
      </c>
      <c r="L543" s="480"/>
      <c r="M543" s="56"/>
    </row>
    <row r="544" spans="2:13" ht="13.5" customHeight="1" thickBot="1" x14ac:dyDescent="0.25">
      <c r="B544" s="47">
        <f>SUM(C544:D544)</f>
        <v>95</v>
      </c>
      <c r="C544" s="47">
        <f>I544+F544</f>
        <v>0</v>
      </c>
      <c r="D544" s="47">
        <f>J544+G544</f>
        <v>95</v>
      </c>
      <c r="E544" s="47">
        <f>SUM(F544:G544)</f>
        <v>0</v>
      </c>
      <c r="F544" s="47">
        <v>0</v>
      </c>
      <c r="G544" s="47">
        <v>0</v>
      </c>
      <c r="H544" s="47">
        <f>SUM(I544:J544)</f>
        <v>95</v>
      </c>
      <c r="I544" s="47">
        <v>0</v>
      </c>
      <c r="J544" s="47">
        <v>95</v>
      </c>
      <c r="K544" s="188" t="s">
        <v>233</v>
      </c>
      <c r="L544" s="129"/>
      <c r="M544" s="56"/>
    </row>
    <row r="545" spans="2:13" ht="13.5" customHeight="1" thickBot="1" x14ac:dyDescent="0.25">
      <c r="B545" s="47">
        <f>SUM(C545:D545)</f>
        <v>0</v>
      </c>
      <c r="C545" s="47">
        <f>I545+F545</f>
        <v>0</v>
      </c>
      <c r="D545" s="47">
        <f>J545+G545</f>
        <v>0</v>
      </c>
      <c r="E545" s="47">
        <f>SUM(F545:G545)</f>
        <v>0</v>
      </c>
      <c r="F545" s="47">
        <v>0</v>
      </c>
      <c r="G545" s="47">
        <v>0</v>
      </c>
      <c r="H545" s="47">
        <f>SUM(I545:J545)</f>
        <v>0</v>
      </c>
      <c r="I545" s="47">
        <v>0</v>
      </c>
      <c r="J545" s="47">
        <v>0</v>
      </c>
      <c r="K545" s="188" t="s">
        <v>234</v>
      </c>
      <c r="L545" s="129" t="s">
        <v>367</v>
      </c>
      <c r="M545" s="56"/>
    </row>
    <row r="546" spans="2:13" ht="13.5" customHeight="1" thickBot="1" x14ac:dyDescent="0.25">
      <c r="B546" s="47">
        <f t="shared" ref="B546:J546" si="172">SUM(B544:B545)</f>
        <v>95</v>
      </c>
      <c r="C546" s="47">
        <f t="shared" si="172"/>
        <v>0</v>
      </c>
      <c r="D546" s="47">
        <f t="shared" si="172"/>
        <v>95</v>
      </c>
      <c r="E546" s="47">
        <f t="shared" si="172"/>
        <v>0</v>
      </c>
      <c r="F546" s="47">
        <f t="shared" si="172"/>
        <v>0</v>
      </c>
      <c r="G546" s="47">
        <f t="shared" si="172"/>
        <v>0</v>
      </c>
      <c r="H546" s="47">
        <f t="shared" si="172"/>
        <v>95</v>
      </c>
      <c r="I546" s="47">
        <f t="shared" si="172"/>
        <v>0</v>
      </c>
      <c r="J546" s="47">
        <f t="shared" si="172"/>
        <v>95</v>
      </c>
      <c r="K546" s="188" t="s">
        <v>12</v>
      </c>
      <c r="L546" s="130"/>
      <c r="M546" s="56"/>
    </row>
    <row r="547" spans="2:13" ht="13.5" customHeight="1" thickBot="1" x14ac:dyDescent="0.25">
      <c r="B547" s="47">
        <f>SUM(C547:D547)</f>
        <v>411</v>
      </c>
      <c r="C547" s="47">
        <f>I547+F547</f>
        <v>411</v>
      </c>
      <c r="D547" s="47">
        <f>J547+G547</f>
        <v>0</v>
      </c>
      <c r="E547" s="47">
        <f>SUM(F547:G547)</f>
        <v>0</v>
      </c>
      <c r="F547" s="47">
        <v>0</v>
      </c>
      <c r="G547" s="47">
        <v>0</v>
      </c>
      <c r="H547" s="47">
        <f>SUM(I547:J547)</f>
        <v>411</v>
      </c>
      <c r="I547" s="47">
        <v>411</v>
      </c>
      <c r="J547" s="47">
        <v>0</v>
      </c>
      <c r="K547" s="188" t="s">
        <v>233</v>
      </c>
      <c r="L547" s="129"/>
      <c r="M547" s="56"/>
    </row>
    <row r="548" spans="2:13" ht="13.5" customHeight="1" thickBot="1" x14ac:dyDescent="0.25">
      <c r="B548" s="47">
        <f>SUM(C548:D548)</f>
        <v>0</v>
      </c>
      <c r="C548" s="47">
        <f>I548+F548</f>
        <v>0</v>
      </c>
      <c r="D548" s="47">
        <f>J548+G548</f>
        <v>0</v>
      </c>
      <c r="E548" s="47">
        <f>SUM(F548:G548)</f>
        <v>0</v>
      </c>
      <c r="F548" s="47">
        <v>0</v>
      </c>
      <c r="G548" s="47">
        <v>0</v>
      </c>
      <c r="H548" s="47">
        <f>SUM(I548:J548)</f>
        <v>0</v>
      </c>
      <c r="I548" s="47">
        <v>0</v>
      </c>
      <c r="J548" s="47">
        <v>0</v>
      </c>
      <c r="K548" s="188" t="s">
        <v>234</v>
      </c>
      <c r="L548" s="129" t="s">
        <v>503</v>
      </c>
      <c r="M548" s="56"/>
    </row>
    <row r="549" spans="2:13" ht="13.5" customHeight="1" thickBot="1" x14ac:dyDescent="0.25">
      <c r="B549" s="47">
        <f t="shared" ref="B549:J549" si="173">SUM(B547:B548)</f>
        <v>411</v>
      </c>
      <c r="C549" s="47">
        <f t="shared" si="173"/>
        <v>411</v>
      </c>
      <c r="D549" s="47">
        <f t="shared" si="173"/>
        <v>0</v>
      </c>
      <c r="E549" s="47">
        <f t="shared" si="173"/>
        <v>0</v>
      </c>
      <c r="F549" s="47">
        <f t="shared" si="173"/>
        <v>0</v>
      </c>
      <c r="G549" s="47">
        <f t="shared" si="173"/>
        <v>0</v>
      </c>
      <c r="H549" s="47">
        <f t="shared" si="173"/>
        <v>411</v>
      </c>
      <c r="I549" s="47">
        <f t="shared" si="173"/>
        <v>411</v>
      </c>
      <c r="J549" s="47">
        <f t="shared" si="173"/>
        <v>0</v>
      </c>
      <c r="K549" s="188" t="s">
        <v>12</v>
      </c>
      <c r="L549" s="130"/>
      <c r="M549" s="56"/>
    </row>
    <row r="550" spans="2:13" ht="13.5" customHeight="1" thickBot="1" x14ac:dyDescent="0.25">
      <c r="B550" s="47">
        <f>SUM(C550:D550)</f>
        <v>725</v>
      </c>
      <c r="C550" s="47">
        <f>I550+F550</f>
        <v>725</v>
      </c>
      <c r="D550" s="47">
        <f>J550+G550</f>
        <v>0</v>
      </c>
      <c r="E550" s="47">
        <f>SUM(F550:G550)</f>
        <v>0</v>
      </c>
      <c r="F550" s="47">
        <v>0</v>
      </c>
      <c r="G550" s="47">
        <v>0</v>
      </c>
      <c r="H550" s="47">
        <f>SUM(I550:J550)</f>
        <v>725</v>
      </c>
      <c r="I550" s="47">
        <v>725</v>
      </c>
      <c r="J550" s="47">
        <v>0</v>
      </c>
      <c r="K550" s="188" t="s">
        <v>233</v>
      </c>
      <c r="L550" s="129"/>
      <c r="M550" s="56"/>
    </row>
    <row r="551" spans="2:13" ht="13.5" customHeight="1" thickBot="1" x14ac:dyDescent="0.25">
      <c r="B551" s="47">
        <f>SUM(C551:D551)</f>
        <v>0</v>
      </c>
      <c r="C551" s="47">
        <f>I551+F551</f>
        <v>0</v>
      </c>
      <c r="D551" s="47">
        <f>J551+G551</f>
        <v>0</v>
      </c>
      <c r="E551" s="47">
        <f>SUM(F551:G551)</f>
        <v>0</v>
      </c>
      <c r="F551" s="47">
        <v>0</v>
      </c>
      <c r="G551" s="47">
        <v>0</v>
      </c>
      <c r="H551" s="47">
        <f>SUM(I551:J551)</f>
        <v>0</v>
      </c>
      <c r="I551" s="47">
        <v>0</v>
      </c>
      <c r="J551" s="47">
        <v>0</v>
      </c>
      <c r="K551" s="188" t="s">
        <v>234</v>
      </c>
      <c r="L551" s="129" t="s">
        <v>504</v>
      </c>
      <c r="M551" s="56"/>
    </row>
    <row r="552" spans="2:13" ht="13.5" customHeight="1" thickBot="1" x14ac:dyDescent="0.25">
      <c r="B552" s="47">
        <f t="shared" ref="B552:J552" si="174">SUM(B550:B551)</f>
        <v>725</v>
      </c>
      <c r="C552" s="47">
        <f t="shared" si="174"/>
        <v>725</v>
      </c>
      <c r="D552" s="47">
        <f t="shared" si="174"/>
        <v>0</v>
      </c>
      <c r="E552" s="47">
        <f t="shared" si="174"/>
        <v>0</v>
      </c>
      <c r="F552" s="47">
        <f t="shared" si="174"/>
        <v>0</v>
      </c>
      <c r="G552" s="47">
        <f t="shared" si="174"/>
        <v>0</v>
      </c>
      <c r="H552" s="47">
        <f t="shared" si="174"/>
        <v>725</v>
      </c>
      <c r="I552" s="47">
        <f t="shared" si="174"/>
        <v>725</v>
      </c>
      <c r="J552" s="47">
        <f t="shared" si="174"/>
        <v>0</v>
      </c>
      <c r="K552" s="188" t="s">
        <v>12</v>
      </c>
      <c r="L552" s="130"/>
      <c r="M552" s="56"/>
    </row>
    <row r="553" spans="2:13" ht="13.5" customHeight="1" thickBot="1" x14ac:dyDescent="0.25">
      <c r="B553" s="47">
        <f>SUM(C553:D553)</f>
        <v>380</v>
      </c>
      <c r="C553" s="47">
        <f>I553+F553</f>
        <v>0</v>
      </c>
      <c r="D553" s="47">
        <f>J553+G553</f>
        <v>380</v>
      </c>
      <c r="E553" s="47">
        <f>SUM(F553:G553)</f>
        <v>0</v>
      </c>
      <c r="F553" s="47">
        <v>0</v>
      </c>
      <c r="G553" s="47">
        <v>0</v>
      </c>
      <c r="H553" s="47">
        <f>SUM(I553:J553)</f>
        <v>380</v>
      </c>
      <c r="I553" s="47">
        <v>0</v>
      </c>
      <c r="J553" s="47">
        <v>380</v>
      </c>
      <c r="K553" s="188" t="s">
        <v>233</v>
      </c>
      <c r="L553" s="129"/>
      <c r="M553" s="56"/>
    </row>
    <row r="554" spans="2:13" ht="13.5" customHeight="1" thickBot="1" x14ac:dyDescent="0.25">
      <c r="B554" s="47">
        <f>SUM(C554:D554)</f>
        <v>0</v>
      </c>
      <c r="C554" s="47">
        <f>I554+F554</f>
        <v>0</v>
      </c>
      <c r="D554" s="47">
        <f>J554+G554</f>
        <v>0</v>
      </c>
      <c r="E554" s="47">
        <f>SUM(F554:G554)</f>
        <v>0</v>
      </c>
      <c r="F554" s="47">
        <v>0</v>
      </c>
      <c r="G554" s="47">
        <v>0</v>
      </c>
      <c r="H554" s="47">
        <f>SUM(I554:J554)</f>
        <v>0</v>
      </c>
      <c r="I554" s="47">
        <v>0</v>
      </c>
      <c r="J554" s="47">
        <v>0</v>
      </c>
      <c r="K554" s="188" t="s">
        <v>234</v>
      </c>
      <c r="L554" s="129" t="s">
        <v>505</v>
      </c>
      <c r="M554" s="56"/>
    </row>
    <row r="555" spans="2:13" ht="13.5" customHeight="1" thickBot="1" x14ac:dyDescent="0.25">
      <c r="B555" s="47">
        <f t="shared" ref="B555:J555" si="175">SUM(B553:B554)</f>
        <v>380</v>
      </c>
      <c r="C555" s="47">
        <f t="shared" si="175"/>
        <v>0</v>
      </c>
      <c r="D555" s="47">
        <f t="shared" si="175"/>
        <v>380</v>
      </c>
      <c r="E555" s="47">
        <f t="shared" si="175"/>
        <v>0</v>
      </c>
      <c r="F555" s="47">
        <f t="shared" si="175"/>
        <v>0</v>
      </c>
      <c r="G555" s="47">
        <f t="shared" si="175"/>
        <v>0</v>
      </c>
      <c r="H555" s="47">
        <f t="shared" si="175"/>
        <v>380</v>
      </c>
      <c r="I555" s="47">
        <f t="shared" si="175"/>
        <v>0</v>
      </c>
      <c r="J555" s="47">
        <f t="shared" si="175"/>
        <v>380</v>
      </c>
      <c r="K555" s="188" t="s">
        <v>12</v>
      </c>
      <c r="L555" s="130"/>
      <c r="M555" s="56"/>
    </row>
    <row r="556" spans="2:13" ht="13.5" customHeight="1" thickBot="1" x14ac:dyDescent="0.25">
      <c r="B556" s="47">
        <f>SUM(C556:D556)</f>
        <v>712</v>
      </c>
      <c r="C556" s="47">
        <f>I556+F556</f>
        <v>712</v>
      </c>
      <c r="D556" s="47">
        <f>J556+G556</f>
        <v>0</v>
      </c>
      <c r="E556" s="47">
        <f>SUM(F556:G556)</f>
        <v>0</v>
      </c>
      <c r="F556" s="47">
        <v>0</v>
      </c>
      <c r="G556" s="47">
        <v>0</v>
      </c>
      <c r="H556" s="47">
        <f>SUM(I556:J556)</f>
        <v>712</v>
      </c>
      <c r="I556" s="47">
        <v>712</v>
      </c>
      <c r="J556" s="47">
        <v>0</v>
      </c>
      <c r="K556" s="188" t="s">
        <v>233</v>
      </c>
      <c r="L556" s="129"/>
      <c r="M556" s="56"/>
    </row>
    <row r="557" spans="2:13" ht="13.5" customHeight="1" thickBot="1" x14ac:dyDescent="0.25">
      <c r="B557" s="47">
        <f>SUM(C557:D557)</f>
        <v>0</v>
      </c>
      <c r="C557" s="47">
        <f>I557+F557</f>
        <v>0</v>
      </c>
      <c r="D557" s="47">
        <f>J557+G557</f>
        <v>0</v>
      </c>
      <c r="E557" s="47">
        <f>SUM(F557:G557)</f>
        <v>0</v>
      </c>
      <c r="F557" s="47">
        <v>0</v>
      </c>
      <c r="G557" s="47">
        <v>0</v>
      </c>
      <c r="H557" s="47">
        <f>SUM(I557:J557)</f>
        <v>0</v>
      </c>
      <c r="I557" s="47">
        <v>0</v>
      </c>
      <c r="J557" s="47">
        <v>0</v>
      </c>
      <c r="K557" s="188" t="s">
        <v>234</v>
      </c>
      <c r="L557" s="129" t="s">
        <v>506</v>
      </c>
      <c r="M557" s="56"/>
    </row>
    <row r="558" spans="2:13" ht="13.5" customHeight="1" thickBot="1" x14ac:dyDescent="0.25">
      <c r="B558" s="47">
        <f t="shared" ref="B558:J558" si="176">SUM(B556:B557)</f>
        <v>712</v>
      </c>
      <c r="C558" s="47">
        <f t="shared" si="176"/>
        <v>712</v>
      </c>
      <c r="D558" s="47">
        <f t="shared" si="176"/>
        <v>0</v>
      </c>
      <c r="E558" s="47">
        <f t="shared" si="176"/>
        <v>0</v>
      </c>
      <c r="F558" s="47">
        <f t="shared" si="176"/>
        <v>0</v>
      </c>
      <c r="G558" s="47">
        <f t="shared" si="176"/>
        <v>0</v>
      </c>
      <c r="H558" s="47">
        <f t="shared" si="176"/>
        <v>712</v>
      </c>
      <c r="I558" s="47">
        <f t="shared" si="176"/>
        <v>712</v>
      </c>
      <c r="J558" s="47">
        <f t="shared" si="176"/>
        <v>0</v>
      </c>
      <c r="K558" s="188" t="s">
        <v>12</v>
      </c>
      <c r="L558" s="130"/>
      <c r="M558" s="56"/>
    </row>
    <row r="559" spans="2:13" ht="13.5" customHeight="1" thickBot="1" x14ac:dyDescent="0.25">
      <c r="B559" s="47">
        <f>SUM(C559:D559)</f>
        <v>6</v>
      </c>
      <c r="C559" s="47">
        <f>I559+F559</f>
        <v>0</v>
      </c>
      <c r="D559" s="47">
        <f>J559+G559</f>
        <v>6</v>
      </c>
      <c r="E559" s="47">
        <f>SUM(F559:G559)</f>
        <v>0</v>
      </c>
      <c r="F559" s="47">
        <v>0</v>
      </c>
      <c r="G559" s="47">
        <v>0</v>
      </c>
      <c r="H559" s="47">
        <f>SUM(I559:J559)</f>
        <v>6</v>
      </c>
      <c r="I559" s="47">
        <v>0</v>
      </c>
      <c r="J559" s="47">
        <v>6</v>
      </c>
      <c r="K559" s="188" t="s">
        <v>233</v>
      </c>
      <c r="L559" s="129"/>
      <c r="M559" s="56"/>
    </row>
    <row r="560" spans="2:13" ht="13.5" customHeight="1" thickBot="1" x14ac:dyDescent="0.25">
      <c r="B560" s="47">
        <f>SUM(C560:D560)</f>
        <v>0</v>
      </c>
      <c r="C560" s="47">
        <f>I560+F560</f>
        <v>0</v>
      </c>
      <c r="D560" s="47">
        <f>J560+G560</f>
        <v>0</v>
      </c>
      <c r="E560" s="47">
        <f>SUM(F560:G560)</f>
        <v>0</v>
      </c>
      <c r="F560" s="47">
        <v>0</v>
      </c>
      <c r="G560" s="47">
        <v>0</v>
      </c>
      <c r="H560" s="47">
        <f>SUM(I560:J560)</f>
        <v>0</v>
      </c>
      <c r="I560" s="47">
        <v>0</v>
      </c>
      <c r="J560" s="47">
        <v>0</v>
      </c>
      <c r="K560" s="188" t="s">
        <v>234</v>
      </c>
      <c r="L560" s="129" t="s">
        <v>378</v>
      </c>
      <c r="M560" s="56"/>
    </row>
    <row r="561" spans="2:13" ht="13.5" customHeight="1" thickBot="1" x14ac:dyDescent="0.25">
      <c r="B561" s="47">
        <f t="shared" ref="B561:J561" si="177">SUM(B559:B560)</f>
        <v>6</v>
      </c>
      <c r="C561" s="47">
        <f t="shared" si="177"/>
        <v>0</v>
      </c>
      <c r="D561" s="47">
        <f t="shared" si="177"/>
        <v>6</v>
      </c>
      <c r="E561" s="47">
        <f t="shared" si="177"/>
        <v>0</v>
      </c>
      <c r="F561" s="47">
        <f t="shared" si="177"/>
        <v>0</v>
      </c>
      <c r="G561" s="47">
        <f t="shared" si="177"/>
        <v>0</v>
      </c>
      <c r="H561" s="47">
        <f t="shared" si="177"/>
        <v>6</v>
      </c>
      <c r="I561" s="47">
        <f t="shared" si="177"/>
        <v>0</v>
      </c>
      <c r="J561" s="47">
        <f t="shared" si="177"/>
        <v>6</v>
      </c>
      <c r="K561" s="188" t="s">
        <v>12</v>
      </c>
      <c r="L561" s="130"/>
      <c r="M561" s="56"/>
    </row>
    <row r="562" spans="2:13" ht="13.5" customHeight="1" thickBot="1" x14ac:dyDescent="0.25">
      <c r="B562" s="47">
        <f t="shared" ref="B562:J564" si="178">B544+B547+B550+B553+B556+B559</f>
        <v>2329</v>
      </c>
      <c r="C562" s="47">
        <f t="shared" si="178"/>
        <v>1848</v>
      </c>
      <c r="D562" s="47">
        <f t="shared" si="178"/>
        <v>481</v>
      </c>
      <c r="E562" s="47">
        <f t="shared" si="178"/>
        <v>0</v>
      </c>
      <c r="F562" s="47">
        <f t="shared" si="178"/>
        <v>0</v>
      </c>
      <c r="G562" s="47">
        <f t="shared" si="178"/>
        <v>0</v>
      </c>
      <c r="H562" s="47">
        <f t="shared" si="178"/>
        <v>2329</v>
      </c>
      <c r="I562" s="47">
        <f t="shared" si="178"/>
        <v>1848</v>
      </c>
      <c r="J562" s="47">
        <f t="shared" si="178"/>
        <v>481</v>
      </c>
      <c r="K562" s="188" t="s">
        <v>236</v>
      </c>
      <c r="L562" s="131"/>
      <c r="M562" s="56"/>
    </row>
    <row r="563" spans="2:13" ht="13.5" customHeight="1" thickBot="1" x14ac:dyDescent="0.25">
      <c r="B563" s="47">
        <f t="shared" si="178"/>
        <v>0</v>
      </c>
      <c r="C563" s="47">
        <f t="shared" si="178"/>
        <v>0</v>
      </c>
      <c r="D563" s="47">
        <f t="shared" si="178"/>
        <v>0</v>
      </c>
      <c r="E563" s="47">
        <f t="shared" si="178"/>
        <v>0</v>
      </c>
      <c r="F563" s="47">
        <f t="shared" si="178"/>
        <v>0</v>
      </c>
      <c r="G563" s="47">
        <f t="shared" si="178"/>
        <v>0</v>
      </c>
      <c r="H563" s="47">
        <f t="shared" si="178"/>
        <v>0</v>
      </c>
      <c r="I563" s="47">
        <f t="shared" si="178"/>
        <v>0</v>
      </c>
      <c r="J563" s="47">
        <f t="shared" si="178"/>
        <v>0</v>
      </c>
      <c r="K563" s="188" t="s">
        <v>237</v>
      </c>
      <c r="L563" s="132" t="s">
        <v>188</v>
      </c>
      <c r="M563" s="56"/>
    </row>
    <row r="564" spans="2:13" ht="13.5" customHeight="1" thickBot="1" x14ac:dyDescent="0.25">
      <c r="B564" s="47">
        <f t="shared" si="178"/>
        <v>2329</v>
      </c>
      <c r="C564" s="47">
        <f t="shared" si="178"/>
        <v>1848</v>
      </c>
      <c r="D564" s="47">
        <f t="shared" si="178"/>
        <v>481</v>
      </c>
      <c r="E564" s="47">
        <f t="shared" si="178"/>
        <v>0</v>
      </c>
      <c r="F564" s="47">
        <f t="shared" si="178"/>
        <v>0</v>
      </c>
      <c r="G564" s="47">
        <f t="shared" si="178"/>
        <v>0</v>
      </c>
      <c r="H564" s="47">
        <f t="shared" si="178"/>
        <v>2329</v>
      </c>
      <c r="I564" s="47">
        <f t="shared" si="178"/>
        <v>1848</v>
      </c>
      <c r="J564" s="47">
        <f t="shared" si="178"/>
        <v>481</v>
      </c>
      <c r="K564" s="188" t="s">
        <v>12</v>
      </c>
      <c r="L564" s="133"/>
      <c r="M564" s="56"/>
    </row>
    <row r="565" spans="2:13" ht="13.5" customHeight="1" thickBot="1" x14ac:dyDescent="0.25">
      <c r="B565" s="476" t="s">
        <v>4</v>
      </c>
      <c r="C565" s="476"/>
      <c r="D565" s="476"/>
      <c r="E565" s="476" t="s">
        <v>145</v>
      </c>
      <c r="F565" s="476"/>
      <c r="G565" s="476"/>
      <c r="H565" s="476" t="s">
        <v>146</v>
      </c>
      <c r="I565" s="476"/>
      <c r="J565" s="476"/>
      <c r="K565" s="479" t="s">
        <v>66</v>
      </c>
      <c r="L565" s="479"/>
      <c r="M565" s="56"/>
    </row>
    <row r="566" spans="2:13" ht="13.5" customHeight="1" thickBot="1" x14ac:dyDescent="0.25">
      <c r="B566" s="185" t="s">
        <v>227</v>
      </c>
      <c r="C566" s="185" t="s">
        <v>10</v>
      </c>
      <c r="D566" s="185" t="s">
        <v>9</v>
      </c>
      <c r="E566" s="185" t="s">
        <v>227</v>
      </c>
      <c r="F566" s="185" t="s">
        <v>10</v>
      </c>
      <c r="G566" s="185" t="s">
        <v>9</v>
      </c>
      <c r="H566" s="185" t="s">
        <v>227</v>
      </c>
      <c r="I566" s="185" t="s">
        <v>10</v>
      </c>
      <c r="J566" s="185" t="s">
        <v>9</v>
      </c>
      <c r="K566" s="480" t="s">
        <v>106</v>
      </c>
      <c r="L566" s="480"/>
      <c r="M566" s="56"/>
    </row>
    <row r="567" spans="2:13" ht="13.5" customHeight="1" thickBot="1" x14ac:dyDescent="0.25">
      <c r="B567" s="47">
        <f>SUM(C567:D567)</f>
        <v>53</v>
      </c>
      <c r="C567" s="47">
        <f>I567+F567</f>
        <v>0</v>
      </c>
      <c r="D567" s="47">
        <f>J567+G567</f>
        <v>53</v>
      </c>
      <c r="E567" s="47">
        <f>SUM(F567:G567)</f>
        <v>0</v>
      </c>
      <c r="F567" s="47">
        <v>0</v>
      </c>
      <c r="G567" s="47">
        <v>0</v>
      </c>
      <c r="H567" s="47">
        <f>SUM(I567:J567)</f>
        <v>53</v>
      </c>
      <c r="I567" s="47">
        <v>0</v>
      </c>
      <c r="J567" s="47">
        <v>53</v>
      </c>
      <c r="K567" s="188" t="s">
        <v>233</v>
      </c>
      <c r="L567" s="293"/>
      <c r="M567" s="56"/>
    </row>
    <row r="568" spans="2:13" ht="13.5" customHeight="1" thickBot="1" x14ac:dyDescent="0.25">
      <c r="B568" s="47">
        <f>SUM(C568:D568)</f>
        <v>0</v>
      </c>
      <c r="C568" s="47">
        <f>I568+F568</f>
        <v>0</v>
      </c>
      <c r="D568" s="47">
        <f>J568+G568</f>
        <v>0</v>
      </c>
      <c r="E568" s="47">
        <f>SUM(F568:G568)</f>
        <v>0</v>
      </c>
      <c r="F568" s="47">
        <v>0</v>
      </c>
      <c r="G568" s="47">
        <v>0</v>
      </c>
      <c r="H568" s="47">
        <f>SUM(I568:J568)</f>
        <v>0</v>
      </c>
      <c r="I568" s="47">
        <v>0</v>
      </c>
      <c r="J568" s="47">
        <v>0</v>
      </c>
      <c r="K568" s="188" t="s">
        <v>234</v>
      </c>
      <c r="L568" s="293" t="s">
        <v>344</v>
      </c>
      <c r="M568" s="56"/>
    </row>
    <row r="569" spans="2:13" ht="13.5" customHeight="1" thickBot="1" x14ac:dyDescent="0.25">
      <c r="B569" s="47">
        <f t="shared" ref="B569:J569" si="179">SUM(B567:B568)</f>
        <v>53</v>
      </c>
      <c r="C569" s="47">
        <f t="shared" si="179"/>
        <v>0</v>
      </c>
      <c r="D569" s="47">
        <f t="shared" si="179"/>
        <v>53</v>
      </c>
      <c r="E569" s="47">
        <f t="shared" si="179"/>
        <v>0</v>
      </c>
      <c r="F569" s="47">
        <f t="shared" si="179"/>
        <v>0</v>
      </c>
      <c r="G569" s="47">
        <f t="shared" si="179"/>
        <v>0</v>
      </c>
      <c r="H569" s="47">
        <f t="shared" si="179"/>
        <v>53</v>
      </c>
      <c r="I569" s="47">
        <f t="shared" si="179"/>
        <v>0</v>
      </c>
      <c r="J569" s="47">
        <f t="shared" si="179"/>
        <v>53</v>
      </c>
      <c r="K569" s="188" t="s">
        <v>12</v>
      </c>
      <c r="L569" s="285"/>
      <c r="M569" s="56"/>
    </row>
    <row r="570" spans="2:13" ht="13.5" customHeight="1" thickBot="1" x14ac:dyDescent="0.25">
      <c r="B570" s="47">
        <f>SUM(C570:D570)</f>
        <v>1262</v>
      </c>
      <c r="C570" s="47">
        <f>I570+F570</f>
        <v>0</v>
      </c>
      <c r="D570" s="47">
        <f>J570+G570</f>
        <v>1262</v>
      </c>
      <c r="E570" s="47">
        <f>SUM(F570:G570)</f>
        <v>0</v>
      </c>
      <c r="F570" s="47">
        <v>0</v>
      </c>
      <c r="G570" s="47">
        <v>0</v>
      </c>
      <c r="H570" s="47">
        <f>SUM(I570:J570)</f>
        <v>1262</v>
      </c>
      <c r="I570" s="47">
        <v>0</v>
      </c>
      <c r="J570" s="47">
        <f>1362-100</f>
        <v>1262</v>
      </c>
      <c r="K570" s="188" t="s">
        <v>233</v>
      </c>
      <c r="L570" s="293"/>
      <c r="M570" s="56"/>
    </row>
    <row r="571" spans="2:13" ht="13.5" customHeight="1" thickBot="1" x14ac:dyDescent="0.25">
      <c r="B571" s="47">
        <f>SUM(C571:D571)</f>
        <v>0</v>
      </c>
      <c r="C571" s="47">
        <f>I571+F571</f>
        <v>0</v>
      </c>
      <c r="D571" s="47">
        <f>J571+G571</f>
        <v>0</v>
      </c>
      <c r="E571" s="47">
        <f>SUM(F571:G571)</f>
        <v>0</v>
      </c>
      <c r="F571" s="47">
        <v>0</v>
      </c>
      <c r="G571" s="47">
        <v>0</v>
      </c>
      <c r="H571" s="47">
        <f>SUM(I571:J571)</f>
        <v>0</v>
      </c>
      <c r="I571" s="47">
        <v>0</v>
      </c>
      <c r="J571" s="47">
        <v>0</v>
      </c>
      <c r="K571" s="188" t="s">
        <v>234</v>
      </c>
      <c r="L571" s="293" t="s">
        <v>279</v>
      </c>
      <c r="M571" s="56"/>
    </row>
    <row r="572" spans="2:13" ht="13.5" customHeight="1" thickBot="1" x14ac:dyDescent="0.25">
      <c r="B572" s="47">
        <f t="shared" ref="B572:J572" si="180">SUM(B570:B571)</f>
        <v>1262</v>
      </c>
      <c r="C572" s="47">
        <f t="shared" si="180"/>
        <v>0</v>
      </c>
      <c r="D572" s="47">
        <f t="shared" si="180"/>
        <v>1262</v>
      </c>
      <c r="E572" s="47">
        <f t="shared" si="180"/>
        <v>0</v>
      </c>
      <c r="F572" s="47">
        <f t="shared" si="180"/>
        <v>0</v>
      </c>
      <c r="G572" s="47">
        <f t="shared" si="180"/>
        <v>0</v>
      </c>
      <c r="H572" s="47">
        <f t="shared" si="180"/>
        <v>1262</v>
      </c>
      <c r="I572" s="47">
        <f t="shared" si="180"/>
        <v>0</v>
      </c>
      <c r="J572" s="47">
        <f t="shared" si="180"/>
        <v>1262</v>
      </c>
      <c r="K572" s="188" t="s">
        <v>12</v>
      </c>
      <c r="L572" s="285"/>
      <c r="M572" s="56"/>
    </row>
    <row r="573" spans="2:13" ht="13.5" customHeight="1" thickBot="1" x14ac:dyDescent="0.25">
      <c r="B573" s="47">
        <f>SUM(C573:D573)</f>
        <v>763</v>
      </c>
      <c r="C573" s="47">
        <f>I573+F573</f>
        <v>763</v>
      </c>
      <c r="D573" s="47">
        <f>J573+G573</f>
        <v>0</v>
      </c>
      <c r="E573" s="47">
        <f>SUM(F573:G573)</f>
        <v>0</v>
      </c>
      <c r="F573" s="47">
        <v>0</v>
      </c>
      <c r="G573" s="47">
        <v>0</v>
      </c>
      <c r="H573" s="47">
        <f>SUM(I573:J573)</f>
        <v>763</v>
      </c>
      <c r="I573" s="47">
        <v>763</v>
      </c>
      <c r="J573" s="47">
        <v>0</v>
      </c>
      <c r="K573" s="188" t="s">
        <v>233</v>
      </c>
      <c r="L573" s="293"/>
      <c r="M573" s="56"/>
    </row>
    <row r="574" spans="2:13" ht="13.5" customHeight="1" thickBot="1" x14ac:dyDescent="0.25">
      <c r="B574" s="47">
        <f>SUM(C574:D574)</f>
        <v>9</v>
      </c>
      <c r="C574" s="47">
        <f>I574+F574</f>
        <v>9</v>
      </c>
      <c r="D574" s="47">
        <f>J574+G574</f>
        <v>0</v>
      </c>
      <c r="E574" s="47">
        <f>SUM(F574:G574)</f>
        <v>0</v>
      </c>
      <c r="F574" s="47">
        <v>0</v>
      </c>
      <c r="G574" s="47">
        <v>0</v>
      </c>
      <c r="H574" s="47">
        <f>SUM(I574:J574)</f>
        <v>9</v>
      </c>
      <c r="I574" s="47">
        <v>9</v>
      </c>
      <c r="J574" s="47">
        <v>0</v>
      </c>
      <c r="K574" s="188" t="s">
        <v>234</v>
      </c>
      <c r="L574" s="293" t="s">
        <v>509</v>
      </c>
      <c r="M574" s="56"/>
    </row>
    <row r="575" spans="2:13" ht="13.5" customHeight="1" thickBot="1" x14ac:dyDescent="0.25">
      <c r="B575" s="47">
        <f t="shared" ref="B575:J575" si="181">SUM(B573:B574)</f>
        <v>772</v>
      </c>
      <c r="C575" s="47">
        <f t="shared" si="181"/>
        <v>772</v>
      </c>
      <c r="D575" s="47">
        <f t="shared" si="181"/>
        <v>0</v>
      </c>
      <c r="E575" s="47">
        <f t="shared" si="181"/>
        <v>0</v>
      </c>
      <c r="F575" s="47">
        <f t="shared" si="181"/>
        <v>0</v>
      </c>
      <c r="G575" s="47">
        <f t="shared" si="181"/>
        <v>0</v>
      </c>
      <c r="H575" s="47">
        <f t="shared" si="181"/>
        <v>772</v>
      </c>
      <c r="I575" s="47">
        <f t="shared" si="181"/>
        <v>772</v>
      </c>
      <c r="J575" s="47">
        <f t="shared" si="181"/>
        <v>0</v>
      </c>
      <c r="K575" s="188" t="s">
        <v>12</v>
      </c>
      <c r="L575" s="285"/>
      <c r="M575" s="56"/>
    </row>
    <row r="576" spans="2:13" ht="13.5" customHeight="1" thickBot="1" x14ac:dyDescent="0.25">
      <c r="B576" s="47">
        <f>SUM(C576:D576)</f>
        <v>292</v>
      </c>
      <c r="C576" s="47">
        <f>I576+F576</f>
        <v>292</v>
      </c>
      <c r="D576" s="47">
        <f>J576+G576</f>
        <v>0</v>
      </c>
      <c r="E576" s="47">
        <f>SUM(F576:G576)</f>
        <v>0</v>
      </c>
      <c r="F576" s="47">
        <v>0</v>
      </c>
      <c r="G576" s="47">
        <v>0</v>
      </c>
      <c r="H576" s="47">
        <f>SUM(I576:J576)</f>
        <v>292</v>
      </c>
      <c r="I576" s="47">
        <v>292</v>
      </c>
      <c r="J576" s="47">
        <v>0</v>
      </c>
      <c r="K576" s="188" t="s">
        <v>233</v>
      </c>
      <c r="L576" s="293"/>
      <c r="M576" s="56"/>
    </row>
    <row r="577" spans="2:13" ht="13.5" customHeight="1" thickBot="1" x14ac:dyDescent="0.25">
      <c r="B577" s="47">
        <f>SUM(C577:D577)</f>
        <v>0</v>
      </c>
      <c r="C577" s="47">
        <f>I577+F577</f>
        <v>0</v>
      </c>
      <c r="D577" s="47">
        <f>J577+G577</f>
        <v>0</v>
      </c>
      <c r="E577" s="47">
        <f>SUM(F577:G577)</f>
        <v>0</v>
      </c>
      <c r="F577" s="47">
        <v>0</v>
      </c>
      <c r="G577" s="47">
        <v>0</v>
      </c>
      <c r="H577" s="47">
        <f>SUM(I577:J577)</f>
        <v>0</v>
      </c>
      <c r="I577" s="47">
        <v>0</v>
      </c>
      <c r="J577" s="47">
        <v>0</v>
      </c>
      <c r="K577" s="188" t="s">
        <v>234</v>
      </c>
      <c r="L577" s="293" t="s">
        <v>510</v>
      </c>
      <c r="M577" s="56"/>
    </row>
    <row r="578" spans="2:13" ht="13.5" customHeight="1" thickBot="1" x14ac:dyDescent="0.25">
      <c r="B578" s="47">
        <f t="shared" ref="B578:J578" si="182">SUM(B576:B577)</f>
        <v>292</v>
      </c>
      <c r="C578" s="47">
        <f t="shared" si="182"/>
        <v>292</v>
      </c>
      <c r="D578" s="47">
        <f t="shared" si="182"/>
        <v>0</v>
      </c>
      <c r="E578" s="47">
        <f t="shared" si="182"/>
        <v>0</v>
      </c>
      <c r="F578" s="47">
        <f t="shared" si="182"/>
        <v>0</v>
      </c>
      <c r="G578" s="47">
        <f t="shared" si="182"/>
        <v>0</v>
      </c>
      <c r="H578" s="47">
        <f t="shared" si="182"/>
        <v>292</v>
      </c>
      <c r="I578" s="47">
        <f t="shared" si="182"/>
        <v>292</v>
      </c>
      <c r="J578" s="47">
        <f t="shared" si="182"/>
        <v>0</v>
      </c>
      <c r="K578" s="188" t="s">
        <v>12</v>
      </c>
      <c r="L578" s="285"/>
      <c r="M578" s="56"/>
    </row>
    <row r="579" spans="2:13" ht="13.5" customHeight="1" thickBot="1" x14ac:dyDescent="0.25">
      <c r="B579" s="294">
        <f>SUM(C579:D579)</f>
        <v>649</v>
      </c>
      <c r="C579" s="47">
        <f>I579+F579</f>
        <v>649</v>
      </c>
      <c r="D579" s="47">
        <f>J579+G579</f>
        <v>0</v>
      </c>
      <c r="E579" s="47">
        <f>SUM(F579:G579)</f>
        <v>0</v>
      </c>
      <c r="F579" s="47">
        <v>0</v>
      </c>
      <c r="G579" s="47">
        <v>0</v>
      </c>
      <c r="H579" s="47">
        <f>SUM(I579:J579)</f>
        <v>649</v>
      </c>
      <c r="I579" s="47">
        <v>649</v>
      </c>
      <c r="J579" s="47">
        <v>0</v>
      </c>
      <c r="K579" s="188" t="s">
        <v>233</v>
      </c>
      <c r="L579" s="293"/>
      <c r="M579" s="56"/>
    </row>
    <row r="580" spans="2:13" ht="13.5" customHeight="1" thickBot="1" x14ac:dyDescent="0.25">
      <c r="B580" s="294">
        <f>SUM(C580:D580)</f>
        <v>0</v>
      </c>
      <c r="C580" s="47">
        <f>I580+F580</f>
        <v>0</v>
      </c>
      <c r="D580" s="47">
        <f>J580+G580</f>
        <v>0</v>
      </c>
      <c r="E580" s="47">
        <f>SUM(F580:G580)</f>
        <v>0</v>
      </c>
      <c r="F580" s="47">
        <v>0</v>
      </c>
      <c r="G580" s="47">
        <v>0</v>
      </c>
      <c r="H580" s="47">
        <f>SUM(I580:J580)</f>
        <v>0</v>
      </c>
      <c r="I580" s="47">
        <v>0</v>
      </c>
      <c r="J580" s="47">
        <v>0</v>
      </c>
      <c r="K580" s="188" t="s">
        <v>234</v>
      </c>
      <c r="L580" s="293" t="s">
        <v>511</v>
      </c>
      <c r="M580" s="56"/>
    </row>
    <row r="581" spans="2:13" ht="13.5" customHeight="1" thickBot="1" x14ac:dyDescent="0.25">
      <c r="B581" s="47">
        <f t="shared" ref="B581:J581" si="183">SUM(B579:B580)</f>
        <v>649</v>
      </c>
      <c r="C581" s="47">
        <f t="shared" si="183"/>
        <v>649</v>
      </c>
      <c r="D581" s="47">
        <f t="shared" si="183"/>
        <v>0</v>
      </c>
      <c r="E581" s="47">
        <f t="shared" si="183"/>
        <v>0</v>
      </c>
      <c r="F581" s="47">
        <f t="shared" si="183"/>
        <v>0</v>
      </c>
      <c r="G581" s="47">
        <f t="shared" si="183"/>
        <v>0</v>
      </c>
      <c r="H581" s="47">
        <f t="shared" si="183"/>
        <v>649</v>
      </c>
      <c r="I581" s="47">
        <f t="shared" si="183"/>
        <v>649</v>
      </c>
      <c r="J581" s="47">
        <f t="shared" si="183"/>
        <v>0</v>
      </c>
      <c r="K581" s="188" t="s">
        <v>12</v>
      </c>
      <c r="L581" s="285"/>
      <c r="M581" s="56"/>
    </row>
    <row r="582" spans="2:13" ht="13.5" customHeight="1" thickBot="1" x14ac:dyDescent="0.25">
      <c r="B582" s="294">
        <f>SUM(C582:D582)</f>
        <v>724</v>
      </c>
      <c r="C582" s="47">
        <f>I582+F582</f>
        <v>724</v>
      </c>
      <c r="D582" s="47">
        <f>J582+G582</f>
        <v>0</v>
      </c>
      <c r="E582" s="47">
        <f>SUM(F582:G582)</f>
        <v>0</v>
      </c>
      <c r="F582" s="47">
        <v>0</v>
      </c>
      <c r="G582" s="47">
        <v>0</v>
      </c>
      <c r="H582" s="47">
        <f>SUM(I582:J582)</f>
        <v>724</v>
      </c>
      <c r="I582" s="47">
        <v>724</v>
      </c>
      <c r="J582" s="47">
        <v>0</v>
      </c>
      <c r="K582" s="188" t="s">
        <v>233</v>
      </c>
      <c r="L582" s="293"/>
      <c r="M582" s="56"/>
    </row>
    <row r="583" spans="2:13" ht="13.5" customHeight="1" thickBot="1" x14ac:dyDescent="0.25">
      <c r="B583" s="47">
        <f>SUM(C583:D583)</f>
        <v>5</v>
      </c>
      <c r="C583" s="47">
        <f>I583+F583</f>
        <v>5</v>
      </c>
      <c r="D583" s="47">
        <f>J583+G583</f>
        <v>0</v>
      </c>
      <c r="E583" s="47">
        <f>SUM(F583:G583)</f>
        <v>0</v>
      </c>
      <c r="F583" s="47">
        <v>0</v>
      </c>
      <c r="G583" s="47">
        <v>0</v>
      </c>
      <c r="H583" s="47">
        <f>SUM(I583:J583)</f>
        <v>5</v>
      </c>
      <c r="I583" s="47">
        <v>5</v>
      </c>
      <c r="J583" s="47">
        <v>0</v>
      </c>
      <c r="K583" s="188" t="s">
        <v>234</v>
      </c>
      <c r="L583" s="293" t="s">
        <v>512</v>
      </c>
      <c r="M583" s="56"/>
    </row>
    <row r="584" spans="2:13" ht="13.5" customHeight="1" thickBot="1" x14ac:dyDescent="0.25">
      <c r="B584" s="47">
        <f t="shared" ref="B584:J584" si="184">SUM(B582:B583)</f>
        <v>729</v>
      </c>
      <c r="C584" s="47">
        <f t="shared" si="184"/>
        <v>729</v>
      </c>
      <c r="D584" s="47">
        <f t="shared" si="184"/>
        <v>0</v>
      </c>
      <c r="E584" s="47">
        <f t="shared" si="184"/>
        <v>0</v>
      </c>
      <c r="F584" s="47">
        <f t="shared" si="184"/>
        <v>0</v>
      </c>
      <c r="G584" s="47">
        <f t="shared" si="184"/>
        <v>0</v>
      </c>
      <c r="H584" s="47">
        <f t="shared" si="184"/>
        <v>729</v>
      </c>
      <c r="I584" s="47">
        <f t="shared" si="184"/>
        <v>729</v>
      </c>
      <c r="J584" s="47">
        <f t="shared" si="184"/>
        <v>0</v>
      </c>
      <c r="K584" s="188" t="s">
        <v>12</v>
      </c>
      <c r="L584" s="285"/>
      <c r="M584" s="56"/>
    </row>
    <row r="585" spans="2:13" ht="13.5" customHeight="1" thickBot="1" x14ac:dyDescent="0.25">
      <c r="B585" s="47">
        <f>SUM(C585:D585)</f>
        <v>865</v>
      </c>
      <c r="C585" s="47">
        <f>I585+F585</f>
        <v>865</v>
      </c>
      <c r="D585" s="47">
        <f>J585+G585</f>
        <v>0</v>
      </c>
      <c r="E585" s="47">
        <f>SUM(F585:G585)</f>
        <v>0</v>
      </c>
      <c r="F585" s="47">
        <v>0</v>
      </c>
      <c r="G585" s="47">
        <v>0</v>
      </c>
      <c r="H585" s="47">
        <f>SUM(I585:J585)</f>
        <v>865</v>
      </c>
      <c r="I585" s="47">
        <v>865</v>
      </c>
      <c r="J585" s="47">
        <v>0</v>
      </c>
      <c r="K585" s="188" t="s">
        <v>233</v>
      </c>
      <c r="L585" s="293"/>
      <c r="M585" s="56"/>
    </row>
    <row r="586" spans="2:13" ht="13.5" customHeight="1" thickBot="1" x14ac:dyDescent="0.25">
      <c r="B586" s="47">
        <f>SUM(C586:D586)</f>
        <v>59</v>
      </c>
      <c r="C586" s="47">
        <f>I586+F586</f>
        <v>59</v>
      </c>
      <c r="D586" s="47">
        <f>J586+G586</f>
        <v>0</v>
      </c>
      <c r="E586" s="47">
        <f>SUM(F586:G586)</f>
        <v>0</v>
      </c>
      <c r="F586" s="47">
        <v>0</v>
      </c>
      <c r="G586" s="47">
        <v>0</v>
      </c>
      <c r="H586" s="47">
        <f>SUM(I586:J586)</f>
        <v>59</v>
      </c>
      <c r="I586" s="47">
        <v>59</v>
      </c>
      <c r="J586" s="47">
        <v>0</v>
      </c>
      <c r="K586" s="188" t="s">
        <v>234</v>
      </c>
      <c r="L586" s="293" t="s">
        <v>513</v>
      </c>
      <c r="M586" s="56"/>
    </row>
    <row r="587" spans="2:13" ht="13.5" customHeight="1" thickBot="1" x14ac:dyDescent="0.25">
      <c r="B587" s="47">
        <f t="shared" ref="B587:J587" si="185">SUM(B585:B586)</f>
        <v>924</v>
      </c>
      <c r="C587" s="47">
        <f t="shared" si="185"/>
        <v>924</v>
      </c>
      <c r="D587" s="47">
        <f t="shared" si="185"/>
        <v>0</v>
      </c>
      <c r="E587" s="47">
        <f t="shared" si="185"/>
        <v>0</v>
      </c>
      <c r="F587" s="47">
        <f t="shared" si="185"/>
        <v>0</v>
      </c>
      <c r="G587" s="47">
        <f t="shared" si="185"/>
        <v>0</v>
      </c>
      <c r="H587" s="47">
        <f t="shared" si="185"/>
        <v>924</v>
      </c>
      <c r="I587" s="47">
        <f t="shared" si="185"/>
        <v>924</v>
      </c>
      <c r="J587" s="47">
        <f t="shared" si="185"/>
        <v>0</v>
      </c>
      <c r="K587" s="188" t="s">
        <v>12</v>
      </c>
      <c r="L587" s="285"/>
      <c r="M587" s="56"/>
    </row>
    <row r="588" spans="2:13" ht="13.5" customHeight="1" thickBot="1" x14ac:dyDescent="0.25">
      <c r="B588" s="47">
        <f t="shared" ref="B588:J590" si="186">B567+B570+B573+B576+B579+B582+B585</f>
        <v>4608</v>
      </c>
      <c r="C588" s="47">
        <f t="shared" si="186"/>
        <v>3293</v>
      </c>
      <c r="D588" s="47">
        <f t="shared" si="186"/>
        <v>1315</v>
      </c>
      <c r="E588" s="47">
        <f t="shared" si="186"/>
        <v>0</v>
      </c>
      <c r="F588" s="47">
        <f t="shared" si="186"/>
        <v>0</v>
      </c>
      <c r="G588" s="47">
        <f t="shared" si="186"/>
        <v>0</v>
      </c>
      <c r="H588" s="47">
        <f t="shared" si="186"/>
        <v>4608</v>
      </c>
      <c r="I588" s="47">
        <f t="shared" si="186"/>
        <v>3293</v>
      </c>
      <c r="J588" s="47">
        <f t="shared" si="186"/>
        <v>1315</v>
      </c>
      <c r="K588" s="188" t="s">
        <v>236</v>
      </c>
      <c r="L588" s="250"/>
      <c r="M588" s="56"/>
    </row>
    <row r="589" spans="2:13" ht="13.5" customHeight="1" thickBot="1" x14ac:dyDescent="0.25">
      <c r="B589" s="47">
        <f t="shared" si="186"/>
        <v>73</v>
      </c>
      <c r="C589" s="47">
        <f t="shared" si="186"/>
        <v>73</v>
      </c>
      <c r="D589" s="47">
        <f t="shared" si="186"/>
        <v>0</v>
      </c>
      <c r="E589" s="47">
        <f t="shared" si="186"/>
        <v>0</v>
      </c>
      <c r="F589" s="47">
        <f t="shared" si="186"/>
        <v>0</v>
      </c>
      <c r="G589" s="47">
        <f t="shared" si="186"/>
        <v>0</v>
      </c>
      <c r="H589" s="47">
        <f t="shared" si="186"/>
        <v>73</v>
      </c>
      <c r="I589" s="47">
        <f t="shared" si="186"/>
        <v>73</v>
      </c>
      <c r="J589" s="47">
        <f t="shared" si="186"/>
        <v>0</v>
      </c>
      <c r="K589" s="188" t="s">
        <v>237</v>
      </c>
      <c r="L589" s="251" t="s">
        <v>188</v>
      </c>
      <c r="M589" s="56"/>
    </row>
    <row r="590" spans="2:13" ht="13.5" customHeight="1" thickBot="1" x14ac:dyDescent="0.25">
      <c r="B590" s="47">
        <f t="shared" si="186"/>
        <v>4681</v>
      </c>
      <c r="C590" s="47">
        <f t="shared" si="186"/>
        <v>3366</v>
      </c>
      <c r="D590" s="47">
        <f t="shared" si="186"/>
        <v>1315</v>
      </c>
      <c r="E590" s="47">
        <f t="shared" si="186"/>
        <v>0</v>
      </c>
      <c r="F590" s="47">
        <f t="shared" si="186"/>
        <v>0</v>
      </c>
      <c r="G590" s="47">
        <f t="shared" si="186"/>
        <v>0</v>
      </c>
      <c r="H590" s="47">
        <f t="shared" si="186"/>
        <v>4681</v>
      </c>
      <c r="I590" s="47">
        <f t="shared" si="186"/>
        <v>3366</v>
      </c>
      <c r="J590" s="47">
        <f t="shared" si="186"/>
        <v>1315</v>
      </c>
      <c r="K590" s="188" t="s">
        <v>12</v>
      </c>
      <c r="L590" s="187"/>
      <c r="M590" s="56"/>
    </row>
    <row r="591" spans="2:13" ht="13.5" customHeight="1" thickBot="1" x14ac:dyDescent="0.25">
      <c r="B591" s="476" t="s">
        <v>4</v>
      </c>
      <c r="C591" s="476"/>
      <c r="D591" s="476"/>
      <c r="E591" s="476" t="s">
        <v>145</v>
      </c>
      <c r="F591" s="476"/>
      <c r="G591" s="476"/>
      <c r="H591" s="476" t="s">
        <v>146</v>
      </c>
      <c r="I591" s="476"/>
      <c r="J591" s="476"/>
      <c r="K591" s="479" t="s">
        <v>66</v>
      </c>
      <c r="L591" s="479"/>
      <c r="M591" s="56"/>
    </row>
    <row r="592" spans="2:13" ht="13.5" customHeight="1" thickBot="1" x14ac:dyDescent="0.25">
      <c r="B592" s="185" t="s">
        <v>227</v>
      </c>
      <c r="C592" s="185" t="s">
        <v>10</v>
      </c>
      <c r="D592" s="185" t="s">
        <v>9</v>
      </c>
      <c r="E592" s="185" t="s">
        <v>227</v>
      </c>
      <c r="F592" s="185" t="s">
        <v>10</v>
      </c>
      <c r="G592" s="185" t="s">
        <v>9</v>
      </c>
      <c r="H592" s="185" t="s">
        <v>227</v>
      </c>
      <c r="I592" s="185" t="s">
        <v>10</v>
      </c>
      <c r="J592" s="185" t="s">
        <v>9</v>
      </c>
      <c r="K592" s="480" t="s">
        <v>109</v>
      </c>
      <c r="L592" s="480"/>
      <c r="M592" s="56"/>
    </row>
    <row r="593" spans="2:13" ht="13.5" customHeight="1" thickBot="1" x14ac:dyDescent="0.25">
      <c r="B593" s="47">
        <f>SUM(C593:D593)</f>
        <v>12</v>
      </c>
      <c r="C593" s="47">
        <f>I593+F593</f>
        <v>0</v>
      </c>
      <c r="D593" s="47">
        <f>J593+G593</f>
        <v>12</v>
      </c>
      <c r="E593" s="47">
        <f>SUM(F593:G593)</f>
        <v>0</v>
      </c>
      <c r="F593" s="47">
        <v>0</v>
      </c>
      <c r="G593" s="47">
        <v>0</v>
      </c>
      <c r="H593" s="47">
        <f>SUM(I593:J593)</f>
        <v>12</v>
      </c>
      <c r="I593" s="47">
        <v>0</v>
      </c>
      <c r="J593" s="47">
        <v>12</v>
      </c>
      <c r="K593" s="188" t="s">
        <v>233</v>
      </c>
      <c r="L593" s="129"/>
      <c r="M593" s="56"/>
    </row>
    <row r="594" spans="2:13" ht="13.5" customHeight="1" thickBot="1" x14ac:dyDescent="0.25">
      <c r="B594" s="47">
        <f>SUM(C594:D594)</f>
        <v>0</v>
      </c>
      <c r="C594" s="47">
        <f>I594+F594</f>
        <v>0</v>
      </c>
      <c r="D594" s="47">
        <f>J594+G594</f>
        <v>0</v>
      </c>
      <c r="E594" s="47">
        <f>SUM(F594:G594)</f>
        <v>0</v>
      </c>
      <c r="F594" s="47">
        <v>0</v>
      </c>
      <c r="G594" s="47">
        <v>0</v>
      </c>
      <c r="H594" s="47">
        <f>SUM(I594:J594)</f>
        <v>0</v>
      </c>
      <c r="I594" s="47">
        <v>0</v>
      </c>
      <c r="J594" s="47">
        <v>0</v>
      </c>
      <c r="K594" s="188" t="s">
        <v>234</v>
      </c>
      <c r="L594" s="129" t="s">
        <v>454</v>
      </c>
      <c r="M594" s="56"/>
    </row>
    <row r="595" spans="2:13" ht="13.5" customHeight="1" thickBot="1" x14ac:dyDescent="0.25">
      <c r="B595" s="47">
        <f t="shared" ref="B595:J595" si="187">SUM(B593:B594)</f>
        <v>12</v>
      </c>
      <c r="C595" s="47">
        <f t="shared" si="187"/>
        <v>0</v>
      </c>
      <c r="D595" s="47">
        <f t="shared" si="187"/>
        <v>12</v>
      </c>
      <c r="E595" s="47">
        <f t="shared" si="187"/>
        <v>0</v>
      </c>
      <c r="F595" s="47">
        <f t="shared" si="187"/>
        <v>0</v>
      </c>
      <c r="G595" s="47">
        <f t="shared" si="187"/>
        <v>0</v>
      </c>
      <c r="H595" s="47">
        <f t="shared" si="187"/>
        <v>12</v>
      </c>
      <c r="I595" s="47">
        <f t="shared" si="187"/>
        <v>0</v>
      </c>
      <c r="J595" s="47">
        <f t="shared" si="187"/>
        <v>12</v>
      </c>
      <c r="K595" s="188" t="s">
        <v>12</v>
      </c>
      <c r="L595" s="130"/>
      <c r="M595" s="56"/>
    </row>
    <row r="596" spans="2:13" ht="13.5" customHeight="1" thickBot="1" x14ac:dyDescent="0.25">
      <c r="B596" s="47">
        <f>SUM(C596:D596)</f>
        <v>71</v>
      </c>
      <c r="C596" s="47">
        <f>I596+F596</f>
        <v>0</v>
      </c>
      <c r="D596" s="47">
        <f>J596+G596</f>
        <v>71</v>
      </c>
      <c r="E596" s="47">
        <f>SUM(F596:G596)</f>
        <v>12</v>
      </c>
      <c r="F596" s="47">
        <v>0</v>
      </c>
      <c r="G596" s="47">
        <v>12</v>
      </c>
      <c r="H596" s="47">
        <f>SUM(I596:J596)</f>
        <v>59</v>
      </c>
      <c r="I596" s="47">
        <v>0</v>
      </c>
      <c r="J596" s="47">
        <v>59</v>
      </c>
      <c r="K596" s="188" t="s">
        <v>233</v>
      </c>
      <c r="L596" s="129"/>
      <c r="M596" s="56"/>
    </row>
    <row r="597" spans="2:13" ht="13.5" customHeight="1" thickBot="1" x14ac:dyDescent="0.25">
      <c r="B597" s="47">
        <f>SUM(C597:D597)</f>
        <v>0</v>
      </c>
      <c r="C597" s="47">
        <f>I597+F597</f>
        <v>0</v>
      </c>
      <c r="D597" s="47">
        <f>J597+G597</f>
        <v>0</v>
      </c>
      <c r="E597" s="47">
        <f>SUM(F597:G597)</f>
        <v>0</v>
      </c>
      <c r="F597" s="47">
        <v>0</v>
      </c>
      <c r="G597" s="47">
        <v>0</v>
      </c>
      <c r="H597" s="47">
        <f>SUM(I597:J597)</f>
        <v>0</v>
      </c>
      <c r="I597" s="47">
        <v>0</v>
      </c>
      <c r="J597" s="47">
        <v>0</v>
      </c>
      <c r="K597" s="188" t="s">
        <v>234</v>
      </c>
      <c r="L597" s="129" t="s">
        <v>514</v>
      </c>
      <c r="M597" s="56"/>
    </row>
    <row r="598" spans="2:13" ht="13.5" customHeight="1" thickBot="1" x14ac:dyDescent="0.25">
      <c r="B598" s="47">
        <f t="shared" ref="B598:J598" si="188">SUM(B596:B597)</f>
        <v>71</v>
      </c>
      <c r="C598" s="47">
        <f t="shared" si="188"/>
        <v>0</v>
      </c>
      <c r="D598" s="47">
        <f t="shared" si="188"/>
        <v>71</v>
      </c>
      <c r="E598" s="47">
        <f t="shared" si="188"/>
        <v>12</v>
      </c>
      <c r="F598" s="47">
        <f t="shared" si="188"/>
        <v>0</v>
      </c>
      <c r="G598" s="47">
        <f t="shared" si="188"/>
        <v>12</v>
      </c>
      <c r="H598" s="47">
        <f t="shared" si="188"/>
        <v>59</v>
      </c>
      <c r="I598" s="47">
        <f t="shared" si="188"/>
        <v>0</v>
      </c>
      <c r="J598" s="47">
        <f t="shared" si="188"/>
        <v>59</v>
      </c>
      <c r="K598" s="188" t="s">
        <v>12</v>
      </c>
      <c r="L598" s="130"/>
      <c r="M598" s="56"/>
    </row>
    <row r="599" spans="2:13" ht="13.5" customHeight="1" thickBot="1" x14ac:dyDescent="0.25">
      <c r="B599" s="47">
        <f>SUM(C599:D599)</f>
        <v>973</v>
      </c>
      <c r="C599" s="47">
        <f>I599+F599</f>
        <v>973</v>
      </c>
      <c r="D599" s="47">
        <f>J599+G599</f>
        <v>0</v>
      </c>
      <c r="E599" s="47">
        <f>SUM(F599:G599)</f>
        <v>0</v>
      </c>
      <c r="F599" s="47">
        <v>0</v>
      </c>
      <c r="G599" s="47">
        <v>0</v>
      </c>
      <c r="H599" s="47">
        <f>SUM(I599:J599)</f>
        <v>973</v>
      </c>
      <c r="I599" s="47">
        <v>973</v>
      </c>
      <c r="J599" s="47">
        <v>0</v>
      </c>
      <c r="K599" s="188" t="s">
        <v>233</v>
      </c>
      <c r="L599" s="129"/>
      <c r="M599" s="56"/>
    </row>
    <row r="600" spans="2:13" ht="13.5" customHeight="1" thickBot="1" x14ac:dyDescent="0.25">
      <c r="B600" s="47">
        <f>SUM(C600:D600)</f>
        <v>37</v>
      </c>
      <c r="C600" s="47">
        <f>I600+F600</f>
        <v>37</v>
      </c>
      <c r="D600" s="47">
        <f>J600+G600</f>
        <v>0</v>
      </c>
      <c r="E600" s="47">
        <f>SUM(F600:G600)</f>
        <v>0</v>
      </c>
      <c r="F600" s="47">
        <v>0</v>
      </c>
      <c r="G600" s="47">
        <v>0</v>
      </c>
      <c r="H600" s="47">
        <f>SUM(I600:J600)</f>
        <v>37</v>
      </c>
      <c r="I600" s="47">
        <v>37</v>
      </c>
      <c r="J600" s="47">
        <v>0</v>
      </c>
      <c r="K600" s="188" t="s">
        <v>234</v>
      </c>
      <c r="L600" s="129" t="s">
        <v>515</v>
      </c>
      <c r="M600" s="56"/>
    </row>
    <row r="601" spans="2:13" ht="13.5" customHeight="1" thickBot="1" x14ac:dyDescent="0.25">
      <c r="B601" s="47">
        <f t="shared" ref="B601:J601" si="189">SUM(B599:B600)</f>
        <v>1010</v>
      </c>
      <c r="C601" s="47">
        <f t="shared" si="189"/>
        <v>1010</v>
      </c>
      <c r="D601" s="47">
        <f t="shared" si="189"/>
        <v>0</v>
      </c>
      <c r="E601" s="47">
        <f t="shared" si="189"/>
        <v>0</v>
      </c>
      <c r="F601" s="47">
        <f t="shared" si="189"/>
        <v>0</v>
      </c>
      <c r="G601" s="47">
        <f t="shared" si="189"/>
        <v>0</v>
      </c>
      <c r="H601" s="47">
        <f t="shared" si="189"/>
        <v>1010</v>
      </c>
      <c r="I601" s="47">
        <f t="shared" si="189"/>
        <v>1010</v>
      </c>
      <c r="J601" s="47">
        <f t="shared" si="189"/>
        <v>0</v>
      </c>
      <c r="K601" s="188" t="s">
        <v>12</v>
      </c>
      <c r="L601" s="130"/>
      <c r="M601" s="56"/>
    </row>
    <row r="602" spans="2:13" ht="13.5" customHeight="1" thickBot="1" x14ac:dyDescent="0.25">
      <c r="B602" s="47">
        <f>SUM(C602:D602)</f>
        <v>812</v>
      </c>
      <c r="C602" s="47">
        <f>I602+F602</f>
        <v>812</v>
      </c>
      <c r="D602" s="47">
        <f>J602+G602</f>
        <v>0</v>
      </c>
      <c r="E602" s="47">
        <f>SUM(F602:G602)</f>
        <v>0</v>
      </c>
      <c r="F602" s="47">
        <v>0</v>
      </c>
      <c r="G602" s="47">
        <v>0</v>
      </c>
      <c r="H602" s="47">
        <f>SUM(I602:J602)</f>
        <v>812</v>
      </c>
      <c r="I602" s="47">
        <v>812</v>
      </c>
      <c r="J602" s="47">
        <v>0</v>
      </c>
      <c r="K602" s="188" t="s">
        <v>233</v>
      </c>
      <c r="L602" s="129"/>
      <c r="M602" s="56"/>
    </row>
    <row r="603" spans="2:13" ht="13.5" customHeight="1" thickBot="1" x14ac:dyDescent="0.25">
      <c r="B603" s="47">
        <f>SUM(C603:D603)</f>
        <v>0</v>
      </c>
      <c r="C603" s="47">
        <f>I603+F603</f>
        <v>0</v>
      </c>
      <c r="D603" s="47">
        <f>J603+G603</f>
        <v>0</v>
      </c>
      <c r="E603" s="47">
        <f>SUM(F603:G603)</f>
        <v>0</v>
      </c>
      <c r="F603" s="47">
        <v>0</v>
      </c>
      <c r="G603" s="47">
        <v>0</v>
      </c>
      <c r="H603" s="47">
        <f>SUM(I603:J603)</f>
        <v>0</v>
      </c>
      <c r="I603" s="47">
        <v>0</v>
      </c>
      <c r="J603" s="47">
        <v>0</v>
      </c>
      <c r="K603" s="188" t="s">
        <v>234</v>
      </c>
      <c r="L603" s="129" t="s">
        <v>516</v>
      </c>
      <c r="M603" s="56"/>
    </row>
    <row r="604" spans="2:13" ht="13.5" customHeight="1" thickBot="1" x14ac:dyDescent="0.25">
      <c r="B604" s="47">
        <f t="shared" ref="B604:J604" si="190">SUM(B602:B603)</f>
        <v>812</v>
      </c>
      <c r="C604" s="47">
        <f t="shared" si="190"/>
        <v>812</v>
      </c>
      <c r="D604" s="47">
        <f t="shared" si="190"/>
        <v>0</v>
      </c>
      <c r="E604" s="47">
        <f t="shared" si="190"/>
        <v>0</v>
      </c>
      <c r="F604" s="47">
        <f t="shared" si="190"/>
        <v>0</v>
      </c>
      <c r="G604" s="47">
        <f t="shared" si="190"/>
        <v>0</v>
      </c>
      <c r="H604" s="47">
        <f t="shared" si="190"/>
        <v>812</v>
      </c>
      <c r="I604" s="47">
        <f t="shared" si="190"/>
        <v>812</v>
      </c>
      <c r="J604" s="47">
        <f t="shared" si="190"/>
        <v>0</v>
      </c>
      <c r="K604" s="188" t="s">
        <v>12</v>
      </c>
      <c r="L604" s="130"/>
      <c r="M604" s="56"/>
    </row>
    <row r="605" spans="2:13" ht="13.5" customHeight="1" thickBot="1" x14ac:dyDescent="0.25">
      <c r="B605" s="47">
        <f>SUM(C605:D605)</f>
        <v>441</v>
      </c>
      <c r="C605" s="47">
        <f>I605+F605</f>
        <v>0</v>
      </c>
      <c r="D605" s="47">
        <f>J605+G605</f>
        <v>441</v>
      </c>
      <c r="E605" s="47">
        <f>SUM(F605:G605)</f>
        <v>3</v>
      </c>
      <c r="F605" s="47">
        <v>0</v>
      </c>
      <c r="G605" s="47">
        <v>3</v>
      </c>
      <c r="H605" s="47">
        <f>SUM(I605:J605)</f>
        <v>438</v>
      </c>
      <c r="I605" s="47">
        <v>0</v>
      </c>
      <c r="J605" s="47">
        <v>438</v>
      </c>
      <c r="K605" s="188" t="s">
        <v>233</v>
      </c>
      <c r="L605" s="129"/>
      <c r="M605" s="56"/>
    </row>
    <row r="606" spans="2:13" ht="13.5" customHeight="1" thickBot="1" x14ac:dyDescent="0.25">
      <c r="B606" s="47">
        <f>SUM(C606:D606)</f>
        <v>0</v>
      </c>
      <c r="C606" s="47">
        <f>I606+F606</f>
        <v>0</v>
      </c>
      <c r="D606" s="47">
        <f>J606+G606</f>
        <v>0</v>
      </c>
      <c r="E606" s="47">
        <f>SUM(F606:G606)</f>
        <v>0</v>
      </c>
      <c r="F606" s="47">
        <v>0</v>
      </c>
      <c r="G606" s="47">
        <v>0</v>
      </c>
      <c r="H606" s="47">
        <f>SUM(I606:J606)</f>
        <v>0</v>
      </c>
      <c r="I606" s="47">
        <v>0</v>
      </c>
      <c r="J606" s="47">
        <v>0</v>
      </c>
      <c r="K606" s="188" t="s">
        <v>234</v>
      </c>
      <c r="L606" s="129" t="s">
        <v>666</v>
      </c>
      <c r="M606" s="56"/>
    </row>
    <row r="607" spans="2:13" ht="13.5" customHeight="1" thickBot="1" x14ac:dyDescent="0.25">
      <c r="B607" s="47">
        <f t="shared" ref="B607:J607" si="191">SUM(B605:B606)</f>
        <v>441</v>
      </c>
      <c r="C607" s="47">
        <f t="shared" si="191"/>
        <v>0</v>
      </c>
      <c r="D607" s="47">
        <f t="shared" si="191"/>
        <v>441</v>
      </c>
      <c r="E607" s="47">
        <f t="shared" si="191"/>
        <v>3</v>
      </c>
      <c r="F607" s="47">
        <f t="shared" si="191"/>
        <v>0</v>
      </c>
      <c r="G607" s="47">
        <f t="shared" si="191"/>
        <v>3</v>
      </c>
      <c r="H607" s="47">
        <f t="shared" si="191"/>
        <v>438</v>
      </c>
      <c r="I607" s="47">
        <f t="shared" si="191"/>
        <v>0</v>
      </c>
      <c r="J607" s="47">
        <f t="shared" si="191"/>
        <v>438</v>
      </c>
      <c r="K607" s="188" t="s">
        <v>12</v>
      </c>
      <c r="L607" s="130"/>
      <c r="M607" s="56"/>
    </row>
    <row r="608" spans="2:13" ht="13.5" customHeight="1" thickBot="1" x14ac:dyDescent="0.25">
      <c r="B608" s="47">
        <f>SUM(C608:D608)</f>
        <v>274</v>
      </c>
      <c r="C608" s="47">
        <f>I608+F608</f>
        <v>271</v>
      </c>
      <c r="D608" s="47">
        <f>J608+G608</f>
        <v>3</v>
      </c>
      <c r="E608" s="47">
        <f>SUM(F608:G608)</f>
        <v>3</v>
      </c>
      <c r="F608" s="47">
        <v>0</v>
      </c>
      <c r="G608" s="47">
        <v>3</v>
      </c>
      <c r="H608" s="47">
        <f>SUM(I608:J608)</f>
        <v>271</v>
      </c>
      <c r="I608" s="47">
        <v>271</v>
      </c>
      <c r="J608" s="47">
        <v>0</v>
      </c>
      <c r="K608" s="188" t="s">
        <v>233</v>
      </c>
      <c r="L608" s="129"/>
      <c r="M608" s="56"/>
    </row>
    <row r="609" spans="2:13" ht="13.5" customHeight="1" thickBot="1" x14ac:dyDescent="0.25">
      <c r="B609" s="47">
        <f>SUM(C609:D609)</f>
        <v>0</v>
      </c>
      <c r="C609" s="47">
        <f>I609+F609</f>
        <v>0</v>
      </c>
      <c r="D609" s="47">
        <f>J609+G609</f>
        <v>0</v>
      </c>
      <c r="E609" s="47">
        <f>SUM(F609:G609)</f>
        <v>0</v>
      </c>
      <c r="F609" s="47">
        <v>0</v>
      </c>
      <c r="G609" s="47">
        <v>0</v>
      </c>
      <c r="H609" s="47">
        <f>SUM(I609:J609)</f>
        <v>0</v>
      </c>
      <c r="I609" s="47">
        <v>0</v>
      </c>
      <c r="J609" s="47">
        <v>0</v>
      </c>
      <c r="K609" s="188" t="s">
        <v>234</v>
      </c>
      <c r="L609" s="129" t="s">
        <v>704</v>
      </c>
      <c r="M609" s="56"/>
    </row>
    <row r="610" spans="2:13" ht="13.5" customHeight="1" thickBot="1" x14ac:dyDescent="0.25">
      <c r="B610" s="47">
        <f t="shared" ref="B610:J610" si="192">SUM(B608:B609)</f>
        <v>274</v>
      </c>
      <c r="C610" s="47">
        <f t="shared" si="192"/>
        <v>271</v>
      </c>
      <c r="D610" s="47">
        <f t="shared" si="192"/>
        <v>3</v>
      </c>
      <c r="E610" s="47">
        <f t="shared" si="192"/>
        <v>3</v>
      </c>
      <c r="F610" s="47">
        <f t="shared" si="192"/>
        <v>0</v>
      </c>
      <c r="G610" s="47">
        <f t="shared" si="192"/>
        <v>3</v>
      </c>
      <c r="H610" s="47">
        <f t="shared" si="192"/>
        <v>271</v>
      </c>
      <c r="I610" s="47">
        <f t="shared" si="192"/>
        <v>271</v>
      </c>
      <c r="J610" s="47">
        <f t="shared" si="192"/>
        <v>0</v>
      </c>
      <c r="K610" s="188" t="s">
        <v>12</v>
      </c>
      <c r="L610" s="130"/>
      <c r="M610" s="56"/>
    </row>
    <row r="611" spans="2:13" ht="13.5" customHeight="1" thickBot="1" x14ac:dyDescent="0.25">
      <c r="B611" s="47">
        <f t="shared" ref="B611:J613" si="193">B593+B596+B599+B602+B605+B608</f>
        <v>2583</v>
      </c>
      <c r="C611" s="47">
        <f t="shared" si="193"/>
        <v>2056</v>
      </c>
      <c r="D611" s="47">
        <f t="shared" si="193"/>
        <v>527</v>
      </c>
      <c r="E611" s="47">
        <f t="shared" si="193"/>
        <v>18</v>
      </c>
      <c r="F611" s="47">
        <f t="shared" si="193"/>
        <v>0</v>
      </c>
      <c r="G611" s="47">
        <f t="shared" si="193"/>
        <v>18</v>
      </c>
      <c r="H611" s="47">
        <f t="shared" si="193"/>
        <v>2565</v>
      </c>
      <c r="I611" s="47">
        <f t="shared" si="193"/>
        <v>2056</v>
      </c>
      <c r="J611" s="47">
        <f t="shared" si="193"/>
        <v>509</v>
      </c>
      <c r="K611" s="188" t="s">
        <v>236</v>
      </c>
      <c r="L611" s="131"/>
      <c r="M611" s="56"/>
    </row>
    <row r="612" spans="2:13" ht="13.5" customHeight="1" thickBot="1" x14ac:dyDescent="0.25">
      <c r="B612" s="47">
        <f t="shared" si="193"/>
        <v>37</v>
      </c>
      <c r="C612" s="47">
        <f t="shared" si="193"/>
        <v>37</v>
      </c>
      <c r="D612" s="47">
        <f t="shared" si="193"/>
        <v>0</v>
      </c>
      <c r="E612" s="47">
        <f t="shared" si="193"/>
        <v>0</v>
      </c>
      <c r="F612" s="47">
        <f t="shared" si="193"/>
        <v>0</v>
      </c>
      <c r="G612" s="47">
        <f t="shared" si="193"/>
        <v>0</v>
      </c>
      <c r="H612" s="47">
        <f t="shared" si="193"/>
        <v>37</v>
      </c>
      <c r="I612" s="47">
        <f t="shared" si="193"/>
        <v>37</v>
      </c>
      <c r="J612" s="47">
        <f t="shared" si="193"/>
        <v>0</v>
      </c>
      <c r="K612" s="188" t="s">
        <v>237</v>
      </c>
      <c r="L612" s="132" t="s">
        <v>188</v>
      </c>
      <c r="M612" s="56"/>
    </row>
    <row r="613" spans="2:13" ht="13.5" customHeight="1" thickBot="1" x14ac:dyDescent="0.25">
      <c r="B613" s="47">
        <f t="shared" si="193"/>
        <v>2620</v>
      </c>
      <c r="C613" s="47">
        <f t="shared" si="193"/>
        <v>2093</v>
      </c>
      <c r="D613" s="47">
        <f t="shared" si="193"/>
        <v>527</v>
      </c>
      <c r="E613" s="47">
        <f t="shared" si="193"/>
        <v>18</v>
      </c>
      <c r="F613" s="47">
        <f t="shared" si="193"/>
        <v>0</v>
      </c>
      <c r="G613" s="47">
        <f t="shared" si="193"/>
        <v>18</v>
      </c>
      <c r="H613" s="47">
        <f t="shared" si="193"/>
        <v>2602</v>
      </c>
      <c r="I613" s="47">
        <f t="shared" si="193"/>
        <v>2093</v>
      </c>
      <c r="J613" s="47">
        <f t="shared" si="193"/>
        <v>509</v>
      </c>
      <c r="K613" s="188" t="s">
        <v>12</v>
      </c>
      <c r="L613" s="133"/>
      <c r="M613" s="56"/>
    </row>
    <row r="614" spans="2:13" ht="13.5" customHeight="1" thickBot="1" x14ac:dyDescent="0.25">
      <c r="B614" s="476" t="s">
        <v>4</v>
      </c>
      <c r="C614" s="476"/>
      <c r="D614" s="476"/>
      <c r="E614" s="476" t="s">
        <v>145</v>
      </c>
      <c r="F614" s="476"/>
      <c r="G614" s="476"/>
      <c r="H614" s="476" t="s">
        <v>146</v>
      </c>
      <c r="I614" s="476"/>
      <c r="J614" s="476"/>
      <c r="K614" s="479" t="s">
        <v>66</v>
      </c>
      <c r="L614" s="479"/>
      <c r="M614" s="56"/>
    </row>
    <row r="615" spans="2:13" ht="13.5" customHeight="1" thickBot="1" x14ac:dyDescent="0.25">
      <c r="B615" s="185" t="s">
        <v>227</v>
      </c>
      <c r="C615" s="185" t="s">
        <v>10</v>
      </c>
      <c r="D615" s="185" t="s">
        <v>9</v>
      </c>
      <c r="E615" s="185" t="s">
        <v>227</v>
      </c>
      <c r="F615" s="185" t="s">
        <v>10</v>
      </c>
      <c r="G615" s="185" t="s">
        <v>9</v>
      </c>
      <c r="H615" s="185" t="s">
        <v>227</v>
      </c>
      <c r="I615" s="185" t="s">
        <v>10</v>
      </c>
      <c r="J615" s="185" t="s">
        <v>9</v>
      </c>
      <c r="K615" s="480" t="s">
        <v>115</v>
      </c>
      <c r="L615" s="480"/>
      <c r="M615" s="56"/>
    </row>
    <row r="616" spans="2:13" ht="13.5" customHeight="1" thickBot="1" x14ac:dyDescent="0.25">
      <c r="B616" s="185">
        <f>SUM(C616:D616)</f>
        <v>1899</v>
      </c>
      <c r="C616" s="185">
        <f>I616+F616</f>
        <v>1491</v>
      </c>
      <c r="D616" s="185">
        <f>J616+G616</f>
        <v>408</v>
      </c>
      <c r="E616" s="185">
        <f>SUM(F616:G616)</f>
        <v>0</v>
      </c>
      <c r="F616" s="185">
        <v>0</v>
      </c>
      <c r="G616" s="185">
        <v>0</v>
      </c>
      <c r="H616" s="185">
        <f>SUM(I616:J616)</f>
        <v>1899</v>
      </c>
      <c r="I616" s="185">
        <v>1491</v>
      </c>
      <c r="J616" s="185">
        <v>408</v>
      </c>
      <c r="K616" s="188" t="s">
        <v>233</v>
      </c>
      <c r="L616" s="129"/>
      <c r="M616" s="56"/>
    </row>
    <row r="617" spans="2:13" ht="13.5" customHeight="1" thickBot="1" x14ac:dyDescent="0.25">
      <c r="B617" s="185">
        <f>SUM(C617:D617)</f>
        <v>42</v>
      </c>
      <c r="C617" s="185">
        <f>I617+F617</f>
        <v>42</v>
      </c>
      <c r="D617" s="185">
        <f>J617+G617</f>
        <v>0</v>
      </c>
      <c r="E617" s="185">
        <f>SUM(F617:G617)</f>
        <v>0</v>
      </c>
      <c r="F617" s="185">
        <v>0</v>
      </c>
      <c r="G617" s="185">
        <v>0</v>
      </c>
      <c r="H617" s="185">
        <f>SUM(I617:J617)</f>
        <v>42</v>
      </c>
      <c r="I617" s="185">
        <v>42</v>
      </c>
      <c r="J617" s="185">
        <v>0</v>
      </c>
      <c r="K617" s="188" t="s">
        <v>234</v>
      </c>
      <c r="L617" s="129" t="s">
        <v>518</v>
      </c>
      <c r="M617" s="56"/>
    </row>
    <row r="618" spans="2:13" ht="13.5" customHeight="1" thickBot="1" x14ac:dyDescent="0.25">
      <c r="B618" s="185">
        <f t="shared" ref="B618:J618" si="194">SUM(B616:B617)</f>
        <v>1941</v>
      </c>
      <c r="C618" s="185">
        <f t="shared" si="194"/>
        <v>1533</v>
      </c>
      <c r="D618" s="185">
        <f t="shared" si="194"/>
        <v>408</v>
      </c>
      <c r="E618" s="185">
        <f t="shared" si="194"/>
        <v>0</v>
      </c>
      <c r="F618" s="185">
        <f t="shared" si="194"/>
        <v>0</v>
      </c>
      <c r="G618" s="185">
        <f t="shared" si="194"/>
        <v>0</v>
      </c>
      <c r="H618" s="185">
        <f t="shared" si="194"/>
        <v>1941</v>
      </c>
      <c r="I618" s="185">
        <f t="shared" si="194"/>
        <v>1533</v>
      </c>
      <c r="J618" s="185">
        <f t="shared" si="194"/>
        <v>408</v>
      </c>
      <c r="K618" s="188" t="s">
        <v>12</v>
      </c>
      <c r="L618" s="130"/>
      <c r="M618" s="56"/>
    </row>
    <row r="619" spans="2:13" ht="13.5" customHeight="1" thickBot="1" x14ac:dyDescent="0.25">
      <c r="B619" s="185">
        <f>SUM(C619:D619)</f>
        <v>309</v>
      </c>
      <c r="C619" s="185">
        <f>I619+F619</f>
        <v>309</v>
      </c>
      <c r="D619" s="185">
        <f>J619+G619</f>
        <v>0</v>
      </c>
      <c r="E619" s="185">
        <f>SUM(F619:G619)</f>
        <v>0</v>
      </c>
      <c r="F619" s="185">
        <v>0</v>
      </c>
      <c r="G619" s="185">
        <v>0</v>
      </c>
      <c r="H619" s="185">
        <f>SUM(I619:J619)</f>
        <v>309</v>
      </c>
      <c r="I619" s="185">
        <v>309</v>
      </c>
      <c r="J619" s="185">
        <v>0</v>
      </c>
      <c r="K619" s="188" t="s">
        <v>233</v>
      </c>
      <c r="L619" s="129"/>
      <c r="M619" s="56"/>
    </row>
    <row r="620" spans="2:13" ht="13.5" customHeight="1" thickBot="1" x14ac:dyDescent="0.25">
      <c r="B620" s="185">
        <f>SUM(C620:D620)</f>
        <v>11</v>
      </c>
      <c r="C620" s="185">
        <f>I620+F620</f>
        <v>11</v>
      </c>
      <c r="D620" s="185">
        <f>J620+G620</f>
        <v>0</v>
      </c>
      <c r="E620" s="185">
        <f>SUM(F620:G620)</f>
        <v>0</v>
      </c>
      <c r="F620" s="185">
        <v>0</v>
      </c>
      <c r="G620" s="185">
        <v>0</v>
      </c>
      <c r="H620" s="185">
        <f>SUM(I620:J620)</f>
        <v>11</v>
      </c>
      <c r="I620" s="185">
        <v>11</v>
      </c>
      <c r="J620" s="185">
        <v>0</v>
      </c>
      <c r="K620" s="188" t="s">
        <v>234</v>
      </c>
      <c r="L620" s="129" t="s">
        <v>517</v>
      </c>
      <c r="M620" s="56"/>
    </row>
    <row r="621" spans="2:13" ht="13.5" customHeight="1" thickBot="1" x14ac:dyDescent="0.25">
      <c r="B621" s="185">
        <f t="shared" ref="B621:J621" si="195">SUM(B619:B620)</f>
        <v>320</v>
      </c>
      <c r="C621" s="185">
        <f t="shared" si="195"/>
        <v>320</v>
      </c>
      <c r="D621" s="185">
        <f t="shared" si="195"/>
        <v>0</v>
      </c>
      <c r="E621" s="185">
        <f t="shared" si="195"/>
        <v>0</v>
      </c>
      <c r="F621" s="185">
        <f t="shared" si="195"/>
        <v>0</v>
      </c>
      <c r="G621" s="185">
        <f t="shared" si="195"/>
        <v>0</v>
      </c>
      <c r="H621" s="185">
        <f t="shared" si="195"/>
        <v>320</v>
      </c>
      <c r="I621" s="185">
        <f t="shared" si="195"/>
        <v>320</v>
      </c>
      <c r="J621" s="185">
        <f t="shared" si="195"/>
        <v>0</v>
      </c>
      <c r="K621" s="188" t="s">
        <v>12</v>
      </c>
      <c r="L621" s="130"/>
      <c r="M621" s="56"/>
    </row>
    <row r="622" spans="2:13" ht="13.5" customHeight="1" thickBot="1" x14ac:dyDescent="0.25">
      <c r="B622" s="185">
        <f>SUM(C622:D622)</f>
        <v>381</v>
      </c>
      <c r="C622" s="185">
        <f>I622+F622</f>
        <v>381</v>
      </c>
      <c r="D622" s="185">
        <f>J622+G622</f>
        <v>0</v>
      </c>
      <c r="E622" s="185">
        <f>SUM(F622:G622)</f>
        <v>0</v>
      </c>
      <c r="F622" s="185">
        <v>0</v>
      </c>
      <c r="G622" s="185">
        <v>0</v>
      </c>
      <c r="H622" s="185">
        <f>SUM(I622:J622)</f>
        <v>381</v>
      </c>
      <c r="I622" s="185">
        <v>381</v>
      </c>
      <c r="J622" s="185">
        <v>0</v>
      </c>
      <c r="K622" s="188" t="s">
        <v>233</v>
      </c>
      <c r="L622" s="129"/>
      <c r="M622" s="56"/>
    </row>
    <row r="623" spans="2:13" ht="13.5" customHeight="1" thickBot="1" x14ac:dyDescent="0.25">
      <c r="B623" s="185">
        <f>SUM(C623:D623)</f>
        <v>0</v>
      </c>
      <c r="C623" s="185">
        <f>I623+F623</f>
        <v>0</v>
      </c>
      <c r="D623" s="185">
        <f>J623+G623</f>
        <v>0</v>
      </c>
      <c r="E623" s="185">
        <f>SUM(F623:G623)</f>
        <v>0</v>
      </c>
      <c r="F623" s="185">
        <v>0</v>
      </c>
      <c r="G623" s="185">
        <v>0</v>
      </c>
      <c r="H623" s="185">
        <f>SUM(I623:J623)</f>
        <v>0</v>
      </c>
      <c r="I623" s="185">
        <v>0</v>
      </c>
      <c r="J623" s="185">
        <v>0</v>
      </c>
      <c r="K623" s="188" t="s">
        <v>234</v>
      </c>
      <c r="L623" s="129" t="s">
        <v>455</v>
      </c>
      <c r="M623" s="56"/>
    </row>
    <row r="624" spans="2:13" ht="13.5" customHeight="1" thickBot="1" x14ac:dyDescent="0.25">
      <c r="B624" s="185">
        <f t="shared" ref="B624:J624" si="196">SUM(B622:B623)</f>
        <v>381</v>
      </c>
      <c r="C624" s="185">
        <f t="shared" si="196"/>
        <v>381</v>
      </c>
      <c r="D624" s="185">
        <f t="shared" si="196"/>
        <v>0</v>
      </c>
      <c r="E624" s="185">
        <f t="shared" si="196"/>
        <v>0</v>
      </c>
      <c r="F624" s="185">
        <f t="shared" si="196"/>
        <v>0</v>
      </c>
      <c r="G624" s="185">
        <f t="shared" si="196"/>
        <v>0</v>
      </c>
      <c r="H624" s="185">
        <f t="shared" si="196"/>
        <v>381</v>
      </c>
      <c r="I624" s="185">
        <f t="shared" si="196"/>
        <v>381</v>
      </c>
      <c r="J624" s="185">
        <f t="shared" si="196"/>
        <v>0</v>
      </c>
      <c r="K624" s="188" t="s">
        <v>12</v>
      </c>
      <c r="L624" s="130"/>
      <c r="M624" s="56"/>
    </row>
    <row r="625" spans="2:13" ht="13.5" customHeight="1" thickBot="1" x14ac:dyDescent="0.25">
      <c r="B625" s="185">
        <f>SUM(C625:D625)</f>
        <v>73</v>
      </c>
      <c r="C625" s="185">
        <f>I625+F625</f>
        <v>73</v>
      </c>
      <c r="D625" s="185">
        <f>J625+G625</f>
        <v>0</v>
      </c>
      <c r="E625" s="185">
        <f>SUM(F625:G625)</f>
        <v>0</v>
      </c>
      <c r="F625" s="185">
        <v>0</v>
      </c>
      <c r="G625" s="185">
        <v>0</v>
      </c>
      <c r="H625" s="185">
        <f>SUM(I625:J625)</f>
        <v>73</v>
      </c>
      <c r="I625" s="185">
        <v>73</v>
      </c>
      <c r="J625" s="185">
        <v>0</v>
      </c>
      <c r="K625" s="188" t="s">
        <v>233</v>
      </c>
      <c r="L625" s="129"/>
      <c r="M625" s="56"/>
    </row>
    <row r="626" spans="2:13" ht="13.5" customHeight="1" thickBot="1" x14ac:dyDescent="0.25">
      <c r="B626" s="185">
        <f>SUM(C626:D626)</f>
        <v>0</v>
      </c>
      <c r="C626" s="185">
        <f>I626+F626</f>
        <v>0</v>
      </c>
      <c r="D626" s="185">
        <f>J626+G626</f>
        <v>0</v>
      </c>
      <c r="E626" s="185">
        <f>SUM(F626:G626)</f>
        <v>0</v>
      </c>
      <c r="F626" s="185">
        <v>0</v>
      </c>
      <c r="G626" s="185">
        <v>0</v>
      </c>
      <c r="H626" s="185">
        <f>SUM(I626:J626)</f>
        <v>0</v>
      </c>
      <c r="I626" s="185">
        <v>0</v>
      </c>
      <c r="J626" s="185">
        <v>0</v>
      </c>
      <c r="K626" s="188" t="s">
        <v>234</v>
      </c>
      <c r="L626" s="129" t="s">
        <v>408</v>
      </c>
      <c r="M626" s="56"/>
    </row>
    <row r="627" spans="2:13" ht="13.5" customHeight="1" thickBot="1" x14ac:dyDescent="0.25">
      <c r="B627" s="185">
        <f t="shared" ref="B627:J627" si="197">SUM(B625:B626)</f>
        <v>73</v>
      </c>
      <c r="C627" s="185">
        <f t="shared" si="197"/>
        <v>73</v>
      </c>
      <c r="D627" s="185">
        <f t="shared" si="197"/>
        <v>0</v>
      </c>
      <c r="E627" s="185">
        <f t="shared" si="197"/>
        <v>0</v>
      </c>
      <c r="F627" s="185">
        <f t="shared" si="197"/>
        <v>0</v>
      </c>
      <c r="G627" s="185">
        <f t="shared" si="197"/>
        <v>0</v>
      </c>
      <c r="H627" s="185">
        <f t="shared" si="197"/>
        <v>73</v>
      </c>
      <c r="I627" s="185">
        <f t="shared" si="197"/>
        <v>73</v>
      </c>
      <c r="J627" s="185">
        <f t="shared" si="197"/>
        <v>0</v>
      </c>
      <c r="K627" s="188" t="s">
        <v>12</v>
      </c>
      <c r="L627" s="130"/>
      <c r="M627" s="56"/>
    </row>
    <row r="628" spans="2:13" ht="13.5" customHeight="1" thickBot="1" x14ac:dyDescent="0.25">
      <c r="B628" s="185">
        <f t="shared" ref="B628:J630" si="198">B616+B619+B622+B625</f>
        <v>2662</v>
      </c>
      <c r="C628" s="185">
        <f t="shared" si="198"/>
        <v>2254</v>
      </c>
      <c r="D628" s="185">
        <f t="shared" si="198"/>
        <v>408</v>
      </c>
      <c r="E628" s="185">
        <f t="shared" si="198"/>
        <v>0</v>
      </c>
      <c r="F628" s="185">
        <f t="shared" si="198"/>
        <v>0</v>
      </c>
      <c r="G628" s="185">
        <f t="shared" si="198"/>
        <v>0</v>
      </c>
      <c r="H628" s="185">
        <f t="shared" si="198"/>
        <v>2662</v>
      </c>
      <c r="I628" s="185">
        <f t="shared" si="198"/>
        <v>2254</v>
      </c>
      <c r="J628" s="185">
        <f t="shared" si="198"/>
        <v>408</v>
      </c>
      <c r="K628" s="188" t="s">
        <v>236</v>
      </c>
      <c r="L628" s="131"/>
      <c r="M628" s="56"/>
    </row>
    <row r="629" spans="2:13" ht="13.5" customHeight="1" thickBot="1" x14ac:dyDescent="0.25">
      <c r="B629" s="185">
        <f t="shared" si="198"/>
        <v>53</v>
      </c>
      <c r="C629" s="185">
        <f t="shared" si="198"/>
        <v>53</v>
      </c>
      <c r="D629" s="185">
        <f t="shared" si="198"/>
        <v>0</v>
      </c>
      <c r="E629" s="185">
        <f t="shared" si="198"/>
        <v>0</v>
      </c>
      <c r="F629" s="185">
        <f t="shared" si="198"/>
        <v>0</v>
      </c>
      <c r="G629" s="185">
        <f t="shared" si="198"/>
        <v>0</v>
      </c>
      <c r="H629" s="185">
        <f t="shared" si="198"/>
        <v>53</v>
      </c>
      <c r="I629" s="185">
        <f t="shared" si="198"/>
        <v>53</v>
      </c>
      <c r="J629" s="185">
        <f t="shared" si="198"/>
        <v>0</v>
      </c>
      <c r="K629" s="188" t="s">
        <v>237</v>
      </c>
      <c r="L629" s="132" t="s">
        <v>188</v>
      </c>
      <c r="M629" s="56"/>
    </row>
    <row r="630" spans="2:13" ht="13.5" customHeight="1" thickBot="1" x14ac:dyDescent="0.25">
      <c r="B630" s="185">
        <f t="shared" si="198"/>
        <v>2715</v>
      </c>
      <c r="C630" s="185">
        <f t="shared" si="198"/>
        <v>2307</v>
      </c>
      <c r="D630" s="185">
        <f t="shared" si="198"/>
        <v>408</v>
      </c>
      <c r="E630" s="185">
        <f t="shared" si="198"/>
        <v>0</v>
      </c>
      <c r="F630" s="185">
        <f t="shared" si="198"/>
        <v>0</v>
      </c>
      <c r="G630" s="185">
        <f t="shared" si="198"/>
        <v>0</v>
      </c>
      <c r="H630" s="185">
        <f t="shared" si="198"/>
        <v>2715</v>
      </c>
      <c r="I630" s="185">
        <f t="shared" si="198"/>
        <v>2307</v>
      </c>
      <c r="J630" s="185">
        <f t="shared" si="198"/>
        <v>408</v>
      </c>
      <c r="K630" s="188" t="s">
        <v>12</v>
      </c>
      <c r="L630" s="133"/>
      <c r="M630" s="56"/>
    </row>
    <row r="631" spans="2:13" ht="13.5" customHeight="1" thickBot="1" x14ac:dyDescent="0.25">
      <c r="B631" s="476" t="s">
        <v>4</v>
      </c>
      <c r="C631" s="476"/>
      <c r="D631" s="476"/>
      <c r="E631" s="476" t="s">
        <v>145</v>
      </c>
      <c r="F631" s="476"/>
      <c r="G631" s="476"/>
      <c r="H631" s="476" t="s">
        <v>146</v>
      </c>
      <c r="I631" s="476"/>
      <c r="J631" s="476"/>
      <c r="K631" s="479" t="s">
        <v>66</v>
      </c>
      <c r="L631" s="479"/>
      <c r="M631" s="56"/>
    </row>
    <row r="632" spans="2:13" ht="13.5" customHeight="1" thickBot="1" x14ac:dyDescent="0.25">
      <c r="B632" s="185" t="s">
        <v>227</v>
      </c>
      <c r="C632" s="185" t="s">
        <v>10</v>
      </c>
      <c r="D632" s="185" t="s">
        <v>9</v>
      </c>
      <c r="E632" s="185" t="s">
        <v>227</v>
      </c>
      <c r="F632" s="185" t="s">
        <v>10</v>
      </c>
      <c r="G632" s="185" t="s">
        <v>9</v>
      </c>
      <c r="H632" s="185" t="s">
        <v>227</v>
      </c>
      <c r="I632" s="185" t="s">
        <v>10</v>
      </c>
      <c r="J632" s="185" t="s">
        <v>9</v>
      </c>
      <c r="K632" s="480" t="s">
        <v>117</v>
      </c>
      <c r="L632" s="480"/>
      <c r="M632" s="56"/>
    </row>
    <row r="633" spans="2:13" ht="13.5" customHeight="1" thickBot="1" x14ac:dyDescent="0.25">
      <c r="B633" s="47">
        <f>SUM(C633:D633)</f>
        <v>359</v>
      </c>
      <c r="C633" s="47">
        <f>I633+F633</f>
        <v>0</v>
      </c>
      <c r="D633" s="47">
        <f>J633+G633</f>
        <v>359</v>
      </c>
      <c r="E633" s="47">
        <f>SUM(F633:G633)</f>
        <v>0</v>
      </c>
      <c r="F633" s="47">
        <v>0</v>
      </c>
      <c r="G633" s="47">
        <v>0</v>
      </c>
      <c r="H633" s="47">
        <f>SUM(I633:J633)</f>
        <v>359</v>
      </c>
      <c r="I633" s="47">
        <v>0</v>
      </c>
      <c r="J633" s="47">
        <v>359</v>
      </c>
      <c r="K633" s="188" t="s">
        <v>233</v>
      </c>
      <c r="L633" s="129"/>
      <c r="M633" s="56"/>
    </row>
    <row r="634" spans="2:13" ht="13.5" customHeight="1" thickBot="1" x14ac:dyDescent="0.25">
      <c r="B634" s="47">
        <f>SUM(C634:D634)</f>
        <v>0</v>
      </c>
      <c r="C634" s="47">
        <f>I634+F634</f>
        <v>0</v>
      </c>
      <c r="D634" s="47">
        <f>J634+G634</f>
        <v>0</v>
      </c>
      <c r="E634" s="47">
        <f>SUM(F634:G634)</f>
        <v>0</v>
      </c>
      <c r="F634" s="47">
        <v>0</v>
      </c>
      <c r="G634" s="47">
        <v>0</v>
      </c>
      <c r="H634" s="47">
        <f>SUM(I634:J634)</f>
        <v>0</v>
      </c>
      <c r="I634" s="47">
        <v>0</v>
      </c>
      <c r="J634" s="47">
        <v>0</v>
      </c>
      <c r="K634" s="188" t="s">
        <v>234</v>
      </c>
      <c r="L634" s="129" t="s">
        <v>520</v>
      </c>
      <c r="M634" s="56"/>
    </row>
    <row r="635" spans="2:13" ht="13.5" customHeight="1" thickBot="1" x14ac:dyDescent="0.25">
      <c r="B635" s="47">
        <f t="shared" ref="B635:J635" si="199">SUM(B633:B634)</f>
        <v>359</v>
      </c>
      <c r="C635" s="47">
        <f t="shared" si="199"/>
        <v>0</v>
      </c>
      <c r="D635" s="47">
        <f t="shared" si="199"/>
        <v>359</v>
      </c>
      <c r="E635" s="47">
        <f t="shared" si="199"/>
        <v>0</v>
      </c>
      <c r="F635" s="47">
        <f t="shared" si="199"/>
        <v>0</v>
      </c>
      <c r="G635" s="47">
        <f t="shared" si="199"/>
        <v>0</v>
      </c>
      <c r="H635" s="47">
        <f t="shared" si="199"/>
        <v>359</v>
      </c>
      <c r="I635" s="47">
        <f t="shared" si="199"/>
        <v>0</v>
      </c>
      <c r="J635" s="47">
        <f t="shared" si="199"/>
        <v>359</v>
      </c>
      <c r="K635" s="188" t="s">
        <v>12</v>
      </c>
      <c r="L635" s="130"/>
      <c r="M635" s="56"/>
    </row>
    <row r="636" spans="2:13" ht="13.5" customHeight="1" thickBot="1" x14ac:dyDescent="0.25">
      <c r="B636" s="47">
        <f>SUM(C636:D636)</f>
        <v>117</v>
      </c>
      <c r="C636" s="47">
        <f>I636+F636</f>
        <v>0</v>
      </c>
      <c r="D636" s="47">
        <f>J636+G636</f>
        <v>117</v>
      </c>
      <c r="E636" s="47">
        <f>SUM(F636:G636)</f>
        <v>0</v>
      </c>
      <c r="F636" s="47">
        <v>0</v>
      </c>
      <c r="G636" s="47">
        <v>0</v>
      </c>
      <c r="H636" s="47">
        <f>SUM(I636:J636)</f>
        <v>117</v>
      </c>
      <c r="I636" s="47">
        <v>0</v>
      </c>
      <c r="J636" s="47">
        <v>117</v>
      </c>
      <c r="K636" s="188" t="s">
        <v>233</v>
      </c>
      <c r="L636" s="129"/>
      <c r="M636" s="56"/>
    </row>
    <row r="637" spans="2:13" ht="13.5" customHeight="1" thickBot="1" x14ac:dyDescent="0.25">
      <c r="B637" s="47">
        <f>SUM(C637:D637)</f>
        <v>0</v>
      </c>
      <c r="C637" s="47">
        <f>I637+F637</f>
        <v>0</v>
      </c>
      <c r="D637" s="47">
        <f>J637+G637</f>
        <v>0</v>
      </c>
      <c r="E637" s="47">
        <f>SUM(F637:G637)</f>
        <v>0</v>
      </c>
      <c r="F637" s="47">
        <v>0</v>
      </c>
      <c r="G637" s="47">
        <v>0</v>
      </c>
      <c r="H637" s="47">
        <f>SUM(I637:J637)</f>
        <v>0</v>
      </c>
      <c r="I637" s="47">
        <v>0</v>
      </c>
      <c r="J637" s="47">
        <v>0</v>
      </c>
      <c r="K637" s="188" t="s">
        <v>234</v>
      </c>
      <c r="L637" s="129" t="s">
        <v>347</v>
      </c>
      <c r="M637" s="56"/>
    </row>
    <row r="638" spans="2:13" ht="13.5" customHeight="1" thickBot="1" x14ac:dyDescent="0.25">
      <c r="B638" s="47">
        <f t="shared" ref="B638:J638" si="200">SUM(B636:B637)</f>
        <v>117</v>
      </c>
      <c r="C638" s="47">
        <f t="shared" si="200"/>
        <v>0</v>
      </c>
      <c r="D638" s="47">
        <f t="shared" si="200"/>
        <v>117</v>
      </c>
      <c r="E638" s="47">
        <f t="shared" si="200"/>
        <v>0</v>
      </c>
      <c r="F638" s="47">
        <f t="shared" si="200"/>
        <v>0</v>
      </c>
      <c r="G638" s="47">
        <f t="shared" si="200"/>
        <v>0</v>
      </c>
      <c r="H638" s="47">
        <f t="shared" si="200"/>
        <v>117</v>
      </c>
      <c r="I638" s="47">
        <f t="shared" si="200"/>
        <v>0</v>
      </c>
      <c r="J638" s="47">
        <f t="shared" si="200"/>
        <v>117</v>
      </c>
      <c r="K638" s="188" t="s">
        <v>12</v>
      </c>
      <c r="L638" s="130"/>
      <c r="M638" s="56"/>
    </row>
    <row r="639" spans="2:13" ht="13.5" customHeight="1" thickBot="1" x14ac:dyDescent="0.25">
      <c r="B639" s="47">
        <f>SUM(C639:D639)</f>
        <v>430</v>
      </c>
      <c r="C639" s="47">
        <f>I639+F639</f>
        <v>430</v>
      </c>
      <c r="D639" s="47">
        <f>J639+G639</f>
        <v>0</v>
      </c>
      <c r="E639" s="47">
        <f>SUM(F639:G639)</f>
        <v>0</v>
      </c>
      <c r="F639" s="47">
        <v>0</v>
      </c>
      <c r="G639" s="47">
        <v>0</v>
      </c>
      <c r="H639" s="47">
        <f>SUM(I639:J639)</f>
        <v>430</v>
      </c>
      <c r="I639" s="47">
        <v>430</v>
      </c>
      <c r="J639" s="47">
        <v>0</v>
      </c>
      <c r="K639" s="188" t="s">
        <v>233</v>
      </c>
      <c r="L639" s="129"/>
      <c r="M639" s="56"/>
    </row>
    <row r="640" spans="2:13" ht="13.5" customHeight="1" thickBot="1" x14ac:dyDescent="0.25">
      <c r="B640" s="47">
        <f>SUM(C640:D640)</f>
        <v>0</v>
      </c>
      <c r="C640" s="47">
        <f>I640+F640</f>
        <v>0</v>
      </c>
      <c r="D640" s="47">
        <f>J640+G640</f>
        <v>0</v>
      </c>
      <c r="E640" s="47">
        <f>SUM(F640:G640)</f>
        <v>0</v>
      </c>
      <c r="F640" s="47">
        <v>0</v>
      </c>
      <c r="G640" s="47">
        <v>0</v>
      </c>
      <c r="H640" s="47">
        <f>SUM(I640:J640)</f>
        <v>0</v>
      </c>
      <c r="I640" s="47">
        <v>0</v>
      </c>
      <c r="J640" s="47">
        <v>0</v>
      </c>
      <c r="K640" s="188" t="s">
        <v>234</v>
      </c>
      <c r="L640" s="129" t="s">
        <v>521</v>
      </c>
      <c r="M640" s="56"/>
    </row>
    <row r="641" spans="2:13" ht="13.5" customHeight="1" thickBot="1" x14ac:dyDescent="0.25">
      <c r="B641" s="47">
        <f t="shared" ref="B641:J641" si="201">SUM(B639:B640)</f>
        <v>430</v>
      </c>
      <c r="C641" s="47">
        <f t="shared" si="201"/>
        <v>430</v>
      </c>
      <c r="D641" s="47">
        <f t="shared" si="201"/>
        <v>0</v>
      </c>
      <c r="E641" s="47">
        <f t="shared" si="201"/>
        <v>0</v>
      </c>
      <c r="F641" s="47">
        <f t="shared" si="201"/>
        <v>0</v>
      </c>
      <c r="G641" s="47">
        <f t="shared" si="201"/>
        <v>0</v>
      </c>
      <c r="H641" s="47">
        <f t="shared" si="201"/>
        <v>430</v>
      </c>
      <c r="I641" s="47">
        <f t="shared" si="201"/>
        <v>430</v>
      </c>
      <c r="J641" s="47">
        <f t="shared" si="201"/>
        <v>0</v>
      </c>
      <c r="K641" s="188" t="s">
        <v>12</v>
      </c>
      <c r="L641" s="130"/>
      <c r="M641" s="56"/>
    </row>
    <row r="642" spans="2:13" ht="13.5" customHeight="1" thickBot="1" x14ac:dyDescent="0.25">
      <c r="B642" s="47">
        <f>SUM(C642:D642)</f>
        <v>383</v>
      </c>
      <c r="C642" s="47">
        <f>I642+F642</f>
        <v>383</v>
      </c>
      <c r="D642" s="47">
        <f>J642+G642</f>
        <v>0</v>
      </c>
      <c r="E642" s="47">
        <f>SUM(F642:G642)</f>
        <v>0</v>
      </c>
      <c r="F642" s="47">
        <v>0</v>
      </c>
      <c r="G642" s="47">
        <v>0</v>
      </c>
      <c r="H642" s="47">
        <f>SUM(I642:J642)</f>
        <v>383</v>
      </c>
      <c r="I642" s="47">
        <v>383</v>
      </c>
      <c r="J642" s="47">
        <v>0</v>
      </c>
      <c r="K642" s="188" t="s">
        <v>233</v>
      </c>
      <c r="L642" s="129"/>
      <c r="M642" s="56"/>
    </row>
    <row r="643" spans="2:13" ht="13.5" customHeight="1" thickBot="1" x14ac:dyDescent="0.25">
      <c r="B643" s="47">
        <f>SUM(C643:D643)</f>
        <v>45</v>
      </c>
      <c r="C643" s="47">
        <f>I643+F643</f>
        <v>45</v>
      </c>
      <c r="D643" s="47">
        <f>J643+G643</f>
        <v>0</v>
      </c>
      <c r="E643" s="47">
        <f>SUM(F643:G643)</f>
        <v>0</v>
      </c>
      <c r="F643" s="47">
        <v>0</v>
      </c>
      <c r="G643" s="47">
        <v>0</v>
      </c>
      <c r="H643" s="47">
        <f>SUM(I643:J643)</f>
        <v>45</v>
      </c>
      <c r="I643" s="47">
        <v>45</v>
      </c>
      <c r="J643" s="47">
        <v>0</v>
      </c>
      <c r="K643" s="188" t="s">
        <v>234</v>
      </c>
      <c r="L643" s="129" t="s">
        <v>522</v>
      </c>
      <c r="M643" s="56"/>
    </row>
    <row r="644" spans="2:13" ht="13.5" customHeight="1" thickBot="1" x14ac:dyDescent="0.25">
      <c r="B644" s="47">
        <f t="shared" ref="B644:J644" si="202">SUM(B642:B643)</f>
        <v>428</v>
      </c>
      <c r="C644" s="47">
        <f t="shared" si="202"/>
        <v>428</v>
      </c>
      <c r="D644" s="47">
        <f t="shared" si="202"/>
        <v>0</v>
      </c>
      <c r="E644" s="47">
        <f t="shared" si="202"/>
        <v>0</v>
      </c>
      <c r="F644" s="47">
        <f t="shared" si="202"/>
        <v>0</v>
      </c>
      <c r="G644" s="47">
        <f t="shared" si="202"/>
        <v>0</v>
      </c>
      <c r="H644" s="47">
        <f t="shared" si="202"/>
        <v>428</v>
      </c>
      <c r="I644" s="47">
        <f t="shared" si="202"/>
        <v>428</v>
      </c>
      <c r="J644" s="47">
        <f t="shared" si="202"/>
        <v>0</v>
      </c>
      <c r="K644" s="188" t="s">
        <v>12</v>
      </c>
      <c r="L644" s="130"/>
      <c r="M644" s="56"/>
    </row>
    <row r="645" spans="2:13" ht="13.5" customHeight="1" thickBot="1" x14ac:dyDescent="0.25">
      <c r="B645" s="47">
        <f>SUM(C645:D645)</f>
        <v>487</v>
      </c>
      <c r="C645" s="47">
        <f>I645+F645</f>
        <v>487</v>
      </c>
      <c r="D645" s="47">
        <f>J645+G645</f>
        <v>0</v>
      </c>
      <c r="E645" s="47">
        <f>SUM(F645:G645)</f>
        <v>0</v>
      </c>
      <c r="F645" s="47">
        <v>0</v>
      </c>
      <c r="G645" s="47">
        <v>0</v>
      </c>
      <c r="H645" s="47">
        <f>SUM(I645:J645)</f>
        <v>487</v>
      </c>
      <c r="I645" s="47">
        <f>437+50</f>
        <v>487</v>
      </c>
      <c r="J645" s="47">
        <v>0</v>
      </c>
      <c r="K645" s="188" t="s">
        <v>233</v>
      </c>
      <c r="L645" s="129"/>
      <c r="M645" s="56"/>
    </row>
    <row r="646" spans="2:13" ht="13.5" customHeight="1" thickBot="1" x14ac:dyDescent="0.25">
      <c r="B646" s="47">
        <f>SUM(C646:D646)</f>
        <v>0</v>
      </c>
      <c r="C646" s="47">
        <f>I646+F646</f>
        <v>0</v>
      </c>
      <c r="D646" s="47">
        <f>J646+G646</f>
        <v>0</v>
      </c>
      <c r="E646" s="47">
        <f>SUM(F646:G646)</f>
        <v>0</v>
      </c>
      <c r="F646" s="47">
        <v>0</v>
      </c>
      <c r="G646" s="47">
        <v>0</v>
      </c>
      <c r="H646" s="47">
        <f>SUM(I646:J646)</f>
        <v>0</v>
      </c>
      <c r="I646" s="47">
        <v>0</v>
      </c>
      <c r="J646" s="47">
        <v>0</v>
      </c>
      <c r="K646" s="188" t="s">
        <v>234</v>
      </c>
      <c r="L646" s="129" t="s">
        <v>523</v>
      </c>
      <c r="M646" s="56"/>
    </row>
    <row r="647" spans="2:13" ht="13.5" customHeight="1" thickBot="1" x14ac:dyDescent="0.25">
      <c r="B647" s="47">
        <f t="shared" ref="B647:J647" si="203">SUM(B645:B646)</f>
        <v>487</v>
      </c>
      <c r="C647" s="47">
        <f t="shared" si="203"/>
        <v>487</v>
      </c>
      <c r="D647" s="47">
        <f t="shared" si="203"/>
        <v>0</v>
      </c>
      <c r="E647" s="47">
        <f t="shared" si="203"/>
        <v>0</v>
      </c>
      <c r="F647" s="47">
        <f t="shared" si="203"/>
        <v>0</v>
      </c>
      <c r="G647" s="47">
        <f t="shared" si="203"/>
        <v>0</v>
      </c>
      <c r="H647" s="47">
        <f t="shared" si="203"/>
        <v>487</v>
      </c>
      <c r="I647" s="47">
        <f t="shared" si="203"/>
        <v>487</v>
      </c>
      <c r="J647" s="47">
        <f t="shared" si="203"/>
        <v>0</v>
      </c>
      <c r="K647" s="188" t="s">
        <v>12</v>
      </c>
      <c r="L647" s="130"/>
      <c r="M647" s="56"/>
    </row>
    <row r="648" spans="2:13" ht="13.5" customHeight="1" thickBot="1" x14ac:dyDescent="0.25">
      <c r="B648" s="47">
        <f>SUM(C648:D648)</f>
        <v>451</v>
      </c>
      <c r="C648" s="47">
        <f>I648+F648</f>
        <v>451</v>
      </c>
      <c r="D648" s="47">
        <f>J648+G648</f>
        <v>0</v>
      </c>
      <c r="E648" s="47">
        <f>SUM(F648:G648)</f>
        <v>0</v>
      </c>
      <c r="F648" s="47">
        <v>0</v>
      </c>
      <c r="G648" s="47">
        <v>0</v>
      </c>
      <c r="H648" s="47">
        <f>SUM(I648:J648)</f>
        <v>451</v>
      </c>
      <c r="I648" s="47">
        <f>421+30</f>
        <v>451</v>
      </c>
      <c r="J648" s="47">
        <v>0</v>
      </c>
      <c r="K648" s="188" t="s">
        <v>233</v>
      </c>
      <c r="L648" s="129"/>
      <c r="M648" s="56"/>
    </row>
    <row r="649" spans="2:13" ht="13.5" customHeight="1" thickBot="1" x14ac:dyDescent="0.25">
      <c r="B649" s="47">
        <f>SUM(C649:D649)</f>
        <v>41</v>
      </c>
      <c r="C649" s="47">
        <f>I649+F649</f>
        <v>41</v>
      </c>
      <c r="D649" s="47">
        <f>J649+G649</f>
        <v>0</v>
      </c>
      <c r="E649" s="47">
        <f>SUM(F649:G649)</f>
        <v>0</v>
      </c>
      <c r="F649" s="47">
        <v>0</v>
      </c>
      <c r="G649" s="47">
        <v>0</v>
      </c>
      <c r="H649" s="47">
        <f>SUM(I649:J649)</f>
        <v>41</v>
      </c>
      <c r="I649" s="47">
        <f>21+20</f>
        <v>41</v>
      </c>
      <c r="J649" s="47">
        <v>0</v>
      </c>
      <c r="K649" s="188" t="s">
        <v>234</v>
      </c>
      <c r="L649" s="129" t="s">
        <v>668</v>
      </c>
      <c r="M649" s="56"/>
    </row>
    <row r="650" spans="2:13" ht="13.5" customHeight="1" thickBot="1" x14ac:dyDescent="0.25">
      <c r="B650" s="47">
        <f t="shared" ref="B650:J650" si="204">SUM(B648:B649)</f>
        <v>492</v>
      </c>
      <c r="C650" s="47">
        <f t="shared" si="204"/>
        <v>492</v>
      </c>
      <c r="D650" s="47">
        <f t="shared" si="204"/>
        <v>0</v>
      </c>
      <c r="E650" s="47">
        <f t="shared" si="204"/>
        <v>0</v>
      </c>
      <c r="F650" s="47">
        <f t="shared" si="204"/>
        <v>0</v>
      </c>
      <c r="G650" s="47">
        <f t="shared" si="204"/>
        <v>0</v>
      </c>
      <c r="H650" s="47">
        <f t="shared" si="204"/>
        <v>492</v>
      </c>
      <c r="I650" s="47">
        <f t="shared" si="204"/>
        <v>492</v>
      </c>
      <c r="J650" s="47">
        <f t="shared" si="204"/>
        <v>0</v>
      </c>
      <c r="K650" s="188" t="s">
        <v>12</v>
      </c>
      <c r="L650" s="130"/>
      <c r="M650" s="56"/>
    </row>
    <row r="651" spans="2:13" ht="13.5" customHeight="1" thickBot="1" x14ac:dyDescent="0.25">
      <c r="B651" s="47">
        <f t="shared" ref="B651:J653" si="205">B633+B636+B639+B642+B645+B648</f>
        <v>2227</v>
      </c>
      <c r="C651" s="47">
        <f t="shared" si="205"/>
        <v>1751</v>
      </c>
      <c r="D651" s="47">
        <f t="shared" si="205"/>
        <v>476</v>
      </c>
      <c r="E651" s="47">
        <f t="shared" si="205"/>
        <v>0</v>
      </c>
      <c r="F651" s="47">
        <f t="shared" si="205"/>
        <v>0</v>
      </c>
      <c r="G651" s="47">
        <f t="shared" si="205"/>
        <v>0</v>
      </c>
      <c r="H651" s="47">
        <f t="shared" si="205"/>
        <v>2227</v>
      </c>
      <c r="I651" s="47">
        <f t="shared" si="205"/>
        <v>1751</v>
      </c>
      <c r="J651" s="47">
        <f t="shared" si="205"/>
        <v>476</v>
      </c>
      <c r="K651" s="188" t="s">
        <v>236</v>
      </c>
      <c r="L651" s="131"/>
      <c r="M651" s="56"/>
    </row>
    <row r="652" spans="2:13" ht="13.5" customHeight="1" thickBot="1" x14ac:dyDescent="0.25">
      <c r="B652" s="47">
        <f t="shared" si="205"/>
        <v>86</v>
      </c>
      <c r="C652" s="47">
        <f t="shared" si="205"/>
        <v>86</v>
      </c>
      <c r="D652" s="47">
        <f t="shared" si="205"/>
        <v>0</v>
      </c>
      <c r="E652" s="47">
        <f t="shared" si="205"/>
        <v>0</v>
      </c>
      <c r="F652" s="47">
        <f t="shared" si="205"/>
        <v>0</v>
      </c>
      <c r="G652" s="47">
        <f t="shared" si="205"/>
        <v>0</v>
      </c>
      <c r="H652" s="47">
        <f t="shared" si="205"/>
        <v>86</v>
      </c>
      <c r="I652" s="47">
        <f t="shared" si="205"/>
        <v>86</v>
      </c>
      <c r="J652" s="47">
        <f t="shared" si="205"/>
        <v>0</v>
      </c>
      <c r="K652" s="188" t="s">
        <v>237</v>
      </c>
      <c r="L652" s="132" t="s">
        <v>188</v>
      </c>
      <c r="M652" s="56"/>
    </row>
    <row r="653" spans="2:13" ht="13.5" customHeight="1" thickBot="1" x14ac:dyDescent="0.25">
      <c r="B653" s="47">
        <f t="shared" si="205"/>
        <v>2313</v>
      </c>
      <c r="C653" s="47">
        <f t="shared" si="205"/>
        <v>1837</v>
      </c>
      <c r="D653" s="47">
        <f t="shared" si="205"/>
        <v>476</v>
      </c>
      <c r="E653" s="47">
        <f t="shared" si="205"/>
        <v>0</v>
      </c>
      <c r="F653" s="47">
        <f t="shared" si="205"/>
        <v>0</v>
      </c>
      <c r="G653" s="47">
        <f t="shared" si="205"/>
        <v>0</v>
      </c>
      <c r="H653" s="47">
        <f t="shared" si="205"/>
        <v>2313</v>
      </c>
      <c r="I653" s="47">
        <f t="shared" si="205"/>
        <v>1837</v>
      </c>
      <c r="J653" s="47">
        <f t="shared" si="205"/>
        <v>476</v>
      </c>
      <c r="K653" s="188" t="s">
        <v>12</v>
      </c>
      <c r="L653" s="133"/>
      <c r="M653" s="56"/>
    </row>
    <row r="654" spans="2:13" ht="13.5" customHeight="1" thickBot="1" x14ac:dyDescent="0.25">
      <c r="B654" s="476" t="s">
        <v>4</v>
      </c>
      <c r="C654" s="476"/>
      <c r="D654" s="476"/>
      <c r="E654" s="476" t="s">
        <v>145</v>
      </c>
      <c r="F654" s="476"/>
      <c r="G654" s="476"/>
      <c r="H654" s="476" t="s">
        <v>146</v>
      </c>
      <c r="I654" s="476"/>
      <c r="J654" s="476"/>
      <c r="K654" s="479" t="s">
        <v>66</v>
      </c>
      <c r="L654" s="479"/>
      <c r="M654" s="56"/>
    </row>
    <row r="655" spans="2:13" ht="13.5" customHeight="1" thickBot="1" x14ac:dyDescent="0.25">
      <c r="B655" s="185" t="s">
        <v>227</v>
      </c>
      <c r="C655" s="185" t="s">
        <v>10</v>
      </c>
      <c r="D655" s="185" t="s">
        <v>9</v>
      </c>
      <c r="E655" s="185" t="s">
        <v>227</v>
      </c>
      <c r="F655" s="185" t="s">
        <v>10</v>
      </c>
      <c r="G655" s="185" t="s">
        <v>9</v>
      </c>
      <c r="H655" s="185" t="s">
        <v>227</v>
      </c>
      <c r="I655" s="185" t="s">
        <v>10</v>
      </c>
      <c r="J655" s="185" t="s">
        <v>9</v>
      </c>
      <c r="K655" s="480" t="s">
        <v>119</v>
      </c>
      <c r="L655" s="480"/>
      <c r="M655" s="56"/>
    </row>
    <row r="656" spans="2:13" ht="13.5" customHeight="1" thickBot="1" x14ac:dyDescent="0.25">
      <c r="B656" s="47">
        <f>SUM(C656:D656)</f>
        <v>386</v>
      </c>
      <c r="C656" s="47">
        <f>I656+F656</f>
        <v>386</v>
      </c>
      <c r="D656" s="47">
        <f>J656+G656</f>
        <v>0</v>
      </c>
      <c r="E656" s="47">
        <f>SUM(F656:G656)</f>
        <v>0</v>
      </c>
      <c r="F656" s="47">
        <v>0</v>
      </c>
      <c r="G656" s="47">
        <v>0</v>
      </c>
      <c r="H656" s="47">
        <f>SUM(I656:J656)</f>
        <v>386</v>
      </c>
      <c r="I656" s="47">
        <v>386</v>
      </c>
      <c r="J656" s="47">
        <v>0</v>
      </c>
      <c r="K656" s="188" t="s">
        <v>233</v>
      </c>
      <c r="L656" s="293"/>
      <c r="M656" s="56"/>
    </row>
    <row r="657" spans="2:13" ht="13.5" customHeight="1" thickBot="1" x14ac:dyDescent="0.25">
      <c r="B657" s="47">
        <f>SUM(C657:D657)</f>
        <v>32</v>
      </c>
      <c r="C657" s="47">
        <f>I657+F657</f>
        <v>32</v>
      </c>
      <c r="D657" s="47">
        <f>J657+G657</f>
        <v>0</v>
      </c>
      <c r="E657" s="47">
        <f>SUM(F657:G657)</f>
        <v>0</v>
      </c>
      <c r="F657" s="47">
        <v>0</v>
      </c>
      <c r="G657" s="47">
        <v>0</v>
      </c>
      <c r="H657" s="47">
        <f>SUM(I657:J657)</f>
        <v>32</v>
      </c>
      <c r="I657" s="47">
        <v>32</v>
      </c>
      <c r="J657" s="47">
        <v>0</v>
      </c>
      <c r="K657" s="188" t="s">
        <v>234</v>
      </c>
      <c r="L657" s="293" t="s">
        <v>726</v>
      </c>
      <c r="M657" s="56"/>
    </row>
    <row r="658" spans="2:13" ht="13.5" customHeight="1" thickBot="1" x14ac:dyDescent="0.25">
      <c r="B658" s="47">
        <f t="shared" ref="B658:J658" si="206">SUM(B656:B657)</f>
        <v>418</v>
      </c>
      <c r="C658" s="47">
        <f t="shared" si="206"/>
        <v>418</v>
      </c>
      <c r="D658" s="47">
        <f t="shared" si="206"/>
        <v>0</v>
      </c>
      <c r="E658" s="47">
        <f t="shared" si="206"/>
        <v>0</v>
      </c>
      <c r="F658" s="47">
        <f t="shared" si="206"/>
        <v>0</v>
      </c>
      <c r="G658" s="47">
        <f t="shared" si="206"/>
        <v>0</v>
      </c>
      <c r="H658" s="47">
        <f t="shared" si="206"/>
        <v>418</v>
      </c>
      <c r="I658" s="47">
        <f t="shared" si="206"/>
        <v>418</v>
      </c>
      <c r="J658" s="47">
        <f t="shared" si="206"/>
        <v>0</v>
      </c>
      <c r="K658" s="188" t="s">
        <v>12</v>
      </c>
      <c r="L658" s="285"/>
      <c r="M658" s="56"/>
    </row>
    <row r="659" spans="2:13" ht="13.5" customHeight="1" thickBot="1" x14ac:dyDescent="0.25">
      <c r="B659" s="47">
        <f>SUM(C659:D659)</f>
        <v>204</v>
      </c>
      <c r="C659" s="47">
        <f>I659+F659</f>
        <v>204</v>
      </c>
      <c r="D659" s="47">
        <f>J659+G659</f>
        <v>0</v>
      </c>
      <c r="E659" s="47">
        <f>SUM(F659:G659)</f>
        <v>0</v>
      </c>
      <c r="F659" s="47">
        <v>0</v>
      </c>
      <c r="G659" s="47">
        <v>0</v>
      </c>
      <c r="H659" s="47">
        <f>SUM(I659:J659)</f>
        <v>204</v>
      </c>
      <c r="I659" s="47">
        <v>204</v>
      </c>
      <c r="J659" s="47">
        <v>0</v>
      </c>
      <c r="K659" s="188" t="s">
        <v>233</v>
      </c>
      <c r="L659" s="293"/>
      <c r="M659" s="56"/>
    </row>
    <row r="660" spans="2:13" ht="13.5" customHeight="1" thickBot="1" x14ac:dyDescent="0.25">
      <c r="B660" s="47">
        <f>SUM(C660:D660)</f>
        <v>18</v>
      </c>
      <c r="C660" s="47">
        <f>I660+F660</f>
        <v>18</v>
      </c>
      <c r="D660" s="47">
        <f>J660+G660</f>
        <v>0</v>
      </c>
      <c r="E660" s="47">
        <f>SUM(F660:G660)</f>
        <v>0</v>
      </c>
      <c r="F660" s="47">
        <v>0</v>
      </c>
      <c r="G660" s="47">
        <v>0</v>
      </c>
      <c r="H660" s="47">
        <f>SUM(I660:J660)</f>
        <v>18</v>
      </c>
      <c r="I660" s="47">
        <v>18</v>
      </c>
      <c r="J660" s="47">
        <v>0</v>
      </c>
      <c r="K660" s="188" t="s">
        <v>234</v>
      </c>
      <c r="L660" s="293" t="s">
        <v>526</v>
      </c>
      <c r="M660" s="56"/>
    </row>
    <row r="661" spans="2:13" ht="13.5" customHeight="1" thickBot="1" x14ac:dyDescent="0.25">
      <c r="B661" s="47">
        <f t="shared" ref="B661:J661" si="207">SUM(B659:B660)</f>
        <v>222</v>
      </c>
      <c r="C661" s="47">
        <f t="shared" si="207"/>
        <v>222</v>
      </c>
      <c r="D661" s="47">
        <f t="shared" si="207"/>
        <v>0</v>
      </c>
      <c r="E661" s="47">
        <f t="shared" si="207"/>
        <v>0</v>
      </c>
      <c r="F661" s="47">
        <f t="shared" si="207"/>
        <v>0</v>
      </c>
      <c r="G661" s="47">
        <f t="shared" si="207"/>
        <v>0</v>
      </c>
      <c r="H661" s="47">
        <f t="shared" si="207"/>
        <v>222</v>
      </c>
      <c r="I661" s="47">
        <f t="shared" si="207"/>
        <v>222</v>
      </c>
      <c r="J661" s="47">
        <f t="shared" si="207"/>
        <v>0</v>
      </c>
      <c r="K661" s="188" t="s">
        <v>12</v>
      </c>
      <c r="L661" s="285"/>
      <c r="M661" s="56"/>
    </row>
    <row r="662" spans="2:13" ht="13.5" customHeight="1" thickBot="1" x14ac:dyDescent="0.25">
      <c r="B662" s="47">
        <f>SUM(C662:D662)</f>
        <v>538</v>
      </c>
      <c r="C662" s="47">
        <f>I662+F662</f>
        <v>538</v>
      </c>
      <c r="D662" s="47">
        <f>J662+G662</f>
        <v>0</v>
      </c>
      <c r="E662" s="47">
        <f>SUM(F662:G662)</f>
        <v>0</v>
      </c>
      <c r="F662" s="47">
        <v>0</v>
      </c>
      <c r="G662" s="47">
        <v>0</v>
      </c>
      <c r="H662" s="47">
        <f>SUM(I662:J662)</f>
        <v>538</v>
      </c>
      <c r="I662" s="47">
        <v>538</v>
      </c>
      <c r="J662" s="47">
        <v>0</v>
      </c>
      <c r="K662" s="188" t="s">
        <v>233</v>
      </c>
      <c r="L662" s="293"/>
      <c r="M662" s="56"/>
    </row>
    <row r="663" spans="2:13" ht="13.5" customHeight="1" thickBot="1" x14ac:dyDescent="0.25">
      <c r="B663" s="47">
        <f>SUM(C663:D663)</f>
        <v>0</v>
      </c>
      <c r="C663" s="47">
        <f>I663+F663</f>
        <v>0</v>
      </c>
      <c r="D663" s="47">
        <f>J663+G663</f>
        <v>0</v>
      </c>
      <c r="E663" s="47">
        <f>SUM(F663:G663)</f>
        <v>0</v>
      </c>
      <c r="F663" s="47">
        <v>0</v>
      </c>
      <c r="G663" s="47">
        <v>0</v>
      </c>
      <c r="H663" s="47">
        <f>SUM(I663:J663)</f>
        <v>0</v>
      </c>
      <c r="I663" s="47">
        <v>0</v>
      </c>
      <c r="J663" s="47">
        <v>0</v>
      </c>
      <c r="K663" s="188" t="s">
        <v>234</v>
      </c>
      <c r="L663" s="293" t="s">
        <v>455</v>
      </c>
      <c r="M663" s="56"/>
    </row>
    <row r="664" spans="2:13" ht="13.5" customHeight="1" thickBot="1" x14ac:dyDescent="0.25">
      <c r="B664" s="47">
        <f t="shared" ref="B664:J664" si="208">SUM(B662:B663)</f>
        <v>538</v>
      </c>
      <c r="C664" s="47">
        <f t="shared" si="208"/>
        <v>538</v>
      </c>
      <c r="D664" s="47">
        <f t="shared" si="208"/>
        <v>0</v>
      </c>
      <c r="E664" s="47">
        <f t="shared" si="208"/>
        <v>0</v>
      </c>
      <c r="F664" s="47">
        <f t="shared" si="208"/>
        <v>0</v>
      </c>
      <c r="G664" s="47">
        <f t="shared" si="208"/>
        <v>0</v>
      </c>
      <c r="H664" s="47">
        <f t="shared" si="208"/>
        <v>538</v>
      </c>
      <c r="I664" s="47">
        <f t="shared" si="208"/>
        <v>538</v>
      </c>
      <c r="J664" s="47">
        <f t="shared" si="208"/>
        <v>0</v>
      </c>
      <c r="K664" s="188" t="s">
        <v>12</v>
      </c>
      <c r="L664" s="285"/>
      <c r="M664" s="56"/>
    </row>
    <row r="665" spans="2:13" ht="13.5" customHeight="1" thickBot="1" x14ac:dyDescent="0.25">
      <c r="B665" s="47">
        <f t="shared" ref="B665:J667" si="209">B656+B659+B662</f>
        <v>1128</v>
      </c>
      <c r="C665" s="47">
        <f t="shared" si="209"/>
        <v>1128</v>
      </c>
      <c r="D665" s="47">
        <f t="shared" si="209"/>
        <v>0</v>
      </c>
      <c r="E665" s="47">
        <f t="shared" si="209"/>
        <v>0</v>
      </c>
      <c r="F665" s="47">
        <f t="shared" si="209"/>
        <v>0</v>
      </c>
      <c r="G665" s="47">
        <f t="shared" si="209"/>
        <v>0</v>
      </c>
      <c r="H665" s="47">
        <f t="shared" si="209"/>
        <v>1128</v>
      </c>
      <c r="I665" s="47">
        <f t="shared" si="209"/>
        <v>1128</v>
      </c>
      <c r="J665" s="47">
        <f t="shared" si="209"/>
        <v>0</v>
      </c>
      <c r="K665" s="188" t="s">
        <v>236</v>
      </c>
      <c r="L665" s="250"/>
      <c r="M665" s="56"/>
    </row>
    <row r="666" spans="2:13" ht="13.5" customHeight="1" thickBot="1" x14ac:dyDescent="0.25">
      <c r="B666" s="47">
        <f t="shared" si="209"/>
        <v>50</v>
      </c>
      <c r="C666" s="47">
        <f t="shared" si="209"/>
        <v>50</v>
      </c>
      <c r="D666" s="47">
        <f t="shared" si="209"/>
        <v>0</v>
      </c>
      <c r="E666" s="47">
        <f t="shared" si="209"/>
        <v>0</v>
      </c>
      <c r="F666" s="47">
        <f t="shared" si="209"/>
        <v>0</v>
      </c>
      <c r="G666" s="47">
        <f t="shared" si="209"/>
        <v>0</v>
      </c>
      <c r="H666" s="47">
        <f t="shared" si="209"/>
        <v>50</v>
      </c>
      <c r="I666" s="47">
        <f t="shared" si="209"/>
        <v>50</v>
      </c>
      <c r="J666" s="47">
        <f t="shared" si="209"/>
        <v>0</v>
      </c>
      <c r="K666" s="188" t="s">
        <v>237</v>
      </c>
      <c r="L666" s="251" t="s">
        <v>188</v>
      </c>
      <c r="M666" s="56"/>
    </row>
    <row r="667" spans="2:13" ht="13.5" customHeight="1" thickBot="1" x14ac:dyDescent="0.25">
      <c r="B667" s="47">
        <f t="shared" si="209"/>
        <v>1178</v>
      </c>
      <c r="C667" s="47">
        <f t="shared" si="209"/>
        <v>1178</v>
      </c>
      <c r="D667" s="47">
        <f t="shared" si="209"/>
        <v>0</v>
      </c>
      <c r="E667" s="47">
        <f t="shared" si="209"/>
        <v>0</v>
      </c>
      <c r="F667" s="47">
        <f t="shared" si="209"/>
        <v>0</v>
      </c>
      <c r="G667" s="47">
        <f t="shared" si="209"/>
        <v>0</v>
      </c>
      <c r="H667" s="47">
        <f t="shared" si="209"/>
        <v>1178</v>
      </c>
      <c r="I667" s="47">
        <f t="shared" si="209"/>
        <v>1178</v>
      </c>
      <c r="J667" s="47">
        <f t="shared" si="209"/>
        <v>0</v>
      </c>
      <c r="K667" s="188" t="s">
        <v>12</v>
      </c>
      <c r="L667" s="187"/>
      <c r="M667" s="56"/>
    </row>
    <row r="668" spans="2:13" ht="13.5" customHeight="1" thickBot="1" x14ac:dyDescent="0.25">
      <c r="B668" s="476" t="s">
        <v>4</v>
      </c>
      <c r="C668" s="476"/>
      <c r="D668" s="476"/>
      <c r="E668" s="476" t="s">
        <v>145</v>
      </c>
      <c r="F668" s="476"/>
      <c r="G668" s="476"/>
      <c r="H668" s="476" t="s">
        <v>146</v>
      </c>
      <c r="I668" s="476"/>
      <c r="J668" s="476"/>
      <c r="K668" s="479" t="s">
        <v>66</v>
      </c>
      <c r="L668" s="479"/>
      <c r="M668" s="56"/>
    </row>
    <row r="669" spans="2:13" ht="13.5" customHeight="1" thickBot="1" x14ac:dyDescent="0.25">
      <c r="B669" s="185" t="s">
        <v>227</v>
      </c>
      <c r="C669" s="185" t="s">
        <v>10</v>
      </c>
      <c r="D669" s="185" t="s">
        <v>9</v>
      </c>
      <c r="E669" s="185" t="s">
        <v>227</v>
      </c>
      <c r="F669" s="185" t="s">
        <v>10</v>
      </c>
      <c r="G669" s="185" t="s">
        <v>9</v>
      </c>
      <c r="H669" s="185" t="s">
        <v>227</v>
      </c>
      <c r="I669" s="185" t="s">
        <v>10</v>
      </c>
      <c r="J669" s="185" t="s">
        <v>9</v>
      </c>
      <c r="K669" s="480" t="s">
        <v>121</v>
      </c>
      <c r="L669" s="480"/>
      <c r="M669" s="56"/>
    </row>
    <row r="670" spans="2:13" ht="13.5" customHeight="1" thickBot="1" x14ac:dyDescent="0.25">
      <c r="B670" s="47">
        <f>SUM(C670:D670)</f>
        <v>367</v>
      </c>
      <c r="C670" s="47">
        <f>I670+F670</f>
        <v>367</v>
      </c>
      <c r="D670" s="47">
        <f>J670+G670</f>
        <v>0</v>
      </c>
      <c r="E670" s="47">
        <f>SUM(F670:G670)</f>
        <v>3</v>
      </c>
      <c r="F670" s="47">
        <v>3</v>
      </c>
      <c r="G670" s="47">
        <v>0</v>
      </c>
      <c r="H670" s="47">
        <f>SUM(I670:J670)</f>
        <v>364</v>
      </c>
      <c r="I670" s="47">
        <f>358+6</f>
        <v>364</v>
      </c>
      <c r="J670" s="47">
        <v>0</v>
      </c>
      <c r="K670" s="188" t="s">
        <v>233</v>
      </c>
      <c r="L670" s="129"/>
      <c r="M670" s="56"/>
    </row>
    <row r="671" spans="2:13" ht="13.5" customHeight="1" thickBot="1" x14ac:dyDescent="0.25">
      <c r="B671" s="47">
        <f>SUM(C671:D671)</f>
        <v>0</v>
      </c>
      <c r="C671" s="47">
        <f>I671+F671</f>
        <v>0</v>
      </c>
      <c r="D671" s="47">
        <f>J671+G671</f>
        <v>0</v>
      </c>
      <c r="E671" s="47">
        <f>SUM(F671:G671)</f>
        <v>0</v>
      </c>
      <c r="F671" s="47">
        <v>0</v>
      </c>
      <c r="G671" s="47">
        <v>0</v>
      </c>
      <c r="H671" s="47">
        <f>SUM(I671:J671)</f>
        <v>0</v>
      </c>
      <c r="I671" s="47">
        <v>0</v>
      </c>
      <c r="J671" s="47">
        <v>0</v>
      </c>
      <c r="K671" s="188" t="s">
        <v>234</v>
      </c>
      <c r="L671" s="129" t="s">
        <v>529</v>
      </c>
      <c r="M671" s="56"/>
    </row>
    <row r="672" spans="2:13" ht="13.5" customHeight="1" thickBot="1" x14ac:dyDescent="0.25">
      <c r="B672" s="47">
        <f t="shared" ref="B672:J672" si="210">SUM(B670:B671)</f>
        <v>367</v>
      </c>
      <c r="C672" s="47">
        <f t="shared" si="210"/>
        <v>367</v>
      </c>
      <c r="D672" s="47">
        <f t="shared" si="210"/>
        <v>0</v>
      </c>
      <c r="E672" s="47">
        <f t="shared" si="210"/>
        <v>3</v>
      </c>
      <c r="F672" s="47">
        <f t="shared" si="210"/>
        <v>3</v>
      </c>
      <c r="G672" s="47">
        <f t="shared" si="210"/>
        <v>0</v>
      </c>
      <c r="H672" s="47">
        <f t="shared" si="210"/>
        <v>364</v>
      </c>
      <c r="I672" s="47">
        <f t="shared" si="210"/>
        <v>364</v>
      </c>
      <c r="J672" s="47">
        <f t="shared" si="210"/>
        <v>0</v>
      </c>
      <c r="K672" s="188" t="s">
        <v>12</v>
      </c>
      <c r="L672" s="130"/>
      <c r="M672" s="56"/>
    </row>
    <row r="673" spans="2:13" ht="13.5" customHeight="1" thickBot="1" x14ac:dyDescent="0.25">
      <c r="B673" s="47">
        <f>SUM(C673:D673)</f>
        <v>695</v>
      </c>
      <c r="C673" s="47">
        <f>I673+F673</f>
        <v>695</v>
      </c>
      <c r="D673" s="47">
        <f>J673+G673</f>
        <v>0</v>
      </c>
      <c r="E673" s="47">
        <f>SUM(F673:G673)</f>
        <v>5</v>
      </c>
      <c r="F673" s="47">
        <v>5</v>
      </c>
      <c r="G673" s="47">
        <v>0</v>
      </c>
      <c r="H673" s="47">
        <f>SUM(I673:J673)</f>
        <v>690</v>
      </c>
      <c r="I673" s="47">
        <f>639+51</f>
        <v>690</v>
      </c>
      <c r="J673" s="47">
        <v>0</v>
      </c>
      <c r="K673" s="188" t="s">
        <v>233</v>
      </c>
      <c r="L673" s="129"/>
      <c r="M673" s="56"/>
    </row>
    <row r="674" spans="2:13" ht="13.5" customHeight="1" thickBot="1" x14ac:dyDescent="0.25">
      <c r="B674" s="47">
        <f>SUM(C674:D674)</f>
        <v>95</v>
      </c>
      <c r="C674" s="47">
        <f>I674+F674</f>
        <v>95</v>
      </c>
      <c r="D674" s="47">
        <f>J674+G674</f>
        <v>0</v>
      </c>
      <c r="E674" s="47">
        <f>SUM(F674:G674)</f>
        <v>0</v>
      </c>
      <c r="F674" s="47">
        <v>0</v>
      </c>
      <c r="G674" s="47">
        <v>0</v>
      </c>
      <c r="H674" s="47">
        <f>SUM(I674:J674)</f>
        <v>95</v>
      </c>
      <c r="I674" s="47">
        <f>55+40</f>
        <v>95</v>
      </c>
      <c r="J674" s="47">
        <v>0</v>
      </c>
      <c r="K674" s="188" t="s">
        <v>234</v>
      </c>
      <c r="L674" s="129" t="s">
        <v>530</v>
      </c>
      <c r="M674" s="56"/>
    </row>
    <row r="675" spans="2:13" ht="13.5" customHeight="1" thickBot="1" x14ac:dyDescent="0.25">
      <c r="B675" s="47">
        <f t="shared" ref="B675:J675" si="211">SUM(B673:B674)</f>
        <v>790</v>
      </c>
      <c r="C675" s="47">
        <f t="shared" si="211"/>
        <v>790</v>
      </c>
      <c r="D675" s="47">
        <f t="shared" si="211"/>
        <v>0</v>
      </c>
      <c r="E675" s="47">
        <f t="shared" si="211"/>
        <v>5</v>
      </c>
      <c r="F675" s="47">
        <f t="shared" si="211"/>
        <v>5</v>
      </c>
      <c r="G675" s="47">
        <f t="shared" si="211"/>
        <v>0</v>
      </c>
      <c r="H675" s="47">
        <f t="shared" si="211"/>
        <v>785</v>
      </c>
      <c r="I675" s="47">
        <f t="shared" si="211"/>
        <v>785</v>
      </c>
      <c r="J675" s="47">
        <f t="shared" si="211"/>
        <v>0</v>
      </c>
      <c r="K675" s="188" t="s">
        <v>12</v>
      </c>
      <c r="L675" s="130"/>
      <c r="M675" s="56"/>
    </row>
    <row r="676" spans="2:13" ht="13.5" customHeight="1" thickBot="1" x14ac:dyDescent="0.25">
      <c r="B676" s="47">
        <f>SUM(C676:D676)</f>
        <v>523</v>
      </c>
      <c r="C676" s="47">
        <f>I676+F676</f>
        <v>523</v>
      </c>
      <c r="D676" s="47">
        <f>J676+G676</f>
        <v>0</v>
      </c>
      <c r="E676" s="47">
        <f>SUM(F676:G676)</f>
        <v>0</v>
      </c>
      <c r="F676" s="47">
        <v>0</v>
      </c>
      <c r="G676" s="47">
        <v>0</v>
      </c>
      <c r="H676" s="47">
        <f>SUM(I676:J676)</f>
        <v>523</v>
      </c>
      <c r="I676" s="47">
        <f>432+91</f>
        <v>523</v>
      </c>
      <c r="J676" s="47">
        <v>0</v>
      </c>
      <c r="K676" s="188" t="s">
        <v>233</v>
      </c>
      <c r="L676" s="129"/>
      <c r="M676" s="56"/>
    </row>
    <row r="677" spans="2:13" ht="13.5" customHeight="1" thickBot="1" x14ac:dyDescent="0.25">
      <c r="B677" s="47">
        <f>SUM(C677:D677)</f>
        <v>0</v>
      </c>
      <c r="C677" s="47">
        <f>I677+F677</f>
        <v>0</v>
      </c>
      <c r="D677" s="47">
        <f>J677+G677</f>
        <v>0</v>
      </c>
      <c r="E677" s="47">
        <f>SUM(F677:G677)</f>
        <v>0</v>
      </c>
      <c r="F677" s="47">
        <v>0</v>
      </c>
      <c r="G677" s="47">
        <v>0</v>
      </c>
      <c r="H677" s="47">
        <f>SUM(I677:J677)</f>
        <v>0</v>
      </c>
      <c r="I677" s="47">
        <v>0</v>
      </c>
      <c r="J677" s="47">
        <v>0</v>
      </c>
      <c r="K677" s="188" t="s">
        <v>234</v>
      </c>
      <c r="L677" s="129" t="s">
        <v>531</v>
      </c>
      <c r="M677" s="56"/>
    </row>
    <row r="678" spans="2:13" ht="13.5" customHeight="1" thickBot="1" x14ac:dyDescent="0.25">
      <c r="B678" s="47">
        <f t="shared" ref="B678:J678" si="212">SUM(B676:B677)</f>
        <v>523</v>
      </c>
      <c r="C678" s="47">
        <f t="shared" si="212"/>
        <v>523</v>
      </c>
      <c r="D678" s="47">
        <f t="shared" si="212"/>
        <v>0</v>
      </c>
      <c r="E678" s="47">
        <f t="shared" si="212"/>
        <v>0</v>
      </c>
      <c r="F678" s="47">
        <f t="shared" si="212"/>
        <v>0</v>
      </c>
      <c r="G678" s="47">
        <f t="shared" si="212"/>
        <v>0</v>
      </c>
      <c r="H678" s="47">
        <f t="shared" si="212"/>
        <v>523</v>
      </c>
      <c r="I678" s="47">
        <f t="shared" si="212"/>
        <v>523</v>
      </c>
      <c r="J678" s="47">
        <f t="shared" si="212"/>
        <v>0</v>
      </c>
      <c r="K678" s="188" t="s">
        <v>12</v>
      </c>
      <c r="L678" s="130"/>
      <c r="M678" s="56"/>
    </row>
    <row r="679" spans="2:13" ht="13.5" customHeight="1" thickBot="1" x14ac:dyDescent="0.25">
      <c r="B679" s="47">
        <f>SUM(C679:D679)</f>
        <v>308</v>
      </c>
      <c r="C679" s="47">
        <f>I679+F679</f>
        <v>308</v>
      </c>
      <c r="D679" s="47">
        <f>J679+G679</f>
        <v>0</v>
      </c>
      <c r="E679" s="47">
        <f>SUM(F679:G679)</f>
        <v>0</v>
      </c>
      <c r="F679" s="47">
        <v>0</v>
      </c>
      <c r="G679" s="47">
        <v>0</v>
      </c>
      <c r="H679" s="47">
        <f>SUM(I679:J679)</f>
        <v>308</v>
      </c>
      <c r="I679" s="47">
        <f>217+91</f>
        <v>308</v>
      </c>
      <c r="J679" s="47">
        <v>0</v>
      </c>
      <c r="K679" s="188" t="s">
        <v>233</v>
      </c>
      <c r="L679" s="129"/>
      <c r="M679" s="56"/>
    </row>
    <row r="680" spans="2:13" ht="13.5" customHeight="1" thickBot="1" x14ac:dyDescent="0.25">
      <c r="B680" s="47">
        <f>SUM(C680:D680)</f>
        <v>0</v>
      </c>
      <c r="C680" s="47">
        <f>I680+F680</f>
        <v>0</v>
      </c>
      <c r="D680" s="47">
        <f>J680+G680</f>
        <v>0</v>
      </c>
      <c r="E680" s="47">
        <f>SUM(F680:G680)</f>
        <v>0</v>
      </c>
      <c r="F680" s="47">
        <v>0</v>
      </c>
      <c r="G680" s="47">
        <v>0</v>
      </c>
      <c r="H680" s="47">
        <f>SUM(I680:J680)</f>
        <v>0</v>
      </c>
      <c r="I680" s="47">
        <v>0</v>
      </c>
      <c r="J680" s="47">
        <v>0</v>
      </c>
      <c r="K680" s="188" t="s">
        <v>234</v>
      </c>
      <c r="L680" s="129" t="s">
        <v>532</v>
      </c>
      <c r="M680" s="56"/>
    </row>
    <row r="681" spans="2:13" ht="13.5" customHeight="1" thickBot="1" x14ac:dyDescent="0.25">
      <c r="B681" s="47">
        <f t="shared" ref="B681:J681" si="213">SUM(B679:B680)</f>
        <v>308</v>
      </c>
      <c r="C681" s="47">
        <f t="shared" si="213"/>
        <v>308</v>
      </c>
      <c r="D681" s="47">
        <f t="shared" si="213"/>
        <v>0</v>
      </c>
      <c r="E681" s="47">
        <f t="shared" si="213"/>
        <v>0</v>
      </c>
      <c r="F681" s="47">
        <f t="shared" si="213"/>
        <v>0</v>
      </c>
      <c r="G681" s="47">
        <f t="shared" si="213"/>
        <v>0</v>
      </c>
      <c r="H681" s="47">
        <f t="shared" si="213"/>
        <v>308</v>
      </c>
      <c r="I681" s="47">
        <f t="shared" si="213"/>
        <v>308</v>
      </c>
      <c r="J681" s="47">
        <f t="shared" si="213"/>
        <v>0</v>
      </c>
      <c r="K681" s="188" t="s">
        <v>12</v>
      </c>
      <c r="L681" s="130"/>
      <c r="M681" s="56"/>
    </row>
    <row r="682" spans="2:13" ht="13.5" customHeight="1" thickBot="1" x14ac:dyDescent="0.25">
      <c r="B682" s="47">
        <f>SUM(C682:D682)</f>
        <v>859</v>
      </c>
      <c r="C682" s="47">
        <f>I682+F682</f>
        <v>859</v>
      </c>
      <c r="D682" s="47">
        <f>J682+G682</f>
        <v>0</v>
      </c>
      <c r="E682" s="47">
        <f>SUM(F682:G682)</f>
        <v>0</v>
      </c>
      <c r="F682" s="47">
        <v>0</v>
      </c>
      <c r="G682" s="47">
        <v>0</v>
      </c>
      <c r="H682" s="47">
        <f>SUM(I682:J682)</f>
        <v>859</v>
      </c>
      <c r="I682" s="47">
        <f>819+40</f>
        <v>859</v>
      </c>
      <c r="J682" s="47">
        <v>0</v>
      </c>
      <c r="K682" s="188" t="s">
        <v>233</v>
      </c>
      <c r="L682" s="129"/>
      <c r="M682" s="56"/>
    </row>
    <row r="683" spans="2:13" ht="13.5" customHeight="1" thickBot="1" x14ac:dyDescent="0.25">
      <c r="B683" s="47">
        <f>SUM(C683:D683)</f>
        <v>101</v>
      </c>
      <c r="C683" s="47">
        <f>I683+F683</f>
        <v>101</v>
      </c>
      <c r="D683" s="47">
        <f>J683+G683</f>
        <v>0</v>
      </c>
      <c r="E683" s="47">
        <f>SUM(F683:G683)</f>
        <v>0</v>
      </c>
      <c r="F683" s="47">
        <v>0</v>
      </c>
      <c r="G683" s="47">
        <v>0</v>
      </c>
      <c r="H683" s="47">
        <f>SUM(I683:J683)</f>
        <v>101</v>
      </c>
      <c r="I683" s="47">
        <f>50+51</f>
        <v>101</v>
      </c>
      <c r="J683" s="47">
        <v>0</v>
      </c>
      <c r="K683" s="188" t="s">
        <v>234</v>
      </c>
      <c r="L683" s="129" t="s">
        <v>533</v>
      </c>
      <c r="M683" s="56"/>
    </row>
    <row r="684" spans="2:13" ht="13.5" customHeight="1" thickBot="1" x14ac:dyDescent="0.25">
      <c r="B684" s="47">
        <f t="shared" ref="B684:J684" si="214">SUM(B682:B683)</f>
        <v>960</v>
      </c>
      <c r="C684" s="47">
        <f t="shared" si="214"/>
        <v>960</v>
      </c>
      <c r="D684" s="47">
        <f t="shared" si="214"/>
        <v>0</v>
      </c>
      <c r="E684" s="47">
        <f t="shared" si="214"/>
        <v>0</v>
      </c>
      <c r="F684" s="47">
        <f t="shared" si="214"/>
        <v>0</v>
      </c>
      <c r="G684" s="47">
        <f t="shared" si="214"/>
        <v>0</v>
      </c>
      <c r="H684" s="47">
        <f t="shared" si="214"/>
        <v>960</v>
      </c>
      <c r="I684" s="47">
        <f t="shared" si="214"/>
        <v>960</v>
      </c>
      <c r="J684" s="47">
        <f t="shared" si="214"/>
        <v>0</v>
      </c>
      <c r="K684" s="188" t="s">
        <v>12</v>
      </c>
      <c r="L684" s="130"/>
      <c r="M684" s="56"/>
    </row>
    <row r="685" spans="2:13" ht="13.5" customHeight="1" thickBot="1" x14ac:dyDescent="0.25">
      <c r="B685" s="47">
        <f>SUM(C685:D685)</f>
        <v>164</v>
      </c>
      <c r="C685" s="47">
        <f>I685+F685</f>
        <v>164</v>
      </c>
      <c r="D685" s="47">
        <f>J685+G685</f>
        <v>0</v>
      </c>
      <c r="E685" s="47">
        <f>SUM(F685:G685)</f>
        <v>0</v>
      </c>
      <c r="F685" s="47">
        <v>0</v>
      </c>
      <c r="G685" s="47">
        <v>0</v>
      </c>
      <c r="H685" s="47">
        <f>SUM(I685:J685)</f>
        <v>164</v>
      </c>
      <c r="I685" s="47">
        <f>123+41</f>
        <v>164</v>
      </c>
      <c r="J685" s="47">
        <v>0</v>
      </c>
      <c r="K685" s="188" t="s">
        <v>233</v>
      </c>
      <c r="L685" s="129"/>
      <c r="M685" s="56"/>
    </row>
    <row r="686" spans="2:13" ht="13.5" customHeight="1" thickBot="1" x14ac:dyDescent="0.25">
      <c r="B686" s="47">
        <f>SUM(C686:D686)</f>
        <v>57</v>
      </c>
      <c r="C686" s="47">
        <f>I686+F686</f>
        <v>57</v>
      </c>
      <c r="D686" s="47">
        <f>J686+G686</f>
        <v>0</v>
      </c>
      <c r="E686" s="47">
        <f>SUM(F686:G686)</f>
        <v>0</v>
      </c>
      <c r="F686" s="47">
        <v>0</v>
      </c>
      <c r="G686" s="47">
        <v>0</v>
      </c>
      <c r="H686" s="47">
        <f>SUM(I686:J686)</f>
        <v>57</v>
      </c>
      <c r="I686" s="47">
        <f>7+50</f>
        <v>57</v>
      </c>
      <c r="J686" s="47">
        <v>0</v>
      </c>
      <c r="K686" s="188" t="s">
        <v>234</v>
      </c>
      <c r="L686" s="129" t="s">
        <v>534</v>
      </c>
      <c r="M686" s="56"/>
    </row>
    <row r="687" spans="2:13" ht="13.5" customHeight="1" thickBot="1" x14ac:dyDescent="0.25">
      <c r="B687" s="47">
        <f t="shared" ref="B687:J687" si="215">SUM(B685:B686)</f>
        <v>221</v>
      </c>
      <c r="C687" s="47">
        <f t="shared" si="215"/>
        <v>221</v>
      </c>
      <c r="D687" s="47">
        <f t="shared" si="215"/>
        <v>0</v>
      </c>
      <c r="E687" s="47">
        <f t="shared" si="215"/>
        <v>0</v>
      </c>
      <c r="F687" s="47">
        <f t="shared" si="215"/>
        <v>0</v>
      </c>
      <c r="G687" s="47">
        <f t="shared" si="215"/>
        <v>0</v>
      </c>
      <c r="H687" s="47">
        <f t="shared" si="215"/>
        <v>221</v>
      </c>
      <c r="I687" s="47">
        <f t="shared" si="215"/>
        <v>221</v>
      </c>
      <c r="J687" s="47">
        <f t="shared" si="215"/>
        <v>0</v>
      </c>
      <c r="K687" s="188" t="s">
        <v>12</v>
      </c>
      <c r="L687" s="130"/>
      <c r="M687" s="56"/>
    </row>
    <row r="688" spans="2:13" ht="13.5" customHeight="1" thickBot="1" x14ac:dyDescent="0.25">
      <c r="B688" s="47">
        <f>SUM(C688:D688)</f>
        <v>195</v>
      </c>
      <c r="C688" s="47">
        <f>I688+F688</f>
        <v>195</v>
      </c>
      <c r="D688" s="47">
        <f>J688+G688</f>
        <v>0</v>
      </c>
      <c r="E688" s="47">
        <f>SUM(F688:G688)</f>
        <v>0</v>
      </c>
      <c r="F688" s="47">
        <v>0</v>
      </c>
      <c r="G688" s="47">
        <v>0</v>
      </c>
      <c r="H688" s="47">
        <f>SUM(I688:J688)</f>
        <v>195</v>
      </c>
      <c r="I688" s="47">
        <f>155+40</f>
        <v>195</v>
      </c>
      <c r="J688" s="47">
        <v>0</v>
      </c>
      <c r="K688" s="188" t="s">
        <v>233</v>
      </c>
      <c r="L688" s="129"/>
      <c r="M688" s="56"/>
    </row>
    <row r="689" spans="2:13" ht="13.5" customHeight="1" thickBot="1" x14ac:dyDescent="0.25">
      <c r="B689" s="47">
        <f>SUM(C689:D689)</f>
        <v>74</v>
      </c>
      <c r="C689" s="47">
        <f>I689+F689</f>
        <v>74</v>
      </c>
      <c r="D689" s="47">
        <f>J689+G689</f>
        <v>0</v>
      </c>
      <c r="E689" s="47">
        <f>SUM(F689:G689)</f>
        <v>0</v>
      </c>
      <c r="F689" s="47">
        <v>0</v>
      </c>
      <c r="G689" s="47">
        <v>0</v>
      </c>
      <c r="H689" s="47">
        <f>SUM(I689:J689)</f>
        <v>74</v>
      </c>
      <c r="I689" s="47">
        <f>23+51</f>
        <v>74</v>
      </c>
      <c r="J689" s="47">
        <v>0</v>
      </c>
      <c r="K689" s="188" t="s">
        <v>234</v>
      </c>
      <c r="L689" s="129" t="s">
        <v>535</v>
      </c>
      <c r="M689" s="56"/>
    </row>
    <row r="690" spans="2:13" ht="13.5" customHeight="1" thickBot="1" x14ac:dyDescent="0.25">
      <c r="B690" s="47">
        <f t="shared" ref="B690:J690" si="216">SUM(B688:B689)</f>
        <v>269</v>
      </c>
      <c r="C690" s="47">
        <f t="shared" si="216"/>
        <v>269</v>
      </c>
      <c r="D690" s="47">
        <f t="shared" si="216"/>
        <v>0</v>
      </c>
      <c r="E690" s="47">
        <f t="shared" si="216"/>
        <v>0</v>
      </c>
      <c r="F690" s="47">
        <f t="shared" si="216"/>
        <v>0</v>
      </c>
      <c r="G690" s="47">
        <f t="shared" si="216"/>
        <v>0</v>
      </c>
      <c r="H690" s="47">
        <f t="shared" si="216"/>
        <v>269</v>
      </c>
      <c r="I690" s="47">
        <f t="shared" si="216"/>
        <v>269</v>
      </c>
      <c r="J690" s="47">
        <f t="shared" si="216"/>
        <v>0</v>
      </c>
      <c r="K690" s="188" t="s">
        <v>12</v>
      </c>
      <c r="L690" s="130"/>
      <c r="M690" s="56"/>
    </row>
    <row r="691" spans="2:13" ht="13.5" customHeight="1" thickBot="1" x14ac:dyDescent="0.25">
      <c r="B691" s="47">
        <f>SUM(C691:D691)</f>
        <v>126</v>
      </c>
      <c r="C691" s="47">
        <f>I691+F691</f>
        <v>126</v>
      </c>
      <c r="D691" s="47">
        <f>J691+G691</f>
        <v>0</v>
      </c>
      <c r="E691" s="47">
        <f>SUM(F691:G691)</f>
        <v>0</v>
      </c>
      <c r="F691" s="47">
        <v>0</v>
      </c>
      <c r="G691" s="47">
        <v>0</v>
      </c>
      <c r="H691" s="47">
        <f>SUM(I691:J691)</f>
        <v>126</v>
      </c>
      <c r="I691" s="47">
        <f>35+91</f>
        <v>126</v>
      </c>
      <c r="J691" s="47">
        <v>0</v>
      </c>
      <c r="K691" s="188" t="s">
        <v>233</v>
      </c>
      <c r="L691" s="129"/>
      <c r="M691" s="56"/>
    </row>
    <row r="692" spans="2:13" ht="13.5" customHeight="1" thickBot="1" x14ac:dyDescent="0.25">
      <c r="B692" s="47">
        <f>SUM(C692:D692)</f>
        <v>0</v>
      </c>
      <c r="C692" s="47">
        <f>I692+F692</f>
        <v>0</v>
      </c>
      <c r="D692" s="47">
        <f>J692+G692</f>
        <v>0</v>
      </c>
      <c r="E692" s="47">
        <f>SUM(F692:G692)</f>
        <v>0</v>
      </c>
      <c r="F692" s="47">
        <v>0</v>
      </c>
      <c r="G692" s="47">
        <v>0</v>
      </c>
      <c r="H692" s="47">
        <f>SUM(I692:J692)</f>
        <v>0</v>
      </c>
      <c r="I692" s="47">
        <v>0</v>
      </c>
      <c r="J692" s="47">
        <v>0</v>
      </c>
      <c r="K692" s="188" t="s">
        <v>234</v>
      </c>
      <c r="L692" s="129" t="s">
        <v>536</v>
      </c>
      <c r="M692" s="56"/>
    </row>
    <row r="693" spans="2:13" ht="13.5" customHeight="1" thickBot="1" x14ac:dyDescent="0.25">
      <c r="B693" s="47">
        <f t="shared" ref="B693:J693" si="217">SUM(B691:B692)</f>
        <v>126</v>
      </c>
      <c r="C693" s="47">
        <f t="shared" si="217"/>
        <v>126</v>
      </c>
      <c r="D693" s="47">
        <f t="shared" si="217"/>
        <v>0</v>
      </c>
      <c r="E693" s="47">
        <f t="shared" si="217"/>
        <v>0</v>
      </c>
      <c r="F693" s="47">
        <f t="shared" si="217"/>
        <v>0</v>
      </c>
      <c r="G693" s="47">
        <f t="shared" si="217"/>
        <v>0</v>
      </c>
      <c r="H693" s="47">
        <f t="shared" si="217"/>
        <v>126</v>
      </c>
      <c r="I693" s="47">
        <f t="shared" si="217"/>
        <v>126</v>
      </c>
      <c r="J693" s="47">
        <f t="shared" si="217"/>
        <v>0</v>
      </c>
      <c r="K693" s="188" t="s">
        <v>12</v>
      </c>
      <c r="L693" s="130"/>
      <c r="M693" s="56"/>
    </row>
    <row r="694" spans="2:13" ht="13.5" customHeight="1" thickBot="1" x14ac:dyDescent="0.25">
      <c r="B694" s="47">
        <f>SUM(C694:D694)</f>
        <v>209</v>
      </c>
      <c r="C694" s="47">
        <f>I694+F694</f>
        <v>209</v>
      </c>
      <c r="D694" s="47">
        <f>J694+G694</f>
        <v>0</v>
      </c>
      <c r="E694" s="47">
        <f>SUM(F694:G694)</f>
        <v>0</v>
      </c>
      <c r="F694" s="47">
        <v>0</v>
      </c>
      <c r="G694" s="47">
        <v>0</v>
      </c>
      <c r="H694" s="47">
        <f>SUM(I694:J694)</f>
        <v>209</v>
      </c>
      <c r="I694" s="47">
        <f>158+51</f>
        <v>209</v>
      </c>
      <c r="J694" s="47">
        <v>0</v>
      </c>
      <c r="K694" s="188" t="s">
        <v>233</v>
      </c>
      <c r="L694" s="129"/>
      <c r="M694" s="56"/>
    </row>
    <row r="695" spans="2:13" ht="13.5" customHeight="1" thickBot="1" x14ac:dyDescent="0.25">
      <c r="B695" s="47">
        <f>SUM(C695:D695)</f>
        <v>45</v>
      </c>
      <c r="C695" s="47">
        <f>I695+F695</f>
        <v>45</v>
      </c>
      <c r="D695" s="47">
        <f>J695+G695</f>
        <v>0</v>
      </c>
      <c r="E695" s="47">
        <f>SUM(F695:G695)</f>
        <v>0</v>
      </c>
      <c r="F695" s="47">
        <v>0</v>
      </c>
      <c r="G695" s="47">
        <v>0</v>
      </c>
      <c r="H695" s="47">
        <f>SUM(I695:J695)</f>
        <v>45</v>
      </c>
      <c r="I695" s="47">
        <f>5+40</f>
        <v>45</v>
      </c>
      <c r="J695" s="47">
        <v>0</v>
      </c>
      <c r="K695" s="188" t="s">
        <v>234</v>
      </c>
      <c r="L695" s="129" t="s">
        <v>537</v>
      </c>
      <c r="M695" s="56"/>
    </row>
    <row r="696" spans="2:13" ht="13.5" customHeight="1" thickBot="1" x14ac:dyDescent="0.25">
      <c r="B696" s="47">
        <f t="shared" ref="B696:J696" si="218">SUM(B694:B695)</f>
        <v>254</v>
      </c>
      <c r="C696" s="47">
        <f t="shared" si="218"/>
        <v>254</v>
      </c>
      <c r="D696" s="47">
        <f t="shared" si="218"/>
        <v>0</v>
      </c>
      <c r="E696" s="47">
        <f t="shared" si="218"/>
        <v>0</v>
      </c>
      <c r="F696" s="47">
        <f t="shared" si="218"/>
        <v>0</v>
      </c>
      <c r="G696" s="47">
        <f t="shared" si="218"/>
        <v>0</v>
      </c>
      <c r="H696" s="47">
        <f t="shared" si="218"/>
        <v>254</v>
      </c>
      <c r="I696" s="47">
        <f t="shared" si="218"/>
        <v>254</v>
      </c>
      <c r="J696" s="47">
        <f t="shared" si="218"/>
        <v>0</v>
      </c>
      <c r="K696" s="188" t="s">
        <v>12</v>
      </c>
      <c r="L696" s="130"/>
      <c r="M696" s="56"/>
    </row>
    <row r="697" spans="2:13" ht="13.5" customHeight="1" thickBot="1" x14ac:dyDescent="0.25">
      <c r="B697" s="47">
        <f>SUM(C697:D697)</f>
        <v>230</v>
      </c>
      <c r="C697" s="47">
        <f>I697+F697</f>
        <v>230</v>
      </c>
      <c r="D697" s="47">
        <f>J697+G697</f>
        <v>0</v>
      </c>
      <c r="E697" s="47">
        <f>SUM(F697:G697)</f>
        <v>0</v>
      </c>
      <c r="F697" s="47">
        <v>0</v>
      </c>
      <c r="G697" s="47">
        <v>0</v>
      </c>
      <c r="H697" s="47">
        <f>SUM(I697:J697)</f>
        <v>230</v>
      </c>
      <c r="I697" s="47">
        <f>199+31</f>
        <v>230</v>
      </c>
      <c r="J697" s="47">
        <v>0</v>
      </c>
      <c r="K697" s="188" t="s">
        <v>233</v>
      </c>
      <c r="L697" s="129"/>
      <c r="M697" s="56"/>
    </row>
    <row r="698" spans="2:13" ht="13.5" customHeight="1" thickBot="1" x14ac:dyDescent="0.25">
      <c r="B698" s="47">
        <f>SUM(C698:D698)</f>
        <v>65</v>
      </c>
      <c r="C698" s="47">
        <f>I698+F698</f>
        <v>65</v>
      </c>
      <c r="D698" s="47">
        <f>J698+G698</f>
        <v>0</v>
      </c>
      <c r="E698" s="47">
        <f>SUM(F698:G698)</f>
        <v>0</v>
      </c>
      <c r="F698" s="47">
        <v>0</v>
      </c>
      <c r="G698" s="47">
        <v>0</v>
      </c>
      <c r="H698" s="47">
        <f>SUM(I698:J698)</f>
        <v>65</v>
      </c>
      <c r="I698" s="47">
        <f>5+60</f>
        <v>65</v>
      </c>
      <c r="J698" s="47">
        <v>0</v>
      </c>
      <c r="K698" s="188" t="s">
        <v>234</v>
      </c>
      <c r="L698" s="129" t="s">
        <v>538</v>
      </c>
      <c r="M698" s="56"/>
    </row>
    <row r="699" spans="2:13" ht="13.5" customHeight="1" thickBot="1" x14ac:dyDescent="0.25">
      <c r="B699" s="47">
        <f t="shared" ref="B699:J699" si="219">SUM(B697:B698)</f>
        <v>295</v>
      </c>
      <c r="C699" s="47">
        <f t="shared" si="219"/>
        <v>295</v>
      </c>
      <c r="D699" s="47">
        <f t="shared" si="219"/>
        <v>0</v>
      </c>
      <c r="E699" s="47">
        <f t="shared" si="219"/>
        <v>0</v>
      </c>
      <c r="F699" s="47">
        <f t="shared" si="219"/>
        <v>0</v>
      </c>
      <c r="G699" s="47">
        <f t="shared" si="219"/>
        <v>0</v>
      </c>
      <c r="H699" s="47">
        <f t="shared" si="219"/>
        <v>295</v>
      </c>
      <c r="I699" s="47">
        <f t="shared" si="219"/>
        <v>295</v>
      </c>
      <c r="J699" s="47">
        <f t="shared" si="219"/>
        <v>0</v>
      </c>
      <c r="K699" s="188" t="s">
        <v>12</v>
      </c>
      <c r="L699" s="130"/>
      <c r="M699" s="56"/>
    </row>
    <row r="700" spans="2:13" ht="13.5" customHeight="1" thickBot="1" x14ac:dyDescent="0.25">
      <c r="B700" s="47">
        <f>SUM(C700:D700)</f>
        <v>195</v>
      </c>
      <c r="C700" s="47">
        <f>I700+F700</f>
        <v>195</v>
      </c>
      <c r="D700" s="47">
        <f>J700+G700</f>
        <v>0</v>
      </c>
      <c r="E700" s="47">
        <f>SUM(F700:G700)</f>
        <v>0</v>
      </c>
      <c r="F700" s="47">
        <v>0</v>
      </c>
      <c r="G700" s="47">
        <v>0</v>
      </c>
      <c r="H700" s="47">
        <f>SUM(I700:J700)</f>
        <v>195</v>
      </c>
      <c r="I700" s="47">
        <f>104+91</f>
        <v>195</v>
      </c>
      <c r="J700" s="47">
        <v>0</v>
      </c>
      <c r="K700" s="188" t="s">
        <v>233</v>
      </c>
      <c r="L700" s="129"/>
      <c r="M700" s="56"/>
    </row>
    <row r="701" spans="2:13" ht="13.5" customHeight="1" thickBot="1" x14ac:dyDescent="0.25">
      <c r="B701" s="47">
        <f>SUM(C701:D701)</f>
        <v>0</v>
      </c>
      <c r="C701" s="47">
        <f>I701+F701</f>
        <v>0</v>
      </c>
      <c r="D701" s="47">
        <f>J701+G701</f>
        <v>0</v>
      </c>
      <c r="E701" s="47">
        <f>SUM(F701:G701)</f>
        <v>0</v>
      </c>
      <c r="F701" s="47">
        <v>0</v>
      </c>
      <c r="G701" s="47">
        <v>0</v>
      </c>
      <c r="H701" s="47">
        <f>SUM(I701:J701)</f>
        <v>0</v>
      </c>
      <c r="I701" s="47">
        <v>0</v>
      </c>
      <c r="J701" s="47">
        <v>0</v>
      </c>
      <c r="K701" s="188" t="s">
        <v>234</v>
      </c>
      <c r="L701" s="129" t="s">
        <v>539</v>
      </c>
      <c r="M701" s="56"/>
    </row>
    <row r="702" spans="2:13" ht="13.5" customHeight="1" thickBot="1" x14ac:dyDescent="0.25">
      <c r="B702" s="47">
        <f t="shared" ref="B702:J702" si="220">SUM(B700:B701)</f>
        <v>195</v>
      </c>
      <c r="C702" s="47">
        <f t="shared" si="220"/>
        <v>195</v>
      </c>
      <c r="D702" s="47">
        <f t="shared" si="220"/>
        <v>0</v>
      </c>
      <c r="E702" s="47">
        <f t="shared" si="220"/>
        <v>0</v>
      </c>
      <c r="F702" s="47">
        <f t="shared" si="220"/>
        <v>0</v>
      </c>
      <c r="G702" s="47">
        <f t="shared" si="220"/>
        <v>0</v>
      </c>
      <c r="H702" s="47">
        <f t="shared" si="220"/>
        <v>195</v>
      </c>
      <c r="I702" s="47">
        <f t="shared" si="220"/>
        <v>195</v>
      </c>
      <c r="J702" s="47">
        <f t="shared" si="220"/>
        <v>0</v>
      </c>
      <c r="K702" s="188" t="s">
        <v>12</v>
      </c>
      <c r="L702" s="130"/>
      <c r="M702" s="56"/>
    </row>
    <row r="703" spans="2:13" ht="13.5" customHeight="1" thickBot="1" x14ac:dyDescent="0.25">
      <c r="B703" s="47">
        <f>SUM(C703:D703)</f>
        <v>238</v>
      </c>
      <c r="C703" s="47">
        <f>I703+F703</f>
        <v>238</v>
      </c>
      <c r="D703" s="47">
        <f>J703+G703</f>
        <v>0</v>
      </c>
      <c r="E703" s="47">
        <f>SUM(F703:G703)</f>
        <v>0</v>
      </c>
      <c r="F703" s="47">
        <v>0</v>
      </c>
      <c r="G703" s="47">
        <v>0</v>
      </c>
      <c r="H703" s="47">
        <f>SUM(I703:J703)</f>
        <v>238</v>
      </c>
      <c r="I703" s="47">
        <f>207+31</f>
        <v>238</v>
      </c>
      <c r="J703" s="47">
        <v>0</v>
      </c>
      <c r="K703" s="188" t="s">
        <v>233</v>
      </c>
      <c r="L703" s="129"/>
      <c r="M703" s="56"/>
    </row>
    <row r="704" spans="2:13" ht="13.5" customHeight="1" thickBot="1" x14ac:dyDescent="0.25">
      <c r="B704" s="47">
        <f>SUM(C704:D704)</f>
        <v>74</v>
      </c>
      <c r="C704" s="47">
        <f>I704+F704</f>
        <v>74</v>
      </c>
      <c r="D704" s="47">
        <f>J704+G704</f>
        <v>0</v>
      </c>
      <c r="E704" s="47">
        <f>SUM(F704:G704)</f>
        <v>0</v>
      </c>
      <c r="F704" s="47">
        <v>0</v>
      </c>
      <c r="G704" s="47">
        <v>0</v>
      </c>
      <c r="H704" s="47">
        <f>SUM(I704:J704)</f>
        <v>74</v>
      </c>
      <c r="I704" s="47">
        <f>14+60</f>
        <v>74</v>
      </c>
      <c r="J704" s="47">
        <v>0</v>
      </c>
      <c r="K704" s="188" t="s">
        <v>234</v>
      </c>
      <c r="L704" s="129" t="s">
        <v>540</v>
      </c>
      <c r="M704" s="56"/>
    </row>
    <row r="705" spans="2:13" ht="13.5" customHeight="1" thickBot="1" x14ac:dyDescent="0.25">
      <c r="B705" s="47">
        <f t="shared" ref="B705:J705" si="221">SUM(B703:B704)</f>
        <v>312</v>
      </c>
      <c r="C705" s="47">
        <f t="shared" si="221"/>
        <v>312</v>
      </c>
      <c r="D705" s="47">
        <f t="shared" si="221"/>
        <v>0</v>
      </c>
      <c r="E705" s="47">
        <f t="shared" si="221"/>
        <v>0</v>
      </c>
      <c r="F705" s="47">
        <f t="shared" si="221"/>
        <v>0</v>
      </c>
      <c r="G705" s="47">
        <f t="shared" si="221"/>
        <v>0</v>
      </c>
      <c r="H705" s="47">
        <f t="shared" si="221"/>
        <v>312</v>
      </c>
      <c r="I705" s="47">
        <f t="shared" si="221"/>
        <v>312</v>
      </c>
      <c r="J705" s="47">
        <f t="shared" si="221"/>
        <v>0</v>
      </c>
      <c r="K705" s="188" t="s">
        <v>12</v>
      </c>
      <c r="L705" s="130"/>
      <c r="M705" s="56"/>
    </row>
    <row r="706" spans="2:13" ht="13.5" customHeight="1" thickBot="1" x14ac:dyDescent="0.25">
      <c r="B706" s="47">
        <f>SUM(C706:D706)</f>
        <v>170</v>
      </c>
      <c r="C706" s="47">
        <f>I706+F706</f>
        <v>170</v>
      </c>
      <c r="D706" s="47">
        <f>J706+G706</f>
        <v>0</v>
      </c>
      <c r="E706" s="47">
        <f>SUM(F706:G706)</f>
        <v>0</v>
      </c>
      <c r="F706" s="47">
        <v>0</v>
      </c>
      <c r="G706" s="47">
        <v>0</v>
      </c>
      <c r="H706" s="47">
        <f>SUM(I706:J706)</f>
        <v>170</v>
      </c>
      <c r="I706" s="47">
        <f>140+30</f>
        <v>170</v>
      </c>
      <c r="J706" s="47">
        <v>0</v>
      </c>
      <c r="K706" s="188" t="s">
        <v>233</v>
      </c>
      <c r="L706" s="129"/>
      <c r="M706" s="56"/>
    </row>
    <row r="707" spans="2:13" ht="13.5" customHeight="1" thickBot="1" x14ac:dyDescent="0.25">
      <c r="B707" s="47">
        <f>SUM(C707:D707)</f>
        <v>68</v>
      </c>
      <c r="C707" s="47">
        <f>I707+F707</f>
        <v>68</v>
      </c>
      <c r="D707" s="47">
        <f>J707+G707</f>
        <v>0</v>
      </c>
      <c r="E707" s="47">
        <f>SUM(F707:G707)</f>
        <v>0</v>
      </c>
      <c r="F707" s="47">
        <v>0</v>
      </c>
      <c r="G707" s="47">
        <v>0</v>
      </c>
      <c r="H707" s="47">
        <f>SUM(I707:J707)</f>
        <v>68</v>
      </c>
      <c r="I707" s="47">
        <f>7+61</f>
        <v>68</v>
      </c>
      <c r="J707" s="47">
        <v>0</v>
      </c>
      <c r="K707" s="188" t="s">
        <v>234</v>
      </c>
      <c r="L707" s="129" t="s">
        <v>541</v>
      </c>
      <c r="M707" s="56"/>
    </row>
    <row r="708" spans="2:13" ht="13.5" customHeight="1" thickBot="1" x14ac:dyDescent="0.25">
      <c r="B708" s="47">
        <f t="shared" ref="B708:J708" si="222">SUM(B706:B707)</f>
        <v>238</v>
      </c>
      <c r="C708" s="47">
        <f t="shared" si="222"/>
        <v>238</v>
      </c>
      <c r="D708" s="47">
        <f t="shared" si="222"/>
        <v>0</v>
      </c>
      <c r="E708" s="47">
        <f t="shared" si="222"/>
        <v>0</v>
      </c>
      <c r="F708" s="47">
        <f t="shared" si="222"/>
        <v>0</v>
      </c>
      <c r="G708" s="47">
        <f t="shared" si="222"/>
        <v>0</v>
      </c>
      <c r="H708" s="47">
        <f t="shared" si="222"/>
        <v>238</v>
      </c>
      <c r="I708" s="47">
        <f t="shared" si="222"/>
        <v>238</v>
      </c>
      <c r="J708" s="47">
        <f t="shared" si="222"/>
        <v>0</v>
      </c>
      <c r="K708" s="188" t="s">
        <v>12</v>
      </c>
      <c r="L708" s="130"/>
      <c r="M708" s="56"/>
    </row>
    <row r="709" spans="2:13" ht="13.5" customHeight="1" thickBot="1" x14ac:dyDescent="0.25">
      <c r="B709" s="47">
        <f>SUM(C709:D709)</f>
        <v>199</v>
      </c>
      <c r="C709" s="47">
        <f>I709+F709</f>
        <v>199</v>
      </c>
      <c r="D709" s="47">
        <f>J709+G709</f>
        <v>0</v>
      </c>
      <c r="E709" s="47">
        <f>SUM(F709:G709)</f>
        <v>0</v>
      </c>
      <c r="F709" s="47">
        <v>0</v>
      </c>
      <c r="G709" s="47">
        <v>0</v>
      </c>
      <c r="H709" s="47">
        <f>SUM(I709:J709)</f>
        <v>199</v>
      </c>
      <c r="I709" s="47">
        <v>199</v>
      </c>
      <c r="J709" s="47">
        <v>0</v>
      </c>
      <c r="K709" s="188" t="s">
        <v>233</v>
      </c>
      <c r="L709" s="129"/>
      <c r="M709" s="56"/>
    </row>
    <row r="710" spans="2:13" ht="13.5" customHeight="1" thickBot="1" x14ac:dyDescent="0.25">
      <c r="B710" s="47">
        <f>SUM(C710:D710)</f>
        <v>97</v>
      </c>
      <c r="C710" s="47">
        <f>I710+F710</f>
        <v>97</v>
      </c>
      <c r="D710" s="47">
        <f>J710+G710</f>
        <v>0</v>
      </c>
      <c r="E710" s="47">
        <f>SUM(F710:G710)</f>
        <v>0</v>
      </c>
      <c r="F710" s="47">
        <v>0</v>
      </c>
      <c r="G710" s="47">
        <v>0</v>
      </c>
      <c r="H710" s="47">
        <f>SUM(I710:J710)</f>
        <v>97</v>
      </c>
      <c r="I710" s="47">
        <f>6+91</f>
        <v>97</v>
      </c>
      <c r="J710" s="47">
        <v>0</v>
      </c>
      <c r="K710" s="188" t="s">
        <v>234</v>
      </c>
      <c r="L710" s="129" t="s">
        <v>542</v>
      </c>
      <c r="M710" s="56"/>
    </row>
    <row r="711" spans="2:13" ht="13.5" customHeight="1" thickBot="1" x14ac:dyDescent="0.25">
      <c r="B711" s="47">
        <f t="shared" ref="B711:J711" si="223">SUM(B709:B710)</f>
        <v>296</v>
      </c>
      <c r="C711" s="47">
        <f t="shared" si="223"/>
        <v>296</v>
      </c>
      <c r="D711" s="47">
        <f t="shared" si="223"/>
        <v>0</v>
      </c>
      <c r="E711" s="47">
        <f t="shared" si="223"/>
        <v>0</v>
      </c>
      <c r="F711" s="47">
        <f t="shared" si="223"/>
        <v>0</v>
      </c>
      <c r="G711" s="47">
        <f t="shared" si="223"/>
        <v>0</v>
      </c>
      <c r="H711" s="47">
        <f t="shared" si="223"/>
        <v>296</v>
      </c>
      <c r="I711" s="47">
        <f t="shared" si="223"/>
        <v>296</v>
      </c>
      <c r="J711" s="47">
        <f t="shared" si="223"/>
        <v>0</v>
      </c>
      <c r="K711" s="188" t="s">
        <v>12</v>
      </c>
      <c r="L711" s="130"/>
      <c r="M711" s="56"/>
    </row>
    <row r="712" spans="2:13" ht="13.5" customHeight="1" thickBot="1" x14ac:dyDescent="0.25">
      <c r="B712" s="47">
        <f>SUM(C712:D712)</f>
        <v>290</v>
      </c>
      <c r="C712" s="47">
        <f>I712+F712</f>
        <v>290</v>
      </c>
      <c r="D712" s="47">
        <f>J712+G712</f>
        <v>0</v>
      </c>
      <c r="E712" s="47">
        <f>SUM(F712:G712)</f>
        <v>1</v>
      </c>
      <c r="F712" s="47">
        <v>1</v>
      </c>
      <c r="G712" s="47">
        <v>0</v>
      </c>
      <c r="H712" s="47">
        <f>SUM(I712:J712)</f>
        <v>289</v>
      </c>
      <c r="I712" s="47">
        <v>289</v>
      </c>
      <c r="J712" s="47">
        <v>0</v>
      </c>
      <c r="K712" s="188" t="s">
        <v>233</v>
      </c>
      <c r="L712" s="129"/>
      <c r="M712" s="56"/>
    </row>
    <row r="713" spans="2:13" ht="13.5" customHeight="1" thickBot="1" x14ac:dyDescent="0.25">
      <c r="B713" s="47">
        <f>SUM(C713:D713)</f>
        <v>96</v>
      </c>
      <c r="C713" s="47">
        <f>I713+F713</f>
        <v>96</v>
      </c>
      <c r="D713" s="47">
        <f>J713+G713</f>
        <v>0</v>
      </c>
      <c r="E713" s="47">
        <f>SUM(F713:G713)</f>
        <v>0</v>
      </c>
      <c r="F713" s="47">
        <v>0</v>
      </c>
      <c r="G713" s="47">
        <v>0</v>
      </c>
      <c r="H713" s="47">
        <f>SUM(I713:J713)</f>
        <v>96</v>
      </c>
      <c r="I713" s="47">
        <f>5+91</f>
        <v>96</v>
      </c>
      <c r="J713" s="47">
        <v>0</v>
      </c>
      <c r="K713" s="188" t="s">
        <v>234</v>
      </c>
      <c r="L713" s="129" t="s">
        <v>543</v>
      </c>
      <c r="M713" s="56"/>
    </row>
    <row r="714" spans="2:13" ht="13.5" customHeight="1" thickBot="1" x14ac:dyDescent="0.25">
      <c r="B714" s="47">
        <f t="shared" ref="B714:J714" si="224">SUM(B712:B713)</f>
        <v>386</v>
      </c>
      <c r="C714" s="47">
        <f t="shared" si="224"/>
        <v>386</v>
      </c>
      <c r="D714" s="47">
        <f t="shared" si="224"/>
        <v>0</v>
      </c>
      <c r="E714" s="47">
        <f t="shared" si="224"/>
        <v>1</v>
      </c>
      <c r="F714" s="47">
        <f t="shared" si="224"/>
        <v>1</v>
      </c>
      <c r="G714" s="47">
        <f t="shared" si="224"/>
        <v>0</v>
      </c>
      <c r="H714" s="47">
        <f t="shared" si="224"/>
        <v>385</v>
      </c>
      <c r="I714" s="47">
        <f t="shared" si="224"/>
        <v>385</v>
      </c>
      <c r="J714" s="47">
        <f t="shared" si="224"/>
        <v>0</v>
      </c>
      <c r="K714" s="188" t="s">
        <v>12</v>
      </c>
      <c r="L714" s="130"/>
      <c r="M714" s="56"/>
    </row>
    <row r="715" spans="2:13" ht="13.5" customHeight="1" thickBot="1" x14ac:dyDescent="0.25">
      <c r="B715" s="47">
        <f>SUM(C715:D715)</f>
        <v>198</v>
      </c>
      <c r="C715" s="47">
        <f>I715+F715</f>
        <v>198</v>
      </c>
      <c r="D715" s="47">
        <f>J715+G715</f>
        <v>0</v>
      </c>
      <c r="E715" s="47">
        <f>SUM(F715:G715)</f>
        <v>0</v>
      </c>
      <c r="F715" s="47">
        <v>0</v>
      </c>
      <c r="G715" s="47">
        <v>0</v>
      </c>
      <c r="H715" s="47">
        <f>SUM(I715:J715)</f>
        <v>198</v>
      </c>
      <c r="I715" s="47">
        <v>198</v>
      </c>
      <c r="J715" s="47">
        <v>0</v>
      </c>
      <c r="K715" s="188" t="s">
        <v>233</v>
      </c>
      <c r="L715" s="129"/>
      <c r="M715" s="56"/>
    </row>
    <row r="716" spans="2:13" ht="13.5" customHeight="1" thickBot="1" x14ac:dyDescent="0.25">
      <c r="B716" s="47">
        <f>SUM(C716:D716)</f>
        <v>94</v>
      </c>
      <c r="C716" s="47">
        <f>I716+F716</f>
        <v>94</v>
      </c>
      <c r="D716" s="47">
        <f>J716+G716</f>
        <v>0</v>
      </c>
      <c r="E716" s="47">
        <f>SUM(F716:G716)</f>
        <v>0</v>
      </c>
      <c r="F716" s="47">
        <v>0</v>
      </c>
      <c r="G716" s="47">
        <v>0</v>
      </c>
      <c r="H716" s="47">
        <f>SUM(I716:J716)</f>
        <v>94</v>
      </c>
      <c r="I716" s="47">
        <f>3+91</f>
        <v>94</v>
      </c>
      <c r="J716" s="47">
        <v>0</v>
      </c>
      <c r="K716" s="188" t="s">
        <v>234</v>
      </c>
      <c r="L716" s="129" t="s">
        <v>544</v>
      </c>
      <c r="M716" s="56"/>
    </row>
    <row r="717" spans="2:13" ht="13.5" customHeight="1" thickBot="1" x14ac:dyDescent="0.25">
      <c r="B717" s="47">
        <f t="shared" ref="B717:J717" si="225">SUM(B715:B716)</f>
        <v>292</v>
      </c>
      <c r="C717" s="47">
        <f t="shared" si="225"/>
        <v>292</v>
      </c>
      <c r="D717" s="47">
        <f t="shared" si="225"/>
        <v>0</v>
      </c>
      <c r="E717" s="47">
        <f t="shared" si="225"/>
        <v>0</v>
      </c>
      <c r="F717" s="47">
        <f t="shared" si="225"/>
        <v>0</v>
      </c>
      <c r="G717" s="47">
        <f t="shared" si="225"/>
        <v>0</v>
      </c>
      <c r="H717" s="47">
        <f t="shared" si="225"/>
        <v>292</v>
      </c>
      <c r="I717" s="47">
        <f t="shared" si="225"/>
        <v>292</v>
      </c>
      <c r="J717" s="47">
        <f t="shared" si="225"/>
        <v>0</v>
      </c>
      <c r="K717" s="188" t="s">
        <v>12</v>
      </c>
      <c r="L717" s="130"/>
      <c r="M717" s="56"/>
    </row>
    <row r="718" spans="2:13" ht="13.5" customHeight="1" thickBot="1" x14ac:dyDescent="0.25">
      <c r="B718" s="47">
        <f>SUM(C718:D718)</f>
        <v>128</v>
      </c>
      <c r="C718" s="47">
        <f>I718+F718</f>
        <v>128</v>
      </c>
      <c r="D718" s="47">
        <f>J718+G718</f>
        <v>0</v>
      </c>
      <c r="E718" s="47">
        <f>SUM(F718:G718)</f>
        <v>0</v>
      </c>
      <c r="F718" s="47">
        <v>0</v>
      </c>
      <c r="G718" s="47">
        <v>0</v>
      </c>
      <c r="H718" s="47">
        <f>SUM(I718:J718)</f>
        <v>128</v>
      </c>
      <c r="I718" s="47">
        <f>67+61</f>
        <v>128</v>
      </c>
      <c r="J718" s="47">
        <v>0</v>
      </c>
      <c r="K718" s="188" t="s">
        <v>233</v>
      </c>
      <c r="L718" s="129"/>
      <c r="M718" s="56"/>
    </row>
    <row r="719" spans="2:13" ht="13.5" customHeight="1" thickBot="1" x14ac:dyDescent="0.25">
      <c r="B719" s="47">
        <f>SUM(C719:D719)</f>
        <v>32</v>
      </c>
      <c r="C719" s="47">
        <f>I719+F719</f>
        <v>32</v>
      </c>
      <c r="D719" s="47">
        <f>J719+G719</f>
        <v>0</v>
      </c>
      <c r="E719" s="47">
        <f>SUM(F719:G719)</f>
        <v>0</v>
      </c>
      <c r="F719" s="47">
        <v>0</v>
      </c>
      <c r="G719" s="47">
        <v>0</v>
      </c>
      <c r="H719" s="47">
        <f>SUM(I719:J719)</f>
        <v>32</v>
      </c>
      <c r="I719" s="47">
        <f>2+30</f>
        <v>32</v>
      </c>
      <c r="J719" s="47">
        <v>0</v>
      </c>
      <c r="K719" s="188" t="s">
        <v>234</v>
      </c>
      <c r="L719" s="129" t="s">
        <v>669</v>
      </c>
      <c r="M719" s="56"/>
    </row>
    <row r="720" spans="2:13" ht="13.5" customHeight="1" thickBot="1" x14ac:dyDescent="0.25">
      <c r="B720" s="47">
        <f t="shared" ref="B720:J720" si="226">SUM(B718:B719)</f>
        <v>160</v>
      </c>
      <c r="C720" s="47">
        <f t="shared" si="226"/>
        <v>160</v>
      </c>
      <c r="D720" s="47">
        <f t="shared" si="226"/>
        <v>0</v>
      </c>
      <c r="E720" s="47">
        <f t="shared" si="226"/>
        <v>0</v>
      </c>
      <c r="F720" s="47">
        <f t="shared" si="226"/>
        <v>0</v>
      </c>
      <c r="G720" s="47">
        <f t="shared" si="226"/>
        <v>0</v>
      </c>
      <c r="H720" s="47">
        <f t="shared" si="226"/>
        <v>160</v>
      </c>
      <c r="I720" s="47">
        <f t="shared" si="226"/>
        <v>160</v>
      </c>
      <c r="J720" s="47">
        <f t="shared" si="226"/>
        <v>0</v>
      </c>
      <c r="K720" s="188" t="s">
        <v>12</v>
      </c>
      <c r="L720" s="130"/>
      <c r="M720" s="56"/>
    </row>
    <row r="721" spans="2:13" ht="13.5" customHeight="1" thickBot="1" x14ac:dyDescent="0.25">
      <c r="B721" s="47">
        <f>SUM(C721:D721)</f>
        <v>170</v>
      </c>
      <c r="C721" s="47">
        <f>I721+F721</f>
        <v>170</v>
      </c>
      <c r="D721" s="47">
        <f>J721+G721</f>
        <v>0</v>
      </c>
      <c r="E721" s="47">
        <f>SUM(F721:G721)</f>
        <v>0</v>
      </c>
      <c r="F721" s="47">
        <v>0</v>
      </c>
      <c r="G721" s="47">
        <v>0</v>
      </c>
      <c r="H721" s="47">
        <f>SUM(I721:J721)</f>
        <v>170</v>
      </c>
      <c r="I721" s="47">
        <f>79+91</f>
        <v>170</v>
      </c>
      <c r="J721" s="47">
        <v>0</v>
      </c>
      <c r="K721" s="188" t="s">
        <v>233</v>
      </c>
      <c r="L721" s="129"/>
      <c r="M721" s="56"/>
    </row>
    <row r="722" spans="2:13" ht="13.5" customHeight="1" thickBot="1" x14ac:dyDescent="0.25">
      <c r="B722" s="47">
        <f>SUM(C722:D722)</f>
        <v>0</v>
      </c>
      <c r="C722" s="47">
        <f>I722+F722</f>
        <v>0</v>
      </c>
      <c r="D722" s="47">
        <f>J722+G722</f>
        <v>0</v>
      </c>
      <c r="E722" s="47">
        <f>SUM(F722:G722)</f>
        <v>0</v>
      </c>
      <c r="F722" s="47">
        <v>0</v>
      </c>
      <c r="G722" s="47">
        <v>0</v>
      </c>
      <c r="H722" s="47">
        <f>SUM(I722:J722)</f>
        <v>0</v>
      </c>
      <c r="I722" s="47">
        <v>0</v>
      </c>
      <c r="J722" s="47">
        <v>0</v>
      </c>
      <c r="K722" s="188" t="s">
        <v>234</v>
      </c>
      <c r="L722" s="129" t="s">
        <v>546</v>
      </c>
      <c r="M722" s="56"/>
    </row>
    <row r="723" spans="2:13" ht="13.5" customHeight="1" thickBot="1" x14ac:dyDescent="0.25">
      <c r="B723" s="47">
        <f t="shared" ref="B723:J723" si="227">SUM(B721:B722)</f>
        <v>170</v>
      </c>
      <c r="C723" s="47">
        <f t="shared" si="227"/>
        <v>170</v>
      </c>
      <c r="D723" s="47">
        <f t="shared" si="227"/>
        <v>0</v>
      </c>
      <c r="E723" s="47">
        <f t="shared" si="227"/>
        <v>0</v>
      </c>
      <c r="F723" s="47">
        <f t="shared" si="227"/>
        <v>0</v>
      </c>
      <c r="G723" s="47">
        <f t="shared" si="227"/>
        <v>0</v>
      </c>
      <c r="H723" s="47">
        <f t="shared" si="227"/>
        <v>170</v>
      </c>
      <c r="I723" s="47">
        <f t="shared" si="227"/>
        <v>170</v>
      </c>
      <c r="J723" s="47">
        <f t="shared" si="227"/>
        <v>0</v>
      </c>
      <c r="K723" s="188" t="s">
        <v>12</v>
      </c>
      <c r="L723" s="130"/>
      <c r="M723" s="56"/>
    </row>
    <row r="724" spans="2:13" ht="13.5" customHeight="1" thickBot="1" x14ac:dyDescent="0.25">
      <c r="B724" s="47">
        <f>SUM(C724:D724)</f>
        <v>275</v>
      </c>
      <c r="C724" s="47">
        <f>I724+F724</f>
        <v>275</v>
      </c>
      <c r="D724" s="47">
        <f>J724+G724</f>
        <v>0</v>
      </c>
      <c r="E724" s="47">
        <f>SUM(F724:G724)</f>
        <v>0</v>
      </c>
      <c r="F724" s="47">
        <v>0</v>
      </c>
      <c r="G724" s="47">
        <v>0</v>
      </c>
      <c r="H724" s="47">
        <f>SUM(I724:J724)</f>
        <v>275</v>
      </c>
      <c r="I724" s="47">
        <v>275</v>
      </c>
      <c r="J724" s="47">
        <v>0</v>
      </c>
      <c r="K724" s="188" t="s">
        <v>233</v>
      </c>
      <c r="L724" s="129"/>
      <c r="M724" s="56"/>
    </row>
    <row r="725" spans="2:13" ht="13.5" customHeight="1" thickBot="1" x14ac:dyDescent="0.25">
      <c r="B725" s="47">
        <f>SUM(C725:D725)</f>
        <v>96</v>
      </c>
      <c r="C725" s="47">
        <f>I725+F725</f>
        <v>96</v>
      </c>
      <c r="D725" s="47">
        <f>J725+G725</f>
        <v>0</v>
      </c>
      <c r="E725" s="47">
        <f>SUM(F725:G725)</f>
        <v>0</v>
      </c>
      <c r="F725" s="47">
        <v>0</v>
      </c>
      <c r="G725" s="47">
        <v>0</v>
      </c>
      <c r="H725" s="47">
        <f>SUM(I725:J725)</f>
        <v>96</v>
      </c>
      <c r="I725" s="47">
        <f>5+91</f>
        <v>96</v>
      </c>
      <c r="J725" s="47">
        <v>0</v>
      </c>
      <c r="K725" s="188" t="s">
        <v>234</v>
      </c>
      <c r="L725" s="129" t="s">
        <v>547</v>
      </c>
      <c r="M725" s="56"/>
    </row>
    <row r="726" spans="2:13" ht="13.5" customHeight="1" thickBot="1" x14ac:dyDescent="0.25">
      <c r="B726" s="47">
        <f t="shared" ref="B726:J726" si="228">SUM(B724:B725)</f>
        <v>371</v>
      </c>
      <c r="C726" s="47">
        <f t="shared" si="228"/>
        <v>371</v>
      </c>
      <c r="D726" s="47">
        <f t="shared" si="228"/>
        <v>0</v>
      </c>
      <c r="E726" s="47">
        <f t="shared" si="228"/>
        <v>0</v>
      </c>
      <c r="F726" s="47">
        <f t="shared" si="228"/>
        <v>0</v>
      </c>
      <c r="G726" s="47">
        <f t="shared" si="228"/>
        <v>0</v>
      </c>
      <c r="H726" s="47">
        <f t="shared" si="228"/>
        <v>371</v>
      </c>
      <c r="I726" s="47">
        <f t="shared" si="228"/>
        <v>371</v>
      </c>
      <c r="J726" s="47">
        <f t="shared" si="228"/>
        <v>0</v>
      </c>
      <c r="K726" s="188" t="s">
        <v>12</v>
      </c>
      <c r="L726" s="130"/>
      <c r="M726" s="56"/>
    </row>
    <row r="727" spans="2:13" ht="13.5" customHeight="1" thickBot="1" x14ac:dyDescent="0.25">
      <c r="B727" s="47">
        <f>SUM(C727:D727)</f>
        <v>266</v>
      </c>
      <c r="C727" s="47">
        <f>I727+F727</f>
        <v>266</v>
      </c>
      <c r="D727" s="47">
        <f>J727+G727</f>
        <v>0</v>
      </c>
      <c r="E727" s="47">
        <f>SUM(F727:G727)</f>
        <v>0</v>
      </c>
      <c r="F727" s="47">
        <v>0</v>
      </c>
      <c r="G727" s="47">
        <v>0</v>
      </c>
      <c r="H727" s="47">
        <f>SUM(I727:J727)</f>
        <v>266</v>
      </c>
      <c r="I727" s="47">
        <f>175+91</f>
        <v>266</v>
      </c>
      <c r="J727" s="47">
        <v>0</v>
      </c>
      <c r="K727" s="188" t="s">
        <v>233</v>
      </c>
      <c r="L727" s="129"/>
      <c r="M727" s="56"/>
    </row>
    <row r="728" spans="2:13" ht="13.5" customHeight="1" thickBot="1" x14ac:dyDescent="0.25">
      <c r="B728" s="47">
        <f>SUM(C728:D728)</f>
        <v>0</v>
      </c>
      <c r="C728" s="47">
        <f>I728+F728</f>
        <v>0</v>
      </c>
      <c r="D728" s="47">
        <f>J728+G728</f>
        <v>0</v>
      </c>
      <c r="E728" s="47">
        <f>SUM(F728:G728)</f>
        <v>0</v>
      </c>
      <c r="F728" s="47">
        <v>0</v>
      </c>
      <c r="G728" s="47">
        <v>0</v>
      </c>
      <c r="H728" s="47">
        <f>SUM(I728:J728)</f>
        <v>0</v>
      </c>
      <c r="I728" s="47">
        <v>0</v>
      </c>
      <c r="J728" s="47">
        <v>0</v>
      </c>
      <c r="K728" s="188" t="s">
        <v>234</v>
      </c>
      <c r="L728" s="129" t="s">
        <v>548</v>
      </c>
      <c r="M728" s="56"/>
    </row>
    <row r="729" spans="2:13" ht="13.5" customHeight="1" thickBot="1" x14ac:dyDescent="0.25">
      <c r="B729" s="47">
        <f t="shared" ref="B729:J729" si="229">SUM(B727:B728)</f>
        <v>266</v>
      </c>
      <c r="C729" s="47">
        <f t="shared" si="229"/>
        <v>266</v>
      </c>
      <c r="D729" s="47">
        <f t="shared" si="229"/>
        <v>0</v>
      </c>
      <c r="E729" s="47">
        <f t="shared" si="229"/>
        <v>0</v>
      </c>
      <c r="F729" s="47">
        <f t="shared" si="229"/>
        <v>0</v>
      </c>
      <c r="G729" s="47">
        <f t="shared" si="229"/>
        <v>0</v>
      </c>
      <c r="H729" s="47">
        <f t="shared" si="229"/>
        <v>266</v>
      </c>
      <c r="I729" s="47">
        <f t="shared" si="229"/>
        <v>266</v>
      </c>
      <c r="J729" s="47">
        <f t="shared" si="229"/>
        <v>0</v>
      </c>
      <c r="K729" s="188" t="s">
        <v>12</v>
      </c>
      <c r="L729" s="130"/>
      <c r="M729" s="56"/>
    </row>
    <row r="730" spans="2:13" ht="13.5" customHeight="1" thickBot="1" x14ac:dyDescent="0.25">
      <c r="B730" s="47">
        <f>SUM(C730:D730)</f>
        <v>408</v>
      </c>
      <c r="C730" s="47">
        <f>I730+F730</f>
        <v>408</v>
      </c>
      <c r="D730" s="47">
        <f>J730+G730</f>
        <v>0</v>
      </c>
      <c r="E730" s="47">
        <f>SUM(F730:G730)</f>
        <v>0</v>
      </c>
      <c r="F730" s="47">
        <v>0</v>
      </c>
      <c r="G730" s="47">
        <v>0</v>
      </c>
      <c r="H730" s="47">
        <f>SUM(I730:J730)</f>
        <v>408</v>
      </c>
      <c r="I730" s="47">
        <v>408</v>
      </c>
      <c r="J730" s="47">
        <v>0</v>
      </c>
      <c r="K730" s="188" t="s">
        <v>233</v>
      </c>
      <c r="L730" s="129"/>
      <c r="M730" s="56"/>
    </row>
    <row r="731" spans="2:13" ht="13.5" customHeight="1" thickBot="1" x14ac:dyDescent="0.25">
      <c r="B731" s="47">
        <f>SUM(C731:D731)</f>
        <v>154</v>
      </c>
      <c r="C731" s="47">
        <f>I731+F731</f>
        <v>154</v>
      </c>
      <c r="D731" s="47">
        <f>J731+G731</f>
        <v>0</v>
      </c>
      <c r="E731" s="47">
        <f>SUM(F731:G731)</f>
        <v>0</v>
      </c>
      <c r="F731" s="47">
        <v>0</v>
      </c>
      <c r="G731" s="47">
        <v>0</v>
      </c>
      <c r="H731" s="47">
        <f>SUM(I731:J731)</f>
        <v>154</v>
      </c>
      <c r="I731" s="47">
        <f>63+91</f>
        <v>154</v>
      </c>
      <c r="J731" s="47">
        <v>0</v>
      </c>
      <c r="K731" s="188" t="s">
        <v>234</v>
      </c>
      <c r="L731" s="129" t="s">
        <v>549</v>
      </c>
      <c r="M731" s="56"/>
    </row>
    <row r="732" spans="2:13" ht="13.5" customHeight="1" thickBot="1" x14ac:dyDescent="0.25">
      <c r="B732" s="47">
        <f t="shared" ref="B732:J732" si="230">SUM(B730:B731)</f>
        <v>562</v>
      </c>
      <c r="C732" s="47">
        <f t="shared" si="230"/>
        <v>562</v>
      </c>
      <c r="D732" s="47">
        <f t="shared" si="230"/>
        <v>0</v>
      </c>
      <c r="E732" s="47">
        <f t="shared" si="230"/>
        <v>0</v>
      </c>
      <c r="F732" s="47">
        <f t="shared" si="230"/>
        <v>0</v>
      </c>
      <c r="G732" s="47">
        <f t="shared" si="230"/>
        <v>0</v>
      </c>
      <c r="H732" s="47">
        <f t="shared" si="230"/>
        <v>562</v>
      </c>
      <c r="I732" s="47">
        <f t="shared" si="230"/>
        <v>562</v>
      </c>
      <c r="J732" s="47">
        <f t="shared" si="230"/>
        <v>0</v>
      </c>
      <c r="K732" s="188" t="s">
        <v>12</v>
      </c>
      <c r="L732" s="130"/>
      <c r="M732" s="56"/>
    </row>
    <row r="733" spans="2:13" ht="13.5" customHeight="1" thickBot="1" x14ac:dyDescent="0.25">
      <c r="B733" s="47">
        <f>SUM(C733:D733)</f>
        <v>274</v>
      </c>
      <c r="C733" s="47">
        <f>I733+F733</f>
        <v>274</v>
      </c>
      <c r="D733" s="47">
        <f>J733+G733</f>
        <v>0</v>
      </c>
      <c r="E733" s="47">
        <f>SUM(F733:G733)</f>
        <v>0</v>
      </c>
      <c r="F733" s="47">
        <v>0</v>
      </c>
      <c r="G733" s="47">
        <v>0</v>
      </c>
      <c r="H733" s="47">
        <f>SUM(I733:J733)</f>
        <v>274</v>
      </c>
      <c r="I733" s="47">
        <f>183+91</f>
        <v>274</v>
      </c>
      <c r="J733" s="47">
        <v>0</v>
      </c>
      <c r="K733" s="188" t="s">
        <v>233</v>
      </c>
      <c r="L733" s="129"/>
      <c r="M733" s="56"/>
    </row>
    <row r="734" spans="2:13" ht="13.5" customHeight="1" thickBot="1" x14ac:dyDescent="0.25">
      <c r="B734" s="47">
        <f>SUM(C734:D734)</f>
        <v>0</v>
      </c>
      <c r="C734" s="47">
        <f>I734+F734</f>
        <v>0</v>
      </c>
      <c r="D734" s="47">
        <f>J734+G734</f>
        <v>0</v>
      </c>
      <c r="E734" s="47">
        <f>SUM(F734:G734)</f>
        <v>0</v>
      </c>
      <c r="F734" s="47">
        <v>0</v>
      </c>
      <c r="G734" s="47">
        <v>0</v>
      </c>
      <c r="H734" s="47">
        <f>SUM(I734:J734)</f>
        <v>0</v>
      </c>
      <c r="I734" s="47">
        <v>0</v>
      </c>
      <c r="J734" s="47">
        <v>0</v>
      </c>
      <c r="K734" s="188" t="s">
        <v>234</v>
      </c>
      <c r="L734" s="129" t="s">
        <v>550</v>
      </c>
      <c r="M734" s="56"/>
    </row>
    <row r="735" spans="2:13" ht="13.5" customHeight="1" thickBot="1" x14ac:dyDescent="0.25">
      <c r="B735" s="47">
        <f t="shared" ref="B735:J735" si="231">SUM(B733:B734)</f>
        <v>274</v>
      </c>
      <c r="C735" s="47">
        <f t="shared" si="231"/>
        <v>274</v>
      </c>
      <c r="D735" s="47">
        <f t="shared" si="231"/>
        <v>0</v>
      </c>
      <c r="E735" s="47">
        <f t="shared" si="231"/>
        <v>0</v>
      </c>
      <c r="F735" s="47">
        <f t="shared" si="231"/>
        <v>0</v>
      </c>
      <c r="G735" s="47">
        <f t="shared" si="231"/>
        <v>0</v>
      </c>
      <c r="H735" s="47">
        <f t="shared" si="231"/>
        <v>274</v>
      </c>
      <c r="I735" s="47">
        <f t="shared" si="231"/>
        <v>274</v>
      </c>
      <c r="J735" s="47">
        <f t="shared" si="231"/>
        <v>0</v>
      </c>
      <c r="K735" s="188" t="s">
        <v>12</v>
      </c>
      <c r="L735" s="130"/>
      <c r="M735" s="56"/>
    </row>
    <row r="736" spans="2:13" ht="13.5" customHeight="1" thickBot="1" x14ac:dyDescent="0.25">
      <c r="B736" s="47">
        <f>SUM(C736:D736)</f>
        <v>119</v>
      </c>
      <c r="C736" s="47">
        <f>I736+F736</f>
        <v>119</v>
      </c>
      <c r="D736" s="47">
        <f>J736+G736</f>
        <v>0</v>
      </c>
      <c r="E736" s="47">
        <f>SUM(F736:G736)</f>
        <v>0</v>
      </c>
      <c r="F736" s="47">
        <v>0</v>
      </c>
      <c r="G736" s="47">
        <v>0</v>
      </c>
      <c r="H736" s="47">
        <f>SUM(I736:J736)</f>
        <v>119</v>
      </c>
      <c r="I736" s="47">
        <f>58+61</f>
        <v>119</v>
      </c>
      <c r="J736" s="47">
        <v>0</v>
      </c>
      <c r="K736" s="188" t="s">
        <v>233</v>
      </c>
      <c r="L736" s="129"/>
      <c r="M736" s="56"/>
    </row>
    <row r="737" spans="2:13" ht="13.5" customHeight="1" thickBot="1" x14ac:dyDescent="0.25">
      <c r="B737" s="47">
        <f>SUM(C737:D737)</f>
        <v>38</v>
      </c>
      <c r="C737" s="47">
        <f>I737+F737</f>
        <v>38</v>
      </c>
      <c r="D737" s="47">
        <f>J737+G737</f>
        <v>0</v>
      </c>
      <c r="E737" s="47">
        <f>SUM(F737:G737)</f>
        <v>0</v>
      </c>
      <c r="F737" s="47">
        <v>0</v>
      </c>
      <c r="G737" s="47">
        <v>0</v>
      </c>
      <c r="H737" s="47">
        <f>SUM(I737:J737)</f>
        <v>38</v>
      </c>
      <c r="I737" s="47">
        <f>8+30</f>
        <v>38</v>
      </c>
      <c r="J737" s="47">
        <v>0</v>
      </c>
      <c r="K737" s="188" t="s">
        <v>234</v>
      </c>
      <c r="L737" s="129" t="s">
        <v>551</v>
      </c>
      <c r="M737" s="56"/>
    </row>
    <row r="738" spans="2:13" ht="13.5" customHeight="1" thickBot="1" x14ac:dyDescent="0.25">
      <c r="B738" s="47">
        <f t="shared" ref="B738:J738" si="232">SUM(B736:B737)</f>
        <v>157</v>
      </c>
      <c r="C738" s="47">
        <f t="shared" si="232"/>
        <v>157</v>
      </c>
      <c r="D738" s="47">
        <f t="shared" si="232"/>
        <v>0</v>
      </c>
      <c r="E738" s="47">
        <f t="shared" si="232"/>
        <v>0</v>
      </c>
      <c r="F738" s="47">
        <f t="shared" si="232"/>
        <v>0</v>
      </c>
      <c r="G738" s="47">
        <f t="shared" si="232"/>
        <v>0</v>
      </c>
      <c r="H738" s="47">
        <f t="shared" si="232"/>
        <v>157</v>
      </c>
      <c r="I738" s="47">
        <f t="shared" si="232"/>
        <v>157</v>
      </c>
      <c r="J738" s="47">
        <f t="shared" si="232"/>
        <v>0</v>
      </c>
      <c r="K738" s="188" t="s">
        <v>12</v>
      </c>
      <c r="L738" s="130"/>
      <c r="M738" s="56"/>
    </row>
    <row r="739" spans="2:13" ht="13.5" customHeight="1" thickBot="1" x14ac:dyDescent="0.25">
      <c r="B739" s="47">
        <f>SUM(C739:D739)</f>
        <v>156</v>
      </c>
      <c r="C739" s="47">
        <f>I739+F739</f>
        <v>156</v>
      </c>
      <c r="D739" s="47">
        <f>J739+G739</f>
        <v>0</v>
      </c>
      <c r="E739" s="47">
        <f>SUM(F739:G739)</f>
        <v>0</v>
      </c>
      <c r="F739" s="47">
        <v>0</v>
      </c>
      <c r="G739" s="47">
        <v>0</v>
      </c>
      <c r="H739" s="47">
        <f>SUM(I739:J739)</f>
        <v>156</v>
      </c>
      <c r="I739" s="47">
        <f>96+60</f>
        <v>156</v>
      </c>
      <c r="J739" s="47">
        <v>0</v>
      </c>
      <c r="K739" s="188" t="s">
        <v>233</v>
      </c>
      <c r="L739" s="129"/>
      <c r="M739" s="56"/>
    </row>
    <row r="740" spans="2:13" ht="13.5" customHeight="1" thickBot="1" x14ac:dyDescent="0.25">
      <c r="B740" s="47">
        <f>SUM(C740:D740)</f>
        <v>37</v>
      </c>
      <c r="C740" s="47">
        <f>I740+F740</f>
        <v>37</v>
      </c>
      <c r="D740" s="47">
        <f>J740+G740</f>
        <v>0</v>
      </c>
      <c r="E740" s="47">
        <f>SUM(F740:G740)</f>
        <v>0</v>
      </c>
      <c r="F740" s="47">
        <v>0</v>
      </c>
      <c r="G740" s="47">
        <v>0</v>
      </c>
      <c r="H740" s="47">
        <f>SUM(I740:J740)</f>
        <v>37</v>
      </c>
      <c r="I740" s="47">
        <f>6+31</f>
        <v>37</v>
      </c>
      <c r="J740" s="47">
        <v>0</v>
      </c>
      <c r="K740" s="188" t="s">
        <v>234</v>
      </c>
      <c r="L740" s="129" t="s">
        <v>552</v>
      </c>
      <c r="M740" s="56"/>
    </row>
    <row r="741" spans="2:13" ht="13.5" customHeight="1" thickBot="1" x14ac:dyDescent="0.25">
      <c r="B741" s="47">
        <f t="shared" ref="B741:J741" si="233">SUM(B739:B740)</f>
        <v>193</v>
      </c>
      <c r="C741" s="47">
        <f t="shared" si="233"/>
        <v>193</v>
      </c>
      <c r="D741" s="47">
        <f t="shared" si="233"/>
        <v>0</v>
      </c>
      <c r="E741" s="47">
        <f t="shared" si="233"/>
        <v>0</v>
      </c>
      <c r="F741" s="47">
        <f t="shared" si="233"/>
        <v>0</v>
      </c>
      <c r="G741" s="47">
        <f t="shared" si="233"/>
        <v>0</v>
      </c>
      <c r="H741" s="47">
        <f t="shared" si="233"/>
        <v>193</v>
      </c>
      <c r="I741" s="47">
        <f t="shared" si="233"/>
        <v>193</v>
      </c>
      <c r="J741" s="47">
        <f t="shared" si="233"/>
        <v>0</v>
      </c>
      <c r="K741" s="188" t="s">
        <v>12</v>
      </c>
      <c r="L741" s="130"/>
      <c r="M741" s="56"/>
    </row>
    <row r="742" spans="2:13" ht="13.5" customHeight="1" thickBot="1" x14ac:dyDescent="0.25">
      <c r="B742" s="47">
        <f t="shared" ref="B742:J744" si="234">B670+B673+B676+B679+B682+B685+B688+B691+B694+B697+B700+B703+B706+B709+B712+B715+B718+B721+B724+B727+B730+B733+B736+B739</f>
        <v>6762</v>
      </c>
      <c r="C742" s="47">
        <f t="shared" si="234"/>
        <v>6762</v>
      </c>
      <c r="D742" s="47">
        <f t="shared" si="234"/>
        <v>0</v>
      </c>
      <c r="E742" s="47">
        <f t="shared" si="234"/>
        <v>9</v>
      </c>
      <c r="F742" s="47">
        <f t="shared" si="234"/>
        <v>9</v>
      </c>
      <c r="G742" s="47">
        <f t="shared" si="234"/>
        <v>0</v>
      </c>
      <c r="H742" s="47">
        <f t="shared" si="234"/>
        <v>6753</v>
      </c>
      <c r="I742" s="47">
        <f t="shared" si="234"/>
        <v>6753</v>
      </c>
      <c r="J742" s="47">
        <f t="shared" si="234"/>
        <v>0</v>
      </c>
      <c r="K742" s="188" t="s">
        <v>236</v>
      </c>
      <c r="L742" s="131"/>
      <c r="M742" s="56"/>
    </row>
    <row r="743" spans="2:13" ht="13.5" customHeight="1" thickBot="1" x14ac:dyDescent="0.25">
      <c r="B743" s="47">
        <f t="shared" si="234"/>
        <v>1223</v>
      </c>
      <c r="C743" s="47">
        <f t="shared" si="234"/>
        <v>1223</v>
      </c>
      <c r="D743" s="47">
        <f t="shared" si="234"/>
        <v>0</v>
      </c>
      <c r="E743" s="47">
        <f t="shared" si="234"/>
        <v>0</v>
      </c>
      <c r="F743" s="47">
        <f t="shared" si="234"/>
        <v>0</v>
      </c>
      <c r="G743" s="47">
        <f t="shared" si="234"/>
        <v>0</v>
      </c>
      <c r="H743" s="47">
        <f t="shared" si="234"/>
        <v>1223</v>
      </c>
      <c r="I743" s="47">
        <f t="shared" si="234"/>
        <v>1223</v>
      </c>
      <c r="J743" s="47">
        <f t="shared" si="234"/>
        <v>0</v>
      </c>
      <c r="K743" s="188" t="s">
        <v>237</v>
      </c>
      <c r="L743" s="132" t="s">
        <v>188</v>
      </c>
      <c r="M743" s="56"/>
    </row>
    <row r="744" spans="2:13" ht="13.5" customHeight="1" thickBot="1" x14ac:dyDescent="0.25">
      <c r="B744" s="47">
        <f t="shared" si="234"/>
        <v>7985</v>
      </c>
      <c r="C744" s="47">
        <f t="shared" si="234"/>
        <v>7985</v>
      </c>
      <c r="D744" s="47">
        <f t="shared" si="234"/>
        <v>0</v>
      </c>
      <c r="E744" s="47">
        <f t="shared" si="234"/>
        <v>9</v>
      </c>
      <c r="F744" s="47">
        <f t="shared" si="234"/>
        <v>9</v>
      </c>
      <c r="G744" s="47">
        <f t="shared" si="234"/>
        <v>0</v>
      </c>
      <c r="H744" s="47">
        <f t="shared" si="234"/>
        <v>7976</v>
      </c>
      <c r="I744" s="47">
        <f t="shared" si="234"/>
        <v>7976</v>
      </c>
      <c r="J744" s="47">
        <f t="shared" si="234"/>
        <v>0</v>
      </c>
      <c r="K744" s="188" t="s">
        <v>12</v>
      </c>
      <c r="L744" s="133"/>
      <c r="M744" s="56"/>
    </row>
    <row r="745" spans="2:13" ht="13.5" customHeight="1" thickBot="1" x14ac:dyDescent="0.25">
      <c r="B745" s="476" t="s">
        <v>4</v>
      </c>
      <c r="C745" s="476"/>
      <c r="D745" s="476"/>
      <c r="E745" s="476" t="s">
        <v>145</v>
      </c>
      <c r="F745" s="476"/>
      <c r="G745" s="476"/>
      <c r="H745" s="476" t="s">
        <v>146</v>
      </c>
      <c r="I745" s="476"/>
      <c r="J745" s="476"/>
      <c r="K745" s="479" t="s">
        <v>66</v>
      </c>
      <c r="L745" s="479"/>
      <c r="M745" s="56"/>
    </row>
    <row r="746" spans="2:13" ht="13.5" customHeight="1" thickBot="1" x14ac:dyDescent="0.25">
      <c r="B746" s="185" t="s">
        <v>227</v>
      </c>
      <c r="C746" s="185" t="s">
        <v>10</v>
      </c>
      <c r="D746" s="185" t="s">
        <v>9</v>
      </c>
      <c r="E746" s="185" t="s">
        <v>227</v>
      </c>
      <c r="F746" s="185" t="s">
        <v>10</v>
      </c>
      <c r="G746" s="185" t="s">
        <v>9</v>
      </c>
      <c r="H746" s="185" t="s">
        <v>227</v>
      </c>
      <c r="I746" s="185" t="s">
        <v>10</v>
      </c>
      <c r="J746" s="185" t="s">
        <v>9</v>
      </c>
      <c r="K746" s="480" t="s">
        <v>123</v>
      </c>
      <c r="L746" s="480"/>
      <c r="M746" s="56"/>
    </row>
    <row r="747" spans="2:13" ht="13.5" customHeight="1" thickBot="1" x14ac:dyDescent="0.25">
      <c r="B747" s="47">
        <f>SUM(C747:D747)</f>
        <v>138</v>
      </c>
      <c r="C747" s="47">
        <f>I747+F747</f>
        <v>0</v>
      </c>
      <c r="D747" s="47">
        <f>J747+G747</f>
        <v>138</v>
      </c>
      <c r="E747" s="47">
        <f>SUM(F747:G747)</f>
        <v>0</v>
      </c>
      <c r="F747" s="47">
        <v>0</v>
      </c>
      <c r="G747" s="47">
        <v>0</v>
      </c>
      <c r="H747" s="47">
        <f>SUM(I747:J747)</f>
        <v>138</v>
      </c>
      <c r="I747" s="47">
        <v>0</v>
      </c>
      <c r="J747" s="47">
        <v>138</v>
      </c>
      <c r="K747" s="188" t="s">
        <v>233</v>
      </c>
      <c r="L747" s="129"/>
      <c r="M747" s="56"/>
    </row>
    <row r="748" spans="2:13" ht="13.5" customHeight="1" thickBot="1" x14ac:dyDescent="0.25">
      <c r="B748" s="47">
        <f>SUM(C748:D748)</f>
        <v>0</v>
      </c>
      <c r="C748" s="47">
        <f>I748+F748</f>
        <v>0</v>
      </c>
      <c r="D748" s="47">
        <f>J748+G748</f>
        <v>0</v>
      </c>
      <c r="E748" s="47">
        <f>SUM(F748:G748)</f>
        <v>0</v>
      </c>
      <c r="F748" s="47">
        <v>0</v>
      </c>
      <c r="G748" s="47">
        <v>0</v>
      </c>
      <c r="H748" s="47">
        <f>SUM(I748:J748)</f>
        <v>0</v>
      </c>
      <c r="I748" s="47">
        <v>0</v>
      </c>
      <c r="J748" s="47">
        <v>0</v>
      </c>
      <c r="K748" s="188" t="s">
        <v>234</v>
      </c>
      <c r="L748" s="129" t="s">
        <v>286</v>
      </c>
      <c r="M748" s="56"/>
    </row>
    <row r="749" spans="2:13" ht="13.5" customHeight="1" thickBot="1" x14ac:dyDescent="0.25">
      <c r="B749" s="47">
        <f t="shared" ref="B749:J749" si="235">SUM(B747:B748)</f>
        <v>138</v>
      </c>
      <c r="C749" s="47">
        <f t="shared" si="235"/>
        <v>0</v>
      </c>
      <c r="D749" s="47">
        <f t="shared" si="235"/>
        <v>138</v>
      </c>
      <c r="E749" s="47">
        <f t="shared" si="235"/>
        <v>0</v>
      </c>
      <c r="F749" s="47">
        <f t="shared" si="235"/>
        <v>0</v>
      </c>
      <c r="G749" s="47">
        <f t="shared" si="235"/>
        <v>0</v>
      </c>
      <c r="H749" s="47">
        <f t="shared" si="235"/>
        <v>138</v>
      </c>
      <c r="I749" s="47">
        <f t="shared" si="235"/>
        <v>0</v>
      </c>
      <c r="J749" s="47">
        <f t="shared" si="235"/>
        <v>138</v>
      </c>
      <c r="K749" s="188" t="s">
        <v>12</v>
      </c>
      <c r="L749" s="130"/>
      <c r="M749" s="56"/>
    </row>
    <row r="750" spans="2:13" ht="13.5" customHeight="1" thickBot="1" x14ac:dyDescent="0.25">
      <c r="B750" s="47">
        <f>SUM(C750:D750)</f>
        <v>455</v>
      </c>
      <c r="C750" s="47">
        <f>I750+F750</f>
        <v>455</v>
      </c>
      <c r="D750" s="47">
        <f>J750+G750</f>
        <v>0</v>
      </c>
      <c r="E750" s="47">
        <f>SUM(F750:G750)</f>
        <v>0</v>
      </c>
      <c r="F750" s="47">
        <v>0</v>
      </c>
      <c r="G750" s="47">
        <v>0</v>
      </c>
      <c r="H750" s="47">
        <f>SUM(I750:J750)</f>
        <v>455</v>
      </c>
      <c r="I750" s="47">
        <v>455</v>
      </c>
      <c r="J750" s="47">
        <v>0</v>
      </c>
      <c r="K750" s="188" t="s">
        <v>233</v>
      </c>
      <c r="L750" s="129"/>
      <c r="M750" s="56"/>
    </row>
    <row r="751" spans="2:13" ht="13.5" customHeight="1" thickBot="1" x14ac:dyDescent="0.25">
      <c r="B751" s="47">
        <f>SUM(C751:D751)</f>
        <v>0</v>
      </c>
      <c r="C751" s="47">
        <f>I751+F751</f>
        <v>0</v>
      </c>
      <c r="D751" s="47">
        <f>J751+G751</f>
        <v>0</v>
      </c>
      <c r="E751" s="47">
        <f>SUM(F751:G751)</f>
        <v>0</v>
      </c>
      <c r="F751" s="47">
        <v>0</v>
      </c>
      <c r="G751" s="47">
        <v>0</v>
      </c>
      <c r="H751" s="47">
        <f>SUM(I751:J751)</f>
        <v>0</v>
      </c>
      <c r="I751" s="47">
        <v>0</v>
      </c>
      <c r="J751" s="47">
        <v>0</v>
      </c>
      <c r="K751" s="188" t="s">
        <v>234</v>
      </c>
      <c r="L751" s="129" t="s">
        <v>559</v>
      </c>
      <c r="M751" s="56"/>
    </row>
    <row r="752" spans="2:13" ht="13.5" customHeight="1" thickBot="1" x14ac:dyDescent="0.25">
      <c r="B752" s="47">
        <f t="shared" ref="B752:J752" si="236">SUM(B750:B751)</f>
        <v>455</v>
      </c>
      <c r="C752" s="47">
        <f t="shared" si="236"/>
        <v>455</v>
      </c>
      <c r="D752" s="47">
        <f t="shared" si="236"/>
        <v>0</v>
      </c>
      <c r="E752" s="47">
        <f t="shared" si="236"/>
        <v>0</v>
      </c>
      <c r="F752" s="47">
        <f t="shared" si="236"/>
        <v>0</v>
      </c>
      <c r="G752" s="47">
        <f t="shared" si="236"/>
        <v>0</v>
      </c>
      <c r="H752" s="47">
        <f t="shared" si="236"/>
        <v>455</v>
      </c>
      <c r="I752" s="47">
        <f t="shared" si="236"/>
        <v>455</v>
      </c>
      <c r="J752" s="47">
        <f t="shared" si="236"/>
        <v>0</v>
      </c>
      <c r="K752" s="188" t="s">
        <v>12</v>
      </c>
      <c r="L752" s="130"/>
      <c r="M752" s="56"/>
    </row>
    <row r="753" spans="2:13" ht="13.5" customHeight="1" thickBot="1" x14ac:dyDescent="0.25">
      <c r="B753" s="47">
        <f>SUM(C753:D753)</f>
        <v>511</v>
      </c>
      <c r="C753" s="47">
        <f>I753+F753</f>
        <v>511</v>
      </c>
      <c r="D753" s="47">
        <f>J753+G753</f>
        <v>0</v>
      </c>
      <c r="E753" s="47">
        <f>SUM(F753:G753)</f>
        <v>0</v>
      </c>
      <c r="F753" s="47">
        <v>0</v>
      </c>
      <c r="G753" s="47">
        <v>0</v>
      </c>
      <c r="H753" s="47">
        <f>SUM(I753:J753)</f>
        <v>511</v>
      </c>
      <c r="I753" s="47">
        <v>511</v>
      </c>
      <c r="J753" s="47">
        <v>0</v>
      </c>
      <c r="K753" s="188" t="s">
        <v>233</v>
      </c>
      <c r="L753" s="129"/>
      <c r="M753" s="56"/>
    </row>
    <row r="754" spans="2:13" ht="13.5" customHeight="1" thickBot="1" x14ac:dyDescent="0.25">
      <c r="B754" s="47">
        <f>SUM(C754:D754)</f>
        <v>72</v>
      </c>
      <c r="C754" s="47">
        <f>I754+F754</f>
        <v>72</v>
      </c>
      <c r="D754" s="47">
        <f>J754+G754</f>
        <v>0</v>
      </c>
      <c r="E754" s="47">
        <f>SUM(F754:G754)</f>
        <v>0</v>
      </c>
      <c r="F754" s="47">
        <v>0</v>
      </c>
      <c r="G754" s="47">
        <v>0</v>
      </c>
      <c r="H754" s="47">
        <f>SUM(I754:J754)</f>
        <v>72</v>
      </c>
      <c r="I754" s="47">
        <v>72</v>
      </c>
      <c r="J754" s="47">
        <v>0</v>
      </c>
      <c r="K754" s="188" t="s">
        <v>234</v>
      </c>
      <c r="L754" s="129" t="s">
        <v>560</v>
      </c>
      <c r="M754" s="56"/>
    </row>
    <row r="755" spans="2:13" ht="13.5" customHeight="1" thickBot="1" x14ac:dyDescent="0.25">
      <c r="B755" s="47">
        <f t="shared" ref="B755:J755" si="237">SUM(B753:B754)</f>
        <v>583</v>
      </c>
      <c r="C755" s="47">
        <f t="shared" si="237"/>
        <v>583</v>
      </c>
      <c r="D755" s="47">
        <f t="shared" si="237"/>
        <v>0</v>
      </c>
      <c r="E755" s="47">
        <f t="shared" si="237"/>
        <v>0</v>
      </c>
      <c r="F755" s="47">
        <f t="shared" si="237"/>
        <v>0</v>
      </c>
      <c r="G755" s="47">
        <f t="shared" si="237"/>
        <v>0</v>
      </c>
      <c r="H755" s="47">
        <f t="shared" si="237"/>
        <v>583</v>
      </c>
      <c r="I755" s="47">
        <f t="shared" si="237"/>
        <v>583</v>
      </c>
      <c r="J755" s="47">
        <f t="shared" si="237"/>
        <v>0</v>
      </c>
      <c r="K755" s="188" t="s">
        <v>12</v>
      </c>
      <c r="L755" s="130"/>
      <c r="M755" s="56"/>
    </row>
    <row r="756" spans="2:13" ht="13.5" customHeight="1" thickBot="1" x14ac:dyDescent="0.25">
      <c r="B756" s="47">
        <f t="shared" ref="B756:J758" si="238">B747+B750+B753</f>
        <v>1104</v>
      </c>
      <c r="C756" s="47">
        <f t="shared" si="238"/>
        <v>966</v>
      </c>
      <c r="D756" s="47">
        <f t="shared" si="238"/>
        <v>138</v>
      </c>
      <c r="E756" s="47">
        <f t="shared" si="238"/>
        <v>0</v>
      </c>
      <c r="F756" s="47">
        <f t="shared" si="238"/>
        <v>0</v>
      </c>
      <c r="G756" s="47">
        <f t="shared" si="238"/>
        <v>0</v>
      </c>
      <c r="H756" s="47">
        <f t="shared" si="238"/>
        <v>1104</v>
      </c>
      <c r="I756" s="47">
        <f t="shared" si="238"/>
        <v>966</v>
      </c>
      <c r="J756" s="47">
        <f t="shared" si="238"/>
        <v>138</v>
      </c>
      <c r="K756" s="188" t="s">
        <v>236</v>
      </c>
      <c r="L756" s="131"/>
      <c r="M756" s="56"/>
    </row>
    <row r="757" spans="2:13" ht="13.5" customHeight="1" thickBot="1" x14ac:dyDescent="0.25">
      <c r="B757" s="47">
        <f t="shared" si="238"/>
        <v>72</v>
      </c>
      <c r="C757" s="47">
        <f t="shared" si="238"/>
        <v>72</v>
      </c>
      <c r="D757" s="47">
        <f t="shared" si="238"/>
        <v>0</v>
      </c>
      <c r="E757" s="47">
        <f t="shared" si="238"/>
        <v>0</v>
      </c>
      <c r="F757" s="47">
        <f t="shared" si="238"/>
        <v>0</v>
      </c>
      <c r="G757" s="47">
        <f t="shared" si="238"/>
        <v>0</v>
      </c>
      <c r="H757" s="47">
        <f t="shared" si="238"/>
        <v>72</v>
      </c>
      <c r="I757" s="47">
        <f t="shared" si="238"/>
        <v>72</v>
      </c>
      <c r="J757" s="47">
        <f t="shared" si="238"/>
        <v>0</v>
      </c>
      <c r="K757" s="188" t="s">
        <v>237</v>
      </c>
      <c r="L757" s="132" t="s">
        <v>188</v>
      </c>
      <c r="M757" s="56"/>
    </row>
    <row r="758" spans="2:13" ht="13.5" customHeight="1" thickBot="1" x14ac:dyDescent="0.25">
      <c r="B758" s="47">
        <f t="shared" si="238"/>
        <v>1176</v>
      </c>
      <c r="C758" s="47">
        <f t="shared" si="238"/>
        <v>1038</v>
      </c>
      <c r="D758" s="47">
        <f t="shared" si="238"/>
        <v>138</v>
      </c>
      <c r="E758" s="47">
        <f t="shared" si="238"/>
        <v>0</v>
      </c>
      <c r="F758" s="47">
        <f t="shared" si="238"/>
        <v>0</v>
      </c>
      <c r="G758" s="47">
        <f t="shared" si="238"/>
        <v>0</v>
      </c>
      <c r="H758" s="47">
        <f t="shared" si="238"/>
        <v>1176</v>
      </c>
      <c r="I758" s="47">
        <f t="shared" si="238"/>
        <v>1038</v>
      </c>
      <c r="J758" s="47">
        <f t="shared" si="238"/>
        <v>138</v>
      </c>
      <c r="K758" s="188" t="s">
        <v>12</v>
      </c>
      <c r="L758" s="133"/>
      <c r="M758" s="56"/>
    </row>
    <row r="759" spans="2:13" ht="13.5" customHeight="1" thickBot="1" x14ac:dyDescent="0.25">
      <c r="B759" s="476" t="s">
        <v>4</v>
      </c>
      <c r="C759" s="476"/>
      <c r="D759" s="476"/>
      <c r="E759" s="476" t="s">
        <v>145</v>
      </c>
      <c r="F759" s="476"/>
      <c r="G759" s="476"/>
      <c r="H759" s="476" t="s">
        <v>146</v>
      </c>
      <c r="I759" s="476"/>
      <c r="J759" s="476"/>
      <c r="K759" s="479" t="s">
        <v>66</v>
      </c>
      <c r="L759" s="479"/>
      <c r="M759" s="56"/>
    </row>
    <row r="760" spans="2:13" ht="13.5" customHeight="1" thickBot="1" x14ac:dyDescent="0.25">
      <c r="B760" s="185" t="s">
        <v>227</v>
      </c>
      <c r="C760" s="185" t="s">
        <v>10</v>
      </c>
      <c r="D760" s="185" t="s">
        <v>9</v>
      </c>
      <c r="E760" s="185" t="s">
        <v>227</v>
      </c>
      <c r="F760" s="185" t="s">
        <v>10</v>
      </c>
      <c r="G760" s="185" t="s">
        <v>9</v>
      </c>
      <c r="H760" s="185" t="s">
        <v>227</v>
      </c>
      <c r="I760" s="185" t="s">
        <v>10</v>
      </c>
      <c r="J760" s="185" t="s">
        <v>9</v>
      </c>
      <c r="K760" s="480" t="s">
        <v>148</v>
      </c>
      <c r="L760" s="480"/>
      <c r="M760" s="56"/>
    </row>
    <row r="761" spans="2:13" ht="13.5" customHeight="1" thickBot="1" x14ac:dyDescent="0.25">
      <c r="B761" s="47">
        <f>SUM(C761:D761)</f>
        <v>85</v>
      </c>
      <c r="C761" s="47">
        <f>I761+F761</f>
        <v>85</v>
      </c>
      <c r="D761" s="47">
        <f>J761+G761</f>
        <v>0</v>
      </c>
      <c r="E761" s="47">
        <f>SUM(F761:G761)</f>
        <v>0</v>
      </c>
      <c r="F761" s="47">
        <v>0</v>
      </c>
      <c r="G761" s="47">
        <v>0</v>
      </c>
      <c r="H761" s="47">
        <f>SUM(I761:J761)</f>
        <v>85</v>
      </c>
      <c r="I761" s="47">
        <v>85</v>
      </c>
      <c r="J761" s="47">
        <v>0</v>
      </c>
      <c r="K761" s="188" t="s">
        <v>233</v>
      </c>
      <c r="L761" s="129"/>
      <c r="M761" s="56"/>
    </row>
    <row r="762" spans="2:13" ht="13.5" customHeight="1" thickBot="1" x14ac:dyDescent="0.25">
      <c r="B762" s="47">
        <f>SUM(C762:D762)</f>
        <v>0</v>
      </c>
      <c r="C762" s="47">
        <f>I762+F762</f>
        <v>0</v>
      </c>
      <c r="D762" s="47">
        <f>J762+G762</f>
        <v>0</v>
      </c>
      <c r="E762" s="47">
        <f>SUM(F762:G762)</f>
        <v>0</v>
      </c>
      <c r="F762" s="47">
        <v>0</v>
      </c>
      <c r="G762" s="47">
        <v>0</v>
      </c>
      <c r="H762" s="47">
        <f>SUM(I762:J762)</f>
        <v>0</v>
      </c>
      <c r="I762" s="47">
        <v>0</v>
      </c>
      <c r="J762" s="47">
        <v>0</v>
      </c>
      <c r="K762" s="188" t="s">
        <v>234</v>
      </c>
      <c r="L762" s="129" t="s">
        <v>563</v>
      </c>
      <c r="M762" s="56"/>
    </row>
    <row r="763" spans="2:13" ht="13.5" customHeight="1" thickBot="1" x14ac:dyDescent="0.25">
      <c r="B763" s="47">
        <f t="shared" ref="B763:J763" si="239">SUM(B761:B762)</f>
        <v>85</v>
      </c>
      <c r="C763" s="47">
        <f t="shared" si="239"/>
        <v>85</v>
      </c>
      <c r="D763" s="47">
        <f t="shared" si="239"/>
        <v>0</v>
      </c>
      <c r="E763" s="47">
        <f t="shared" si="239"/>
        <v>0</v>
      </c>
      <c r="F763" s="47">
        <f t="shared" si="239"/>
        <v>0</v>
      </c>
      <c r="G763" s="47">
        <f t="shared" si="239"/>
        <v>0</v>
      </c>
      <c r="H763" s="47">
        <f t="shared" si="239"/>
        <v>85</v>
      </c>
      <c r="I763" s="47">
        <f t="shared" si="239"/>
        <v>85</v>
      </c>
      <c r="J763" s="47">
        <f t="shared" si="239"/>
        <v>0</v>
      </c>
      <c r="K763" s="188" t="s">
        <v>12</v>
      </c>
      <c r="L763" s="130"/>
      <c r="M763" s="56"/>
    </row>
    <row r="764" spans="2:13" ht="13.5" customHeight="1" thickBot="1" x14ac:dyDescent="0.25">
      <c r="B764" s="47">
        <f>SUM(C764:D764)</f>
        <v>24</v>
      </c>
      <c r="C764" s="47">
        <f>I764+F764</f>
        <v>0</v>
      </c>
      <c r="D764" s="47">
        <f>J764+G764</f>
        <v>24</v>
      </c>
      <c r="E764" s="47">
        <f>SUM(F764:G764)</f>
        <v>0</v>
      </c>
      <c r="F764" s="47">
        <v>0</v>
      </c>
      <c r="G764" s="47">
        <v>0</v>
      </c>
      <c r="H764" s="47">
        <f>SUM(I764:J764)</f>
        <v>24</v>
      </c>
      <c r="I764" s="47">
        <v>0</v>
      </c>
      <c r="J764" s="47">
        <v>24</v>
      </c>
      <c r="K764" s="188" t="s">
        <v>233</v>
      </c>
      <c r="L764" s="129"/>
      <c r="M764" s="56"/>
    </row>
    <row r="765" spans="2:13" ht="13.5" customHeight="1" thickBot="1" x14ac:dyDescent="0.25">
      <c r="B765" s="47">
        <f>SUM(C765:D765)</f>
        <v>0</v>
      </c>
      <c r="C765" s="47">
        <f>I765+F765</f>
        <v>0</v>
      </c>
      <c r="D765" s="47">
        <f>J765+G765</f>
        <v>0</v>
      </c>
      <c r="E765" s="47">
        <f>SUM(F765:G765)</f>
        <v>0</v>
      </c>
      <c r="F765" s="47">
        <v>0</v>
      </c>
      <c r="G765" s="47">
        <v>0</v>
      </c>
      <c r="H765" s="47">
        <f>SUM(I765:J765)</f>
        <v>0</v>
      </c>
      <c r="I765" s="47">
        <v>0</v>
      </c>
      <c r="J765" s="47">
        <v>0</v>
      </c>
      <c r="K765" s="188" t="s">
        <v>234</v>
      </c>
      <c r="L765" s="129" t="s">
        <v>344</v>
      </c>
      <c r="M765" s="56"/>
    </row>
    <row r="766" spans="2:13" ht="13.5" customHeight="1" thickBot="1" x14ac:dyDescent="0.25">
      <c r="B766" s="47">
        <f t="shared" ref="B766:J766" si="240">SUM(B764:B765)</f>
        <v>24</v>
      </c>
      <c r="C766" s="47">
        <f t="shared" si="240"/>
        <v>0</v>
      </c>
      <c r="D766" s="47">
        <f t="shared" si="240"/>
        <v>24</v>
      </c>
      <c r="E766" s="47">
        <f t="shared" si="240"/>
        <v>0</v>
      </c>
      <c r="F766" s="47">
        <f t="shared" si="240"/>
        <v>0</v>
      </c>
      <c r="G766" s="47">
        <f t="shared" si="240"/>
        <v>0</v>
      </c>
      <c r="H766" s="47">
        <f t="shared" si="240"/>
        <v>24</v>
      </c>
      <c r="I766" s="47">
        <f t="shared" si="240"/>
        <v>0</v>
      </c>
      <c r="J766" s="47">
        <f t="shared" si="240"/>
        <v>24</v>
      </c>
      <c r="K766" s="188" t="s">
        <v>12</v>
      </c>
      <c r="L766" s="130"/>
      <c r="M766" s="56"/>
    </row>
    <row r="767" spans="2:13" ht="13.5" customHeight="1" thickBot="1" x14ac:dyDescent="0.25">
      <c r="B767" s="47">
        <f t="shared" ref="B767:J769" si="241">B761+B764</f>
        <v>109</v>
      </c>
      <c r="C767" s="47">
        <f t="shared" si="241"/>
        <v>85</v>
      </c>
      <c r="D767" s="47">
        <f t="shared" si="241"/>
        <v>24</v>
      </c>
      <c r="E767" s="47">
        <f t="shared" si="241"/>
        <v>0</v>
      </c>
      <c r="F767" s="47">
        <f t="shared" si="241"/>
        <v>0</v>
      </c>
      <c r="G767" s="47">
        <f t="shared" si="241"/>
        <v>0</v>
      </c>
      <c r="H767" s="47">
        <f t="shared" si="241"/>
        <v>109</v>
      </c>
      <c r="I767" s="47">
        <f t="shared" si="241"/>
        <v>85</v>
      </c>
      <c r="J767" s="47">
        <f t="shared" si="241"/>
        <v>24</v>
      </c>
      <c r="K767" s="188" t="s">
        <v>236</v>
      </c>
      <c r="L767" s="131"/>
      <c r="M767" s="56"/>
    </row>
    <row r="768" spans="2:13" ht="13.5" customHeight="1" thickBot="1" x14ac:dyDescent="0.25">
      <c r="B768" s="47">
        <f t="shared" si="241"/>
        <v>0</v>
      </c>
      <c r="C768" s="47">
        <f t="shared" si="241"/>
        <v>0</v>
      </c>
      <c r="D768" s="47">
        <f t="shared" si="241"/>
        <v>0</v>
      </c>
      <c r="E768" s="47">
        <f t="shared" si="241"/>
        <v>0</v>
      </c>
      <c r="F768" s="47">
        <f t="shared" si="241"/>
        <v>0</v>
      </c>
      <c r="G768" s="47">
        <f t="shared" si="241"/>
        <v>0</v>
      </c>
      <c r="H768" s="47">
        <f t="shared" si="241"/>
        <v>0</v>
      </c>
      <c r="I768" s="47">
        <f t="shared" si="241"/>
        <v>0</v>
      </c>
      <c r="J768" s="47">
        <f t="shared" si="241"/>
        <v>0</v>
      </c>
      <c r="K768" s="188" t="s">
        <v>237</v>
      </c>
      <c r="L768" s="132" t="s">
        <v>188</v>
      </c>
      <c r="M768" s="56"/>
    </row>
    <row r="769" spans="2:13" ht="13.5" customHeight="1" thickBot="1" x14ac:dyDescent="0.25">
      <c r="B769" s="47">
        <f t="shared" si="241"/>
        <v>109</v>
      </c>
      <c r="C769" s="47">
        <f t="shared" si="241"/>
        <v>85</v>
      </c>
      <c r="D769" s="47">
        <f t="shared" si="241"/>
        <v>24</v>
      </c>
      <c r="E769" s="47">
        <f t="shared" si="241"/>
        <v>0</v>
      </c>
      <c r="F769" s="47">
        <f t="shared" si="241"/>
        <v>0</v>
      </c>
      <c r="G769" s="47">
        <f t="shared" si="241"/>
        <v>0</v>
      </c>
      <c r="H769" s="47">
        <f t="shared" si="241"/>
        <v>109</v>
      </c>
      <c r="I769" s="47">
        <f t="shared" si="241"/>
        <v>85</v>
      </c>
      <c r="J769" s="47">
        <f t="shared" si="241"/>
        <v>24</v>
      </c>
      <c r="K769" s="188" t="s">
        <v>12</v>
      </c>
      <c r="L769" s="133"/>
      <c r="M769" s="56"/>
    </row>
    <row r="770" spans="2:13" ht="13.5" customHeight="1" thickBot="1" x14ac:dyDescent="0.25">
      <c r="B770" s="476" t="s">
        <v>4</v>
      </c>
      <c r="C770" s="476"/>
      <c r="D770" s="476"/>
      <c r="E770" s="476" t="s">
        <v>145</v>
      </c>
      <c r="F770" s="476"/>
      <c r="G770" s="476"/>
      <c r="H770" s="476" t="s">
        <v>146</v>
      </c>
      <c r="I770" s="476"/>
      <c r="J770" s="476"/>
      <c r="K770" s="479" t="s">
        <v>66</v>
      </c>
      <c r="L770" s="479"/>
      <c r="M770" s="56"/>
    </row>
    <row r="771" spans="2:13" ht="13.5" customHeight="1" thickBot="1" x14ac:dyDescent="0.25">
      <c r="B771" s="185" t="s">
        <v>227</v>
      </c>
      <c r="C771" s="185" t="s">
        <v>10</v>
      </c>
      <c r="D771" s="185" t="s">
        <v>9</v>
      </c>
      <c r="E771" s="185" t="s">
        <v>227</v>
      </c>
      <c r="F771" s="185" t="s">
        <v>10</v>
      </c>
      <c r="G771" s="185" t="s">
        <v>9</v>
      </c>
      <c r="H771" s="185" t="s">
        <v>227</v>
      </c>
      <c r="I771" s="185" t="s">
        <v>10</v>
      </c>
      <c r="J771" s="185" t="s">
        <v>9</v>
      </c>
      <c r="K771" s="480" t="s">
        <v>155</v>
      </c>
      <c r="L771" s="480"/>
      <c r="M771" s="56"/>
    </row>
    <row r="772" spans="2:13" ht="13.5" customHeight="1" thickBot="1" x14ac:dyDescent="0.25">
      <c r="B772" s="47">
        <f>D772+C772</f>
        <v>168</v>
      </c>
      <c r="C772" s="47">
        <f>I772+F772</f>
        <v>93</v>
      </c>
      <c r="D772" s="47">
        <f>J772+G772</f>
        <v>75</v>
      </c>
      <c r="E772" s="47">
        <f>G772+F772</f>
        <v>47</v>
      </c>
      <c r="F772" s="47">
        <v>32</v>
      </c>
      <c r="G772" s="47">
        <v>15</v>
      </c>
      <c r="H772" s="47">
        <f>J772+I772</f>
        <v>121</v>
      </c>
      <c r="I772" s="47">
        <v>61</v>
      </c>
      <c r="J772" s="47">
        <v>60</v>
      </c>
      <c r="K772" s="188" t="s">
        <v>233</v>
      </c>
      <c r="L772" s="129"/>
      <c r="M772" s="56"/>
    </row>
    <row r="773" spans="2:13" ht="13.5" customHeight="1" thickBot="1" x14ac:dyDescent="0.25">
      <c r="B773" s="47">
        <f>D773+C773</f>
        <v>0</v>
      </c>
      <c r="C773" s="47">
        <f>I773+F773</f>
        <v>0</v>
      </c>
      <c r="D773" s="47">
        <f>J773+G773</f>
        <v>0</v>
      </c>
      <c r="E773" s="47">
        <f>G773+F773</f>
        <v>0</v>
      </c>
      <c r="F773" s="47">
        <v>0</v>
      </c>
      <c r="G773" s="47">
        <v>0</v>
      </c>
      <c r="H773" s="47">
        <f>J773+I773</f>
        <v>0</v>
      </c>
      <c r="I773" s="47">
        <v>0</v>
      </c>
      <c r="J773" s="47">
        <v>0</v>
      </c>
      <c r="K773" s="188" t="s">
        <v>234</v>
      </c>
      <c r="L773" s="129" t="s">
        <v>127</v>
      </c>
      <c r="M773" s="56"/>
    </row>
    <row r="774" spans="2:13" ht="13.5" customHeight="1" thickBot="1" x14ac:dyDescent="0.25">
      <c r="B774" s="47">
        <f t="shared" ref="B774:J774" si="242">B772+B773</f>
        <v>168</v>
      </c>
      <c r="C774" s="47">
        <f t="shared" si="242"/>
        <v>93</v>
      </c>
      <c r="D774" s="47">
        <f t="shared" si="242"/>
        <v>75</v>
      </c>
      <c r="E774" s="47">
        <f t="shared" si="242"/>
        <v>47</v>
      </c>
      <c r="F774" s="47">
        <f t="shared" si="242"/>
        <v>32</v>
      </c>
      <c r="G774" s="47">
        <f t="shared" si="242"/>
        <v>15</v>
      </c>
      <c r="H774" s="47">
        <f t="shared" si="242"/>
        <v>121</v>
      </c>
      <c r="I774" s="47">
        <f t="shared" si="242"/>
        <v>61</v>
      </c>
      <c r="J774" s="47">
        <f t="shared" si="242"/>
        <v>60</v>
      </c>
      <c r="K774" s="188" t="s">
        <v>12</v>
      </c>
      <c r="L774" s="130"/>
      <c r="M774" s="56"/>
    </row>
    <row r="775" spans="2:13" ht="13.5" customHeight="1" thickBot="1" x14ac:dyDescent="0.25">
      <c r="B775" s="47">
        <f>D775+C775</f>
        <v>614</v>
      </c>
      <c r="C775" s="47">
        <f>I775+F775</f>
        <v>272</v>
      </c>
      <c r="D775" s="47">
        <f>J775+G775</f>
        <v>342</v>
      </c>
      <c r="E775" s="47">
        <f>G775+F775</f>
        <v>208</v>
      </c>
      <c r="F775" s="47">
        <v>145</v>
      </c>
      <c r="G775" s="47">
        <v>63</v>
      </c>
      <c r="H775" s="47">
        <f>J775+I775</f>
        <v>406</v>
      </c>
      <c r="I775" s="47">
        <v>127</v>
      </c>
      <c r="J775" s="47">
        <v>279</v>
      </c>
      <c r="K775" s="188" t="s">
        <v>233</v>
      </c>
      <c r="L775" s="129"/>
      <c r="M775" s="56"/>
    </row>
    <row r="776" spans="2:13" ht="13.5" customHeight="1" thickBot="1" x14ac:dyDescent="0.25">
      <c r="B776" s="47">
        <f>D776+C776</f>
        <v>0</v>
      </c>
      <c r="C776" s="47">
        <f>I776+F776</f>
        <v>0</v>
      </c>
      <c r="D776" s="47">
        <f>J776+G776</f>
        <v>0</v>
      </c>
      <c r="E776" s="47">
        <f>G776+F776</f>
        <v>0</v>
      </c>
      <c r="F776" s="47">
        <v>0</v>
      </c>
      <c r="G776" s="47">
        <v>0</v>
      </c>
      <c r="H776" s="47">
        <f>J776+I776</f>
        <v>0</v>
      </c>
      <c r="I776" s="47">
        <v>0</v>
      </c>
      <c r="J776" s="47">
        <v>0</v>
      </c>
      <c r="K776" s="188" t="s">
        <v>234</v>
      </c>
      <c r="L776" s="129" t="s">
        <v>128</v>
      </c>
      <c r="M776" s="56"/>
    </row>
    <row r="777" spans="2:13" ht="13.5" customHeight="1" thickBot="1" x14ac:dyDescent="0.25">
      <c r="B777" s="47">
        <f t="shared" ref="B777:J777" si="243">B775+B776</f>
        <v>614</v>
      </c>
      <c r="C777" s="47">
        <f t="shared" si="243"/>
        <v>272</v>
      </c>
      <c r="D777" s="47">
        <f t="shared" si="243"/>
        <v>342</v>
      </c>
      <c r="E777" s="47">
        <f t="shared" si="243"/>
        <v>208</v>
      </c>
      <c r="F777" s="47">
        <f t="shared" si="243"/>
        <v>145</v>
      </c>
      <c r="G777" s="47">
        <f t="shared" si="243"/>
        <v>63</v>
      </c>
      <c r="H777" s="47">
        <f t="shared" si="243"/>
        <v>406</v>
      </c>
      <c r="I777" s="47">
        <f t="shared" si="243"/>
        <v>127</v>
      </c>
      <c r="J777" s="47">
        <f t="shared" si="243"/>
        <v>279</v>
      </c>
      <c r="K777" s="188" t="s">
        <v>12</v>
      </c>
      <c r="L777" s="130"/>
      <c r="M777" s="56"/>
    </row>
    <row r="778" spans="2:13" ht="13.5" customHeight="1" thickBot="1" x14ac:dyDescent="0.25">
      <c r="B778" s="47">
        <f>D778+C778</f>
        <v>32</v>
      </c>
      <c r="C778" s="47">
        <f>I778+F778</f>
        <v>32</v>
      </c>
      <c r="D778" s="47">
        <f>J778+G778</f>
        <v>0</v>
      </c>
      <c r="E778" s="47">
        <f>G778+F778</f>
        <v>6</v>
      </c>
      <c r="F778" s="47">
        <v>6</v>
      </c>
      <c r="G778" s="47">
        <v>0</v>
      </c>
      <c r="H778" s="47">
        <f>J778+I778</f>
        <v>26</v>
      </c>
      <c r="I778" s="47">
        <v>26</v>
      </c>
      <c r="J778" s="47">
        <v>0</v>
      </c>
      <c r="K778" s="188" t="s">
        <v>233</v>
      </c>
      <c r="L778" s="129"/>
      <c r="M778" s="56"/>
    </row>
    <row r="779" spans="2:13" ht="13.5" customHeight="1" thickBot="1" x14ac:dyDescent="0.25">
      <c r="B779" s="47">
        <f>D779+C779</f>
        <v>0</v>
      </c>
      <c r="C779" s="47">
        <f>I779+F779</f>
        <v>0</v>
      </c>
      <c r="D779" s="47">
        <f>J779+G779</f>
        <v>0</v>
      </c>
      <c r="E779" s="47">
        <f>G779+F779</f>
        <v>0</v>
      </c>
      <c r="F779" s="47">
        <v>0</v>
      </c>
      <c r="G779" s="47">
        <v>0</v>
      </c>
      <c r="H779" s="47">
        <f>J779+I779</f>
        <v>0</v>
      </c>
      <c r="I779" s="47">
        <v>0</v>
      </c>
      <c r="J779" s="47">
        <v>0</v>
      </c>
      <c r="K779" s="188" t="s">
        <v>234</v>
      </c>
      <c r="L779" s="129" t="s">
        <v>130</v>
      </c>
      <c r="M779" s="56"/>
    </row>
    <row r="780" spans="2:13" ht="13.5" customHeight="1" thickBot="1" x14ac:dyDescent="0.25">
      <c r="B780" s="47">
        <f t="shared" ref="B780:J780" si="244">B778+B779</f>
        <v>32</v>
      </c>
      <c r="C780" s="47">
        <f t="shared" si="244"/>
        <v>32</v>
      </c>
      <c r="D780" s="47">
        <f t="shared" si="244"/>
        <v>0</v>
      </c>
      <c r="E780" s="47">
        <f t="shared" si="244"/>
        <v>6</v>
      </c>
      <c r="F780" s="47">
        <f t="shared" si="244"/>
        <v>6</v>
      </c>
      <c r="G780" s="47">
        <f t="shared" si="244"/>
        <v>0</v>
      </c>
      <c r="H780" s="47">
        <f t="shared" si="244"/>
        <v>26</v>
      </c>
      <c r="I780" s="47">
        <f t="shared" si="244"/>
        <v>26</v>
      </c>
      <c r="J780" s="47">
        <f t="shared" si="244"/>
        <v>0</v>
      </c>
      <c r="K780" s="188" t="s">
        <v>12</v>
      </c>
      <c r="L780" s="130"/>
      <c r="M780" s="56"/>
    </row>
    <row r="781" spans="2:13" ht="13.5" customHeight="1" thickBot="1" x14ac:dyDescent="0.25">
      <c r="B781" s="47">
        <f>D781+C781</f>
        <v>139</v>
      </c>
      <c r="C781" s="47">
        <f>I781+F781</f>
        <v>139</v>
      </c>
      <c r="D781" s="47">
        <f>J781+G781</f>
        <v>0</v>
      </c>
      <c r="E781" s="47">
        <f>G781+F781</f>
        <v>37</v>
      </c>
      <c r="F781" s="47">
        <v>37</v>
      </c>
      <c r="G781" s="47">
        <v>0</v>
      </c>
      <c r="H781" s="47">
        <f>J781+I781</f>
        <v>102</v>
      </c>
      <c r="I781" s="47">
        <v>102</v>
      </c>
      <c r="J781" s="47">
        <v>0</v>
      </c>
      <c r="K781" s="188" t="s">
        <v>233</v>
      </c>
      <c r="L781" s="129"/>
      <c r="M781" s="56"/>
    </row>
    <row r="782" spans="2:13" ht="13.5" customHeight="1" thickBot="1" x14ac:dyDescent="0.25">
      <c r="B782" s="47">
        <f>D782+C782</f>
        <v>0</v>
      </c>
      <c r="C782" s="47">
        <f>I782+F782</f>
        <v>0</v>
      </c>
      <c r="D782" s="47">
        <f>J782+G782</f>
        <v>0</v>
      </c>
      <c r="E782" s="47">
        <f>G782+F782</f>
        <v>0</v>
      </c>
      <c r="F782" s="47">
        <v>0</v>
      </c>
      <c r="G782" s="47">
        <v>0</v>
      </c>
      <c r="H782" s="47">
        <f>J782+I782</f>
        <v>0</v>
      </c>
      <c r="I782" s="47">
        <v>0</v>
      </c>
      <c r="J782" s="47">
        <v>0</v>
      </c>
      <c r="K782" s="188" t="s">
        <v>234</v>
      </c>
      <c r="L782" s="129" t="s">
        <v>133</v>
      </c>
      <c r="M782" s="56"/>
    </row>
    <row r="783" spans="2:13" ht="13.5" customHeight="1" thickBot="1" x14ac:dyDescent="0.25">
      <c r="B783" s="47">
        <f t="shared" ref="B783:J783" si="245">B781+B782</f>
        <v>139</v>
      </c>
      <c r="C783" s="47">
        <f t="shared" si="245"/>
        <v>139</v>
      </c>
      <c r="D783" s="47">
        <f t="shared" si="245"/>
        <v>0</v>
      </c>
      <c r="E783" s="47">
        <f t="shared" si="245"/>
        <v>37</v>
      </c>
      <c r="F783" s="47">
        <f t="shared" si="245"/>
        <v>37</v>
      </c>
      <c r="G783" s="47">
        <f t="shared" si="245"/>
        <v>0</v>
      </c>
      <c r="H783" s="47">
        <f t="shared" si="245"/>
        <v>102</v>
      </c>
      <c r="I783" s="47">
        <f t="shared" si="245"/>
        <v>102</v>
      </c>
      <c r="J783" s="47">
        <f t="shared" si="245"/>
        <v>0</v>
      </c>
      <c r="K783" s="188" t="s">
        <v>12</v>
      </c>
      <c r="L783" s="130"/>
      <c r="M783" s="56"/>
    </row>
    <row r="784" spans="2:13" ht="13.5" customHeight="1" thickBot="1" x14ac:dyDescent="0.25">
      <c r="B784" s="47">
        <f>D784+C784</f>
        <v>9</v>
      </c>
      <c r="C784" s="47">
        <f>I784+F784</f>
        <v>0</v>
      </c>
      <c r="D784" s="47">
        <f>J784+G784</f>
        <v>9</v>
      </c>
      <c r="E784" s="47">
        <f>G784+F784</f>
        <v>1</v>
      </c>
      <c r="F784" s="47">
        <v>0</v>
      </c>
      <c r="G784" s="47">
        <v>1</v>
      </c>
      <c r="H784" s="47">
        <f>J784+I784</f>
        <v>8</v>
      </c>
      <c r="I784" s="47">
        <v>0</v>
      </c>
      <c r="J784" s="47">
        <v>8</v>
      </c>
      <c r="K784" s="188" t="s">
        <v>233</v>
      </c>
      <c r="L784" s="129"/>
      <c r="M784" s="56"/>
    </row>
    <row r="785" spans="2:13" ht="13.5" customHeight="1" thickBot="1" x14ac:dyDescent="0.25">
      <c r="B785" s="47">
        <f>D785+C785</f>
        <v>0</v>
      </c>
      <c r="C785" s="47">
        <f>I785+F785</f>
        <v>0</v>
      </c>
      <c r="D785" s="47">
        <f>J785+G785</f>
        <v>0</v>
      </c>
      <c r="E785" s="47">
        <f>G785+F785</f>
        <v>0</v>
      </c>
      <c r="F785" s="47">
        <v>0</v>
      </c>
      <c r="G785" s="47">
        <v>0</v>
      </c>
      <c r="H785" s="47">
        <f>J785+I785</f>
        <v>0</v>
      </c>
      <c r="I785" s="47">
        <v>0</v>
      </c>
      <c r="J785" s="47">
        <v>0</v>
      </c>
      <c r="K785" s="188" t="s">
        <v>234</v>
      </c>
      <c r="L785" s="129" t="s">
        <v>134</v>
      </c>
      <c r="M785" s="56"/>
    </row>
    <row r="786" spans="2:13" ht="13.5" customHeight="1" thickBot="1" x14ac:dyDescent="0.25">
      <c r="B786" s="47">
        <f t="shared" ref="B786:J786" si="246">B784+B785</f>
        <v>9</v>
      </c>
      <c r="C786" s="47">
        <f t="shared" si="246"/>
        <v>0</v>
      </c>
      <c r="D786" s="47">
        <f t="shared" si="246"/>
        <v>9</v>
      </c>
      <c r="E786" s="47">
        <f t="shared" si="246"/>
        <v>1</v>
      </c>
      <c r="F786" s="47">
        <f t="shared" si="246"/>
        <v>0</v>
      </c>
      <c r="G786" s="47">
        <f t="shared" si="246"/>
        <v>1</v>
      </c>
      <c r="H786" s="47">
        <f t="shared" si="246"/>
        <v>8</v>
      </c>
      <c r="I786" s="47">
        <f t="shared" si="246"/>
        <v>0</v>
      </c>
      <c r="J786" s="47">
        <f t="shared" si="246"/>
        <v>8</v>
      </c>
      <c r="K786" s="188" t="s">
        <v>12</v>
      </c>
      <c r="L786" s="130"/>
      <c r="M786" s="56"/>
    </row>
    <row r="787" spans="2:13" ht="13.5" customHeight="1" thickBot="1" x14ac:dyDescent="0.25">
      <c r="B787" s="47">
        <f>D787+C787</f>
        <v>66</v>
      </c>
      <c r="C787" s="47">
        <f>I787+F787</f>
        <v>0</v>
      </c>
      <c r="D787" s="47">
        <f>J787+G787</f>
        <v>66</v>
      </c>
      <c r="E787" s="47">
        <f>G787+F787</f>
        <v>1</v>
      </c>
      <c r="F787" s="47">
        <v>0</v>
      </c>
      <c r="G787" s="47">
        <v>1</v>
      </c>
      <c r="H787" s="47">
        <f>J787+I787</f>
        <v>65</v>
      </c>
      <c r="I787" s="47">
        <v>0</v>
      </c>
      <c r="J787" s="47">
        <v>65</v>
      </c>
      <c r="K787" s="188" t="s">
        <v>233</v>
      </c>
      <c r="L787" s="129"/>
      <c r="M787" s="56"/>
    </row>
    <row r="788" spans="2:13" ht="13.5" customHeight="1" thickBot="1" x14ac:dyDescent="0.25">
      <c r="B788" s="47">
        <f>D788+C788</f>
        <v>0</v>
      </c>
      <c r="C788" s="47">
        <f>I788+F788</f>
        <v>0</v>
      </c>
      <c r="D788" s="47">
        <f>J788+G788</f>
        <v>0</v>
      </c>
      <c r="E788" s="47">
        <f>G788+F788</f>
        <v>0</v>
      </c>
      <c r="F788" s="47">
        <v>0</v>
      </c>
      <c r="G788" s="47">
        <v>0</v>
      </c>
      <c r="H788" s="47">
        <f>J788+I788</f>
        <v>0</v>
      </c>
      <c r="I788" s="47">
        <v>0</v>
      </c>
      <c r="J788" s="47">
        <v>0</v>
      </c>
      <c r="K788" s="188" t="s">
        <v>234</v>
      </c>
      <c r="L788" s="129" t="s">
        <v>135</v>
      </c>
      <c r="M788" s="56"/>
    </row>
    <row r="789" spans="2:13" ht="13.5" customHeight="1" thickBot="1" x14ac:dyDescent="0.25">
      <c r="B789" s="47">
        <f t="shared" ref="B789:J789" si="247">B787+B788</f>
        <v>66</v>
      </c>
      <c r="C789" s="47">
        <f t="shared" si="247"/>
        <v>0</v>
      </c>
      <c r="D789" s="47">
        <f t="shared" si="247"/>
        <v>66</v>
      </c>
      <c r="E789" s="47">
        <f t="shared" si="247"/>
        <v>1</v>
      </c>
      <c r="F789" s="47">
        <f t="shared" si="247"/>
        <v>0</v>
      </c>
      <c r="G789" s="47">
        <f t="shared" si="247"/>
        <v>1</v>
      </c>
      <c r="H789" s="47">
        <f t="shared" si="247"/>
        <v>65</v>
      </c>
      <c r="I789" s="47">
        <f t="shared" si="247"/>
        <v>0</v>
      </c>
      <c r="J789" s="47">
        <f t="shared" si="247"/>
        <v>65</v>
      </c>
      <c r="K789" s="188" t="s">
        <v>12</v>
      </c>
      <c r="L789" s="130"/>
      <c r="M789" s="56"/>
    </row>
    <row r="790" spans="2:13" ht="13.5" customHeight="1" thickBot="1" x14ac:dyDescent="0.25">
      <c r="B790" s="47">
        <f>D790+C790</f>
        <v>140</v>
      </c>
      <c r="C790" s="47">
        <f>I790+F790</f>
        <v>33</v>
      </c>
      <c r="D790" s="47">
        <f>J790+G790</f>
        <v>107</v>
      </c>
      <c r="E790" s="47">
        <f>G790+F790</f>
        <v>7</v>
      </c>
      <c r="F790" s="47">
        <v>7</v>
      </c>
      <c r="G790" s="47">
        <v>0</v>
      </c>
      <c r="H790" s="47">
        <f>J790+I790</f>
        <v>133</v>
      </c>
      <c r="I790" s="47">
        <v>26</v>
      </c>
      <c r="J790" s="47">
        <v>107</v>
      </c>
      <c r="K790" s="188" t="s">
        <v>233</v>
      </c>
      <c r="L790" s="129"/>
      <c r="M790" s="56"/>
    </row>
    <row r="791" spans="2:13" ht="13.5" customHeight="1" thickBot="1" x14ac:dyDescent="0.25">
      <c r="B791" s="47">
        <f>D791+C791</f>
        <v>0</v>
      </c>
      <c r="C791" s="47">
        <f>I791+F791</f>
        <v>0</v>
      </c>
      <c r="D791" s="47">
        <f>J791+G791</f>
        <v>0</v>
      </c>
      <c r="E791" s="47">
        <f>G791+F791</f>
        <v>0</v>
      </c>
      <c r="F791" s="47">
        <v>0</v>
      </c>
      <c r="G791" s="47">
        <v>0</v>
      </c>
      <c r="H791" s="47">
        <f>J791+I791</f>
        <v>0</v>
      </c>
      <c r="I791" s="47">
        <v>0</v>
      </c>
      <c r="J791" s="47">
        <v>0</v>
      </c>
      <c r="K791" s="188" t="s">
        <v>234</v>
      </c>
      <c r="L791" s="129" t="s">
        <v>136</v>
      </c>
      <c r="M791" s="56"/>
    </row>
    <row r="792" spans="2:13" ht="13.5" customHeight="1" thickBot="1" x14ac:dyDescent="0.25">
      <c r="B792" s="47">
        <f t="shared" ref="B792:J792" si="248">B790+B791</f>
        <v>140</v>
      </c>
      <c r="C792" s="47">
        <f t="shared" si="248"/>
        <v>33</v>
      </c>
      <c r="D792" s="47">
        <f t="shared" si="248"/>
        <v>107</v>
      </c>
      <c r="E792" s="47">
        <f t="shared" si="248"/>
        <v>7</v>
      </c>
      <c r="F792" s="47">
        <f t="shared" si="248"/>
        <v>7</v>
      </c>
      <c r="G792" s="47">
        <f t="shared" si="248"/>
        <v>0</v>
      </c>
      <c r="H792" s="47">
        <f t="shared" si="248"/>
        <v>133</v>
      </c>
      <c r="I792" s="47">
        <f t="shared" si="248"/>
        <v>26</v>
      </c>
      <c r="J792" s="47">
        <f t="shared" si="248"/>
        <v>107</v>
      </c>
      <c r="K792" s="188" t="s">
        <v>12</v>
      </c>
      <c r="L792" s="130"/>
      <c r="M792" s="56"/>
    </row>
    <row r="793" spans="2:13" ht="13.5" customHeight="1" thickBot="1" x14ac:dyDescent="0.25">
      <c r="B793" s="47">
        <f>D793+C793</f>
        <v>28</v>
      </c>
      <c r="C793" s="47">
        <f>I793+F793</f>
        <v>28</v>
      </c>
      <c r="D793" s="47">
        <f>J793+G793</f>
        <v>0</v>
      </c>
      <c r="E793" s="47">
        <f>G793+F793</f>
        <v>3</v>
      </c>
      <c r="F793" s="47">
        <v>3</v>
      </c>
      <c r="G793" s="47">
        <v>0</v>
      </c>
      <c r="H793" s="47">
        <f>J793+I793</f>
        <v>25</v>
      </c>
      <c r="I793" s="47">
        <v>25</v>
      </c>
      <c r="J793" s="47">
        <v>0</v>
      </c>
      <c r="K793" s="188" t="s">
        <v>233</v>
      </c>
      <c r="L793" s="129"/>
      <c r="M793" s="56"/>
    </row>
    <row r="794" spans="2:13" ht="13.5" customHeight="1" thickBot="1" x14ac:dyDescent="0.25">
      <c r="B794" s="47">
        <f>D794+C794</f>
        <v>0</v>
      </c>
      <c r="C794" s="47">
        <f>I794+F794</f>
        <v>0</v>
      </c>
      <c r="D794" s="47">
        <f>J794+G794</f>
        <v>0</v>
      </c>
      <c r="E794" s="47">
        <f>G794+F794</f>
        <v>0</v>
      </c>
      <c r="F794" s="47">
        <v>0</v>
      </c>
      <c r="G794" s="47">
        <v>0</v>
      </c>
      <c r="H794" s="47">
        <f>J794+I794</f>
        <v>0</v>
      </c>
      <c r="I794" s="47">
        <v>0</v>
      </c>
      <c r="J794" s="47">
        <v>0</v>
      </c>
      <c r="K794" s="188" t="s">
        <v>234</v>
      </c>
      <c r="L794" s="129" t="s">
        <v>137</v>
      </c>
      <c r="M794" s="56"/>
    </row>
    <row r="795" spans="2:13" ht="13.5" customHeight="1" thickBot="1" x14ac:dyDescent="0.25">
      <c r="B795" s="47">
        <f t="shared" ref="B795:J795" si="249">B793+B794</f>
        <v>28</v>
      </c>
      <c r="C795" s="47">
        <f t="shared" si="249"/>
        <v>28</v>
      </c>
      <c r="D795" s="47">
        <f t="shared" si="249"/>
        <v>0</v>
      </c>
      <c r="E795" s="47">
        <f t="shared" si="249"/>
        <v>3</v>
      </c>
      <c r="F795" s="47">
        <f t="shared" si="249"/>
        <v>3</v>
      </c>
      <c r="G795" s="47">
        <f t="shared" si="249"/>
        <v>0</v>
      </c>
      <c r="H795" s="47">
        <f t="shared" si="249"/>
        <v>25</v>
      </c>
      <c r="I795" s="47">
        <f t="shared" si="249"/>
        <v>25</v>
      </c>
      <c r="J795" s="47">
        <f t="shared" si="249"/>
        <v>0</v>
      </c>
      <c r="K795" s="188" t="s">
        <v>12</v>
      </c>
      <c r="L795" s="130"/>
      <c r="M795" s="56"/>
    </row>
    <row r="796" spans="2:13" ht="13.5" customHeight="1" thickBot="1" x14ac:dyDescent="0.25">
      <c r="B796" s="47">
        <f>D796+C796</f>
        <v>47</v>
      </c>
      <c r="C796" s="47">
        <f>I796+F796</f>
        <v>29</v>
      </c>
      <c r="D796" s="47">
        <f>J796+G796</f>
        <v>18</v>
      </c>
      <c r="E796" s="47">
        <f>G796+F796</f>
        <v>16</v>
      </c>
      <c r="F796" s="47">
        <v>10</v>
      </c>
      <c r="G796" s="47">
        <v>6</v>
      </c>
      <c r="H796" s="47">
        <f>J796+I796</f>
        <v>31</v>
      </c>
      <c r="I796" s="47">
        <v>19</v>
      </c>
      <c r="J796" s="47">
        <v>12</v>
      </c>
      <c r="K796" s="188" t="s">
        <v>233</v>
      </c>
      <c r="L796" s="129"/>
      <c r="M796" s="56"/>
    </row>
    <row r="797" spans="2:13" ht="13.5" customHeight="1" thickBot="1" x14ac:dyDescent="0.25">
      <c r="B797" s="47">
        <f>D797+C797</f>
        <v>0</v>
      </c>
      <c r="C797" s="47">
        <f>I797+F797</f>
        <v>0</v>
      </c>
      <c r="D797" s="47">
        <f>J797+G797</f>
        <v>0</v>
      </c>
      <c r="E797" s="47">
        <f>G797+F797</f>
        <v>0</v>
      </c>
      <c r="F797" s="47">
        <v>0</v>
      </c>
      <c r="G797" s="47">
        <v>0</v>
      </c>
      <c r="H797" s="47">
        <f>J797+I797</f>
        <v>0</v>
      </c>
      <c r="I797" s="47">
        <v>0</v>
      </c>
      <c r="J797" s="47">
        <v>0</v>
      </c>
      <c r="K797" s="188" t="s">
        <v>234</v>
      </c>
      <c r="L797" s="129" t="s">
        <v>567</v>
      </c>
      <c r="M797" s="56"/>
    </row>
    <row r="798" spans="2:13" ht="13.5" customHeight="1" thickBot="1" x14ac:dyDescent="0.25">
      <c r="B798" s="47">
        <f t="shared" ref="B798:J798" si="250">B796+B797</f>
        <v>47</v>
      </c>
      <c r="C798" s="47">
        <f t="shared" si="250"/>
        <v>29</v>
      </c>
      <c r="D798" s="47">
        <f t="shared" si="250"/>
        <v>18</v>
      </c>
      <c r="E798" s="47">
        <f t="shared" si="250"/>
        <v>16</v>
      </c>
      <c r="F798" s="47">
        <f t="shared" si="250"/>
        <v>10</v>
      </c>
      <c r="G798" s="47">
        <f t="shared" si="250"/>
        <v>6</v>
      </c>
      <c r="H798" s="47">
        <f t="shared" si="250"/>
        <v>31</v>
      </c>
      <c r="I798" s="47">
        <f t="shared" si="250"/>
        <v>19</v>
      </c>
      <c r="J798" s="47">
        <f t="shared" si="250"/>
        <v>12</v>
      </c>
      <c r="K798" s="188" t="s">
        <v>12</v>
      </c>
      <c r="L798" s="130"/>
      <c r="M798" s="56"/>
    </row>
    <row r="799" spans="2:13" ht="13.5" customHeight="1" thickBot="1" x14ac:dyDescent="0.25">
      <c r="B799" s="47">
        <f>D799+C799</f>
        <v>49</v>
      </c>
      <c r="C799" s="47">
        <f>I799+F799</f>
        <v>0</v>
      </c>
      <c r="D799" s="47">
        <f>J799+G799</f>
        <v>49</v>
      </c>
      <c r="E799" s="47">
        <f>G799+F799</f>
        <v>11</v>
      </c>
      <c r="F799" s="47">
        <v>0</v>
      </c>
      <c r="G799" s="47">
        <v>11</v>
      </c>
      <c r="H799" s="47">
        <f>J799+I799</f>
        <v>38</v>
      </c>
      <c r="I799" s="47">
        <v>0</v>
      </c>
      <c r="J799" s="47">
        <v>38</v>
      </c>
      <c r="K799" s="188" t="s">
        <v>233</v>
      </c>
      <c r="L799" s="129"/>
      <c r="M799" s="56"/>
    </row>
    <row r="800" spans="2:13" ht="13.5" customHeight="1" thickBot="1" x14ac:dyDescent="0.25">
      <c r="B800" s="47">
        <f>D800+C800</f>
        <v>0</v>
      </c>
      <c r="C800" s="47">
        <f>I800+F800</f>
        <v>0</v>
      </c>
      <c r="D800" s="47">
        <f>J800+G800</f>
        <v>0</v>
      </c>
      <c r="E800" s="47">
        <f>G800+F800</f>
        <v>0</v>
      </c>
      <c r="F800" s="47">
        <v>0</v>
      </c>
      <c r="G800" s="47">
        <v>0</v>
      </c>
      <c r="H800" s="47">
        <f>J800+I800</f>
        <v>0</v>
      </c>
      <c r="I800" s="47">
        <v>0</v>
      </c>
      <c r="J800" s="47">
        <v>0</v>
      </c>
      <c r="K800" s="188" t="s">
        <v>234</v>
      </c>
      <c r="L800" s="129" t="s">
        <v>131</v>
      </c>
      <c r="M800" s="56"/>
    </row>
    <row r="801" spans="2:13" ht="13.5" customHeight="1" thickBot="1" x14ac:dyDescent="0.25">
      <c r="B801" s="47">
        <f t="shared" ref="B801:J801" si="251">B799+B800</f>
        <v>49</v>
      </c>
      <c r="C801" s="47">
        <f t="shared" si="251"/>
        <v>0</v>
      </c>
      <c r="D801" s="47">
        <f t="shared" si="251"/>
        <v>49</v>
      </c>
      <c r="E801" s="47">
        <f t="shared" si="251"/>
        <v>11</v>
      </c>
      <c r="F801" s="47">
        <f t="shared" si="251"/>
        <v>0</v>
      </c>
      <c r="G801" s="47">
        <f t="shared" si="251"/>
        <v>11</v>
      </c>
      <c r="H801" s="47">
        <f t="shared" si="251"/>
        <v>38</v>
      </c>
      <c r="I801" s="47">
        <f t="shared" si="251"/>
        <v>0</v>
      </c>
      <c r="J801" s="47">
        <f t="shared" si="251"/>
        <v>38</v>
      </c>
      <c r="K801" s="188" t="s">
        <v>12</v>
      </c>
      <c r="L801" s="130"/>
      <c r="M801" s="56"/>
    </row>
    <row r="802" spans="2:13" ht="13.5" customHeight="1" thickBot="1" x14ac:dyDescent="0.25">
      <c r="B802" s="47">
        <f>D802+C802</f>
        <v>1</v>
      </c>
      <c r="C802" s="47">
        <f>I802+F802</f>
        <v>0</v>
      </c>
      <c r="D802" s="47">
        <f>J802+G802</f>
        <v>1</v>
      </c>
      <c r="E802" s="47">
        <f>G802+F802</f>
        <v>0</v>
      </c>
      <c r="F802" s="47">
        <v>0</v>
      </c>
      <c r="G802" s="47">
        <v>0</v>
      </c>
      <c r="H802" s="47">
        <f>J802+I802</f>
        <v>1</v>
      </c>
      <c r="I802" s="47">
        <v>0</v>
      </c>
      <c r="J802" s="47">
        <v>1</v>
      </c>
      <c r="K802" s="188" t="s">
        <v>233</v>
      </c>
      <c r="L802" s="129"/>
      <c r="M802" s="56"/>
    </row>
    <row r="803" spans="2:13" ht="13.5" customHeight="1" thickBot="1" x14ac:dyDescent="0.25">
      <c r="B803" s="47">
        <f>D803+C803</f>
        <v>0</v>
      </c>
      <c r="C803" s="47">
        <f>I803+F803</f>
        <v>0</v>
      </c>
      <c r="D803" s="47">
        <f>J803+G803</f>
        <v>0</v>
      </c>
      <c r="E803" s="47">
        <f>G803+F803</f>
        <v>0</v>
      </c>
      <c r="F803" s="47">
        <v>0</v>
      </c>
      <c r="G803" s="47">
        <v>0</v>
      </c>
      <c r="H803" s="47">
        <f>J803+I803</f>
        <v>0</v>
      </c>
      <c r="I803" s="47">
        <v>0</v>
      </c>
      <c r="J803" s="47">
        <v>0</v>
      </c>
      <c r="K803" s="188" t="s">
        <v>234</v>
      </c>
      <c r="L803" s="129" t="s">
        <v>201</v>
      </c>
      <c r="M803" s="56"/>
    </row>
    <row r="804" spans="2:13" ht="13.5" customHeight="1" thickBot="1" x14ac:dyDescent="0.25">
      <c r="B804" s="47">
        <f t="shared" ref="B804:J804" si="252">B802+B803</f>
        <v>1</v>
      </c>
      <c r="C804" s="47">
        <f t="shared" si="252"/>
        <v>0</v>
      </c>
      <c r="D804" s="47">
        <f t="shared" si="252"/>
        <v>1</v>
      </c>
      <c r="E804" s="47">
        <f t="shared" si="252"/>
        <v>0</v>
      </c>
      <c r="F804" s="47">
        <f t="shared" si="252"/>
        <v>0</v>
      </c>
      <c r="G804" s="47">
        <f t="shared" si="252"/>
        <v>0</v>
      </c>
      <c r="H804" s="47">
        <f t="shared" si="252"/>
        <v>1</v>
      </c>
      <c r="I804" s="47">
        <f t="shared" si="252"/>
        <v>0</v>
      </c>
      <c r="J804" s="47">
        <f t="shared" si="252"/>
        <v>1</v>
      </c>
      <c r="K804" s="188" t="s">
        <v>12</v>
      </c>
      <c r="L804" s="130"/>
      <c r="M804" s="56"/>
    </row>
    <row r="805" spans="2:13" ht="13.5" customHeight="1" thickBot="1" x14ac:dyDescent="0.25">
      <c r="B805" s="47">
        <f>D805+C805</f>
        <v>30</v>
      </c>
      <c r="C805" s="47">
        <f>I805+F805</f>
        <v>0</v>
      </c>
      <c r="D805" s="47">
        <f>J805+G805</f>
        <v>30</v>
      </c>
      <c r="E805" s="47">
        <f>G805+F805</f>
        <v>0</v>
      </c>
      <c r="F805" s="47">
        <v>0</v>
      </c>
      <c r="G805" s="47">
        <v>0</v>
      </c>
      <c r="H805" s="47">
        <f>J805+I805</f>
        <v>30</v>
      </c>
      <c r="I805" s="47">
        <v>0</v>
      </c>
      <c r="J805" s="47">
        <v>30</v>
      </c>
      <c r="K805" s="188" t="s">
        <v>233</v>
      </c>
      <c r="L805" s="129"/>
      <c r="M805" s="56"/>
    </row>
    <row r="806" spans="2:13" ht="13.5" customHeight="1" thickBot="1" x14ac:dyDescent="0.25">
      <c r="B806" s="47">
        <f>D806+C806</f>
        <v>0</v>
      </c>
      <c r="C806" s="47">
        <f>I806+F806</f>
        <v>0</v>
      </c>
      <c r="D806" s="47">
        <f>J806+G806</f>
        <v>0</v>
      </c>
      <c r="E806" s="47">
        <f>G806+F806</f>
        <v>0</v>
      </c>
      <c r="F806" s="47">
        <v>0</v>
      </c>
      <c r="G806" s="47">
        <v>0</v>
      </c>
      <c r="H806" s="47">
        <f>J806+I806</f>
        <v>0</v>
      </c>
      <c r="I806" s="47">
        <v>0</v>
      </c>
      <c r="J806" s="47">
        <v>0</v>
      </c>
      <c r="K806" s="188" t="s">
        <v>234</v>
      </c>
      <c r="L806" s="129" t="s">
        <v>727</v>
      </c>
      <c r="M806" s="56"/>
    </row>
    <row r="807" spans="2:13" ht="13.5" customHeight="1" thickBot="1" x14ac:dyDescent="0.25">
      <c r="B807" s="47">
        <f t="shared" ref="B807:J807" si="253">B805+B806</f>
        <v>30</v>
      </c>
      <c r="C807" s="47">
        <f t="shared" si="253"/>
        <v>0</v>
      </c>
      <c r="D807" s="47">
        <f t="shared" si="253"/>
        <v>30</v>
      </c>
      <c r="E807" s="47">
        <f t="shared" si="253"/>
        <v>0</v>
      </c>
      <c r="F807" s="47">
        <f t="shared" si="253"/>
        <v>0</v>
      </c>
      <c r="G807" s="47">
        <f t="shared" si="253"/>
        <v>0</v>
      </c>
      <c r="H807" s="47">
        <f t="shared" si="253"/>
        <v>30</v>
      </c>
      <c r="I807" s="47">
        <f t="shared" si="253"/>
        <v>0</v>
      </c>
      <c r="J807" s="47">
        <f t="shared" si="253"/>
        <v>30</v>
      </c>
      <c r="K807" s="188" t="s">
        <v>12</v>
      </c>
      <c r="L807" s="130"/>
      <c r="M807" s="56"/>
    </row>
    <row r="808" spans="2:13" ht="13.5" customHeight="1" thickBot="1" x14ac:dyDescent="0.25">
      <c r="B808" s="47">
        <f t="shared" ref="B808:J810" si="254">B772+B775+B778+B781+B784+B787+B790+B793+B796+B799+B802+B805</f>
        <v>1323</v>
      </c>
      <c r="C808" s="47">
        <f t="shared" si="254"/>
        <v>626</v>
      </c>
      <c r="D808" s="47">
        <f t="shared" si="254"/>
        <v>697</v>
      </c>
      <c r="E808" s="47">
        <f t="shared" si="254"/>
        <v>337</v>
      </c>
      <c r="F808" s="47">
        <f t="shared" si="254"/>
        <v>240</v>
      </c>
      <c r="G808" s="47">
        <f t="shared" si="254"/>
        <v>97</v>
      </c>
      <c r="H808" s="47">
        <f t="shared" si="254"/>
        <v>986</v>
      </c>
      <c r="I808" s="47">
        <f t="shared" si="254"/>
        <v>386</v>
      </c>
      <c r="J808" s="47">
        <f t="shared" si="254"/>
        <v>600</v>
      </c>
      <c r="K808" s="188" t="s">
        <v>236</v>
      </c>
      <c r="L808" s="131"/>
      <c r="M808" s="56"/>
    </row>
    <row r="809" spans="2:13" ht="13.5" customHeight="1" thickBot="1" x14ac:dyDescent="0.25">
      <c r="B809" s="47">
        <f t="shared" si="254"/>
        <v>0</v>
      </c>
      <c r="C809" s="47">
        <f t="shared" si="254"/>
        <v>0</v>
      </c>
      <c r="D809" s="47">
        <f t="shared" si="254"/>
        <v>0</v>
      </c>
      <c r="E809" s="47">
        <f t="shared" si="254"/>
        <v>0</v>
      </c>
      <c r="F809" s="47">
        <f t="shared" si="254"/>
        <v>0</v>
      </c>
      <c r="G809" s="47">
        <f t="shared" si="254"/>
        <v>0</v>
      </c>
      <c r="H809" s="47">
        <f t="shared" si="254"/>
        <v>0</v>
      </c>
      <c r="I809" s="47">
        <f t="shared" si="254"/>
        <v>0</v>
      </c>
      <c r="J809" s="47">
        <f t="shared" si="254"/>
        <v>0</v>
      </c>
      <c r="K809" s="188" t="s">
        <v>237</v>
      </c>
      <c r="L809" s="132" t="s">
        <v>188</v>
      </c>
      <c r="M809" s="56"/>
    </row>
    <row r="810" spans="2:13" ht="13.5" customHeight="1" thickBot="1" x14ac:dyDescent="0.25">
      <c r="B810" s="47">
        <f t="shared" si="254"/>
        <v>1323</v>
      </c>
      <c r="C810" s="47">
        <f t="shared" si="254"/>
        <v>626</v>
      </c>
      <c r="D810" s="47">
        <f t="shared" si="254"/>
        <v>697</v>
      </c>
      <c r="E810" s="47">
        <f t="shared" si="254"/>
        <v>337</v>
      </c>
      <c r="F810" s="47">
        <f t="shared" si="254"/>
        <v>240</v>
      </c>
      <c r="G810" s="47">
        <f t="shared" si="254"/>
        <v>97</v>
      </c>
      <c r="H810" s="47">
        <f t="shared" si="254"/>
        <v>986</v>
      </c>
      <c r="I810" s="47">
        <f t="shared" si="254"/>
        <v>386</v>
      </c>
      <c r="J810" s="47">
        <f t="shared" si="254"/>
        <v>600</v>
      </c>
      <c r="K810" s="188" t="s">
        <v>12</v>
      </c>
      <c r="L810" s="133"/>
      <c r="M810" s="56"/>
    </row>
    <row r="811" spans="2:13" ht="13.5" customHeight="1" thickBot="1" x14ac:dyDescent="0.25">
      <c r="B811" s="476" t="s">
        <v>4</v>
      </c>
      <c r="C811" s="476"/>
      <c r="D811" s="476"/>
      <c r="E811" s="476" t="s">
        <v>145</v>
      </c>
      <c r="F811" s="476"/>
      <c r="G811" s="476"/>
      <c r="H811" s="476" t="s">
        <v>146</v>
      </c>
      <c r="I811" s="476"/>
      <c r="J811" s="476"/>
      <c r="K811" s="479" t="s">
        <v>66</v>
      </c>
      <c r="L811" s="479"/>
      <c r="M811" s="56"/>
    </row>
    <row r="812" spans="2:13" ht="13.5" customHeight="1" thickBot="1" x14ac:dyDescent="0.25">
      <c r="B812" s="185" t="s">
        <v>227</v>
      </c>
      <c r="C812" s="185" t="s">
        <v>10</v>
      </c>
      <c r="D812" s="185" t="s">
        <v>9</v>
      </c>
      <c r="E812" s="185" t="s">
        <v>227</v>
      </c>
      <c r="F812" s="185" t="s">
        <v>10</v>
      </c>
      <c r="G812" s="185" t="s">
        <v>9</v>
      </c>
      <c r="H812" s="185" t="s">
        <v>227</v>
      </c>
      <c r="I812" s="185" t="s">
        <v>10</v>
      </c>
      <c r="J812" s="185" t="s">
        <v>9</v>
      </c>
      <c r="K812" s="480" t="s">
        <v>151</v>
      </c>
      <c r="L812" s="480"/>
      <c r="M812" s="56"/>
    </row>
    <row r="813" spans="2:13" ht="13.5" customHeight="1" thickBot="1" x14ac:dyDescent="0.25">
      <c r="B813" s="47">
        <f>SUM(C813:D813)</f>
        <v>306</v>
      </c>
      <c r="C813" s="47">
        <f t="shared" ref="C813:D815" si="255">I813+F813</f>
        <v>0</v>
      </c>
      <c r="D813" s="47">
        <f t="shared" si="255"/>
        <v>306</v>
      </c>
      <c r="E813" s="47">
        <f>SUM(F813:G813)</f>
        <v>0</v>
      </c>
      <c r="F813" s="47">
        <v>0</v>
      </c>
      <c r="G813" s="47">
        <v>0</v>
      </c>
      <c r="H813" s="47">
        <f>SUM(I813:J813)</f>
        <v>306</v>
      </c>
      <c r="I813" s="47">
        <v>0</v>
      </c>
      <c r="J813" s="47">
        <v>306</v>
      </c>
      <c r="K813" s="188" t="s">
        <v>233</v>
      </c>
      <c r="L813" s="129"/>
      <c r="M813" s="56"/>
    </row>
    <row r="814" spans="2:13" ht="13.5" customHeight="1" thickBot="1" x14ac:dyDescent="0.25">
      <c r="B814" s="47">
        <f>SUM(C814:D814)</f>
        <v>0</v>
      </c>
      <c r="C814" s="47">
        <f t="shared" si="255"/>
        <v>0</v>
      </c>
      <c r="D814" s="47">
        <f t="shared" si="255"/>
        <v>0</v>
      </c>
      <c r="E814" s="47">
        <f>SUM(F814:G814)</f>
        <v>0</v>
      </c>
      <c r="F814" s="47">
        <v>0</v>
      </c>
      <c r="G814" s="47">
        <v>0</v>
      </c>
      <c r="H814" s="47">
        <f>SUM(I814:J814)</f>
        <v>0</v>
      </c>
      <c r="I814" s="47">
        <v>0</v>
      </c>
      <c r="J814" s="47">
        <v>0</v>
      </c>
      <c r="K814" s="188" t="s">
        <v>234</v>
      </c>
      <c r="L814" s="129" t="s">
        <v>290</v>
      </c>
      <c r="M814" s="56"/>
    </row>
    <row r="815" spans="2:13" ht="13.5" customHeight="1" thickBot="1" x14ac:dyDescent="0.25">
      <c r="B815" s="47">
        <f>SUM(C815:D815)</f>
        <v>306</v>
      </c>
      <c r="C815" s="47">
        <f t="shared" si="255"/>
        <v>0</v>
      </c>
      <c r="D815" s="47">
        <f t="shared" si="255"/>
        <v>306</v>
      </c>
      <c r="E815" s="47">
        <f t="shared" ref="E815:J815" si="256">SUM(E813:E814)</f>
        <v>0</v>
      </c>
      <c r="F815" s="47">
        <f t="shared" si="256"/>
        <v>0</v>
      </c>
      <c r="G815" s="47">
        <f t="shared" si="256"/>
        <v>0</v>
      </c>
      <c r="H815" s="47">
        <f t="shared" si="256"/>
        <v>306</v>
      </c>
      <c r="I815" s="47">
        <f t="shared" si="256"/>
        <v>0</v>
      </c>
      <c r="J815" s="47">
        <f t="shared" si="256"/>
        <v>306</v>
      </c>
      <c r="K815" s="188" t="s">
        <v>12</v>
      </c>
      <c r="L815" s="130"/>
      <c r="M815" s="56"/>
    </row>
    <row r="816" spans="2:13" ht="13.5" customHeight="1" thickBot="1" x14ac:dyDescent="0.25">
      <c r="B816" s="47">
        <f t="shared" ref="B816:J818" si="257">B813</f>
        <v>306</v>
      </c>
      <c r="C816" s="47">
        <f t="shared" si="257"/>
        <v>0</v>
      </c>
      <c r="D816" s="47">
        <f t="shared" si="257"/>
        <v>306</v>
      </c>
      <c r="E816" s="47">
        <f t="shared" si="257"/>
        <v>0</v>
      </c>
      <c r="F816" s="47">
        <f t="shared" si="257"/>
        <v>0</v>
      </c>
      <c r="G816" s="47">
        <f t="shared" si="257"/>
        <v>0</v>
      </c>
      <c r="H816" s="47">
        <f t="shared" si="257"/>
        <v>306</v>
      </c>
      <c r="I816" s="47">
        <f t="shared" si="257"/>
        <v>0</v>
      </c>
      <c r="J816" s="47">
        <f t="shared" si="257"/>
        <v>306</v>
      </c>
      <c r="K816" s="188" t="s">
        <v>236</v>
      </c>
      <c r="L816" s="131"/>
      <c r="M816" s="56"/>
    </row>
    <row r="817" spans="2:13" ht="13.5" customHeight="1" thickBot="1" x14ac:dyDescent="0.25">
      <c r="B817" s="47">
        <f t="shared" si="257"/>
        <v>0</v>
      </c>
      <c r="C817" s="47">
        <f t="shared" si="257"/>
        <v>0</v>
      </c>
      <c r="D817" s="47">
        <f t="shared" si="257"/>
        <v>0</v>
      </c>
      <c r="E817" s="47">
        <f t="shared" si="257"/>
        <v>0</v>
      </c>
      <c r="F817" s="47">
        <f t="shared" si="257"/>
        <v>0</v>
      </c>
      <c r="G817" s="47">
        <f t="shared" si="257"/>
        <v>0</v>
      </c>
      <c r="H817" s="47">
        <f t="shared" si="257"/>
        <v>0</v>
      </c>
      <c r="I817" s="47">
        <f t="shared" si="257"/>
        <v>0</v>
      </c>
      <c r="J817" s="47">
        <f t="shared" si="257"/>
        <v>0</v>
      </c>
      <c r="K817" s="188" t="s">
        <v>237</v>
      </c>
      <c r="L817" s="132" t="s">
        <v>188</v>
      </c>
      <c r="M817" s="56"/>
    </row>
    <row r="818" spans="2:13" ht="13.5" customHeight="1" thickBot="1" x14ac:dyDescent="0.25">
      <c r="B818" s="47">
        <f t="shared" si="257"/>
        <v>306</v>
      </c>
      <c r="C818" s="47">
        <f t="shared" si="257"/>
        <v>0</v>
      </c>
      <c r="D818" s="47">
        <f t="shared" si="257"/>
        <v>306</v>
      </c>
      <c r="E818" s="47">
        <f t="shared" si="257"/>
        <v>0</v>
      </c>
      <c r="F818" s="47">
        <f t="shared" si="257"/>
        <v>0</v>
      </c>
      <c r="G818" s="47">
        <f t="shared" si="257"/>
        <v>0</v>
      </c>
      <c r="H818" s="47">
        <f t="shared" si="257"/>
        <v>306</v>
      </c>
      <c r="I818" s="47">
        <f t="shared" si="257"/>
        <v>0</v>
      </c>
      <c r="J818" s="47">
        <f t="shared" si="257"/>
        <v>306</v>
      </c>
      <c r="K818" s="188" t="s">
        <v>12</v>
      </c>
      <c r="L818" s="133"/>
      <c r="M818" s="56"/>
    </row>
    <row r="819" spans="2:13" ht="13.5" customHeight="1" thickBot="1" x14ac:dyDescent="0.25">
      <c r="B819" s="476" t="s">
        <v>4</v>
      </c>
      <c r="C819" s="476"/>
      <c r="D819" s="476"/>
      <c r="E819" s="476" t="s">
        <v>145</v>
      </c>
      <c r="F819" s="476"/>
      <c r="G819" s="476"/>
      <c r="H819" s="476" t="s">
        <v>146</v>
      </c>
      <c r="I819" s="476"/>
      <c r="J819" s="476"/>
      <c r="K819" s="479" t="s">
        <v>66</v>
      </c>
      <c r="L819" s="479"/>
      <c r="M819" s="56"/>
    </row>
    <row r="820" spans="2:13" ht="13.5" customHeight="1" thickBot="1" x14ac:dyDescent="0.25">
      <c r="B820" s="185" t="s">
        <v>227</v>
      </c>
      <c r="C820" s="185" t="s">
        <v>10</v>
      </c>
      <c r="D820" s="185" t="s">
        <v>9</v>
      </c>
      <c r="E820" s="185" t="s">
        <v>227</v>
      </c>
      <c r="F820" s="185" t="s">
        <v>10</v>
      </c>
      <c r="G820" s="185" t="s">
        <v>9</v>
      </c>
      <c r="H820" s="185" t="s">
        <v>227</v>
      </c>
      <c r="I820" s="185" t="s">
        <v>10</v>
      </c>
      <c r="J820" s="185" t="s">
        <v>9</v>
      </c>
      <c r="K820" s="480" t="s">
        <v>228</v>
      </c>
      <c r="L820" s="480"/>
      <c r="M820" s="56"/>
    </row>
    <row r="821" spans="2:13" ht="13.5" customHeight="1" thickBot="1" x14ac:dyDescent="0.25">
      <c r="B821" s="47">
        <f>SUM(C821:D821)</f>
        <v>165</v>
      </c>
      <c r="C821" s="47">
        <f>I821+F821</f>
        <v>0</v>
      </c>
      <c r="D821" s="47">
        <f>J821+G821</f>
        <v>165</v>
      </c>
      <c r="E821" s="47">
        <f>SUM(F821:G821)</f>
        <v>0</v>
      </c>
      <c r="F821" s="47">
        <v>0</v>
      </c>
      <c r="G821" s="47">
        <v>0</v>
      </c>
      <c r="H821" s="47">
        <f>SUM(I821:J821)</f>
        <v>165</v>
      </c>
      <c r="I821" s="47">
        <v>0</v>
      </c>
      <c r="J821" s="47">
        <v>165</v>
      </c>
      <c r="K821" s="188" t="s">
        <v>233</v>
      </c>
      <c r="L821" s="248"/>
      <c r="M821" s="56"/>
    </row>
    <row r="822" spans="2:13" ht="13.5" customHeight="1" thickBot="1" x14ac:dyDescent="0.25">
      <c r="B822" s="47">
        <f>SUM(C822:D822)</f>
        <v>0</v>
      </c>
      <c r="C822" s="47">
        <f>I822+F822</f>
        <v>0</v>
      </c>
      <c r="D822" s="47">
        <f>J822+G822</f>
        <v>0</v>
      </c>
      <c r="E822" s="47">
        <f>SUM(F822:G822)</f>
        <v>0</v>
      </c>
      <c r="F822" s="47">
        <v>0</v>
      </c>
      <c r="G822" s="47">
        <v>0</v>
      </c>
      <c r="H822" s="47">
        <f>SUM(I822:J822)</f>
        <v>0</v>
      </c>
      <c r="I822" s="47">
        <v>0</v>
      </c>
      <c r="J822" s="47">
        <v>0</v>
      </c>
      <c r="K822" s="188" t="s">
        <v>234</v>
      </c>
      <c r="L822" s="248" t="s">
        <v>335</v>
      </c>
      <c r="M822" s="56"/>
    </row>
    <row r="823" spans="2:13" ht="13.5" customHeight="1" thickBot="1" x14ac:dyDescent="0.25">
      <c r="B823" s="47">
        <f t="shared" ref="B823:J823" si="258">SUM(B821:B822)</f>
        <v>165</v>
      </c>
      <c r="C823" s="47">
        <f t="shared" si="258"/>
        <v>0</v>
      </c>
      <c r="D823" s="47">
        <f t="shared" si="258"/>
        <v>165</v>
      </c>
      <c r="E823" s="47">
        <f t="shared" si="258"/>
        <v>0</v>
      </c>
      <c r="F823" s="47">
        <f t="shared" si="258"/>
        <v>0</v>
      </c>
      <c r="G823" s="47">
        <f t="shared" si="258"/>
        <v>0</v>
      </c>
      <c r="H823" s="47">
        <f t="shared" si="258"/>
        <v>165</v>
      </c>
      <c r="I823" s="47">
        <f t="shared" si="258"/>
        <v>0</v>
      </c>
      <c r="J823" s="47">
        <f t="shared" si="258"/>
        <v>165</v>
      </c>
      <c r="K823" s="188" t="s">
        <v>12</v>
      </c>
      <c r="L823" s="249"/>
      <c r="M823" s="56"/>
    </row>
    <row r="824" spans="2:13" ht="13.5" customHeight="1" thickBot="1" x14ac:dyDescent="0.25">
      <c r="B824" s="47">
        <f t="shared" ref="B824:J826" si="259">B821</f>
        <v>165</v>
      </c>
      <c r="C824" s="47">
        <f t="shared" si="259"/>
        <v>0</v>
      </c>
      <c r="D824" s="47">
        <f t="shared" si="259"/>
        <v>165</v>
      </c>
      <c r="E824" s="47">
        <f t="shared" si="259"/>
        <v>0</v>
      </c>
      <c r="F824" s="47">
        <f t="shared" si="259"/>
        <v>0</v>
      </c>
      <c r="G824" s="47">
        <f t="shared" si="259"/>
        <v>0</v>
      </c>
      <c r="H824" s="47">
        <f t="shared" si="259"/>
        <v>165</v>
      </c>
      <c r="I824" s="47">
        <f t="shared" si="259"/>
        <v>0</v>
      </c>
      <c r="J824" s="47">
        <f t="shared" si="259"/>
        <v>165</v>
      </c>
      <c r="K824" s="188" t="s">
        <v>236</v>
      </c>
      <c r="L824" s="250"/>
      <c r="M824" s="56"/>
    </row>
    <row r="825" spans="2:13" ht="13.5" customHeight="1" thickBot="1" x14ac:dyDescent="0.25">
      <c r="B825" s="47">
        <f t="shared" si="259"/>
        <v>0</v>
      </c>
      <c r="C825" s="47">
        <f t="shared" si="259"/>
        <v>0</v>
      </c>
      <c r="D825" s="47">
        <f t="shared" si="259"/>
        <v>0</v>
      </c>
      <c r="E825" s="47">
        <f t="shared" si="259"/>
        <v>0</v>
      </c>
      <c r="F825" s="47">
        <f t="shared" si="259"/>
        <v>0</v>
      </c>
      <c r="G825" s="47">
        <f t="shared" si="259"/>
        <v>0</v>
      </c>
      <c r="H825" s="47">
        <f t="shared" si="259"/>
        <v>0</v>
      </c>
      <c r="I825" s="47">
        <f t="shared" si="259"/>
        <v>0</v>
      </c>
      <c r="J825" s="47">
        <f t="shared" si="259"/>
        <v>0</v>
      </c>
      <c r="K825" s="188" t="s">
        <v>237</v>
      </c>
      <c r="L825" s="251" t="s">
        <v>188</v>
      </c>
      <c r="M825" s="56"/>
    </row>
    <row r="826" spans="2:13" ht="13.5" customHeight="1" thickBot="1" x14ac:dyDescent="0.25">
      <c r="B826" s="47">
        <f t="shared" si="259"/>
        <v>165</v>
      </c>
      <c r="C826" s="47">
        <f t="shared" si="259"/>
        <v>0</v>
      </c>
      <c r="D826" s="47">
        <f t="shared" si="259"/>
        <v>165</v>
      </c>
      <c r="E826" s="47">
        <f t="shared" si="259"/>
        <v>0</v>
      </c>
      <c r="F826" s="47">
        <f t="shared" si="259"/>
        <v>0</v>
      </c>
      <c r="G826" s="47">
        <f t="shared" si="259"/>
        <v>0</v>
      </c>
      <c r="H826" s="47">
        <f t="shared" si="259"/>
        <v>165</v>
      </c>
      <c r="I826" s="47">
        <f t="shared" si="259"/>
        <v>0</v>
      </c>
      <c r="J826" s="47">
        <f t="shared" si="259"/>
        <v>165</v>
      </c>
      <c r="K826" s="188" t="s">
        <v>12</v>
      </c>
      <c r="L826" s="187"/>
      <c r="M826" s="56"/>
    </row>
  </sheetData>
  <mergeCells count="116">
    <mergeCell ref="B819:D819"/>
    <mergeCell ref="E819:G819"/>
    <mergeCell ref="H819:J819"/>
    <mergeCell ref="K819:L819"/>
    <mergeCell ref="K820:L820"/>
    <mergeCell ref="K771:L771"/>
    <mergeCell ref="B811:D811"/>
    <mergeCell ref="E811:G811"/>
    <mergeCell ref="H811:J811"/>
    <mergeCell ref="K811:L811"/>
    <mergeCell ref="K812:L812"/>
    <mergeCell ref="B759:D759"/>
    <mergeCell ref="E759:G759"/>
    <mergeCell ref="H759:J759"/>
    <mergeCell ref="K759:L759"/>
    <mergeCell ref="K760:L760"/>
    <mergeCell ref="B770:D770"/>
    <mergeCell ref="E770:G770"/>
    <mergeCell ref="H770:J770"/>
    <mergeCell ref="K770:L770"/>
    <mergeCell ref="K669:L669"/>
    <mergeCell ref="B745:D745"/>
    <mergeCell ref="E745:G745"/>
    <mergeCell ref="H745:J745"/>
    <mergeCell ref="K745:L745"/>
    <mergeCell ref="K746:L746"/>
    <mergeCell ref="B654:D654"/>
    <mergeCell ref="E654:G654"/>
    <mergeCell ref="H654:J654"/>
    <mergeCell ref="K654:L654"/>
    <mergeCell ref="K655:L655"/>
    <mergeCell ref="B668:D668"/>
    <mergeCell ref="E668:G668"/>
    <mergeCell ref="H668:J668"/>
    <mergeCell ref="K668:L668"/>
    <mergeCell ref="K615:L615"/>
    <mergeCell ref="B631:D631"/>
    <mergeCell ref="E631:G631"/>
    <mergeCell ref="H631:J631"/>
    <mergeCell ref="K631:L631"/>
    <mergeCell ref="K632:L632"/>
    <mergeCell ref="B591:D591"/>
    <mergeCell ref="E591:G591"/>
    <mergeCell ref="H591:J591"/>
    <mergeCell ref="K591:L591"/>
    <mergeCell ref="K592:L592"/>
    <mergeCell ref="B614:D614"/>
    <mergeCell ref="E614:G614"/>
    <mergeCell ref="H614:J614"/>
    <mergeCell ref="K614:L614"/>
    <mergeCell ref="K543:L543"/>
    <mergeCell ref="B565:D565"/>
    <mergeCell ref="E565:G565"/>
    <mergeCell ref="H565:J565"/>
    <mergeCell ref="K565:L565"/>
    <mergeCell ref="K566:L566"/>
    <mergeCell ref="B510:D510"/>
    <mergeCell ref="E510:G510"/>
    <mergeCell ref="H510:J510"/>
    <mergeCell ref="K510:L510"/>
    <mergeCell ref="K511:L511"/>
    <mergeCell ref="B542:D542"/>
    <mergeCell ref="E542:G542"/>
    <mergeCell ref="H542:J542"/>
    <mergeCell ref="K542:L542"/>
    <mergeCell ref="K396:L396"/>
    <mergeCell ref="B454:D454"/>
    <mergeCell ref="E454:G454"/>
    <mergeCell ref="H454:J454"/>
    <mergeCell ref="K454:L454"/>
    <mergeCell ref="K455:L455"/>
    <mergeCell ref="B324:D324"/>
    <mergeCell ref="E324:G324"/>
    <mergeCell ref="H324:J324"/>
    <mergeCell ref="K324:L324"/>
    <mergeCell ref="K325:L325"/>
    <mergeCell ref="B395:D395"/>
    <mergeCell ref="E395:G395"/>
    <mergeCell ref="H395:J395"/>
    <mergeCell ref="K395:L395"/>
    <mergeCell ref="K228:L228"/>
    <mergeCell ref="B250:D250"/>
    <mergeCell ref="E250:G250"/>
    <mergeCell ref="H250:J250"/>
    <mergeCell ref="K250:L250"/>
    <mergeCell ref="K251:L251"/>
    <mergeCell ref="B171:D171"/>
    <mergeCell ref="E171:G171"/>
    <mergeCell ref="H171:J171"/>
    <mergeCell ref="K171:L171"/>
    <mergeCell ref="K172:L172"/>
    <mergeCell ref="B227:D227"/>
    <mergeCell ref="E227:G227"/>
    <mergeCell ref="H227:J227"/>
    <mergeCell ref="K227:L227"/>
    <mergeCell ref="K119:L119"/>
    <mergeCell ref="B63:D63"/>
    <mergeCell ref="E63:G63"/>
    <mergeCell ref="H63:J63"/>
    <mergeCell ref="K63:L63"/>
    <mergeCell ref="K64:L64"/>
    <mergeCell ref="B83:D83"/>
    <mergeCell ref="E83:G83"/>
    <mergeCell ref="H83:J83"/>
    <mergeCell ref="K83:L83"/>
    <mergeCell ref="B2:L2"/>
    <mergeCell ref="B4:D4"/>
    <mergeCell ref="E4:G4"/>
    <mergeCell ref="H4:J4"/>
    <mergeCell ref="K4:L4"/>
    <mergeCell ref="K5:L5"/>
    <mergeCell ref="K84:L84"/>
    <mergeCell ref="B118:D118"/>
    <mergeCell ref="E118:G118"/>
    <mergeCell ref="H118:J118"/>
    <mergeCell ref="K118:L118"/>
  </mergeCells>
  <pageMargins left="1.1200000000000001" right="0.4" top="0.25" bottom="0.25" header="0.25" footer="0.25"/>
  <pageSetup paperSize="9" scale="74" orientation="landscape" r:id="rId1"/>
  <headerFooter alignWithMargins="0"/>
  <rowBreaks count="17" manualBreakCount="17">
    <brk id="62" min="1" max="11" man="1"/>
    <brk id="82" min="1" max="11" man="1"/>
    <brk id="117" min="1" max="11" man="1"/>
    <brk id="170" min="1" max="11" man="1"/>
    <brk id="226" min="1" max="11" man="1"/>
    <brk id="249" min="1" max="11" man="1"/>
    <brk id="323" min="1" max="11" man="1"/>
    <brk id="394" min="1" max="11" man="1"/>
    <brk id="453" min="1" max="11" man="1"/>
    <brk id="509" min="1" max="11" man="1"/>
    <brk id="541" min="1" max="11" man="1"/>
    <brk id="590" min="1" max="11" man="1"/>
    <brk id="630" min="1" max="11" man="1"/>
    <brk id="667" min="1" max="11" man="1"/>
    <brk id="744" min="1" max="11" man="1"/>
    <brk id="801" min="1" max="11" man="1"/>
    <brk id="810" min="1" max="11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M315"/>
  <sheetViews>
    <sheetView showGridLines="0" zoomScaleNormal="100" zoomScaleSheetLayoutView="100" workbookViewId="0"/>
  </sheetViews>
  <sheetFormatPr defaultColWidth="9.125" defaultRowHeight="15.75" customHeight="1" x14ac:dyDescent="0.2"/>
  <cols>
    <col min="1" max="1" width="9.125" style="253"/>
    <col min="2" max="4" width="10.375" style="252" bestFit="1" customWidth="1"/>
    <col min="5" max="7" width="9.25" style="252" bestFit="1" customWidth="1"/>
    <col min="8" max="10" width="10.375" style="252" bestFit="1" customWidth="1"/>
    <col min="11" max="11" width="9.125" style="253"/>
    <col min="12" max="12" width="32" style="254" bestFit="1" customWidth="1"/>
    <col min="13" max="13" width="8.125" style="254" customWidth="1"/>
    <col min="14" max="16384" width="9.125" style="56"/>
  </cols>
  <sheetData>
    <row r="2" spans="2:13" ht="18" x14ac:dyDescent="0.2">
      <c r="B2" s="572" t="s">
        <v>728</v>
      </c>
      <c r="C2" s="572"/>
      <c r="D2" s="572"/>
      <c r="E2" s="572"/>
      <c r="F2" s="572"/>
      <c r="G2" s="572"/>
      <c r="H2" s="572"/>
      <c r="I2" s="572"/>
      <c r="J2" s="572"/>
      <c r="K2" s="572"/>
      <c r="L2" s="572"/>
      <c r="M2" s="295"/>
    </row>
    <row r="3" spans="2:13" ht="15.75" customHeight="1" thickBot="1" x14ac:dyDescent="0.25"/>
    <row r="4" spans="2:13" ht="15.75" customHeight="1" thickBot="1" x14ac:dyDescent="0.25">
      <c r="B4" s="476" t="s">
        <v>4</v>
      </c>
      <c r="C4" s="476"/>
      <c r="D4" s="476"/>
      <c r="E4" s="476" t="s">
        <v>145</v>
      </c>
      <c r="F4" s="476"/>
      <c r="G4" s="476"/>
      <c r="H4" s="476" t="s">
        <v>146</v>
      </c>
      <c r="I4" s="476"/>
      <c r="J4" s="476"/>
      <c r="K4" s="479" t="s">
        <v>66</v>
      </c>
      <c r="L4" s="479"/>
      <c r="M4" s="296"/>
    </row>
    <row r="5" spans="2:13" ht="15.75" customHeight="1" thickBot="1" x14ac:dyDescent="0.25">
      <c r="B5" s="185" t="s">
        <v>227</v>
      </c>
      <c r="C5" s="185" t="s">
        <v>10</v>
      </c>
      <c r="D5" s="185" t="s">
        <v>9</v>
      </c>
      <c r="E5" s="185" t="s">
        <v>227</v>
      </c>
      <c r="F5" s="185" t="s">
        <v>10</v>
      </c>
      <c r="G5" s="185" t="s">
        <v>9</v>
      </c>
      <c r="H5" s="185" t="s">
        <v>227</v>
      </c>
      <c r="I5" s="185" t="s">
        <v>10</v>
      </c>
      <c r="J5" s="185" t="s">
        <v>9</v>
      </c>
      <c r="K5" s="480" t="s">
        <v>68</v>
      </c>
      <c r="L5" s="480"/>
      <c r="M5" s="296"/>
    </row>
    <row r="6" spans="2:13" ht="15.75" customHeight="1" thickBot="1" x14ac:dyDescent="0.25">
      <c r="B6" s="47">
        <f>SUM(C6:D6)</f>
        <v>46</v>
      </c>
      <c r="C6" s="47">
        <f>I6+F6</f>
        <v>0</v>
      </c>
      <c r="D6" s="47">
        <f>J6+G6</f>
        <v>46</v>
      </c>
      <c r="E6" s="47">
        <f>SUM(F6:G6)</f>
        <v>0</v>
      </c>
      <c r="F6" s="47">
        <v>0</v>
      </c>
      <c r="G6" s="47">
        <v>0</v>
      </c>
      <c r="H6" s="47">
        <f>SUM(I6:J6)</f>
        <v>46</v>
      </c>
      <c r="I6" s="47">
        <v>0</v>
      </c>
      <c r="J6" s="47">
        <f>36+10</f>
        <v>46</v>
      </c>
      <c r="K6" s="188" t="s">
        <v>56</v>
      </c>
      <c r="L6" s="134"/>
      <c r="M6" s="297"/>
    </row>
    <row r="7" spans="2:13" ht="15.75" customHeight="1" thickBot="1" x14ac:dyDescent="0.25">
      <c r="B7" s="47">
        <f t="shared" ref="B7:B35" si="0">SUM(C7:D7)</f>
        <v>33</v>
      </c>
      <c r="C7" s="47">
        <f t="shared" ref="C7:D35" si="1">I7+F7</f>
        <v>0</v>
      </c>
      <c r="D7" s="47">
        <f t="shared" si="1"/>
        <v>33</v>
      </c>
      <c r="E7" s="47">
        <f t="shared" ref="E7:E35" si="2">SUM(F7:G7)</f>
        <v>0</v>
      </c>
      <c r="F7" s="47">
        <v>0</v>
      </c>
      <c r="G7" s="47">
        <v>0</v>
      </c>
      <c r="H7" s="47">
        <f t="shared" ref="H7:H35" si="3">SUM(I7:J7)</f>
        <v>33</v>
      </c>
      <c r="I7" s="47">
        <v>0</v>
      </c>
      <c r="J7" s="47">
        <v>33</v>
      </c>
      <c r="K7" s="188" t="s">
        <v>57</v>
      </c>
      <c r="L7" s="134" t="s">
        <v>339</v>
      </c>
      <c r="M7" s="297"/>
    </row>
    <row r="8" spans="2:13" ht="15.75" customHeight="1" thickBot="1" x14ac:dyDescent="0.25">
      <c r="B8" s="47">
        <f t="shared" si="0"/>
        <v>18</v>
      </c>
      <c r="C8" s="47">
        <f t="shared" si="1"/>
        <v>0</v>
      </c>
      <c r="D8" s="47">
        <f t="shared" si="1"/>
        <v>18</v>
      </c>
      <c r="E8" s="47">
        <f t="shared" si="2"/>
        <v>0</v>
      </c>
      <c r="F8" s="47">
        <v>0</v>
      </c>
      <c r="G8" s="47">
        <v>0</v>
      </c>
      <c r="H8" s="47">
        <f t="shared" si="3"/>
        <v>18</v>
      </c>
      <c r="I8" s="47">
        <v>0</v>
      </c>
      <c r="J8" s="47">
        <v>18</v>
      </c>
      <c r="K8" s="188" t="s">
        <v>59</v>
      </c>
      <c r="L8" s="135"/>
      <c r="M8" s="297"/>
    </row>
    <row r="9" spans="2:13" ht="15.75" customHeight="1" thickBot="1" x14ac:dyDescent="0.25">
      <c r="B9" s="47">
        <f t="shared" si="0"/>
        <v>22</v>
      </c>
      <c r="C9" s="47">
        <f t="shared" si="1"/>
        <v>10</v>
      </c>
      <c r="D9" s="47">
        <f t="shared" si="1"/>
        <v>12</v>
      </c>
      <c r="E9" s="47">
        <f t="shared" si="2"/>
        <v>0</v>
      </c>
      <c r="F9" s="47">
        <v>0</v>
      </c>
      <c r="G9" s="47">
        <v>0</v>
      </c>
      <c r="H9" s="47">
        <f t="shared" si="3"/>
        <v>22</v>
      </c>
      <c r="I9" s="47">
        <v>10</v>
      </c>
      <c r="J9" s="47">
        <v>12</v>
      </c>
      <c r="K9" s="188" t="s">
        <v>56</v>
      </c>
      <c r="L9" s="134"/>
      <c r="M9" s="297"/>
    </row>
    <row r="10" spans="2:13" ht="15.75" customHeight="1" thickBot="1" x14ac:dyDescent="0.25">
      <c r="B10" s="47">
        <f t="shared" si="0"/>
        <v>64</v>
      </c>
      <c r="C10" s="47">
        <f t="shared" si="1"/>
        <v>25</v>
      </c>
      <c r="D10" s="47">
        <f t="shared" si="1"/>
        <v>39</v>
      </c>
      <c r="E10" s="47">
        <f t="shared" si="2"/>
        <v>5</v>
      </c>
      <c r="F10" s="47">
        <v>0</v>
      </c>
      <c r="G10" s="47">
        <v>5</v>
      </c>
      <c r="H10" s="47">
        <f t="shared" si="3"/>
        <v>59</v>
      </c>
      <c r="I10" s="47">
        <v>25</v>
      </c>
      <c r="J10" s="47">
        <v>34</v>
      </c>
      <c r="K10" s="188" t="s">
        <v>57</v>
      </c>
      <c r="L10" s="134" t="s">
        <v>340</v>
      </c>
      <c r="M10" s="297"/>
    </row>
    <row r="11" spans="2:13" ht="15.75" customHeight="1" thickBot="1" x14ac:dyDescent="0.25">
      <c r="B11" s="47">
        <f t="shared" si="0"/>
        <v>595</v>
      </c>
      <c r="C11" s="47">
        <f t="shared" si="1"/>
        <v>96</v>
      </c>
      <c r="D11" s="47">
        <f t="shared" si="1"/>
        <v>499</v>
      </c>
      <c r="E11" s="47">
        <f t="shared" si="2"/>
        <v>0</v>
      </c>
      <c r="F11" s="47">
        <v>0</v>
      </c>
      <c r="G11" s="47">
        <v>0</v>
      </c>
      <c r="H11" s="47">
        <f t="shared" si="3"/>
        <v>595</v>
      </c>
      <c r="I11" s="47">
        <f>127-31</f>
        <v>96</v>
      </c>
      <c r="J11" s="47">
        <v>499</v>
      </c>
      <c r="K11" s="188" t="s">
        <v>59</v>
      </c>
      <c r="L11" s="135"/>
      <c r="M11" s="297"/>
    </row>
    <row r="12" spans="2:13" ht="15.75" customHeight="1" thickBot="1" x14ac:dyDescent="0.25">
      <c r="B12" s="47">
        <f t="shared" si="0"/>
        <v>4</v>
      </c>
      <c r="C12" s="47">
        <f t="shared" si="1"/>
        <v>0</v>
      </c>
      <c r="D12" s="47">
        <f t="shared" si="1"/>
        <v>4</v>
      </c>
      <c r="E12" s="47">
        <f t="shared" si="2"/>
        <v>0</v>
      </c>
      <c r="F12" s="47">
        <v>0</v>
      </c>
      <c r="G12" s="47">
        <v>0</v>
      </c>
      <c r="H12" s="47">
        <f t="shared" si="3"/>
        <v>4</v>
      </c>
      <c r="I12" s="47">
        <v>0</v>
      </c>
      <c r="J12" s="47">
        <v>4</v>
      </c>
      <c r="K12" s="188" t="s">
        <v>56</v>
      </c>
      <c r="L12" s="134"/>
      <c r="M12" s="297"/>
    </row>
    <row r="13" spans="2:13" ht="15.75" customHeight="1" thickBot="1" x14ac:dyDescent="0.25">
      <c r="B13" s="47">
        <f t="shared" si="0"/>
        <v>8</v>
      </c>
      <c r="C13" s="47">
        <f t="shared" si="1"/>
        <v>2</v>
      </c>
      <c r="D13" s="47">
        <f t="shared" si="1"/>
        <v>6</v>
      </c>
      <c r="E13" s="47">
        <f t="shared" si="2"/>
        <v>0</v>
      </c>
      <c r="F13" s="47">
        <v>0</v>
      </c>
      <c r="G13" s="47">
        <v>0</v>
      </c>
      <c r="H13" s="47">
        <f t="shared" si="3"/>
        <v>8</v>
      </c>
      <c r="I13" s="47">
        <v>2</v>
      </c>
      <c r="J13" s="47">
        <v>6</v>
      </c>
      <c r="K13" s="188" t="s">
        <v>57</v>
      </c>
      <c r="L13" s="134" t="s">
        <v>341</v>
      </c>
      <c r="M13" s="297"/>
    </row>
    <row r="14" spans="2:13" ht="15.75" customHeight="1" thickBot="1" x14ac:dyDescent="0.25">
      <c r="B14" s="47">
        <f t="shared" si="0"/>
        <v>0</v>
      </c>
      <c r="C14" s="47">
        <f t="shared" si="1"/>
        <v>0</v>
      </c>
      <c r="D14" s="47">
        <f t="shared" si="1"/>
        <v>0</v>
      </c>
      <c r="E14" s="47">
        <f t="shared" si="2"/>
        <v>0</v>
      </c>
      <c r="F14" s="47">
        <v>0</v>
      </c>
      <c r="G14" s="47">
        <v>0</v>
      </c>
      <c r="H14" s="47">
        <f t="shared" si="3"/>
        <v>0</v>
      </c>
      <c r="I14" s="47">
        <v>0</v>
      </c>
      <c r="J14" s="47">
        <v>0</v>
      </c>
      <c r="K14" s="188" t="s">
        <v>59</v>
      </c>
      <c r="L14" s="135"/>
      <c r="M14" s="297"/>
    </row>
    <row r="15" spans="2:13" ht="15.75" customHeight="1" thickBot="1" x14ac:dyDescent="0.25">
      <c r="B15" s="47">
        <f t="shared" si="0"/>
        <v>0</v>
      </c>
      <c r="C15" s="47">
        <f t="shared" si="1"/>
        <v>0</v>
      </c>
      <c r="D15" s="47">
        <f t="shared" si="1"/>
        <v>0</v>
      </c>
      <c r="E15" s="47">
        <f t="shared" si="2"/>
        <v>0</v>
      </c>
      <c r="F15" s="47">
        <v>0</v>
      </c>
      <c r="G15" s="47">
        <v>0</v>
      </c>
      <c r="H15" s="47">
        <f t="shared" si="3"/>
        <v>0</v>
      </c>
      <c r="I15" s="47">
        <v>0</v>
      </c>
      <c r="J15" s="47">
        <v>0</v>
      </c>
      <c r="K15" s="188" t="s">
        <v>56</v>
      </c>
      <c r="L15" s="134"/>
      <c r="M15" s="297"/>
    </row>
    <row r="16" spans="2:13" ht="15.75" customHeight="1" thickBot="1" x14ac:dyDescent="0.25">
      <c r="B16" s="47">
        <f t="shared" si="0"/>
        <v>33</v>
      </c>
      <c r="C16" s="47">
        <f t="shared" si="1"/>
        <v>6</v>
      </c>
      <c r="D16" s="47">
        <f t="shared" si="1"/>
        <v>27</v>
      </c>
      <c r="E16" s="47">
        <f t="shared" si="2"/>
        <v>0</v>
      </c>
      <c r="F16" s="47">
        <v>0</v>
      </c>
      <c r="G16" s="47">
        <v>0</v>
      </c>
      <c r="H16" s="47">
        <f t="shared" si="3"/>
        <v>33</v>
      </c>
      <c r="I16" s="47">
        <v>6</v>
      </c>
      <c r="J16" s="47">
        <v>27</v>
      </c>
      <c r="K16" s="188" t="s">
        <v>57</v>
      </c>
      <c r="L16" s="134" t="s">
        <v>342</v>
      </c>
      <c r="M16" s="297"/>
    </row>
    <row r="17" spans="2:13" ht="15.75" customHeight="1" thickBot="1" x14ac:dyDescent="0.25">
      <c r="B17" s="47">
        <f t="shared" si="0"/>
        <v>0</v>
      </c>
      <c r="C17" s="47">
        <f t="shared" si="1"/>
        <v>0</v>
      </c>
      <c r="D17" s="47">
        <f t="shared" si="1"/>
        <v>0</v>
      </c>
      <c r="E17" s="47">
        <f t="shared" si="2"/>
        <v>0</v>
      </c>
      <c r="F17" s="47">
        <v>0</v>
      </c>
      <c r="G17" s="47">
        <v>0</v>
      </c>
      <c r="H17" s="47">
        <f t="shared" si="3"/>
        <v>0</v>
      </c>
      <c r="I17" s="47">
        <v>0</v>
      </c>
      <c r="J17" s="47">
        <v>0</v>
      </c>
      <c r="K17" s="188" t="s">
        <v>59</v>
      </c>
      <c r="L17" s="135"/>
      <c r="M17" s="297"/>
    </row>
    <row r="18" spans="2:13" ht="15.75" customHeight="1" thickBot="1" x14ac:dyDescent="0.25">
      <c r="B18" s="47">
        <f t="shared" si="0"/>
        <v>0</v>
      </c>
      <c r="C18" s="47">
        <f t="shared" si="1"/>
        <v>0</v>
      </c>
      <c r="D18" s="47">
        <f t="shared" si="1"/>
        <v>0</v>
      </c>
      <c r="E18" s="47">
        <f t="shared" si="2"/>
        <v>0</v>
      </c>
      <c r="F18" s="47">
        <v>0</v>
      </c>
      <c r="G18" s="47">
        <v>0</v>
      </c>
      <c r="H18" s="47">
        <f t="shared" si="3"/>
        <v>0</v>
      </c>
      <c r="I18" s="47">
        <v>0</v>
      </c>
      <c r="J18" s="47">
        <v>0</v>
      </c>
      <c r="K18" s="188" t="s">
        <v>56</v>
      </c>
      <c r="L18" s="134"/>
      <c r="M18" s="297"/>
    </row>
    <row r="19" spans="2:13" ht="15.75" customHeight="1" thickBot="1" x14ac:dyDescent="0.25">
      <c r="B19" s="47">
        <f t="shared" si="0"/>
        <v>43</v>
      </c>
      <c r="C19" s="47">
        <f t="shared" si="1"/>
        <v>29</v>
      </c>
      <c r="D19" s="47">
        <f t="shared" si="1"/>
        <v>14</v>
      </c>
      <c r="E19" s="47">
        <f t="shared" si="2"/>
        <v>0</v>
      </c>
      <c r="F19" s="47">
        <v>0</v>
      </c>
      <c r="G19" s="47">
        <v>0</v>
      </c>
      <c r="H19" s="47">
        <f t="shared" si="3"/>
        <v>43</v>
      </c>
      <c r="I19" s="47">
        <f>28+1</f>
        <v>29</v>
      </c>
      <c r="J19" s="47">
        <v>14</v>
      </c>
      <c r="K19" s="188" t="s">
        <v>57</v>
      </c>
      <c r="L19" s="134" t="s">
        <v>345</v>
      </c>
      <c r="M19" s="297"/>
    </row>
    <row r="20" spans="2:13" ht="15.75" customHeight="1" thickBot="1" x14ac:dyDescent="0.25">
      <c r="B20" s="47">
        <f t="shared" si="0"/>
        <v>0</v>
      </c>
      <c r="C20" s="47">
        <f t="shared" si="1"/>
        <v>0</v>
      </c>
      <c r="D20" s="47">
        <f t="shared" si="1"/>
        <v>0</v>
      </c>
      <c r="E20" s="47">
        <f t="shared" si="2"/>
        <v>0</v>
      </c>
      <c r="F20" s="47">
        <v>0</v>
      </c>
      <c r="G20" s="47">
        <v>0</v>
      </c>
      <c r="H20" s="47">
        <f t="shared" si="3"/>
        <v>0</v>
      </c>
      <c r="I20" s="47">
        <v>0</v>
      </c>
      <c r="J20" s="47">
        <v>0</v>
      </c>
      <c r="K20" s="188" t="s">
        <v>59</v>
      </c>
      <c r="L20" s="135"/>
      <c r="M20" s="297"/>
    </row>
    <row r="21" spans="2:13" ht="15.75" customHeight="1" thickBot="1" x14ac:dyDescent="0.25">
      <c r="B21" s="47">
        <f t="shared" si="0"/>
        <v>16</v>
      </c>
      <c r="C21" s="47">
        <f t="shared" si="1"/>
        <v>0</v>
      </c>
      <c r="D21" s="47">
        <f t="shared" si="1"/>
        <v>16</v>
      </c>
      <c r="E21" s="47">
        <f t="shared" si="2"/>
        <v>0</v>
      </c>
      <c r="F21" s="47">
        <v>0</v>
      </c>
      <c r="G21" s="47">
        <v>0</v>
      </c>
      <c r="H21" s="47">
        <f t="shared" si="3"/>
        <v>16</v>
      </c>
      <c r="I21" s="47">
        <v>0</v>
      </c>
      <c r="J21" s="47">
        <v>16</v>
      </c>
      <c r="K21" s="188" t="s">
        <v>56</v>
      </c>
      <c r="L21" s="134"/>
      <c r="M21" s="297"/>
    </row>
    <row r="22" spans="2:13" ht="15.75" customHeight="1" thickBot="1" x14ac:dyDescent="0.25">
      <c r="B22" s="47">
        <f t="shared" si="0"/>
        <v>17</v>
      </c>
      <c r="C22" s="47">
        <f t="shared" si="1"/>
        <v>0</v>
      </c>
      <c r="D22" s="47">
        <f t="shared" si="1"/>
        <v>17</v>
      </c>
      <c r="E22" s="47">
        <f t="shared" si="2"/>
        <v>0</v>
      </c>
      <c r="F22" s="47">
        <v>0</v>
      </c>
      <c r="G22" s="47">
        <v>0</v>
      </c>
      <c r="H22" s="47">
        <f t="shared" si="3"/>
        <v>17</v>
      </c>
      <c r="I22" s="47">
        <v>0</v>
      </c>
      <c r="J22" s="47">
        <v>17</v>
      </c>
      <c r="K22" s="188" t="s">
        <v>57</v>
      </c>
      <c r="L22" s="134" t="s">
        <v>346</v>
      </c>
      <c r="M22" s="297"/>
    </row>
    <row r="23" spans="2:13" ht="15.75" customHeight="1" thickBot="1" x14ac:dyDescent="0.25">
      <c r="B23" s="47">
        <f t="shared" si="0"/>
        <v>0</v>
      </c>
      <c r="C23" s="47">
        <f t="shared" si="1"/>
        <v>0</v>
      </c>
      <c r="D23" s="47">
        <f t="shared" si="1"/>
        <v>0</v>
      </c>
      <c r="E23" s="47">
        <f t="shared" si="2"/>
        <v>0</v>
      </c>
      <c r="F23" s="47">
        <v>0</v>
      </c>
      <c r="G23" s="47">
        <v>0</v>
      </c>
      <c r="H23" s="47">
        <f t="shared" si="3"/>
        <v>0</v>
      </c>
      <c r="I23" s="47">
        <v>0</v>
      </c>
      <c r="J23" s="47">
        <v>0</v>
      </c>
      <c r="K23" s="188" t="s">
        <v>59</v>
      </c>
      <c r="L23" s="135"/>
      <c r="M23" s="297"/>
    </row>
    <row r="24" spans="2:13" ht="15.75" customHeight="1" thickBot="1" x14ac:dyDescent="0.25">
      <c r="B24" s="47">
        <f t="shared" si="0"/>
        <v>3</v>
      </c>
      <c r="C24" s="47">
        <f t="shared" si="1"/>
        <v>3</v>
      </c>
      <c r="D24" s="47">
        <f t="shared" si="1"/>
        <v>0</v>
      </c>
      <c r="E24" s="47">
        <f t="shared" si="2"/>
        <v>0</v>
      </c>
      <c r="F24" s="47">
        <v>0</v>
      </c>
      <c r="G24" s="47">
        <v>0</v>
      </c>
      <c r="H24" s="47">
        <f t="shared" si="3"/>
        <v>3</v>
      </c>
      <c r="I24" s="47">
        <v>3</v>
      </c>
      <c r="J24" s="47">
        <v>0</v>
      </c>
      <c r="K24" s="188" t="s">
        <v>56</v>
      </c>
      <c r="L24" s="134"/>
      <c r="M24" s="297"/>
    </row>
    <row r="25" spans="2:13" ht="15.75" customHeight="1" thickBot="1" x14ac:dyDescent="0.25">
      <c r="B25" s="47">
        <f t="shared" si="0"/>
        <v>1</v>
      </c>
      <c r="C25" s="47">
        <f t="shared" si="1"/>
        <v>1</v>
      </c>
      <c r="D25" s="47">
        <f t="shared" si="1"/>
        <v>0</v>
      </c>
      <c r="E25" s="47">
        <f t="shared" si="2"/>
        <v>0</v>
      </c>
      <c r="F25" s="47">
        <v>0</v>
      </c>
      <c r="G25" s="47">
        <v>0</v>
      </c>
      <c r="H25" s="47">
        <f t="shared" si="3"/>
        <v>1</v>
      </c>
      <c r="I25" s="47">
        <v>1</v>
      </c>
      <c r="J25" s="47">
        <v>0</v>
      </c>
      <c r="K25" s="188" t="s">
        <v>57</v>
      </c>
      <c r="L25" s="134" t="s">
        <v>350</v>
      </c>
      <c r="M25" s="297"/>
    </row>
    <row r="26" spans="2:13" ht="15.75" customHeight="1" thickBot="1" x14ac:dyDescent="0.25">
      <c r="B26" s="47">
        <f t="shared" si="0"/>
        <v>0</v>
      </c>
      <c r="C26" s="47">
        <f t="shared" si="1"/>
        <v>0</v>
      </c>
      <c r="D26" s="47">
        <f t="shared" si="1"/>
        <v>0</v>
      </c>
      <c r="E26" s="47">
        <f t="shared" si="2"/>
        <v>0</v>
      </c>
      <c r="F26" s="47">
        <v>0</v>
      </c>
      <c r="G26" s="47">
        <v>0</v>
      </c>
      <c r="H26" s="47">
        <f t="shared" si="3"/>
        <v>0</v>
      </c>
      <c r="I26" s="47">
        <v>0</v>
      </c>
      <c r="J26" s="47">
        <v>0</v>
      </c>
      <c r="K26" s="188" t="s">
        <v>59</v>
      </c>
      <c r="L26" s="135"/>
      <c r="M26" s="297"/>
    </row>
    <row r="27" spans="2:13" ht="15.75" customHeight="1" thickBot="1" x14ac:dyDescent="0.25">
      <c r="B27" s="47">
        <f t="shared" si="0"/>
        <v>14</v>
      </c>
      <c r="C27" s="47">
        <f t="shared" si="1"/>
        <v>14</v>
      </c>
      <c r="D27" s="47">
        <f t="shared" si="1"/>
        <v>0</v>
      </c>
      <c r="E27" s="47">
        <f t="shared" si="2"/>
        <v>0</v>
      </c>
      <c r="F27" s="47">
        <v>0</v>
      </c>
      <c r="G27" s="47">
        <v>0</v>
      </c>
      <c r="H27" s="47">
        <f t="shared" si="3"/>
        <v>14</v>
      </c>
      <c r="I27" s="47">
        <v>14</v>
      </c>
      <c r="J27" s="47">
        <v>0</v>
      </c>
      <c r="K27" s="188" t="s">
        <v>56</v>
      </c>
      <c r="L27" s="134"/>
      <c r="M27" s="297"/>
    </row>
    <row r="28" spans="2:13" ht="15.75" customHeight="1" thickBot="1" x14ac:dyDescent="0.25">
      <c r="B28" s="47">
        <f t="shared" si="0"/>
        <v>2</v>
      </c>
      <c r="C28" s="47">
        <f t="shared" si="1"/>
        <v>2</v>
      </c>
      <c r="D28" s="47">
        <f t="shared" si="1"/>
        <v>0</v>
      </c>
      <c r="E28" s="47">
        <f t="shared" si="2"/>
        <v>0</v>
      </c>
      <c r="F28" s="47">
        <v>0</v>
      </c>
      <c r="G28" s="47">
        <v>0</v>
      </c>
      <c r="H28" s="47">
        <f t="shared" si="3"/>
        <v>2</v>
      </c>
      <c r="I28" s="47">
        <v>2</v>
      </c>
      <c r="J28" s="47">
        <v>0</v>
      </c>
      <c r="K28" s="188" t="s">
        <v>57</v>
      </c>
      <c r="L28" s="134" t="s">
        <v>351</v>
      </c>
      <c r="M28" s="297"/>
    </row>
    <row r="29" spans="2:13" ht="15.75" customHeight="1" thickBot="1" x14ac:dyDescent="0.25">
      <c r="B29" s="47">
        <f t="shared" si="0"/>
        <v>0</v>
      </c>
      <c r="C29" s="47">
        <f t="shared" si="1"/>
        <v>0</v>
      </c>
      <c r="D29" s="47">
        <f t="shared" si="1"/>
        <v>0</v>
      </c>
      <c r="E29" s="47">
        <f t="shared" si="2"/>
        <v>0</v>
      </c>
      <c r="F29" s="47">
        <v>0</v>
      </c>
      <c r="G29" s="47">
        <v>0</v>
      </c>
      <c r="H29" s="47">
        <f t="shared" si="3"/>
        <v>0</v>
      </c>
      <c r="I29" s="47">
        <v>0</v>
      </c>
      <c r="J29" s="47">
        <v>0</v>
      </c>
      <c r="K29" s="188" t="s">
        <v>59</v>
      </c>
      <c r="L29" s="135"/>
      <c r="M29" s="297"/>
    </row>
    <row r="30" spans="2:13" ht="15.75" customHeight="1" thickBot="1" x14ac:dyDescent="0.25">
      <c r="B30" s="47">
        <f t="shared" si="0"/>
        <v>0</v>
      </c>
      <c r="C30" s="47">
        <f t="shared" si="1"/>
        <v>0</v>
      </c>
      <c r="D30" s="47">
        <f t="shared" si="1"/>
        <v>0</v>
      </c>
      <c r="E30" s="47">
        <f t="shared" si="2"/>
        <v>0</v>
      </c>
      <c r="F30" s="47">
        <v>0</v>
      </c>
      <c r="G30" s="47">
        <v>0</v>
      </c>
      <c r="H30" s="47">
        <f t="shared" si="3"/>
        <v>0</v>
      </c>
      <c r="I30" s="47">
        <v>0</v>
      </c>
      <c r="J30" s="47">
        <v>0</v>
      </c>
      <c r="K30" s="188" t="s">
        <v>56</v>
      </c>
      <c r="L30" s="134"/>
      <c r="M30" s="297"/>
    </row>
    <row r="31" spans="2:13" ht="15.75" customHeight="1" thickBot="1" x14ac:dyDescent="0.25">
      <c r="B31" s="47">
        <f t="shared" si="0"/>
        <v>0</v>
      </c>
      <c r="C31" s="47">
        <f t="shared" si="1"/>
        <v>0</v>
      </c>
      <c r="D31" s="47">
        <f t="shared" si="1"/>
        <v>0</v>
      </c>
      <c r="E31" s="47">
        <f t="shared" si="2"/>
        <v>0</v>
      </c>
      <c r="F31" s="47">
        <v>0</v>
      </c>
      <c r="G31" s="47">
        <v>0</v>
      </c>
      <c r="H31" s="47">
        <f t="shared" si="3"/>
        <v>0</v>
      </c>
      <c r="I31" s="47">
        <v>0</v>
      </c>
      <c r="J31" s="47">
        <v>0</v>
      </c>
      <c r="K31" s="188" t="s">
        <v>57</v>
      </c>
      <c r="L31" s="134" t="s">
        <v>250</v>
      </c>
      <c r="M31" s="297"/>
    </row>
    <row r="32" spans="2:13" ht="15.75" customHeight="1" thickBot="1" x14ac:dyDescent="0.25">
      <c r="B32" s="47">
        <f t="shared" si="0"/>
        <v>25</v>
      </c>
      <c r="C32" s="47">
        <f t="shared" si="1"/>
        <v>0</v>
      </c>
      <c r="D32" s="47">
        <f t="shared" si="1"/>
        <v>25</v>
      </c>
      <c r="E32" s="47">
        <f t="shared" si="2"/>
        <v>0</v>
      </c>
      <c r="F32" s="47">
        <v>0</v>
      </c>
      <c r="G32" s="47">
        <v>0</v>
      </c>
      <c r="H32" s="47">
        <f t="shared" si="3"/>
        <v>25</v>
      </c>
      <c r="I32" s="47">
        <v>0</v>
      </c>
      <c r="J32" s="47">
        <v>25</v>
      </c>
      <c r="K32" s="188" t="s">
        <v>59</v>
      </c>
      <c r="L32" s="135"/>
      <c r="M32" s="297"/>
    </row>
    <row r="33" spans="2:13" ht="15.75" customHeight="1" thickBot="1" x14ac:dyDescent="0.25">
      <c r="B33" s="47">
        <f t="shared" si="0"/>
        <v>27</v>
      </c>
      <c r="C33" s="47">
        <f t="shared" si="1"/>
        <v>27</v>
      </c>
      <c r="D33" s="47">
        <f t="shared" si="1"/>
        <v>0</v>
      </c>
      <c r="E33" s="47">
        <f t="shared" si="2"/>
        <v>0</v>
      </c>
      <c r="F33" s="47">
        <v>0</v>
      </c>
      <c r="G33" s="47">
        <v>0</v>
      </c>
      <c r="H33" s="47">
        <f t="shared" si="3"/>
        <v>27</v>
      </c>
      <c r="I33" s="47">
        <v>27</v>
      </c>
      <c r="J33" s="47">
        <v>0</v>
      </c>
      <c r="K33" s="188" t="s">
        <v>56</v>
      </c>
      <c r="L33" s="134"/>
      <c r="M33" s="297"/>
    </row>
    <row r="34" spans="2:13" ht="15.75" customHeight="1" thickBot="1" x14ac:dyDescent="0.25">
      <c r="B34" s="47">
        <f t="shared" si="0"/>
        <v>17</v>
      </c>
      <c r="C34" s="47">
        <f t="shared" si="1"/>
        <v>17</v>
      </c>
      <c r="D34" s="47">
        <f t="shared" si="1"/>
        <v>0</v>
      </c>
      <c r="E34" s="47">
        <f t="shared" si="2"/>
        <v>0</v>
      </c>
      <c r="F34" s="47">
        <v>0</v>
      </c>
      <c r="G34" s="47">
        <v>0</v>
      </c>
      <c r="H34" s="47">
        <f t="shared" si="3"/>
        <v>17</v>
      </c>
      <c r="I34" s="47">
        <v>17</v>
      </c>
      <c r="J34" s="47">
        <v>0</v>
      </c>
      <c r="K34" s="188" t="s">
        <v>57</v>
      </c>
      <c r="L34" s="134" t="s">
        <v>355</v>
      </c>
      <c r="M34" s="297"/>
    </row>
    <row r="35" spans="2:13" ht="15.75" customHeight="1" thickBot="1" x14ac:dyDescent="0.25">
      <c r="B35" s="47">
        <f t="shared" si="0"/>
        <v>0</v>
      </c>
      <c r="C35" s="47">
        <f t="shared" si="1"/>
        <v>0</v>
      </c>
      <c r="D35" s="47">
        <f t="shared" si="1"/>
        <v>0</v>
      </c>
      <c r="E35" s="47">
        <f t="shared" si="2"/>
        <v>0</v>
      </c>
      <c r="F35" s="47">
        <v>0</v>
      </c>
      <c r="G35" s="47">
        <v>0</v>
      </c>
      <c r="H35" s="47">
        <f t="shared" si="3"/>
        <v>0</v>
      </c>
      <c r="I35" s="47">
        <v>0</v>
      </c>
      <c r="J35" s="47">
        <v>0</v>
      </c>
      <c r="K35" s="188" t="s">
        <v>59</v>
      </c>
      <c r="L35" s="135"/>
      <c r="M35" s="297"/>
    </row>
    <row r="36" spans="2:13" ht="15.75" customHeight="1" thickBot="1" x14ac:dyDescent="0.25">
      <c r="B36" s="47">
        <f t="shared" ref="B36:J38" si="4">B6+B9+B12+B15+B18+B21+B24+B27+B30+B33</f>
        <v>132</v>
      </c>
      <c r="C36" s="47">
        <f t="shared" si="4"/>
        <v>54</v>
      </c>
      <c r="D36" s="47">
        <f t="shared" si="4"/>
        <v>78</v>
      </c>
      <c r="E36" s="47">
        <f t="shared" si="4"/>
        <v>0</v>
      </c>
      <c r="F36" s="47">
        <f t="shared" si="4"/>
        <v>0</v>
      </c>
      <c r="G36" s="47">
        <f t="shared" si="4"/>
        <v>0</v>
      </c>
      <c r="H36" s="47">
        <f t="shared" si="4"/>
        <v>132</v>
      </c>
      <c r="I36" s="47">
        <f t="shared" si="4"/>
        <v>54</v>
      </c>
      <c r="J36" s="47">
        <f>J6+J9+J12+J15+J18+J21+J24+J27+J30+J33</f>
        <v>78</v>
      </c>
      <c r="K36" s="188" t="s">
        <v>243</v>
      </c>
      <c r="L36" s="131"/>
      <c r="M36" s="298"/>
    </row>
    <row r="37" spans="2:13" ht="15.75" customHeight="1" thickBot="1" x14ac:dyDescent="0.25">
      <c r="B37" s="47">
        <f t="shared" si="4"/>
        <v>218</v>
      </c>
      <c r="C37" s="47">
        <f t="shared" si="4"/>
        <v>82</v>
      </c>
      <c r="D37" s="47">
        <f t="shared" si="4"/>
        <v>136</v>
      </c>
      <c r="E37" s="47">
        <f t="shared" si="4"/>
        <v>5</v>
      </c>
      <c r="F37" s="47">
        <f t="shared" si="4"/>
        <v>0</v>
      </c>
      <c r="G37" s="47">
        <f t="shared" si="4"/>
        <v>5</v>
      </c>
      <c r="H37" s="47">
        <f t="shared" si="4"/>
        <v>213</v>
      </c>
      <c r="I37" s="47">
        <f t="shared" si="4"/>
        <v>82</v>
      </c>
      <c r="J37" s="47">
        <f t="shared" si="4"/>
        <v>131</v>
      </c>
      <c r="K37" s="188" t="s">
        <v>57</v>
      </c>
      <c r="L37" s="132" t="s">
        <v>244</v>
      </c>
      <c r="M37" s="298"/>
    </row>
    <row r="38" spans="2:13" ht="15.75" customHeight="1" thickBot="1" x14ac:dyDescent="0.25">
      <c r="B38" s="47">
        <f t="shared" si="4"/>
        <v>638</v>
      </c>
      <c r="C38" s="47">
        <f t="shared" si="4"/>
        <v>96</v>
      </c>
      <c r="D38" s="47">
        <f t="shared" si="4"/>
        <v>542</v>
      </c>
      <c r="E38" s="47">
        <f t="shared" si="4"/>
        <v>0</v>
      </c>
      <c r="F38" s="47">
        <f t="shared" si="4"/>
        <v>0</v>
      </c>
      <c r="G38" s="47">
        <f t="shared" si="4"/>
        <v>0</v>
      </c>
      <c r="H38" s="47">
        <f t="shared" si="4"/>
        <v>638</v>
      </c>
      <c r="I38" s="47">
        <f t="shared" si="4"/>
        <v>96</v>
      </c>
      <c r="J38" s="47">
        <f t="shared" si="4"/>
        <v>542</v>
      </c>
      <c r="K38" s="188" t="s">
        <v>59</v>
      </c>
      <c r="L38" s="133"/>
      <c r="M38" s="298"/>
    </row>
    <row r="39" spans="2:13" ht="15.75" customHeight="1" thickBot="1" x14ac:dyDescent="0.25">
      <c r="B39" s="47">
        <f>SUM(C39:D39)</f>
        <v>988</v>
      </c>
      <c r="C39" s="47">
        <f t="shared" ref="C39:I39" si="5">SUM(C36:C38)</f>
        <v>232</v>
      </c>
      <c r="D39" s="47">
        <f t="shared" si="5"/>
        <v>756</v>
      </c>
      <c r="E39" s="47">
        <f t="shared" si="5"/>
        <v>5</v>
      </c>
      <c r="F39" s="47">
        <f t="shared" si="5"/>
        <v>0</v>
      </c>
      <c r="G39" s="47">
        <f t="shared" si="5"/>
        <v>5</v>
      </c>
      <c r="H39" s="47">
        <f t="shared" si="5"/>
        <v>983</v>
      </c>
      <c r="I39" s="47">
        <f t="shared" si="5"/>
        <v>232</v>
      </c>
      <c r="J39" s="47">
        <f>SUM(J36:J38)</f>
        <v>751</v>
      </c>
      <c r="K39" s="500" t="s">
        <v>245</v>
      </c>
      <c r="L39" s="500"/>
      <c r="M39" s="299"/>
    </row>
    <row r="40" spans="2:13" ht="15.75" customHeight="1" thickBot="1" x14ac:dyDescent="0.25">
      <c r="B40" s="547" t="s">
        <v>4</v>
      </c>
      <c r="C40" s="548"/>
      <c r="D40" s="549"/>
      <c r="E40" s="547" t="s">
        <v>145</v>
      </c>
      <c r="F40" s="548"/>
      <c r="G40" s="549"/>
      <c r="H40" s="547" t="s">
        <v>146</v>
      </c>
      <c r="I40" s="548"/>
      <c r="J40" s="549"/>
      <c r="K40" s="545" t="s">
        <v>66</v>
      </c>
      <c r="L40" s="546"/>
      <c r="M40" s="296"/>
    </row>
    <row r="41" spans="2:13" ht="15.75" customHeight="1" thickBot="1" x14ac:dyDescent="0.25">
      <c r="B41" s="185" t="s">
        <v>227</v>
      </c>
      <c r="C41" s="185" t="s">
        <v>10</v>
      </c>
      <c r="D41" s="185" t="s">
        <v>9</v>
      </c>
      <c r="E41" s="185" t="s">
        <v>227</v>
      </c>
      <c r="F41" s="185" t="s">
        <v>10</v>
      </c>
      <c r="G41" s="185" t="s">
        <v>9</v>
      </c>
      <c r="H41" s="185" t="s">
        <v>227</v>
      </c>
      <c r="I41" s="185" t="s">
        <v>10</v>
      </c>
      <c r="J41" s="185" t="s">
        <v>9</v>
      </c>
      <c r="K41" s="545" t="s">
        <v>147</v>
      </c>
      <c r="L41" s="546"/>
      <c r="M41" s="296"/>
    </row>
    <row r="42" spans="2:13" ht="15.75" customHeight="1" thickBot="1" x14ac:dyDescent="0.25">
      <c r="B42" s="47">
        <f>SUM(C42:D42)</f>
        <v>13</v>
      </c>
      <c r="C42" s="47">
        <f>I42+F42</f>
        <v>0</v>
      </c>
      <c r="D42" s="47">
        <f>J42+G42</f>
        <v>13</v>
      </c>
      <c r="E42" s="47">
        <f>SUM(F42:G42)</f>
        <v>12</v>
      </c>
      <c r="F42" s="47">
        <v>0</v>
      </c>
      <c r="G42" s="47">
        <f>7+5</f>
        <v>12</v>
      </c>
      <c r="H42" s="47">
        <f>SUM(I42:J42)</f>
        <v>1</v>
      </c>
      <c r="I42" s="47">
        <v>0</v>
      </c>
      <c r="J42" s="47">
        <v>1</v>
      </c>
      <c r="K42" s="188" t="s">
        <v>56</v>
      </c>
      <c r="L42" s="134"/>
      <c r="M42" s="297"/>
    </row>
    <row r="43" spans="2:13" ht="15.75" customHeight="1" thickBot="1" x14ac:dyDescent="0.25">
      <c r="B43" s="47">
        <f t="shared" ref="B43:B56" si="6">SUM(C43:D43)</f>
        <v>23</v>
      </c>
      <c r="C43" s="47">
        <f t="shared" ref="C43:D56" si="7">I43+F43</f>
        <v>0</v>
      </c>
      <c r="D43" s="47">
        <f t="shared" si="7"/>
        <v>23</v>
      </c>
      <c r="E43" s="47">
        <f t="shared" ref="E43:E56" si="8">SUM(F43:G43)</f>
        <v>11</v>
      </c>
      <c r="F43" s="47">
        <v>0</v>
      </c>
      <c r="G43" s="47">
        <f>6+5</f>
        <v>11</v>
      </c>
      <c r="H43" s="47">
        <f t="shared" ref="H43:H56" si="9">SUM(I43:J43)</f>
        <v>12</v>
      </c>
      <c r="I43" s="47">
        <v>0</v>
      </c>
      <c r="J43" s="47">
        <f>7+5</f>
        <v>12</v>
      </c>
      <c r="K43" s="188" t="s">
        <v>57</v>
      </c>
      <c r="L43" s="134" t="s">
        <v>356</v>
      </c>
      <c r="M43" s="297"/>
    </row>
    <row r="44" spans="2:13" ht="15.75" customHeight="1" thickBot="1" x14ac:dyDescent="0.25">
      <c r="B44" s="47">
        <f t="shared" si="6"/>
        <v>0</v>
      </c>
      <c r="C44" s="47">
        <f t="shared" si="7"/>
        <v>0</v>
      </c>
      <c r="D44" s="47">
        <f t="shared" si="7"/>
        <v>0</v>
      </c>
      <c r="E44" s="47">
        <f t="shared" si="8"/>
        <v>0</v>
      </c>
      <c r="F44" s="47">
        <v>0</v>
      </c>
      <c r="G44" s="47">
        <v>0</v>
      </c>
      <c r="H44" s="47">
        <f t="shared" si="9"/>
        <v>0</v>
      </c>
      <c r="I44" s="47">
        <v>0</v>
      </c>
      <c r="J44" s="47">
        <v>0</v>
      </c>
      <c r="K44" s="188" t="s">
        <v>59</v>
      </c>
      <c r="L44" s="135"/>
      <c r="M44" s="297"/>
    </row>
    <row r="45" spans="2:13" ht="15.75" customHeight="1" thickBot="1" x14ac:dyDescent="0.25">
      <c r="B45" s="47">
        <f t="shared" si="6"/>
        <v>3</v>
      </c>
      <c r="C45" s="47">
        <f t="shared" si="7"/>
        <v>0</v>
      </c>
      <c r="D45" s="47">
        <f t="shared" si="7"/>
        <v>3</v>
      </c>
      <c r="E45" s="47">
        <f t="shared" si="8"/>
        <v>0</v>
      </c>
      <c r="F45" s="47">
        <v>0</v>
      </c>
      <c r="G45" s="47">
        <v>0</v>
      </c>
      <c r="H45" s="47">
        <f t="shared" si="9"/>
        <v>3</v>
      </c>
      <c r="I45" s="47">
        <v>0</v>
      </c>
      <c r="J45" s="47">
        <v>3</v>
      </c>
      <c r="K45" s="188" t="s">
        <v>56</v>
      </c>
      <c r="L45" s="134"/>
      <c r="M45" s="297"/>
    </row>
    <row r="46" spans="2:13" ht="15.75" customHeight="1" thickBot="1" x14ac:dyDescent="0.25">
      <c r="B46" s="47">
        <f t="shared" si="6"/>
        <v>44</v>
      </c>
      <c r="C46" s="47">
        <f t="shared" si="7"/>
        <v>0</v>
      </c>
      <c r="D46" s="47">
        <f t="shared" si="7"/>
        <v>44</v>
      </c>
      <c r="E46" s="47">
        <f t="shared" si="8"/>
        <v>13</v>
      </c>
      <c r="F46" s="47">
        <v>0</v>
      </c>
      <c r="G46" s="47">
        <f>8+5</f>
        <v>13</v>
      </c>
      <c r="H46" s="47">
        <f t="shared" si="9"/>
        <v>31</v>
      </c>
      <c r="I46" s="47">
        <v>0</v>
      </c>
      <c r="J46" s="47">
        <f>16+15</f>
        <v>31</v>
      </c>
      <c r="K46" s="188" t="s">
        <v>57</v>
      </c>
      <c r="L46" s="134" t="s">
        <v>357</v>
      </c>
      <c r="M46" s="297"/>
    </row>
    <row r="47" spans="2:13" ht="15.75" customHeight="1" thickBot="1" x14ac:dyDescent="0.25">
      <c r="B47" s="47">
        <f t="shared" si="6"/>
        <v>0</v>
      </c>
      <c r="C47" s="47">
        <f t="shared" si="7"/>
        <v>0</v>
      </c>
      <c r="D47" s="47">
        <f t="shared" si="7"/>
        <v>0</v>
      </c>
      <c r="E47" s="47">
        <f t="shared" si="8"/>
        <v>0</v>
      </c>
      <c r="F47" s="47">
        <v>0</v>
      </c>
      <c r="G47" s="47">
        <v>0</v>
      </c>
      <c r="H47" s="47">
        <f t="shared" si="9"/>
        <v>0</v>
      </c>
      <c r="I47" s="47">
        <v>0</v>
      </c>
      <c r="J47" s="47">
        <v>0</v>
      </c>
      <c r="K47" s="188" t="s">
        <v>59</v>
      </c>
      <c r="L47" s="135"/>
      <c r="M47" s="297"/>
    </row>
    <row r="48" spans="2:13" ht="15.75" customHeight="1" thickBot="1" x14ac:dyDescent="0.25">
      <c r="B48" s="47">
        <f t="shared" si="6"/>
        <v>10</v>
      </c>
      <c r="C48" s="47">
        <f t="shared" si="7"/>
        <v>0</v>
      </c>
      <c r="D48" s="47">
        <f t="shared" si="7"/>
        <v>10</v>
      </c>
      <c r="E48" s="47">
        <f t="shared" si="8"/>
        <v>3</v>
      </c>
      <c r="F48" s="47">
        <v>0</v>
      </c>
      <c r="G48" s="47">
        <v>3</v>
      </c>
      <c r="H48" s="47">
        <f t="shared" si="9"/>
        <v>7</v>
      </c>
      <c r="I48" s="47">
        <v>0</v>
      </c>
      <c r="J48" s="47">
        <v>7</v>
      </c>
      <c r="K48" s="188" t="s">
        <v>56</v>
      </c>
      <c r="L48" s="134"/>
      <c r="M48" s="297"/>
    </row>
    <row r="49" spans="2:13" ht="15.75" customHeight="1" thickBot="1" x14ac:dyDescent="0.25">
      <c r="B49" s="47">
        <f t="shared" si="6"/>
        <v>32</v>
      </c>
      <c r="C49" s="47">
        <f t="shared" si="7"/>
        <v>0</v>
      </c>
      <c r="D49" s="47">
        <f t="shared" si="7"/>
        <v>32</v>
      </c>
      <c r="E49" s="47">
        <f t="shared" si="8"/>
        <v>13</v>
      </c>
      <c r="F49" s="47">
        <v>0</v>
      </c>
      <c r="G49" s="47">
        <f>8+5</f>
        <v>13</v>
      </c>
      <c r="H49" s="47">
        <f t="shared" si="9"/>
        <v>19</v>
      </c>
      <c r="I49" s="47">
        <v>0</v>
      </c>
      <c r="J49" s="47">
        <f>9+10</f>
        <v>19</v>
      </c>
      <c r="K49" s="188" t="s">
        <v>57</v>
      </c>
      <c r="L49" s="134" t="s">
        <v>358</v>
      </c>
      <c r="M49" s="297"/>
    </row>
    <row r="50" spans="2:13" ht="15.75" customHeight="1" thickBot="1" x14ac:dyDescent="0.25">
      <c r="B50" s="47">
        <f t="shared" si="6"/>
        <v>79</v>
      </c>
      <c r="C50" s="47">
        <f t="shared" si="7"/>
        <v>0</v>
      </c>
      <c r="D50" s="47">
        <f t="shared" si="7"/>
        <v>79</v>
      </c>
      <c r="E50" s="47">
        <f t="shared" si="8"/>
        <v>33</v>
      </c>
      <c r="F50" s="47">
        <v>0</v>
      </c>
      <c r="G50" s="47">
        <f>18+15</f>
        <v>33</v>
      </c>
      <c r="H50" s="47">
        <f t="shared" si="9"/>
        <v>46</v>
      </c>
      <c r="I50" s="47">
        <v>0</v>
      </c>
      <c r="J50" s="47">
        <f>26+20</f>
        <v>46</v>
      </c>
      <c r="K50" s="188" t="s">
        <v>59</v>
      </c>
      <c r="L50" s="135"/>
      <c r="M50" s="297"/>
    </row>
    <row r="51" spans="2:13" ht="15.75" customHeight="1" thickBot="1" x14ac:dyDescent="0.25">
      <c r="B51" s="47">
        <f t="shared" si="6"/>
        <v>8</v>
      </c>
      <c r="C51" s="47">
        <f t="shared" si="7"/>
        <v>0</v>
      </c>
      <c r="D51" s="47">
        <f t="shared" si="7"/>
        <v>8</v>
      </c>
      <c r="E51" s="47">
        <f t="shared" si="8"/>
        <v>4</v>
      </c>
      <c r="F51" s="47">
        <v>0</v>
      </c>
      <c r="G51" s="47">
        <v>4</v>
      </c>
      <c r="H51" s="47">
        <f t="shared" si="9"/>
        <v>4</v>
      </c>
      <c r="I51" s="47">
        <v>0</v>
      </c>
      <c r="J51" s="47">
        <v>4</v>
      </c>
      <c r="K51" s="188" t="s">
        <v>56</v>
      </c>
      <c r="L51" s="134"/>
      <c r="M51" s="297"/>
    </row>
    <row r="52" spans="2:13" ht="15.75" customHeight="1" thickBot="1" x14ac:dyDescent="0.25">
      <c r="B52" s="47">
        <f t="shared" si="6"/>
        <v>35</v>
      </c>
      <c r="C52" s="47">
        <f t="shared" si="7"/>
        <v>0</v>
      </c>
      <c r="D52" s="47">
        <f t="shared" si="7"/>
        <v>35</v>
      </c>
      <c r="E52" s="47">
        <f t="shared" si="8"/>
        <v>12</v>
      </c>
      <c r="F52" s="47">
        <v>0</v>
      </c>
      <c r="G52" s="47">
        <f>7+5</f>
        <v>12</v>
      </c>
      <c r="H52" s="47">
        <f t="shared" si="9"/>
        <v>23</v>
      </c>
      <c r="I52" s="47">
        <v>0</v>
      </c>
      <c r="J52" s="47">
        <f>13+10</f>
        <v>23</v>
      </c>
      <c r="K52" s="188" t="s">
        <v>57</v>
      </c>
      <c r="L52" s="134" t="s">
        <v>359</v>
      </c>
      <c r="M52" s="297"/>
    </row>
    <row r="53" spans="2:13" ht="15.75" customHeight="1" thickBot="1" x14ac:dyDescent="0.25">
      <c r="B53" s="47">
        <f t="shared" si="6"/>
        <v>59</v>
      </c>
      <c r="C53" s="47">
        <f t="shared" si="7"/>
        <v>0</v>
      </c>
      <c r="D53" s="47">
        <f t="shared" si="7"/>
        <v>59</v>
      </c>
      <c r="E53" s="47">
        <f t="shared" si="8"/>
        <v>14</v>
      </c>
      <c r="F53" s="47">
        <v>0</v>
      </c>
      <c r="G53" s="47">
        <f>9+5</f>
        <v>14</v>
      </c>
      <c r="H53" s="47">
        <f t="shared" si="9"/>
        <v>45</v>
      </c>
      <c r="I53" s="47">
        <v>0</v>
      </c>
      <c r="J53" s="47">
        <f>25+20</f>
        <v>45</v>
      </c>
      <c r="K53" s="188" t="s">
        <v>59</v>
      </c>
      <c r="L53" s="135"/>
      <c r="M53" s="297"/>
    </row>
    <row r="54" spans="2:13" ht="15.75" customHeight="1" thickBot="1" x14ac:dyDescent="0.25">
      <c r="B54" s="47">
        <f t="shared" si="6"/>
        <v>3</v>
      </c>
      <c r="C54" s="47">
        <f t="shared" si="7"/>
        <v>0</v>
      </c>
      <c r="D54" s="47">
        <f t="shared" si="7"/>
        <v>3</v>
      </c>
      <c r="E54" s="47">
        <f t="shared" si="8"/>
        <v>1</v>
      </c>
      <c r="F54" s="47">
        <v>0</v>
      </c>
      <c r="G54" s="47">
        <v>1</v>
      </c>
      <c r="H54" s="47">
        <f t="shared" si="9"/>
        <v>2</v>
      </c>
      <c r="I54" s="47">
        <v>0</v>
      </c>
      <c r="J54" s="47">
        <v>2</v>
      </c>
      <c r="K54" s="188" t="s">
        <v>56</v>
      </c>
      <c r="L54" s="134"/>
      <c r="M54" s="297"/>
    </row>
    <row r="55" spans="2:13" ht="15.75" customHeight="1" thickBot="1" x14ac:dyDescent="0.25">
      <c r="B55" s="47">
        <f t="shared" si="6"/>
        <v>8</v>
      </c>
      <c r="C55" s="47">
        <f t="shared" si="7"/>
        <v>0</v>
      </c>
      <c r="D55" s="47">
        <f t="shared" si="7"/>
        <v>8</v>
      </c>
      <c r="E55" s="47">
        <f t="shared" si="8"/>
        <v>6</v>
      </c>
      <c r="F55" s="47">
        <v>0</v>
      </c>
      <c r="G55" s="47">
        <v>6</v>
      </c>
      <c r="H55" s="47">
        <f t="shared" si="9"/>
        <v>2</v>
      </c>
      <c r="I55" s="47">
        <v>0</v>
      </c>
      <c r="J55" s="47">
        <v>2</v>
      </c>
      <c r="K55" s="188" t="s">
        <v>57</v>
      </c>
      <c r="L55" s="134" t="s">
        <v>360</v>
      </c>
      <c r="M55" s="297"/>
    </row>
    <row r="56" spans="2:13" ht="15.75" customHeight="1" thickBot="1" x14ac:dyDescent="0.25">
      <c r="B56" s="47">
        <f t="shared" si="6"/>
        <v>37</v>
      </c>
      <c r="C56" s="47">
        <f t="shared" si="7"/>
        <v>0</v>
      </c>
      <c r="D56" s="47">
        <f t="shared" si="7"/>
        <v>37</v>
      </c>
      <c r="E56" s="47">
        <f t="shared" si="8"/>
        <v>37</v>
      </c>
      <c r="F56" s="47">
        <v>0</v>
      </c>
      <c r="G56" s="47">
        <f>22+15</f>
        <v>37</v>
      </c>
      <c r="H56" s="47">
        <f t="shared" si="9"/>
        <v>0</v>
      </c>
      <c r="I56" s="47">
        <v>0</v>
      </c>
      <c r="J56" s="47">
        <v>0</v>
      </c>
      <c r="K56" s="188" t="s">
        <v>59</v>
      </c>
      <c r="L56" s="135"/>
      <c r="M56" s="297"/>
    </row>
    <row r="57" spans="2:13" ht="15.75" customHeight="1" thickBot="1" x14ac:dyDescent="0.25">
      <c r="B57" s="47">
        <f t="shared" ref="B57:J59" si="10">B42+B45+B48+B51+B54</f>
        <v>37</v>
      </c>
      <c r="C57" s="47">
        <f t="shared" si="10"/>
        <v>0</v>
      </c>
      <c r="D57" s="47">
        <f t="shared" si="10"/>
        <v>37</v>
      </c>
      <c r="E57" s="47">
        <f t="shared" si="10"/>
        <v>20</v>
      </c>
      <c r="F57" s="47">
        <f t="shared" si="10"/>
        <v>0</v>
      </c>
      <c r="G57" s="47">
        <f t="shared" si="10"/>
        <v>20</v>
      </c>
      <c r="H57" s="47">
        <f t="shared" si="10"/>
        <v>17</v>
      </c>
      <c r="I57" s="47">
        <f t="shared" si="10"/>
        <v>0</v>
      </c>
      <c r="J57" s="47">
        <f>J42+J45+J48+J51+J54</f>
        <v>17</v>
      </c>
      <c r="K57" s="188" t="s">
        <v>243</v>
      </c>
      <c r="L57" s="131"/>
      <c r="M57" s="298"/>
    </row>
    <row r="58" spans="2:13" ht="15.75" customHeight="1" thickBot="1" x14ac:dyDescent="0.25">
      <c r="B58" s="47">
        <f t="shared" si="10"/>
        <v>142</v>
      </c>
      <c r="C58" s="47">
        <f t="shared" si="10"/>
        <v>0</v>
      </c>
      <c r="D58" s="47">
        <f t="shared" si="10"/>
        <v>142</v>
      </c>
      <c r="E58" s="47">
        <f t="shared" si="10"/>
        <v>55</v>
      </c>
      <c r="F58" s="47">
        <f t="shared" si="10"/>
        <v>0</v>
      </c>
      <c r="G58" s="47">
        <f t="shared" si="10"/>
        <v>55</v>
      </c>
      <c r="H58" s="47">
        <f t="shared" si="10"/>
        <v>87</v>
      </c>
      <c r="I58" s="47">
        <f t="shared" si="10"/>
        <v>0</v>
      </c>
      <c r="J58" s="47">
        <f t="shared" si="10"/>
        <v>87</v>
      </c>
      <c r="K58" s="188" t="s">
        <v>57</v>
      </c>
      <c r="L58" s="132" t="s">
        <v>244</v>
      </c>
      <c r="M58" s="298"/>
    </row>
    <row r="59" spans="2:13" ht="15.75" customHeight="1" thickBot="1" x14ac:dyDescent="0.25">
      <c r="B59" s="47">
        <f t="shared" si="10"/>
        <v>175</v>
      </c>
      <c r="C59" s="47">
        <f t="shared" si="10"/>
        <v>0</v>
      </c>
      <c r="D59" s="47">
        <f t="shared" si="10"/>
        <v>175</v>
      </c>
      <c r="E59" s="47">
        <f t="shared" si="10"/>
        <v>84</v>
      </c>
      <c r="F59" s="47">
        <f t="shared" si="10"/>
        <v>0</v>
      </c>
      <c r="G59" s="47">
        <f t="shared" si="10"/>
        <v>84</v>
      </c>
      <c r="H59" s="47">
        <f t="shared" si="10"/>
        <v>91</v>
      </c>
      <c r="I59" s="47">
        <f t="shared" si="10"/>
        <v>0</v>
      </c>
      <c r="J59" s="47">
        <f t="shared" si="10"/>
        <v>91</v>
      </c>
      <c r="K59" s="188" t="s">
        <v>59</v>
      </c>
      <c r="L59" s="133"/>
      <c r="M59" s="298"/>
    </row>
    <row r="60" spans="2:13" ht="15.75" customHeight="1" thickBot="1" x14ac:dyDescent="0.25">
      <c r="B60" s="47">
        <f>SUM(B57:B59)</f>
        <v>354</v>
      </c>
      <c r="C60" s="47">
        <f t="shared" ref="C60:I60" si="11">SUM(C57:C59)</f>
        <v>0</v>
      </c>
      <c r="D60" s="47">
        <f t="shared" si="11"/>
        <v>354</v>
      </c>
      <c r="E60" s="47">
        <f t="shared" si="11"/>
        <v>159</v>
      </c>
      <c r="F60" s="47">
        <f t="shared" si="11"/>
        <v>0</v>
      </c>
      <c r="G60" s="47">
        <f t="shared" si="11"/>
        <v>159</v>
      </c>
      <c r="H60" s="47">
        <f t="shared" si="11"/>
        <v>195</v>
      </c>
      <c r="I60" s="47">
        <f t="shared" si="11"/>
        <v>0</v>
      </c>
      <c r="J60" s="47">
        <f>SUM(J57:J59)</f>
        <v>195</v>
      </c>
      <c r="K60" s="500" t="s">
        <v>245</v>
      </c>
      <c r="L60" s="500"/>
      <c r="M60" s="299"/>
    </row>
    <row r="61" spans="2:13" ht="15.75" customHeight="1" thickBot="1" x14ac:dyDescent="0.25">
      <c r="B61" s="476" t="s">
        <v>4</v>
      </c>
      <c r="C61" s="476"/>
      <c r="D61" s="476"/>
      <c r="E61" s="476" t="s">
        <v>145</v>
      </c>
      <c r="F61" s="476"/>
      <c r="G61" s="476"/>
      <c r="H61" s="476" t="s">
        <v>146</v>
      </c>
      <c r="I61" s="476"/>
      <c r="J61" s="476"/>
      <c r="K61" s="479" t="s">
        <v>66</v>
      </c>
      <c r="L61" s="479"/>
      <c r="M61" s="296"/>
    </row>
    <row r="62" spans="2:13" ht="15.75" customHeight="1" thickBot="1" x14ac:dyDescent="0.25">
      <c r="B62" s="185" t="s">
        <v>227</v>
      </c>
      <c r="C62" s="185" t="s">
        <v>10</v>
      </c>
      <c r="D62" s="185" t="s">
        <v>9</v>
      </c>
      <c r="E62" s="185" t="s">
        <v>227</v>
      </c>
      <c r="F62" s="185" t="s">
        <v>10</v>
      </c>
      <c r="G62" s="185" t="s">
        <v>9</v>
      </c>
      <c r="H62" s="185" t="s">
        <v>227</v>
      </c>
      <c r="I62" s="185" t="s">
        <v>10</v>
      </c>
      <c r="J62" s="185" t="s">
        <v>9</v>
      </c>
      <c r="K62" s="480" t="s">
        <v>70</v>
      </c>
      <c r="L62" s="480"/>
      <c r="M62" s="296"/>
    </row>
    <row r="63" spans="2:13" ht="15.75" customHeight="1" thickBot="1" x14ac:dyDescent="0.25">
      <c r="B63" s="47">
        <f>SUM(C63:D63)</f>
        <v>23</v>
      </c>
      <c r="C63" s="47">
        <f>I63+F63</f>
        <v>0</v>
      </c>
      <c r="D63" s="47">
        <f>J63+G63</f>
        <v>23</v>
      </c>
      <c r="E63" s="47">
        <f>SUM(F63:G63)</f>
        <v>0</v>
      </c>
      <c r="F63" s="47">
        <v>0</v>
      </c>
      <c r="G63" s="47">
        <v>0</v>
      </c>
      <c r="H63" s="47">
        <f>SUM(I63:J63)</f>
        <v>23</v>
      </c>
      <c r="I63" s="47">
        <v>0</v>
      </c>
      <c r="J63" s="47">
        <f>13+10</f>
        <v>23</v>
      </c>
      <c r="K63" s="188" t="s">
        <v>56</v>
      </c>
      <c r="L63" s="134"/>
      <c r="M63" s="297"/>
    </row>
    <row r="64" spans="2:13" ht="15.75" customHeight="1" thickBot="1" x14ac:dyDescent="0.25">
      <c r="B64" s="47">
        <f t="shared" ref="B64:B86" si="12">SUM(C64:D64)</f>
        <v>255</v>
      </c>
      <c r="C64" s="47">
        <f t="shared" ref="C64:D86" si="13">I64+F64</f>
        <v>0</v>
      </c>
      <c r="D64" s="47">
        <f t="shared" si="13"/>
        <v>255</v>
      </c>
      <c r="E64" s="47">
        <f t="shared" ref="E64:E86" si="14">SUM(F64:G64)</f>
        <v>6</v>
      </c>
      <c r="F64" s="47">
        <v>0</v>
      </c>
      <c r="G64" s="47">
        <v>6</v>
      </c>
      <c r="H64" s="47">
        <f t="shared" ref="H64:H86" si="15">SUM(I64:J64)</f>
        <v>249</v>
      </c>
      <c r="I64" s="47">
        <v>0</v>
      </c>
      <c r="J64" s="47">
        <f>149+100</f>
        <v>249</v>
      </c>
      <c r="K64" s="188" t="s">
        <v>57</v>
      </c>
      <c r="L64" s="134" t="s">
        <v>577</v>
      </c>
      <c r="M64" s="297"/>
    </row>
    <row r="65" spans="2:13" ht="15.75" customHeight="1" thickBot="1" x14ac:dyDescent="0.25">
      <c r="B65" s="47">
        <f t="shared" si="12"/>
        <v>0</v>
      </c>
      <c r="C65" s="47">
        <f t="shared" si="13"/>
        <v>0</v>
      </c>
      <c r="D65" s="47">
        <f t="shared" si="13"/>
        <v>0</v>
      </c>
      <c r="E65" s="47">
        <f t="shared" si="14"/>
        <v>0</v>
      </c>
      <c r="F65" s="47">
        <v>0</v>
      </c>
      <c r="G65" s="47">
        <v>0</v>
      </c>
      <c r="H65" s="47">
        <f t="shared" si="15"/>
        <v>0</v>
      </c>
      <c r="I65" s="47">
        <v>0</v>
      </c>
      <c r="J65" s="47">
        <v>0</v>
      </c>
      <c r="K65" s="188" t="s">
        <v>59</v>
      </c>
      <c r="L65" s="135"/>
      <c r="M65" s="297"/>
    </row>
    <row r="66" spans="2:13" ht="15.75" customHeight="1" thickBot="1" x14ac:dyDescent="0.25">
      <c r="B66" s="47">
        <f t="shared" si="12"/>
        <v>32</v>
      </c>
      <c r="C66" s="47">
        <f t="shared" si="13"/>
        <v>2</v>
      </c>
      <c r="D66" s="47">
        <f t="shared" si="13"/>
        <v>30</v>
      </c>
      <c r="E66" s="47">
        <f t="shared" si="14"/>
        <v>5</v>
      </c>
      <c r="F66" s="47">
        <v>0</v>
      </c>
      <c r="G66" s="47">
        <v>5</v>
      </c>
      <c r="H66" s="47">
        <f t="shared" si="15"/>
        <v>27</v>
      </c>
      <c r="I66" s="47">
        <v>2</v>
      </c>
      <c r="J66" s="47">
        <f>15+10</f>
        <v>25</v>
      </c>
      <c r="K66" s="188" t="s">
        <v>56</v>
      </c>
      <c r="L66" s="134"/>
      <c r="M66" s="297"/>
    </row>
    <row r="67" spans="2:13" ht="15.75" customHeight="1" thickBot="1" x14ac:dyDescent="0.25">
      <c r="B67" s="47">
        <f t="shared" si="12"/>
        <v>43</v>
      </c>
      <c r="C67" s="47">
        <f t="shared" si="13"/>
        <v>6</v>
      </c>
      <c r="D67" s="47">
        <f t="shared" si="13"/>
        <v>37</v>
      </c>
      <c r="E67" s="47">
        <f t="shared" si="14"/>
        <v>3</v>
      </c>
      <c r="F67" s="47">
        <v>0</v>
      </c>
      <c r="G67" s="47">
        <v>3</v>
      </c>
      <c r="H67" s="47">
        <f t="shared" si="15"/>
        <v>40</v>
      </c>
      <c r="I67" s="47">
        <v>6</v>
      </c>
      <c r="J67" s="47">
        <f>19+15</f>
        <v>34</v>
      </c>
      <c r="K67" s="188" t="s">
        <v>57</v>
      </c>
      <c r="L67" s="134" t="s">
        <v>358</v>
      </c>
      <c r="M67" s="297"/>
    </row>
    <row r="68" spans="2:13" ht="15.75" customHeight="1" thickBot="1" x14ac:dyDescent="0.25">
      <c r="B68" s="47">
        <f t="shared" si="12"/>
        <v>0</v>
      </c>
      <c r="C68" s="47">
        <f t="shared" si="13"/>
        <v>0</v>
      </c>
      <c r="D68" s="47">
        <f t="shared" si="13"/>
        <v>0</v>
      </c>
      <c r="E68" s="47">
        <f t="shared" si="14"/>
        <v>0</v>
      </c>
      <c r="F68" s="47">
        <v>0</v>
      </c>
      <c r="G68" s="47">
        <v>0</v>
      </c>
      <c r="H68" s="47">
        <f t="shared" si="15"/>
        <v>0</v>
      </c>
      <c r="I68" s="47">
        <v>0</v>
      </c>
      <c r="J68" s="47">
        <v>0</v>
      </c>
      <c r="K68" s="188" t="s">
        <v>59</v>
      </c>
      <c r="L68" s="135"/>
      <c r="M68" s="297"/>
    </row>
    <row r="69" spans="2:13" ht="15.75" customHeight="1" thickBot="1" x14ac:dyDescent="0.25">
      <c r="B69" s="47">
        <f t="shared" si="12"/>
        <v>19</v>
      </c>
      <c r="C69" s="47">
        <f t="shared" si="13"/>
        <v>1</v>
      </c>
      <c r="D69" s="47">
        <f t="shared" si="13"/>
        <v>18</v>
      </c>
      <c r="E69" s="47">
        <f t="shared" si="14"/>
        <v>0</v>
      </c>
      <c r="F69" s="47">
        <v>0</v>
      </c>
      <c r="G69" s="47">
        <v>0</v>
      </c>
      <c r="H69" s="47">
        <f t="shared" si="15"/>
        <v>19</v>
      </c>
      <c r="I69" s="47">
        <v>1</v>
      </c>
      <c r="J69" s="47">
        <f>13+5</f>
        <v>18</v>
      </c>
      <c r="K69" s="188" t="s">
        <v>56</v>
      </c>
      <c r="L69" s="134"/>
      <c r="M69" s="297"/>
    </row>
    <row r="70" spans="2:13" ht="15.75" customHeight="1" thickBot="1" x14ac:dyDescent="0.25">
      <c r="B70" s="47">
        <f t="shared" si="12"/>
        <v>38</v>
      </c>
      <c r="C70" s="47">
        <f t="shared" si="13"/>
        <v>9</v>
      </c>
      <c r="D70" s="47">
        <f t="shared" si="13"/>
        <v>29</v>
      </c>
      <c r="E70" s="47">
        <f t="shared" si="14"/>
        <v>1</v>
      </c>
      <c r="F70" s="47">
        <v>0</v>
      </c>
      <c r="G70" s="47">
        <v>1</v>
      </c>
      <c r="H70" s="47">
        <f t="shared" si="15"/>
        <v>37</v>
      </c>
      <c r="I70" s="47">
        <v>9</v>
      </c>
      <c r="J70" s="47">
        <f>18+10</f>
        <v>28</v>
      </c>
      <c r="K70" s="188" t="s">
        <v>57</v>
      </c>
      <c r="L70" s="134" t="s">
        <v>360</v>
      </c>
      <c r="M70" s="297"/>
    </row>
    <row r="71" spans="2:13" ht="15.75" customHeight="1" thickBot="1" x14ac:dyDescent="0.25">
      <c r="B71" s="47">
        <f t="shared" si="12"/>
        <v>0</v>
      </c>
      <c r="C71" s="47">
        <f t="shared" si="13"/>
        <v>0</v>
      </c>
      <c r="D71" s="47">
        <f t="shared" si="13"/>
        <v>0</v>
      </c>
      <c r="E71" s="47">
        <f t="shared" si="14"/>
        <v>0</v>
      </c>
      <c r="F71" s="47">
        <v>0</v>
      </c>
      <c r="G71" s="47">
        <v>0</v>
      </c>
      <c r="H71" s="47">
        <f t="shared" si="15"/>
        <v>0</v>
      </c>
      <c r="I71" s="47">
        <v>0</v>
      </c>
      <c r="J71" s="47">
        <v>0</v>
      </c>
      <c r="K71" s="188" t="s">
        <v>59</v>
      </c>
      <c r="L71" s="135"/>
      <c r="M71" s="297"/>
    </row>
    <row r="72" spans="2:13" ht="15.75" customHeight="1" thickBot="1" x14ac:dyDescent="0.25">
      <c r="B72" s="47">
        <f t="shared" si="12"/>
        <v>39</v>
      </c>
      <c r="C72" s="47">
        <f t="shared" si="13"/>
        <v>1</v>
      </c>
      <c r="D72" s="47">
        <f t="shared" si="13"/>
        <v>38</v>
      </c>
      <c r="E72" s="47">
        <f t="shared" si="14"/>
        <v>4</v>
      </c>
      <c r="F72" s="47">
        <v>0</v>
      </c>
      <c r="G72" s="47">
        <v>4</v>
      </c>
      <c r="H72" s="47">
        <f t="shared" si="15"/>
        <v>35</v>
      </c>
      <c r="I72" s="47">
        <v>1</v>
      </c>
      <c r="J72" s="47">
        <f>19+15</f>
        <v>34</v>
      </c>
      <c r="K72" s="188" t="s">
        <v>56</v>
      </c>
      <c r="L72" s="134"/>
      <c r="M72" s="297"/>
    </row>
    <row r="73" spans="2:13" ht="15.75" customHeight="1" thickBot="1" x14ac:dyDescent="0.25">
      <c r="B73" s="47">
        <f t="shared" si="12"/>
        <v>22</v>
      </c>
      <c r="C73" s="47">
        <f t="shared" si="13"/>
        <v>3</v>
      </c>
      <c r="D73" s="47">
        <f t="shared" si="13"/>
        <v>19</v>
      </c>
      <c r="E73" s="47">
        <f t="shared" si="14"/>
        <v>3</v>
      </c>
      <c r="F73" s="47">
        <v>0</v>
      </c>
      <c r="G73" s="47">
        <v>3</v>
      </c>
      <c r="H73" s="47">
        <f t="shared" si="15"/>
        <v>19</v>
      </c>
      <c r="I73" s="47">
        <v>3</v>
      </c>
      <c r="J73" s="47">
        <f>11+5</f>
        <v>16</v>
      </c>
      <c r="K73" s="188" t="s">
        <v>57</v>
      </c>
      <c r="L73" s="134" t="s">
        <v>361</v>
      </c>
      <c r="M73" s="297"/>
    </row>
    <row r="74" spans="2:13" ht="15.75" customHeight="1" thickBot="1" x14ac:dyDescent="0.25">
      <c r="B74" s="47">
        <f t="shared" si="12"/>
        <v>0</v>
      </c>
      <c r="C74" s="47">
        <f t="shared" si="13"/>
        <v>0</v>
      </c>
      <c r="D74" s="47">
        <f t="shared" si="13"/>
        <v>0</v>
      </c>
      <c r="E74" s="47">
        <f t="shared" si="14"/>
        <v>0</v>
      </c>
      <c r="F74" s="47">
        <v>0</v>
      </c>
      <c r="G74" s="47">
        <v>0</v>
      </c>
      <c r="H74" s="47">
        <f t="shared" si="15"/>
        <v>0</v>
      </c>
      <c r="I74" s="47">
        <v>0</v>
      </c>
      <c r="J74" s="47">
        <v>0</v>
      </c>
      <c r="K74" s="188" t="s">
        <v>59</v>
      </c>
      <c r="L74" s="135"/>
      <c r="M74" s="297"/>
    </row>
    <row r="75" spans="2:13" ht="15.75" customHeight="1" thickBot="1" x14ac:dyDescent="0.25">
      <c r="B75" s="47">
        <f t="shared" si="12"/>
        <v>16</v>
      </c>
      <c r="C75" s="47">
        <f t="shared" si="13"/>
        <v>0</v>
      </c>
      <c r="D75" s="47">
        <f t="shared" si="13"/>
        <v>16</v>
      </c>
      <c r="E75" s="47">
        <f t="shared" si="14"/>
        <v>0</v>
      </c>
      <c r="F75" s="47">
        <v>0</v>
      </c>
      <c r="G75" s="47">
        <v>0</v>
      </c>
      <c r="H75" s="47">
        <f t="shared" si="15"/>
        <v>16</v>
      </c>
      <c r="I75" s="47">
        <v>0</v>
      </c>
      <c r="J75" s="47">
        <f>11+5</f>
        <v>16</v>
      </c>
      <c r="K75" s="188" t="s">
        <v>56</v>
      </c>
      <c r="L75" s="134"/>
      <c r="M75" s="297"/>
    </row>
    <row r="76" spans="2:13" ht="15.75" customHeight="1" thickBot="1" x14ac:dyDescent="0.25">
      <c r="B76" s="47">
        <f t="shared" si="12"/>
        <v>8</v>
      </c>
      <c r="C76" s="47">
        <f t="shared" si="13"/>
        <v>6</v>
      </c>
      <c r="D76" s="47">
        <f t="shared" si="13"/>
        <v>2</v>
      </c>
      <c r="E76" s="47">
        <f t="shared" si="14"/>
        <v>1</v>
      </c>
      <c r="F76" s="47">
        <v>1</v>
      </c>
      <c r="G76" s="47">
        <v>0</v>
      </c>
      <c r="H76" s="47">
        <f t="shared" si="15"/>
        <v>7</v>
      </c>
      <c r="I76" s="47">
        <v>5</v>
      </c>
      <c r="J76" s="47">
        <v>2</v>
      </c>
      <c r="K76" s="188" t="s">
        <v>57</v>
      </c>
      <c r="L76" s="134" t="s">
        <v>581</v>
      </c>
      <c r="M76" s="297"/>
    </row>
    <row r="77" spans="2:13" ht="15.75" customHeight="1" thickBot="1" x14ac:dyDescent="0.25">
      <c r="B77" s="47">
        <f t="shared" si="12"/>
        <v>0</v>
      </c>
      <c r="C77" s="47">
        <f t="shared" si="13"/>
        <v>0</v>
      </c>
      <c r="D77" s="47">
        <f t="shared" si="13"/>
        <v>0</v>
      </c>
      <c r="E77" s="47">
        <f t="shared" si="14"/>
        <v>0</v>
      </c>
      <c r="F77" s="47">
        <v>0</v>
      </c>
      <c r="G77" s="47">
        <v>0</v>
      </c>
      <c r="H77" s="47">
        <f t="shared" si="15"/>
        <v>0</v>
      </c>
      <c r="I77" s="47">
        <v>0</v>
      </c>
      <c r="J77" s="47">
        <v>0</v>
      </c>
      <c r="K77" s="188" t="s">
        <v>59</v>
      </c>
      <c r="L77" s="135"/>
      <c r="M77" s="297"/>
    </row>
    <row r="78" spans="2:13" ht="15.75" customHeight="1" thickBot="1" x14ac:dyDescent="0.25">
      <c r="B78" s="47">
        <f t="shared" si="12"/>
        <v>41</v>
      </c>
      <c r="C78" s="47">
        <f t="shared" si="13"/>
        <v>3</v>
      </c>
      <c r="D78" s="47">
        <f t="shared" si="13"/>
        <v>38</v>
      </c>
      <c r="E78" s="47">
        <f t="shared" si="14"/>
        <v>0</v>
      </c>
      <c r="F78" s="47">
        <v>0</v>
      </c>
      <c r="G78" s="47">
        <v>0</v>
      </c>
      <c r="H78" s="47">
        <f t="shared" si="15"/>
        <v>41</v>
      </c>
      <c r="I78" s="47">
        <v>3</v>
      </c>
      <c r="J78" s="47">
        <f>23+15</f>
        <v>38</v>
      </c>
      <c r="K78" s="188" t="s">
        <v>56</v>
      </c>
      <c r="L78" s="134"/>
      <c r="M78" s="297"/>
    </row>
    <row r="79" spans="2:13" ht="15.75" customHeight="1" thickBot="1" x14ac:dyDescent="0.25">
      <c r="B79" s="47">
        <f t="shared" si="12"/>
        <v>40</v>
      </c>
      <c r="C79" s="47">
        <f t="shared" si="13"/>
        <v>15</v>
      </c>
      <c r="D79" s="47">
        <f t="shared" si="13"/>
        <v>25</v>
      </c>
      <c r="E79" s="47">
        <f t="shared" si="14"/>
        <v>0</v>
      </c>
      <c r="F79" s="47">
        <v>0</v>
      </c>
      <c r="G79" s="47">
        <v>0</v>
      </c>
      <c r="H79" s="47">
        <f t="shared" si="15"/>
        <v>40</v>
      </c>
      <c r="I79" s="47">
        <v>15</v>
      </c>
      <c r="J79" s="47">
        <f>15+10</f>
        <v>25</v>
      </c>
      <c r="K79" s="188" t="s">
        <v>57</v>
      </c>
      <c r="L79" s="134" t="s">
        <v>342</v>
      </c>
      <c r="M79" s="297"/>
    </row>
    <row r="80" spans="2:13" ht="15.75" customHeight="1" thickBot="1" x14ac:dyDescent="0.25">
      <c r="B80" s="47">
        <f t="shared" si="12"/>
        <v>0</v>
      </c>
      <c r="C80" s="47">
        <f t="shared" si="13"/>
        <v>0</v>
      </c>
      <c r="D80" s="47">
        <f t="shared" si="13"/>
        <v>0</v>
      </c>
      <c r="E80" s="47">
        <f t="shared" si="14"/>
        <v>0</v>
      </c>
      <c r="F80" s="47">
        <v>0</v>
      </c>
      <c r="G80" s="47">
        <v>0</v>
      </c>
      <c r="H80" s="47">
        <f t="shared" si="15"/>
        <v>0</v>
      </c>
      <c r="I80" s="47">
        <v>0</v>
      </c>
      <c r="J80" s="47">
        <v>0</v>
      </c>
      <c r="K80" s="188" t="s">
        <v>59</v>
      </c>
      <c r="L80" s="135"/>
      <c r="M80" s="297"/>
    </row>
    <row r="81" spans="2:13" ht="15.75" customHeight="1" thickBot="1" x14ac:dyDescent="0.25">
      <c r="B81" s="47">
        <f t="shared" si="12"/>
        <v>0</v>
      </c>
      <c r="C81" s="47">
        <f t="shared" si="13"/>
        <v>0</v>
      </c>
      <c r="D81" s="47">
        <f t="shared" si="13"/>
        <v>0</v>
      </c>
      <c r="E81" s="47">
        <f t="shared" si="14"/>
        <v>0</v>
      </c>
      <c r="F81" s="47">
        <v>0</v>
      </c>
      <c r="G81" s="47">
        <v>0</v>
      </c>
      <c r="H81" s="47">
        <f t="shared" si="15"/>
        <v>0</v>
      </c>
      <c r="I81" s="47">
        <v>0</v>
      </c>
      <c r="J81" s="47">
        <v>0</v>
      </c>
      <c r="K81" s="188" t="s">
        <v>56</v>
      </c>
      <c r="L81" s="134"/>
      <c r="M81" s="297"/>
    </row>
    <row r="82" spans="2:13" ht="15.75" customHeight="1" thickBot="1" x14ac:dyDescent="0.25">
      <c r="B82" s="47">
        <f t="shared" si="12"/>
        <v>26</v>
      </c>
      <c r="C82" s="47">
        <f t="shared" si="13"/>
        <v>23</v>
      </c>
      <c r="D82" s="47">
        <f t="shared" si="13"/>
        <v>3</v>
      </c>
      <c r="E82" s="47">
        <f t="shared" si="14"/>
        <v>0</v>
      </c>
      <c r="F82" s="47">
        <v>0</v>
      </c>
      <c r="G82" s="47">
        <v>0</v>
      </c>
      <c r="H82" s="47">
        <f t="shared" si="15"/>
        <v>26</v>
      </c>
      <c r="I82" s="47">
        <v>23</v>
      </c>
      <c r="J82" s="47">
        <v>3</v>
      </c>
      <c r="K82" s="188" t="s">
        <v>57</v>
      </c>
      <c r="L82" s="134" t="s">
        <v>364</v>
      </c>
      <c r="M82" s="297"/>
    </row>
    <row r="83" spans="2:13" ht="15.75" customHeight="1" thickBot="1" x14ac:dyDescent="0.25">
      <c r="B83" s="47">
        <f t="shared" si="12"/>
        <v>0</v>
      </c>
      <c r="C83" s="47">
        <f t="shared" si="13"/>
        <v>0</v>
      </c>
      <c r="D83" s="47">
        <f t="shared" si="13"/>
        <v>0</v>
      </c>
      <c r="E83" s="47">
        <f t="shared" si="14"/>
        <v>0</v>
      </c>
      <c r="F83" s="47">
        <v>0</v>
      </c>
      <c r="G83" s="47">
        <v>0</v>
      </c>
      <c r="H83" s="47">
        <f t="shared" si="15"/>
        <v>0</v>
      </c>
      <c r="I83" s="47">
        <v>0</v>
      </c>
      <c r="J83" s="47">
        <v>0</v>
      </c>
      <c r="K83" s="188" t="s">
        <v>59</v>
      </c>
      <c r="L83" s="135"/>
      <c r="M83" s="297"/>
    </row>
    <row r="84" spans="2:13" ht="15.75" customHeight="1" thickBot="1" x14ac:dyDescent="0.25">
      <c r="B84" s="47">
        <f t="shared" si="12"/>
        <v>0</v>
      </c>
      <c r="C84" s="47">
        <f t="shared" si="13"/>
        <v>0</v>
      </c>
      <c r="D84" s="47">
        <f t="shared" si="13"/>
        <v>0</v>
      </c>
      <c r="E84" s="47">
        <f t="shared" si="14"/>
        <v>0</v>
      </c>
      <c r="F84" s="47">
        <v>0</v>
      </c>
      <c r="G84" s="47">
        <v>0</v>
      </c>
      <c r="H84" s="47">
        <f t="shared" si="15"/>
        <v>0</v>
      </c>
      <c r="I84" s="47">
        <v>0</v>
      </c>
      <c r="J84" s="47">
        <v>0</v>
      </c>
      <c r="K84" s="188" t="s">
        <v>56</v>
      </c>
      <c r="L84" s="134"/>
      <c r="M84" s="297"/>
    </row>
    <row r="85" spans="2:13" ht="15.75" customHeight="1" thickBot="1" x14ac:dyDescent="0.25">
      <c r="B85" s="47">
        <f t="shared" si="12"/>
        <v>4</v>
      </c>
      <c r="C85" s="47">
        <f t="shared" si="13"/>
        <v>0</v>
      </c>
      <c r="D85" s="47">
        <f t="shared" si="13"/>
        <v>4</v>
      </c>
      <c r="E85" s="47">
        <f t="shared" si="14"/>
        <v>0</v>
      </c>
      <c r="F85" s="47">
        <v>0</v>
      </c>
      <c r="G85" s="47">
        <v>0</v>
      </c>
      <c r="H85" s="47">
        <f t="shared" si="15"/>
        <v>4</v>
      </c>
      <c r="I85" s="47">
        <v>0</v>
      </c>
      <c r="J85" s="47">
        <v>4</v>
      </c>
      <c r="K85" s="188" t="s">
        <v>57</v>
      </c>
      <c r="L85" s="134" t="s">
        <v>729</v>
      </c>
      <c r="M85" s="297"/>
    </row>
    <row r="86" spans="2:13" ht="15.75" customHeight="1" thickBot="1" x14ac:dyDescent="0.25">
      <c r="B86" s="47">
        <f t="shared" si="12"/>
        <v>0</v>
      </c>
      <c r="C86" s="47">
        <f t="shared" si="13"/>
        <v>0</v>
      </c>
      <c r="D86" s="47">
        <f t="shared" si="13"/>
        <v>0</v>
      </c>
      <c r="E86" s="47">
        <f t="shared" si="14"/>
        <v>0</v>
      </c>
      <c r="F86" s="47">
        <v>0</v>
      </c>
      <c r="G86" s="47">
        <v>0</v>
      </c>
      <c r="H86" s="47">
        <f t="shared" si="15"/>
        <v>0</v>
      </c>
      <c r="I86" s="47">
        <v>0</v>
      </c>
      <c r="J86" s="47">
        <v>0</v>
      </c>
      <c r="K86" s="188" t="s">
        <v>59</v>
      </c>
      <c r="L86" s="135"/>
      <c r="M86" s="297"/>
    </row>
    <row r="87" spans="2:13" ht="15.75" customHeight="1" thickBot="1" x14ac:dyDescent="0.25">
      <c r="B87" s="47">
        <f t="shared" ref="B87:J89" si="16">B63+B66+B69+B72+B75+B78+B81+B84</f>
        <v>170</v>
      </c>
      <c r="C87" s="47">
        <f t="shared" si="16"/>
        <v>7</v>
      </c>
      <c r="D87" s="47">
        <f t="shared" si="16"/>
        <v>163</v>
      </c>
      <c r="E87" s="47">
        <f t="shared" si="16"/>
        <v>9</v>
      </c>
      <c r="F87" s="47">
        <f t="shared" si="16"/>
        <v>0</v>
      </c>
      <c r="G87" s="47">
        <f t="shared" si="16"/>
        <v>9</v>
      </c>
      <c r="H87" s="47">
        <f t="shared" si="16"/>
        <v>161</v>
      </c>
      <c r="I87" s="47">
        <f t="shared" si="16"/>
        <v>7</v>
      </c>
      <c r="J87" s="47">
        <f>J63+J66+J69+J72+J75+J78+J81+J84</f>
        <v>154</v>
      </c>
      <c r="K87" s="188" t="s">
        <v>243</v>
      </c>
      <c r="L87" s="131"/>
      <c r="M87" s="298"/>
    </row>
    <row r="88" spans="2:13" ht="15.75" customHeight="1" thickBot="1" x14ac:dyDescent="0.25">
      <c r="B88" s="47">
        <f t="shared" si="16"/>
        <v>436</v>
      </c>
      <c r="C88" s="47">
        <f t="shared" si="16"/>
        <v>62</v>
      </c>
      <c r="D88" s="47">
        <f t="shared" si="16"/>
        <v>374</v>
      </c>
      <c r="E88" s="47">
        <f t="shared" si="16"/>
        <v>14</v>
      </c>
      <c r="F88" s="47">
        <f t="shared" si="16"/>
        <v>1</v>
      </c>
      <c r="G88" s="47">
        <f t="shared" si="16"/>
        <v>13</v>
      </c>
      <c r="H88" s="47">
        <f t="shared" si="16"/>
        <v>422</v>
      </c>
      <c r="I88" s="47">
        <f t="shared" si="16"/>
        <v>61</v>
      </c>
      <c r="J88" s="47">
        <f t="shared" si="16"/>
        <v>361</v>
      </c>
      <c r="K88" s="188" t="s">
        <v>57</v>
      </c>
      <c r="L88" s="132" t="s">
        <v>244</v>
      </c>
      <c r="M88" s="298"/>
    </row>
    <row r="89" spans="2:13" ht="15.75" customHeight="1" thickBot="1" x14ac:dyDescent="0.25">
      <c r="B89" s="47">
        <f t="shared" si="16"/>
        <v>0</v>
      </c>
      <c r="C89" s="47">
        <f t="shared" si="16"/>
        <v>0</v>
      </c>
      <c r="D89" s="47">
        <f t="shared" si="16"/>
        <v>0</v>
      </c>
      <c r="E89" s="47">
        <f t="shared" si="16"/>
        <v>0</v>
      </c>
      <c r="F89" s="47">
        <f t="shared" si="16"/>
        <v>0</v>
      </c>
      <c r="G89" s="47">
        <f t="shared" si="16"/>
        <v>0</v>
      </c>
      <c r="H89" s="47">
        <f t="shared" si="16"/>
        <v>0</v>
      </c>
      <c r="I89" s="47">
        <f t="shared" si="16"/>
        <v>0</v>
      </c>
      <c r="J89" s="47">
        <f t="shared" si="16"/>
        <v>0</v>
      </c>
      <c r="K89" s="188" t="s">
        <v>59</v>
      </c>
      <c r="L89" s="133"/>
      <c r="M89" s="298"/>
    </row>
    <row r="90" spans="2:13" ht="15.75" customHeight="1" thickBot="1" x14ac:dyDescent="0.25">
      <c r="B90" s="47">
        <f t="shared" ref="B90:I90" si="17">SUM(B87:B89)</f>
        <v>606</v>
      </c>
      <c r="C90" s="47">
        <f t="shared" si="17"/>
        <v>69</v>
      </c>
      <c r="D90" s="47">
        <f t="shared" si="17"/>
        <v>537</v>
      </c>
      <c r="E90" s="47">
        <f t="shared" si="17"/>
        <v>23</v>
      </c>
      <c r="F90" s="47">
        <f t="shared" si="17"/>
        <v>1</v>
      </c>
      <c r="G90" s="47">
        <f t="shared" si="17"/>
        <v>22</v>
      </c>
      <c r="H90" s="47">
        <f t="shared" si="17"/>
        <v>583</v>
      </c>
      <c r="I90" s="47">
        <f t="shared" si="17"/>
        <v>68</v>
      </c>
      <c r="J90" s="47">
        <f>SUM(J87:J89)</f>
        <v>515</v>
      </c>
      <c r="K90" s="500" t="s">
        <v>245</v>
      </c>
      <c r="L90" s="500"/>
      <c r="M90" s="299"/>
    </row>
    <row r="91" spans="2:13" ht="15.75" customHeight="1" thickBot="1" x14ac:dyDescent="0.25">
      <c r="B91" s="476" t="s">
        <v>4</v>
      </c>
      <c r="C91" s="476"/>
      <c r="D91" s="476"/>
      <c r="E91" s="476" t="s">
        <v>145</v>
      </c>
      <c r="F91" s="476"/>
      <c r="G91" s="476"/>
      <c r="H91" s="476" t="s">
        <v>146</v>
      </c>
      <c r="I91" s="476"/>
      <c r="J91" s="476"/>
      <c r="K91" s="479" t="s">
        <v>66</v>
      </c>
      <c r="L91" s="479"/>
      <c r="M91" s="296"/>
    </row>
    <row r="92" spans="2:13" ht="15.75" customHeight="1" thickBot="1" x14ac:dyDescent="0.25">
      <c r="B92" s="185" t="s">
        <v>227</v>
      </c>
      <c r="C92" s="185" t="s">
        <v>10</v>
      </c>
      <c r="D92" s="185" t="s">
        <v>9</v>
      </c>
      <c r="E92" s="185" t="s">
        <v>227</v>
      </c>
      <c r="F92" s="185" t="s">
        <v>10</v>
      </c>
      <c r="G92" s="185" t="s">
        <v>9</v>
      </c>
      <c r="H92" s="185" t="s">
        <v>227</v>
      </c>
      <c r="I92" s="185" t="s">
        <v>10</v>
      </c>
      <c r="J92" s="185" t="s">
        <v>9</v>
      </c>
      <c r="K92" s="480" t="s">
        <v>72</v>
      </c>
      <c r="L92" s="480"/>
      <c r="M92" s="296"/>
    </row>
    <row r="93" spans="2:13" ht="15.75" customHeight="1" thickBot="1" x14ac:dyDescent="0.25">
      <c r="B93" s="47">
        <f>SUM(C93:D93)</f>
        <v>0</v>
      </c>
      <c r="C93" s="47">
        <f>I93+F93</f>
        <v>0</v>
      </c>
      <c r="D93" s="47">
        <f>J93+G93</f>
        <v>0</v>
      </c>
      <c r="E93" s="47">
        <f>SUM(F93:G93)</f>
        <v>0</v>
      </c>
      <c r="F93" s="47">
        <v>0</v>
      </c>
      <c r="G93" s="47">
        <v>0</v>
      </c>
      <c r="H93" s="47">
        <f>SUM(I93:J93)</f>
        <v>0</v>
      </c>
      <c r="I93" s="47">
        <v>0</v>
      </c>
      <c r="J93" s="47">
        <v>0</v>
      </c>
      <c r="K93" s="188" t="s">
        <v>56</v>
      </c>
      <c r="L93" s="134"/>
      <c r="M93" s="297"/>
    </row>
    <row r="94" spans="2:13" ht="15.75" customHeight="1" thickBot="1" x14ac:dyDescent="0.25">
      <c r="B94" s="47">
        <f t="shared" ref="B94:B137" si="18">SUM(C94:D94)</f>
        <v>41</v>
      </c>
      <c r="C94" s="47">
        <f t="shared" ref="C94:D137" si="19">I94+F94</f>
        <v>12</v>
      </c>
      <c r="D94" s="47">
        <f t="shared" si="19"/>
        <v>29</v>
      </c>
      <c r="E94" s="47">
        <f t="shared" ref="E94:E137" si="20">SUM(F94:G94)</f>
        <v>2</v>
      </c>
      <c r="F94" s="47">
        <v>0</v>
      </c>
      <c r="G94" s="47">
        <v>2</v>
      </c>
      <c r="H94" s="47">
        <f t="shared" ref="H94:H137" si="21">SUM(I94:J94)</f>
        <v>39</v>
      </c>
      <c r="I94" s="47">
        <v>12</v>
      </c>
      <c r="J94" s="47">
        <f>17+10</f>
        <v>27</v>
      </c>
      <c r="K94" s="188" t="s">
        <v>57</v>
      </c>
      <c r="L94" s="134" t="s">
        <v>712</v>
      </c>
      <c r="M94" s="297"/>
    </row>
    <row r="95" spans="2:13" ht="15.75" customHeight="1" thickBot="1" x14ac:dyDescent="0.25">
      <c r="B95" s="47">
        <f t="shared" si="18"/>
        <v>0</v>
      </c>
      <c r="C95" s="47">
        <f t="shared" si="19"/>
        <v>0</v>
      </c>
      <c r="D95" s="47">
        <f t="shared" si="19"/>
        <v>0</v>
      </c>
      <c r="E95" s="47">
        <f t="shared" si="20"/>
        <v>0</v>
      </c>
      <c r="F95" s="47">
        <v>0</v>
      </c>
      <c r="G95" s="47">
        <v>0</v>
      </c>
      <c r="H95" s="47">
        <f t="shared" si="21"/>
        <v>0</v>
      </c>
      <c r="I95" s="47">
        <v>0</v>
      </c>
      <c r="J95" s="47">
        <v>0</v>
      </c>
      <c r="K95" s="188" t="s">
        <v>59</v>
      </c>
      <c r="L95" s="135"/>
      <c r="M95" s="297"/>
    </row>
    <row r="96" spans="2:13" ht="15.75" customHeight="1" thickBot="1" x14ac:dyDescent="0.25">
      <c r="B96" s="47">
        <f t="shared" si="18"/>
        <v>4</v>
      </c>
      <c r="C96" s="47">
        <f t="shared" si="19"/>
        <v>3</v>
      </c>
      <c r="D96" s="47">
        <f t="shared" si="19"/>
        <v>1</v>
      </c>
      <c r="E96" s="47">
        <f t="shared" si="20"/>
        <v>0</v>
      </c>
      <c r="F96" s="47">
        <v>0</v>
      </c>
      <c r="G96" s="47">
        <v>0</v>
      </c>
      <c r="H96" s="47">
        <f t="shared" si="21"/>
        <v>4</v>
      </c>
      <c r="I96" s="47">
        <v>3</v>
      </c>
      <c r="J96" s="47">
        <v>1</v>
      </c>
      <c r="K96" s="188" t="s">
        <v>56</v>
      </c>
      <c r="L96" s="134"/>
      <c r="M96" s="297"/>
    </row>
    <row r="97" spans="2:13" ht="15.75" customHeight="1" thickBot="1" x14ac:dyDescent="0.25">
      <c r="B97" s="47">
        <f t="shared" si="18"/>
        <v>10</v>
      </c>
      <c r="C97" s="47">
        <f t="shared" si="19"/>
        <v>5</v>
      </c>
      <c r="D97" s="47">
        <f t="shared" si="19"/>
        <v>5</v>
      </c>
      <c r="E97" s="47">
        <f t="shared" si="20"/>
        <v>1</v>
      </c>
      <c r="F97" s="47">
        <v>0</v>
      </c>
      <c r="G97" s="47">
        <v>1</v>
      </c>
      <c r="H97" s="47">
        <f t="shared" si="21"/>
        <v>9</v>
      </c>
      <c r="I97" s="47">
        <v>5</v>
      </c>
      <c r="J97" s="47">
        <v>4</v>
      </c>
      <c r="K97" s="188" t="s">
        <v>57</v>
      </c>
      <c r="L97" s="134" t="s">
        <v>348</v>
      </c>
      <c r="M97" s="297"/>
    </row>
    <row r="98" spans="2:13" ht="15.75" customHeight="1" thickBot="1" x14ac:dyDescent="0.25">
      <c r="B98" s="47">
        <f t="shared" si="18"/>
        <v>0</v>
      </c>
      <c r="C98" s="47">
        <f t="shared" si="19"/>
        <v>0</v>
      </c>
      <c r="D98" s="47">
        <f t="shared" si="19"/>
        <v>0</v>
      </c>
      <c r="E98" s="47">
        <f t="shared" si="20"/>
        <v>0</v>
      </c>
      <c r="F98" s="47">
        <v>0</v>
      </c>
      <c r="G98" s="47">
        <v>0</v>
      </c>
      <c r="H98" s="47">
        <f t="shared" si="21"/>
        <v>0</v>
      </c>
      <c r="I98" s="47">
        <v>0</v>
      </c>
      <c r="J98" s="47">
        <v>0</v>
      </c>
      <c r="K98" s="188" t="s">
        <v>59</v>
      </c>
      <c r="L98" s="135"/>
      <c r="M98" s="297"/>
    </row>
    <row r="99" spans="2:13" ht="15.75" customHeight="1" thickBot="1" x14ac:dyDescent="0.25">
      <c r="B99" s="47">
        <f t="shared" si="18"/>
        <v>10</v>
      </c>
      <c r="C99" s="47">
        <f t="shared" si="19"/>
        <v>5</v>
      </c>
      <c r="D99" s="47">
        <f t="shared" si="19"/>
        <v>5</v>
      </c>
      <c r="E99" s="47">
        <f t="shared" si="20"/>
        <v>0</v>
      </c>
      <c r="F99" s="47">
        <v>0</v>
      </c>
      <c r="G99" s="47">
        <v>0</v>
      </c>
      <c r="H99" s="47">
        <f t="shared" si="21"/>
        <v>10</v>
      </c>
      <c r="I99" s="47">
        <v>5</v>
      </c>
      <c r="J99" s="47">
        <v>5</v>
      </c>
      <c r="K99" s="188" t="s">
        <v>56</v>
      </c>
      <c r="L99" s="134"/>
      <c r="M99" s="297"/>
    </row>
    <row r="100" spans="2:13" ht="15.75" customHeight="1" thickBot="1" x14ac:dyDescent="0.25">
      <c r="B100" s="47">
        <f t="shared" si="18"/>
        <v>63</v>
      </c>
      <c r="C100" s="47">
        <f t="shared" si="19"/>
        <v>25</v>
      </c>
      <c r="D100" s="47">
        <f t="shared" si="19"/>
        <v>38</v>
      </c>
      <c r="E100" s="47">
        <f t="shared" si="20"/>
        <v>1</v>
      </c>
      <c r="F100" s="47">
        <v>0</v>
      </c>
      <c r="G100" s="47">
        <v>1</v>
      </c>
      <c r="H100" s="47">
        <f t="shared" si="21"/>
        <v>62</v>
      </c>
      <c r="I100" s="47">
        <v>25</v>
      </c>
      <c r="J100" s="47">
        <f>22+15</f>
        <v>37</v>
      </c>
      <c r="K100" s="188" t="s">
        <v>57</v>
      </c>
      <c r="L100" s="134" t="s">
        <v>371</v>
      </c>
      <c r="M100" s="297"/>
    </row>
    <row r="101" spans="2:13" ht="15.75" customHeight="1" thickBot="1" x14ac:dyDescent="0.25">
      <c r="B101" s="47">
        <f t="shared" si="18"/>
        <v>0</v>
      </c>
      <c r="C101" s="47">
        <f t="shared" si="19"/>
        <v>0</v>
      </c>
      <c r="D101" s="47">
        <f t="shared" si="19"/>
        <v>0</v>
      </c>
      <c r="E101" s="47">
        <f t="shared" si="20"/>
        <v>0</v>
      </c>
      <c r="F101" s="47">
        <v>0</v>
      </c>
      <c r="G101" s="47">
        <v>0</v>
      </c>
      <c r="H101" s="47">
        <f t="shared" si="21"/>
        <v>0</v>
      </c>
      <c r="I101" s="47">
        <v>0</v>
      </c>
      <c r="J101" s="47">
        <v>0</v>
      </c>
      <c r="K101" s="188" t="s">
        <v>59</v>
      </c>
      <c r="L101" s="135"/>
      <c r="M101" s="297"/>
    </row>
    <row r="102" spans="2:13" ht="15.75" customHeight="1" thickBot="1" x14ac:dyDescent="0.25">
      <c r="B102" s="47">
        <f t="shared" si="18"/>
        <v>28</v>
      </c>
      <c r="C102" s="47">
        <f t="shared" si="19"/>
        <v>3</v>
      </c>
      <c r="D102" s="47">
        <f t="shared" si="19"/>
        <v>25</v>
      </c>
      <c r="E102" s="47">
        <f t="shared" si="20"/>
        <v>0</v>
      </c>
      <c r="F102" s="47">
        <v>0</v>
      </c>
      <c r="G102" s="47">
        <v>0</v>
      </c>
      <c r="H102" s="47">
        <f t="shared" si="21"/>
        <v>28</v>
      </c>
      <c r="I102" s="47">
        <v>3</v>
      </c>
      <c r="J102" s="47">
        <f>15+10</f>
        <v>25</v>
      </c>
      <c r="K102" s="188" t="s">
        <v>56</v>
      </c>
      <c r="L102" s="134"/>
      <c r="M102" s="297"/>
    </row>
    <row r="103" spans="2:13" ht="15.75" customHeight="1" thickBot="1" x14ac:dyDescent="0.25">
      <c r="B103" s="47">
        <f t="shared" si="18"/>
        <v>134</v>
      </c>
      <c r="C103" s="47">
        <f t="shared" si="19"/>
        <v>20</v>
      </c>
      <c r="D103" s="47">
        <f t="shared" si="19"/>
        <v>114</v>
      </c>
      <c r="E103" s="47">
        <f t="shared" si="20"/>
        <v>1</v>
      </c>
      <c r="F103" s="47">
        <v>0</v>
      </c>
      <c r="G103" s="47">
        <v>1</v>
      </c>
      <c r="H103" s="47">
        <f t="shared" si="21"/>
        <v>133</v>
      </c>
      <c r="I103" s="47">
        <v>20</v>
      </c>
      <c r="J103" s="47">
        <f>73+40</f>
        <v>113</v>
      </c>
      <c r="K103" s="188" t="s">
        <v>57</v>
      </c>
      <c r="L103" s="134" t="s">
        <v>496</v>
      </c>
      <c r="M103" s="297"/>
    </row>
    <row r="104" spans="2:13" ht="15.75" customHeight="1" thickBot="1" x14ac:dyDescent="0.25">
      <c r="B104" s="47">
        <f t="shared" si="18"/>
        <v>0</v>
      </c>
      <c r="C104" s="47">
        <f t="shared" si="19"/>
        <v>0</v>
      </c>
      <c r="D104" s="47">
        <f t="shared" si="19"/>
        <v>0</v>
      </c>
      <c r="E104" s="47">
        <f t="shared" si="20"/>
        <v>0</v>
      </c>
      <c r="F104" s="47">
        <v>0</v>
      </c>
      <c r="G104" s="47">
        <v>0</v>
      </c>
      <c r="H104" s="47">
        <f t="shared" si="21"/>
        <v>0</v>
      </c>
      <c r="I104" s="47">
        <v>0</v>
      </c>
      <c r="J104" s="47">
        <v>0</v>
      </c>
      <c r="K104" s="188" t="s">
        <v>59</v>
      </c>
      <c r="L104" s="135"/>
      <c r="M104" s="297"/>
    </row>
    <row r="105" spans="2:13" ht="15.75" customHeight="1" thickBot="1" x14ac:dyDescent="0.25">
      <c r="B105" s="47">
        <f t="shared" si="18"/>
        <v>0</v>
      </c>
      <c r="C105" s="47">
        <f t="shared" si="19"/>
        <v>0</v>
      </c>
      <c r="D105" s="47">
        <f t="shared" si="19"/>
        <v>0</v>
      </c>
      <c r="E105" s="47">
        <f t="shared" si="20"/>
        <v>0</v>
      </c>
      <c r="F105" s="47">
        <v>0</v>
      </c>
      <c r="G105" s="47">
        <v>0</v>
      </c>
      <c r="H105" s="47">
        <f t="shared" si="21"/>
        <v>0</v>
      </c>
      <c r="I105" s="47">
        <v>0</v>
      </c>
      <c r="J105" s="47">
        <v>0</v>
      </c>
      <c r="K105" s="188" t="s">
        <v>56</v>
      </c>
      <c r="L105" s="134"/>
      <c r="M105" s="297"/>
    </row>
    <row r="106" spans="2:13" ht="15.75" customHeight="1" thickBot="1" x14ac:dyDescent="0.25">
      <c r="B106" s="47">
        <f t="shared" si="18"/>
        <v>9</v>
      </c>
      <c r="C106" s="47">
        <f t="shared" si="19"/>
        <v>1</v>
      </c>
      <c r="D106" s="47">
        <f t="shared" si="19"/>
        <v>8</v>
      </c>
      <c r="E106" s="47">
        <f t="shared" si="20"/>
        <v>0</v>
      </c>
      <c r="F106" s="47">
        <v>0</v>
      </c>
      <c r="G106" s="47">
        <v>0</v>
      </c>
      <c r="H106" s="47">
        <f t="shared" si="21"/>
        <v>9</v>
      </c>
      <c r="I106" s="47">
        <v>1</v>
      </c>
      <c r="J106" s="47">
        <v>8</v>
      </c>
      <c r="K106" s="188" t="s">
        <v>57</v>
      </c>
      <c r="L106" s="134" t="s">
        <v>406</v>
      </c>
      <c r="M106" s="297"/>
    </row>
    <row r="107" spans="2:13" ht="15.75" customHeight="1" thickBot="1" x14ac:dyDescent="0.25">
      <c r="B107" s="47">
        <f t="shared" si="18"/>
        <v>0</v>
      </c>
      <c r="C107" s="47">
        <f t="shared" si="19"/>
        <v>0</v>
      </c>
      <c r="D107" s="47">
        <f t="shared" si="19"/>
        <v>0</v>
      </c>
      <c r="E107" s="47">
        <f t="shared" si="20"/>
        <v>0</v>
      </c>
      <c r="F107" s="47">
        <v>0</v>
      </c>
      <c r="G107" s="47">
        <v>0</v>
      </c>
      <c r="H107" s="47">
        <f t="shared" si="21"/>
        <v>0</v>
      </c>
      <c r="I107" s="47">
        <v>0</v>
      </c>
      <c r="J107" s="47">
        <v>0</v>
      </c>
      <c r="K107" s="188" t="s">
        <v>59</v>
      </c>
      <c r="L107" s="135"/>
      <c r="M107" s="297"/>
    </row>
    <row r="108" spans="2:13" ht="15.75" customHeight="1" thickBot="1" x14ac:dyDescent="0.25">
      <c r="B108" s="47">
        <f t="shared" si="18"/>
        <v>8</v>
      </c>
      <c r="C108" s="47">
        <f t="shared" si="19"/>
        <v>3</v>
      </c>
      <c r="D108" s="47">
        <f t="shared" si="19"/>
        <v>5</v>
      </c>
      <c r="E108" s="47">
        <f t="shared" si="20"/>
        <v>0</v>
      </c>
      <c r="F108" s="47">
        <v>0</v>
      </c>
      <c r="G108" s="47">
        <v>0</v>
      </c>
      <c r="H108" s="47">
        <f t="shared" si="21"/>
        <v>8</v>
      </c>
      <c r="I108" s="47">
        <v>3</v>
      </c>
      <c r="J108" s="47">
        <v>5</v>
      </c>
      <c r="K108" s="188" t="s">
        <v>56</v>
      </c>
      <c r="L108" s="134"/>
      <c r="M108" s="297"/>
    </row>
    <row r="109" spans="2:13" ht="15.75" customHeight="1" thickBot="1" x14ac:dyDescent="0.25">
      <c r="B109" s="47">
        <f t="shared" si="18"/>
        <v>37</v>
      </c>
      <c r="C109" s="47">
        <f t="shared" si="19"/>
        <v>16</v>
      </c>
      <c r="D109" s="47">
        <f t="shared" si="19"/>
        <v>21</v>
      </c>
      <c r="E109" s="47">
        <f t="shared" si="20"/>
        <v>3</v>
      </c>
      <c r="F109" s="47">
        <v>2</v>
      </c>
      <c r="G109" s="47">
        <v>1</v>
      </c>
      <c r="H109" s="47">
        <f t="shared" si="21"/>
        <v>34</v>
      </c>
      <c r="I109" s="47">
        <v>14</v>
      </c>
      <c r="J109" s="47">
        <v>20</v>
      </c>
      <c r="K109" s="188" t="s">
        <v>57</v>
      </c>
      <c r="L109" s="134" t="s">
        <v>455</v>
      </c>
      <c r="M109" s="297"/>
    </row>
    <row r="110" spans="2:13" ht="15.75" customHeight="1" thickBot="1" x14ac:dyDescent="0.25">
      <c r="B110" s="47">
        <f t="shared" si="18"/>
        <v>0</v>
      </c>
      <c r="C110" s="47">
        <f t="shared" si="19"/>
        <v>0</v>
      </c>
      <c r="D110" s="47">
        <f t="shared" si="19"/>
        <v>0</v>
      </c>
      <c r="E110" s="47">
        <f t="shared" si="20"/>
        <v>0</v>
      </c>
      <c r="F110" s="47">
        <v>0</v>
      </c>
      <c r="G110" s="47">
        <v>0</v>
      </c>
      <c r="H110" s="47">
        <f t="shared" si="21"/>
        <v>0</v>
      </c>
      <c r="I110" s="47">
        <v>0</v>
      </c>
      <c r="J110" s="47">
        <v>0</v>
      </c>
      <c r="K110" s="188" t="s">
        <v>59</v>
      </c>
      <c r="L110" s="135"/>
      <c r="M110" s="297"/>
    </row>
    <row r="111" spans="2:13" ht="15.75" customHeight="1" thickBot="1" x14ac:dyDescent="0.25">
      <c r="B111" s="47">
        <f t="shared" si="18"/>
        <v>0</v>
      </c>
      <c r="C111" s="47">
        <f t="shared" si="19"/>
        <v>0</v>
      </c>
      <c r="D111" s="47">
        <f t="shared" si="19"/>
        <v>0</v>
      </c>
      <c r="E111" s="47">
        <f t="shared" si="20"/>
        <v>0</v>
      </c>
      <c r="F111" s="47">
        <v>0</v>
      </c>
      <c r="G111" s="47">
        <v>0</v>
      </c>
      <c r="H111" s="47">
        <f t="shared" si="21"/>
        <v>0</v>
      </c>
      <c r="I111" s="47">
        <v>0</v>
      </c>
      <c r="J111" s="47">
        <v>0</v>
      </c>
      <c r="K111" s="188" t="s">
        <v>56</v>
      </c>
      <c r="L111" s="134"/>
      <c r="M111" s="297"/>
    </row>
    <row r="112" spans="2:13" ht="15.75" customHeight="1" thickBot="1" x14ac:dyDescent="0.25">
      <c r="B112" s="47">
        <f t="shared" si="18"/>
        <v>43</v>
      </c>
      <c r="C112" s="47">
        <f t="shared" si="19"/>
        <v>15</v>
      </c>
      <c r="D112" s="47">
        <f t="shared" si="19"/>
        <v>28</v>
      </c>
      <c r="E112" s="47">
        <f t="shared" si="20"/>
        <v>5</v>
      </c>
      <c r="F112" s="47">
        <v>4</v>
      </c>
      <c r="G112" s="47">
        <v>1</v>
      </c>
      <c r="H112" s="47">
        <f t="shared" si="21"/>
        <v>38</v>
      </c>
      <c r="I112" s="47">
        <v>11</v>
      </c>
      <c r="J112" s="47">
        <v>27</v>
      </c>
      <c r="K112" s="188" t="s">
        <v>57</v>
      </c>
      <c r="L112" s="134" t="s">
        <v>670</v>
      </c>
      <c r="M112" s="297"/>
    </row>
    <row r="113" spans="2:13" ht="15.75" customHeight="1" thickBot="1" x14ac:dyDescent="0.25">
      <c r="B113" s="47">
        <f t="shared" si="18"/>
        <v>0</v>
      </c>
      <c r="C113" s="47">
        <f t="shared" si="19"/>
        <v>0</v>
      </c>
      <c r="D113" s="47">
        <f t="shared" si="19"/>
        <v>0</v>
      </c>
      <c r="E113" s="47">
        <f t="shared" si="20"/>
        <v>0</v>
      </c>
      <c r="F113" s="47">
        <v>0</v>
      </c>
      <c r="G113" s="47">
        <v>0</v>
      </c>
      <c r="H113" s="47">
        <f t="shared" si="21"/>
        <v>0</v>
      </c>
      <c r="I113" s="47">
        <v>0</v>
      </c>
      <c r="J113" s="47">
        <v>0</v>
      </c>
      <c r="K113" s="188" t="s">
        <v>59</v>
      </c>
      <c r="L113" s="135"/>
      <c r="M113" s="297"/>
    </row>
    <row r="114" spans="2:13" ht="15.75" customHeight="1" thickBot="1" x14ac:dyDescent="0.25">
      <c r="B114" s="47">
        <f t="shared" si="18"/>
        <v>0</v>
      </c>
      <c r="C114" s="47">
        <f t="shared" si="19"/>
        <v>0</v>
      </c>
      <c r="D114" s="47">
        <f t="shared" si="19"/>
        <v>0</v>
      </c>
      <c r="E114" s="47">
        <f t="shared" si="20"/>
        <v>0</v>
      </c>
      <c r="F114" s="47">
        <v>0</v>
      </c>
      <c r="G114" s="47">
        <v>0</v>
      </c>
      <c r="H114" s="47">
        <f t="shared" si="21"/>
        <v>0</v>
      </c>
      <c r="I114" s="47">
        <v>0</v>
      </c>
      <c r="J114" s="47">
        <v>0</v>
      </c>
      <c r="K114" s="188" t="s">
        <v>56</v>
      </c>
      <c r="L114" s="134"/>
      <c r="M114" s="297"/>
    </row>
    <row r="115" spans="2:13" ht="15.75" customHeight="1" thickBot="1" x14ac:dyDescent="0.25">
      <c r="B115" s="47">
        <f t="shared" si="18"/>
        <v>14</v>
      </c>
      <c r="C115" s="47">
        <f t="shared" si="19"/>
        <v>2</v>
      </c>
      <c r="D115" s="47">
        <f t="shared" si="19"/>
        <v>12</v>
      </c>
      <c r="E115" s="47">
        <f t="shared" si="20"/>
        <v>0</v>
      </c>
      <c r="F115" s="47">
        <v>0</v>
      </c>
      <c r="G115" s="47">
        <v>0</v>
      </c>
      <c r="H115" s="47">
        <f t="shared" si="21"/>
        <v>14</v>
      </c>
      <c r="I115" s="47">
        <v>2</v>
      </c>
      <c r="J115" s="47">
        <v>12</v>
      </c>
      <c r="K115" s="188" t="s">
        <v>57</v>
      </c>
      <c r="L115" s="134" t="s">
        <v>713</v>
      </c>
      <c r="M115" s="297"/>
    </row>
    <row r="116" spans="2:13" ht="15.75" customHeight="1" thickBot="1" x14ac:dyDescent="0.25">
      <c r="B116" s="47">
        <f t="shared" si="18"/>
        <v>0</v>
      </c>
      <c r="C116" s="47">
        <f t="shared" si="19"/>
        <v>0</v>
      </c>
      <c r="D116" s="47">
        <f t="shared" si="19"/>
        <v>0</v>
      </c>
      <c r="E116" s="47">
        <f t="shared" si="20"/>
        <v>0</v>
      </c>
      <c r="F116" s="47">
        <v>0</v>
      </c>
      <c r="G116" s="47">
        <v>0</v>
      </c>
      <c r="H116" s="47">
        <f t="shared" si="21"/>
        <v>0</v>
      </c>
      <c r="I116" s="47">
        <v>0</v>
      </c>
      <c r="J116" s="47">
        <v>0</v>
      </c>
      <c r="K116" s="188" t="s">
        <v>59</v>
      </c>
      <c r="L116" s="135"/>
      <c r="M116" s="297"/>
    </row>
    <row r="117" spans="2:13" ht="15.75" customHeight="1" thickBot="1" x14ac:dyDescent="0.25">
      <c r="B117" s="47">
        <f t="shared" si="18"/>
        <v>0</v>
      </c>
      <c r="C117" s="47">
        <f t="shared" si="19"/>
        <v>0</v>
      </c>
      <c r="D117" s="47">
        <f t="shared" si="19"/>
        <v>0</v>
      </c>
      <c r="E117" s="47">
        <f t="shared" si="20"/>
        <v>0</v>
      </c>
      <c r="F117" s="47">
        <v>0</v>
      </c>
      <c r="G117" s="47">
        <v>0</v>
      </c>
      <c r="H117" s="47">
        <f t="shared" si="21"/>
        <v>0</v>
      </c>
      <c r="I117" s="47">
        <v>0</v>
      </c>
      <c r="J117" s="47">
        <v>0</v>
      </c>
      <c r="K117" s="188" t="s">
        <v>56</v>
      </c>
      <c r="L117" s="134"/>
      <c r="M117" s="297"/>
    </row>
    <row r="118" spans="2:13" ht="15.75" customHeight="1" thickBot="1" x14ac:dyDescent="0.25">
      <c r="B118" s="47">
        <f t="shared" si="18"/>
        <v>3</v>
      </c>
      <c r="C118" s="47">
        <f t="shared" si="19"/>
        <v>0</v>
      </c>
      <c r="D118" s="47">
        <f t="shared" si="19"/>
        <v>3</v>
      </c>
      <c r="E118" s="47">
        <f t="shared" si="20"/>
        <v>0</v>
      </c>
      <c r="F118" s="47">
        <v>0</v>
      </c>
      <c r="G118" s="47">
        <v>0</v>
      </c>
      <c r="H118" s="47">
        <f t="shared" si="21"/>
        <v>3</v>
      </c>
      <c r="I118" s="47">
        <v>0</v>
      </c>
      <c r="J118" s="47">
        <v>3</v>
      </c>
      <c r="K118" s="188" t="s">
        <v>57</v>
      </c>
      <c r="L118" s="134" t="s">
        <v>380</v>
      </c>
      <c r="M118" s="297"/>
    </row>
    <row r="119" spans="2:13" ht="15.75" customHeight="1" thickBot="1" x14ac:dyDescent="0.25">
      <c r="B119" s="47">
        <f t="shared" si="18"/>
        <v>0</v>
      </c>
      <c r="C119" s="47">
        <f t="shared" si="19"/>
        <v>0</v>
      </c>
      <c r="D119" s="47">
        <f t="shared" si="19"/>
        <v>0</v>
      </c>
      <c r="E119" s="47">
        <f t="shared" si="20"/>
        <v>0</v>
      </c>
      <c r="F119" s="47">
        <v>0</v>
      </c>
      <c r="G119" s="47">
        <v>0</v>
      </c>
      <c r="H119" s="47">
        <f t="shared" si="21"/>
        <v>0</v>
      </c>
      <c r="I119" s="47">
        <v>0</v>
      </c>
      <c r="J119" s="47">
        <v>0</v>
      </c>
      <c r="K119" s="188" t="s">
        <v>59</v>
      </c>
      <c r="L119" s="135"/>
      <c r="M119" s="297"/>
    </row>
    <row r="120" spans="2:13" ht="15.75" customHeight="1" thickBot="1" x14ac:dyDescent="0.25">
      <c r="B120" s="47">
        <f t="shared" si="18"/>
        <v>3</v>
      </c>
      <c r="C120" s="47">
        <f t="shared" si="19"/>
        <v>0</v>
      </c>
      <c r="D120" s="47">
        <f t="shared" si="19"/>
        <v>3</v>
      </c>
      <c r="E120" s="47">
        <f t="shared" si="20"/>
        <v>1</v>
      </c>
      <c r="F120" s="47">
        <v>0</v>
      </c>
      <c r="G120" s="47">
        <v>1</v>
      </c>
      <c r="H120" s="47">
        <f t="shared" si="21"/>
        <v>2</v>
      </c>
      <c r="I120" s="47">
        <v>0</v>
      </c>
      <c r="J120" s="47">
        <v>2</v>
      </c>
      <c r="K120" s="188" t="s">
        <v>56</v>
      </c>
      <c r="L120" s="134"/>
      <c r="M120" s="297"/>
    </row>
    <row r="121" spans="2:13" ht="15.75" customHeight="1" thickBot="1" x14ac:dyDescent="0.25">
      <c r="B121" s="47">
        <f t="shared" si="18"/>
        <v>39</v>
      </c>
      <c r="C121" s="47">
        <f t="shared" si="19"/>
        <v>0</v>
      </c>
      <c r="D121" s="47">
        <f t="shared" si="19"/>
        <v>39</v>
      </c>
      <c r="E121" s="47">
        <f t="shared" si="20"/>
        <v>2</v>
      </c>
      <c r="F121" s="47">
        <v>0</v>
      </c>
      <c r="G121" s="47">
        <v>2</v>
      </c>
      <c r="H121" s="47">
        <f t="shared" si="21"/>
        <v>37</v>
      </c>
      <c r="I121" s="47">
        <v>0</v>
      </c>
      <c r="J121" s="47">
        <f>22+15</f>
        <v>37</v>
      </c>
      <c r="K121" s="188" t="s">
        <v>57</v>
      </c>
      <c r="L121" s="134" t="s">
        <v>454</v>
      </c>
      <c r="M121" s="297"/>
    </row>
    <row r="122" spans="2:13" ht="15.75" customHeight="1" thickBot="1" x14ac:dyDescent="0.25">
      <c r="B122" s="47">
        <f t="shared" si="18"/>
        <v>0</v>
      </c>
      <c r="C122" s="47">
        <f t="shared" si="19"/>
        <v>0</v>
      </c>
      <c r="D122" s="47">
        <f t="shared" si="19"/>
        <v>0</v>
      </c>
      <c r="E122" s="47">
        <f t="shared" si="20"/>
        <v>0</v>
      </c>
      <c r="F122" s="47">
        <v>0</v>
      </c>
      <c r="G122" s="47">
        <v>0</v>
      </c>
      <c r="H122" s="47">
        <f t="shared" si="21"/>
        <v>0</v>
      </c>
      <c r="I122" s="47">
        <v>0</v>
      </c>
      <c r="J122" s="47">
        <v>0</v>
      </c>
      <c r="K122" s="188" t="s">
        <v>59</v>
      </c>
      <c r="L122" s="135"/>
      <c r="M122" s="297"/>
    </row>
    <row r="123" spans="2:13" ht="15.75" customHeight="1" thickBot="1" x14ac:dyDescent="0.25">
      <c r="B123" s="47">
        <f t="shared" si="18"/>
        <v>0</v>
      </c>
      <c r="C123" s="47">
        <f t="shared" si="19"/>
        <v>0</v>
      </c>
      <c r="D123" s="47">
        <f t="shared" si="19"/>
        <v>0</v>
      </c>
      <c r="E123" s="47">
        <f t="shared" si="20"/>
        <v>0</v>
      </c>
      <c r="F123" s="47">
        <v>0</v>
      </c>
      <c r="G123" s="47">
        <v>0</v>
      </c>
      <c r="H123" s="47">
        <f t="shared" si="21"/>
        <v>0</v>
      </c>
      <c r="I123" s="47">
        <v>0</v>
      </c>
      <c r="J123" s="47">
        <v>0</v>
      </c>
      <c r="K123" s="188" t="s">
        <v>56</v>
      </c>
      <c r="L123" s="134"/>
      <c r="M123" s="297"/>
    </row>
    <row r="124" spans="2:13" ht="15.75" customHeight="1" thickBot="1" x14ac:dyDescent="0.25">
      <c r="B124" s="47">
        <f t="shared" si="18"/>
        <v>10</v>
      </c>
      <c r="C124" s="47">
        <f t="shared" si="19"/>
        <v>2</v>
      </c>
      <c r="D124" s="47">
        <f t="shared" si="19"/>
        <v>8</v>
      </c>
      <c r="E124" s="47">
        <f t="shared" si="20"/>
        <v>0</v>
      </c>
      <c r="F124" s="47">
        <v>0</v>
      </c>
      <c r="G124" s="47">
        <v>0</v>
      </c>
      <c r="H124" s="47">
        <f t="shared" si="21"/>
        <v>10</v>
      </c>
      <c r="I124" s="47">
        <v>2</v>
      </c>
      <c r="J124" s="47">
        <v>8</v>
      </c>
      <c r="K124" s="188" t="s">
        <v>57</v>
      </c>
      <c r="L124" s="134" t="s">
        <v>378</v>
      </c>
      <c r="M124" s="297"/>
    </row>
    <row r="125" spans="2:13" ht="15.75" customHeight="1" thickBot="1" x14ac:dyDescent="0.25">
      <c r="B125" s="47">
        <f t="shared" si="18"/>
        <v>0</v>
      </c>
      <c r="C125" s="47">
        <f t="shared" si="19"/>
        <v>0</v>
      </c>
      <c r="D125" s="47">
        <f t="shared" si="19"/>
        <v>0</v>
      </c>
      <c r="E125" s="47">
        <f t="shared" si="20"/>
        <v>0</v>
      </c>
      <c r="F125" s="47">
        <v>0</v>
      </c>
      <c r="G125" s="47">
        <v>0</v>
      </c>
      <c r="H125" s="47">
        <f t="shared" si="21"/>
        <v>0</v>
      </c>
      <c r="I125" s="47">
        <v>0</v>
      </c>
      <c r="J125" s="47">
        <v>0</v>
      </c>
      <c r="K125" s="188" t="s">
        <v>59</v>
      </c>
      <c r="L125" s="135"/>
      <c r="M125" s="297"/>
    </row>
    <row r="126" spans="2:13" ht="15.75" customHeight="1" thickBot="1" x14ac:dyDescent="0.25">
      <c r="B126" s="47">
        <f t="shared" si="18"/>
        <v>0</v>
      </c>
      <c r="C126" s="47">
        <f t="shared" si="19"/>
        <v>0</v>
      </c>
      <c r="D126" s="47">
        <f t="shared" si="19"/>
        <v>0</v>
      </c>
      <c r="E126" s="47">
        <f t="shared" si="20"/>
        <v>0</v>
      </c>
      <c r="F126" s="47">
        <v>0</v>
      </c>
      <c r="G126" s="47">
        <v>0</v>
      </c>
      <c r="H126" s="47">
        <f t="shared" si="21"/>
        <v>0</v>
      </c>
      <c r="I126" s="47">
        <v>0</v>
      </c>
      <c r="J126" s="47">
        <v>0</v>
      </c>
      <c r="K126" s="188" t="s">
        <v>56</v>
      </c>
      <c r="L126" s="134"/>
      <c r="M126" s="297"/>
    </row>
    <row r="127" spans="2:13" ht="15.75" customHeight="1" thickBot="1" x14ac:dyDescent="0.25">
      <c r="B127" s="47">
        <f t="shared" si="18"/>
        <v>0</v>
      </c>
      <c r="C127" s="47">
        <f t="shared" si="19"/>
        <v>0</v>
      </c>
      <c r="D127" s="47">
        <f t="shared" si="19"/>
        <v>0</v>
      </c>
      <c r="E127" s="47">
        <f t="shared" si="20"/>
        <v>0</v>
      </c>
      <c r="F127" s="47">
        <v>0</v>
      </c>
      <c r="G127" s="47">
        <v>0</v>
      </c>
      <c r="H127" s="47">
        <f t="shared" si="21"/>
        <v>0</v>
      </c>
      <c r="I127" s="47">
        <v>0</v>
      </c>
      <c r="J127" s="47">
        <v>0</v>
      </c>
      <c r="K127" s="188" t="s">
        <v>57</v>
      </c>
      <c r="L127" s="134" t="s">
        <v>254</v>
      </c>
      <c r="M127" s="297"/>
    </row>
    <row r="128" spans="2:13" ht="15.75" customHeight="1" thickBot="1" x14ac:dyDescent="0.25">
      <c r="B128" s="47">
        <f t="shared" si="18"/>
        <v>8</v>
      </c>
      <c r="C128" s="47">
        <f t="shared" si="19"/>
        <v>0</v>
      </c>
      <c r="D128" s="47">
        <f t="shared" si="19"/>
        <v>8</v>
      </c>
      <c r="E128" s="47">
        <f t="shared" si="20"/>
        <v>8</v>
      </c>
      <c r="F128" s="47">
        <v>0</v>
      </c>
      <c r="G128" s="47">
        <v>8</v>
      </c>
      <c r="H128" s="47">
        <f t="shared" si="21"/>
        <v>0</v>
      </c>
      <c r="I128" s="47">
        <v>0</v>
      </c>
      <c r="J128" s="47">
        <v>0</v>
      </c>
      <c r="K128" s="188" t="s">
        <v>59</v>
      </c>
      <c r="L128" s="135"/>
      <c r="M128" s="297"/>
    </row>
    <row r="129" spans="2:13" ht="15.75" customHeight="1" thickBot="1" x14ac:dyDescent="0.25">
      <c r="B129" s="47">
        <f t="shared" si="18"/>
        <v>0</v>
      </c>
      <c r="C129" s="47">
        <f t="shared" si="19"/>
        <v>0</v>
      </c>
      <c r="D129" s="47">
        <f t="shared" si="19"/>
        <v>0</v>
      </c>
      <c r="E129" s="47">
        <f t="shared" si="20"/>
        <v>0</v>
      </c>
      <c r="F129" s="47">
        <v>0</v>
      </c>
      <c r="G129" s="47">
        <v>0</v>
      </c>
      <c r="H129" s="47">
        <f t="shared" si="21"/>
        <v>0</v>
      </c>
      <c r="I129" s="47">
        <v>0</v>
      </c>
      <c r="J129" s="47">
        <v>0</v>
      </c>
      <c r="K129" s="188" t="s">
        <v>56</v>
      </c>
      <c r="L129" s="134"/>
      <c r="M129" s="297"/>
    </row>
    <row r="130" spans="2:13" ht="15.75" customHeight="1" thickBot="1" x14ac:dyDescent="0.25">
      <c r="B130" s="47">
        <f t="shared" si="18"/>
        <v>0</v>
      </c>
      <c r="C130" s="47">
        <f t="shared" si="19"/>
        <v>0</v>
      </c>
      <c r="D130" s="47">
        <f t="shared" si="19"/>
        <v>0</v>
      </c>
      <c r="E130" s="47">
        <f t="shared" si="20"/>
        <v>0</v>
      </c>
      <c r="F130" s="47">
        <v>0</v>
      </c>
      <c r="G130" s="47">
        <v>0</v>
      </c>
      <c r="H130" s="47">
        <f t="shared" si="21"/>
        <v>0</v>
      </c>
      <c r="I130" s="47">
        <v>0</v>
      </c>
      <c r="J130" s="47">
        <v>0</v>
      </c>
      <c r="K130" s="188" t="s">
        <v>57</v>
      </c>
      <c r="L130" s="134" t="s">
        <v>71</v>
      </c>
      <c r="M130" s="297"/>
    </row>
    <row r="131" spans="2:13" ht="15.75" customHeight="1" thickBot="1" x14ac:dyDescent="0.25">
      <c r="B131" s="47">
        <f t="shared" si="18"/>
        <v>46</v>
      </c>
      <c r="C131" s="47">
        <f t="shared" si="19"/>
        <v>8</v>
      </c>
      <c r="D131" s="47">
        <f t="shared" si="19"/>
        <v>38</v>
      </c>
      <c r="E131" s="47">
        <f t="shared" si="20"/>
        <v>6</v>
      </c>
      <c r="F131" s="47">
        <v>6</v>
      </c>
      <c r="G131" s="47">
        <v>0</v>
      </c>
      <c r="H131" s="47">
        <f t="shared" si="21"/>
        <v>40</v>
      </c>
      <c r="I131" s="47">
        <v>2</v>
      </c>
      <c r="J131" s="47">
        <f>28+10</f>
        <v>38</v>
      </c>
      <c r="K131" s="188" t="s">
        <v>59</v>
      </c>
      <c r="L131" s="135"/>
      <c r="M131" s="297"/>
    </row>
    <row r="132" spans="2:13" ht="15.75" customHeight="1" thickBot="1" x14ac:dyDescent="0.25">
      <c r="B132" s="47">
        <f t="shared" si="18"/>
        <v>0</v>
      </c>
      <c r="C132" s="47">
        <f t="shared" si="19"/>
        <v>0</v>
      </c>
      <c r="D132" s="47">
        <f t="shared" si="19"/>
        <v>0</v>
      </c>
      <c r="E132" s="47">
        <f t="shared" si="20"/>
        <v>0</v>
      </c>
      <c r="F132" s="47">
        <v>0</v>
      </c>
      <c r="G132" s="47">
        <v>0</v>
      </c>
      <c r="H132" s="47">
        <f t="shared" si="21"/>
        <v>0</v>
      </c>
      <c r="I132" s="47">
        <v>0</v>
      </c>
      <c r="J132" s="47">
        <v>0</v>
      </c>
      <c r="K132" s="188" t="s">
        <v>56</v>
      </c>
      <c r="L132" s="134"/>
      <c r="M132" s="297"/>
    </row>
    <row r="133" spans="2:13" ht="15.75" customHeight="1" thickBot="1" x14ac:dyDescent="0.25">
      <c r="B133" s="47">
        <f t="shared" si="18"/>
        <v>3</v>
      </c>
      <c r="C133" s="47">
        <f t="shared" si="19"/>
        <v>3</v>
      </c>
      <c r="D133" s="47">
        <f t="shared" si="19"/>
        <v>0</v>
      </c>
      <c r="E133" s="47">
        <f t="shared" si="20"/>
        <v>0</v>
      </c>
      <c r="F133" s="47">
        <v>0</v>
      </c>
      <c r="G133" s="47">
        <v>0</v>
      </c>
      <c r="H133" s="47">
        <f t="shared" si="21"/>
        <v>3</v>
      </c>
      <c r="I133" s="47">
        <v>3</v>
      </c>
      <c r="J133" s="47">
        <v>0</v>
      </c>
      <c r="K133" s="188" t="s">
        <v>57</v>
      </c>
      <c r="L133" s="134" t="s">
        <v>377</v>
      </c>
      <c r="M133" s="297"/>
    </row>
    <row r="134" spans="2:13" ht="15.75" customHeight="1" thickBot="1" x14ac:dyDescent="0.25">
      <c r="B134" s="47">
        <f t="shared" si="18"/>
        <v>0</v>
      </c>
      <c r="C134" s="47">
        <f t="shared" si="19"/>
        <v>0</v>
      </c>
      <c r="D134" s="47">
        <f t="shared" si="19"/>
        <v>0</v>
      </c>
      <c r="E134" s="47">
        <f t="shared" si="20"/>
        <v>0</v>
      </c>
      <c r="F134" s="47">
        <v>0</v>
      </c>
      <c r="G134" s="47">
        <v>0</v>
      </c>
      <c r="H134" s="47">
        <f t="shared" si="21"/>
        <v>0</v>
      </c>
      <c r="I134" s="47">
        <v>0</v>
      </c>
      <c r="J134" s="47">
        <v>0</v>
      </c>
      <c r="K134" s="188" t="s">
        <v>59</v>
      </c>
      <c r="L134" s="135"/>
      <c r="M134" s="297"/>
    </row>
    <row r="135" spans="2:13" ht="15.75" customHeight="1" thickBot="1" x14ac:dyDescent="0.25">
      <c r="B135" s="47">
        <f t="shared" si="18"/>
        <v>5</v>
      </c>
      <c r="C135" s="47">
        <f t="shared" si="19"/>
        <v>0</v>
      </c>
      <c r="D135" s="47">
        <f t="shared" si="19"/>
        <v>5</v>
      </c>
      <c r="E135" s="47">
        <f t="shared" si="20"/>
        <v>0</v>
      </c>
      <c r="F135" s="47">
        <v>0</v>
      </c>
      <c r="G135" s="47">
        <v>0</v>
      </c>
      <c r="H135" s="47">
        <f t="shared" si="21"/>
        <v>5</v>
      </c>
      <c r="I135" s="47">
        <v>0</v>
      </c>
      <c r="J135" s="47">
        <v>5</v>
      </c>
      <c r="K135" s="188" t="s">
        <v>56</v>
      </c>
      <c r="L135" s="134"/>
      <c r="M135" s="297"/>
    </row>
    <row r="136" spans="2:13" ht="15.75" customHeight="1" thickBot="1" x14ac:dyDescent="0.25">
      <c r="B136" s="47">
        <f t="shared" si="18"/>
        <v>12</v>
      </c>
      <c r="C136" s="47">
        <f t="shared" si="19"/>
        <v>0</v>
      </c>
      <c r="D136" s="47">
        <f t="shared" si="19"/>
        <v>12</v>
      </c>
      <c r="E136" s="47">
        <f t="shared" si="20"/>
        <v>0</v>
      </c>
      <c r="F136" s="47">
        <v>0</v>
      </c>
      <c r="G136" s="47">
        <v>0</v>
      </c>
      <c r="H136" s="47">
        <f t="shared" si="21"/>
        <v>12</v>
      </c>
      <c r="I136" s="47">
        <v>0</v>
      </c>
      <c r="J136" s="47">
        <v>12</v>
      </c>
      <c r="K136" s="188" t="s">
        <v>57</v>
      </c>
      <c r="L136" s="134" t="s">
        <v>379</v>
      </c>
      <c r="M136" s="297"/>
    </row>
    <row r="137" spans="2:13" ht="15.75" customHeight="1" thickBot="1" x14ac:dyDescent="0.25">
      <c r="B137" s="47">
        <f t="shared" si="18"/>
        <v>0</v>
      </c>
      <c r="C137" s="47">
        <f t="shared" si="19"/>
        <v>0</v>
      </c>
      <c r="D137" s="47">
        <f t="shared" si="19"/>
        <v>0</v>
      </c>
      <c r="E137" s="47">
        <f t="shared" si="20"/>
        <v>0</v>
      </c>
      <c r="F137" s="47">
        <v>0</v>
      </c>
      <c r="G137" s="47">
        <v>0</v>
      </c>
      <c r="H137" s="47">
        <f t="shared" si="21"/>
        <v>0</v>
      </c>
      <c r="I137" s="47">
        <v>0</v>
      </c>
      <c r="J137" s="47">
        <v>0</v>
      </c>
      <c r="K137" s="188" t="s">
        <v>59</v>
      </c>
      <c r="L137" s="135"/>
      <c r="M137" s="297"/>
    </row>
    <row r="138" spans="2:13" ht="15.75" customHeight="1" thickBot="1" x14ac:dyDescent="0.25">
      <c r="B138" s="47">
        <f t="shared" ref="B138:J140" si="22">B93+B96+B99+B102+B105+B108+B111+B114+B117+B120+B123+B126+B129+B132+B135</f>
        <v>58</v>
      </c>
      <c r="C138" s="47">
        <f t="shared" si="22"/>
        <v>14</v>
      </c>
      <c r="D138" s="47">
        <f t="shared" si="22"/>
        <v>44</v>
      </c>
      <c r="E138" s="47">
        <f t="shared" si="22"/>
        <v>1</v>
      </c>
      <c r="F138" s="47">
        <f t="shared" si="22"/>
        <v>0</v>
      </c>
      <c r="G138" s="47">
        <f t="shared" si="22"/>
        <v>1</v>
      </c>
      <c r="H138" s="47">
        <f t="shared" si="22"/>
        <v>57</v>
      </c>
      <c r="I138" s="47">
        <f t="shared" si="22"/>
        <v>14</v>
      </c>
      <c r="J138" s="47">
        <f>J93+J96+J99+J102+J105+J108+J111+J114+J117+J120+J123+J126+J129+J132+J135</f>
        <v>43</v>
      </c>
      <c r="K138" s="188" t="s">
        <v>243</v>
      </c>
      <c r="L138" s="131"/>
      <c r="M138" s="298"/>
    </row>
    <row r="139" spans="2:13" ht="15.75" customHeight="1" thickBot="1" x14ac:dyDescent="0.25">
      <c r="B139" s="47">
        <f t="shared" si="22"/>
        <v>418</v>
      </c>
      <c r="C139" s="47">
        <f t="shared" si="22"/>
        <v>101</v>
      </c>
      <c r="D139" s="47">
        <f t="shared" si="22"/>
        <v>317</v>
      </c>
      <c r="E139" s="47">
        <f t="shared" si="22"/>
        <v>15</v>
      </c>
      <c r="F139" s="47">
        <f t="shared" si="22"/>
        <v>6</v>
      </c>
      <c r="G139" s="47">
        <f t="shared" si="22"/>
        <v>9</v>
      </c>
      <c r="H139" s="47">
        <f t="shared" si="22"/>
        <v>403</v>
      </c>
      <c r="I139" s="47">
        <f t="shared" si="22"/>
        <v>95</v>
      </c>
      <c r="J139" s="47">
        <f t="shared" si="22"/>
        <v>308</v>
      </c>
      <c r="K139" s="188" t="s">
        <v>57</v>
      </c>
      <c r="L139" s="132" t="s">
        <v>244</v>
      </c>
      <c r="M139" s="298"/>
    </row>
    <row r="140" spans="2:13" ht="15.75" customHeight="1" thickBot="1" x14ac:dyDescent="0.25">
      <c r="B140" s="47">
        <f t="shared" si="22"/>
        <v>54</v>
      </c>
      <c r="C140" s="47">
        <f t="shared" si="22"/>
        <v>8</v>
      </c>
      <c r="D140" s="47">
        <f t="shared" si="22"/>
        <v>46</v>
      </c>
      <c r="E140" s="47">
        <f t="shared" si="22"/>
        <v>14</v>
      </c>
      <c r="F140" s="47">
        <f t="shared" si="22"/>
        <v>6</v>
      </c>
      <c r="G140" s="47">
        <f t="shared" si="22"/>
        <v>8</v>
      </c>
      <c r="H140" s="47">
        <f t="shared" si="22"/>
        <v>40</v>
      </c>
      <c r="I140" s="47">
        <f t="shared" si="22"/>
        <v>2</v>
      </c>
      <c r="J140" s="47">
        <f t="shared" si="22"/>
        <v>38</v>
      </c>
      <c r="K140" s="188" t="s">
        <v>59</v>
      </c>
      <c r="L140" s="133"/>
      <c r="M140" s="298"/>
    </row>
    <row r="141" spans="2:13" ht="15.75" customHeight="1" thickBot="1" x14ac:dyDescent="0.25">
      <c r="B141" s="47">
        <f t="shared" ref="B141:I141" si="23">SUM(B138:B140)</f>
        <v>530</v>
      </c>
      <c r="C141" s="47">
        <f t="shared" si="23"/>
        <v>123</v>
      </c>
      <c r="D141" s="47">
        <f t="shared" si="23"/>
        <v>407</v>
      </c>
      <c r="E141" s="47">
        <f t="shared" si="23"/>
        <v>30</v>
      </c>
      <c r="F141" s="47">
        <f t="shared" si="23"/>
        <v>12</v>
      </c>
      <c r="G141" s="47">
        <f t="shared" si="23"/>
        <v>18</v>
      </c>
      <c r="H141" s="47">
        <f t="shared" si="23"/>
        <v>500</v>
      </c>
      <c r="I141" s="47">
        <f t="shared" si="23"/>
        <v>111</v>
      </c>
      <c r="J141" s="47">
        <f>SUM(J138:J140)</f>
        <v>389</v>
      </c>
      <c r="K141" s="500" t="s">
        <v>245</v>
      </c>
      <c r="L141" s="500"/>
      <c r="M141" s="299"/>
    </row>
    <row r="142" spans="2:13" ht="15.75" customHeight="1" thickBot="1" x14ac:dyDescent="0.25">
      <c r="B142" s="476" t="s">
        <v>4</v>
      </c>
      <c r="C142" s="476"/>
      <c r="D142" s="476"/>
      <c r="E142" s="476" t="s">
        <v>145</v>
      </c>
      <c r="F142" s="476"/>
      <c r="G142" s="476"/>
      <c r="H142" s="476" t="s">
        <v>146</v>
      </c>
      <c r="I142" s="476"/>
      <c r="J142" s="476"/>
      <c r="K142" s="479" t="s">
        <v>66</v>
      </c>
      <c r="L142" s="479"/>
      <c r="M142" s="296"/>
    </row>
    <row r="143" spans="2:13" ht="15.75" customHeight="1" thickBot="1" x14ac:dyDescent="0.25">
      <c r="B143" s="185" t="s">
        <v>227</v>
      </c>
      <c r="C143" s="185" t="s">
        <v>10</v>
      </c>
      <c r="D143" s="185" t="s">
        <v>9</v>
      </c>
      <c r="E143" s="185" t="s">
        <v>227</v>
      </c>
      <c r="F143" s="185" t="s">
        <v>10</v>
      </c>
      <c r="G143" s="185" t="s">
        <v>9</v>
      </c>
      <c r="H143" s="185" t="s">
        <v>227</v>
      </c>
      <c r="I143" s="185" t="s">
        <v>10</v>
      </c>
      <c r="J143" s="185" t="s">
        <v>9</v>
      </c>
      <c r="K143" s="480" t="s">
        <v>73</v>
      </c>
      <c r="L143" s="480"/>
      <c r="M143" s="296"/>
    </row>
    <row r="144" spans="2:13" ht="15.75" customHeight="1" thickBot="1" x14ac:dyDescent="0.25">
      <c r="B144" s="47">
        <f>SUM(C144:D144)</f>
        <v>6</v>
      </c>
      <c r="C144" s="47">
        <f>I144+F144</f>
        <v>3</v>
      </c>
      <c r="D144" s="47">
        <f>J144+G144</f>
        <v>3</v>
      </c>
      <c r="E144" s="47">
        <f>SUM(F144:G144)</f>
        <v>0</v>
      </c>
      <c r="F144" s="47">
        <v>0</v>
      </c>
      <c r="G144" s="47">
        <v>0</v>
      </c>
      <c r="H144" s="47">
        <f>SUM(I144:J144)</f>
        <v>6</v>
      </c>
      <c r="I144" s="47">
        <v>3</v>
      </c>
      <c r="J144" s="47">
        <v>3</v>
      </c>
      <c r="K144" s="188" t="s">
        <v>56</v>
      </c>
      <c r="L144" s="134"/>
      <c r="M144" s="297"/>
    </row>
    <row r="145" spans="2:13" ht="15.75" customHeight="1" thickBot="1" x14ac:dyDescent="0.25">
      <c r="B145" s="47">
        <f t="shared" ref="B145:B176" si="24">SUM(C145:D145)</f>
        <v>28</v>
      </c>
      <c r="C145" s="47">
        <f t="shared" ref="C145:D176" si="25">I145+F145</f>
        <v>13</v>
      </c>
      <c r="D145" s="47">
        <f t="shared" si="25"/>
        <v>15</v>
      </c>
      <c r="E145" s="47">
        <f t="shared" ref="E145:E176" si="26">SUM(F145:G145)</f>
        <v>0</v>
      </c>
      <c r="F145" s="47">
        <v>0</v>
      </c>
      <c r="G145" s="47">
        <v>0</v>
      </c>
      <c r="H145" s="47">
        <f t="shared" ref="H145:H176" si="27">SUM(I145:J145)</f>
        <v>28</v>
      </c>
      <c r="I145" s="47">
        <f>28-15</f>
        <v>13</v>
      </c>
      <c r="J145" s="47">
        <f>15</f>
        <v>15</v>
      </c>
      <c r="K145" s="188" t="s">
        <v>57</v>
      </c>
      <c r="L145" s="134" t="s">
        <v>403</v>
      </c>
      <c r="M145" s="297"/>
    </row>
    <row r="146" spans="2:13" ht="15.75" customHeight="1" thickBot="1" x14ac:dyDescent="0.25">
      <c r="B146" s="47">
        <f t="shared" si="24"/>
        <v>0</v>
      </c>
      <c r="C146" s="47">
        <f t="shared" si="25"/>
        <v>0</v>
      </c>
      <c r="D146" s="47">
        <f t="shared" si="25"/>
        <v>0</v>
      </c>
      <c r="E146" s="47">
        <f t="shared" si="26"/>
        <v>0</v>
      </c>
      <c r="F146" s="47">
        <v>0</v>
      </c>
      <c r="G146" s="47">
        <v>0</v>
      </c>
      <c r="H146" s="47">
        <f t="shared" si="27"/>
        <v>0</v>
      </c>
      <c r="I146" s="47">
        <v>0</v>
      </c>
      <c r="J146" s="47">
        <v>0</v>
      </c>
      <c r="K146" s="188" t="s">
        <v>59</v>
      </c>
      <c r="L146" s="135"/>
      <c r="M146" s="297"/>
    </row>
    <row r="147" spans="2:13" ht="15.75" customHeight="1" thickBot="1" x14ac:dyDescent="0.25">
      <c r="B147" s="47">
        <f t="shared" si="24"/>
        <v>0</v>
      </c>
      <c r="C147" s="47">
        <f t="shared" si="25"/>
        <v>0</v>
      </c>
      <c r="D147" s="47">
        <f t="shared" si="25"/>
        <v>0</v>
      </c>
      <c r="E147" s="47">
        <f t="shared" si="26"/>
        <v>0</v>
      </c>
      <c r="F147" s="47">
        <v>0</v>
      </c>
      <c r="G147" s="47">
        <v>0</v>
      </c>
      <c r="H147" s="47">
        <f t="shared" si="27"/>
        <v>0</v>
      </c>
      <c r="I147" s="47">
        <v>0</v>
      </c>
      <c r="J147" s="47">
        <v>0</v>
      </c>
      <c r="K147" s="188" t="s">
        <v>56</v>
      </c>
      <c r="L147" s="134"/>
      <c r="M147" s="297"/>
    </row>
    <row r="148" spans="2:13" ht="15.75" customHeight="1" thickBot="1" x14ac:dyDescent="0.25">
      <c r="B148" s="47">
        <f t="shared" si="24"/>
        <v>3</v>
      </c>
      <c r="C148" s="47">
        <f t="shared" si="25"/>
        <v>3</v>
      </c>
      <c r="D148" s="47">
        <f t="shared" si="25"/>
        <v>0</v>
      </c>
      <c r="E148" s="47">
        <f t="shared" si="26"/>
        <v>0</v>
      </c>
      <c r="F148" s="47">
        <v>0</v>
      </c>
      <c r="G148" s="47">
        <v>0</v>
      </c>
      <c r="H148" s="47">
        <f t="shared" si="27"/>
        <v>3</v>
      </c>
      <c r="I148" s="47">
        <v>3</v>
      </c>
      <c r="J148" s="47">
        <v>0</v>
      </c>
      <c r="K148" s="188" t="s">
        <v>57</v>
      </c>
      <c r="L148" s="134" t="s">
        <v>255</v>
      </c>
      <c r="M148" s="297"/>
    </row>
    <row r="149" spans="2:13" ht="15.75" customHeight="1" thickBot="1" x14ac:dyDescent="0.25">
      <c r="B149" s="47">
        <f t="shared" si="24"/>
        <v>0</v>
      </c>
      <c r="C149" s="47">
        <f t="shared" si="25"/>
        <v>0</v>
      </c>
      <c r="D149" s="47">
        <f t="shared" si="25"/>
        <v>0</v>
      </c>
      <c r="E149" s="47">
        <f t="shared" si="26"/>
        <v>0</v>
      </c>
      <c r="F149" s="47">
        <v>0</v>
      </c>
      <c r="G149" s="47">
        <v>0</v>
      </c>
      <c r="H149" s="47">
        <f t="shared" si="27"/>
        <v>0</v>
      </c>
      <c r="I149" s="47">
        <v>0</v>
      </c>
      <c r="J149" s="47">
        <v>0</v>
      </c>
      <c r="K149" s="188" t="s">
        <v>59</v>
      </c>
      <c r="L149" s="135"/>
      <c r="M149" s="297"/>
    </row>
    <row r="150" spans="2:13" ht="15.75" customHeight="1" thickBot="1" x14ac:dyDescent="0.25">
      <c r="B150" s="47">
        <f t="shared" si="24"/>
        <v>4</v>
      </c>
      <c r="C150" s="47">
        <f t="shared" si="25"/>
        <v>2</v>
      </c>
      <c r="D150" s="47">
        <f t="shared" si="25"/>
        <v>2</v>
      </c>
      <c r="E150" s="47">
        <f t="shared" si="26"/>
        <v>0</v>
      </c>
      <c r="F150" s="47">
        <v>0</v>
      </c>
      <c r="G150" s="47">
        <v>0</v>
      </c>
      <c r="H150" s="47">
        <f t="shared" si="27"/>
        <v>4</v>
      </c>
      <c r="I150" s="47">
        <v>2</v>
      </c>
      <c r="J150" s="47">
        <v>2</v>
      </c>
      <c r="K150" s="188" t="s">
        <v>56</v>
      </c>
      <c r="L150" s="134"/>
      <c r="M150" s="297"/>
    </row>
    <row r="151" spans="2:13" ht="15.75" customHeight="1" thickBot="1" x14ac:dyDescent="0.25">
      <c r="B151" s="47">
        <f t="shared" si="24"/>
        <v>38</v>
      </c>
      <c r="C151" s="47">
        <f t="shared" si="25"/>
        <v>18</v>
      </c>
      <c r="D151" s="47">
        <f t="shared" si="25"/>
        <v>20</v>
      </c>
      <c r="E151" s="47">
        <f t="shared" si="26"/>
        <v>6</v>
      </c>
      <c r="F151" s="47">
        <v>3</v>
      </c>
      <c r="G151" s="47">
        <v>3</v>
      </c>
      <c r="H151" s="47">
        <f t="shared" si="27"/>
        <v>32</v>
      </c>
      <c r="I151" s="47">
        <f>31-16</f>
        <v>15</v>
      </c>
      <c r="J151" s="47">
        <f>17</f>
        <v>17</v>
      </c>
      <c r="K151" s="188" t="s">
        <v>57</v>
      </c>
      <c r="L151" s="134" t="s">
        <v>367</v>
      </c>
      <c r="M151" s="297"/>
    </row>
    <row r="152" spans="2:13" ht="15.75" customHeight="1" thickBot="1" x14ac:dyDescent="0.25">
      <c r="B152" s="47">
        <f t="shared" si="24"/>
        <v>0</v>
      </c>
      <c r="C152" s="47">
        <f t="shared" si="25"/>
        <v>0</v>
      </c>
      <c r="D152" s="47">
        <f t="shared" si="25"/>
        <v>0</v>
      </c>
      <c r="E152" s="47">
        <f t="shared" si="26"/>
        <v>0</v>
      </c>
      <c r="F152" s="47">
        <v>0</v>
      </c>
      <c r="G152" s="47">
        <v>0</v>
      </c>
      <c r="H152" s="47">
        <f t="shared" si="27"/>
        <v>0</v>
      </c>
      <c r="I152" s="47">
        <v>0</v>
      </c>
      <c r="J152" s="47">
        <v>0</v>
      </c>
      <c r="K152" s="188" t="s">
        <v>59</v>
      </c>
      <c r="L152" s="135"/>
      <c r="M152" s="297"/>
    </row>
    <row r="153" spans="2:13" ht="15.75" customHeight="1" thickBot="1" x14ac:dyDescent="0.25">
      <c r="B153" s="47">
        <f t="shared" si="24"/>
        <v>0</v>
      </c>
      <c r="C153" s="47">
        <f t="shared" si="25"/>
        <v>0</v>
      </c>
      <c r="D153" s="47">
        <f t="shared" si="25"/>
        <v>0</v>
      </c>
      <c r="E153" s="47">
        <f t="shared" si="26"/>
        <v>0</v>
      </c>
      <c r="F153" s="47">
        <v>0</v>
      </c>
      <c r="G153" s="47">
        <v>0</v>
      </c>
      <c r="H153" s="47">
        <f t="shared" si="27"/>
        <v>0</v>
      </c>
      <c r="I153" s="47">
        <v>0</v>
      </c>
      <c r="J153" s="47">
        <v>0</v>
      </c>
      <c r="K153" s="188" t="s">
        <v>56</v>
      </c>
      <c r="L153" s="134"/>
      <c r="M153" s="297"/>
    </row>
    <row r="154" spans="2:13" ht="15.75" customHeight="1" thickBot="1" x14ac:dyDescent="0.25">
      <c r="B154" s="47">
        <f t="shared" si="24"/>
        <v>29</v>
      </c>
      <c r="C154" s="47">
        <f t="shared" si="25"/>
        <v>0</v>
      </c>
      <c r="D154" s="47">
        <f t="shared" si="25"/>
        <v>29</v>
      </c>
      <c r="E154" s="47">
        <f t="shared" si="26"/>
        <v>0</v>
      </c>
      <c r="F154" s="47">
        <v>0</v>
      </c>
      <c r="G154" s="47">
        <v>0</v>
      </c>
      <c r="H154" s="47">
        <f t="shared" si="27"/>
        <v>29</v>
      </c>
      <c r="I154" s="47">
        <v>0</v>
      </c>
      <c r="J154" s="47">
        <f>29</f>
        <v>29</v>
      </c>
      <c r="K154" s="188" t="s">
        <v>57</v>
      </c>
      <c r="L154" s="134" t="s">
        <v>454</v>
      </c>
      <c r="M154" s="297"/>
    </row>
    <row r="155" spans="2:13" ht="15.75" customHeight="1" thickBot="1" x14ac:dyDescent="0.25">
      <c r="B155" s="47">
        <f t="shared" si="24"/>
        <v>0</v>
      </c>
      <c r="C155" s="47">
        <f t="shared" si="25"/>
        <v>0</v>
      </c>
      <c r="D155" s="47">
        <f t="shared" si="25"/>
        <v>0</v>
      </c>
      <c r="E155" s="47">
        <f t="shared" si="26"/>
        <v>0</v>
      </c>
      <c r="F155" s="47">
        <v>0</v>
      </c>
      <c r="G155" s="47">
        <v>0</v>
      </c>
      <c r="H155" s="47">
        <f t="shared" si="27"/>
        <v>0</v>
      </c>
      <c r="I155" s="47">
        <v>0</v>
      </c>
      <c r="J155" s="47">
        <v>0</v>
      </c>
      <c r="K155" s="188" t="s">
        <v>59</v>
      </c>
      <c r="L155" s="135"/>
      <c r="M155" s="297"/>
    </row>
    <row r="156" spans="2:13" ht="15.75" customHeight="1" thickBot="1" x14ac:dyDescent="0.25">
      <c r="B156" s="47">
        <f t="shared" si="24"/>
        <v>0</v>
      </c>
      <c r="C156" s="47">
        <f t="shared" si="25"/>
        <v>0</v>
      </c>
      <c r="D156" s="47">
        <f t="shared" si="25"/>
        <v>0</v>
      </c>
      <c r="E156" s="47">
        <f t="shared" si="26"/>
        <v>0</v>
      </c>
      <c r="F156" s="47">
        <v>0</v>
      </c>
      <c r="G156" s="47">
        <v>0</v>
      </c>
      <c r="H156" s="47">
        <f t="shared" si="27"/>
        <v>0</v>
      </c>
      <c r="I156" s="47">
        <v>0</v>
      </c>
      <c r="J156" s="47">
        <v>0</v>
      </c>
      <c r="K156" s="188" t="s">
        <v>56</v>
      </c>
      <c r="L156" s="134"/>
      <c r="M156" s="297"/>
    </row>
    <row r="157" spans="2:13" ht="15.75" customHeight="1" thickBot="1" x14ac:dyDescent="0.25">
      <c r="B157" s="47">
        <f t="shared" si="24"/>
        <v>142</v>
      </c>
      <c r="C157" s="47">
        <f t="shared" si="25"/>
        <v>31</v>
      </c>
      <c r="D157" s="47">
        <f t="shared" si="25"/>
        <v>111</v>
      </c>
      <c r="E157" s="47">
        <f t="shared" si="26"/>
        <v>4</v>
      </c>
      <c r="F157" s="47">
        <v>2</v>
      </c>
      <c r="G157" s="47">
        <v>2</v>
      </c>
      <c r="H157" s="47">
        <f t="shared" si="27"/>
        <v>138</v>
      </c>
      <c r="I157" s="47">
        <f>49-20</f>
        <v>29</v>
      </c>
      <c r="J157" s="47">
        <f>129-20</f>
        <v>109</v>
      </c>
      <c r="K157" s="188" t="s">
        <v>57</v>
      </c>
      <c r="L157" s="134" t="s">
        <v>402</v>
      </c>
      <c r="M157" s="297"/>
    </row>
    <row r="158" spans="2:13" ht="15.75" customHeight="1" thickBot="1" x14ac:dyDescent="0.25">
      <c r="B158" s="47">
        <f t="shared" si="24"/>
        <v>0</v>
      </c>
      <c r="C158" s="47">
        <f t="shared" si="25"/>
        <v>0</v>
      </c>
      <c r="D158" s="47">
        <f t="shared" si="25"/>
        <v>0</v>
      </c>
      <c r="E158" s="47">
        <f t="shared" si="26"/>
        <v>0</v>
      </c>
      <c r="F158" s="47">
        <v>0</v>
      </c>
      <c r="G158" s="47">
        <v>0</v>
      </c>
      <c r="H158" s="47">
        <f t="shared" si="27"/>
        <v>0</v>
      </c>
      <c r="I158" s="47">
        <v>0</v>
      </c>
      <c r="J158" s="47">
        <v>0</v>
      </c>
      <c r="K158" s="188" t="s">
        <v>59</v>
      </c>
      <c r="L158" s="135"/>
      <c r="M158" s="297"/>
    </row>
    <row r="159" spans="2:13" ht="15.75" customHeight="1" thickBot="1" x14ac:dyDescent="0.25">
      <c r="B159" s="47">
        <f t="shared" si="24"/>
        <v>0</v>
      </c>
      <c r="C159" s="47">
        <f t="shared" si="25"/>
        <v>0</v>
      </c>
      <c r="D159" s="47">
        <f t="shared" si="25"/>
        <v>0</v>
      </c>
      <c r="E159" s="47">
        <f t="shared" si="26"/>
        <v>0</v>
      </c>
      <c r="F159" s="47">
        <v>0</v>
      </c>
      <c r="G159" s="47">
        <v>0</v>
      </c>
      <c r="H159" s="47">
        <f t="shared" si="27"/>
        <v>0</v>
      </c>
      <c r="I159" s="47">
        <v>0</v>
      </c>
      <c r="J159" s="47">
        <v>0</v>
      </c>
      <c r="K159" s="188" t="s">
        <v>56</v>
      </c>
      <c r="L159" s="134"/>
      <c r="M159" s="297"/>
    </row>
    <row r="160" spans="2:13" ht="15.75" customHeight="1" thickBot="1" x14ac:dyDescent="0.25">
      <c r="B160" s="47">
        <f t="shared" si="24"/>
        <v>8</v>
      </c>
      <c r="C160" s="47">
        <f t="shared" si="25"/>
        <v>0</v>
      </c>
      <c r="D160" s="47">
        <f t="shared" si="25"/>
        <v>8</v>
      </c>
      <c r="E160" s="47">
        <f t="shared" si="26"/>
        <v>0</v>
      </c>
      <c r="F160" s="47">
        <v>0</v>
      </c>
      <c r="G160" s="47">
        <v>0</v>
      </c>
      <c r="H160" s="47">
        <f t="shared" si="27"/>
        <v>8</v>
      </c>
      <c r="I160" s="47">
        <v>0</v>
      </c>
      <c r="J160" s="47">
        <f>8</f>
        <v>8</v>
      </c>
      <c r="K160" s="188" t="s">
        <v>57</v>
      </c>
      <c r="L160" s="134" t="s">
        <v>407</v>
      </c>
      <c r="M160" s="297"/>
    </row>
    <row r="161" spans="2:13" ht="15.75" customHeight="1" thickBot="1" x14ac:dyDescent="0.25">
      <c r="B161" s="47">
        <f t="shared" si="24"/>
        <v>0</v>
      </c>
      <c r="C161" s="47">
        <f t="shared" si="25"/>
        <v>0</v>
      </c>
      <c r="D161" s="47">
        <f t="shared" si="25"/>
        <v>0</v>
      </c>
      <c r="E161" s="47">
        <f t="shared" si="26"/>
        <v>0</v>
      </c>
      <c r="F161" s="47">
        <v>0</v>
      </c>
      <c r="G161" s="47">
        <v>0</v>
      </c>
      <c r="H161" s="47">
        <f t="shared" si="27"/>
        <v>0</v>
      </c>
      <c r="I161" s="47">
        <v>0</v>
      </c>
      <c r="J161" s="47">
        <v>0</v>
      </c>
      <c r="K161" s="188" t="s">
        <v>59</v>
      </c>
      <c r="L161" s="135"/>
      <c r="M161" s="297"/>
    </row>
    <row r="162" spans="2:13" ht="15.75" customHeight="1" thickBot="1" x14ac:dyDescent="0.25">
      <c r="B162" s="47">
        <f t="shared" si="24"/>
        <v>1</v>
      </c>
      <c r="C162" s="47">
        <f t="shared" si="25"/>
        <v>0</v>
      </c>
      <c r="D162" s="47">
        <f t="shared" si="25"/>
        <v>1</v>
      </c>
      <c r="E162" s="47">
        <f t="shared" si="26"/>
        <v>0</v>
      </c>
      <c r="F162" s="47">
        <v>0</v>
      </c>
      <c r="G162" s="47">
        <v>0</v>
      </c>
      <c r="H162" s="47">
        <f t="shared" si="27"/>
        <v>1</v>
      </c>
      <c r="I162" s="47">
        <v>0</v>
      </c>
      <c r="J162" s="47">
        <v>1</v>
      </c>
      <c r="K162" s="188" t="s">
        <v>56</v>
      </c>
      <c r="L162" s="134"/>
      <c r="M162" s="297"/>
    </row>
    <row r="163" spans="2:13" ht="15.75" customHeight="1" thickBot="1" x14ac:dyDescent="0.25">
      <c r="B163" s="47">
        <f t="shared" si="24"/>
        <v>2</v>
      </c>
      <c r="C163" s="47">
        <f t="shared" si="25"/>
        <v>0</v>
      </c>
      <c r="D163" s="47">
        <f t="shared" si="25"/>
        <v>2</v>
      </c>
      <c r="E163" s="47">
        <f t="shared" si="26"/>
        <v>0</v>
      </c>
      <c r="F163" s="47">
        <v>0</v>
      </c>
      <c r="G163" s="47">
        <v>0</v>
      </c>
      <c r="H163" s="47">
        <f t="shared" si="27"/>
        <v>2</v>
      </c>
      <c r="I163" s="47">
        <v>0</v>
      </c>
      <c r="J163" s="47">
        <v>2</v>
      </c>
      <c r="K163" s="188" t="s">
        <v>57</v>
      </c>
      <c r="L163" s="134" t="s">
        <v>589</v>
      </c>
      <c r="M163" s="297"/>
    </row>
    <row r="164" spans="2:13" ht="15.75" customHeight="1" thickBot="1" x14ac:dyDescent="0.25">
      <c r="B164" s="47">
        <f t="shared" si="24"/>
        <v>0</v>
      </c>
      <c r="C164" s="47">
        <f t="shared" si="25"/>
        <v>0</v>
      </c>
      <c r="D164" s="47">
        <f t="shared" si="25"/>
        <v>0</v>
      </c>
      <c r="E164" s="47">
        <f t="shared" si="26"/>
        <v>0</v>
      </c>
      <c r="F164" s="47">
        <v>0</v>
      </c>
      <c r="G164" s="47">
        <v>0</v>
      </c>
      <c r="H164" s="47">
        <f t="shared" si="27"/>
        <v>0</v>
      </c>
      <c r="I164" s="47">
        <v>0</v>
      </c>
      <c r="J164" s="47">
        <v>0</v>
      </c>
      <c r="K164" s="188" t="s">
        <v>59</v>
      </c>
      <c r="L164" s="135"/>
      <c r="M164" s="297"/>
    </row>
    <row r="165" spans="2:13" ht="15.75" customHeight="1" thickBot="1" x14ac:dyDescent="0.25">
      <c r="B165" s="47">
        <f t="shared" si="24"/>
        <v>0</v>
      </c>
      <c r="C165" s="47">
        <f t="shared" si="25"/>
        <v>0</v>
      </c>
      <c r="D165" s="47">
        <f t="shared" si="25"/>
        <v>0</v>
      </c>
      <c r="E165" s="47">
        <f t="shared" si="26"/>
        <v>0</v>
      </c>
      <c r="F165" s="47">
        <v>0</v>
      </c>
      <c r="G165" s="47">
        <v>0</v>
      </c>
      <c r="H165" s="47">
        <f t="shared" si="27"/>
        <v>0</v>
      </c>
      <c r="I165" s="47">
        <v>0</v>
      </c>
      <c r="J165" s="47">
        <v>0</v>
      </c>
      <c r="K165" s="188" t="s">
        <v>56</v>
      </c>
      <c r="L165" s="134"/>
      <c r="M165" s="297"/>
    </row>
    <row r="166" spans="2:13" ht="15.75" customHeight="1" thickBot="1" x14ac:dyDescent="0.25">
      <c r="B166" s="47">
        <f t="shared" si="24"/>
        <v>14</v>
      </c>
      <c r="C166" s="47">
        <f t="shared" si="25"/>
        <v>9</v>
      </c>
      <c r="D166" s="47">
        <f t="shared" si="25"/>
        <v>5</v>
      </c>
      <c r="E166" s="47">
        <f t="shared" si="26"/>
        <v>2</v>
      </c>
      <c r="F166" s="47">
        <v>2</v>
      </c>
      <c r="G166" s="47">
        <v>0</v>
      </c>
      <c r="H166" s="47">
        <f t="shared" si="27"/>
        <v>12</v>
      </c>
      <c r="I166" s="47">
        <f>11-4</f>
        <v>7</v>
      </c>
      <c r="J166" s="47">
        <f>5</f>
        <v>5</v>
      </c>
      <c r="K166" s="188" t="s">
        <v>57</v>
      </c>
      <c r="L166" s="134" t="s">
        <v>730</v>
      </c>
      <c r="M166" s="297"/>
    </row>
    <row r="167" spans="2:13" ht="15.75" customHeight="1" thickBot="1" x14ac:dyDescent="0.25">
      <c r="B167" s="47">
        <f t="shared" si="24"/>
        <v>0</v>
      </c>
      <c r="C167" s="47">
        <f t="shared" si="25"/>
        <v>0</v>
      </c>
      <c r="D167" s="47">
        <f t="shared" si="25"/>
        <v>0</v>
      </c>
      <c r="E167" s="47">
        <f t="shared" si="26"/>
        <v>0</v>
      </c>
      <c r="F167" s="47">
        <v>0</v>
      </c>
      <c r="G167" s="47">
        <v>0</v>
      </c>
      <c r="H167" s="47">
        <f t="shared" si="27"/>
        <v>0</v>
      </c>
      <c r="I167" s="47">
        <v>0</v>
      </c>
      <c r="J167" s="47">
        <v>0</v>
      </c>
      <c r="K167" s="188" t="s">
        <v>59</v>
      </c>
      <c r="L167" s="135"/>
      <c r="M167" s="297"/>
    </row>
    <row r="168" spans="2:13" ht="15.75" customHeight="1" thickBot="1" x14ac:dyDescent="0.25">
      <c r="B168" s="47">
        <f t="shared" si="24"/>
        <v>0</v>
      </c>
      <c r="C168" s="47">
        <f t="shared" si="25"/>
        <v>0</v>
      </c>
      <c r="D168" s="47">
        <f t="shared" si="25"/>
        <v>0</v>
      </c>
      <c r="E168" s="47">
        <f t="shared" si="26"/>
        <v>0</v>
      </c>
      <c r="F168" s="47">
        <v>0</v>
      </c>
      <c r="G168" s="47">
        <v>0</v>
      </c>
      <c r="H168" s="47">
        <f t="shared" si="27"/>
        <v>0</v>
      </c>
      <c r="I168" s="47">
        <v>0</v>
      </c>
      <c r="J168" s="47">
        <v>0</v>
      </c>
      <c r="K168" s="188" t="s">
        <v>56</v>
      </c>
      <c r="L168" s="134"/>
      <c r="M168" s="297"/>
    </row>
    <row r="169" spans="2:13" ht="15.75" customHeight="1" thickBot="1" x14ac:dyDescent="0.25">
      <c r="B169" s="47">
        <f t="shared" si="24"/>
        <v>23</v>
      </c>
      <c r="C169" s="47">
        <f t="shared" si="25"/>
        <v>23</v>
      </c>
      <c r="D169" s="47">
        <f t="shared" si="25"/>
        <v>0</v>
      </c>
      <c r="E169" s="47">
        <f t="shared" si="26"/>
        <v>1</v>
      </c>
      <c r="F169" s="47">
        <v>1</v>
      </c>
      <c r="G169" s="47">
        <v>0</v>
      </c>
      <c r="H169" s="47">
        <f t="shared" si="27"/>
        <v>22</v>
      </c>
      <c r="I169" s="47">
        <f>30-8</f>
        <v>22</v>
      </c>
      <c r="J169" s="47">
        <v>0</v>
      </c>
      <c r="K169" s="188" t="s">
        <v>57</v>
      </c>
      <c r="L169" s="134" t="s">
        <v>408</v>
      </c>
      <c r="M169" s="297"/>
    </row>
    <row r="170" spans="2:13" ht="15.75" customHeight="1" thickBot="1" x14ac:dyDescent="0.25">
      <c r="B170" s="47">
        <f t="shared" si="24"/>
        <v>0</v>
      </c>
      <c r="C170" s="47">
        <f t="shared" si="25"/>
        <v>0</v>
      </c>
      <c r="D170" s="47">
        <f t="shared" si="25"/>
        <v>0</v>
      </c>
      <c r="E170" s="47">
        <f t="shared" si="26"/>
        <v>0</v>
      </c>
      <c r="F170" s="47">
        <v>0</v>
      </c>
      <c r="G170" s="47">
        <v>0</v>
      </c>
      <c r="H170" s="47">
        <f t="shared" si="27"/>
        <v>0</v>
      </c>
      <c r="I170" s="47">
        <v>0</v>
      </c>
      <c r="J170" s="47">
        <v>0</v>
      </c>
      <c r="K170" s="188" t="s">
        <v>59</v>
      </c>
      <c r="L170" s="135"/>
      <c r="M170" s="297"/>
    </row>
    <row r="171" spans="2:13" ht="15.75" customHeight="1" thickBot="1" x14ac:dyDescent="0.25">
      <c r="B171" s="47">
        <f t="shared" si="24"/>
        <v>9</v>
      </c>
      <c r="C171" s="47">
        <f t="shared" si="25"/>
        <v>9</v>
      </c>
      <c r="D171" s="47">
        <f t="shared" si="25"/>
        <v>0</v>
      </c>
      <c r="E171" s="47">
        <f t="shared" si="26"/>
        <v>0</v>
      </c>
      <c r="F171" s="47">
        <v>0</v>
      </c>
      <c r="G171" s="47">
        <v>0</v>
      </c>
      <c r="H171" s="47">
        <f t="shared" si="27"/>
        <v>9</v>
      </c>
      <c r="I171" s="47">
        <v>9</v>
      </c>
      <c r="J171" s="47">
        <v>0</v>
      </c>
      <c r="K171" s="188" t="s">
        <v>56</v>
      </c>
      <c r="L171" s="134"/>
      <c r="M171" s="297"/>
    </row>
    <row r="172" spans="2:13" ht="15.75" customHeight="1" thickBot="1" x14ac:dyDescent="0.25">
      <c r="B172" s="47">
        <f t="shared" si="24"/>
        <v>13</v>
      </c>
      <c r="C172" s="47">
        <f t="shared" si="25"/>
        <v>13</v>
      </c>
      <c r="D172" s="47">
        <f t="shared" si="25"/>
        <v>0</v>
      </c>
      <c r="E172" s="47">
        <f t="shared" si="26"/>
        <v>0</v>
      </c>
      <c r="F172" s="47">
        <v>0</v>
      </c>
      <c r="G172" s="47">
        <v>0</v>
      </c>
      <c r="H172" s="47">
        <f t="shared" si="27"/>
        <v>13</v>
      </c>
      <c r="I172" s="47">
        <v>13</v>
      </c>
      <c r="J172" s="47">
        <v>0</v>
      </c>
      <c r="K172" s="188" t="s">
        <v>57</v>
      </c>
      <c r="L172" s="134" t="s">
        <v>731</v>
      </c>
      <c r="M172" s="297"/>
    </row>
    <row r="173" spans="2:13" ht="15.75" customHeight="1" thickBot="1" x14ac:dyDescent="0.25">
      <c r="B173" s="47">
        <f t="shared" si="24"/>
        <v>0</v>
      </c>
      <c r="C173" s="47">
        <f t="shared" si="25"/>
        <v>0</v>
      </c>
      <c r="D173" s="47">
        <f t="shared" si="25"/>
        <v>0</v>
      </c>
      <c r="E173" s="47">
        <f t="shared" si="26"/>
        <v>0</v>
      </c>
      <c r="F173" s="47">
        <v>0</v>
      </c>
      <c r="G173" s="47">
        <v>0</v>
      </c>
      <c r="H173" s="47">
        <f t="shared" si="27"/>
        <v>0</v>
      </c>
      <c r="I173" s="47">
        <v>0</v>
      </c>
      <c r="J173" s="47">
        <v>0</v>
      </c>
      <c r="K173" s="188" t="s">
        <v>59</v>
      </c>
      <c r="L173" s="135"/>
      <c r="M173" s="297"/>
    </row>
    <row r="174" spans="2:13" ht="15.75" customHeight="1" thickBot="1" x14ac:dyDescent="0.25">
      <c r="B174" s="47">
        <f t="shared" si="24"/>
        <v>0</v>
      </c>
      <c r="C174" s="47">
        <f t="shared" si="25"/>
        <v>0</v>
      </c>
      <c r="D174" s="47">
        <f t="shared" si="25"/>
        <v>0</v>
      </c>
      <c r="E174" s="47">
        <f t="shared" si="26"/>
        <v>0</v>
      </c>
      <c r="F174" s="47">
        <v>0</v>
      </c>
      <c r="G174" s="47">
        <v>0</v>
      </c>
      <c r="H174" s="47">
        <f t="shared" si="27"/>
        <v>0</v>
      </c>
      <c r="I174" s="47">
        <v>0</v>
      </c>
      <c r="J174" s="47">
        <v>0</v>
      </c>
      <c r="K174" s="188" t="s">
        <v>56</v>
      </c>
      <c r="L174" s="134"/>
      <c r="M174" s="297"/>
    </row>
    <row r="175" spans="2:13" ht="15.75" customHeight="1" thickBot="1" x14ac:dyDescent="0.25">
      <c r="B175" s="47">
        <f t="shared" si="24"/>
        <v>0</v>
      </c>
      <c r="C175" s="47">
        <f t="shared" si="25"/>
        <v>0</v>
      </c>
      <c r="D175" s="47">
        <f t="shared" si="25"/>
        <v>0</v>
      </c>
      <c r="E175" s="47">
        <f t="shared" si="26"/>
        <v>0</v>
      </c>
      <c r="F175" s="47">
        <v>0</v>
      </c>
      <c r="G175" s="47">
        <v>0</v>
      </c>
      <c r="H175" s="47">
        <f t="shared" si="27"/>
        <v>0</v>
      </c>
      <c r="I175" s="47">
        <v>0</v>
      </c>
      <c r="J175" s="47">
        <v>0</v>
      </c>
      <c r="K175" s="188" t="s">
        <v>57</v>
      </c>
      <c r="L175" s="134" t="s">
        <v>594</v>
      </c>
      <c r="M175" s="297"/>
    </row>
    <row r="176" spans="2:13" ht="15.75" customHeight="1" thickBot="1" x14ac:dyDescent="0.25">
      <c r="B176" s="47">
        <f t="shared" si="24"/>
        <v>172</v>
      </c>
      <c r="C176" s="47">
        <f t="shared" si="25"/>
        <v>63</v>
      </c>
      <c r="D176" s="47">
        <f t="shared" si="25"/>
        <v>109</v>
      </c>
      <c r="E176" s="47">
        <f t="shared" si="26"/>
        <v>0</v>
      </c>
      <c r="F176" s="47">
        <v>0</v>
      </c>
      <c r="G176" s="47">
        <v>0</v>
      </c>
      <c r="H176" s="47">
        <f t="shared" si="27"/>
        <v>172</v>
      </c>
      <c r="I176" s="47">
        <v>63</v>
      </c>
      <c r="J176" s="47">
        <v>109</v>
      </c>
      <c r="K176" s="188" t="s">
        <v>59</v>
      </c>
      <c r="L176" s="135"/>
      <c r="M176" s="297"/>
    </row>
    <row r="177" spans="2:13" ht="15.75" customHeight="1" thickBot="1" x14ac:dyDescent="0.25">
      <c r="B177" s="47">
        <f t="shared" ref="B177:J179" si="28">B144+B147+B150+B153+B156+B162+B165+B168+B171+B174</f>
        <v>20</v>
      </c>
      <c r="C177" s="47">
        <f t="shared" si="28"/>
        <v>14</v>
      </c>
      <c r="D177" s="47">
        <f t="shared" si="28"/>
        <v>6</v>
      </c>
      <c r="E177" s="47">
        <f t="shared" si="28"/>
        <v>0</v>
      </c>
      <c r="F177" s="47">
        <f t="shared" si="28"/>
        <v>0</v>
      </c>
      <c r="G177" s="47">
        <f t="shared" si="28"/>
        <v>0</v>
      </c>
      <c r="H177" s="47">
        <f t="shared" si="28"/>
        <v>20</v>
      </c>
      <c r="I177" s="47">
        <f t="shared" si="28"/>
        <v>14</v>
      </c>
      <c r="J177" s="47">
        <f>J144+J147+J150+J153+J156+J162+J165+J168+J171+J174+J159</f>
        <v>6</v>
      </c>
      <c r="K177" s="188" t="s">
        <v>243</v>
      </c>
      <c r="L177" s="131"/>
      <c r="M177" s="298"/>
    </row>
    <row r="178" spans="2:13" ht="15.75" customHeight="1" thickBot="1" x14ac:dyDescent="0.25">
      <c r="B178" s="47">
        <f t="shared" si="28"/>
        <v>292</v>
      </c>
      <c r="C178" s="47">
        <f t="shared" si="28"/>
        <v>110</v>
      </c>
      <c r="D178" s="47">
        <f t="shared" si="28"/>
        <v>182</v>
      </c>
      <c r="E178" s="47">
        <f t="shared" si="28"/>
        <v>13</v>
      </c>
      <c r="F178" s="47">
        <f t="shared" si="28"/>
        <v>8</v>
      </c>
      <c r="G178" s="47">
        <f t="shared" si="28"/>
        <v>5</v>
      </c>
      <c r="H178" s="47">
        <f t="shared" si="28"/>
        <v>279</v>
      </c>
      <c r="I178" s="47">
        <f t="shared" si="28"/>
        <v>102</v>
      </c>
      <c r="J178" s="47">
        <f t="shared" si="28"/>
        <v>177</v>
      </c>
      <c r="K178" s="188" t="s">
        <v>57</v>
      </c>
      <c r="L178" s="132" t="s">
        <v>244</v>
      </c>
      <c r="M178" s="298"/>
    </row>
    <row r="179" spans="2:13" ht="15.75" customHeight="1" thickBot="1" x14ac:dyDescent="0.25">
      <c r="B179" s="47">
        <f t="shared" si="28"/>
        <v>172</v>
      </c>
      <c r="C179" s="47">
        <f t="shared" si="28"/>
        <v>63</v>
      </c>
      <c r="D179" s="47">
        <f t="shared" si="28"/>
        <v>109</v>
      </c>
      <c r="E179" s="47">
        <f t="shared" si="28"/>
        <v>0</v>
      </c>
      <c r="F179" s="47">
        <f t="shared" si="28"/>
        <v>0</v>
      </c>
      <c r="G179" s="47">
        <f t="shared" si="28"/>
        <v>0</v>
      </c>
      <c r="H179" s="47">
        <f t="shared" si="28"/>
        <v>172</v>
      </c>
      <c r="I179" s="47">
        <f t="shared" si="28"/>
        <v>63</v>
      </c>
      <c r="J179" s="47">
        <f t="shared" si="28"/>
        <v>109</v>
      </c>
      <c r="K179" s="188" t="s">
        <v>59</v>
      </c>
      <c r="L179" s="133"/>
      <c r="M179" s="298"/>
    </row>
    <row r="180" spans="2:13" ht="15.75" customHeight="1" thickBot="1" x14ac:dyDescent="0.25">
      <c r="B180" s="47">
        <f t="shared" ref="B180:I180" si="29">SUM(B177:B179)</f>
        <v>484</v>
      </c>
      <c r="C180" s="47">
        <f t="shared" si="29"/>
        <v>187</v>
      </c>
      <c r="D180" s="47">
        <f t="shared" si="29"/>
        <v>297</v>
      </c>
      <c r="E180" s="47">
        <f t="shared" si="29"/>
        <v>13</v>
      </c>
      <c r="F180" s="47">
        <f t="shared" si="29"/>
        <v>8</v>
      </c>
      <c r="G180" s="47">
        <f t="shared" si="29"/>
        <v>5</v>
      </c>
      <c r="H180" s="47">
        <f t="shared" si="29"/>
        <v>471</v>
      </c>
      <c r="I180" s="47">
        <f t="shared" si="29"/>
        <v>179</v>
      </c>
      <c r="J180" s="47">
        <f>SUM(J177:J179)</f>
        <v>292</v>
      </c>
      <c r="K180" s="500" t="s">
        <v>245</v>
      </c>
      <c r="L180" s="500"/>
      <c r="M180" s="299"/>
    </row>
    <row r="181" spans="2:13" ht="15.75" customHeight="1" thickBot="1" x14ac:dyDescent="0.25">
      <c r="B181" s="476" t="s">
        <v>4</v>
      </c>
      <c r="C181" s="476"/>
      <c r="D181" s="476"/>
      <c r="E181" s="476" t="s">
        <v>145</v>
      </c>
      <c r="F181" s="476"/>
      <c r="G181" s="476"/>
      <c r="H181" s="476" t="s">
        <v>146</v>
      </c>
      <c r="I181" s="476"/>
      <c r="J181" s="476"/>
      <c r="K181" s="479" t="s">
        <v>66</v>
      </c>
      <c r="L181" s="479"/>
      <c r="M181" s="296"/>
    </row>
    <row r="182" spans="2:13" ht="15.75" customHeight="1" thickBot="1" x14ac:dyDescent="0.25">
      <c r="B182" s="185" t="s">
        <v>227</v>
      </c>
      <c r="C182" s="185" t="s">
        <v>10</v>
      </c>
      <c r="D182" s="185" t="s">
        <v>9</v>
      </c>
      <c r="E182" s="185" t="s">
        <v>227</v>
      </c>
      <c r="F182" s="185" t="s">
        <v>10</v>
      </c>
      <c r="G182" s="185" t="s">
        <v>9</v>
      </c>
      <c r="H182" s="185" t="s">
        <v>227</v>
      </c>
      <c r="I182" s="185" t="s">
        <v>10</v>
      </c>
      <c r="J182" s="185" t="s">
        <v>9</v>
      </c>
      <c r="K182" s="480" t="s">
        <v>90</v>
      </c>
      <c r="L182" s="480"/>
      <c r="M182" s="296"/>
    </row>
    <row r="183" spans="2:13" ht="15.75" customHeight="1" thickBot="1" x14ac:dyDescent="0.25">
      <c r="B183" s="47">
        <f>SUM(C183:D183)</f>
        <v>3</v>
      </c>
      <c r="C183" s="47">
        <f>I183+F183</f>
        <v>0</v>
      </c>
      <c r="D183" s="47">
        <f>J183+G183</f>
        <v>3</v>
      </c>
      <c r="E183" s="47">
        <f>SUM(F183:G183)</f>
        <v>3</v>
      </c>
      <c r="F183" s="47">
        <v>0</v>
      </c>
      <c r="G183" s="47">
        <v>3</v>
      </c>
      <c r="H183" s="47">
        <f>SUM(I183:J183)</f>
        <v>0</v>
      </c>
      <c r="I183" s="47">
        <v>0</v>
      </c>
      <c r="J183" s="47">
        <v>0</v>
      </c>
      <c r="K183" s="188" t="s">
        <v>56</v>
      </c>
      <c r="L183" s="134"/>
      <c r="M183" s="297"/>
    </row>
    <row r="184" spans="2:13" ht="15.75" customHeight="1" thickBot="1" x14ac:dyDescent="0.25">
      <c r="B184" s="47">
        <f t="shared" ref="B184:B197" si="30">SUM(C184:D184)</f>
        <v>40</v>
      </c>
      <c r="C184" s="47">
        <f t="shared" ref="C184:D197" si="31">I184+F184</f>
        <v>0</v>
      </c>
      <c r="D184" s="47">
        <f t="shared" si="31"/>
        <v>40</v>
      </c>
      <c r="E184" s="47">
        <f t="shared" ref="E184:E197" si="32">SUM(F184:G184)</f>
        <v>24</v>
      </c>
      <c r="F184" s="47">
        <v>0</v>
      </c>
      <c r="G184" s="47">
        <f>14+10</f>
        <v>24</v>
      </c>
      <c r="H184" s="47">
        <f t="shared" ref="H184:H197" si="33">SUM(I184:J184)</f>
        <v>16</v>
      </c>
      <c r="I184" s="47">
        <v>0</v>
      </c>
      <c r="J184" s="47">
        <f>11+5</f>
        <v>16</v>
      </c>
      <c r="K184" s="188" t="s">
        <v>57</v>
      </c>
      <c r="L184" s="134" t="s">
        <v>420</v>
      </c>
      <c r="M184" s="297"/>
    </row>
    <row r="185" spans="2:13" ht="15.75" customHeight="1" thickBot="1" x14ac:dyDescent="0.25">
      <c r="B185" s="47">
        <f t="shared" si="30"/>
        <v>0</v>
      </c>
      <c r="C185" s="47">
        <f t="shared" si="31"/>
        <v>0</v>
      </c>
      <c r="D185" s="47">
        <f t="shared" si="31"/>
        <v>0</v>
      </c>
      <c r="E185" s="47">
        <f t="shared" si="32"/>
        <v>0</v>
      </c>
      <c r="F185" s="47">
        <v>0</v>
      </c>
      <c r="G185" s="47">
        <v>0</v>
      </c>
      <c r="H185" s="47">
        <f t="shared" si="33"/>
        <v>0</v>
      </c>
      <c r="I185" s="47">
        <v>0</v>
      </c>
      <c r="J185" s="47">
        <v>0</v>
      </c>
      <c r="K185" s="188" t="s">
        <v>59</v>
      </c>
      <c r="L185" s="135"/>
      <c r="M185" s="297"/>
    </row>
    <row r="186" spans="2:13" ht="15.75" customHeight="1" thickBot="1" x14ac:dyDescent="0.25">
      <c r="B186" s="47">
        <f t="shared" si="30"/>
        <v>0</v>
      </c>
      <c r="C186" s="47">
        <f t="shared" si="31"/>
        <v>0</v>
      </c>
      <c r="D186" s="47">
        <f t="shared" si="31"/>
        <v>0</v>
      </c>
      <c r="E186" s="47">
        <f t="shared" si="32"/>
        <v>0</v>
      </c>
      <c r="F186" s="47">
        <v>0</v>
      </c>
      <c r="G186" s="47">
        <v>0</v>
      </c>
      <c r="H186" s="47">
        <f t="shared" si="33"/>
        <v>0</v>
      </c>
      <c r="I186" s="47">
        <v>0</v>
      </c>
      <c r="J186" s="47">
        <v>0</v>
      </c>
      <c r="K186" s="188" t="s">
        <v>56</v>
      </c>
      <c r="L186" s="134"/>
      <c r="M186" s="297"/>
    </row>
    <row r="187" spans="2:13" ht="15.75" customHeight="1" thickBot="1" x14ac:dyDescent="0.25">
      <c r="B187" s="47">
        <f t="shared" si="30"/>
        <v>29</v>
      </c>
      <c r="C187" s="47">
        <f t="shared" si="31"/>
        <v>0</v>
      </c>
      <c r="D187" s="47">
        <f t="shared" si="31"/>
        <v>29</v>
      </c>
      <c r="E187" s="47">
        <f t="shared" si="32"/>
        <v>2</v>
      </c>
      <c r="F187" s="47">
        <v>0</v>
      </c>
      <c r="G187" s="47">
        <v>2</v>
      </c>
      <c r="H187" s="47">
        <f t="shared" si="33"/>
        <v>27</v>
      </c>
      <c r="I187" s="47">
        <v>0</v>
      </c>
      <c r="J187" s="47">
        <f>17+10</f>
        <v>27</v>
      </c>
      <c r="K187" s="188" t="s">
        <v>57</v>
      </c>
      <c r="L187" s="134" t="s">
        <v>422</v>
      </c>
      <c r="M187" s="297"/>
    </row>
    <row r="188" spans="2:13" ht="15.75" customHeight="1" thickBot="1" x14ac:dyDescent="0.25">
      <c r="B188" s="47">
        <f t="shared" si="30"/>
        <v>0</v>
      </c>
      <c r="C188" s="47">
        <f t="shared" si="31"/>
        <v>0</v>
      </c>
      <c r="D188" s="47">
        <f t="shared" si="31"/>
        <v>0</v>
      </c>
      <c r="E188" s="47">
        <f t="shared" si="32"/>
        <v>0</v>
      </c>
      <c r="F188" s="47">
        <v>0</v>
      </c>
      <c r="G188" s="47">
        <v>0</v>
      </c>
      <c r="H188" s="47">
        <f t="shared" si="33"/>
        <v>0</v>
      </c>
      <c r="I188" s="47">
        <v>0</v>
      </c>
      <c r="J188" s="47">
        <v>0</v>
      </c>
      <c r="K188" s="188" t="s">
        <v>59</v>
      </c>
      <c r="L188" s="135"/>
      <c r="M188" s="297"/>
    </row>
    <row r="189" spans="2:13" ht="15.75" customHeight="1" thickBot="1" x14ac:dyDescent="0.25">
      <c r="B189" s="47">
        <f t="shared" si="30"/>
        <v>1</v>
      </c>
      <c r="C189" s="47">
        <f t="shared" si="31"/>
        <v>0</v>
      </c>
      <c r="D189" s="47">
        <f t="shared" si="31"/>
        <v>1</v>
      </c>
      <c r="E189" s="47">
        <f t="shared" si="32"/>
        <v>1</v>
      </c>
      <c r="F189" s="47">
        <v>0</v>
      </c>
      <c r="G189" s="47">
        <v>1</v>
      </c>
      <c r="H189" s="47">
        <f t="shared" si="33"/>
        <v>0</v>
      </c>
      <c r="I189" s="47">
        <v>0</v>
      </c>
      <c r="J189" s="47">
        <v>0</v>
      </c>
      <c r="K189" s="188" t="s">
        <v>56</v>
      </c>
      <c r="L189" s="134"/>
      <c r="M189" s="297"/>
    </row>
    <row r="190" spans="2:13" ht="15.75" customHeight="1" thickBot="1" x14ac:dyDescent="0.25">
      <c r="B190" s="47">
        <f t="shared" si="30"/>
        <v>19</v>
      </c>
      <c r="C190" s="47">
        <f t="shared" si="31"/>
        <v>0</v>
      </c>
      <c r="D190" s="47">
        <f t="shared" si="31"/>
        <v>19</v>
      </c>
      <c r="E190" s="47">
        <f t="shared" si="32"/>
        <v>18</v>
      </c>
      <c r="F190" s="47">
        <v>0</v>
      </c>
      <c r="G190" s="47">
        <f>13+5</f>
        <v>18</v>
      </c>
      <c r="H190" s="47">
        <f t="shared" si="33"/>
        <v>1</v>
      </c>
      <c r="I190" s="47">
        <v>0</v>
      </c>
      <c r="J190" s="47">
        <v>1</v>
      </c>
      <c r="K190" s="188" t="s">
        <v>57</v>
      </c>
      <c r="L190" s="134" t="s">
        <v>423</v>
      </c>
      <c r="M190" s="297"/>
    </row>
    <row r="191" spans="2:13" ht="15.75" customHeight="1" thickBot="1" x14ac:dyDescent="0.25">
      <c r="B191" s="47">
        <f t="shared" si="30"/>
        <v>0</v>
      </c>
      <c r="C191" s="47">
        <f t="shared" si="31"/>
        <v>0</v>
      </c>
      <c r="D191" s="47">
        <f t="shared" si="31"/>
        <v>0</v>
      </c>
      <c r="E191" s="47">
        <f t="shared" si="32"/>
        <v>0</v>
      </c>
      <c r="F191" s="47">
        <v>0</v>
      </c>
      <c r="G191" s="47">
        <v>0</v>
      </c>
      <c r="H191" s="47">
        <f t="shared" si="33"/>
        <v>0</v>
      </c>
      <c r="I191" s="47">
        <v>0</v>
      </c>
      <c r="J191" s="47">
        <v>0</v>
      </c>
      <c r="K191" s="188" t="s">
        <v>59</v>
      </c>
      <c r="L191" s="135"/>
      <c r="M191" s="297"/>
    </row>
    <row r="192" spans="2:13" ht="15.75" customHeight="1" thickBot="1" x14ac:dyDescent="0.25">
      <c r="B192" s="47">
        <f t="shared" si="30"/>
        <v>1</v>
      </c>
      <c r="C192" s="47">
        <f t="shared" si="31"/>
        <v>0</v>
      </c>
      <c r="D192" s="47">
        <f t="shared" si="31"/>
        <v>1</v>
      </c>
      <c r="E192" s="47">
        <f t="shared" si="32"/>
        <v>1</v>
      </c>
      <c r="F192" s="47">
        <v>0</v>
      </c>
      <c r="G192" s="47">
        <v>1</v>
      </c>
      <c r="H192" s="47">
        <f t="shared" si="33"/>
        <v>0</v>
      </c>
      <c r="I192" s="47">
        <v>0</v>
      </c>
      <c r="J192" s="47">
        <v>0</v>
      </c>
      <c r="K192" s="188" t="s">
        <v>56</v>
      </c>
      <c r="L192" s="134"/>
      <c r="M192" s="297"/>
    </row>
    <row r="193" spans="2:13" ht="15.75" customHeight="1" thickBot="1" x14ac:dyDescent="0.25">
      <c r="B193" s="47">
        <f t="shared" si="30"/>
        <v>15</v>
      </c>
      <c r="C193" s="47">
        <f t="shared" si="31"/>
        <v>0</v>
      </c>
      <c r="D193" s="47">
        <f t="shared" si="31"/>
        <v>15</v>
      </c>
      <c r="E193" s="47">
        <f t="shared" si="32"/>
        <v>9</v>
      </c>
      <c r="F193" s="47">
        <v>0</v>
      </c>
      <c r="G193" s="47">
        <v>9</v>
      </c>
      <c r="H193" s="47">
        <f t="shared" si="33"/>
        <v>6</v>
      </c>
      <c r="I193" s="47">
        <v>0</v>
      </c>
      <c r="J193" s="47">
        <v>6</v>
      </c>
      <c r="K193" s="188" t="s">
        <v>57</v>
      </c>
      <c r="L193" s="134" t="s">
        <v>367</v>
      </c>
      <c r="M193" s="297"/>
    </row>
    <row r="194" spans="2:13" ht="15.75" customHeight="1" thickBot="1" x14ac:dyDescent="0.25">
      <c r="B194" s="47">
        <f t="shared" si="30"/>
        <v>0</v>
      </c>
      <c r="C194" s="47">
        <f t="shared" si="31"/>
        <v>0</v>
      </c>
      <c r="D194" s="47">
        <f t="shared" si="31"/>
        <v>0</v>
      </c>
      <c r="E194" s="47">
        <f t="shared" si="32"/>
        <v>0</v>
      </c>
      <c r="F194" s="47">
        <v>0</v>
      </c>
      <c r="G194" s="47">
        <v>0</v>
      </c>
      <c r="H194" s="47">
        <f t="shared" si="33"/>
        <v>0</v>
      </c>
      <c r="I194" s="47">
        <v>0</v>
      </c>
      <c r="J194" s="47">
        <v>0</v>
      </c>
      <c r="K194" s="188" t="s">
        <v>59</v>
      </c>
      <c r="L194" s="135"/>
      <c r="M194" s="297"/>
    </row>
    <row r="195" spans="2:13" ht="15.75" customHeight="1" thickBot="1" x14ac:dyDescent="0.25">
      <c r="B195" s="47">
        <f t="shared" si="30"/>
        <v>0</v>
      </c>
      <c r="C195" s="47">
        <f t="shared" si="31"/>
        <v>0</v>
      </c>
      <c r="D195" s="47">
        <f t="shared" si="31"/>
        <v>0</v>
      </c>
      <c r="E195" s="47">
        <f t="shared" si="32"/>
        <v>0</v>
      </c>
      <c r="F195" s="47">
        <v>0</v>
      </c>
      <c r="G195" s="47">
        <v>0</v>
      </c>
      <c r="H195" s="47">
        <f t="shared" si="33"/>
        <v>0</v>
      </c>
      <c r="I195" s="47">
        <v>0</v>
      </c>
      <c r="J195" s="47">
        <v>0</v>
      </c>
      <c r="K195" s="188" t="s">
        <v>56</v>
      </c>
      <c r="L195" s="134"/>
      <c r="M195" s="297"/>
    </row>
    <row r="196" spans="2:13" ht="15.75" customHeight="1" thickBot="1" x14ac:dyDescent="0.25">
      <c r="B196" s="47">
        <f t="shared" si="30"/>
        <v>12</v>
      </c>
      <c r="C196" s="47">
        <f t="shared" si="31"/>
        <v>0</v>
      </c>
      <c r="D196" s="47">
        <f t="shared" si="31"/>
        <v>12</v>
      </c>
      <c r="E196" s="47">
        <f t="shared" si="32"/>
        <v>3</v>
      </c>
      <c r="F196" s="47">
        <v>0</v>
      </c>
      <c r="G196" s="47">
        <v>3</v>
      </c>
      <c r="H196" s="47">
        <f t="shared" si="33"/>
        <v>9</v>
      </c>
      <c r="I196" s="47">
        <v>0</v>
      </c>
      <c r="J196" s="47">
        <v>9</v>
      </c>
      <c r="K196" s="188" t="s">
        <v>57</v>
      </c>
      <c r="L196" s="134" t="s">
        <v>405</v>
      </c>
      <c r="M196" s="297"/>
    </row>
    <row r="197" spans="2:13" ht="15.75" customHeight="1" thickBot="1" x14ac:dyDescent="0.25">
      <c r="B197" s="47">
        <f t="shared" si="30"/>
        <v>0</v>
      </c>
      <c r="C197" s="47">
        <f t="shared" si="31"/>
        <v>0</v>
      </c>
      <c r="D197" s="47">
        <f t="shared" si="31"/>
        <v>0</v>
      </c>
      <c r="E197" s="47">
        <f t="shared" si="32"/>
        <v>0</v>
      </c>
      <c r="F197" s="47">
        <v>0</v>
      </c>
      <c r="G197" s="47">
        <v>0</v>
      </c>
      <c r="H197" s="47">
        <f t="shared" si="33"/>
        <v>0</v>
      </c>
      <c r="I197" s="47">
        <v>0</v>
      </c>
      <c r="J197" s="47">
        <v>0</v>
      </c>
      <c r="K197" s="188" t="s">
        <v>59</v>
      </c>
      <c r="L197" s="135"/>
      <c r="M197" s="297"/>
    </row>
    <row r="198" spans="2:13" ht="15.75" customHeight="1" thickBot="1" x14ac:dyDescent="0.25">
      <c r="B198" s="47">
        <f t="shared" ref="B198:J200" si="34">B183+B186+B189+B192+B195</f>
        <v>5</v>
      </c>
      <c r="C198" s="47">
        <f t="shared" si="34"/>
        <v>0</v>
      </c>
      <c r="D198" s="47">
        <f t="shared" si="34"/>
        <v>5</v>
      </c>
      <c r="E198" s="47">
        <f t="shared" si="34"/>
        <v>5</v>
      </c>
      <c r="F198" s="47">
        <f t="shared" si="34"/>
        <v>0</v>
      </c>
      <c r="G198" s="47">
        <f t="shared" si="34"/>
        <v>5</v>
      </c>
      <c r="H198" s="47">
        <f t="shared" si="34"/>
        <v>0</v>
      </c>
      <c r="I198" s="47">
        <f t="shared" si="34"/>
        <v>0</v>
      </c>
      <c r="J198" s="47">
        <f>J183+J186+J189+J192+J195</f>
        <v>0</v>
      </c>
      <c r="K198" s="188" t="s">
        <v>243</v>
      </c>
      <c r="L198" s="131"/>
      <c r="M198" s="298"/>
    </row>
    <row r="199" spans="2:13" ht="15.75" customHeight="1" thickBot="1" x14ac:dyDescent="0.25">
      <c r="B199" s="47">
        <f t="shared" si="34"/>
        <v>115</v>
      </c>
      <c r="C199" s="47">
        <f t="shared" si="34"/>
        <v>0</v>
      </c>
      <c r="D199" s="47">
        <f t="shared" si="34"/>
        <v>115</v>
      </c>
      <c r="E199" s="47">
        <f t="shared" si="34"/>
        <v>56</v>
      </c>
      <c r="F199" s="47">
        <f t="shared" si="34"/>
        <v>0</v>
      </c>
      <c r="G199" s="47">
        <f t="shared" si="34"/>
        <v>56</v>
      </c>
      <c r="H199" s="47">
        <f t="shared" si="34"/>
        <v>59</v>
      </c>
      <c r="I199" s="47">
        <f t="shared" si="34"/>
        <v>0</v>
      </c>
      <c r="J199" s="47">
        <f t="shared" si="34"/>
        <v>59</v>
      </c>
      <c r="K199" s="188" t="s">
        <v>57</v>
      </c>
      <c r="L199" s="132" t="s">
        <v>244</v>
      </c>
      <c r="M199" s="298"/>
    </row>
    <row r="200" spans="2:13" ht="15.75" customHeight="1" thickBot="1" x14ac:dyDescent="0.25">
      <c r="B200" s="47">
        <f t="shared" si="34"/>
        <v>0</v>
      </c>
      <c r="C200" s="47">
        <f t="shared" si="34"/>
        <v>0</v>
      </c>
      <c r="D200" s="47">
        <f t="shared" si="34"/>
        <v>0</v>
      </c>
      <c r="E200" s="47">
        <f t="shared" si="34"/>
        <v>0</v>
      </c>
      <c r="F200" s="47">
        <f t="shared" si="34"/>
        <v>0</v>
      </c>
      <c r="G200" s="47">
        <f t="shared" si="34"/>
        <v>0</v>
      </c>
      <c r="H200" s="47">
        <f t="shared" si="34"/>
        <v>0</v>
      </c>
      <c r="I200" s="47">
        <f t="shared" si="34"/>
        <v>0</v>
      </c>
      <c r="J200" s="47">
        <f t="shared" si="34"/>
        <v>0</v>
      </c>
      <c r="K200" s="188" t="s">
        <v>59</v>
      </c>
      <c r="L200" s="133"/>
      <c r="M200" s="298"/>
    </row>
    <row r="201" spans="2:13" ht="15.75" customHeight="1" thickBot="1" x14ac:dyDescent="0.25">
      <c r="B201" s="47">
        <f t="shared" ref="B201:I201" si="35">SUM(B198:B200)</f>
        <v>120</v>
      </c>
      <c r="C201" s="47">
        <f t="shared" si="35"/>
        <v>0</v>
      </c>
      <c r="D201" s="47">
        <f t="shared" si="35"/>
        <v>120</v>
      </c>
      <c r="E201" s="47">
        <f t="shared" si="35"/>
        <v>61</v>
      </c>
      <c r="F201" s="47">
        <f t="shared" si="35"/>
        <v>0</v>
      </c>
      <c r="G201" s="47">
        <f t="shared" si="35"/>
        <v>61</v>
      </c>
      <c r="H201" s="47">
        <f t="shared" si="35"/>
        <v>59</v>
      </c>
      <c r="I201" s="47">
        <f t="shared" si="35"/>
        <v>0</v>
      </c>
      <c r="J201" s="47">
        <f>SUM(J198:J200)</f>
        <v>59</v>
      </c>
      <c r="K201" s="500" t="s">
        <v>245</v>
      </c>
      <c r="L201" s="500"/>
      <c r="M201" s="299"/>
    </row>
    <row r="202" spans="2:13" ht="15.75" customHeight="1" thickBot="1" x14ac:dyDescent="0.25">
      <c r="B202" s="476" t="s">
        <v>4</v>
      </c>
      <c r="C202" s="476"/>
      <c r="D202" s="476"/>
      <c r="E202" s="476" t="s">
        <v>145</v>
      </c>
      <c r="F202" s="476"/>
      <c r="G202" s="476"/>
      <c r="H202" s="476" t="s">
        <v>146</v>
      </c>
      <c r="I202" s="476"/>
      <c r="J202" s="476"/>
      <c r="K202" s="479" t="s">
        <v>66</v>
      </c>
      <c r="L202" s="479"/>
      <c r="M202" s="296"/>
    </row>
    <row r="203" spans="2:13" ht="15.75" customHeight="1" thickBot="1" x14ac:dyDescent="0.25">
      <c r="B203" s="185" t="s">
        <v>227</v>
      </c>
      <c r="C203" s="185" t="s">
        <v>10</v>
      </c>
      <c r="D203" s="185" t="s">
        <v>9</v>
      </c>
      <c r="E203" s="185" t="s">
        <v>227</v>
      </c>
      <c r="F203" s="185" t="s">
        <v>10</v>
      </c>
      <c r="G203" s="185" t="s">
        <v>9</v>
      </c>
      <c r="H203" s="185" t="s">
        <v>227</v>
      </c>
      <c r="I203" s="185" t="s">
        <v>10</v>
      </c>
      <c r="J203" s="185" t="s">
        <v>9</v>
      </c>
      <c r="K203" s="480" t="s">
        <v>74</v>
      </c>
      <c r="L203" s="480"/>
      <c r="M203" s="296"/>
    </row>
    <row r="204" spans="2:13" ht="15.75" customHeight="1" thickBot="1" x14ac:dyDescent="0.25">
      <c r="B204" s="47">
        <f>SUM(C204:D204)</f>
        <v>0</v>
      </c>
      <c r="C204" s="47">
        <f>I204+F204</f>
        <v>0</v>
      </c>
      <c r="D204" s="47">
        <f>J204+G204</f>
        <v>0</v>
      </c>
      <c r="E204" s="47">
        <f>SUM(F204:G204)</f>
        <v>0</v>
      </c>
      <c r="F204" s="47">
        <v>0</v>
      </c>
      <c r="G204" s="47">
        <v>0</v>
      </c>
      <c r="H204" s="47">
        <f>SUM(I204:J204)</f>
        <v>0</v>
      </c>
      <c r="I204" s="47">
        <v>0</v>
      </c>
      <c r="J204" s="47">
        <v>0</v>
      </c>
      <c r="K204" s="188" t="s">
        <v>56</v>
      </c>
      <c r="L204" s="134"/>
      <c r="M204" s="297"/>
    </row>
    <row r="205" spans="2:13" ht="15.75" customHeight="1" thickBot="1" x14ac:dyDescent="0.25">
      <c r="B205" s="47">
        <f t="shared" ref="B205:B224" si="36">SUM(C205:D205)</f>
        <v>2</v>
      </c>
      <c r="C205" s="47">
        <f t="shared" ref="C205:D224" si="37">I205+F205</f>
        <v>2</v>
      </c>
      <c r="D205" s="47">
        <f t="shared" si="37"/>
        <v>0</v>
      </c>
      <c r="E205" s="47">
        <f t="shared" ref="E205:E224" si="38">SUM(F205:G205)</f>
        <v>0</v>
      </c>
      <c r="F205" s="47">
        <v>0</v>
      </c>
      <c r="G205" s="47">
        <v>0</v>
      </c>
      <c r="H205" s="47">
        <f t="shared" ref="H205:H224" si="39">SUM(I205:J205)</f>
        <v>2</v>
      </c>
      <c r="I205" s="47">
        <v>2</v>
      </c>
      <c r="J205" s="47">
        <v>0</v>
      </c>
      <c r="K205" s="188" t="s">
        <v>57</v>
      </c>
      <c r="L205" s="134" t="s">
        <v>427</v>
      </c>
      <c r="M205" s="297"/>
    </row>
    <row r="206" spans="2:13" ht="15.75" customHeight="1" thickBot="1" x14ac:dyDescent="0.25">
      <c r="B206" s="47">
        <f t="shared" si="36"/>
        <v>0</v>
      </c>
      <c r="C206" s="47">
        <f t="shared" si="37"/>
        <v>0</v>
      </c>
      <c r="D206" s="47">
        <f t="shared" si="37"/>
        <v>0</v>
      </c>
      <c r="E206" s="47">
        <f t="shared" si="38"/>
        <v>0</v>
      </c>
      <c r="F206" s="47">
        <v>0</v>
      </c>
      <c r="G206" s="47">
        <v>0</v>
      </c>
      <c r="H206" s="47">
        <f t="shared" si="39"/>
        <v>0</v>
      </c>
      <c r="I206" s="47">
        <v>0</v>
      </c>
      <c r="J206" s="47">
        <v>0</v>
      </c>
      <c r="K206" s="188" t="s">
        <v>59</v>
      </c>
      <c r="L206" s="135"/>
      <c r="M206" s="297"/>
    </row>
    <row r="207" spans="2:13" ht="15.75" customHeight="1" thickBot="1" x14ac:dyDescent="0.25">
      <c r="B207" s="47">
        <f t="shared" si="36"/>
        <v>0</v>
      </c>
      <c r="C207" s="47">
        <f t="shared" si="37"/>
        <v>0</v>
      </c>
      <c r="D207" s="47">
        <f t="shared" si="37"/>
        <v>0</v>
      </c>
      <c r="E207" s="47">
        <f t="shared" si="38"/>
        <v>0</v>
      </c>
      <c r="F207" s="47">
        <v>0</v>
      </c>
      <c r="G207" s="47">
        <v>0</v>
      </c>
      <c r="H207" s="47">
        <f t="shared" si="39"/>
        <v>0</v>
      </c>
      <c r="I207" s="47">
        <v>0</v>
      </c>
      <c r="J207" s="47">
        <v>0</v>
      </c>
      <c r="K207" s="188" t="s">
        <v>56</v>
      </c>
      <c r="L207" s="134"/>
      <c r="M207" s="297"/>
    </row>
    <row r="208" spans="2:13" ht="15.75" customHeight="1" thickBot="1" x14ac:dyDescent="0.25">
      <c r="B208" s="47">
        <f t="shared" si="36"/>
        <v>4</v>
      </c>
      <c r="C208" s="47">
        <f t="shared" si="37"/>
        <v>0</v>
      </c>
      <c r="D208" s="47">
        <f t="shared" si="37"/>
        <v>4</v>
      </c>
      <c r="E208" s="47">
        <f t="shared" si="38"/>
        <v>0</v>
      </c>
      <c r="F208" s="47">
        <v>0</v>
      </c>
      <c r="G208" s="47">
        <v>0</v>
      </c>
      <c r="H208" s="47">
        <f t="shared" si="39"/>
        <v>4</v>
      </c>
      <c r="I208" s="47">
        <v>0</v>
      </c>
      <c r="J208" s="47">
        <v>4</v>
      </c>
      <c r="K208" s="188" t="s">
        <v>57</v>
      </c>
      <c r="L208" s="134" t="s">
        <v>429</v>
      </c>
      <c r="M208" s="297"/>
    </row>
    <row r="209" spans="2:13" ht="15.75" customHeight="1" thickBot="1" x14ac:dyDescent="0.25">
      <c r="B209" s="47">
        <f t="shared" si="36"/>
        <v>0</v>
      </c>
      <c r="C209" s="47">
        <f t="shared" si="37"/>
        <v>0</v>
      </c>
      <c r="D209" s="47">
        <f t="shared" si="37"/>
        <v>0</v>
      </c>
      <c r="E209" s="47">
        <f t="shared" si="38"/>
        <v>0</v>
      </c>
      <c r="F209" s="47">
        <v>0</v>
      </c>
      <c r="G209" s="47">
        <v>0</v>
      </c>
      <c r="H209" s="47">
        <f t="shared" si="39"/>
        <v>0</v>
      </c>
      <c r="I209" s="47">
        <v>0</v>
      </c>
      <c r="J209" s="47">
        <v>0</v>
      </c>
      <c r="K209" s="188" t="s">
        <v>59</v>
      </c>
      <c r="L209" s="135"/>
      <c r="M209" s="297"/>
    </row>
    <row r="210" spans="2:13" ht="15.75" customHeight="1" thickBot="1" x14ac:dyDescent="0.25">
      <c r="B210" s="47">
        <f t="shared" si="36"/>
        <v>0</v>
      </c>
      <c r="C210" s="47">
        <f t="shared" si="37"/>
        <v>0</v>
      </c>
      <c r="D210" s="47">
        <f t="shared" si="37"/>
        <v>0</v>
      </c>
      <c r="E210" s="47">
        <f t="shared" si="38"/>
        <v>0</v>
      </c>
      <c r="F210" s="47">
        <v>0</v>
      </c>
      <c r="G210" s="47">
        <v>0</v>
      </c>
      <c r="H210" s="47">
        <f t="shared" si="39"/>
        <v>0</v>
      </c>
      <c r="I210" s="47">
        <v>0</v>
      </c>
      <c r="J210" s="47">
        <v>0</v>
      </c>
      <c r="K210" s="188" t="s">
        <v>56</v>
      </c>
      <c r="L210" s="134"/>
      <c r="M210" s="297"/>
    </row>
    <row r="211" spans="2:13" ht="15.75" customHeight="1" thickBot="1" x14ac:dyDescent="0.25">
      <c r="B211" s="47">
        <f t="shared" si="36"/>
        <v>10</v>
      </c>
      <c r="C211" s="47">
        <f t="shared" si="37"/>
        <v>0</v>
      </c>
      <c r="D211" s="47">
        <f t="shared" si="37"/>
        <v>10</v>
      </c>
      <c r="E211" s="47">
        <f t="shared" si="38"/>
        <v>0</v>
      </c>
      <c r="F211" s="47">
        <v>0</v>
      </c>
      <c r="G211" s="47">
        <v>0</v>
      </c>
      <c r="H211" s="47">
        <f t="shared" si="39"/>
        <v>10</v>
      </c>
      <c r="I211" s="47">
        <v>0</v>
      </c>
      <c r="J211" s="47">
        <v>10</v>
      </c>
      <c r="K211" s="188" t="s">
        <v>57</v>
      </c>
      <c r="L211" s="134" t="s">
        <v>434</v>
      </c>
      <c r="M211" s="297"/>
    </row>
    <row r="212" spans="2:13" ht="15.75" customHeight="1" thickBot="1" x14ac:dyDescent="0.25">
      <c r="B212" s="47">
        <f t="shared" si="36"/>
        <v>0</v>
      </c>
      <c r="C212" s="47">
        <f t="shared" si="37"/>
        <v>0</v>
      </c>
      <c r="D212" s="47">
        <f t="shared" si="37"/>
        <v>0</v>
      </c>
      <c r="E212" s="47">
        <f t="shared" si="38"/>
        <v>0</v>
      </c>
      <c r="F212" s="47">
        <v>0</v>
      </c>
      <c r="G212" s="47">
        <v>0</v>
      </c>
      <c r="H212" s="47">
        <f t="shared" si="39"/>
        <v>0</v>
      </c>
      <c r="I212" s="47">
        <v>0</v>
      </c>
      <c r="J212" s="47">
        <v>0</v>
      </c>
      <c r="K212" s="188" t="s">
        <v>59</v>
      </c>
      <c r="L212" s="135"/>
      <c r="M212" s="297"/>
    </row>
    <row r="213" spans="2:13" ht="15.75" customHeight="1" thickBot="1" x14ac:dyDescent="0.25">
      <c r="B213" s="47">
        <f t="shared" si="36"/>
        <v>8</v>
      </c>
      <c r="C213" s="47">
        <f t="shared" si="37"/>
        <v>8</v>
      </c>
      <c r="D213" s="47">
        <f t="shared" si="37"/>
        <v>0</v>
      </c>
      <c r="E213" s="47">
        <f t="shared" si="38"/>
        <v>0</v>
      </c>
      <c r="F213" s="47">
        <v>0</v>
      </c>
      <c r="G213" s="47">
        <v>0</v>
      </c>
      <c r="H213" s="47">
        <f t="shared" si="39"/>
        <v>8</v>
      </c>
      <c r="I213" s="47">
        <v>8</v>
      </c>
      <c r="J213" s="47">
        <v>0</v>
      </c>
      <c r="K213" s="188" t="s">
        <v>56</v>
      </c>
      <c r="L213" s="134"/>
      <c r="M213" s="297"/>
    </row>
    <row r="214" spans="2:13" ht="15.75" customHeight="1" thickBot="1" x14ac:dyDescent="0.25">
      <c r="B214" s="47">
        <f t="shared" si="36"/>
        <v>2</v>
      </c>
      <c r="C214" s="47">
        <f t="shared" si="37"/>
        <v>2</v>
      </c>
      <c r="D214" s="47">
        <f t="shared" si="37"/>
        <v>0</v>
      </c>
      <c r="E214" s="47">
        <f t="shared" si="38"/>
        <v>0</v>
      </c>
      <c r="F214" s="47">
        <v>0</v>
      </c>
      <c r="G214" s="47">
        <v>0</v>
      </c>
      <c r="H214" s="47">
        <f t="shared" si="39"/>
        <v>2</v>
      </c>
      <c r="I214" s="47">
        <v>2</v>
      </c>
      <c r="J214" s="47">
        <v>0</v>
      </c>
      <c r="K214" s="188" t="s">
        <v>57</v>
      </c>
      <c r="L214" s="134" t="s">
        <v>435</v>
      </c>
      <c r="M214" s="297"/>
    </row>
    <row r="215" spans="2:13" ht="15.75" customHeight="1" thickBot="1" x14ac:dyDescent="0.25">
      <c r="B215" s="47">
        <f t="shared" si="36"/>
        <v>0</v>
      </c>
      <c r="C215" s="47">
        <f t="shared" si="37"/>
        <v>0</v>
      </c>
      <c r="D215" s="47">
        <f t="shared" si="37"/>
        <v>0</v>
      </c>
      <c r="E215" s="47">
        <f t="shared" si="38"/>
        <v>0</v>
      </c>
      <c r="F215" s="47">
        <v>0</v>
      </c>
      <c r="G215" s="47">
        <v>0</v>
      </c>
      <c r="H215" s="47">
        <f t="shared" si="39"/>
        <v>0</v>
      </c>
      <c r="I215" s="47">
        <v>0</v>
      </c>
      <c r="J215" s="47">
        <v>0</v>
      </c>
      <c r="K215" s="188" t="s">
        <v>59</v>
      </c>
      <c r="L215" s="135"/>
      <c r="M215" s="297"/>
    </row>
    <row r="216" spans="2:13" ht="15.75" customHeight="1" thickBot="1" x14ac:dyDescent="0.25">
      <c r="B216" s="47">
        <f t="shared" si="36"/>
        <v>3</v>
      </c>
      <c r="C216" s="47">
        <f t="shared" si="37"/>
        <v>3</v>
      </c>
      <c r="D216" s="47">
        <f t="shared" si="37"/>
        <v>0</v>
      </c>
      <c r="E216" s="47">
        <f t="shared" si="38"/>
        <v>0</v>
      </c>
      <c r="F216" s="47">
        <v>0</v>
      </c>
      <c r="G216" s="47">
        <v>0</v>
      </c>
      <c r="H216" s="47">
        <f t="shared" si="39"/>
        <v>3</v>
      </c>
      <c r="I216" s="47">
        <v>3</v>
      </c>
      <c r="J216" s="47">
        <v>0</v>
      </c>
      <c r="K216" s="188" t="s">
        <v>56</v>
      </c>
      <c r="L216" s="134"/>
      <c r="M216" s="297"/>
    </row>
    <row r="217" spans="2:13" ht="15.75" customHeight="1" thickBot="1" x14ac:dyDescent="0.25">
      <c r="B217" s="47">
        <f t="shared" si="36"/>
        <v>7</v>
      </c>
      <c r="C217" s="47">
        <f t="shared" si="37"/>
        <v>7</v>
      </c>
      <c r="D217" s="47">
        <f t="shared" si="37"/>
        <v>0</v>
      </c>
      <c r="E217" s="47">
        <f t="shared" si="38"/>
        <v>0</v>
      </c>
      <c r="F217" s="47">
        <v>0</v>
      </c>
      <c r="G217" s="47">
        <v>0</v>
      </c>
      <c r="H217" s="47">
        <f t="shared" si="39"/>
        <v>7</v>
      </c>
      <c r="I217" s="47">
        <v>7</v>
      </c>
      <c r="J217" s="47">
        <v>0</v>
      </c>
      <c r="K217" s="188" t="s">
        <v>57</v>
      </c>
      <c r="L217" s="134" t="s">
        <v>595</v>
      </c>
      <c r="M217" s="297"/>
    </row>
    <row r="218" spans="2:13" ht="15.75" customHeight="1" thickBot="1" x14ac:dyDescent="0.25">
      <c r="B218" s="47">
        <f t="shared" si="36"/>
        <v>0</v>
      </c>
      <c r="C218" s="47">
        <f t="shared" si="37"/>
        <v>0</v>
      </c>
      <c r="D218" s="47">
        <f t="shared" si="37"/>
        <v>0</v>
      </c>
      <c r="E218" s="47">
        <f t="shared" si="38"/>
        <v>0</v>
      </c>
      <c r="F218" s="47">
        <v>0</v>
      </c>
      <c r="G218" s="47">
        <v>0</v>
      </c>
      <c r="H218" s="47">
        <f t="shared" si="39"/>
        <v>0</v>
      </c>
      <c r="I218" s="47">
        <v>0</v>
      </c>
      <c r="J218" s="47">
        <v>0</v>
      </c>
      <c r="K218" s="188" t="s">
        <v>59</v>
      </c>
      <c r="L218" s="135"/>
      <c r="M218" s="297"/>
    </row>
    <row r="219" spans="2:13" ht="15.75" customHeight="1" thickBot="1" x14ac:dyDescent="0.25">
      <c r="B219" s="47">
        <f t="shared" si="36"/>
        <v>4</v>
      </c>
      <c r="C219" s="47">
        <f t="shared" si="37"/>
        <v>4</v>
      </c>
      <c r="D219" s="47">
        <f t="shared" si="37"/>
        <v>0</v>
      </c>
      <c r="E219" s="47">
        <f t="shared" si="38"/>
        <v>0</v>
      </c>
      <c r="F219" s="47">
        <v>0</v>
      </c>
      <c r="G219" s="47">
        <v>0</v>
      </c>
      <c r="H219" s="47">
        <f t="shared" si="39"/>
        <v>4</v>
      </c>
      <c r="I219" s="47">
        <v>4</v>
      </c>
      <c r="J219" s="47">
        <v>0</v>
      </c>
      <c r="K219" s="188" t="s">
        <v>56</v>
      </c>
      <c r="L219" s="134"/>
      <c r="M219" s="297"/>
    </row>
    <row r="220" spans="2:13" ht="15.75" customHeight="1" thickBot="1" x14ac:dyDescent="0.25">
      <c r="B220" s="47">
        <f t="shared" si="36"/>
        <v>20</v>
      </c>
      <c r="C220" s="47">
        <f t="shared" si="37"/>
        <v>20</v>
      </c>
      <c r="D220" s="47">
        <f t="shared" si="37"/>
        <v>0</v>
      </c>
      <c r="E220" s="47">
        <f t="shared" si="38"/>
        <v>0</v>
      </c>
      <c r="F220" s="47">
        <v>0</v>
      </c>
      <c r="G220" s="47">
        <v>0</v>
      </c>
      <c r="H220" s="47">
        <f t="shared" si="39"/>
        <v>20</v>
      </c>
      <c r="I220" s="47">
        <f>19+1</f>
        <v>20</v>
      </c>
      <c r="J220" s="47">
        <v>0</v>
      </c>
      <c r="K220" s="188" t="s">
        <v>57</v>
      </c>
      <c r="L220" s="134" t="s">
        <v>446</v>
      </c>
      <c r="M220" s="297"/>
    </row>
    <row r="221" spans="2:13" ht="15.75" customHeight="1" thickBot="1" x14ac:dyDescent="0.25">
      <c r="B221" s="47">
        <f t="shared" si="36"/>
        <v>0</v>
      </c>
      <c r="C221" s="47">
        <f t="shared" si="37"/>
        <v>0</v>
      </c>
      <c r="D221" s="47">
        <f t="shared" si="37"/>
        <v>0</v>
      </c>
      <c r="E221" s="47">
        <f t="shared" si="38"/>
        <v>0</v>
      </c>
      <c r="F221" s="47">
        <v>0</v>
      </c>
      <c r="G221" s="47">
        <v>0</v>
      </c>
      <c r="H221" s="47">
        <f t="shared" si="39"/>
        <v>0</v>
      </c>
      <c r="I221" s="47">
        <v>0</v>
      </c>
      <c r="J221" s="47">
        <v>0</v>
      </c>
      <c r="K221" s="188" t="s">
        <v>59</v>
      </c>
      <c r="L221" s="135"/>
      <c r="M221" s="297"/>
    </row>
    <row r="222" spans="2:13" ht="14.25" customHeight="1" thickBot="1" x14ac:dyDescent="0.25">
      <c r="B222" s="47">
        <f t="shared" si="36"/>
        <v>0</v>
      </c>
      <c r="C222" s="47">
        <f t="shared" si="37"/>
        <v>0</v>
      </c>
      <c r="D222" s="47">
        <f t="shared" si="37"/>
        <v>0</v>
      </c>
      <c r="E222" s="47">
        <f t="shared" si="38"/>
        <v>0</v>
      </c>
      <c r="F222" s="47">
        <v>0</v>
      </c>
      <c r="G222" s="47">
        <v>0</v>
      </c>
      <c r="H222" s="47">
        <f t="shared" si="39"/>
        <v>0</v>
      </c>
      <c r="I222" s="47">
        <v>0</v>
      </c>
      <c r="J222" s="47">
        <v>0</v>
      </c>
      <c r="K222" s="188" t="s">
        <v>56</v>
      </c>
      <c r="L222" s="134"/>
      <c r="M222" s="297"/>
    </row>
    <row r="223" spans="2:13" ht="14.25" customHeight="1" thickBot="1" x14ac:dyDescent="0.25">
      <c r="B223" s="47">
        <f t="shared" si="36"/>
        <v>0</v>
      </c>
      <c r="C223" s="47">
        <f t="shared" si="37"/>
        <v>0</v>
      </c>
      <c r="D223" s="47">
        <f t="shared" si="37"/>
        <v>0</v>
      </c>
      <c r="E223" s="47">
        <f t="shared" si="38"/>
        <v>0</v>
      </c>
      <c r="F223" s="47">
        <v>0</v>
      </c>
      <c r="G223" s="47">
        <v>0</v>
      </c>
      <c r="H223" s="47">
        <f t="shared" si="39"/>
        <v>0</v>
      </c>
      <c r="I223" s="47">
        <v>0</v>
      </c>
      <c r="J223" s="47">
        <v>0</v>
      </c>
      <c r="K223" s="188" t="s">
        <v>57</v>
      </c>
      <c r="L223" s="134" t="s">
        <v>438</v>
      </c>
      <c r="M223" s="297"/>
    </row>
    <row r="224" spans="2:13" ht="14.25" customHeight="1" thickBot="1" x14ac:dyDescent="0.25">
      <c r="B224" s="47">
        <f t="shared" si="36"/>
        <v>7</v>
      </c>
      <c r="C224" s="47">
        <f t="shared" si="37"/>
        <v>7</v>
      </c>
      <c r="D224" s="47">
        <f t="shared" si="37"/>
        <v>0</v>
      </c>
      <c r="E224" s="47">
        <f t="shared" si="38"/>
        <v>0</v>
      </c>
      <c r="F224" s="47">
        <v>0</v>
      </c>
      <c r="G224" s="47">
        <v>0</v>
      </c>
      <c r="H224" s="47">
        <f t="shared" si="39"/>
        <v>7</v>
      </c>
      <c r="I224" s="47">
        <v>7</v>
      </c>
      <c r="J224" s="47">
        <v>0</v>
      </c>
      <c r="K224" s="188" t="s">
        <v>59</v>
      </c>
      <c r="L224" s="135"/>
      <c r="M224" s="297"/>
    </row>
    <row r="225" spans="2:13" ht="15.75" customHeight="1" thickBot="1" x14ac:dyDescent="0.25">
      <c r="B225" s="47">
        <f t="shared" ref="B225:J227" si="40">B204+B207+B210+B213+B216+B219+B222</f>
        <v>15</v>
      </c>
      <c r="C225" s="47">
        <f t="shared" si="40"/>
        <v>15</v>
      </c>
      <c r="D225" s="47">
        <f t="shared" si="40"/>
        <v>0</v>
      </c>
      <c r="E225" s="47">
        <f t="shared" si="40"/>
        <v>0</v>
      </c>
      <c r="F225" s="47">
        <f t="shared" si="40"/>
        <v>0</v>
      </c>
      <c r="G225" s="47">
        <f t="shared" si="40"/>
        <v>0</v>
      </c>
      <c r="H225" s="47">
        <f t="shared" si="40"/>
        <v>15</v>
      </c>
      <c r="I225" s="47">
        <f t="shared" si="40"/>
        <v>15</v>
      </c>
      <c r="J225" s="47">
        <f>J204+J207+J210+J213+J216+J219+J222</f>
        <v>0</v>
      </c>
      <c r="K225" s="188" t="s">
        <v>243</v>
      </c>
      <c r="L225" s="131"/>
      <c r="M225" s="298"/>
    </row>
    <row r="226" spans="2:13" ht="15.75" customHeight="1" thickBot="1" x14ac:dyDescent="0.25">
      <c r="B226" s="47">
        <f t="shared" si="40"/>
        <v>45</v>
      </c>
      <c r="C226" s="47">
        <f t="shared" si="40"/>
        <v>31</v>
      </c>
      <c r="D226" s="47">
        <f t="shared" si="40"/>
        <v>14</v>
      </c>
      <c r="E226" s="47">
        <f t="shared" si="40"/>
        <v>0</v>
      </c>
      <c r="F226" s="47">
        <f t="shared" si="40"/>
        <v>0</v>
      </c>
      <c r="G226" s="47">
        <f t="shared" si="40"/>
        <v>0</v>
      </c>
      <c r="H226" s="47">
        <f t="shared" si="40"/>
        <v>45</v>
      </c>
      <c r="I226" s="47">
        <f t="shared" si="40"/>
        <v>31</v>
      </c>
      <c r="J226" s="47">
        <f t="shared" si="40"/>
        <v>14</v>
      </c>
      <c r="K226" s="188" t="s">
        <v>57</v>
      </c>
      <c r="L226" s="132" t="s">
        <v>244</v>
      </c>
      <c r="M226" s="298"/>
    </row>
    <row r="227" spans="2:13" ht="15.75" customHeight="1" thickBot="1" x14ac:dyDescent="0.25">
      <c r="B227" s="47">
        <f t="shared" si="40"/>
        <v>7</v>
      </c>
      <c r="C227" s="47">
        <f t="shared" si="40"/>
        <v>7</v>
      </c>
      <c r="D227" s="47">
        <f t="shared" si="40"/>
        <v>0</v>
      </c>
      <c r="E227" s="47">
        <f t="shared" si="40"/>
        <v>0</v>
      </c>
      <c r="F227" s="47">
        <f t="shared" si="40"/>
        <v>0</v>
      </c>
      <c r="G227" s="47">
        <f t="shared" si="40"/>
        <v>0</v>
      </c>
      <c r="H227" s="47">
        <f t="shared" si="40"/>
        <v>7</v>
      </c>
      <c r="I227" s="47">
        <f t="shared" si="40"/>
        <v>7</v>
      </c>
      <c r="J227" s="47">
        <f t="shared" si="40"/>
        <v>0</v>
      </c>
      <c r="K227" s="188" t="s">
        <v>59</v>
      </c>
      <c r="L227" s="133"/>
      <c r="M227" s="298"/>
    </row>
    <row r="228" spans="2:13" ht="15.75" customHeight="1" thickBot="1" x14ac:dyDescent="0.25">
      <c r="B228" s="47">
        <f t="shared" ref="B228:I228" si="41">SUM(B225:B227)</f>
        <v>67</v>
      </c>
      <c r="C228" s="47">
        <f t="shared" si="41"/>
        <v>53</v>
      </c>
      <c r="D228" s="47">
        <f t="shared" si="41"/>
        <v>14</v>
      </c>
      <c r="E228" s="47">
        <f t="shared" si="41"/>
        <v>0</v>
      </c>
      <c r="F228" s="47">
        <f t="shared" si="41"/>
        <v>0</v>
      </c>
      <c r="G228" s="47">
        <f t="shared" si="41"/>
        <v>0</v>
      </c>
      <c r="H228" s="47">
        <f t="shared" si="41"/>
        <v>67</v>
      </c>
      <c r="I228" s="47">
        <f t="shared" si="41"/>
        <v>53</v>
      </c>
      <c r="J228" s="47">
        <f>SUM(J225:J227)</f>
        <v>14</v>
      </c>
      <c r="K228" s="500" t="s">
        <v>245</v>
      </c>
      <c r="L228" s="500"/>
      <c r="M228" s="299"/>
    </row>
    <row r="229" spans="2:13" ht="15.75" customHeight="1" thickBot="1" x14ac:dyDescent="0.25">
      <c r="B229" s="476" t="s">
        <v>4</v>
      </c>
      <c r="C229" s="476"/>
      <c r="D229" s="476"/>
      <c r="E229" s="476" t="s">
        <v>145</v>
      </c>
      <c r="F229" s="476"/>
      <c r="G229" s="476"/>
      <c r="H229" s="476" t="s">
        <v>146</v>
      </c>
      <c r="I229" s="476"/>
      <c r="J229" s="476"/>
      <c r="K229" s="479" t="s">
        <v>66</v>
      </c>
      <c r="L229" s="479"/>
      <c r="M229" s="296"/>
    </row>
    <row r="230" spans="2:13" ht="15.75" customHeight="1" thickBot="1" x14ac:dyDescent="0.25">
      <c r="B230" s="185" t="s">
        <v>227</v>
      </c>
      <c r="C230" s="185" t="s">
        <v>10</v>
      </c>
      <c r="D230" s="185" t="s">
        <v>9</v>
      </c>
      <c r="E230" s="185" t="s">
        <v>227</v>
      </c>
      <c r="F230" s="185" t="s">
        <v>10</v>
      </c>
      <c r="G230" s="185" t="s">
        <v>9</v>
      </c>
      <c r="H230" s="185" t="s">
        <v>227</v>
      </c>
      <c r="I230" s="185" t="s">
        <v>10</v>
      </c>
      <c r="J230" s="185" t="s">
        <v>9</v>
      </c>
      <c r="K230" s="480" t="s">
        <v>75</v>
      </c>
      <c r="L230" s="480"/>
      <c r="M230" s="296"/>
    </row>
    <row r="231" spans="2:13" ht="15.75" customHeight="1" thickBot="1" x14ac:dyDescent="0.25">
      <c r="B231" s="47">
        <f>SUM(C231:D231)</f>
        <v>0</v>
      </c>
      <c r="C231" s="47">
        <f>I231+F231</f>
        <v>0</v>
      </c>
      <c r="D231" s="47">
        <f>J231+G231</f>
        <v>0</v>
      </c>
      <c r="E231" s="47">
        <f>SUM(F231:G231)</f>
        <v>0</v>
      </c>
      <c r="F231" s="47">
        <v>0</v>
      </c>
      <c r="G231" s="47">
        <v>0</v>
      </c>
      <c r="H231" s="47">
        <f>SUM(I231:J231)</f>
        <v>0</v>
      </c>
      <c r="I231" s="47">
        <v>0</v>
      </c>
      <c r="J231" s="47">
        <v>0</v>
      </c>
      <c r="K231" s="188" t="s">
        <v>56</v>
      </c>
      <c r="L231" s="134"/>
      <c r="M231" s="297"/>
    </row>
    <row r="232" spans="2:13" ht="15.75" customHeight="1" thickBot="1" x14ac:dyDescent="0.25">
      <c r="B232" s="47">
        <f t="shared" ref="B232:B239" si="42">SUM(C232:D232)</f>
        <v>34</v>
      </c>
      <c r="C232" s="47">
        <f t="shared" ref="C232:D239" si="43">I232+F232</f>
        <v>20</v>
      </c>
      <c r="D232" s="47">
        <f t="shared" si="43"/>
        <v>14</v>
      </c>
      <c r="E232" s="47">
        <f t="shared" ref="E232:E239" si="44">SUM(F232:G232)</f>
        <v>0</v>
      </c>
      <c r="F232" s="47">
        <v>0</v>
      </c>
      <c r="G232" s="47">
        <v>0</v>
      </c>
      <c r="H232" s="47">
        <f t="shared" ref="H232:H239" si="45">SUM(I232:J232)</f>
        <v>34</v>
      </c>
      <c r="I232" s="47">
        <v>20</v>
      </c>
      <c r="J232" s="47">
        <v>14</v>
      </c>
      <c r="K232" s="188" t="s">
        <v>57</v>
      </c>
      <c r="L232" s="134" t="s">
        <v>376</v>
      </c>
      <c r="M232" s="297"/>
    </row>
    <row r="233" spans="2:13" ht="15.75" customHeight="1" thickBot="1" x14ac:dyDescent="0.25">
      <c r="B233" s="47">
        <f t="shared" si="42"/>
        <v>274</v>
      </c>
      <c r="C233" s="47">
        <f t="shared" si="43"/>
        <v>31</v>
      </c>
      <c r="D233" s="47">
        <f t="shared" si="43"/>
        <v>243</v>
      </c>
      <c r="E233" s="47">
        <f t="shared" si="44"/>
        <v>0</v>
      </c>
      <c r="F233" s="47">
        <v>0</v>
      </c>
      <c r="G233" s="47">
        <v>0</v>
      </c>
      <c r="H233" s="47">
        <f t="shared" si="45"/>
        <v>274</v>
      </c>
      <c r="I233" s="47">
        <v>31</v>
      </c>
      <c r="J233" s="47">
        <v>243</v>
      </c>
      <c r="K233" s="188" t="s">
        <v>59</v>
      </c>
      <c r="L233" s="135"/>
      <c r="M233" s="297"/>
    </row>
    <row r="234" spans="2:13" ht="15.75" customHeight="1" thickBot="1" x14ac:dyDescent="0.25">
      <c r="B234" s="47">
        <f t="shared" si="42"/>
        <v>0</v>
      </c>
      <c r="C234" s="47">
        <f t="shared" si="43"/>
        <v>0</v>
      </c>
      <c r="D234" s="47">
        <f t="shared" si="43"/>
        <v>0</v>
      </c>
      <c r="E234" s="47">
        <f t="shared" si="44"/>
        <v>0</v>
      </c>
      <c r="F234" s="47">
        <v>0</v>
      </c>
      <c r="G234" s="47">
        <v>0</v>
      </c>
      <c r="H234" s="47">
        <f t="shared" si="45"/>
        <v>0</v>
      </c>
      <c r="I234" s="47">
        <v>0</v>
      </c>
      <c r="J234" s="47">
        <v>0</v>
      </c>
      <c r="K234" s="188" t="s">
        <v>56</v>
      </c>
      <c r="L234" s="134"/>
      <c r="M234" s="297"/>
    </row>
    <row r="235" spans="2:13" ht="15.75" customHeight="1" thickBot="1" x14ac:dyDescent="0.25">
      <c r="B235" s="47">
        <f t="shared" si="42"/>
        <v>13</v>
      </c>
      <c r="C235" s="47">
        <f t="shared" si="43"/>
        <v>4</v>
      </c>
      <c r="D235" s="47">
        <f t="shared" si="43"/>
        <v>9</v>
      </c>
      <c r="E235" s="47">
        <f t="shared" si="44"/>
        <v>0</v>
      </c>
      <c r="F235" s="47">
        <v>0</v>
      </c>
      <c r="G235" s="47">
        <v>0</v>
      </c>
      <c r="H235" s="47">
        <f t="shared" si="45"/>
        <v>13</v>
      </c>
      <c r="I235" s="47">
        <v>4</v>
      </c>
      <c r="J235" s="47">
        <v>9</v>
      </c>
      <c r="K235" s="188" t="s">
        <v>57</v>
      </c>
      <c r="L235" s="134" t="s">
        <v>596</v>
      </c>
      <c r="M235" s="297"/>
    </row>
    <row r="236" spans="2:13" ht="15.75" customHeight="1" thickBot="1" x14ac:dyDescent="0.25">
      <c r="B236" s="47">
        <f t="shared" si="42"/>
        <v>0</v>
      </c>
      <c r="C236" s="47">
        <f t="shared" si="43"/>
        <v>0</v>
      </c>
      <c r="D236" s="47">
        <f t="shared" si="43"/>
        <v>0</v>
      </c>
      <c r="E236" s="47">
        <f t="shared" si="44"/>
        <v>0</v>
      </c>
      <c r="F236" s="47">
        <v>0</v>
      </c>
      <c r="G236" s="47">
        <v>0</v>
      </c>
      <c r="H236" s="47">
        <f t="shared" si="45"/>
        <v>0</v>
      </c>
      <c r="I236" s="47">
        <v>0</v>
      </c>
      <c r="J236" s="47">
        <v>0</v>
      </c>
      <c r="K236" s="188" t="s">
        <v>59</v>
      </c>
      <c r="L236" s="135"/>
      <c r="M236" s="297"/>
    </row>
    <row r="237" spans="2:13" ht="15.75" customHeight="1" thickBot="1" x14ac:dyDescent="0.25">
      <c r="B237" s="47">
        <f t="shared" si="42"/>
        <v>0</v>
      </c>
      <c r="C237" s="47">
        <f t="shared" si="43"/>
        <v>0</v>
      </c>
      <c r="D237" s="47">
        <f t="shared" si="43"/>
        <v>0</v>
      </c>
      <c r="E237" s="47">
        <f t="shared" si="44"/>
        <v>0</v>
      </c>
      <c r="F237" s="47">
        <v>0</v>
      </c>
      <c r="G237" s="47">
        <v>0</v>
      </c>
      <c r="H237" s="47">
        <f t="shared" si="45"/>
        <v>0</v>
      </c>
      <c r="I237" s="47">
        <v>0</v>
      </c>
      <c r="J237" s="47">
        <v>0</v>
      </c>
      <c r="K237" s="188" t="s">
        <v>56</v>
      </c>
      <c r="L237" s="134"/>
      <c r="M237" s="297"/>
    </row>
    <row r="238" spans="2:13" ht="15.75" customHeight="1" thickBot="1" x14ac:dyDescent="0.25">
      <c r="B238" s="47">
        <f t="shared" si="42"/>
        <v>0</v>
      </c>
      <c r="C238" s="47">
        <f t="shared" si="43"/>
        <v>0</v>
      </c>
      <c r="D238" s="47">
        <f t="shared" si="43"/>
        <v>0</v>
      </c>
      <c r="E238" s="47">
        <f t="shared" si="44"/>
        <v>0</v>
      </c>
      <c r="F238" s="47">
        <v>0</v>
      </c>
      <c r="G238" s="47">
        <v>0</v>
      </c>
      <c r="H238" s="47">
        <f t="shared" si="45"/>
        <v>0</v>
      </c>
      <c r="I238" s="47">
        <v>0</v>
      </c>
      <c r="J238" s="47">
        <v>0</v>
      </c>
      <c r="K238" s="188" t="s">
        <v>57</v>
      </c>
      <c r="L238" s="134" t="s">
        <v>597</v>
      </c>
      <c r="M238" s="297"/>
    </row>
    <row r="239" spans="2:13" ht="15.75" customHeight="1" thickBot="1" x14ac:dyDescent="0.25">
      <c r="B239" s="47">
        <f t="shared" si="42"/>
        <v>55</v>
      </c>
      <c r="C239" s="47">
        <f t="shared" si="43"/>
        <v>55</v>
      </c>
      <c r="D239" s="47">
        <f t="shared" si="43"/>
        <v>0</v>
      </c>
      <c r="E239" s="47">
        <f t="shared" si="44"/>
        <v>0</v>
      </c>
      <c r="F239" s="47">
        <v>0</v>
      </c>
      <c r="G239" s="47">
        <v>0</v>
      </c>
      <c r="H239" s="47">
        <f t="shared" si="45"/>
        <v>55</v>
      </c>
      <c r="I239" s="47">
        <v>55</v>
      </c>
      <c r="J239" s="47">
        <v>0</v>
      </c>
      <c r="K239" s="188" t="s">
        <v>59</v>
      </c>
      <c r="L239" s="135"/>
      <c r="M239" s="297"/>
    </row>
    <row r="240" spans="2:13" ht="15.75" customHeight="1" thickBot="1" x14ac:dyDescent="0.25">
      <c r="B240" s="47">
        <f t="shared" ref="B240:J242" si="46">B231+B234+B237</f>
        <v>0</v>
      </c>
      <c r="C240" s="47">
        <f t="shared" si="46"/>
        <v>0</v>
      </c>
      <c r="D240" s="47">
        <f t="shared" si="46"/>
        <v>0</v>
      </c>
      <c r="E240" s="47">
        <f t="shared" si="46"/>
        <v>0</v>
      </c>
      <c r="F240" s="47">
        <f t="shared" si="46"/>
        <v>0</v>
      </c>
      <c r="G240" s="47">
        <f t="shared" si="46"/>
        <v>0</v>
      </c>
      <c r="H240" s="47">
        <f t="shared" si="46"/>
        <v>0</v>
      </c>
      <c r="I240" s="47">
        <f t="shared" si="46"/>
        <v>0</v>
      </c>
      <c r="J240" s="47">
        <f>J231+J234+J237</f>
        <v>0</v>
      </c>
      <c r="K240" s="188" t="s">
        <v>243</v>
      </c>
      <c r="L240" s="131"/>
      <c r="M240" s="298"/>
    </row>
    <row r="241" spans="2:13" ht="15.75" customHeight="1" thickBot="1" x14ac:dyDescent="0.25">
      <c r="B241" s="47">
        <f t="shared" si="46"/>
        <v>47</v>
      </c>
      <c r="C241" s="47">
        <f t="shared" si="46"/>
        <v>24</v>
      </c>
      <c r="D241" s="47">
        <f t="shared" si="46"/>
        <v>23</v>
      </c>
      <c r="E241" s="47">
        <f t="shared" si="46"/>
        <v>0</v>
      </c>
      <c r="F241" s="47">
        <f t="shared" si="46"/>
        <v>0</v>
      </c>
      <c r="G241" s="47">
        <f t="shared" si="46"/>
        <v>0</v>
      </c>
      <c r="H241" s="47">
        <f t="shared" si="46"/>
        <v>47</v>
      </c>
      <c r="I241" s="47">
        <f t="shared" si="46"/>
        <v>24</v>
      </c>
      <c r="J241" s="47">
        <f t="shared" si="46"/>
        <v>23</v>
      </c>
      <c r="K241" s="188" t="s">
        <v>57</v>
      </c>
      <c r="L241" s="132" t="s">
        <v>244</v>
      </c>
      <c r="M241" s="298"/>
    </row>
    <row r="242" spans="2:13" ht="15.75" customHeight="1" thickBot="1" x14ac:dyDescent="0.25">
      <c r="B242" s="47">
        <f t="shared" si="46"/>
        <v>329</v>
      </c>
      <c r="C242" s="47">
        <f t="shared" si="46"/>
        <v>86</v>
      </c>
      <c r="D242" s="47">
        <f t="shared" si="46"/>
        <v>243</v>
      </c>
      <c r="E242" s="47">
        <f t="shared" si="46"/>
        <v>0</v>
      </c>
      <c r="F242" s="47">
        <f t="shared" si="46"/>
        <v>0</v>
      </c>
      <c r="G242" s="47">
        <f t="shared" si="46"/>
        <v>0</v>
      </c>
      <c r="H242" s="47">
        <f t="shared" si="46"/>
        <v>329</v>
      </c>
      <c r="I242" s="47">
        <f t="shared" si="46"/>
        <v>86</v>
      </c>
      <c r="J242" s="47">
        <f t="shared" si="46"/>
        <v>243</v>
      </c>
      <c r="K242" s="188" t="s">
        <v>59</v>
      </c>
      <c r="L242" s="133"/>
      <c r="M242" s="298"/>
    </row>
    <row r="243" spans="2:13" ht="15.75" customHeight="1" thickBot="1" x14ac:dyDescent="0.25">
      <c r="B243" s="47">
        <f t="shared" ref="B243:I243" si="47">SUM(B240:B242)</f>
        <v>376</v>
      </c>
      <c r="C243" s="47">
        <f t="shared" si="47"/>
        <v>110</v>
      </c>
      <c r="D243" s="47">
        <f t="shared" si="47"/>
        <v>266</v>
      </c>
      <c r="E243" s="47">
        <f t="shared" si="47"/>
        <v>0</v>
      </c>
      <c r="F243" s="47">
        <f t="shared" si="47"/>
        <v>0</v>
      </c>
      <c r="G243" s="47">
        <f t="shared" si="47"/>
        <v>0</v>
      </c>
      <c r="H243" s="47">
        <f t="shared" si="47"/>
        <v>376</v>
      </c>
      <c r="I243" s="47">
        <f t="shared" si="47"/>
        <v>110</v>
      </c>
      <c r="J243" s="47">
        <f>SUM(J240:J242)</f>
        <v>266</v>
      </c>
      <c r="K243" s="500" t="s">
        <v>245</v>
      </c>
      <c r="L243" s="500"/>
      <c r="M243" s="299"/>
    </row>
    <row r="244" spans="2:13" ht="15.75" customHeight="1" thickBot="1" x14ac:dyDescent="0.25">
      <c r="B244" s="476" t="s">
        <v>4</v>
      </c>
      <c r="C244" s="476"/>
      <c r="D244" s="476"/>
      <c r="E244" s="476" t="s">
        <v>145</v>
      </c>
      <c r="F244" s="476"/>
      <c r="G244" s="476"/>
      <c r="H244" s="476" t="s">
        <v>146</v>
      </c>
      <c r="I244" s="476"/>
      <c r="J244" s="476"/>
      <c r="K244" s="479" t="s">
        <v>66</v>
      </c>
      <c r="L244" s="479"/>
      <c r="M244" s="296"/>
    </row>
    <row r="245" spans="2:13" ht="15.75" customHeight="1" thickBot="1" x14ac:dyDescent="0.25">
      <c r="B245" s="185" t="s">
        <v>227</v>
      </c>
      <c r="C245" s="185" t="s">
        <v>10</v>
      </c>
      <c r="D245" s="185" t="s">
        <v>9</v>
      </c>
      <c r="E245" s="185" t="s">
        <v>227</v>
      </c>
      <c r="F245" s="185" t="s">
        <v>10</v>
      </c>
      <c r="G245" s="185" t="s">
        <v>9</v>
      </c>
      <c r="H245" s="185" t="s">
        <v>227</v>
      </c>
      <c r="I245" s="185" t="s">
        <v>10</v>
      </c>
      <c r="J245" s="185" t="s">
        <v>9</v>
      </c>
      <c r="K245" s="480" t="s">
        <v>200</v>
      </c>
      <c r="L245" s="480"/>
      <c r="M245" s="296"/>
    </row>
    <row r="246" spans="2:13" ht="15.75" customHeight="1" thickBot="1" x14ac:dyDescent="0.25">
      <c r="B246" s="47">
        <f>SUM(C246:D246)</f>
        <v>0</v>
      </c>
      <c r="C246" s="47">
        <f>I246+F246</f>
        <v>0</v>
      </c>
      <c r="D246" s="47">
        <f>J246+G246</f>
        <v>0</v>
      </c>
      <c r="E246" s="47">
        <f>SUM(F246:G246)</f>
        <v>0</v>
      </c>
      <c r="F246" s="47">
        <v>0</v>
      </c>
      <c r="G246" s="47">
        <v>0</v>
      </c>
      <c r="H246" s="47">
        <f>SUM(I246:J246)</f>
        <v>0</v>
      </c>
      <c r="I246" s="47">
        <v>0</v>
      </c>
      <c r="J246" s="47">
        <v>0</v>
      </c>
      <c r="K246" s="188" t="s">
        <v>56</v>
      </c>
      <c r="L246" s="134"/>
      <c r="M246" s="297"/>
    </row>
    <row r="247" spans="2:13" ht="15.75" customHeight="1" thickBot="1" x14ac:dyDescent="0.25">
      <c r="B247" s="47">
        <f t="shared" ref="B247:B248" si="48">SUM(C247:D247)</f>
        <v>12</v>
      </c>
      <c r="C247" s="47">
        <f t="shared" ref="C247:D248" si="49">I247+F247</f>
        <v>2</v>
      </c>
      <c r="D247" s="47">
        <f t="shared" si="49"/>
        <v>10</v>
      </c>
      <c r="E247" s="47">
        <f t="shared" ref="E247:E248" si="50">SUM(F247:G247)</f>
        <v>1</v>
      </c>
      <c r="F247" s="47">
        <v>1</v>
      </c>
      <c r="G247" s="47">
        <v>0</v>
      </c>
      <c r="H247" s="47">
        <f t="shared" ref="H247:H248" si="51">SUM(I247:J247)</f>
        <v>11</v>
      </c>
      <c r="I247" s="47">
        <v>1</v>
      </c>
      <c r="J247" s="47">
        <v>10</v>
      </c>
      <c r="K247" s="188" t="s">
        <v>57</v>
      </c>
      <c r="L247" s="134" t="s">
        <v>472</v>
      </c>
      <c r="M247" s="297"/>
    </row>
    <row r="248" spans="2:13" ht="15.75" customHeight="1" thickBot="1" x14ac:dyDescent="0.25">
      <c r="B248" s="47">
        <f t="shared" si="48"/>
        <v>0</v>
      </c>
      <c r="C248" s="47">
        <f t="shared" si="49"/>
        <v>0</v>
      </c>
      <c r="D248" s="47">
        <f t="shared" si="49"/>
        <v>0</v>
      </c>
      <c r="E248" s="47">
        <f t="shared" si="50"/>
        <v>0</v>
      </c>
      <c r="F248" s="47">
        <v>0</v>
      </c>
      <c r="G248" s="47">
        <v>0</v>
      </c>
      <c r="H248" s="47">
        <f t="shared" si="51"/>
        <v>0</v>
      </c>
      <c r="I248" s="47">
        <v>0</v>
      </c>
      <c r="J248" s="47">
        <v>0</v>
      </c>
      <c r="K248" s="188" t="s">
        <v>59</v>
      </c>
      <c r="L248" s="135"/>
      <c r="M248" s="297"/>
    </row>
    <row r="249" spans="2:13" ht="15.75" customHeight="1" thickBot="1" x14ac:dyDescent="0.25">
      <c r="B249" s="47">
        <f t="shared" ref="B249:J251" si="52">B246</f>
        <v>0</v>
      </c>
      <c r="C249" s="47">
        <f t="shared" si="52"/>
        <v>0</v>
      </c>
      <c r="D249" s="47">
        <f t="shared" si="52"/>
        <v>0</v>
      </c>
      <c r="E249" s="47">
        <f t="shared" si="52"/>
        <v>0</v>
      </c>
      <c r="F249" s="47">
        <f t="shared" si="52"/>
        <v>0</v>
      </c>
      <c r="G249" s="47">
        <f t="shared" si="52"/>
        <v>0</v>
      </c>
      <c r="H249" s="47">
        <f t="shared" si="52"/>
        <v>0</v>
      </c>
      <c r="I249" s="47">
        <f t="shared" si="52"/>
        <v>0</v>
      </c>
      <c r="J249" s="47">
        <f>J246</f>
        <v>0</v>
      </c>
      <c r="K249" s="188" t="s">
        <v>243</v>
      </c>
      <c r="L249" s="131"/>
      <c r="M249" s="298"/>
    </row>
    <row r="250" spans="2:13" ht="15.75" customHeight="1" thickBot="1" x14ac:dyDescent="0.25">
      <c r="B250" s="47">
        <f t="shared" si="52"/>
        <v>12</v>
      </c>
      <c r="C250" s="47">
        <f t="shared" si="52"/>
        <v>2</v>
      </c>
      <c r="D250" s="47">
        <f t="shared" si="52"/>
        <v>10</v>
      </c>
      <c r="E250" s="47">
        <f t="shared" si="52"/>
        <v>1</v>
      </c>
      <c r="F250" s="47">
        <f t="shared" si="52"/>
        <v>1</v>
      </c>
      <c r="G250" s="47">
        <f t="shared" si="52"/>
        <v>0</v>
      </c>
      <c r="H250" s="47">
        <f t="shared" si="52"/>
        <v>11</v>
      </c>
      <c r="I250" s="47">
        <f t="shared" si="52"/>
        <v>1</v>
      </c>
      <c r="J250" s="47">
        <f t="shared" si="52"/>
        <v>10</v>
      </c>
      <c r="K250" s="188" t="s">
        <v>57</v>
      </c>
      <c r="L250" s="132" t="s">
        <v>244</v>
      </c>
      <c r="M250" s="298"/>
    </row>
    <row r="251" spans="2:13" ht="15.75" customHeight="1" thickBot="1" x14ac:dyDescent="0.25">
      <c r="B251" s="47">
        <f t="shared" si="52"/>
        <v>0</v>
      </c>
      <c r="C251" s="47">
        <f t="shared" si="52"/>
        <v>0</v>
      </c>
      <c r="D251" s="47">
        <f t="shared" si="52"/>
        <v>0</v>
      </c>
      <c r="E251" s="47">
        <f t="shared" si="52"/>
        <v>0</v>
      </c>
      <c r="F251" s="47">
        <f t="shared" si="52"/>
        <v>0</v>
      </c>
      <c r="G251" s="47">
        <f t="shared" si="52"/>
        <v>0</v>
      </c>
      <c r="H251" s="47">
        <f t="shared" si="52"/>
        <v>0</v>
      </c>
      <c r="I251" s="47">
        <f t="shared" si="52"/>
        <v>0</v>
      </c>
      <c r="J251" s="47">
        <f t="shared" si="52"/>
        <v>0</v>
      </c>
      <c r="K251" s="188" t="s">
        <v>59</v>
      </c>
      <c r="L251" s="133"/>
      <c r="M251" s="298"/>
    </row>
    <row r="252" spans="2:13" ht="15.75" customHeight="1" thickBot="1" x14ac:dyDescent="0.25">
      <c r="B252" s="47">
        <f>SUM(B249:B251)</f>
        <v>12</v>
      </c>
      <c r="C252" s="47">
        <f t="shared" ref="C252:I252" si="53">SUM(C249:C251)</f>
        <v>2</v>
      </c>
      <c r="D252" s="47">
        <f t="shared" si="53"/>
        <v>10</v>
      </c>
      <c r="E252" s="47">
        <f t="shared" si="53"/>
        <v>1</v>
      </c>
      <c r="F252" s="47">
        <f t="shared" si="53"/>
        <v>1</v>
      </c>
      <c r="G252" s="47">
        <f t="shared" si="53"/>
        <v>0</v>
      </c>
      <c r="H252" s="47">
        <f t="shared" si="53"/>
        <v>11</v>
      </c>
      <c r="I252" s="47">
        <f t="shared" si="53"/>
        <v>1</v>
      </c>
      <c r="J252" s="47">
        <f>SUM(J249:J251)</f>
        <v>10</v>
      </c>
      <c r="K252" s="500" t="s">
        <v>245</v>
      </c>
      <c r="L252" s="500"/>
      <c r="M252" s="299"/>
    </row>
    <row r="253" spans="2:13" ht="15.75" customHeight="1" thickBot="1" x14ac:dyDescent="0.25">
      <c r="B253" s="476" t="s">
        <v>4</v>
      </c>
      <c r="C253" s="476"/>
      <c r="D253" s="476"/>
      <c r="E253" s="476" t="s">
        <v>145</v>
      </c>
      <c r="F253" s="476"/>
      <c r="G253" s="476"/>
      <c r="H253" s="476" t="s">
        <v>146</v>
      </c>
      <c r="I253" s="476"/>
      <c r="J253" s="476"/>
      <c r="K253" s="479" t="s">
        <v>66</v>
      </c>
      <c r="L253" s="479"/>
      <c r="M253" s="296"/>
    </row>
    <row r="254" spans="2:13" ht="15.75" customHeight="1" thickBot="1" x14ac:dyDescent="0.25">
      <c r="B254" s="185" t="s">
        <v>227</v>
      </c>
      <c r="C254" s="185" t="s">
        <v>10</v>
      </c>
      <c r="D254" s="185" t="s">
        <v>9</v>
      </c>
      <c r="E254" s="185" t="s">
        <v>227</v>
      </c>
      <c r="F254" s="185" t="s">
        <v>10</v>
      </c>
      <c r="G254" s="185" t="s">
        <v>9</v>
      </c>
      <c r="H254" s="185" t="s">
        <v>227</v>
      </c>
      <c r="I254" s="185" t="s">
        <v>10</v>
      </c>
      <c r="J254" s="185" t="s">
        <v>9</v>
      </c>
      <c r="K254" s="480" t="s">
        <v>76</v>
      </c>
      <c r="L254" s="480"/>
      <c r="M254" s="296"/>
    </row>
    <row r="255" spans="2:13" ht="15.75" customHeight="1" thickBot="1" x14ac:dyDescent="0.25">
      <c r="B255" s="47">
        <f>SUM(C255:D255)</f>
        <v>0</v>
      </c>
      <c r="C255" s="47">
        <f>I255+F255</f>
        <v>0</v>
      </c>
      <c r="D255" s="47">
        <f>J255+G255</f>
        <v>0</v>
      </c>
      <c r="E255" s="47">
        <f>SUM(F255:G255)</f>
        <v>0</v>
      </c>
      <c r="F255" s="47">
        <v>0</v>
      </c>
      <c r="G255" s="47">
        <v>0</v>
      </c>
      <c r="H255" s="47">
        <f>SUM(I255:J255)</f>
        <v>0</v>
      </c>
      <c r="I255" s="47">
        <v>0</v>
      </c>
      <c r="J255" s="47">
        <v>0</v>
      </c>
      <c r="K255" s="188" t="s">
        <v>56</v>
      </c>
      <c r="L255" s="134"/>
      <c r="M255" s="297"/>
    </row>
    <row r="256" spans="2:13" ht="15.75" customHeight="1" thickBot="1" x14ac:dyDescent="0.25">
      <c r="B256" s="47">
        <f t="shared" ref="B256:B263" si="54">SUM(C256:D256)</f>
        <v>0</v>
      </c>
      <c r="C256" s="47">
        <f t="shared" ref="C256:D263" si="55">I256+F256</f>
        <v>0</v>
      </c>
      <c r="D256" s="47">
        <f t="shared" si="55"/>
        <v>0</v>
      </c>
      <c r="E256" s="47">
        <f t="shared" ref="E256:E263" si="56">SUM(F256:G256)</f>
        <v>0</v>
      </c>
      <c r="F256" s="47">
        <v>0</v>
      </c>
      <c r="G256" s="47">
        <v>0</v>
      </c>
      <c r="H256" s="47">
        <f t="shared" ref="H256:H263" si="57">SUM(I256:J256)</f>
        <v>0</v>
      </c>
      <c r="I256" s="47">
        <v>0</v>
      </c>
      <c r="J256" s="47">
        <v>0</v>
      </c>
      <c r="K256" s="188" t="s">
        <v>57</v>
      </c>
      <c r="L256" s="134" t="s">
        <v>189</v>
      </c>
      <c r="M256" s="297"/>
    </row>
    <row r="257" spans="2:13" ht="15.75" customHeight="1" thickBot="1" x14ac:dyDescent="0.25">
      <c r="B257" s="47">
        <f t="shared" si="54"/>
        <v>41</v>
      </c>
      <c r="C257" s="47">
        <f t="shared" si="55"/>
        <v>0</v>
      </c>
      <c r="D257" s="47">
        <f t="shared" si="55"/>
        <v>41</v>
      </c>
      <c r="E257" s="47">
        <f t="shared" si="56"/>
        <v>0</v>
      </c>
      <c r="F257" s="47">
        <v>0</v>
      </c>
      <c r="G257" s="47">
        <v>0</v>
      </c>
      <c r="H257" s="47">
        <f t="shared" si="57"/>
        <v>41</v>
      </c>
      <c r="I257" s="47">
        <v>0</v>
      </c>
      <c r="J257" s="47">
        <v>41</v>
      </c>
      <c r="K257" s="188" t="s">
        <v>59</v>
      </c>
      <c r="L257" s="135"/>
      <c r="M257" s="297"/>
    </row>
    <row r="258" spans="2:13" ht="15.75" customHeight="1" thickBot="1" x14ac:dyDescent="0.25">
      <c r="B258" s="47">
        <f t="shared" si="54"/>
        <v>0</v>
      </c>
      <c r="C258" s="47">
        <f t="shared" si="55"/>
        <v>0</v>
      </c>
      <c r="D258" s="47">
        <f t="shared" si="55"/>
        <v>0</v>
      </c>
      <c r="E258" s="47">
        <f t="shared" si="56"/>
        <v>0</v>
      </c>
      <c r="F258" s="47">
        <v>0</v>
      </c>
      <c r="G258" s="47">
        <v>0</v>
      </c>
      <c r="H258" s="47">
        <f t="shared" si="57"/>
        <v>0</v>
      </c>
      <c r="I258" s="47">
        <v>0</v>
      </c>
      <c r="J258" s="47">
        <v>0</v>
      </c>
      <c r="K258" s="188" t="s">
        <v>56</v>
      </c>
      <c r="L258" s="134"/>
      <c r="M258" s="297"/>
    </row>
    <row r="259" spans="2:13" ht="15.75" customHeight="1" thickBot="1" x14ac:dyDescent="0.25">
      <c r="B259" s="47">
        <f t="shared" si="54"/>
        <v>45</v>
      </c>
      <c r="C259" s="47">
        <f t="shared" si="55"/>
        <v>28</v>
      </c>
      <c r="D259" s="47">
        <f t="shared" si="55"/>
        <v>17</v>
      </c>
      <c r="E259" s="47">
        <f t="shared" si="56"/>
        <v>0</v>
      </c>
      <c r="F259" s="47">
        <v>0</v>
      </c>
      <c r="G259" s="47">
        <v>0</v>
      </c>
      <c r="H259" s="47">
        <f t="shared" si="57"/>
        <v>45</v>
      </c>
      <c r="I259" s="47">
        <v>28</v>
      </c>
      <c r="J259" s="47">
        <v>17</v>
      </c>
      <c r="K259" s="188" t="s">
        <v>57</v>
      </c>
      <c r="L259" s="134" t="s">
        <v>732</v>
      </c>
      <c r="M259" s="297"/>
    </row>
    <row r="260" spans="2:13" ht="15.75" customHeight="1" thickBot="1" x14ac:dyDescent="0.25">
      <c r="B260" s="47">
        <f t="shared" si="54"/>
        <v>0</v>
      </c>
      <c r="C260" s="47">
        <f t="shared" si="55"/>
        <v>0</v>
      </c>
      <c r="D260" s="47">
        <f t="shared" si="55"/>
        <v>0</v>
      </c>
      <c r="E260" s="47">
        <f t="shared" si="56"/>
        <v>0</v>
      </c>
      <c r="F260" s="47">
        <v>0</v>
      </c>
      <c r="G260" s="47">
        <v>0</v>
      </c>
      <c r="H260" s="47">
        <f t="shared" si="57"/>
        <v>0</v>
      </c>
      <c r="I260" s="47">
        <v>0</v>
      </c>
      <c r="J260" s="47">
        <v>0</v>
      </c>
      <c r="K260" s="188" t="s">
        <v>59</v>
      </c>
      <c r="L260" s="135"/>
      <c r="M260" s="297"/>
    </row>
    <row r="261" spans="2:13" ht="15.75" customHeight="1" thickBot="1" x14ac:dyDescent="0.25">
      <c r="B261" s="47">
        <f t="shared" si="54"/>
        <v>8</v>
      </c>
      <c r="C261" s="47">
        <f t="shared" si="55"/>
        <v>8</v>
      </c>
      <c r="D261" s="47">
        <f t="shared" si="55"/>
        <v>0</v>
      </c>
      <c r="E261" s="47">
        <f t="shared" si="56"/>
        <v>0</v>
      </c>
      <c r="F261" s="47">
        <v>0</v>
      </c>
      <c r="G261" s="47">
        <v>0</v>
      </c>
      <c r="H261" s="47">
        <f t="shared" si="57"/>
        <v>8</v>
      </c>
      <c r="I261" s="47">
        <v>8</v>
      </c>
      <c r="J261" s="47">
        <v>0</v>
      </c>
      <c r="K261" s="188" t="s">
        <v>56</v>
      </c>
      <c r="L261" s="134"/>
      <c r="M261" s="297"/>
    </row>
    <row r="262" spans="2:13" ht="15.75" customHeight="1" thickBot="1" x14ac:dyDescent="0.25">
      <c r="B262" s="47">
        <f t="shared" si="54"/>
        <v>0</v>
      </c>
      <c r="C262" s="47">
        <f t="shared" si="55"/>
        <v>0</v>
      </c>
      <c r="D262" s="47">
        <f t="shared" si="55"/>
        <v>0</v>
      </c>
      <c r="E262" s="47">
        <f t="shared" si="56"/>
        <v>0</v>
      </c>
      <c r="F262" s="47">
        <v>0</v>
      </c>
      <c r="G262" s="47">
        <v>0</v>
      </c>
      <c r="H262" s="47">
        <f t="shared" si="57"/>
        <v>0</v>
      </c>
      <c r="I262" s="47">
        <v>0</v>
      </c>
      <c r="J262" s="47">
        <v>0</v>
      </c>
      <c r="K262" s="188" t="s">
        <v>57</v>
      </c>
      <c r="L262" s="134" t="s">
        <v>367</v>
      </c>
      <c r="M262" s="297"/>
    </row>
    <row r="263" spans="2:13" ht="15.75" customHeight="1" thickBot="1" x14ac:dyDescent="0.25">
      <c r="B263" s="47">
        <f t="shared" si="54"/>
        <v>0</v>
      </c>
      <c r="C263" s="47">
        <f t="shared" si="55"/>
        <v>0</v>
      </c>
      <c r="D263" s="47">
        <f t="shared" si="55"/>
        <v>0</v>
      </c>
      <c r="E263" s="47">
        <f t="shared" si="56"/>
        <v>0</v>
      </c>
      <c r="F263" s="47">
        <v>0</v>
      </c>
      <c r="G263" s="47">
        <v>0</v>
      </c>
      <c r="H263" s="47">
        <f t="shared" si="57"/>
        <v>0</v>
      </c>
      <c r="I263" s="47">
        <v>0</v>
      </c>
      <c r="J263" s="47">
        <v>0</v>
      </c>
      <c r="K263" s="188" t="s">
        <v>59</v>
      </c>
      <c r="L263" s="135"/>
      <c r="M263" s="297"/>
    </row>
    <row r="264" spans="2:13" ht="15.75" customHeight="1" thickBot="1" x14ac:dyDescent="0.25">
      <c r="B264" s="47">
        <f t="shared" ref="B264:J266" si="58">B255+B258+B261</f>
        <v>8</v>
      </c>
      <c r="C264" s="47">
        <f t="shared" si="58"/>
        <v>8</v>
      </c>
      <c r="D264" s="47">
        <f t="shared" si="58"/>
        <v>0</v>
      </c>
      <c r="E264" s="47">
        <f t="shared" si="58"/>
        <v>0</v>
      </c>
      <c r="F264" s="47">
        <f t="shared" si="58"/>
        <v>0</v>
      </c>
      <c r="G264" s="47">
        <f t="shared" si="58"/>
        <v>0</v>
      </c>
      <c r="H264" s="47">
        <f t="shared" si="58"/>
        <v>8</v>
      </c>
      <c r="I264" s="47">
        <f t="shared" si="58"/>
        <v>8</v>
      </c>
      <c r="J264" s="47">
        <f>J255+J258+J261</f>
        <v>0</v>
      </c>
      <c r="K264" s="188" t="s">
        <v>243</v>
      </c>
      <c r="L264" s="131"/>
      <c r="M264" s="298"/>
    </row>
    <row r="265" spans="2:13" ht="15.75" customHeight="1" thickBot="1" x14ac:dyDescent="0.25">
      <c r="B265" s="47">
        <f t="shared" si="58"/>
        <v>45</v>
      </c>
      <c r="C265" s="47">
        <f t="shared" si="58"/>
        <v>28</v>
      </c>
      <c r="D265" s="47">
        <f t="shared" si="58"/>
        <v>17</v>
      </c>
      <c r="E265" s="47">
        <f t="shared" si="58"/>
        <v>0</v>
      </c>
      <c r="F265" s="47">
        <f t="shared" si="58"/>
        <v>0</v>
      </c>
      <c r="G265" s="47">
        <f t="shared" si="58"/>
        <v>0</v>
      </c>
      <c r="H265" s="47">
        <f t="shared" si="58"/>
        <v>45</v>
      </c>
      <c r="I265" s="47">
        <f t="shared" si="58"/>
        <v>28</v>
      </c>
      <c r="J265" s="47">
        <f t="shared" si="58"/>
        <v>17</v>
      </c>
      <c r="K265" s="188" t="s">
        <v>57</v>
      </c>
      <c r="L265" s="132" t="s">
        <v>244</v>
      </c>
      <c r="M265" s="298"/>
    </row>
    <row r="266" spans="2:13" ht="15.75" customHeight="1" thickBot="1" x14ac:dyDescent="0.25">
      <c r="B266" s="47">
        <f t="shared" si="58"/>
        <v>41</v>
      </c>
      <c r="C266" s="47">
        <f t="shared" si="58"/>
        <v>0</v>
      </c>
      <c r="D266" s="47">
        <f t="shared" si="58"/>
        <v>41</v>
      </c>
      <c r="E266" s="47">
        <f t="shared" si="58"/>
        <v>0</v>
      </c>
      <c r="F266" s="47">
        <f t="shared" si="58"/>
        <v>0</v>
      </c>
      <c r="G266" s="47">
        <f t="shared" si="58"/>
        <v>0</v>
      </c>
      <c r="H266" s="47">
        <f t="shared" si="58"/>
        <v>41</v>
      </c>
      <c r="I266" s="47">
        <f t="shared" si="58"/>
        <v>0</v>
      </c>
      <c r="J266" s="47">
        <f t="shared" si="58"/>
        <v>41</v>
      </c>
      <c r="K266" s="188" t="s">
        <v>59</v>
      </c>
      <c r="L266" s="133"/>
      <c r="M266" s="298"/>
    </row>
    <row r="267" spans="2:13" ht="15.75" customHeight="1" thickBot="1" x14ac:dyDescent="0.25">
      <c r="B267" s="47">
        <f t="shared" ref="B267:I267" si="59">SUM(B264:B266)</f>
        <v>94</v>
      </c>
      <c r="C267" s="47">
        <f t="shared" si="59"/>
        <v>36</v>
      </c>
      <c r="D267" s="47">
        <f t="shared" si="59"/>
        <v>58</v>
      </c>
      <c r="E267" s="47">
        <f t="shared" si="59"/>
        <v>0</v>
      </c>
      <c r="F267" s="47">
        <f t="shared" si="59"/>
        <v>0</v>
      </c>
      <c r="G267" s="47">
        <f t="shared" si="59"/>
        <v>0</v>
      </c>
      <c r="H267" s="47">
        <f t="shared" si="59"/>
        <v>94</v>
      </c>
      <c r="I267" s="47">
        <f t="shared" si="59"/>
        <v>36</v>
      </c>
      <c r="J267" s="47">
        <f>SUM(J264:J266)</f>
        <v>58</v>
      </c>
      <c r="K267" s="500" t="s">
        <v>245</v>
      </c>
      <c r="L267" s="500"/>
      <c r="M267" s="299"/>
    </row>
    <row r="268" spans="2:13" ht="15.75" customHeight="1" thickBot="1" x14ac:dyDescent="0.25">
      <c r="B268" s="476" t="s">
        <v>4</v>
      </c>
      <c r="C268" s="476"/>
      <c r="D268" s="476"/>
      <c r="E268" s="476" t="s">
        <v>145</v>
      </c>
      <c r="F268" s="476"/>
      <c r="G268" s="476"/>
      <c r="H268" s="476" t="s">
        <v>146</v>
      </c>
      <c r="I268" s="476"/>
      <c r="J268" s="476"/>
      <c r="K268" s="479" t="s">
        <v>66</v>
      </c>
      <c r="L268" s="479"/>
      <c r="M268" s="296"/>
    </row>
    <row r="269" spans="2:13" ht="15.75" customHeight="1" thickBot="1" x14ac:dyDescent="0.25">
      <c r="B269" s="185" t="s">
        <v>227</v>
      </c>
      <c r="C269" s="185" t="s">
        <v>10</v>
      </c>
      <c r="D269" s="185" t="s">
        <v>9</v>
      </c>
      <c r="E269" s="185" t="s">
        <v>227</v>
      </c>
      <c r="F269" s="185" t="s">
        <v>10</v>
      </c>
      <c r="G269" s="185" t="s">
        <v>9</v>
      </c>
      <c r="H269" s="185" t="s">
        <v>227</v>
      </c>
      <c r="I269" s="185" t="s">
        <v>10</v>
      </c>
      <c r="J269" s="185" t="s">
        <v>9</v>
      </c>
      <c r="K269" s="480" t="s">
        <v>77</v>
      </c>
      <c r="L269" s="480"/>
      <c r="M269" s="296"/>
    </row>
    <row r="270" spans="2:13" ht="15.75" customHeight="1" thickBot="1" x14ac:dyDescent="0.25">
      <c r="B270" s="47">
        <f>SUM(C270:D270)</f>
        <v>0</v>
      </c>
      <c r="C270" s="47">
        <f>I270+F270</f>
        <v>0</v>
      </c>
      <c r="D270" s="47">
        <f>J270+G270</f>
        <v>0</v>
      </c>
      <c r="E270" s="47">
        <f>SUM(F270:G270)</f>
        <v>0</v>
      </c>
      <c r="F270" s="47">
        <v>0</v>
      </c>
      <c r="G270" s="47">
        <v>0</v>
      </c>
      <c r="H270" s="47">
        <f>SUM(I270:J270)</f>
        <v>0</v>
      </c>
      <c r="I270" s="47">
        <v>0</v>
      </c>
      <c r="J270" s="47">
        <v>0</v>
      </c>
      <c r="K270" s="188" t="s">
        <v>56</v>
      </c>
      <c r="L270" s="300"/>
      <c r="M270" s="301"/>
    </row>
    <row r="271" spans="2:13" ht="15.75" customHeight="1" thickBot="1" x14ac:dyDescent="0.25">
      <c r="B271" s="47">
        <f t="shared" ref="B271:B278" si="60">SUM(C271:D271)</f>
        <v>13</v>
      </c>
      <c r="C271" s="47">
        <f t="shared" ref="C271:D278" si="61">I271+F271</f>
        <v>4</v>
      </c>
      <c r="D271" s="47">
        <f t="shared" si="61"/>
        <v>9</v>
      </c>
      <c r="E271" s="47">
        <f t="shared" ref="E271:E278" si="62">SUM(F271:G271)</f>
        <v>0</v>
      </c>
      <c r="F271" s="47">
        <v>0</v>
      </c>
      <c r="G271" s="47">
        <v>0</v>
      </c>
      <c r="H271" s="47">
        <f t="shared" ref="H271:H278" si="63">SUM(I271:J271)</f>
        <v>13</v>
      </c>
      <c r="I271" s="47">
        <v>4</v>
      </c>
      <c r="J271" s="47">
        <v>9</v>
      </c>
      <c r="K271" s="188" t="s">
        <v>57</v>
      </c>
      <c r="L271" s="300" t="s">
        <v>371</v>
      </c>
      <c r="M271" s="301"/>
    </row>
    <row r="272" spans="2:13" ht="15.75" customHeight="1" thickBot="1" x14ac:dyDescent="0.25">
      <c r="B272" s="47">
        <f t="shared" si="60"/>
        <v>0</v>
      </c>
      <c r="C272" s="47">
        <f t="shared" si="61"/>
        <v>0</v>
      </c>
      <c r="D272" s="47">
        <f t="shared" si="61"/>
        <v>0</v>
      </c>
      <c r="E272" s="47">
        <f t="shared" si="62"/>
        <v>0</v>
      </c>
      <c r="F272" s="47">
        <v>0</v>
      </c>
      <c r="G272" s="47">
        <v>0</v>
      </c>
      <c r="H272" s="47">
        <f t="shared" si="63"/>
        <v>0</v>
      </c>
      <c r="I272" s="47">
        <v>0</v>
      </c>
      <c r="J272" s="47">
        <v>0</v>
      </c>
      <c r="K272" s="188" t="s">
        <v>59</v>
      </c>
      <c r="L272" s="302"/>
      <c r="M272" s="301"/>
    </row>
    <row r="273" spans="2:13" ht="15.75" customHeight="1" thickBot="1" x14ac:dyDescent="0.25">
      <c r="B273" s="47">
        <f t="shared" si="60"/>
        <v>0</v>
      </c>
      <c r="C273" s="47">
        <f t="shared" si="61"/>
        <v>0</v>
      </c>
      <c r="D273" s="47">
        <f t="shared" si="61"/>
        <v>0</v>
      </c>
      <c r="E273" s="47">
        <f t="shared" si="62"/>
        <v>0</v>
      </c>
      <c r="F273" s="47">
        <v>0</v>
      </c>
      <c r="G273" s="47">
        <v>0</v>
      </c>
      <c r="H273" s="47">
        <f t="shared" si="63"/>
        <v>0</v>
      </c>
      <c r="I273" s="47">
        <v>0</v>
      </c>
      <c r="J273" s="47">
        <v>0</v>
      </c>
      <c r="K273" s="188" t="s">
        <v>56</v>
      </c>
      <c r="L273" s="300"/>
      <c r="M273" s="301"/>
    </row>
    <row r="274" spans="2:13" ht="15.75" customHeight="1" thickBot="1" x14ac:dyDescent="0.25">
      <c r="B274" s="47">
        <f t="shared" si="60"/>
        <v>20</v>
      </c>
      <c r="C274" s="47">
        <f t="shared" si="61"/>
        <v>8</v>
      </c>
      <c r="D274" s="47">
        <f t="shared" si="61"/>
        <v>12</v>
      </c>
      <c r="E274" s="47">
        <f t="shared" si="62"/>
        <v>0</v>
      </c>
      <c r="F274" s="47">
        <v>0</v>
      </c>
      <c r="G274" s="47">
        <v>0</v>
      </c>
      <c r="H274" s="47">
        <f t="shared" si="63"/>
        <v>20</v>
      </c>
      <c r="I274" s="47">
        <v>8</v>
      </c>
      <c r="J274" s="47">
        <v>12</v>
      </c>
      <c r="K274" s="188" t="s">
        <v>57</v>
      </c>
      <c r="L274" s="300" t="s">
        <v>376</v>
      </c>
      <c r="M274" s="301"/>
    </row>
    <row r="275" spans="2:13" ht="15.75" customHeight="1" thickBot="1" x14ac:dyDescent="0.25">
      <c r="B275" s="47">
        <f t="shared" si="60"/>
        <v>154</v>
      </c>
      <c r="C275" s="47">
        <f t="shared" si="61"/>
        <v>117</v>
      </c>
      <c r="D275" s="47">
        <f t="shared" si="61"/>
        <v>37</v>
      </c>
      <c r="E275" s="47">
        <f t="shared" si="62"/>
        <v>0</v>
      </c>
      <c r="F275" s="47">
        <v>0</v>
      </c>
      <c r="G275" s="47">
        <v>0</v>
      </c>
      <c r="H275" s="47">
        <f t="shared" si="63"/>
        <v>154</v>
      </c>
      <c r="I275" s="47">
        <f>497-380</f>
        <v>117</v>
      </c>
      <c r="J275" s="47">
        <v>37</v>
      </c>
      <c r="K275" s="188" t="s">
        <v>59</v>
      </c>
      <c r="L275" s="302"/>
      <c r="M275" s="301"/>
    </row>
    <row r="276" spans="2:13" ht="15.75" customHeight="1" thickBot="1" x14ac:dyDescent="0.25">
      <c r="B276" s="47">
        <f t="shared" si="60"/>
        <v>0</v>
      </c>
      <c r="C276" s="47">
        <f t="shared" si="61"/>
        <v>0</v>
      </c>
      <c r="D276" s="47">
        <f t="shared" si="61"/>
        <v>0</v>
      </c>
      <c r="E276" s="47">
        <f t="shared" si="62"/>
        <v>0</v>
      </c>
      <c r="F276" s="47">
        <v>0</v>
      </c>
      <c r="G276" s="47">
        <v>0</v>
      </c>
      <c r="H276" s="47">
        <f t="shared" si="63"/>
        <v>0</v>
      </c>
      <c r="I276" s="47">
        <v>0</v>
      </c>
      <c r="J276" s="47">
        <v>0</v>
      </c>
      <c r="K276" s="188" t="s">
        <v>56</v>
      </c>
      <c r="L276" s="300"/>
      <c r="M276" s="301"/>
    </row>
    <row r="277" spans="2:13" ht="15.75" customHeight="1" thickBot="1" x14ac:dyDescent="0.25">
      <c r="B277" s="47">
        <f t="shared" si="60"/>
        <v>23</v>
      </c>
      <c r="C277" s="47">
        <f t="shared" si="61"/>
        <v>15</v>
      </c>
      <c r="D277" s="47">
        <f t="shared" si="61"/>
        <v>8</v>
      </c>
      <c r="E277" s="47">
        <f t="shared" si="62"/>
        <v>0</v>
      </c>
      <c r="F277" s="47">
        <v>0</v>
      </c>
      <c r="G277" s="47">
        <v>0</v>
      </c>
      <c r="H277" s="47">
        <f t="shared" si="63"/>
        <v>23</v>
      </c>
      <c r="I277" s="47">
        <v>15</v>
      </c>
      <c r="J277" s="47">
        <v>8</v>
      </c>
      <c r="K277" s="188" t="s">
        <v>57</v>
      </c>
      <c r="L277" s="300" t="s">
        <v>367</v>
      </c>
      <c r="M277" s="301"/>
    </row>
    <row r="278" spans="2:13" ht="15.75" customHeight="1" thickBot="1" x14ac:dyDescent="0.25">
      <c r="B278" s="47">
        <f t="shared" si="60"/>
        <v>0</v>
      </c>
      <c r="C278" s="47">
        <f t="shared" si="61"/>
        <v>0</v>
      </c>
      <c r="D278" s="47">
        <f t="shared" si="61"/>
        <v>0</v>
      </c>
      <c r="E278" s="47">
        <f t="shared" si="62"/>
        <v>0</v>
      </c>
      <c r="F278" s="47">
        <v>0</v>
      </c>
      <c r="G278" s="47">
        <v>0</v>
      </c>
      <c r="H278" s="47">
        <f t="shared" si="63"/>
        <v>0</v>
      </c>
      <c r="I278" s="47">
        <v>0</v>
      </c>
      <c r="J278" s="47">
        <v>0</v>
      </c>
      <c r="K278" s="188" t="s">
        <v>59</v>
      </c>
      <c r="L278" s="302"/>
      <c r="M278" s="301"/>
    </row>
    <row r="279" spans="2:13" ht="15.75" customHeight="1" thickBot="1" x14ac:dyDescent="0.25">
      <c r="B279" s="47">
        <f t="shared" ref="B279:J281" si="64">B270+B273+B276</f>
        <v>0</v>
      </c>
      <c r="C279" s="47">
        <f t="shared" si="64"/>
        <v>0</v>
      </c>
      <c r="D279" s="47">
        <f t="shared" si="64"/>
        <v>0</v>
      </c>
      <c r="E279" s="47">
        <f t="shared" si="64"/>
        <v>0</v>
      </c>
      <c r="F279" s="47">
        <f t="shared" si="64"/>
        <v>0</v>
      </c>
      <c r="G279" s="47">
        <f t="shared" si="64"/>
        <v>0</v>
      </c>
      <c r="H279" s="47">
        <f t="shared" si="64"/>
        <v>0</v>
      </c>
      <c r="I279" s="47">
        <f t="shared" si="64"/>
        <v>0</v>
      </c>
      <c r="J279" s="47">
        <f>J270+J273+J276</f>
        <v>0</v>
      </c>
      <c r="K279" s="188" t="s">
        <v>243</v>
      </c>
      <c r="L279" s="131"/>
      <c r="M279" s="298"/>
    </row>
    <row r="280" spans="2:13" ht="15.75" customHeight="1" thickBot="1" x14ac:dyDescent="0.25">
      <c r="B280" s="47">
        <f t="shared" si="64"/>
        <v>56</v>
      </c>
      <c r="C280" s="47">
        <f t="shared" si="64"/>
        <v>27</v>
      </c>
      <c r="D280" s="47">
        <f t="shared" si="64"/>
        <v>29</v>
      </c>
      <c r="E280" s="47">
        <f t="shared" si="64"/>
        <v>0</v>
      </c>
      <c r="F280" s="47">
        <f t="shared" si="64"/>
        <v>0</v>
      </c>
      <c r="G280" s="47">
        <f t="shared" si="64"/>
        <v>0</v>
      </c>
      <c r="H280" s="47">
        <f t="shared" si="64"/>
        <v>56</v>
      </c>
      <c r="I280" s="47">
        <f t="shared" si="64"/>
        <v>27</v>
      </c>
      <c r="J280" s="47">
        <f t="shared" si="64"/>
        <v>29</v>
      </c>
      <c r="K280" s="188" t="s">
        <v>57</v>
      </c>
      <c r="L280" s="132" t="s">
        <v>244</v>
      </c>
      <c r="M280" s="298"/>
    </row>
    <row r="281" spans="2:13" ht="15.75" customHeight="1" thickBot="1" x14ac:dyDescent="0.25">
      <c r="B281" s="47">
        <f t="shared" si="64"/>
        <v>154</v>
      </c>
      <c r="C281" s="47">
        <f t="shared" si="64"/>
        <v>117</v>
      </c>
      <c r="D281" s="47">
        <f t="shared" si="64"/>
        <v>37</v>
      </c>
      <c r="E281" s="47">
        <f t="shared" si="64"/>
        <v>0</v>
      </c>
      <c r="F281" s="47">
        <f t="shared" si="64"/>
        <v>0</v>
      </c>
      <c r="G281" s="47">
        <f t="shared" si="64"/>
        <v>0</v>
      </c>
      <c r="H281" s="47">
        <f t="shared" si="64"/>
        <v>154</v>
      </c>
      <c r="I281" s="47">
        <f t="shared" si="64"/>
        <v>117</v>
      </c>
      <c r="J281" s="47">
        <f t="shared" si="64"/>
        <v>37</v>
      </c>
      <c r="K281" s="188" t="s">
        <v>59</v>
      </c>
      <c r="L281" s="133"/>
      <c r="M281" s="298"/>
    </row>
    <row r="282" spans="2:13" ht="15.75" customHeight="1" thickBot="1" x14ac:dyDescent="0.25">
      <c r="B282" s="47">
        <f t="shared" ref="B282:I282" si="65">SUM(B279:B281)</f>
        <v>210</v>
      </c>
      <c r="C282" s="47">
        <f t="shared" si="65"/>
        <v>144</v>
      </c>
      <c r="D282" s="47">
        <f t="shared" si="65"/>
        <v>66</v>
      </c>
      <c r="E282" s="47">
        <f t="shared" si="65"/>
        <v>0</v>
      </c>
      <c r="F282" s="47">
        <f t="shared" si="65"/>
        <v>0</v>
      </c>
      <c r="G282" s="47">
        <f t="shared" si="65"/>
        <v>0</v>
      </c>
      <c r="H282" s="47">
        <f t="shared" si="65"/>
        <v>210</v>
      </c>
      <c r="I282" s="47">
        <f t="shared" si="65"/>
        <v>144</v>
      </c>
      <c r="J282" s="47">
        <f>SUM(J279:J281)</f>
        <v>66</v>
      </c>
      <c r="K282" s="500" t="s">
        <v>245</v>
      </c>
      <c r="L282" s="500"/>
      <c r="M282" s="299"/>
    </row>
    <row r="283" spans="2:13" ht="15.75" customHeight="1" thickBot="1" x14ac:dyDescent="0.25">
      <c r="B283" s="476" t="s">
        <v>4</v>
      </c>
      <c r="C283" s="476"/>
      <c r="D283" s="476"/>
      <c r="E283" s="476" t="s">
        <v>145</v>
      </c>
      <c r="F283" s="476"/>
      <c r="G283" s="476"/>
      <c r="H283" s="476" t="s">
        <v>146</v>
      </c>
      <c r="I283" s="476"/>
      <c r="J283" s="476"/>
      <c r="K283" s="479" t="s">
        <v>66</v>
      </c>
      <c r="L283" s="479"/>
      <c r="M283" s="296"/>
    </row>
    <row r="284" spans="2:13" ht="15.75" customHeight="1" thickBot="1" x14ac:dyDescent="0.25">
      <c r="B284" s="185" t="s">
        <v>227</v>
      </c>
      <c r="C284" s="185" t="s">
        <v>10</v>
      </c>
      <c r="D284" s="185" t="s">
        <v>9</v>
      </c>
      <c r="E284" s="185" t="s">
        <v>227</v>
      </c>
      <c r="F284" s="185" t="s">
        <v>10</v>
      </c>
      <c r="G284" s="185" t="s">
        <v>9</v>
      </c>
      <c r="H284" s="185" t="s">
        <v>227</v>
      </c>
      <c r="I284" s="185" t="s">
        <v>10</v>
      </c>
      <c r="J284" s="185" t="s">
        <v>9</v>
      </c>
      <c r="K284" s="480" t="s">
        <v>148</v>
      </c>
      <c r="L284" s="480"/>
      <c r="M284" s="296"/>
    </row>
    <row r="285" spans="2:13" ht="15.75" customHeight="1" thickBot="1" x14ac:dyDescent="0.25">
      <c r="B285" s="47">
        <f>SUM(C285:D285)</f>
        <v>0</v>
      </c>
      <c r="C285" s="47">
        <f>I285+F285</f>
        <v>0</v>
      </c>
      <c r="D285" s="47">
        <f>J285+G285</f>
        <v>0</v>
      </c>
      <c r="E285" s="47">
        <f>SUM(F285:G285)</f>
        <v>0</v>
      </c>
      <c r="F285" s="47">
        <v>0</v>
      </c>
      <c r="G285" s="47">
        <v>0</v>
      </c>
      <c r="H285" s="47">
        <f>SUM(I285:J285)</f>
        <v>0</v>
      </c>
      <c r="I285" s="47">
        <v>0</v>
      </c>
      <c r="J285" s="47">
        <v>0</v>
      </c>
      <c r="K285" s="188" t="s">
        <v>56</v>
      </c>
      <c r="L285" s="134"/>
      <c r="M285" s="297"/>
    </row>
    <row r="286" spans="2:13" ht="15.75" customHeight="1" thickBot="1" x14ac:dyDescent="0.25">
      <c r="B286" s="47">
        <f t="shared" ref="B286:B290" si="66">SUM(C286:D286)</f>
        <v>40</v>
      </c>
      <c r="C286" s="47">
        <f t="shared" ref="C286:D290" si="67">I286+F286</f>
        <v>18</v>
      </c>
      <c r="D286" s="47">
        <f t="shared" si="67"/>
        <v>22</v>
      </c>
      <c r="E286" s="47">
        <f t="shared" ref="E286:E290" si="68">SUM(F286:G286)</f>
        <v>0</v>
      </c>
      <c r="F286" s="47">
        <v>0</v>
      </c>
      <c r="G286" s="47">
        <v>0</v>
      </c>
      <c r="H286" s="47">
        <f t="shared" ref="H286:H290" si="69">SUM(I286:J286)</f>
        <v>40</v>
      </c>
      <c r="I286" s="47">
        <v>18</v>
      </c>
      <c r="J286" s="47">
        <v>22</v>
      </c>
      <c r="K286" s="188" t="s">
        <v>57</v>
      </c>
      <c r="L286" s="134" t="s">
        <v>602</v>
      </c>
      <c r="M286" s="297"/>
    </row>
    <row r="287" spans="2:13" ht="15.75" customHeight="1" thickBot="1" x14ac:dyDescent="0.25">
      <c r="B287" s="47">
        <f t="shared" si="66"/>
        <v>0</v>
      </c>
      <c r="C287" s="47">
        <f t="shared" si="67"/>
        <v>0</v>
      </c>
      <c r="D287" s="47">
        <f t="shared" si="67"/>
        <v>0</v>
      </c>
      <c r="E287" s="47">
        <f t="shared" si="68"/>
        <v>0</v>
      </c>
      <c r="F287" s="47">
        <v>0</v>
      </c>
      <c r="G287" s="47">
        <v>0</v>
      </c>
      <c r="H287" s="47">
        <f t="shared" si="69"/>
        <v>0</v>
      </c>
      <c r="I287" s="47">
        <v>0</v>
      </c>
      <c r="J287" s="47">
        <v>0</v>
      </c>
      <c r="K287" s="188" t="s">
        <v>59</v>
      </c>
      <c r="L287" s="135"/>
      <c r="M287" s="297"/>
    </row>
    <row r="288" spans="2:13" ht="15" customHeight="1" thickBot="1" x14ac:dyDescent="0.25">
      <c r="B288" s="47">
        <f t="shared" si="66"/>
        <v>0</v>
      </c>
      <c r="C288" s="47">
        <f t="shared" si="67"/>
        <v>0</v>
      </c>
      <c r="D288" s="47">
        <f t="shared" si="67"/>
        <v>0</v>
      </c>
      <c r="E288" s="47">
        <f t="shared" si="68"/>
        <v>0</v>
      </c>
      <c r="F288" s="47">
        <v>0</v>
      </c>
      <c r="G288" s="47">
        <v>0</v>
      </c>
      <c r="H288" s="47">
        <f t="shared" si="69"/>
        <v>0</v>
      </c>
      <c r="I288" s="47">
        <v>0</v>
      </c>
      <c r="J288" s="47">
        <v>0</v>
      </c>
      <c r="K288" s="188" t="s">
        <v>56</v>
      </c>
      <c r="L288" s="134"/>
      <c r="M288" s="297"/>
    </row>
    <row r="289" spans="2:13" ht="15" customHeight="1" thickBot="1" x14ac:dyDescent="0.25">
      <c r="B289" s="47">
        <f t="shared" si="66"/>
        <v>0</v>
      </c>
      <c r="C289" s="47">
        <f t="shared" si="67"/>
        <v>0</v>
      </c>
      <c r="D289" s="47">
        <f t="shared" si="67"/>
        <v>0</v>
      </c>
      <c r="E289" s="47">
        <f t="shared" si="68"/>
        <v>0</v>
      </c>
      <c r="F289" s="47">
        <v>0</v>
      </c>
      <c r="G289" s="47">
        <v>0</v>
      </c>
      <c r="H289" s="47">
        <f t="shared" si="69"/>
        <v>0</v>
      </c>
      <c r="I289" s="47">
        <v>0</v>
      </c>
      <c r="J289" s="47">
        <v>0</v>
      </c>
      <c r="K289" s="188" t="s">
        <v>57</v>
      </c>
      <c r="L289" s="134" t="s">
        <v>378</v>
      </c>
      <c r="M289" s="297"/>
    </row>
    <row r="290" spans="2:13" ht="15" customHeight="1" thickBot="1" x14ac:dyDescent="0.25">
      <c r="B290" s="47">
        <f t="shared" si="66"/>
        <v>56</v>
      </c>
      <c r="C290" s="47">
        <f t="shared" si="67"/>
        <v>28</v>
      </c>
      <c r="D290" s="47">
        <f t="shared" si="67"/>
        <v>28</v>
      </c>
      <c r="E290" s="47">
        <f t="shared" si="68"/>
        <v>0</v>
      </c>
      <c r="F290" s="47">
        <v>0</v>
      </c>
      <c r="G290" s="47">
        <v>0</v>
      </c>
      <c r="H290" s="47">
        <f t="shared" si="69"/>
        <v>56</v>
      </c>
      <c r="I290" s="47">
        <v>28</v>
      </c>
      <c r="J290" s="47">
        <v>28</v>
      </c>
      <c r="K290" s="188" t="s">
        <v>59</v>
      </c>
      <c r="L290" s="135"/>
      <c r="M290" s="297"/>
    </row>
    <row r="291" spans="2:13" ht="15.75" customHeight="1" thickBot="1" x14ac:dyDescent="0.25">
      <c r="B291" s="47">
        <f t="shared" ref="B291:J293" si="70">B285+B288</f>
        <v>0</v>
      </c>
      <c r="C291" s="47">
        <f t="shared" si="70"/>
        <v>0</v>
      </c>
      <c r="D291" s="47">
        <f t="shared" si="70"/>
        <v>0</v>
      </c>
      <c r="E291" s="47">
        <f t="shared" si="70"/>
        <v>0</v>
      </c>
      <c r="F291" s="47">
        <f t="shared" si="70"/>
        <v>0</v>
      </c>
      <c r="G291" s="47">
        <f t="shared" si="70"/>
        <v>0</v>
      </c>
      <c r="H291" s="47">
        <f t="shared" si="70"/>
        <v>0</v>
      </c>
      <c r="I291" s="47">
        <f t="shared" si="70"/>
        <v>0</v>
      </c>
      <c r="J291" s="47">
        <f>J285+J288</f>
        <v>0</v>
      </c>
      <c r="K291" s="188" t="s">
        <v>243</v>
      </c>
      <c r="L291" s="131"/>
      <c r="M291" s="298"/>
    </row>
    <row r="292" spans="2:13" ht="15.75" customHeight="1" thickBot="1" x14ac:dyDescent="0.25">
      <c r="B292" s="47">
        <f t="shared" si="70"/>
        <v>40</v>
      </c>
      <c r="C292" s="47">
        <f t="shared" si="70"/>
        <v>18</v>
      </c>
      <c r="D292" s="47">
        <f t="shared" si="70"/>
        <v>22</v>
      </c>
      <c r="E292" s="47">
        <f t="shared" si="70"/>
        <v>0</v>
      </c>
      <c r="F292" s="47">
        <f t="shared" si="70"/>
        <v>0</v>
      </c>
      <c r="G292" s="47">
        <f t="shared" si="70"/>
        <v>0</v>
      </c>
      <c r="H292" s="47">
        <f t="shared" si="70"/>
        <v>40</v>
      </c>
      <c r="I292" s="47">
        <f t="shared" si="70"/>
        <v>18</v>
      </c>
      <c r="J292" s="47">
        <f t="shared" si="70"/>
        <v>22</v>
      </c>
      <c r="K292" s="188" t="s">
        <v>57</v>
      </c>
      <c r="L292" s="132" t="s">
        <v>244</v>
      </c>
      <c r="M292" s="298"/>
    </row>
    <row r="293" spans="2:13" ht="15.75" customHeight="1" thickBot="1" x14ac:dyDescent="0.25">
      <c r="B293" s="47">
        <f t="shared" si="70"/>
        <v>56</v>
      </c>
      <c r="C293" s="47">
        <f t="shared" si="70"/>
        <v>28</v>
      </c>
      <c r="D293" s="47">
        <f t="shared" si="70"/>
        <v>28</v>
      </c>
      <c r="E293" s="47">
        <f t="shared" si="70"/>
        <v>0</v>
      </c>
      <c r="F293" s="47">
        <f t="shared" si="70"/>
        <v>0</v>
      </c>
      <c r="G293" s="47">
        <f t="shared" si="70"/>
        <v>0</v>
      </c>
      <c r="H293" s="47">
        <f t="shared" si="70"/>
        <v>56</v>
      </c>
      <c r="I293" s="47">
        <f t="shared" si="70"/>
        <v>28</v>
      </c>
      <c r="J293" s="47">
        <f t="shared" si="70"/>
        <v>28</v>
      </c>
      <c r="K293" s="188" t="s">
        <v>59</v>
      </c>
      <c r="L293" s="133"/>
      <c r="M293" s="298"/>
    </row>
    <row r="294" spans="2:13" ht="15.75" customHeight="1" thickBot="1" x14ac:dyDescent="0.25">
      <c r="B294" s="47">
        <f t="shared" ref="B294:I294" si="71">SUM(B291:B293)</f>
        <v>96</v>
      </c>
      <c r="C294" s="47">
        <f t="shared" si="71"/>
        <v>46</v>
      </c>
      <c r="D294" s="47">
        <f t="shared" si="71"/>
        <v>50</v>
      </c>
      <c r="E294" s="47">
        <f t="shared" si="71"/>
        <v>0</v>
      </c>
      <c r="F294" s="47">
        <f t="shared" si="71"/>
        <v>0</v>
      </c>
      <c r="G294" s="47">
        <f t="shared" si="71"/>
        <v>0</v>
      </c>
      <c r="H294" s="47">
        <f t="shared" si="71"/>
        <v>96</v>
      </c>
      <c r="I294" s="47">
        <f t="shared" si="71"/>
        <v>46</v>
      </c>
      <c r="J294" s="47">
        <f>SUM(J291:J293)</f>
        <v>50</v>
      </c>
      <c r="K294" s="500" t="s">
        <v>245</v>
      </c>
      <c r="L294" s="500"/>
      <c r="M294" s="299"/>
    </row>
    <row r="295" spans="2:13" ht="15.75" customHeight="1" thickBot="1" x14ac:dyDescent="0.25">
      <c r="B295" s="476" t="s">
        <v>4</v>
      </c>
      <c r="C295" s="476"/>
      <c r="D295" s="476"/>
      <c r="E295" s="476" t="s">
        <v>145</v>
      </c>
      <c r="F295" s="476"/>
      <c r="G295" s="476"/>
      <c r="H295" s="476" t="s">
        <v>146</v>
      </c>
      <c r="I295" s="476"/>
      <c r="J295" s="476"/>
      <c r="K295" s="479" t="s">
        <v>66</v>
      </c>
      <c r="L295" s="479"/>
      <c r="M295" s="296"/>
    </row>
    <row r="296" spans="2:13" ht="15.75" customHeight="1" thickBot="1" x14ac:dyDescent="0.25">
      <c r="B296" s="185" t="s">
        <v>227</v>
      </c>
      <c r="C296" s="185" t="s">
        <v>10</v>
      </c>
      <c r="D296" s="185" t="s">
        <v>9</v>
      </c>
      <c r="E296" s="185" t="s">
        <v>227</v>
      </c>
      <c r="F296" s="185" t="s">
        <v>10</v>
      </c>
      <c r="G296" s="185" t="s">
        <v>9</v>
      </c>
      <c r="H296" s="185" t="s">
        <v>227</v>
      </c>
      <c r="I296" s="185" t="s">
        <v>10</v>
      </c>
      <c r="J296" s="185" t="s">
        <v>9</v>
      </c>
      <c r="K296" s="480" t="s">
        <v>155</v>
      </c>
      <c r="L296" s="480"/>
      <c r="M296" s="296"/>
    </row>
    <row r="297" spans="2:13" ht="15.75" customHeight="1" thickBot="1" x14ac:dyDescent="0.25">
      <c r="B297" s="47">
        <f>SUM(C297:D297)</f>
        <v>0</v>
      </c>
      <c r="C297" s="47">
        <f>I297+F297</f>
        <v>0</v>
      </c>
      <c r="D297" s="47">
        <f>J297+G297</f>
        <v>0</v>
      </c>
      <c r="E297" s="47">
        <f>SUM(F297:G297)</f>
        <v>0</v>
      </c>
      <c r="F297" s="47">
        <v>0</v>
      </c>
      <c r="G297" s="47">
        <v>0</v>
      </c>
      <c r="H297" s="47">
        <f>SUM(I297:J297)</f>
        <v>0</v>
      </c>
      <c r="I297" s="47">
        <v>0</v>
      </c>
      <c r="J297" s="47">
        <v>0</v>
      </c>
      <c r="K297" s="188" t="s">
        <v>56</v>
      </c>
      <c r="L297" s="134"/>
      <c r="M297" s="297"/>
    </row>
    <row r="298" spans="2:13" ht="15.75" customHeight="1" thickBot="1" x14ac:dyDescent="0.25">
      <c r="B298" s="47">
        <f t="shared" ref="B298:B302" si="72">SUM(C298:D298)</f>
        <v>12</v>
      </c>
      <c r="C298" s="47">
        <f t="shared" ref="C298:D302" si="73">I298+F298</f>
        <v>4</v>
      </c>
      <c r="D298" s="47">
        <f t="shared" si="73"/>
        <v>8</v>
      </c>
      <c r="E298" s="47">
        <f t="shared" ref="E298:E302" si="74">SUM(F298:G298)</f>
        <v>1</v>
      </c>
      <c r="F298" s="47">
        <v>0</v>
      </c>
      <c r="G298" s="47">
        <v>1</v>
      </c>
      <c r="H298" s="47">
        <f t="shared" ref="H298:H302" si="75">SUM(I298:J298)</f>
        <v>11</v>
      </c>
      <c r="I298" s="47">
        <v>4</v>
      </c>
      <c r="J298" s="47">
        <v>7</v>
      </c>
      <c r="K298" s="188" t="s">
        <v>57</v>
      </c>
      <c r="L298" s="134" t="s">
        <v>127</v>
      </c>
      <c r="M298" s="297"/>
    </row>
    <row r="299" spans="2:13" ht="15.75" customHeight="1" thickBot="1" x14ac:dyDescent="0.25">
      <c r="B299" s="47">
        <f t="shared" si="72"/>
        <v>0</v>
      </c>
      <c r="C299" s="47">
        <f t="shared" si="73"/>
        <v>0</v>
      </c>
      <c r="D299" s="47">
        <f t="shared" si="73"/>
        <v>0</v>
      </c>
      <c r="E299" s="47">
        <f t="shared" si="74"/>
        <v>0</v>
      </c>
      <c r="F299" s="47">
        <v>0</v>
      </c>
      <c r="G299" s="47">
        <v>0</v>
      </c>
      <c r="H299" s="47">
        <f t="shared" si="75"/>
        <v>0</v>
      </c>
      <c r="I299" s="47">
        <v>0</v>
      </c>
      <c r="J299" s="47">
        <v>0</v>
      </c>
      <c r="K299" s="188" t="s">
        <v>59</v>
      </c>
      <c r="L299" s="135"/>
      <c r="M299" s="297"/>
    </row>
    <row r="300" spans="2:13" ht="15.75" customHeight="1" thickBot="1" x14ac:dyDescent="0.25">
      <c r="B300" s="47">
        <f t="shared" si="72"/>
        <v>0</v>
      </c>
      <c r="C300" s="47">
        <f t="shared" si="73"/>
        <v>0</v>
      </c>
      <c r="D300" s="47">
        <f t="shared" si="73"/>
        <v>0</v>
      </c>
      <c r="E300" s="47">
        <f t="shared" si="74"/>
        <v>0</v>
      </c>
      <c r="F300" s="47">
        <v>0</v>
      </c>
      <c r="G300" s="47">
        <v>0</v>
      </c>
      <c r="H300" s="47">
        <f t="shared" si="75"/>
        <v>0</v>
      </c>
      <c r="I300" s="47">
        <v>0</v>
      </c>
      <c r="J300" s="47">
        <v>0</v>
      </c>
      <c r="K300" s="188" t="s">
        <v>56</v>
      </c>
      <c r="L300" s="134"/>
      <c r="M300" s="297"/>
    </row>
    <row r="301" spans="2:13" ht="15.75" customHeight="1" thickBot="1" x14ac:dyDescent="0.25">
      <c r="B301" s="47">
        <f t="shared" si="72"/>
        <v>0</v>
      </c>
      <c r="C301" s="47">
        <f t="shared" si="73"/>
        <v>0</v>
      </c>
      <c r="D301" s="47">
        <f t="shared" si="73"/>
        <v>0</v>
      </c>
      <c r="E301" s="47">
        <f t="shared" si="74"/>
        <v>0</v>
      </c>
      <c r="F301" s="47">
        <v>0</v>
      </c>
      <c r="G301" s="47">
        <v>0</v>
      </c>
      <c r="H301" s="47">
        <f t="shared" si="75"/>
        <v>0</v>
      </c>
      <c r="I301" s="47">
        <v>0</v>
      </c>
      <c r="J301" s="47">
        <v>0</v>
      </c>
      <c r="K301" s="188" t="s">
        <v>57</v>
      </c>
      <c r="L301" s="134" t="s">
        <v>128</v>
      </c>
      <c r="M301" s="297"/>
    </row>
    <row r="302" spans="2:13" ht="15.75" customHeight="1" thickBot="1" x14ac:dyDescent="0.25">
      <c r="B302" s="47">
        <f t="shared" si="72"/>
        <v>269</v>
      </c>
      <c r="C302" s="47">
        <f t="shared" si="73"/>
        <v>108</v>
      </c>
      <c r="D302" s="47">
        <f t="shared" si="73"/>
        <v>161</v>
      </c>
      <c r="E302" s="47">
        <f t="shared" si="74"/>
        <v>7</v>
      </c>
      <c r="F302" s="47">
        <v>4</v>
      </c>
      <c r="G302" s="47">
        <v>3</v>
      </c>
      <c r="H302" s="47">
        <f t="shared" si="75"/>
        <v>262</v>
      </c>
      <c r="I302" s="47">
        <v>104</v>
      </c>
      <c r="J302" s="47">
        <v>158</v>
      </c>
      <c r="K302" s="188" t="s">
        <v>59</v>
      </c>
      <c r="L302" s="135"/>
      <c r="M302" s="297"/>
    </row>
    <row r="303" spans="2:13" ht="15.75" customHeight="1" thickBot="1" x14ac:dyDescent="0.25">
      <c r="B303" s="47">
        <f t="shared" ref="B303:J305" si="76">B297+B300</f>
        <v>0</v>
      </c>
      <c r="C303" s="47">
        <f t="shared" si="76"/>
        <v>0</v>
      </c>
      <c r="D303" s="47">
        <f t="shared" si="76"/>
        <v>0</v>
      </c>
      <c r="E303" s="47">
        <f t="shared" si="76"/>
        <v>0</v>
      </c>
      <c r="F303" s="47">
        <f t="shared" si="76"/>
        <v>0</v>
      </c>
      <c r="G303" s="47">
        <f t="shared" si="76"/>
        <v>0</v>
      </c>
      <c r="H303" s="47">
        <f t="shared" si="76"/>
        <v>0</v>
      </c>
      <c r="I303" s="47">
        <f t="shared" si="76"/>
        <v>0</v>
      </c>
      <c r="J303" s="47">
        <f>J297+J300</f>
        <v>0</v>
      </c>
      <c r="K303" s="188" t="s">
        <v>243</v>
      </c>
      <c r="L303" s="131"/>
      <c r="M303" s="298"/>
    </row>
    <row r="304" spans="2:13" ht="15.75" customHeight="1" thickBot="1" x14ac:dyDescent="0.25">
      <c r="B304" s="47">
        <f t="shared" si="76"/>
        <v>12</v>
      </c>
      <c r="C304" s="47">
        <f t="shared" si="76"/>
        <v>4</v>
      </c>
      <c r="D304" s="47">
        <f t="shared" si="76"/>
        <v>8</v>
      </c>
      <c r="E304" s="47">
        <f t="shared" si="76"/>
        <v>1</v>
      </c>
      <c r="F304" s="47">
        <f t="shared" si="76"/>
        <v>0</v>
      </c>
      <c r="G304" s="47">
        <f t="shared" si="76"/>
        <v>1</v>
      </c>
      <c r="H304" s="47">
        <f t="shared" si="76"/>
        <v>11</v>
      </c>
      <c r="I304" s="47">
        <f t="shared" si="76"/>
        <v>4</v>
      </c>
      <c r="J304" s="47">
        <f t="shared" si="76"/>
        <v>7</v>
      </c>
      <c r="K304" s="188" t="s">
        <v>57</v>
      </c>
      <c r="L304" s="132" t="s">
        <v>244</v>
      </c>
      <c r="M304" s="298"/>
    </row>
    <row r="305" spans="2:13" ht="15.75" customHeight="1" thickBot="1" x14ac:dyDescent="0.25">
      <c r="B305" s="47">
        <f t="shared" si="76"/>
        <v>269</v>
      </c>
      <c r="C305" s="47">
        <f t="shared" si="76"/>
        <v>108</v>
      </c>
      <c r="D305" s="47">
        <f t="shared" si="76"/>
        <v>161</v>
      </c>
      <c r="E305" s="47">
        <f t="shared" si="76"/>
        <v>7</v>
      </c>
      <c r="F305" s="47">
        <f t="shared" si="76"/>
        <v>4</v>
      </c>
      <c r="G305" s="47">
        <f t="shared" si="76"/>
        <v>3</v>
      </c>
      <c r="H305" s="47">
        <f t="shared" si="76"/>
        <v>262</v>
      </c>
      <c r="I305" s="47">
        <f t="shared" si="76"/>
        <v>104</v>
      </c>
      <c r="J305" s="47">
        <f t="shared" si="76"/>
        <v>158</v>
      </c>
      <c r="K305" s="188" t="s">
        <v>59</v>
      </c>
      <c r="L305" s="133"/>
      <c r="M305" s="298"/>
    </row>
    <row r="306" spans="2:13" ht="15.75" customHeight="1" thickBot="1" x14ac:dyDescent="0.25">
      <c r="B306" s="47">
        <f t="shared" ref="B306:I306" si="77">SUM(B303:B305)</f>
        <v>281</v>
      </c>
      <c r="C306" s="47">
        <f t="shared" si="77"/>
        <v>112</v>
      </c>
      <c r="D306" s="47">
        <f t="shared" si="77"/>
        <v>169</v>
      </c>
      <c r="E306" s="47">
        <f t="shared" si="77"/>
        <v>8</v>
      </c>
      <c r="F306" s="47">
        <f t="shared" si="77"/>
        <v>4</v>
      </c>
      <c r="G306" s="47">
        <f t="shared" si="77"/>
        <v>4</v>
      </c>
      <c r="H306" s="47">
        <f t="shared" si="77"/>
        <v>273</v>
      </c>
      <c r="I306" s="47">
        <f t="shared" si="77"/>
        <v>108</v>
      </c>
      <c r="J306" s="47">
        <f>SUM(J303:J305)</f>
        <v>165</v>
      </c>
      <c r="K306" s="500" t="s">
        <v>245</v>
      </c>
      <c r="L306" s="500"/>
      <c r="M306" s="299"/>
    </row>
    <row r="307" spans="2:13" ht="15.75" customHeight="1" thickBot="1" x14ac:dyDescent="0.25">
      <c r="B307" s="476" t="s">
        <v>4</v>
      </c>
      <c r="C307" s="476"/>
      <c r="D307" s="476"/>
      <c r="E307" s="476" t="s">
        <v>145</v>
      </c>
      <c r="F307" s="476"/>
      <c r="G307" s="476"/>
      <c r="H307" s="476" t="s">
        <v>146</v>
      </c>
      <c r="I307" s="476"/>
      <c r="J307" s="476"/>
      <c r="K307" s="479" t="s">
        <v>66</v>
      </c>
      <c r="L307" s="479"/>
      <c r="M307" s="296"/>
    </row>
    <row r="308" spans="2:13" ht="15.75" customHeight="1" thickBot="1" x14ac:dyDescent="0.25">
      <c r="B308" s="185" t="s">
        <v>227</v>
      </c>
      <c r="C308" s="185" t="s">
        <v>10</v>
      </c>
      <c r="D308" s="185" t="s">
        <v>9</v>
      </c>
      <c r="E308" s="185" t="s">
        <v>227</v>
      </c>
      <c r="F308" s="185" t="s">
        <v>10</v>
      </c>
      <c r="G308" s="185" t="s">
        <v>9</v>
      </c>
      <c r="H308" s="185" t="s">
        <v>227</v>
      </c>
      <c r="I308" s="185" t="s">
        <v>10</v>
      </c>
      <c r="J308" s="185" t="s">
        <v>9</v>
      </c>
      <c r="K308" s="480" t="s">
        <v>153</v>
      </c>
      <c r="L308" s="480"/>
      <c r="M308" s="296"/>
    </row>
    <row r="309" spans="2:13" ht="15.75" customHeight="1" thickBot="1" x14ac:dyDescent="0.25">
      <c r="B309" s="47">
        <f>SUM(C309:D309)</f>
        <v>0</v>
      </c>
      <c r="C309" s="47">
        <f>I309+F309</f>
        <v>0</v>
      </c>
      <c r="D309" s="47">
        <f>J309+G309</f>
        <v>0</v>
      </c>
      <c r="E309" s="47">
        <f>SUM(F309:G309)</f>
        <v>0</v>
      </c>
      <c r="F309" s="47">
        <v>0</v>
      </c>
      <c r="G309" s="47">
        <v>0</v>
      </c>
      <c r="H309" s="47">
        <f>SUM(I309:J309)</f>
        <v>0</v>
      </c>
      <c r="I309" s="47">
        <v>0</v>
      </c>
      <c r="J309" s="47">
        <v>0</v>
      </c>
      <c r="K309" s="188" t="s">
        <v>56</v>
      </c>
      <c r="L309" s="248"/>
      <c r="M309" s="303"/>
    </row>
    <row r="310" spans="2:13" ht="15.75" customHeight="1" thickBot="1" x14ac:dyDescent="0.25">
      <c r="B310" s="47">
        <f t="shared" ref="B310:B311" si="78">SUM(C310:D310)</f>
        <v>0</v>
      </c>
      <c r="C310" s="47">
        <f t="shared" ref="C310:D311" si="79">I310+F310</f>
        <v>0</v>
      </c>
      <c r="D310" s="47">
        <f t="shared" si="79"/>
        <v>0</v>
      </c>
      <c r="E310" s="47">
        <f t="shared" ref="E310:E311" si="80">SUM(F310:G310)</f>
        <v>0</v>
      </c>
      <c r="F310" s="47">
        <v>0</v>
      </c>
      <c r="G310" s="47">
        <v>0</v>
      </c>
      <c r="H310" s="47">
        <f t="shared" ref="H310:H311" si="81">SUM(I310:J310)</f>
        <v>0</v>
      </c>
      <c r="I310" s="47">
        <v>0</v>
      </c>
      <c r="J310" s="47">
        <v>0</v>
      </c>
      <c r="K310" s="188" t="s">
        <v>57</v>
      </c>
      <c r="L310" s="248" t="s">
        <v>153</v>
      </c>
      <c r="M310" s="303"/>
    </row>
    <row r="311" spans="2:13" ht="15.75" customHeight="1" thickBot="1" x14ac:dyDescent="0.25">
      <c r="B311" s="47">
        <f t="shared" si="78"/>
        <v>185</v>
      </c>
      <c r="C311" s="47">
        <f t="shared" si="79"/>
        <v>0</v>
      </c>
      <c r="D311" s="47">
        <f t="shared" si="79"/>
        <v>185</v>
      </c>
      <c r="E311" s="47">
        <f t="shared" si="80"/>
        <v>0</v>
      </c>
      <c r="F311" s="47">
        <v>0</v>
      </c>
      <c r="G311" s="47">
        <v>0</v>
      </c>
      <c r="H311" s="47">
        <f t="shared" si="81"/>
        <v>185</v>
      </c>
      <c r="I311" s="47">
        <v>0</v>
      </c>
      <c r="J311" s="47">
        <v>185</v>
      </c>
      <c r="K311" s="188" t="s">
        <v>59</v>
      </c>
      <c r="L311" s="255"/>
      <c r="M311" s="303"/>
    </row>
    <row r="312" spans="2:13" ht="15.75" customHeight="1" thickBot="1" x14ac:dyDescent="0.25">
      <c r="B312" s="47">
        <f t="shared" ref="B312:J314" si="82">B309</f>
        <v>0</v>
      </c>
      <c r="C312" s="47">
        <f t="shared" si="82"/>
        <v>0</v>
      </c>
      <c r="D312" s="47">
        <f t="shared" si="82"/>
        <v>0</v>
      </c>
      <c r="E312" s="47">
        <f t="shared" si="82"/>
        <v>0</v>
      </c>
      <c r="F312" s="47">
        <f t="shared" si="82"/>
        <v>0</v>
      </c>
      <c r="G312" s="47">
        <f t="shared" si="82"/>
        <v>0</v>
      </c>
      <c r="H312" s="47">
        <f t="shared" si="82"/>
        <v>0</v>
      </c>
      <c r="I312" s="47">
        <f t="shared" si="82"/>
        <v>0</v>
      </c>
      <c r="J312" s="47">
        <f>J309</f>
        <v>0</v>
      </c>
      <c r="K312" s="188" t="s">
        <v>243</v>
      </c>
      <c r="L312" s="250"/>
      <c r="M312" s="296"/>
    </row>
    <row r="313" spans="2:13" ht="15.75" customHeight="1" thickBot="1" x14ac:dyDescent="0.25">
      <c r="B313" s="47">
        <f t="shared" si="82"/>
        <v>0</v>
      </c>
      <c r="C313" s="47">
        <f t="shared" si="82"/>
        <v>0</v>
      </c>
      <c r="D313" s="47">
        <f t="shared" si="82"/>
        <v>0</v>
      </c>
      <c r="E313" s="47">
        <f t="shared" si="82"/>
        <v>0</v>
      </c>
      <c r="F313" s="47">
        <f t="shared" si="82"/>
        <v>0</v>
      </c>
      <c r="G313" s="47">
        <f t="shared" si="82"/>
        <v>0</v>
      </c>
      <c r="H313" s="47">
        <f t="shared" si="82"/>
        <v>0</v>
      </c>
      <c r="I313" s="47">
        <f t="shared" si="82"/>
        <v>0</v>
      </c>
      <c r="J313" s="47">
        <f t="shared" si="82"/>
        <v>0</v>
      </c>
      <c r="K313" s="188" t="s">
        <v>57</v>
      </c>
      <c r="L313" s="251" t="s">
        <v>244</v>
      </c>
      <c r="M313" s="296"/>
    </row>
    <row r="314" spans="2:13" ht="15.75" customHeight="1" thickBot="1" x14ac:dyDescent="0.25">
      <c r="B314" s="47">
        <f t="shared" si="82"/>
        <v>185</v>
      </c>
      <c r="C314" s="47">
        <f t="shared" si="82"/>
        <v>0</v>
      </c>
      <c r="D314" s="47">
        <f t="shared" si="82"/>
        <v>185</v>
      </c>
      <c r="E314" s="47">
        <f t="shared" si="82"/>
        <v>0</v>
      </c>
      <c r="F314" s="47">
        <f t="shared" si="82"/>
        <v>0</v>
      </c>
      <c r="G314" s="47">
        <f t="shared" si="82"/>
        <v>0</v>
      </c>
      <c r="H314" s="47">
        <f t="shared" si="82"/>
        <v>185</v>
      </c>
      <c r="I314" s="47">
        <f t="shared" si="82"/>
        <v>0</v>
      </c>
      <c r="J314" s="47">
        <f t="shared" si="82"/>
        <v>185</v>
      </c>
      <c r="K314" s="188" t="s">
        <v>59</v>
      </c>
      <c r="L314" s="187"/>
      <c r="M314" s="296"/>
    </row>
    <row r="315" spans="2:13" ht="15.75" customHeight="1" thickBot="1" x14ac:dyDescent="0.25">
      <c r="B315" s="47">
        <f t="shared" ref="B315:I315" si="83">SUM(B312:B314)</f>
        <v>185</v>
      </c>
      <c r="C315" s="47">
        <f t="shared" si="83"/>
        <v>0</v>
      </c>
      <c r="D315" s="47">
        <f t="shared" si="83"/>
        <v>185</v>
      </c>
      <c r="E315" s="47">
        <f t="shared" si="83"/>
        <v>0</v>
      </c>
      <c r="F315" s="47">
        <f t="shared" si="83"/>
        <v>0</v>
      </c>
      <c r="G315" s="47">
        <f t="shared" si="83"/>
        <v>0</v>
      </c>
      <c r="H315" s="47">
        <f t="shared" si="83"/>
        <v>185</v>
      </c>
      <c r="I315" s="47">
        <f t="shared" si="83"/>
        <v>0</v>
      </c>
      <c r="J315" s="47">
        <f>SUM(J312:J314)</f>
        <v>185</v>
      </c>
      <c r="K315" s="500" t="s">
        <v>245</v>
      </c>
      <c r="L315" s="500"/>
      <c r="M315" s="299"/>
    </row>
  </sheetData>
  <mergeCells count="85">
    <mergeCell ref="K308:L308"/>
    <mergeCell ref="K315:L315"/>
    <mergeCell ref="K296:L296"/>
    <mergeCell ref="K306:L306"/>
    <mergeCell ref="B307:D307"/>
    <mergeCell ref="E307:G307"/>
    <mergeCell ref="H307:J307"/>
    <mergeCell ref="K307:L307"/>
    <mergeCell ref="K284:L284"/>
    <mergeCell ref="K294:L294"/>
    <mergeCell ref="B295:D295"/>
    <mergeCell ref="E295:G295"/>
    <mergeCell ref="H295:J295"/>
    <mergeCell ref="K295:L295"/>
    <mergeCell ref="K269:L269"/>
    <mergeCell ref="K282:L282"/>
    <mergeCell ref="B283:D283"/>
    <mergeCell ref="E283:G283"/>
    <mergeCell ref="H283:J283"/>
    <mergeCell ref="K283:L283"/>
    <mergeCell ref="K254:L254"/>
    <mergeCell ref="K267:L267"/>
    <mergeCell ref="B268:D268"/>
    <mergeCell ref="E268:G268"/>
    <mergeCell ref="H268:J268"/>
    <mergeCell ref="K268:L268"/>
    <mergeCell ref="K245:L245"/>
    <mergeCell ref="K252:L252"/>
    <mergeCell ref="B253:D253"/>
    <mergeCell ref="E253:G253"/>
    <mergeCell ref="H253:J253"/>
    <mergeCell ref="K253:L253"/>
    <mergeCell ref="K230:L230"/>
    <mergeCell ref="K243:L243"/>
    <mergeCell ref="B244:D244"/>
    <mergeCell ref="E244:G244"/>
    <mergeCell ref="H244:J244"/>
    <mergeCell ref="K244:L244"/>
    <mergeCell ref="K203:L203"/>
    <mergeCell ref="K228:L228"/>
    <mergeCell ref="B229:D229"/>
    <mergeCell ref="E229:G229"/>
    <mergeCell ref="H229:J229"/>
    <mergeCell ref="K229:L229"/>
    <mergeCell ref="K182:L182"/>
    <mergeCell ref="K201:L201"/>
    <mergeCell ref="B202:D202"/>
    <mergeCell ref="E202:G202"/>
    <mergeCell ref="H202:J202"/>
    <mergeCell ref="K202:L202"/>
    <mergeCell ref="K143:L143"/>
    <mergeCell ref="K180:L180"/>
    <mergeCell ref="B181:D181"/>
    <mergeCell ref="E181:G181"/>
    <mergeCell ref="H181:J181"/>
    <mergeCell ref="K181:L181"/>
    <mergeCell ref="K92:L92"/>
    <mergeCell ref="K141:L141"/>
    <mergeCell ref="B142:D142"/>
    <mergeCell ref="E142:G142"/>
    <mergeCell ref="H142:J142"/>
    <mergeCell ref="K142:L142"/>
    <mergeCell ref="K62:L62"/>
    <mergeCell ref="K90:L90"/>
    <mergeCell ref="B91:D91"/>
    <mergeCell ref="E91:G91"/>
    <mergeCell ref="H91:J91"/>
    <mergeCell ref="K91:L91"/>
    <mergeCell ref="K41:L41"/>
    <mergeCell ref="K60:L60"/>
    <mergeCell ref="B61:D61"/>
    <mergeCell ref="E61:G61"/>
    <mergeCell ref="H61:J61"/>
    <mergeCell ref="K61:L61"/>
    <mergeCell ref="K39:L39"/>
    <mergeCell ref="B40:D40"/>
    <mergeCell ref="E40:G40"/>
    <mergeCell ref="H40:J40"/>
    <mergeCell ref="K40:L40"/>
    <mergeCell ref="K5:L5"/>
    <mergeCell ref="B2:L2"/>
    <mergeCell ref="B4:D4"/>
    <mergeCell ref="E4:G4"/>
    <mergeCell ref="H4:J4"/>
    <mergeCell ref="K4:L4"/>
  </mergeCells>
  <printOptions horizontalCentered="1" verticalCentered="1"/>
  <pageMargins left="0.4" right="0.4" top="0.28000000000000003" bottom="0.25" header="0.25" footer="0.25"/>
  <pageSetup paperSize="9" scale="90" orientation="landscape" r:id="rId1"/>
  <headerFooter alignWithMargins="0"/>
  <rowBreaks count="7" manualBreakCount="7">
    <brk id="39" min="1" max="11" man="1"/>
    <brk id="60" min="1" max="11" man="1"/>
    <brk id="90" min="1" max="11" man="1"/>
    <brk id="141" min="1" max="11" man="1"/>
    <brk id="180" min="1" max="11" man="1"/>
    <brk id="228" min="1" max="11" man="1"/>
    <brk id="267" min="1" max="11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T86"/>
  <sheetViews>
    <sheetView showGridLines="0" view="pageBreakPreview" topLeftCell="B1" zoomScaleNormal="100" zoomScaleSheetLayoutView="100" workbookViewId="0">
      <selection activeCell="B88" sqref="A84:XFD88"/>
    </sheetView>
  </sheetViews>
  <sheetFormatPr defaultRowHeight="12.75" x14ac:dyDescent="0.2"/>
  <cols>
    <col min="1" max="1" width="9" style="2"/>
    <col min="2" max="2" width="8.75" style="2" customWidth="1"/>
    <col min="3" max="17" width="5.875" style="2" customWidth="1"/>
    <col min="18" max="18" width="9.625" style="2" customWidth="1"/>
    <col min="19" max="19" width="37.25" style="2" customWidth="1"/>
    <col min="20" max="20" width="3.25" style="2" customWidth="1"/>
    <col min="21" max="258" width="9" style="2"/>
    <col min="259" max="261" width="6.125" style="2" customWidth="1"/>
    <col min="262" max="273" width="5.375" style="2" customWidth="1"/>
    <col min="274" max="274" width="9.625" style="2" customWidth="1"/>
    <col min="275" max="275" width="35.75" style="2" customWidth="1"/>
    <col min="276" max="276" width="3.25" style="2" customWidth="1"/>
    <col min="277" max="514" width="9" style="2"/>
    <col min="515" max="517" width="6.125" style="2" customWidth="1"/>
    <col min="518" max="529" width="5.375" style="2" customWidth="1"/>
    <col min="530" max="530" width="9.625" style="2" customWidth="1"/>
    <col min="531" max="531" width="35.75" style="2" customWidth="1"/>
    <col min="532" max="532" width="3.25" style="2" customWidth="1"/>
    <col min="533" max="770" width="9" style="2"/>
    <col min="771" max="773" width="6.125" style="2" customWidth="1"/>
    <col min="774" max="785" width="5.375" style="2" customWidth="1"/>
    <col min="786" max="786" width="9.625" style="2" customWidth="1"/>
    <col min="787" max="787" width="35.75" style="2" customWidth="1"/>
    <col min="788" max="788" width="3.25" style="2" customWidth="1"/>
    <col min="789" max="1026" width="9" style="2"/>
    <col min="1027" max="1029" width="6.125" style="2" customWidth="1"/>
    <col min="1030" max="1041" width="5.375" style="2" customWidth="1"/>
    <col min="1042" max="1042" width="9.625" style="2" customWidth="1"/>
    <col min="1043" max="1043" width="35.75" style="2" customWidth="1"/>
    <col min="1044" max="1044" width="3.25" style="2" customWidth="1"/>
    <col min="1045" max="1282" width="9" style="2"/>
    <col min="1283" max="1285" width="6.125" style="2" customWidth="1"/>
    <col min="1286" max="1297" width="5.375" style="2" customWidth="1"/>
    <col min="1298" max="1298" width="9.625" style="2" customWidth="1"/>
    <col min="1299" max="1299" width="35.75" style="2" customWidth="1"/>
    <col min="1300" max="1300" width="3.25" style="2" customWidth="1"/>
    <col min="1301" max="1538" width="9" style="2"/>
    <col min="1539" max="1541" width="6.125" style="2" customWidth="1"/>
    <col min="1542" max="1553" width="5.375" style="2" customWidth="1"/>
    <col min="1554" max="1554" width="9.625" style="2" customWidth="1"/>
    <col min="1555" max="1555" width="35.75" style="2" customWidth="1"/>
    <col min="1556" max="1556" width="3.25" style="2" customWidth="1"/>
    <col min="1557" max="1794" width="9" style="2"/>
    <col min="1795" max="1797" width="6.125" style="2" customWidth="1"/>
    <col min="1798" max="1809" width="5.375" style="2" customWidth="1"/>
    <col min="1810" max="1810" width="9.625" style="2" customWidth="1"/>
    <col min="1811" max="1811" width="35.75" style="2" customWidth="1"/>
    <col min="1812" max="1812" width="3.25" style="2" customWidth="1"/>
    <col min="1813" max="2050" width="9" style="2"/>
    <col min="2051" max="2053" width="6.125" style="2" customWidth="1"/>
    <col min="2054" max="2065" width="5.375" style="2" customWidth="1"/>
    <col min="2066" max="2066" width="9.625" style="2" customWidth="1"/>
    <col min="2067" max="2067" width="35.75" style="2" customWidth="1"/>
    <col min="2068" max="2068" width="3.25" style="2" customWidth="1"/>
    <col min="2069" max="2306" width="9" style="2"/>
    <col min="2307" max="2309" width="6.125" style="2" customWidth="1"/>
    <col min="2310" max="2321" width="5.375" style="2" customWidth="1"/>
    <col min="2322" max="2322" width="9.625" style="2" customWidth="1"/>
    <col min="2323" max="2323" width="35.75" style="2" customWidth="1"/>
    <col min="2324" max="2324" width="3.25" style="2" customWidth="1"/>
    <col min="2325" max="2562" width="9" style="2"/>
    <col min="2563" max="2565" width="6.125" style="2" customWidth="1"/>
    <col min="2566" max="2577" width="5.375" style="2" customWidth="1"/>
    <col min="2578" max="2578" width="9.625" style="2" customWidth="1"/>
    <col min="2579" max="2579" width="35.75" style="2" customWidth="1"/>
    <col min="2580" max="2580" width="3.25" style="2" customWidth="1"/>
    <col min="2581" max="2818" width="9" style="2"/>
    <col min="2819" max="2821" width="6.125" style="2" customWidth="1"/>
    <col min="2822" max="2833" width="5.375" style="2" customWidth="1"/>
    <col min="2834" max="2834" width="9.625" style="2" customWidth="1"/>
    <col min="2835" max="2835" width="35.75" style="2" customWidth="1"/>
    <col min="2836" max="2836" width="3.25" style="2" customWidth="1"/>
    <col min="2837" max="3074" width="9" style="2"/>
    <col min="3075" max="3077" width="6.125" style="2" customWidth="1"/>
    <col min="3078" max="3089" width="5.375" style="2" customWidth="1"/>
    <col min="3090" max="3090" width="9.625" style="2" customWidth="1"/>
    <col min="3091" max="3091" width="35.75" style="2" customWidth="1"/>
    <col min="3092" max="3092" width="3.25" style="2" customWidth="1"/>
    <col min="3093" max="3330" width="9" style="2"/>
    <col min="3331" max="3333" width="6.125" style="2" customWidth="1"/>
    <col min="3334" max="3345" width="5.375" style="2" customWidth="1"/>
    <col min="3346" max="3346" width="9.625" style="2" customWidth="1"/>
    <col min="3347" max="3347" width="35.75" style="2" customWidth="1"/>
    <col min="3348" max="3348" width="3.25" style="2" customWidth="1"/>
    <col min="3349" max="3586" width="9" style="2"/>
    <col min="3587" max="3589" width="6.125" style="2" customWidth="1"/>
    <col min="3590" max="3601" width="5.375" style="2" customWidth="1"/>
    <col min="3602" max="3602" width="9.625" style="2" customWidth="1"/>
    <col min="3603" max="3603" width="35.75" style="2" customWidth="1"/>
    <col min="3604" max="3604" width="3.25" style="2" customWidth="1"/>
    <col min="3605" max="3842" width="9" style="2"/>
    <col min="3843" max="3845" width="6.125" style="2" customWidth="1"/>
    <col min="3846" max="3857" width="5.375" style="2" customWidth="1"/>
    <col min="3858" max="3858" width="9.625" style="2" customWidth="1"/>
    <col min="3859" max="3859" width="35.75" style="2" customWidth="1"/>
    <col min="3860" max="3860" width="3.25" style="2" customWidth="1"/>
    <col min="3861" max="4098" width="9" style="2"/>
    <col min="4099" max="4101" width="6.125" style="2" customWidth="1"/>
    <col min="4102" max="4113" width="5.375" style="2" customWidth="1"/>
    <col min="4114" max="4114" width="9.625" style="2" customWidth="1"/>
    <col min="4115" max="4115" width="35.75" style="2" customWidth="1"/>
    <col min="4116" max="4116" width="3.25" style="2" customWidth="1"/>
    <col min="4117" max="4354" width="9" style="2"/>
    <col min="4355" max="4357" width="6.125" style="2" customWidth="1"/>
    <col min="4358" max="4369" width="5.375" style="2" customWidth="1"/>
    <col min="4370" max="4370" width="9.625" style="2" customWidth="1"/>
    <col min="4371" max="4371" width="35.75" style="2" customWidth="1"/>
    <col min="4372" max="4372" width="3.25" style="2" customWidth="1"/>
    <col min="4373" max="4610" width="9" style="2"/>
    <col min="4611" max="4613" width="6.125" style="2" customWidth="1"/>
    <col min="4614" max="4625" width="5.375" style="2" customWidth="1"/>
    <col min="4626" max="4626" width="9.625" style="2" customWidth="1"/>
    <col min="4627" max="4627" width="35.75" style="2" customWidth="1"/>
    <col min="4628" max="4628" width="3.25" style="2" customWidth="1"/>
    <col min="4629" max="4866" width="9" style="2"/>
    <col min="4867" max="4869" width="6.125" style="2" customWidth="1"/>
    <col min="4870" max="4881" width="5.375" style="2" customWidth="1"/>
    <col min="4882" max="4882" width="9.625" style="2" customWidth="1"/>
    <col min="4883" max="4883" width="35.75" style="2" customWidth="1"/>
    <col min="4884" max="4884" width="3.25" style="2" customWidth="1"/>
    <col min="4885" max="5122" width="9" style="2"/>
    <col min="5123" max="5125" width="6.125" style="2" customWidth="1"/>
    <col min="5126" max="5137" width="5.375" style="2" customWidth="1"/>
    <col min="5138" max="5138" width="9.625" style="2" customWidth="1"/>
    <col min="5139" max="5139" width="35.75" style="2" customWidth="1"/>
    <col min="5140" max="5140" width="3.25" style="2" customWidth="1"/>
    <col min="5141" max="5378" width="9" style="2"/>
    <col min="5379" max="5381" width="6.125" style="2" customWidth="1"/>
    <col min="5382" max="5393" width="5.375" style="2" customWidth="1"/>
    <col min="5394" max="5394" width="9.625" style="2" customWidth="1"/>
    <col min="5395" max="5395" width="35.75" style="2" customWidth="1"/>
    <col min="5396" max="5396" width="3.25" style="2" customWidth="1"/>
    <col min="5397" max="5634" width="9" style="2"/>
    <col min="5635" max="5637" width="6.125" style="2" customWidth="1"/>
    <col min="5638" max="5649" width="5.375" style="2" customWidth="1"/>
    <col min="5650" max="5650" width="9.625" style="2" customWidth="1"/>
    <col min="5651" max="5651" width="35.75" style="2" customWidth="1"/>
    <col min="5652" max="5652" width="3.25" style="2" customWidth="1"/>
    <col min="5653" max="5890" width="9" style="2"/>
    <col min="5891" max="5893" width="6.125" style="2" customWidth="1"/>
    <col min="5894" max="5905" width="5.375" style="2" customWidth="1"/>
    <col min="5906" max="5906" width="9.625" style="2" customWidth="1"/>
    <col min="5907" max="5907" width="35.75" style="2" customWidth="1"/>
    <col min="5908" max="5908" width="3.25" style="2" customWidth="1"/>
    <col min="5909" max="6146" width="9" style="2"/>
    <col min="6147" max="6149" width="6.125" style="2" customWidth="1"/>
    <col min="6150" max="6161" width="5.375" style="2" customWidth="1"/>
    <col min="6162" max="6162" width="9.625" style="2" customWidth="1"/>
    <col min="6163" max="6163" width="35.75" style="2" customWidth="1"/>
    <col min="6164" max="6164" width="3.25" style="2" customWidth="1"/>
    <col min="6165" max="6402" width="9" style="2"/>
    <col min="6403" max="6405" width="6.125" style="2" customWidth="1"/>
    <col min="6406" max="6417" width="5.375" style="2" customWidth="1"/>
    <col min="6418" max="6418" width="9.625" style="2" customWidth="1"/>
    <col min="6419" max="6419" width="35.75" style="2" customWidth="1"/>
    <col min="6420" max="6420" width="3.25" style="2" customWidth="1"/>
    <col min="6421" max="6658" width="9" style="2"/>
    <col min="6659" max="6661" width="6.125" style="2" customWidth="1"/>
    <col min="6662" max="6673" width="5.375" style="2" customWidth="1"/>
    <col min="6674" max="6674" width="9.625" style="2" customWidth="1"/>
    <col min="6675" max="6675" width="35.75" style="2" customWidth="1"/>
    <col min="6676" max="6676" width="3.25" style="2" customWidth="1"/>
    <col min="6677" max="6914" width="9" style="2"/>
    <col min="6915" max="6917" width="6.125" style="2" customWidth="1"/>
    <col min="6918" max="6929" width="5.375" style="2" customWidth="1"/>
    <col min="6930" max="6930" width="9.625" style="2" customWidth="1"/>
    <col min="6931" max="6931" width="35.75" style="2" customWidth="1"/>
    <col min="6932" max="6932" width="3.25" style="2" customWidth="1"/>
    <col min="6933" max="7170" width="9" style="2"/>
    <col min="7171" max="7173" width="6.125" style="2" customWidth="1"/>
    <col min="7174" max="7185" width="5.375" style="2" customWidth="1"/>
    <col min="7186" max="7186" width="9.625" style="2" customWidth="1"/>
    <col min="7187" max="7187" width="35.75" style="2" customWidth="1"/>
    <col min="7188" max="7188" width="3.25" style="2" customWidth="1"/>
    <col min="7189" max="7426" width="9" style="2"/>
    <col min="7427" max="7429" width="6.125" style="2" customWidth="1"/>
    <col min="7430" max="7441" width="5.375" style="2" customWidth="1"/>
    <col min="7442" max="7442" width="9.625" style="2" customWidth="1"/>
    <col min="7443" max="7443" width="35.75" style="2" customWidth="1"/>
    <col min="7444" max="7444" width="3.25" style="2" customWidth="1"/>
    <col min="7445" max="7682" width="9" style="2"/>
    <col min="7683" max="7685" width="6.125" style="2" customWidth="1"/>
    <col min="7686" max="7697" width="5.375" style="2" customWidth="1"/>
    <col min="7698" max="7698" width="9.625" style="2" customWidth="1"/>
    <col min="7699" max="7699" width="35.75" style="2" customWidth="1"/>
    <col min="7700" max="7700" width="3.25" style="2" customWidth="1"/>
    <col min="7701" max="7938" width="9" style="2"/>
    <col min="7939" max="7941" width="6.125" style="2" customWidth="1"/>
    <col min="7942" max="7953" width="5.375" style="2" customWidth="1"/>
    <col min="7954" max="7954" width="9.625" style="2" customWidth="1"/>
    <col min="7955" max="7955" width="35.75" style="2" customWidth="1"/>
    <col min="7956" max="7956" width="3.25" style="2" customWidth="1"/>
    <col min="7957" max="8194" width="9" style="2"/>
    <col min="8195" max="8197" width="6.125" style="2" customWidth="1"/>
    <col min="8198" max="8209" width="5.375" style="2" customWidth="1"/>
    <col min="8210" max="8210" width="9.625" style="2" customWidth="1"/>
    <col min="8211" max="8211" width="35.75" style="2" customWidth="1"/>
    <col min="8212" max="8212" width="3.25" style="2" customWidth="1"/>
    <col min="8213" max="8450" width="9" style="2"/>
    <col min="8451" max="8453" width="6.125" style="2" customWidth="1"/>
    <col min="8454" max="8465" width="5.375" style="2" customWidth="1"/>
    <col min="8466" max="8466" width="9.625" style="2" customWidth="1"/>
    <col min="8467" max="8467" width="35.75" style="2" customWidth="1"/>
    <col min="8468" max="8468" width="3.25" style="2" customWidth="1"/>
    <col min="8469" max="8706" width="9" style="2"/>
    <col min="8707" max="8709" width="6.125" style="2" customWidth="1"/>
    <col min="8710" max="8721" width="5.375" style="2" customWidth="1"/>
    <col min="8722" max="8722" width="9.625" style="2" customWidth="1"/>
    <col min="8723" max="8723" width="35.75" style="2" customWidth="1"/>
    <col min="8724" max="8724" width="3.25" style="2" customWidth="1"/>
    <col min="8725" max="8962" width="9" style="2"/>
    <col min="8963" max="8965" width="6.125" style="2" customWidth="1"/>
    <col min="8966" max="8977" width="5.375" style="2" customWidth="1"/>
    <col min="8978" max="8978" width="9.625" style="2" customWidth="1"/>
    <col min="8979" max="8979" width="35.75" style="2" customWidth="1"/>
    <col min="8980" max="8980" width="3.25" style="2" customWidth="1"/>
    <col min="8981" max="9218" width="9" style="2"/>
    <col min="9219" max="9221" width="6.125" style="2" customWidth="1"/>
    <col min="9222" max="9233" width="5.375" style="2" customWidth="1"/>
    <col min="9234" max="9234" width="9.625" style="2" customWidth="1"/>
    <col min="9235" max="9235" width="35.75" style="2" customWidth="1"/>
    <col min="9236" max="9236" width="3.25" style="2" customWidth="1"/>
    <col min="9237" max="9474" width="9" style="2"/>
    <col min="9475" max="9477" width="6.125" style="2" customWidth="1"/>
    <col min="9478" max="9489" width="5.375" style="2" customWidth="1"/>
    <col min="9490" max="9490" width="9.625" style="2" customWidth="1"/>
    <col min="9491" max="9491" width="35.75" style="2" customWidth="1"/>
    <col min="9492" max="9492" width="3.25" style="2" customWidth="1"/>
    <col min="9493" max="9730" width="9" style="2"/>
    <col min="9731" max="9733" width="6.125" style="2" customWidth="1"/>
    <col min="9734" max="9745" width="5.375" style="2" customWidth="1"/>
    <col min="9746" max="9746" width="9.625" style="2" customWidth="1"/>
    <col min="9747" max="9747" width="35.75" style="2" customWidth="1"/>
    <col min="9748" max="9748" width="3.25" style="2" customWidth="1"/>
    <col min="9749" max="9986" width="9" style="2"/>
    <col min="9987" max="9989" width="6.125" style="2" customWidth="1"/>
    <col min="9990" max="10001" width="5.375" style="2" customWidth="1"/>
    <col min="10002" max="10002" width="9.625" style="2" customWidth="1"/>
    <col min="10003" max="10003" width="35.75" style="2" customWidth="1"/>
    <col min="10004" max="10004" width="3.25" style="2" customWidth="1"/>
    <col min="10005" max="10242" width="9" style="2"/>
    <col min="10243" max="10245" width="6.125" style="2" customWidth="1"/>
    <col min="10246" max="10257" width="5.375" style="2" customWidth="1"/>
    <col min="10258" max="10258" width="9.625" style="2" customWidth="1"/>
    <col min="10259" max="10259" width="35.75" style="2" customWidth="1"/>
    <col min="10260" max="10260" width="3.25" style="2" customWidth="1"/>
    <col min="10261" max="10498" width="9" style="2"/>
    <col min="10499" max="10501" width="6.125" style="2" customWidth="1"/>
    <col min="10502" max="10513" width="5.375" style="2" customWidth="1"/>
    <col min="10514" max="10514" width="9.625" style="2" customWidth="1"/>
    <col min="10515" max="10515" width="35.75" style="2" customWidth="1"/>
    <col min="10516" max="10516" width="3.25" style="2" customWidth="1"/>
    <col min="10517" max="10754" width="9" style="2"/>
    <col min="10755" max="10757" width="6.125" style="2" customWidth="1"/>
    <col min="10758" max="10769" width="5.375" style="2" customWidth="1"/>
    <col min="10770" max="10770" width="9.625" style="2" customWidth="1"/>
    <col min="10771" max="10771" width="35.75" style="2" customWidth="1"/>
    <col min="10772" max="10772" width="3.25" style="2" customWidth="1"/>
    <col min="10773" max="11010" width="9" style="2"/>
    <col min="11011" max="11013" width="6.125" style="2" customWidth="1"/>
    <col min="11014" max="11025" width="5.375" style="2" customWidth="1"/>
    <col min="11026" max="11026" width="9.625" style="2" customWidth="1"/>
    <col min="11027" max="11027" width="35.75" style="2" customWidth="1"/>
    <col min="11028" max="11028" width="3.25" style="2" customWidth="1"/>
    <col min="11029" max="11266" width="9" style="2"/>
    <col min="11267" max="11269" width="6.125" style="2" customWidth="1"/>
    <col min="11270" max="11281" width="5.375" style="2" customWidth="1"/>
    <col min="11282" max="11282" width="9.625" style="2" customWidth="1"/>
    <col min="11283" max="11283" width="35.75" style="2" customWidth="1"/>
    <col min="11284" max="11284" width="3.25" style="2" customWidth="1"/>
    <col min="11285" max="11522" width="9" style="2"/>
    <col min="11523" max="11525" width="6.125" style="2" customWidth="1"/>
    <col min="11526" max="11537" width="5.375" style="2" customWidth="1"/>
    <col min="11538" max="11538" width="9.625" style="2" customWidth="1"/>
    <col min="11539" max="11539" width="35.75" style="2" customWidth="1"/>
    <col min="11540" max="11540" width="3.25" style="2" customWidth="1"/>
    <col min="11541" max="11778" width="9" style="2"/>
    <col min="11779" max="11781" width="6.125" style="2" customWidth="1"/>
    <col min="11782" max="11793" width="5.375" style="2" customWidth="1"/>
    <col min="11794" max="11794" width="9.625" style="2" customWidth="1"/>
    <col min="11795" max="11795" width="35.75" style="2" customWidth="1"/>
    <col min="11796" max="11796" width="3.25" style="2" customWidth="1"/>
    <col min="11797" max="12034" width="9" style="2"/>
    <col min="12035" max="12037" width="6.125" style="2" customWidth="1"/>
    <col min="12038" max="12049" width="5.375" style="2" customWidth="1"/>
    <col min="12050" max="12050" width="9.625" style="2" customWidth="1"/>
    <col min="12051" max="12051" width="35.75" style="2" customWidth="1"/>
    <col min="12052" max="12052" width="3.25" style="2" customWidth="1"/>
    <col min="12053" max="12290" width="9" style="2"/>
    <col min="12291" max="12293" width="6.125" style="2" customWidth="1"/>
    <col min="12294" max="12305" width="5.375" style="2" customWidth="1"/>
    <col min="12306" max="12306" width="9.625" style="2" customWidth="1"/>
    <col min="12307" max="12307" width="35.75" style="2" customWidth="1"/>
    <col min="12308" max="12308" width="3.25" style="2" customWidth="1"/>
    <col min="12309" max="12546" width="9" style="2"/>
    <col min="12547" max="12549" width="6.125" style="2" customWidth="1"/>
    <col min="12550" max="12561" width="5.375" style="2" customWidth="1"/>
    <col min="12562" max="12562" width="9.625" style="2" customWidth="1"/>
    <col min="12563" max="12563" width="35.75" style="2" customWidth="1"/>
    <col min="12564" max="12564" width="3.25" style="2" customWidth="1"/>
    <col min="12565" max="12802" width="9" style="2"/>
    <col min="12803" max="12805" width="6.125" style="2" customWidth="1"/>
    <col min="12806" max="12817" width="5.375" style="2" customWidth="1"/>
    <col min="12818" max="12818" width="9.625" style="2" customWidth="1"/>
    <col min="12819" max="12819" width="35.75" style="2" customWidth="1"/>
    <col min="12820" max="12820" width="3.25" style="2" customWidth="1"/>
    <col min="12821" max="13058" width="9" style="2"/>
    <col min="13059" max="13061" width="6.125" style="2" customWidth="1"/>
    <col min="13062" max="13073" width="5.375" style="2" customWidth="1"/>
    <col min="13074" max="13074" width="9.625" style="2" customWidth="1"/>
    <col min="13075" max="13075" width="35.75" style="2" customWidth="1"/>
    <col min="13076" max="13076" width="3.25" style="2" customWidth="1"/>
    <col min="13077" max="13314" width="9" style="2"/>
    <col min="13315" max="13317" width="6.125" style="2" customWidth="1"/>
    <col min="13318" max="13329" width="5.375" style="2" customWidth="1"/>
    <col min="13330" max="13330" width="9.625" style="2" customWidth="1"/>
    <col min="13331" max="13331" width="35.75" style="2" customWidth="1"/>
    <col min="13332" max="13332" width="3.25" style="2" customWidth="1"/>
    <col min="13333" max="13570" width="9" style="2"/>
    <col min="13571" max="13573" width="6.125" style="2" customWidth="1"/>
    <col min="13574" max="13585" width="5.375" style="2" customWidth="1"/>
    <col min="13586" max="13586" width="9.625" style="2" customWidth="1"/>
    <col min="13587" max="13587" width="35.75" style="2" customWidth="1"/>
    <col min="13588" max="13588" width="3.25" style="2" customWidth="1"/>
    <col min="13589" max="13826" width="9" style="2"/>
    <col min="13827" max="13829" width="6.125" style="2" customWidth="1"/>
    <col min="13830" max="13841" width="5.375" style="2" customWidth="1"/>
    <col min="13842" max="13842" width="9.625" style="2" customWidth="1"/>
    <col min="13843" max="13843" width="35.75" style="2" customWidth="1"/>
    <col min="13844" max="13844" width="3.25" style="2" customWidth="1"/>
    <col min="13845" max="14082" width="9" style="2"/>
    <col min="14083" max="14085" width="6.125" style="2" customWidth="1"/>
    <col min="14086" max="14097" width="5.375" style="2" customWidth="1"/>
    <col min="14098" max="14098" width="9.625" style="2" customWidth="1"/>
    <col min="14099" max="14099" width="35.75" style="2" customWidth="1"/>
    <col min="14100" max="14100" width="3.25" style="2" customWidth="1"/>
    <col min="14101" max="14338" width="9" style="2"/>
    <col min="14339" max="14341" width="6.125" style="2" customWidth="1"/>
    <col min="14342" max="14353" width="5.375" style="2" customWidth="1"/>
    <col min="14354" max="14354" width="9.625" style="2" customWidth="1"/>
    <col min="14355" max="14355" width="35.75" style="2" customWidth="1"/>
    <col min="14356" max="14356" width="3.25" style="2" customWidth="1"/>
    <col min="14357" max="14594" width="9" style="2"/>
    <col min="14595" max="14597" width="6.125" style="2" customWidth="1"/>
    <col min="14598" max="14609" width="5.375" style="2" customWidth="1"/>
    <col min="14610" max="14610" width="9.625" style="2" customWidth="1"/>
    <col min="14611" max="14611" width="35.75" style="2" customWidth="1"/>
    <col min="14612" max="14612" width="3.25" style="2" customWidth="1"/>
    <col min="14613" max="14850" width="9" style="2"/>
    <col min="14851" max="14853" width="6.125" style="2" customWidth="1"/>
    <col min="14854" max="14865" width="5.375" style="2" customWidth="1"/>
    <col min="14866" max="14866" width="9.625" style="2" customWidth="1"/>
    <col min="14867" max="14867" width="35.75" style="2" customWidth="1"/>
    <col min="14868" max="14868" width="3.25" style="2" customWidth="1"/>
    <col min="14869" max="15106" width="9" style="2"/>
    <col min="15107" max="15109" width="6.125" style="2" customWidth="1"/>
    <col min="15110" max="15121" width="5.375" style="2" customWidth="1"/>
    <col min="15122" max="15122" width="9.625" style="2" customWidth="1"/>
    <col min="15123" max="15123" width="35.75" style="2" customWidth="1"/>
    <col min="15124" max="15124" width="3.25" style="2" customWidth="1"/>
    <col min="15125" max="15362" width="9" style="2"/>
    <col min="15363" max="15365" width="6.125" style="2" customWidth="1"/>
    <col min="15366" max="15377" width="5.375" style="2" customWidth="1"/>
    <col min="15378" max="15378" width="9.625" style="2" customWidth="1"/>
    <col min="15379" max="15379" width="35.75" style="2" customWidth="1"/>
    <col min="15380" max="15380" width="3.25" style="2" customWidth="1"/>
    <col min="15381" max="15618" width="9" style="2"/>
    <col min="15619" max="15621" width="6.125" style="2" customWidth="1"/>
    <col min="15622" max="15633" width="5.375" style="2" customWidth="1"/>
    <col min="15634" max="15634" width="9.625" style="2" customWidth="1"/>
    <col min="15635" max="15635" width="35.75" style="2" customWidth="1"/>
    <col min="15636" max="15636" width="3.25" style="2" customWidth="1"/>
    <col min="15637" max="15874" width="9" style="2"/>
    <col min="15875" max="15877" width="6.125" style="2" customWidth="1"/>
    <col min="15878" max="15889" width="5.375" style="2" customWidth="1"/>
    <col min="15890" max="15890" width="9.625" style="2" customWidth="1"/>
    <col min="15891" max="15891" width="35.75" style="2" customWidth="1"/>
    <col min="15892" max="15892" width="3.25" style="2" customWidth="1"/>
    <col min="15893" max="16130" width="9" style="2"/>
    <col min="16131" max="16133" width="6.125" style="2" customWidth="1"/>
    <col min="16134" max="16145" width="5.375" style="2" customWidth="1"/>
    <col min="16146" max="16146" width="9.625" style="2" customWidth="1"/>
    <col min="16147" max="16147" width="35.75" style="2" customWidth="1"/>
    <col min="16148" max="16148" width="3.25" style="2" customWidth="1"/>
    <col min="16149" max="16384" width="9" style="2"/>
  </cols>
  <sheetData>
    <row r="1" spans="3:20" ht="20.100000000000001" customHeight="1" x14ac:dyDescent="0.2">
      <c r="C1" s="406" t="s">
        <v>733</v>
      </c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406"/>
      <c r="O1" s="406"/>
      <c r="P1" s="406"/>
      <c r="Q1" s="406"/>
      <c r="R1" s="406"/>
      <c r="S1" s="406"/>
      <c r="T1" s="1"/>
    </row>
    <row r="2" spans="3:20" ht="20.100000000000001" customHeight="1" thickBot="1" x14ac:dyDescent="0.25">
      <c r="C2" s="425" t="s">
        <v>734</v>
      </c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1"/>
    </row>
    <row r="3" spans="3:20" ht="13.5" thickBot="1" x14ac:dyDescent="0.25">
      <c r="C3" s="533" t="s">
        <v>4</v>
      </c>
      <c r="D3" s="533"/>
      <c r="E3" s="533"/>
      <c r="F3" s="533" t="s">
        <v>735</v>
      </c>
      <c r="G3" s="533"/>
      <c r="H3" s="533" t="s">
        <v>736</v>
      </c>
      <c r="I3" s="533"/>
      <c r="J3" s="533" t="s">
        <v>737</v>
      </c>
      <c r="K3" s="533"/>
      <c r="L3" s="533" t="s">
        <v>738</v>
      </c>
      <c r="M3" s="533"/>
      <c r="N3" s="533" t="s">
        <v>739</v>
      </c>
      <c r="O3" s="533"/>
      <c r="P3" s="533" t="s">
        <v>740</v>
      </c>
      <c r="Q3" s="533"/>
      <c r="R3" s="410" t="s">
        <v>741</v>
      </c>
      <c r="S3" s="36"/>
      <c r="T3" s="1"/>
    </row>
    <row r="4" spans="3:20" ht="15" customHeight="1" thickBot="1" x14ac:dyDescent="0.25">
      <c r="C4" s="39" t="s">
        <v>227</v>
      </c>
      <c r="D4" s="39" t="s">
        <v>10</v>
      </c>
      <c r="E4" s="39" t="s">
        <v>9</v>
      </c>
      <c r="F4" s="39" t="s">
        <v>10</v>
      </c>
      <c r="G4" s="39" t="s">
        <v>9</v>
      </c>
      <c r="H4" s="39" t="s">
        <v>10</v>
      </c>
      <c r="I4" s="39" t="s">
        <v>9</v>
      </c>
      <c r="J4" s="39" t="s">
        <v>10</v>
      </c>
      <c r="K4" s="39" t="s">
        <v>9</v>
      </c>
      <c r="L4" s="39" t="s">
        <v>10</v>
      </c>
      <c r="M4" s="39" t="s">
        <v>9</v>
      </c>
      <c r="N4" s="39" t="s">
        <v>10</v>
      </c>
      <c r="O4" s="39" t="s">
        <v>9</v>
      </c>
      <c r="P4" s="39" t="s">
        <v>10</v>
      </c>
      <c r="Q4" s="39" t="s">
        <v>9</v>
      </c>
      <c r="R4" s="412"/>
      <c r="S4" s="38" t="s">
        <v>144</v>
      </c>
      <c r="T4" s="1"/>
    </row>
    <row r="5" spans="3:20" ht="13.5" thickBot="1" x14ac:dyDescent="0.25">
      <c r="C5" s="136">
        <f>SUM(D5:E5)</f>
        <v>2132</v>
      </c>
      <c r="D5" s="136">
        <f>P5+N5+L5+J5+H5+F5</f>
        <v>966</v>
      </c>
      <c r="E5" s="136">
        <f>Q5+O5+M5+K5+I5+G5</f>
        <v>1166</v>
      </c>
      <c r="F5" s="136">
        <v>7</v>
      </c>
      <c r="G5" s="136">
        <v>11</v>
      </c>
      <c r="H5" s="136">
        <v>532</v>
      </c>
      <c r="I5" s="136">
        <v>394</v>
      </c>
      <c r="J5" s="136">
        <v>161</v>
      </c>
      <c r="K5" s="136">
        <v>94</v>
      </c>
      <c r="L5" s="136">
        <v>215</v>
      </c>
      <c r="M5" s="136">
        <v>383</v>
      </c>
      <c r="N5" s="136">
        <v>42</v>
      </c>
      <c r="O5" s="136">
        <v>178</v>
      </c>
      <c r="P5" s="136">
        <v>9</v>
      </c>
      <c r="Q5" s="136">
        <v>106</v>
      </c>
      <c r="R5" s="7" t="s">
        <v>146</v>
      </c>
      <c r="S5" s="114"/>
      <c r="T5" s="1"/>
    </row>
    <row r="6" spans="3:20" ht="13.5" thickBot="1" x14ac:dyDescent="0.25">
      <c r="C6" s="136">
        <f t="shared" ref="C6:C69" si="0">SUM(D6:E6)</f>
        <v>579</v>
      </c>
      <c r="D6" s="136">
        <f t="shared" ref="D6:E69" si="1">P6+N6+L6+J6+H6+F6</f>
        <v>120</v>
      </c>
      <c r="E6" s="136">
        <f t="shared" si="1"/>
        <v>459</v>
      </c>
      <c r="F6" s="136">
        <v>10</v>
      </c>
      <c r="G6" s="136">
        <v>39</v>
      </c>
      <c r="H6" s="136">
        <v>0</v>
      </c>
      <c r="I6" s="136">
        <v>0</v>
      </c>
      <c r="J6" s="136">
        <v>17</v>
      </c>
      <c r="K6" s="136">
        <v>73</v>
      </c>
      <c r="L6" s="136">
        <v>56</v>
      </c>
      <c r="M6" s="136">
        <v>197</v>
      </c>
      <c r="N6" s="136">
        <v>28</v>
      </c>
      <c r="O6" s="136">
        <v>93</v>
      </c>
      <c r="P6" s="136">
        <v>9</v>
      </c>
      <c r="Q6" s="136">
        <v>57</v>
      </c>
      <c r="R6" s="7" t="s">
        <v>145</v>
      </c>
      <c r="S6" s="114" t="s">
        <v>68</v>
      </c>
      <c r="T6" s="1"/>
    </row>
    <row r="7" spans="3:20" ht="13.5" thickBot="1" x14ac:dyDescent="0.25">
      <c r="C7" s="136">
        <f t="shared" ref="C7:P7" si="2">SUM(C5:C6)</f>
        <v>2711</v>
      </c>
      <c r="D7" s="136">
        <f t="shared" si="2"/>
        <v>1086</v>
      </c>
      <c r="E7" s="136">
        <f t="shared" si="2"/>
        <v>1625</v>
      </c>
      <c r="F7" s="136">
        <f t="shared" si="2"/>
        <v>17</v>
      </c>
      <c r="G7" s="136">
        <f t="shared" si="2"/>
        <v>50</v>
      </c>
      <c r="H7" s="136">
        <f t="shared" si="2"/>
        <v>532</v>
      </c>
      <c r="I7" s="136">
        <f t="shared" si="2"/>
        <v>394</v>
      </c>
      <c r="J7" s="136">
        <f t="shared" si="2"/>
        <v>178</v>
      </c>
      <c r="K7" s="136">
        <f t="shared" si="2"/>
        <v>167</v>
      </c>
      <c r="L7" s="136">
        <f t="shared" si="2"/>
        <v>271</v>
      </c>
      <c r="M7" s="136">
        <f t="shared" si="2"/>
        <v>580</v>
      </c>
      <c r="N7" s="136">
        <f t="shared" si="2"/>
        <v>70</v>
      </c>
      <c r="O7" s="136">
        <f t="shared" si="2"/>
        <v>271</v>
      </c>
      <c r="P7" s="136">
        <f t="shared" si="2"/>
        <v>18</v>
      </c>
      <c r="Q7" s="136">
        <f>SUM(Q5:Q6)</f>
        <v>163</v>
      </c>
      <c r="R7" s="7" t="s">
        <v>12</v>
      </c>
      <c r="S7" s="9"/>
      <c r="T7" s="1"/>
    </row>
    <row r="8" spans="3:20" ht="13.5" thickBot="1" x14ac:dyDescent="0.25">
      <c r="C8" s="136">
        <f t="shared" si="0"/>
        <v>679</v>
      </c>
      <c r="D8" s="136">
        <f t="shared" si="1"/>
        <v>0</v>
      </c>
      <c r="E8" s="136">
        <f t="shared" si="1"/>
        <v>679</v>
      </c>
      <c r="F8" s="136">
        <v>0</v>
      </c>
      <c r="G8" s="136">
        <v>225</v>
      </c>
      <c r="H8" s="136">
        <v>0</v>
      </c>
      <c r="I8" s="136">
        <v>90</v>
      </c>
      <c r="J8" s="136">
        <v>0</v>
      </c>
      <c r="K8" s="136">
        <v>82</v>
      </c>
      <c r="L8" s="136">
        <v>0</v>
      </c>
      <c r="M8" s="136">
        <v>186</v>
      </c>
      <c r="N8" s="136">
        <v>0</v>
      </c>
      <c r="O8" s="136">
        <v>54</v>
      </c>
      <c r="P8" s="136">
        <v>0</v>
      </c>
      <c r="Q8" s="136">
        <v>42</v>
      </c>
      <c r="R8" s="7" t="s">
        <v>146</v>
      </c>
      <c r="S8" s="114"/>
      <c r="T8" s="1"/>
    </row>
    <row r="9" spans="3:20" ht="13.5" thickBot="1" x14ac:dyDescent="0.25">
      <c r="C9" s="136">
        <f t="shared" si="0"/>
        <v>38</v>
      </c>
      <c r="D9" s="136">
        <f t="shared" si="1"/>
        <v>0</v>
      </c>
      <c r="E9" s="136">
        <f t="shared" si="1"/>
        <v>38</v>
      </c>
      <c r="F9" s="136">
        <v>0</v>
      </c>
      <c r="G9" s="136">
        <v>0</v>
      </c>
      <c r="H9" s="136">
        <v>0</v>
      </c>
      <c r="I9" s="136">
        <v>0</v>
      </c>
      <c r="J9" s="136">
        <v>0</v>
      </c>
      <c r="K9" s="136">
        <v>0</v>
      </c>
      <c r="L9" s="136">
        <v>0</v>
      </c>
      <c r="M9" s="136">
        <v>8</v>
      </c>
      <c r="N9" s="136">
        <v>0</v>
      </c>
      <c r="O9" s="136">
        <v>23</v>
      </c>
      <c r="P9" s="136">
        <v>0</v>
      </c>
      <c r="Q9" s="136">
        <v>7</v>
      </c>
      <c r="R9" s="7" t="s">
        <v>145</v>
      </c>
      <c r="S9" s="114" t="s">
        <v>207</v>
      </c>
      <c r="T9" s="1"/>
    </row>
    <row r="10" spans="3:20" ht="13.5" thickBot="1" x14ac:dyDescent="0.25">
      <c r="C10" s="136">
        <f t="shared" ref="C10:P10" si="3">SUM(C8:C9)</f>
        <v>717</v>
      </c>
      <c r="D10" s="136">
        <f t="shared" si="3"/>
        <v>0</v>
      </c>
      <c r="E10" s="136">
        <f t="shared" si="3"/>
        <v>717</v>
      </c>
      <c r="F10" s="136">
        <f t="shared" si="3"/>
        <v>0</v>
      </c>
      <c r="G10" s="136">
        <f t="shared" si="3"/>
        <v>225</v>
      </c>
      <c r="H10" s="136">
        <f t="shared" si="3"/>
        <v>0</v>
      </c>
      <c r="I10" s="136">
        <f t="shared" si="3"/>
        <v>90</v>
      </c>
      <c r="J10" s="136">
        <f t="shared" si="3"/>
        <v>0</v>
      </c>
      <c r="K10" s="136">
        <f t="shared" si="3"/>
        <v>82</v>
      </c>
      <c r="L10" s="136">
        <f t="shared" si="3"/>
        <v>0</v>
      </c>
      <c r="M10" s="136">
        <f t="shared" si="3"/>
        <v>194</v>
      </c>
      <c r="N10" s="136">
        <f t="shared" si="3"/>
        <v>0</v>
      </c>
      <c r="O10" s="136">
        <f t="shared" si="3"/>
        <v>77</v>
      </c>
      <c r="P10" s="136">
        <f t="shared" si="3"/>
        <v>0</v>
      </c>
      <c r="Q10" s="136">
        <f>SUM(Q8:Q9)</f>
        <v>49</v>
      </c>
      <c r="R10" s="7" t="s">
        <v>12</v>
      </c>
      <c r="S10" s="9"/>
      <c r="T10" s="1"/>
    </row>
    <row r="11" spans="3:20" ht="13.5" thickBot="1" x14ac:dyDescent="0.25">
      <c r="C11" s="136">
        <f t="shared" si="0"/>
        <v>1730</v>
      </c>
      <c r="D11" s="136">
        <f t="shared" si="1"/>
        <v>388</v>
      </c>
      <c r="E11" s="136">
        <f t="shared" si="1"/>
        <v>1342</v>
      </c>
      <c r="F11" s="136">
        <v>0</v>
      </c>
      <c r="G11" s="136">
        <v>0</v>
      </c>
      <c r="H11" s="136">
        <v>250</v>
      </c>
      <c r="I11" s="136">
        <v>432</v>
      </c>
      <c r="J11" s="136">
        <v>105</v>
      </c>
      <c r="K11" s="136">
        <v>221</v>
      </c>
      <c r="L11" s="136">
        <v>31</v>
      </c>
      <c r="M11" s="136">
        <v>412</v>
      </c>
      <c r="N11" s="136">
        <v>2</v>
      </c>
      <c r="O11" s="136">
        <v>172</v>
      </c>
      <c r="P11" s="136">
        <v>0</v>
      </c>
      <c r="Q11" s="136">
        <v>105</v>
      </c>
      <c r="R11" s="7" t="s">
        <v>146</v>
      </c>
      <c r="S11" s="114"/>
      <c r="T11" s="1"/>
    </row>
    <row r="12" spans="3:20" ht="13.5" thickBot="1" x14ac:dyDescent="0.25">
      <c r="C12" s="136">
        <f t="shared" si="0"/>
        <v>362</v>
      </c>
      <c r="D12" s="136">
        <f t="shared" si="1"/>
        <v>47</v>
      </c>
      <c r="E12" s="136">
        <f t="shared" si="1"/>
        <v>315</v>
      </c>
      <c r="F12" s="136">
        <v>0</v>
      </c>
      <c r="G12" s="136">
        <v>0</v>
      </c>
      <c r="H12" s="136">
        <v>0</v>
      </c>
      <c r="I12" s="136">
        <v>11</v>
      </c>
      <c r="J12" s="136">
        <v>14</v>
      </c>
      <c r="K12" s="136">
        <v>34</v>
      </c>
      <c r="L12" s="136">
        <v>26</v>
      </c>
      <c r="M12" s="136">
        <v>152</v>
      </c>
      <c r="N12" s="136">
        <v>4</v>
      </c>
      <c r="O12" s="136">
        <v>67</v>
      </c>
      <c r="P12" s="136">
        <v>3</v>
      </c>
      <c r="Q12" s="136">
        <v>51</v>
      </c>
      <c r="R12" s="7" t="s">
        <v>145</v>
      </c>
      <c r="S12" s="114" t="s">
        <v>206</v>
      </c>
      <c r="T12" s="1"/>
    </row>
    <row r="13" spans="3:20" ht="13.5" thickBot="1" x14ac:dyDescent="0.25">
      <c r="C13" s="136">
        <f t="shared" ref="C13:P13" si="4">SUM(C11:C12)</f>
        <v>2092</v>
      </c>
      <c r="D13" s="136">
        <f t="shared" si="4"/>
        <v>435</v>
      </c>
      <c r="E13" s="136">
        <f t="shared" si="4"/>
        <v>1657</v>
      </c>
      <c r="F13" s="136">
        <f t="shared" si="4"/>
        <v>0</v>
      </c>
      <c r="G13" s="136">
        <f t="shared" si="4"/>
        <v>0</v>
      </c>
      <c r="H13" s="136">
        <f t="shared" si="4"/>
        <v>250</v>
      </c>
      <c r="I13" s="136">
        <f t="shared" si="4"/>
        <v>443</v>
      </c>
      <c r="J13" s="136">
        <f t="shared" si="4"/>
        <v>119</v>
      </c>
      <c r="K13" s="136">
        <f t="shared" si="4"/>
        <v>255</v>
      </c>
      <c r="L13" s="136">
        <f t="shared" si="4"/>
        <v>57</v>
      </c>
      <c r="M13" s="136">
        <f t="shared" si="4"/>
        <v>564</v>
      </c>
      <c r="N13" s="136">
        <f t="shared" si="4"/>
        <v>6</v>
      </c>
      <c r="O13" s="136">
        <f t="shared" si="4"/>
        <v>239</v>
      </c>
      <c r="P13" s="136">
        <f t="shared" si="4"/>
        <v>3</v>
      </c>
      <c r="Q13" s="136">
        <f>SUM(Q11:Q12)</f>
        <v>156</v>
      </c>
      <c r="R13" s="7" t="s">
        <v>12</v>
      </c>
      <c r="S13" s="9"/>
      <c r="T13" s="1"/>
    </row>
    <row r="14" spans="3:20" ht="13.5" thickBot="1" x14ac:dyDescent="0.25">
      <c r="C14" s="136">
        <f t="shared" si="0"/>
        <v>4573</v>
      </c>
      <c r="D14" s="136">
        <f t="shared" si="1"/>
        <v>1643</v>
      </c>
      <c r="E14" s="136">
        <f t="shared" si="1"/>
        <v>2930</v>
      </c>
      <c r="F14" s="136">
        <v>0</v>
      </c>
      <c r="G14" s="136">
        <v>43</v>
      </c>
      <c r="H14" s="136">
        <v>982</v>
      </c>
      <c r="I14" s="136">
        <v>1077</v>
      </c>
      <c r="J14" s="136">
        <v>358</v>
      </c>
      <c r="K14" s="136">
        <v>259</v>
      </c>
      <c r="L14" s="136">
        <v>235</v>
      </c>
      <c r="M14" s="136">
        <v>675</v>
      </c>
      <c r="N14" s="136">
        <v>46</v>
      </c>
      <c r="O14" s="136">
        <v>447</v>
      </c>
      <c r="P14" s="136">
        <v>22</v>
      </c>
      <c r="Q14" s="136">
        <v>429</v>
      </c>
      <c r="R14" s="7" t="s">
        <v>146</v>
      </c>
      <c r="S14" s="114"/>
      <c r="T14" s="1"/>
    </row>
    <row r="15" spans="3:20" ht="13.5" thickBot="1" x14ac:dyDescent="0.25">
      <c r="C15" s="136">
        <f t="shared" si="0"/>
        <v>2485</v>
      </c>
      <c r="D15" s="136">
        <f t="shared" si="1"/>
        <v>498</v>
      </c>
      <c r="E15" s="136">
        <f t="shared" si="1"/>
        <v>1987</v>
      </c>
      <c r="F15" s="136">
        <v>63</v>
      </c>
      <c r="G15" s="136">
        <v>64</v>
      </c>
      <c r="H15" s="136">
        <v>0</v>
      </c>
      <c r="I15" s="136">
        <v>0</v>
      </c>
      <c r="J15" s="136">
        <v>83</v>
      </c>
      <c r="K15" s="136">
        <v>430</v>
      </c>
      <c r="L15" s="136">
        <v>227</v>
      </c>
      <c r="M15" s="136">
        <v>858</v>
      </c>
      <c r="N15" s="136">
        <v>79</v>
      </c>
      <c r="O15" s="136">
        <v>345</v>
      </c>
      <c r="P15" s="136">
        <v>46</v>
      </c>
      <c r="Q15" s="136">
        <v>290</v>
      </c>
      <c r="R15" s="7" t="s">
        <v>145</v>
      </c>
      <c r="S15" s="114" t="s">
        <v>72</v>
      </c>
      <c r="T15" s="1"/>
    </row>
    <row r="16" spans="3:20" ht="13.5" thickBot="1" x14ac:dyDescent="0.25">
      <c r="C16" s="136">
        <f t="shared" ref="C16:P16" si="5">SUM(C14:C15)</f>
        <v>7058</v>
      </c>
      <c r="D16" s="136">
        <f t="shared" si="5"/>
        <v>2141</v>
      </c>
      <c r="E16" s="136">
        <f t="shared" si="5"/>
        <v>4917</v>
      </c>
      <c r="F16" s="136">
        <f t="shared" si="5"/>
        <v>63</v>
      </c>
      <c r="G16" s="136">
        <f t="shared" si="5"/>
        <v>107</v>
      </c>
      <c r="H16" s="136">
        <f t="shared" si="5"/>
        <v>982</v>
      </c>
      <c r="I16" s="136">
        <f t="shared" si="5"/>
        <v>1077</v>
      </c>
      <c r="J16" s="136">
        <f t="shared" si="5"/>
        <v>441</v>
      </c>
      <c r="K16" s="136">
        <f t="shared" si="5"/>
        <v>689</v>
      </c>
      <c r="L16" s="136">
        <f t="shared" si="5"/>
        <v>462</v>
      </c>
      <c r="M16" s="136">
        <f t="shared" si="5"/>
        <v>1533</v>
      </c>
      <c r="N16" s="136">
        <f t="shared" si="5"/>
        <v>125</v>
      </c>
      <c r="O16" s="136">
        <f t="shared" si="5"/>
        <v>792</v>
      </c>
      <c r="P16" s="136">
        <f t="shared" si="5"/>
        <v>68</v>
      </c>
      <c r="Q16" s="136">
        <f>SUM(Q14:Q15)</f>
        <v>719</v>
      </c>
      <c r="R16" s="7" t="s">
        <v>12</v>
      </c>
      <c r="S16" s="9"/>
      <c r="T16" s="1"/>
    </row>
    <row r="17" spans="3:20" ht="13.5" thickBot="1" x14ac:dyDescent="0.25">
      <c r="C17" s="136">
        <f t="shared" si="0"/>
        <v>3922</v>
      </c>
      <c r="D17" s="136">
        <f t="shared" si="1"/>
        <v>2117</v>
      </c>
      <c r="E17" s="136">
        <f t="shared" si="1"/>
        <v>1805</v>
      </c>
      <c r="F17" s="136">
        <v>27</v>
      </c>
      <c r="G17" s="136">
        <v>17</v>
      </c>
      <c r="H17" s="136">
        <v>1151</v>
      </c>
      <c r="I17" s="136">
        <v>717</v>
      </c>
      <c r="J17" s="136">
        <v>358</v>
      </c>
      <c r="K17" s="136">
        <v>162</v>
      </c>
      <c r="L17" s="136">
        <v>452</v>
      </c>
      <c r="M17" s="136">
        <v>444</v>
      </c>
      <c r="N17" s="136">
        <v>96</v>
      </c>
      <c r="O17" s="136">
        <v>279</v>
      </c>
      <c r="P17" s="136">
        <v>33</v>
      </c>
      <c r="Q17" s="136">
        <v>186</v>
      </c>
      <c r="R17" s="7" t="s">
        <v>146</v>
      </c>
      <c r="S17" s="114"/>
      <c r="T17" s="1"/>
    </row>
    <row r="18" spans="3:20" ht="13.5" thickBot="1" x14ac:dyDescent="0.25">
      <c r="C18" s="136">
        <f t="shared" si="0"/>
        <v>1185</v>
      </c>
      <c r="D18" s="136">
        <f t="shared" si="1"/>
        <v>336</v>
      </c>
      <c r="E18" s="136">
        <f t="shared" si="1"/>
        <v>849</v>
      </c>
      <c r="F18" s="136">
        <v>61</v>
      </c>
      <c r="G18" s="136">
        <v>173</v>
      </c>
      <c r="H18" s="136">
        <v>0</v>
      </c>
      <c r="I18" s="136">
        <v>0</v>
      </c>
      <c r="J18" s="136">
        <v>18</v>
      </c>
      <c r="K18" s="136">
        <v>83</v>
      </c>
      <c r="L18" s="136">
        <v>172</v>
      </c>
      <c r="M18" s="136">
        <v>429</v>
      </c>
      <c r="N18" s="136">
        <v>59</v>
      </c>
      <c r="O18" s="136">
        <v>102</v>
      </c>
      <c r="P18" s="136">
        <v>26</v>
      </c>
      <c r="Q18" s="136">
        <v>62</v>
      </c>
      <c r="R18" s="7" t="s">
        <v>145</v>
      </c>
      <c r="S18" s="114" t="s">
        <v>73</v>
      </c>
      <c r="T18" s="1"/>
    </row>
    <row r="19" spans="3:20" ht="13.5" thickBot="1" x14ac:dyDescent="0.25">
      <c r="C19" s="136">
        <f t="shared" ref="C19:P19" si="6">SUM(C17:C18)</f>
        <v>5107</v>
      </c>
      <c r="D19" s="136">
        <f t="shared" si="6"/>
        <v>2453</v>
      </c>
      <c r="E19" s="136">
        <f t="shared" si="6"/>
        <v>2654</v>
      </c>
      <c r="F19" s="136">
        <f t="shared" si="6"/>
        <v>88</v>
      </c>
      <c r="G19" s="136">
        <f t="shared" si="6"/>
        <v>190</v>
      </c>
      <c r="H19" s="136">
        <f t="shared" si="6"/>
        <v>1151</v>
      </c>
      <c r="I19" s="136">
        <f t="shared" si="6"/>
        <v>717</v>
      </c>
      <c r="J19" s="136">
        <f t="shared" si="6"/>
        <v>376</v>
      </c>
      <c r="K19" s="136">
        <f t="shared" si="6"/>
        <v>245</v>
      </c>
      <c r="L19" s="136">
        <f t="shared" si="6"/>
        <v>624</v>
      </c>
      <c r="M19" s="136">
        <f t="shared" si="6"/>
        <v>873</v>
      </c>
      <c r="N19" s="136">
        <f t="shared" si="6"/>
        <v>155</v>
      </c>
      <c r="O19" s="136">
        <f t="shared" si="6"/>
        <v>381</v>
      </c>
      <c r="P19" s="136">
        <f t="shared" si="6"/>
        <v>59</v>
      </c>
      <c r="Q19" s="136">
        <f>SUM(Q17:Q18)</f>
        <v>248</v>
      </c>
      <c r="R19" s="7" t="s">
        <v>12</v>
      </c>
      <c r="S19" s="9"/>
      <c r="T19" s="1"/>
    </row>
    <row r="20" spans="3:20" ht="13.5" thickBot="1" x14ac:dyDescent="0.25">
      <c r="C20" s="136">
        <f t="shared" si="0"/>
        <v>343</v>
      </c>
      <c r="D20" s="136">
        <f t="shared" si="1"/>
        <v>0</v>
      </c>
      <c r="E20" s="136">
        <f t="shared" si="1"/>
        <v>343</v>
      </c>
      <c r="F20" s="136">
        <v>0</v>
      </c>
      <c r="G20" s="136">
        <v>0</v>
      </c>
      <c r="H20" s="136">
        <v>0</v>
      </c>
      <c r="I20" s="136">
        <v>50</v>
      </c>
      <c r="J20" s="136">
        <v>0</v>
      </c>
      <c r="K20" s="136">
        <v>56</v>
      </c>
      <c r="L20" s="136">
        <v>0</v>
      </c>
      <c r="M20" s="136">
        <v>125</v>
      </c>
      <c r="N20" s="136">
        <v>0</v>
      </c>
      <c r="O20" s="136">
        <v>67</v>
      </c>
      <c r="P20" s="136">
        <v>0</v>
      </c>
      <c r="Q20" s="136">
        <v>45</v>
      </c>
      <c r="R20" s="7" t="s">
        <v>146</v>
      </c>
      <c r="S20" s="114"/>
      <c r="T20" s="1"/>
    </row>
    <row r="21" spans="3:20" ht="13.5" thickBot="1" x14ac:dyDescent="0.25">
      <c r="C21" s="136">
        <f t="shared" si="0"/>
        <v>615</v>
      </c>
      <c r="D21" s="136">
        <f t="shared" si="1"/>
        <v>0</v>
      </c>
      <c r="E21" s="136">
        <f t="shared" si="1"/>
        <v>615</v>
      </c>
      <c r="F21" s="136">
        <v>0</v>
      </c>
      <c r="G21" s="136">
        <v>49</v>
      </c>
      <c r="H21" s="136">
        <v>0</v>
      </c>
      <c r="I21" s="136">
        <v>0</v>
      </c>
      <c r="J21" s="136">
        <v>0</v>
      </c>
      <c r="K21" s="136">
        <v>245</v>
      </c>
      <c r="L21" s="136">
        <v>0</v>
      </c>
      <c r="M21" s="136">
        <v>157</v>
      </c>
      <c r="N21" s="136">
        <v>0</v>
      </c>
      <c r="O21" s="136">
        <v>100</v>
      </c>
      <c r="P21" s="136">
        <v>0</v>
      </c>
      <c r="Q21" s="136">
        <v>64</v>
      </c>
      <c r="R21" s="7" t="s">
        <v>145</v>
      </c>
      <c r="S21" s="114" t="s">
        <v>90</v>
      </c>
      <c r="T21" s="1"/>
    </row>
    <row r="22" spans="3:20" ht="13.5" thickBot="1" x14ac:dyDescent="0.25">
      <c r="C22" s="136">
        <f t="shared" ref="C22:P22" si="7">SUM(C20:C21)</f>
        <v>958</v>
      </c>
      <c r="D22" s="136">
        <f t="shared" si="7"/>
        <v>0</v>
      </c>
      <c r="E22" s="136">
        <f t="shared" si="7"/>
        <v>958</v>
      </c>
      <c r="F22" s="136">
        <f t="shared" si="7"/>
        <v>0</v>
      </c>
      <c r="G22" s="136">
        <f t="shared" si="7"/>
        <v>49</v>
      </c>
      <c r="H22" s="136">
        <f t="shared" si="7"/>
        <v>0</v>
      </c>
      <c r="I22" s="136">
        <f t="shared" si="7"/>
        <v>50</v>
      </c>
      <c r="J22" s="136">
        <f t="shared" si="7"/>
        <v>0</v>
      </c>
      <c r="K22" s="136">
        <f t="shared" si="7"/>
        <v>301</v>
      </c>
      <c r="L22" s="136">
        <f t="shared" si="7"/>
        <v>0</v>
      </c>
      <c r="M22" s="136">
        <f t="shared" si="7"/>
        <v>282</v>
      </c>
      <c r="N22" s="136">
        <f t="shared" si="7"/>
        <v>0</v>
      </c>
      <c r="O22" s="136">
        <f t="shared" si="7"/>
        <v>167</v>
      </c>
      <c r="P22" s="136">
        <f t="shared" si="7"/>
        <v>0</v>
      </c>
      <c r="Q22" s="136">
        <f>SUM(Q20:Q21)</f>
        <v>109</v>
      </c>
      <c r="R22" s="7" t="s">
        <v>12</v>
      </c>
      <c r="S22" s="9"/>
      <c r="T22" s="1"/>
    </row>
    <row r="23" spans="3:20" ht="13.5" thickBot="1" x14ac:dyDescent="0.25">
      <c r="C23" s="136">
        <f t="shared" si="0"/>
        <v>1476</v>
      </c>
      <c r="D23" s="136">
        <f t="shared" si="1"/>
        <v>807</v>
      </c>
      <c r="E23" s="136">
        <f t="shared" si="1"/>
        <v>669</v>
      </c>
      <c r="F23" s="136">
        <v>24</v>
      </c>
      <c r="G23" s="136">
        <v>9</v>
      </c>
      <c r="H23" s="136">
        <v>388</v>
      </c>
      <c r="I23" s="136">
        <v>210</v>
      </c>
      <c r="J23" s="136">
        <v>214</v>
      </c>
      <c r="K23" s="136">
        <v>131</v>
      </c>
      <c r="L23" s="136">
        <v>147</v>
      </c>
      <c r="M23" s="136">
        <v>159</v>
      </c>
      <c r="N23" s="136">
        <v>26</v>
      </c>
      <c r="O23" s="136">
        <v>100</v>
      </c>
      <c r="P23" s="136">
        <v>8</v>
      </c>
      <c r="Q23" s="136">
        <v>60</v>
      </c>
      <c r="R23" s="7" t="s">
        <v>146</v>
      </c>
      <c r="S23" s="114"/>
      <c r="T23" s="1"/>
    </row>
    <row r="24" spans="3:20" ht="13.5" thickBot="1" x14ac:dyDescent="0.25">
      <c r="C24" s="136">
        <f t="shared" si="0"/>
        <v>882</v>
      </c>
      <c r="D24" s="136">
        <f t="shared" si="1"/>
        <v>308</v>
      </c>
      <c r="E24" s="136">
        <f t="shared" si="1"/>
        <v>574</v>
      </c>
      <c r="F24" s="136">
        <v>17</v>
      </c>
      <c r="G24" s="136">
        <v>31</v>
      </c>
      <c r="H24" s="136">
        <v>10</v>
      </c>
      <c r="I24" s="136">
        <v>24</v>
      </c>
      <c r="J24" s="136">
        <v>41</v>
      </c>
      <c r="K24" s="136">
        <v>34</v>
      </c>
      <c r="L24" s="136">
        <v>187</v>
      </c>
      <c r="M24" s="136">
        <v>332</v>
      </c>
      <c r="N24" s="136">
        <v>40</v>
      </c>
      <c r="O24" s="136">
        <v>81</v>
      </c>
      <c r="P24" s="136">
        <v>13</v>
      </c>
      <c r="Q24" s="136">
        <v>72</v>
      </c>
      <c r="R24" s="7" t="s">
        <v>145</v>
      </c>
      <c r="S24" s="114" t="s">
        <v>74</v>
      </c>
      <c r="T24" s="1"/>
    </row>
    <row r="25" spans="3:20" ht="13.5" thickBot="1" x14ac:dyDescent="0.25">
      <c r="C25" s="136">
        <f t="shared" ref="C25:P25" si="8">SUM(C23:C24)</f>
        <v>2358</v>
      </c>
      <c r="D25" s="136">
        <f t="shared" si="8"/>
        <v>1115</v>
      </c>
      <c r="E25" s="136">
        <f t="shared" si="8"/>
        <v>1243</v>
      </c>
      <c r="F25" s="136">
        <f t="shared" si="8"/>
        <v>41</v>
      </c>
      <c r="G25" s="136">
        <f t="shared" si="8"/>
        <v>40</v>
      </c>
      <c r="H25" s="136">
        <f t="shared" si="8"/>
        <v>398</v>
      </c>
      <c r="I25" s="136">
        <f t="shared" si="8"/>
        <v>234</v>
      </c>
      <c r="J25" s="136">
        <f t="shared" si="8"/>
        <v>255</v>
      </c>
      <c r="K25" s="136">
        <f t="shared" si="8"/>
        <v>165</v>
      </c>
      <c r="L25" s="136">
        <f t="shared" si="8"/>
        <v>334</v>
      </c>
      <c r="M25" s="136">
        <f t="shared" si="8"/>
        <v>491</v>
      </c>
      <c r="N25" s="136">
        <f t="shared" si="8"/>
        <v>66</v>
      </c>
      <c r="O25" s="136">
        <f t="shared" si="8"/>
        <v>181</v>
      </c>
      <c r="P25" s="136">
        <f t="shared" si="8"/>
        <v>21</v>
      </c>
      <c r="Q25" s="136">
        <f>SUM(Q23:Q24)</f>
        <v>132</v>
      </c>
      <c r="R25" s="7" t="s">
        <v>12</v>
      </c>
      <c r="S25" s="9"/>
      <c r="T25" s="1"/>
    </row>
    <row r="26" spans="3:20" ht="13.5" thickBot="1" x14ac:dyDescent="0.25">
      <c r="C26" s="136">
        <f t="shared" si="0"/>
        <v>890</v>
      </c>
      <c r="D26" s="136">
        <f t="shared" si="1"/>
        <v>300</v>
      </c>
      <c r="E26" s="136">
        <f t="shared" si="1"/>
        <v>590</v>
      </c>
      <c r="F26" s="136">
        <v>0</v>
      </c>
      <c r="G26" s="136">
        <v>0</v>
      </c>
      <c r="H26" s="136">
        <v>249</v>
      </c>
      <c r="I26" s="136">
        <v>326</v>
      </c>
      <c r="J26" s="136">
        <v>29</v>
      </c>
      <c r="K26" s="136">
        <v>44</v>
      </c>
      <c r="L26" s="136">
        <v>22</v>
      </c>
      <c r="M26" s="136">
        <v>145</v>
      </c>
      <c r="N26" s="136">
        <v>0</v>
      </c>
      <c r="O26" s="136">
        <v>49</v>
      </c>
      <c r="P26" s="136">
        <v>0</v>
      </c>
      <c r="Q26" s="136">
        <v>26</v>
      </c>
      <c r="R26" s="7" t="s">
        <v>146</v>
      </c>
      <c r="S26" s="114"/>
      <c r="T26" s="1"/>
    </row>
    <row r="27" spans="3:20" ht="13.5" thickBot="1" x14ac:dyDescent="0.25">
      <c r="C27" s="136">
        <f t="shared" si="0"/>
        <v>1094</v>
      </c>
      <c r="D27" s="136">
        <f t="shared" si="1"/>
        <v>342</v>
      </c>
      <c r="E27" s="136">
        <f t="shared" si="1"/>
        <v>752</v>
      </c>
      <c r="F27" s="136">
        <v>0</v>
      </c>
      <c r="G27" s="136">
        <v>0</v>
      </c>
      <c r="H27" s="136">
        <v>0</v>
      </c>
      <c r="I27" s="136">
        <v>0</v>
      </c>
      <c r="J27" s="136">
        <v>100</v>
      </c>
      <c r="K27" s="136">
        <v>141</v>
      </c>
      <c r="L27" s="136">
        <v>212</v>
      </c>
      <c r="M27" s="136">
        <v>487</v>
      </c>
      <c r="N27" s="136">
        <v>24</v>
      </c>
      <c r="O27" s="136">
        <v>94</v>
      </c>
      <c r="P27" s="136">
        <v>6</v>
      </c>
      <c r="Q27" s="136">
        <v>30</v>
      </c>
      <c r="R27" s="7" t="s">
        <v>145</v>
      </c>
      <c r="S27" s="114" t="s">
        <v>75</v>
      </c>
      <c r="T27" s="1"/>
    </row>
    <row r="28" spans="3:20" ht="13.5" thickBot="1" x14ac:dyDescent="0.25">
      <c r="C28" s="136">
        <f t="shared" ref="C28:P28" si="9">SUM(C26:C27)</f>
        <v>1984</v>
      </c>
      <c r="D28" s="136">
        <f t="shared" si="9"/>
        <v>642</v>
      </c>
      <c r="E28" s="136">
        <f t="shared" si="9"/>
        <v>1342</v>
      </c>
      <c r="F28" s="136">
        <f t="shared" si="9"/>
        <v>0</v>
      </c>
      <c r="G28" s="136">
        <f t="shared" si="9"/>
        <v>0</v>
      </c>
      <c r="H28" s="136">
        <f t="shared" si="9"/>
        <v>249</v>
      </c>
      <c r="I28" s="136">
        <f t="shared" si="9"/>
        <v>326</v>
      </c>
      <c r="J28" s="136">
        <f t="shared" si="9"/>
        <v>129</v>
      </c>
      <c r="K28" s="136">
        <f t="shared" si="9"/>
        <v>185</v>
      </c>
      <c r="L28" s="136">
        <f t="shared" si="9"/>
        <v>234</v>
      </c>
      <c r="M28" s="136">
        <f t="shared" si="9"/>
        <v>632</v>
      </c>
      <c r="N28" s="136">
        <f t="shared" si="9"/>
        <v>24</v>
      </c>
      <c r="O28" s="136">
        <f t="shared" si="9"/>
        <v>143</v>
      </c>
      <c r="P28" s="136">
        <f t="shared" si="9"/>
        <v>6</v>
      </c>
      <c r="Q28" s="136">
        <f>SUM(Q26:Q27)</f>
        <v>56</v>
      </c>
      <c r="R28" s="7" t="s">
        <v>12</v>
      </c>
      <c r="S28" s="9"/>
      <c r="T28" s="1"/>
    </row>
    <row r="29" spans="3:20" ht="13.5" thickBot="1" x14ac:dyDescent="0.25">
      <c r="C29" s="136">
        <f t="shared" si="0"/>
        <v>904</v>
      </c>
      <c r="D29" s="136">
        <f t="shared" si="1"/>
        <v>299</v>
      </c>
      <c r="E29" s="136">
        <f t="shared" si="1"/>
        <v>605</v>
      </c>
      <c r="F29" s="136">
        <v>12</v>
      </c>
      <c r="G29" s="136">
        <v>63</v>
      </c>
      <c r="H29" s="136">
        <v>206</v>
      </c>
      <c r="I29" s="136">
        <v>196</v>
      </c>
      <c r="J29" s="136">
        <v>44</v>
      </c>
      <c r="K29" s="136">
        <v>30</v>
      </c>
      <c r="L29" s="136">
        <v>35</v>
      </c>
      <c r="M29" s="136">
        <v>191</v>
      </c>
      <c r="N29" s="136">
        <v>2</v>
      </c>
      <c r="O29" s="136">
        <v>74</v>
      </c>
      <c r="P29" s="136">
        <v>0</v>
      </c>
      <c r="Q29" s="136">
        <v>51</v>
      </c>
      <c r="R29" s="7" t="s">
        <v>146</v>
      </c>
      <c r="S29" s="114"/>
      <c r="T29" s="1"/>
    </row>
    <row r="30" spans="3:20" ht="13.5" thickBot="1" x14ac:dyDescent="0.25">
      <c r="C30" s="136">
        <f t="shared" si="0"/>
        <v>857</v>
      </c>
      <c r="D30" s="136">
        <f t="shared" si="1"/>
        <v>255</v>
      </c>
      <c r="E30" s="136">
        <f t="shared" si="1"/>
        <v>602</v>
      </c>
      <c r="F30" s="136">
        <v>11</v>
      </c>
      <c r="G30" s="136">
        <v>39</v>
      </c>
      <c r="H30" s="136">
        <v>4</v>
      </c>
      <c r="I30" s="136">
        <v>47</v>
      </c>
      <c r="J30" s="136">
        <v>86</v>
      </c>
      <c r="K30" s="136">
        <v>78</v>
      </c>
      <c r="L30" s="136">
        <v>106</v>
      </c>
      <c r="M30" s="136">
        <v>350</v>
      </c>
      <c r="N30" s="136">
        <v>40</v>
      </c>
      <c r="O30" s="136">
        <v>70</v>
      </c>
      <c r="P30" s="136">
        <v>8</v>
      </c>
      <c r="Q30" s="136">
        <v>18</v>
      </c>
      <c r="R30" s="7" t="s">
        <v>145</v>
      </c>
      <c r="S30" s="114" t="s">
        <v>100</v>
      </c>
      <c r="T30" s="1"/>
    </row>
    <row r="31" spans="3:20" ht="13.5" thickBot="1" x14ac:dyDescent="0.25">
      <c r="C31" s="136">
        <f t="shared" ref="C31:P31" si="10">SUM(C29:C30)</f>
        <v>1761</v>
      </c>
      <c r="D31" s="136">
        <f t="shared" si="10"/>
        <v>554</v>
      </c>
      <c r="E31" s="136">
        <f t="shared" si="10"/>
        <v>1207</v>
      </c>
      <c r="F31" s="136">
        <f t="shared" si="10"/>
        <v>23</v>
      </c>
      <c r="G31" s="136">
        <f t="shared" si="10"/>
        <v>102</v>
      </c>
      <c r="H31" s="136">
        <f t="shared" si="10"/>
        <v>210</v>
      </c>
      <c r="I31" s="136">
        <f t="shared" si="10"/>
        <v>243</v>
      </c>
      <c r="J31" s="136">
        <f t="shared" si="10"/>
        <v>130</v>
      </c>
      <c r="K31" s="136">
        <f t="shared" si="10"/>
        <v>108</v>
      </c>
      <c r="L31" s="136">
        <f t="shared" si="10"/>
        <v>141</v>
      </c>
      <c r="M31" s="136">
        <f t="shared" si="10"/>
        <v>541</v>
      </c>
      <c r="N31" s="136">
        <f t="shared" si="10"/>
        <v>42</v>
      </c>
      <c r="O31" s="136">
        <f t="shared" si="10"/>
        <v>144</v>
      </c>
      <c r="P31" s="136">
        <f t="shared" si="10"/>
        <v>8</v>
      </c>
      <c r="Q31" s="136">
        <f>SUM(Q29:Q30)</f>
        <v>69</v>
      </c>
      <c r="R31" s="7" t="s">
        <v>12</v>
      </c>
      <c r="S31" s="9"/>
      <c r="T31" s="1"/>
    </row>
    <row r="32" spans="3:20" ht="13.5" thickBot="1" x14ac:dyDescent="0.25">
      <c r="C32" s="136">
        <f t="shared" si="0"/>
        <v>785</v>
      </c>
      <c r="D32" s="136">
        <f t="shared" si="1"/>
        <v>464</v>
      </c>
      <c r="E32" s="136">
        <f t="shared" si="1"/>
        <v>321</v>
      </c>
      <c r="F32" s="136">
        <v>7</v>
      </c>
      <c r="G32" s="136">
        <v>3</v>
      </c>
      <c r="H32" s="136">
        <v>305</v>
      </c>
      <c r="I32" s="136">
        <v>67</v>
      </c>
      <c r="J32" s="136">
        <v>74</v>
      </c>
      <c r="K32" s="136">
        <v>49</v>
      </c>
      <c r="L32" s="136">
        <v>68</v>
      </c>
      <c r="M32" s="136">
        <v>144</v>
      </c>
      <c r="N32" s="136">
        <v>7</v>
      </c>
      <c r="O32" s="136">
        <v>39</v>
      </c>
      <c r="P32" s="136">
        <v>3</v>
      </c>
      <c r="Q32" s="136">
        <v>19</v>
      </c>
      <c r="R32" s="7" t="s">
        <v>146</v>
      </c>
      <c r="S32" s="114"/>
      <c r="T32" s="1"/>
    </row>
    <row r="33" spans="3:20" ht="13.5" thickBot="1" x14ac:dyDescent="0.25">
      <c r="C33" s="136">
        <f t="shared" si="0"/>
        <v>743</v>
      </c>
      <c r="D33" s="136">
        <f t="shared" si="1"/>
        <v>272</v>
      </c>
      <c r="E33" s="136">
        <f t="shared" si="1"/>
        <v>471</v>
      </c>
      <c r="F33" s="136">
        <v>11</v>
      </c>
      <c r="G33" s="136">
        <v>27</v>
      </c>
      <c r="H33" s="136">
        <v>0</v>
      </c>
      <c r="I33" s="136">
        <v>34</v>
      </c>
      <c r="J33" s="136">
        <v>60</v>
      </c>
      <c r="K33" s="136">
        <v>28</v>
      </c>
      <c r="L33" s="136">
        <v>158</v>
      </c>
      <c r="M33" s="136">
        <v>309</v>
      </c>
      <c r="N33" s="136">
        <v>33</v>
      </c>
      <c r="O33" s="136">
        <v>34</v>
      </c>
      <c r="P33" s="136">
        <v>10</v>
      </c>
      <c r="Q33" s="136">
        <v>39</v>
      </c>
      <c r="R33" s="7" t="s">
        <v>145</v>
      </c>
      <c r="S33" s="114" t="s">
        <v>76</v>
      </c>
      <c r="T33" s="1"/>
    </row>
    <row r="34" spans="3:20" ht="13.5" thickBot="1" x14ac:dyDescent="0.25">
      <c r="C34" s="136">
        <f t="shared" ref="C34:P34" si="11">SUM(C32:C33)</f>
        <v>1528</v>
      </c>
      <c r="D34" s="136">
        <f t="shared" si="11"/>
        <v>736</v>
      </c>
      <c r="E34" s="136">
        <f t="shared" si="11"/>
        <v>792</v>
      </c>
      <c r="F34" s="136">
        <f t="shared" si="11"/>
        <v>18</v>
      </c>
      <c r="G34" s="136">
        <f t="shared" si="11"/>
        <v>30</v>
      </c>
      <c r="H34" s="136">
        <f t="shared" si="11"/>
        <v>305</v>
      </c>
      <c r="I34" s="136">
        <f t="shared" si="11"/>
        <v>101</v>
      </c>
      <c r="J34" s="136">
        <f t="shared" si="11"/>
        <v>134</v>
      </c>
      <c r="K34" s="136">
        <f t="shared" si="11"/>
        <v>77</v>
      </c>
      <c r="L34" s="136">
        <f t="shared" si="11"/>
        <v>226</v>
      </c>
      <c r="M34" s="136">
        <f t="shared" si="11"/>
        <v>453</v>
      </c>
      <c r="N34" s="136">
        <f t="shared" si="11"/>
        <v>40</v>
      </c>
      <c r="O34" s="136">
        <f t="shared" si="11"/>
        <v>73</v>
      </c>
      <c r="P34" s="136">
        <f t="shared" si="11"/>
        <v>13</v>
      </c>
      <c r="Q34" s="136">
        <f>SUM(Q32:Q33)</f>
        <v>58</v>
      </c>
      <c r="R34" s="7" t="s">
        <v>12</v>
      </c>
      <c r="S34" s="9"/>
      <c r="T34" s="1"/>
    </row>
    <row r="35" spans="3:20" ht="13.5" thickBot="1" x14ac:dyDescent="0.25">
      <c r="C35" s="136">
        <f t="shared" si="0"/>
        <v>751</v>
      </c>
      <c r="D35" s="136">
        <f t="shared" si="1"/>
        <v>368</v>
      </c>
      <c r="E35" s="136">
        <f t="shared" si="1"/>
        <v>383</v>
      </c>
      <c r="F35" s="136">
        <v>6</v>
      </c>
      <c r="G35" s="136">
        <v>3</v>
      </c>
      <c r="H35" s="136">
        <v>260</v>
      </c>
      <c r="I35" s="136">
        <v>200</v>
      </c>
      <c r="J35" s="136">
        <v>78</v>
      </c>
      <c r="K35" s="136">
        <v>76</v>
      </c>
      <c r="L35" s="136">
        <v>22</v>
      </c>
      <c r="M35" s="136">
        <v>75</v>
      </c>
      <c r="N35" s="136">
        <v>2</v>
      </c>
      <c r="O35" s="136">
        <v>23</v>
      </c>
      <c r="P35" s="136">
        <v>0</v>
      </c>
      <c r="Q35" s="136">
        <v>6</v>
      </c>
      <c r="R35" s="7" t="s">
        <v>146</v>
      </c>
      <c r="S35" s="114"/>
      <c r="T35" s="1"/>
    </row>
    <row r="36" spans="3:20" ht="13.5" thickBot="1" x14ac:dyDescent="0.25">
      <c r="C36" s="136">
        <f t="shared" si="0"/>
        <v>726</v>
      </c>
      <c r="D36" s="136">
        <f t="shared" si="1"/>
        <v>202</v>
      </c>
      <c r="E36" s="136">
        <f t="shared" si="1"/>
        <v>524</v>
      </c>
      <c r="F36" s="136">
        <v>3</v>
      </c>
      <c r="G36" s="136">
        <v>2</v>
      </c>
      <c r="H36" s="136">
        <v>0</v>
      </c>
      <c r="I36" s="136">
        <v>0</v>
      </c>
      <c r="J36" s="136">
        <v>11</v>
      </c>
      <c r="K36" s="136">
        <v>33</v>
      </c>
      <c r="L36" s="136">
        <v>151</v>
      </c>
      <c r="M36" s="136">
        <v>310</v>
      </c>
      <c r="N36" s="136">
        <v>29</v>
      </c>
      <c r="O36" s="136">
        <v>117</v>
      </c>
      <c r="P36" s="136">
        <v>8</v>
      </c>
      <c r="Q36" s="136">
        <v>62</v>
      </c>
      <c r="R36" s="7" t="s">
        <v>145</v>
      </c>
      <c r="S36" s="114" t="s">
        <v>77</v>
      </c>
      <c r="T36" s="1"/>
    </row>
    <row r="37" spans="3:20" ht="13.5" thickBot="1" x14ac:dyDescent="0.25">
      <c r="C37" s="136">
        <f t="shared" ref="C37:P37" si="12">SUM(C35:C36)</f>
        <v>1477</v>
      </c>
      <c r="D37" s="136">
        <f t="shared" si="12"/>
        <v>570</v>
      </c>
      <c r="E37" s="136">
        <f t="shared" si="12"/>
        <v>907</v>
      </c>
      <c r="F37" s="136">
        <f t="shared" si="12"/>
        <v>9</v>
      </c>
      <c r="G37" s="136">
        <f t="shared" si="12"/>
        <v>5</v>
      </c>
      <c r="H37" s="136">
        <f t="shared" si="12"/>
        <v>260</v>
      </c>
      <c r="I37" s="136">
        <f t="shared" si="12"/>
        <v>200</v>
      </c>
      <c r="J37" s="136">
        <f t="shared" si="12"/>
        <v>89</v>
      </c>
      <c r="K37" s="136">
        <f t="shared" si="12"/>
        <v>109</v>
      </c>
      <c r="L37" s="136">
        <f t="shared" si="12"/>
        <v>173</v>
      </c>
      <c r="M37" s="136">
        <f t="shared" si="12"/>
        <v>385</v>
      </c>
      <c r="N37" s="136">
        <f t="shared" si="12"/>
        <v>31</v>
      </c>
      <c r="O37" s="136">
        <f t="shared" si="12"/>
        <v>140</v>
      </c>
      <c r="P37" s="136">
        <f t="shared" si="12"/>
        <v>8</v>
      </c>
      <c r="Q37" s="136">
        <f>SUM(Q35:Q36)</f>
        <v>68</v>
      </c>
      <c r="R37" s="7" t="s">
        <v>12</v>
      </c>
      <c r="S37" s="9"/>
      <c r="T37" s="1"/>
    </row>
    <row r="38" spans="3:20" ht="13.5" thickBot="1" x14ac:dyDescent="0.25">
      <c r="C38" s="136">
        <f t="shared" si="0"/>
        <v>354</v>
      </c>
      <c r="D38" s="136">
        <f t="shared" si="1"/>
        <v>122</v>
      </c>
      <c r="E38" s="136">
        <f t="shared" si="1"/>
        <v>232</v>
      </c>
      <c r="F38" s="136">
        <v>0</v>
      </c>
      <c r="G38" s="136">
        <v>0</v>
      </c>
      <c r="H38" s="136">
        <v>62</v>
      </c>
      <c r="I38" s="136">
        <v>58</v>
      </c>
      <c r="J38" s="136">
        <v>29</v>
      </c>
      <c r="K38" s="136">
        <v>7</v>
      </c>
      <c r="L38" s="136">
        <v>29</v>
      </c>
      <c r="M38" s="136">
        <v>152</v>
      </c>
      <c r="N38" s="136">
        <v>1</v>
      </c>
      <c r="O38" s="136">
        <v>6</v>
      </c>
      <c r="P38" s="136">
        <v>1</v>
      </c>
      <c r="Q38" s="136">
        <v>9</v>
      </c>
      <c r="R38" s="7" t="s">
        <v>146</v>
      </c>
      <c r="S38" s="114"/>
      <c r="T38" s="1"/>
    </row>
    <row r="39" spans="3:20" ht="13.5" thickBot="1" x14ac:dyDescent="0.25">
      <c r="C39" s="136">
        <f t="shared" si="0"/>
        <v>125</v>
      </c>
      <c r="D39" s="136">
        <f t="shared" si="1"/>
        <v>67</v>
      </c>
      <c r="E39" s="136">
        <f t="shared" si="1"/>
        <v>58</v>
      </c>
      <c r="F39" s="136">
        <v>4</v>
      </c>
      <c r="G39" s="136">
        <v>5</v>
      </c>
      <c r="H39" s="136">
        <v>13</v>
      </c>
      <c r="I39" s="136">
        <v>0</v>
      </c>
      <c r="J39" s="136">
        <v>13</v>
      </c>
      <c r="K39" s="136">
        <v>19</v>
      </c>
      <c r="L39" s="136">
        <v>28</v>
      </c>
      <c r="M39" s="136">
        <v>23</v>
      </c>
      <c r="N39" s="136">
        <v>4</v>
      </c>
      <c r="O39" s="136">
        <v>6</v>
      </c>
      <c r="P39" s="136">
        <v>5</v>
      </c>
      <c r="Q39" s="136">
        <v>5</v>
      </c>
      <c r="R39" s="7" t="s">
        <v>145</v>
      </c>
      <c r="S39" s="114" t="s">
        <v>148</v>
      </c>
      <c r="T39" s="1"/>
    </row>
    <row r="40" spans="3:20" ht="13.5" thickBot="1" x14ac:dyDescent="0.25">
      <c r="C40" s="136">
        <f t="shared" ref="C40:P40" si="13">SUM(C38:C39)</f>
        <v>479</v>
      </c>
      <c r="D40" s="136">
        <f t="shared" si="13"/>
        <v>189</v>
      </c>
      <c r="E40" s="136">
        <f t="shared" si="13"/>
        <v>290</v>
      </c>
      <c r="F40" s="136">
        <f t="shared" si="13"/>
        <v>4</v>
      </c>
      <c r="G40" s="136">
        <f t="shared" si="13"/>
        <v>5</v>
      </c>
      <c r="H40" s="136">
        <f t="shared" si="13"/>
        <v>75</v>
      </c>
      <c r="I40" s="136">
        <f t="shared" si="13"/>
        <v>58</v>
      </c>
      <c r="J40" s="136">
        <f t="shared" si="13"/>
        <v>42</v>
      </c>
      <c r="K40" s="136">
        <f t="shared" si="13"/>
        <v>26</v>
      </c>
      <c r="L40" s="136">
        <f t="shared" si="13"/>
        <v>57</v>
      </c>
      <c r="M40" s="136">
        <f t="shared" si="13"/>
        <v>175</v>
      </c>
      <c r="N40" s="136">
        <f t="shared" si="13"/>
        <v>5</v>
      </c>
      <c r="O40" s="136">
        <f t="shared" si="13"/>
        <v>12</v>
      </c>
      <c r="P40" s="136">
        <f t="shared" si="13"/>
        <v>6</v>
      </c>
      <c r="Q40" s="136">
        <f>SUM(Q38:Q39)</f>
        <v>14</v>
      </c>
      <c r="R40" s="7" t="s">
        <v>12</v>
      </c>
      <c r="S40" s="9"/>
      <c r="T40" s="1"/>
    </row>
    <row r="41" spans="3:20" ht="13.5" thickBot="1" x14ac:dyDescent="0.25">
      <c r="C41" s="136">
        <f t="shared" si="0"/>
        <v>554</v>
      </c>
      <c r="D41" s="136">
        <f t="shared" si="1"/>
        <v>142</v>
      </c>
      <c r="E41" s="136">
        <f t="shared" si="1"/>
        <v>412</v>
      </c>
      <c r="F41" s="136">
        <v>1</v>
      </c>
      <c r="G41" s="136">
        <v>5</v>
      </c>
      <c r="H41" s="136">
        <v>61</v>
      </c>
      <c r="I41" s="136">
        <v>188</v>
      </c>
      <c r="J41" s="136">
        <v>20</v>
      </c>
      <c r="K41" s="136">
        <v>40</v>
      </c>
      <c r="L41" s="136">
        <v>60</v>
      </c>
      <c r="M41" s="136">
        <v>140</v>
      </c>
      <c r="N41" s="136">
        <v>0</v>
      </c>
      <c r="O41" s="136">
        <v>35</v>
      </c>
      <c r="P41" s="136">
        <v>0</v>
      </c>
      <c r="Q41" s="136">
        <v>4</v>
      </c>
      <c r="R41" s="7" t="s">
        <v>146</v>
      </c>
      <c r="S41" s="114"/>
      <c r="T41" s="1"/>
    </row>
    <row r="42" spans="3:20" ht="13.5" thickBot="1" x14ac:dyDescent="0.25">
      <c r="C42" s="136">
        <f t="shared" si="0"/>
        <v>919</v>
      </c>
      <c r="D42" s="136">
        <f t="shared" si="1"/>
        <v>270</v>
      </c>
      <c r="E42" s="136">
        <f t="shared" si="1"/>
        <v>649</v>
      </c>
      <c r="F42" s="136">
        <v>10</v>
      </c>
      <c r="G42" s="136">
        <v>17</v>
      </c>
      <c r="H42" s="136">
        <v>52</v>
      </c>
      <c r="I42" s="136">
        <v>98</v>
      </c>
      <c r="J42" s="136">
        <v>42</v>
      </c>
      <c r="K42" s="136">
        <v>105</v>
      </c>
      <c r="L42" s="136">
        <v>139</v>
      </c>
      <c r="M42" s="136">
        <v>310</v>
      </c>
      <c r="N42" s="136">
        <v>25</v>
      </c>
      <c r="O42" s="136">
        <v>90</v>
      </c>
      <c r="P42" s="136">
        <v>2</v>
      </c>
      <c r="Q42" s="136">
        <v>29</v>
      </c>
      <c r="R42" s="7" t="s">
        <v>145</v>
      </c>
      <c r="S42" s="114" t="s">
        <v>106</v>
      </c>
      <c r="T42" s="1"/>
    </row>
    <row r="43" spans="3:20" ht="13.5" thickBot="1" x14ac:dyDescent="0.25">
      <c r="C43" s="136">
        <f t="shared" ref="C43:P43" si="14">SUM(C41:C42)</f>
        <v>1473</v>
      </c>
      <c r="D43" s="136">
        <f t="shared" si="14"/>
        <v>412</v>
      </c>
      <c r="E43" s="136">
        <f t="shared" si="14"/>
        <v>1061</v>
      </c>
      <c r="F43" s="136">
        <f t="shared" si="14"/>
        <v>11</v>
      </c>
      <c r="G43" s="136">
        <f t="shared" si="14"/>
        <v>22</v>
      </c>
      <c r="H43" s="136">
        <f t="shared" si="14"/>
        <v>113</v>
      </c>
      <c r="I43" s="136">
        <f t="shared" si="14"/>
        <v>286</v>
      </c>
      <c r="J43" s="136">
        <f t="shared" si="14"/>
        <v>62</v>
      </c>
      <c r="K43" s="136">
        <f t="shared" si="14"/>
        <v>145</v>
      </c>
      <c r="L43" s="136">
        <f t="shared" si="14"/>
        <v>199</v>
      </c>
      <c r="M43" s="136">
        <f t="shared" si="14"/>
        <v>450</v>
      </c>
      <c r="N43" s="136">
        <f t="shared" si="14"/>
        <v>25</v>
      </c>
      <c r="O43" s="136">
        <f t="shared" si="14"/>
        <v>125</v>
      </c>
      <c r="P43" s="136">
        <f t="shared" si="14"/>
        <v>2</v>
      </c>
      <c r="Q43" s="136">
        <f>SUM(Q41:Q42)</f>
        <v>33</v>
      </c>
      <c r="R43" s="7" t="s">
        <v>12</v>
      </c>
      <c r="S43" s="9"/>
      <c r="T43" s="1"/>
    </row>
    <row r="44" spans="3:20" ht="13.5" thickBot="1" x14ac:dyDescent="0.25">
      <c r="C44" s="136">
        <f t="shared" si="0"/>
        <v>531</v>
      </c>
      <c r="D44" s="136">
        <f t="shared" si="1"/>
        <v>295</v>
      </c>
      <c r="E44" s="136">
        <f t="shared" si="1"/>
        <v>236</v>
      </c>
      <c r="F44" s="136">
        <v>0</v>
      </c>
      <c r="G44" s="136">
        <v>0</v>
      </c>
      <c r="H44" s="136">
        <v>257</v>
      </c>
      <c r="I44" s="136">
        <v>119</v>
      </c>
      <c r="J44" s="136">
        <v>22</v>
      </c>
      <c r="K44" s="136">
        <v>65</v>
      </c>
      <c r="L44" s="136">
        <v>7</v>
      </c>
      <c r="M44" s="136">
        <v>35</v>
      </c>
      <c r="N44" s="136">
        <v>9</v>
      </c>
      <c r="O44" s="136">
        <v>13</v>
      </c>
      <c r="P44" s="136">
        <v>0</v>
      </c>
      <c r="Q44" s="136">
        <v>4</v>
      </c>
      <c r="R44" s="7" t="s">
        <v>146</v>
      </c>
      <c r="S44" s="114"/>
      <c r="T44" s="1"/>
    </row>
    <row r="45" spans="3:20" ht="13.5" thickBot="1" x14ac:dyDescent="0.25">
      <c r="C45" s="136">
        <f t="shared" si="0"/>
        <v>756</v>
      </c>
      <c r="D45" s="136">
        <f t="shared" si="1"/>
        <v>302</v>
      </c>
      <c r="E45" s="136">
        <f t="shared" si="1"/>
        <v>454</v>
      </c>
      <c r="F45" s="136">
        <v>4</v>
      </c>
      <c r="G45" s="136">
        <v>17</v>
      </c>
      <c r="H45" s="136">
        <v>0</v>
      </c>
      <c r="I45" s="136">
        <v>6</v>
      </c>
      <c r="J45" s="136">
        <v>117</v>
      </c>
      <c r="K45" s="136">
        <v>163</v>
      </c>
      <c r="L45" s="136">
        <v>169</v>
      </c>
      <c r="M45" s="136">
        <v>251</v>
      </c>
      <c r="N45" s="136">
        <v>9</v>
      </c>
      <c r="O45" s="136">
        <v>13</v>
      </c>
      <c r="P45" s="136">
        <v>3</v>
      </c>
      <c r="Q45" s="136">
        <v>4</v>
      </c>
      <c r="R45" s="7" t="s">
        <v>145</v>
      </c>
      <c r="S45" s="114" t="s">
        <v>109</v>
      </c>
      <c r="T45" s="1"/>
    </row>
    <row r="46" spans="3:20" ht="13.5" thickBot="1" x14ac:dyDescent="0.25">
      <c r="C46" s="136">
        <f t="shared" ref="C46:P46" si="15">SUM(C44:C45)</f>
        <v>1287</v>
      </c>
      <c r="D46" s="136">
        <f t="shared" si="15"/>
        <v>597</v>
      </c>
      <c r="E46" s="136">
        <f t="shared" si="15"/>
        <v>690</v>
      </c>
      <c r="F46" s="136">
        <f t="shared" si="15"/>
        <v>4</v>
      </c>
      <c r="G46" s="136">
        <f t="shared" si="15"/>
        <v>17</v>
      </c>
      <c r="H46" s="136">
        <f t="shared" si="15"/>
        <v>257</v>
      </c>
      <c r="I46" s="136">
        <f t="shared" si="15"/>
        <v>125</v>
      </c>
      <c r="J46" s="136">
        <f t="shared" si="15"/>
        <v>139</v>
      </c>
      <c r="K46" s="136">
        <f t="shared" si="15"/>
        <v>228</v>
      </c>
      <c r="L46" s="136">
        <f t="shared" si="15"/>
        <v>176</v>
      </c>
      <c r="M46" s="136">
        <f t="shared" si="15"/>
        <v>286</v>
      </c>
      <c r="N46" s="136">
        <f t="shared" si="15"/>
        <v>18</v>
      </c>
      <c r="O46" s="136">
        <f t="shared" si="15"/>
        <v>26</v>
      </c>
      <c r="P46" s="136">
        <f t="shared" si="15"/>
        <v>3</v>
      </c>
      <c r="Q46" s="136">
        <f>SUM(Q44:Q45)</f>
        <v>8</v>
      </c>
      <c r="R46" s="7" t="s">
        <v>12</v>
      </c>
      <c r="S46" s="9"/>
      <c r="T46" s="1"/>
    </row>
    <row r="47" spans="3:20" ht="13.5" thickBot="1" x14ac:dyDescent="0.25">
      <c r="C47" s="136">
        <f t="shared" si="0"/>
        <v>263</v>
      </c>
      <c r="D47" s="136">
        <f t="shared" si="1"/>
        <v>148</v>
      </c>
      <c r="E47" s="136">
        <f t="shared" si="1"/>
        <v>115</v>
      </c>
      <c r="F47" s="136">
        <v>3</v>
      </c>
      <c r="G47" s="136">
        <v>1</v>
      </c>
      <c r="H47" s="136">
        <v>105</v>
      </c>
      <c r="I47" s="136">
        <v>67</v>
      </c>
      <c r="J47" s="136">
        <v>36</v>
      </c>
      <c r="K47" s="136">
        <v>35</v>
      </c>
      <c r="L47" s="136">
        <v>4</v>
      </c>
      <c r="M47" s="136">
        <v>11</v>
      </c>
      <c r="N47" s="136">
        <v>0</v>
      </c>
      <c r="O47" s="136">
        <v>1</v>
      </c>
      <c r="P47" s="136">
        <v>0</v>
      </c>
      <c r="Q47" s="136">
        <v>0</v>
      </c>
      <c r="R47" s="7" t="s">
        <v>146</v>
      </c>
      <c r="S47" s="114"/>
      <c r="T47" s="1"/>
    </row>
    <row r="48" spans="3:20" ht="13.5" thickBot="1" x14ac:dyDescent="0.25">
      <c r="C48" s="136">
        <f t="shared" si="0"/>
        <v>385</v>
      </c>
      <c r="D48" s="136">
        <f t="shared" si="1"/>
        <v>124</v>
      </c>
      <c r="E48" s="136">
        <f t="shared" si="1"/>
        <v>261</v>
      </c>
      <c r="F48" s="136">
        <v>5</v>
      </c>
      <c r="G48" s="136">
        <v>14</v>
      </c>
      <c r="H48" s="136">
        <v>0</v>
      </c>
      <c r="I48" s="136">
        <v>5</v>
      </c>
      <c r="J48" s="136">
        <v>72</v>
      </c>
      <c r="K48" s="136">
        <v>81</v>
      </c>
      <c r="L48" s="136">
        <v>44</v>
      </c>
      <c r="M48" s="136">
        <v>133</v>
      </c>
      <c r="N48" s="136">
        <v>3</v>
      </c>
      <c r="O48" s="136">
        <v>24</v>
      </c>
      <c r="P48" s="136">
        <v>0</v>
      </c>
      <c r="Q48" s="136">
        <v>4</v>
      </c>
      <c r="R48" s="7" t="s">
        <v>145</v>
      </c>
      <c r="S48" s="114" t="s">
        <v>111</v>
      </c>
      <c r="T48" s="1"/>
    </row>
    <row r="49" spans="3:20" ht="13.5" thickBot="1" x14ac:dyDescent="0.25">
      <c r="C49" s="136">
        <f t="shared" ref="C49:P49" si="16">SUM(C47:C48)</f>
        <v>648</v>
      </c>
      <c r="D49" s="136">
        <f t="shared" si="16"/>
        <v>272</v>
      </c>
      <c r="E49" s="136">
        <f t="shared" si="16"/>
        <v>376</v>
      </c>
      <c r="F49" s="136">
        <f t="shared" si="16"/>
        <v>8</v>
      </c>
      <c r="G49" s="136">
        <f t="shared" si="16"/>
        <v>15</v>
      </c>
      <c r="H49" s="136">
        <f t="shared" si="16"/>
        <v>105</v>
      </c>
      <c r="I49" s="136">
        <f t="shared" si="16"/>
        <v>72</v>
      </c>
      <c r="J49" s="136">
        <f t="shared" si="16"/>
        <v>108</v>
      </c>
      <c r="K49" s="136">
        <f t="shared" si="16"/>
        <v>116</v>
      </c>
      <c r="L49" s="136">
        <f t="shared" si="16"/>
        <v>48</v>
      </c>
      <c r="M49" s="136">
        <f t="shared" si="16"/>
        <v>144</v>
      </c>
      <c r="N49" s="136">
        <f t="shared" si="16"/>
        <v>3</v>
      </c>
      <c r="O49" s="136">
        <f t="shared" si="16"/>
        <v>25</v>
      </c>
      <c r="P49" s="136">
        <f t="shared" si="16"/>
        <v>0</v>
      </c>
      <c r="Q49" s="136">
        <f>SUM(Q47:Q48)</f>
        <v>4</v>
      </c>
      <c r="R49" s="7" t="s">
        <v>12</v>
      </c>
      <c r="S49" s="9"/>
      <c r="T49" s="1"/>
    </row>
    <row r="50" spans="3:20" ht="13.5" thickBot="1" x14ac:dyDescent="0.25">
      <c r="C50" s="136">
        <f t="shared" si="0"/>
        <v>427</v>
      </c>
      <c r="D50" s="136">
        <f t="shared" si="1"/>
        <v>271</v>
      </c>
      <c r="E50" s="136">
        <f t="shared" si="1"/>
        <v>156</v>
      </c>
      <c r="F50" s="136">
        <v>5</v>
      </c>
      <c r="G50" s="136">
        <v>2</v>
      </c>
      <c r="H50" s="136">
        <v>211</v>
      </c>
      <c r="I50" s="136">
        <v>110</v>
      </c>
      <c r="J50" s="136">
        <v>31</v>
      </c>
      <c r="K50" s="136">
        <v>21</v>
      </c>
      <c r="L50" s="136">
        <v>23</v>
      </c>
      <c r="M50" s="136">
        <v>20</v>
      </c>
      <c r="N50" s="136">
        <v>1</v>
      </c>
      <c r="O50" s="136">
        <v>1</v>
      </c>
      <c r="P50" s="136">
        <v>0</v>
      </c>
      <c r="Q50" s="136">
        <v>2</v>
      </c>
      <c r="R50" s="7" t="s">
        <v>146</v>
      </c>
      <c r="S50" s="114"/>
      <c r="T50" s="1"/>
    </row>
    <row r="51" spans="3:20" ht="13.5" thickBot="1" x14ac:dyDescent="0.25">
      <c r="C51" s="136">
        <f t="shared" si="0"/>
        <v>263</v>
      </c>
      <c r="D51" s="136">
        <f t="shared" si="1"/>
        <v>87</v>
      </c>
      <c r="E51" s="136">
        <f t="shared" si="1"/>
        <v>176</v>
      </c>
      <c r="F51" s="136">
        <v>3</v>
      </c>
      <c r="G51" s="136">
        <v>21</v>
      </c>
      <c r="H51" s="136">
        <v>0</v>
      </c>
      <c r="I51" s="136">
        <v>0</v>
      </c>
      <c r="J51" s="136">
        <v>19</v>
      </c>
      <c r="K51" s="136">
        <v>29</v>
      </c>
      <c r="L51" s="136">
        <v>53</v>
      </c>
      <c r="M51" s="136">
        <v>93</v>
      </c>
      <c r="N51" s="136">
        <v>6</v>
      </c>
      <c r="O51" s="136">
        <v>23</v>
      </c>
      <c r="P51" s="136">
        <v>6</v>
      </c>
      <c r="Q51" s="136">
        <v>10</v>
      </c>
      <c r="R51" s="7" t="s">
        <v>145</v>
      </c>
      <c r="S51" s="114" t="s">
        <v>115</v>
      </c>
      <c r="T51" s="1"/>
    </row>
    <row r="52" spans="3:20" ht="13.5" thickBot="1" x14ac:dyDescent="0.25">
      <c r="C52" s="136">
        <f t="shared" ref="C52:P52" si="17">SUM(C50:C51)</f>
        <v>690</v>
      </c>
      <c r="D52" s="136">
        <f t="shared" si="17"/>
        <v>358</v>
      </c>
      <c r="E52" s="136">
        <f t="shared" si="17"/>
        <v>332</v>
      </c>
      <c r="F52" s="136">
        <f t="shared" si="17"/>
        <v>8</v>
      </c>
      <c r="G52" s="136">
        <f t="shared" si="17"/>
        <v>23</v>
      </c>
      <c r="H52" s="136">
        <f t="shared" si="17"/>
        <v>211</v>
      </c>
      <c r="I52" s="136">
        <f t="shared" si="17"/>
        <v>110</v>
      </c>
      <c r="J52" s="136">
        <f t="shared" si="17"/>
        <v>50</v>
      </c>
      <c r="K52" s="136">
        <f t="shared" si="17"/>
        <v>50</v>
      </c>
      <c r="L52" s="136">
        <f t="shared" si="17"/>
        <v>76</v>
      </c>
      <c r="M52" s="136">
        <f t="shared" si="17"/>
        <v>113</v>
      </c>
      <c r="N52" s="136">
        <f t="shared" si="17"/>
        <v>7</v>
      </c>
      <c r="O52" s="136">
        <f t="shared" si="17"/>
        <v>24</v>
      </c>
      <c r="P52" s="136">
        <f t="shared" si="17"/>
        <v>6</v>
      </c>
      <c r="Q52" s="136">
        <f>SUM(Q50:Q51)</f>
        <v>12</v>
      </c>
      <c r="R52" s="7" t="s">
        <v>12</v>
      </c>
      <c r="S52" s="9"/>
      <c r="T52" s="1"/>
    </row>
    <row r="53" spans="3:20" ht="13.5" thickBot="1" x14ac:dyDescent="0.25">
      <c r="C53" s="136">
        <f t="shared" si="0"/>
        <v>191</v>
      </c>
      <c r="D53" s="136">
        <f t="shared" si="1"/>
        <v>91</v>
      </c>
      <c r="E53" s="136">
        <f t="shared" si="1"/>
        <v>100</v>
      </c>
      <c r="F53" s="136">
        <v>0</v>
      </c>
      <c r="G53" s="136">
        <v>0</v>
      </c>
      <c r="H53" s="136">
        <v>71</v>
      </c>
      <c r="I53" s="136">
        <v>50</v>
      </c>
      <c r="J53" s="136">
        <v>20</v>
      </c>
      <c r="K53" s="136">
        <v>22</v>
      </c>
      <c r="L53" s="136">
        <v>0</v>
      </c>
      <c r="M53" s="136">
        <v>21</v>
      </c>
      <c r="N53" s="136">
        <v>0</v>
      </c>
      <c r="O53" s="136">
        <v>5</v>
      </c>
      <c r="P53" s="136">
        <v>0</v>
      </c>
      <c r="Q53" s="136">
        <v>2</v>
      </c>
      <c r="R53" s="7" t="s">
        <v>146</v>
      </c>
      <c r="S53" s="114"/>
      <c r="T53" s="1"/>
    </row>
    <row r="54" spans="3:20" ht="13.5" thickBot="1" x14ac:dyDescent="0.25">
      <c r="C54" s="136">
        <f t="shared" si="0"/>
        <v>346</v>
      </c>
      <c r="D54" s="136">
        <f t="shared" si="1"/>
        <v>115</v>
      </c>
      <c r="E54" s="136">
        <f t="shared" si="1"/>
        <v>231</v>
      </c>
      <c r="F54" s="136">
        <v>1</v>
      </c>
      <c r="G54" s="136">
        <v>5</v>
      </c>
      <c r="H54" s="136">
        <v>0</v>
      </c>
      <c r="I54" s="136">
        <v>3</v>
      </c>
      <c r="J54" s="136">
        <v>50</v>
      </c>
      <c r="K54" s="136">
        <v>35</v>
      </c>
      <c r="L54" s="136">
        <v>60</v>
      </c>
      <c r="M54" s="136">
        <v>143</v>
      </c>
      <c r="N54" s="136">
        <v>2</v>
      </c>
      <c r="O54" s="136">
        <v>28</v>
      </c>
      <c r="P54" s="136">
        <v>2</v>
      </c>
      <c r="Q54" s="136">
        <v>17</v>
      </c>
      <c r="R54" s="7" t="s">
        <v>145</v>
      </c>
      <c r="S54" s="114" t="s">
        <v>117</v>
      </c>
      <c r="T54" s="1"/>
    </row>
    <row r="55" spans="3:20" ht="13.5" thickBot="1" x14ac:dyDescent="0.25">
      <c r="C55" s="136">
        <f t="shared" ref="C55:P55" si="18">SUM(C53:C54)</f>
        <v>537</v>
      </c>
      <c r="D55" s="136">
        <f t="shared" si="18"/>
        <v>206</v>
      </c>
      <c r="E55" s="136">
        <f t="shared" si="18"/>
        <v>331</v>
      </c>
      <c r="F55" s="136">
        <f t="shared" si="18"/>
        <v>1</v>
      </c>
      <c r="G55" s="136">
        <f t="shared" si="18"/>
        <v>5</v>
      </c>
      <c r="H55" s="136">
        <f t="shared" si="18"/>
        <v>71</v>
      </c>
      <c r="I55" s="136">
        <f t="shared" si="18"/>
        <v>53</v>
      </c>
      <c r="J55" s="136">
        <f t="shared" si="18"/>
        <v>70</v>
      </c>
      <c r="K55" s="136">
        <f t="shared" si="18"/>
        <v>57</v>
      </c>
      <c r="L55" s="136">
        <f t="shared" si="18"/>
        <v>60</v>
      </c>
      <c r="M55" s="136">
        <f t="shared" si="18"/>
        <v>164</v>
      </c>
      <c r="N55" s="136">
        <f t="shared" si="18"/>
        <v>2</v>
      </c>
      <c r="O55" s="136">
        <f t="shared" si="18"/>
        <v>33</v>
      </c>
      <c r="P55" s="136">
        <f t="shared" si="18"/>
        <v>2</v>
      </c>
      <c r="Q55" s="136">
        <f>SUM(Q53:Q54)</f>
        <v>19</v>
      </c>
      <c r="R55" s="7" t="s">
        <v>12</v>
      </c>
      <c r="S55" s="9"/>
      <c r="T55" s="1"/>
    </row>
    <row r="56" spans="3:20" ht="13.5" thickBot="1" x14ac:dyDescent="0.25">
      <c r="C56" s="136">
        <f t="shared" si="0"/>
        <v>249</v>
      </c>
      <c r="D56" s="136">
        <f t="shared" si="1"/>
        <v>96</v>
      </c>
      <c r="E56" s="136">
        <f t="shared" si="1"/>
        <v>153</v>
      </c>
      <c r="F56" s="136">
        <v>0</v>
      </c>
      <c r="G56" s="136">
        <v>1</v>
      </c>
      <c r="H56" s="136">
        <v>95</v>
      </c>
      <c r="I56" s="136">
        <v>134</v>
      </c>
      <c r="J56" s="136">
        <v>0</v>
      </c>
      <c r="K56" s="136">
        <v>3</v>
      </c>
      <c r="L56" s="136">
        <v>1</v>
      </c>
      <c r="M56" s="136">
        <v>11</v>
      </c>
      <c r="N56" s="136">
        <v>0</v>
      </c>
      <c r="O56" s="136">
        <v>3</v>
      </c>
      <c r="P56" s="136">
        <v>0</v>
      </c>
      <c r="Q56" s="136">
        <v>1</v>
      </c>
      <c r="R56" s="7" t="s">
        <v>146</v>
      </c>
      <c r="S56" s="114"/>
      <c r="T56" s="1"/>
    </row>
    <row r="57" spans="3:20" ht="13.5" thickBot="1" x14ac:dyDescent="0.25">
      <c r="C57" s="136">
        <f t="shared" si="0"/>
        <v>208</v>
      </c>
      <c r="D57" s="136">
        <f t="shared" si="1"/>
        <v>52</v>
      </c>
      <c r="E57" s="136">
        <f t="shared" si="1"/>
        <v>156</v>
      </c>
      <c r="F57" s="136">
        <v>4</v>
      </c>
      <c r="G57" s="136">
        <v>0</v>
      </c>
      <c r="H57" s="136">
        <v>0</v>
      </c>
      <c r="I57" s="136">
        <v>0</v>
      </c>
      <c r="J57" s="136">
        <v>31</v>
      </c>
      <c r="K57" s="136">
        <v>91</v>
      </c>
      <c r="L57" s="136">
        <v>17</v>
      </c>
      <c r="M57" s="136">
        <v>55</v>
      </c>
      <c r="N57" s="136">
        <v>0</v>
      </c>
      <c r="O57" s="136">
        <v>5</v>
      </c>
      <c r="P57" s="136">
        <v>0</v>
      </c>
      <c r="Q57" s="136">
        <v>5</v>
      </c>
      <c r="R57" s="7" t="s">
        <v>145</v>
      </c>
      <c r="S57" s="114" t="s">
        <v>119</v>
      </c>
      <c r="T57" s="1"/>
    </row>
    <row r="58" spans="3:20" ht="13.5" thickBot="1" x14ac:dyDescent="0.25">
      <c r="C58" s="136">
        <f t="shared" ref="C58:P58" si="19">SUM(C56:C57)</f>
        <v>457</v>
      </c>
      <c r="D58" s="136">
        <f t="shared" si="19"/>
        <v>148</v>
      </c>
      <c r="E58" s="136">
        <f t="shared" si="19"/>
        <v>309</v>
      </c>
      <c r="F58" s="136">
        <f t="shared" si="19"/>
        <v>4</v>
      </c>
      <c r="G58" s="136">
        <f t="shared" si="19"/>
        <v>1</v>
      </c>
      <c r="H58" s="136">
        <f t="shared" si="19"/>
        <v>95</v>
      </c>
      <c r="I58" s="136">
        <f t="shared" si="19"/>
        <v>134</v>
      </c>
      <c r="J58" s="136">
        <f t="shared" si="19"/>
        <v>31</v>
      </c>
      <c r="K58" s="136">
        <f t="shared" si="19"/>
        <v>94</v>
      </c>
      <c r="L58" s="136">
        <f t="shared" si="19"/>
        <v>18</v>
      </c>
      <c r="M58" s="136">
        <f t="shared" si="19"/>
        <v>66</v>
      </c>
      <c r="N58" s="136">
        <f t="shared" si="19"/>
        <v>0</v>
      </c>
      <c r="O58" s="136">
        <f t="shared" si="19"/>
        <v>8</v>
      </c>
      <c r="P58" s="136">
        <f t="shared" si="19"/>
        <v>0</v>
      </c>
      <c r="Q58" s="136">
        <f>SUM(Q56:Q57)</f>
        <v>6</v>
      </c>
      <c r="R58" s="7" t="s">
        <v>12</v>
      </c>
      <c r="S58" s="9"/>
      <c r="T58" s="1"/>
    </row>
    <row r="59" spans="3:20" ht="13.5" thickBot="1" x14ac:dyDescent="0.25">
      <c r="C59" s="136">
        <f t="shared" si="0"/>
        <v>860</v>
      </c>
      <c r="D59" s="136">
        <f t="shared" si="1"/>
        <v>860</v>
      </c>
      <c r="E59" s="136">
        <f t="shared" si="1"/>
        <v>0</v>
      </c>
      <c r="F59" s="136">
        <v>0</v>
      </c>
      <c r="G59" s="136">
        <v>0</v>
      </c>
      <c r="H59" s="136">
        <v>119</v>
      </c>
      <c r="I59" s="136">
        <v>0</v>
      </c>
      <c r="J59" s="136">
        <v>343</v>
      </c>
      <c r="K59" s="136">
        <v>0</v>
      </c>
      <c r="L59" s="136">
        <v>339</v>
      </c>
      <c r="M59" s="136">
        <v>0</v>
      </c>
      <c r="N59" s="136">
        <v>47</v>
      </c>
      <c r="O59" s="136">
        <v>0</v>
      </c>
      <c r="P59" s="136">
        <v>12</v>
      </c>
      <c r="Q59" s="136">
        <v>0</v>
      </c>
      <c r="R59" s="7" t="s">
        <v>146</v>
      </c>
      <c r="S59" s="114"/>
      <c r="T59" s="1"/>
    </row>
    <row r="60" spans="3:20" ht="13.5" thickBot="1" x14ac:dyDescent="0.25">
      <c r="C60" s="136">
        <f t="shared" si="0"/>
        <v>63</v>
      </c>
      <c r="D60" s="136">
        <f t="shared" si="1"/>
        <v>31</v>
      </c>
      <c r="E60" s="136">
        <f t="shared" si="1"/>
        <v>32</v>
      </c>
      <c r="F60" s="136">
        <v>0</v>
      </c>
      <c r="G60" s="136">
        <v>0</v>
      </c>
      <c r="H60" s="136">
        <v>0</v>
      </c>
      <c r="I60" s="136">
        <v>0</v>
      </c>
      <c r="J60" s="136">
        <v>1</v>
      </c>
      <c r="K60" s="136">
        <v>0</v>
      </c>
      <c r="L60" s="136">
        <v>13</v>
      </c>
      <c r="M60" s="136">
        <v>12</v>
      </c>
      <c r="N60" s="136">
        <v>12</v>
      </c>
      <c r="O60" s="136">
        <v>12</v>
      </c>
      <c r="P60" s="136">
        <v>5</v>
      </c>
      <c r="Q60" s="136">
        <v>8</v>
      </c>
      <c r="R60" s="7" t="s">
        <v>145</v>
      </c>
      <c r="S60" s="114" t="s">
        <v>121</v>
      </c>
      <c r="T60" s="1"/>
    </row>
    <row r="61" spans="3:20" ht="13.5" thickBot="1" x14ac:dyDescent="0.25">
      <c r="C61" s="136">
        <f t="shared" ref="C61:P61" si="20">SUM(C59:C60)</f>
        <v>923</v>
      </c>
      <c r="D61" s="136">
        <f t="shared" si="20"/>
        <v>891</v>
      </c>
      <c r="E61" s="136">
        <f t="shared" si="20"/>
        <v>32</v>
      </c>
      <c r="F61" s="136">
        <f t="shared" si="20"/>
        <v>0</v>
      </c>
      <c r="G61" s="136">
        <f t="shared" si="20"/>
        <v>0</v>
      </c>
      <c r="H61" s="136">
        <f t="shared" si="20"/>
        <v>119</v>
      </c>
      <c r="I61" s="136">
        <f t="shared" si="20"/>
        <v>0</v>
      </c>
      <c r="J61" s="136">
        <f t="shared" si="20"/>
        <v>344</v>
      </c>
      <c r="K61" s="136">
        <f t="shared" si="20"/>
        <v>0</v>
      </c>
      <c r="L61" s="136">
        <f t="shared" si="20"/>
        <v>352</v>
      </c>
      <c r="M61" s="136">
        <f t="shared" si="20"/>
        <v>12</v>
      </c>
      <c r="N61" s="136">
        <f t="shared" si="20"/>
        <v>59</v>
      </c>
      <c r="O61" s="136">
        <f t="shared" si="20"/>
        <v>12</v>
      </c>
      <c r="P61" s="136">
        <f t="shared" si="20"/>
        <v>17</v>
      </c>
      <c r="Q61" s="136">
        <f>SUM(Q59:Q60)</f>
        <v>8</v>
      </c>
      <c r="R61" s="7" t="s">
        <v>12</v>
      </c>
      <c r="S61" s="9"/>
      <c r="T61" s="1"/>
    </row>
    <row r="62" spans="3:20" ht="13.5" thickBot="1" x14ac:dyDescent="0.25">
      <c r="C62" s="136">
        <f t="shared" si="0"/>
        <v>164</v>
      </c>
      <c r="D62" s="136">
        <f t="shared" si="1"/>
        <v>72</v>
      </c>
      <c r="E62" s="136">
        <f t="shared" si="1"/>
        <v>92</v>
      </c>
      <c r="F62" s="136">
        <v>2</v>
      </c>
      <c r="G62" s="136">
        <v>0</v>
      </c>
      <c r="H62" s="136">
        <v>58</v>
      </c>
      <c r="I62" s="136">
        <v>36</v>
      </c>
      <c r="J62" s="136">
        <v>11</v>
      </c>
      <c r="K62" s="136">
        <v>45</v>
      </c>
      <c r="L62" s="136">
        <v>1</v>
      </c>
      <c r="M62" s="136">
        <v>9</v>
      </c>
      <c r="N62" s="136">
        <v>0</v>
      </c>
      <c r="O62" s="136">
        <v>2</v>
      </c>
      <c r="P62" s="136">
        <v>0</v>
      </c>
      <c r="Q62" s="136">
        <v>0</v>
      </c>
      <c r="R62" s="7" t="s">
        <v>146</v>
      </c>
      <c r="S62" s="114"/>
      <c r="T62" s="1"/>
    </row>
    <row r="63" spans="3:20" ht="13.5" thickBot="1" x14ac:dyDescent="0.25">
      <c r="C63" s="136">
        <f t="shared" si="0"/>
        <v>192</v>
      </c>
      <c r="D63" s="136">
        <f t="shared" si="1"/>
        <v>81</v>
      </c>
      <c r="E63" s="136">
        <f t="shared" si="1"/>
        <v>111</v>
      </c>
      <c r="F63" s="136">
        <v>8</v>
      </c>
      <c r="G63" s="136">
        <v>5</v>
      </c>
      <c r="H63" s="136">
        <v>0</v>
      </c>
      <c r="I63" s="136">
        <v>0</v>
      </c>
      <c r="J63" s="136">
        <v>32</v>
      </c>
      <c r="K63" s="136">
        <v>25</v>
      </c>
      <c r="L63" s="136">
        <v>34</v>
      </c>
      <c r="M63" s="136">
        <v>45</v>
      </c>
      <c r="N63" s="136">
        <v>2</v>
      </c>
      <c r="O63" s="136">
        <v>25</v>
      </c>
      <c r="P63" s="136">
        <v>5</v>
      </c>
      <c r="Q63" s="136">
        <v>11</v>
      </c>
      <c r="R63" s="7" t="s">
        <v>145</v>
      </c>
      <c r="S63" s="114" t="s">
        <v>123</v>
      </c>
      <c r="T63" s="1"/>
    </row>
    <row r="64" spans="3:20" ht="13.5" thickBot="1" x14ac:dyDescent="0.25">
      <c r="C64" s="136">
        <f t="shared" ref="C64:P64" si="21">SUM(C62:C63)</f>
        <v>356</v>
      </c>
      <c r="D64" s="136">
        <f t="shared" si="21"/>
        <v>153</v>
      </c>
      <c r="E64" s="136">
        <f t="shared" si="21"/>
        <v>203</v>
      </c>
      <c r="F64" s="136">
        <f t="shared" si="21"/>
        <v>10</v>
      </c>
      <c r="G64" s="136">
        <f t="shared" si="21"/>
        <v>5</v>
      </c>
      <c r="H64" s="136">
        <f t="shared" si="21"/>
        <v>58</v>
      </c>
      <c r="I64" s="136">
        <f t="shared" si="21"/>
        <v>36</v>
      </c>
      <c r="J64" s="136">
        <f t="shared" si="21"/>
        <v>43</v>
      </c>
      <c r="K64" s="136">
        <f t="shared" si="21"/>
        <v>70</v>
      </c>
      <c r="L64" s="136">
        <f t="shared" si="21"/>
        <v>35</v>
      </c>
      <c r="M64" s="136">
        <f t="shared" si="21"/>
        <v>54</v>
      </c>
      <c r="N64" s="136">
        <f t="shared" si="21"/>
        <v>2</v>
      </c>
      <c r="O64" s="136">
        <f t="shared" si="21"/>
        <v>27</v>
      </c>
      <c r="P64" s="136">
        <f t="shared" si="21"/>
        <v>5</v>
      </c>
      <c r="Q64" s="136">
        <f>SUM(Q62:Q63)</f>
        <v>11</v>
      </c>
      <c r="R64" s="7" t="s">
        <v>12</v>
      </c>
      <c r="S64" s="9"/>
      <c r="T64" s="1"/>
    </row>
    <row r="65" spans="3:20" ht="13.5" thickBot="1" x14ac:dyDescent="0.25">
      <c r="C65" s="136">
        <f t="shared" si="0"/>
        <v>3404</v>
      </c>
      <c r="D65" s="136">
        <f t="shared" si="1"/>
        <v>244</v>
      </c>
      <c r="E65" s="136">
        <f t="shared" si="1"/>
        <v>3160</v>
      </c>
      <c r="F65" s="136">
        <v>2</v>
      </c>
      <c r="G65" s="136">
        <v>381</v>
      </c>
      <c r="H65" s="136">
        <v>182</v>
      </c>
      <c r="I65" s="136">
        <v>2437</v>
      </c>
      <c r="J65" s="136">
        <v>60</v>
      </c>
      <c r="K65" s="136">
        <v>212</v>
      </c>
      <c r="L65" s="136">
        <v>0</v>
      </c>
      <c r="M65" s="136">
        <v>121</v>
      </c>
      <c r="N65" s="136">
        <v>0</v>
      </c>
      <c r="O65" s="136">
        <v>7</v>
      </c>
      <c r="P65" s="136">
        <v>0</v>
      </c>
      <c r="Q65" s="136">
        <v>2</v>
      </c>
      <c r="R65" s="7" t="s">
        <v>146</v>
      </c>
      <c r="S65" s="114"/>
      <c r="T65" s="1"/>
    </row>
    <row r="66" spans="3:20" ht="13.5" thickBot="1" x14ac:dyDescent="0.25">
      <c r="C66" s="136">
        <f t="shared" si="0"/>
        <v>748</v>
      </c>
      <c r="D66" s="136">
        <f t="shared" si="1"/>
        <v>0</v>
      </c>
      <c r="E66" s="136">
        <f t="shared" si="1"/>
        <v>748</v>
      </c>
      <c r="F66" s="136">
        <v>0</v>
      </c>
      <c r="G66" s="136">
        <v>10</v>
      </c>
      <c r="H66" s="136">
        <v>0</v>
      </c>
      <c r="I66" s="136">
        <v>382</v>
      </c>
      <c r="J66" s="136">
        <v>0</v>
      </c>
      <c r="K66" s="136">
        <v>227</v>
      </c>
      <c r="L66" s="136">
        <v>0</v>
      </c>
      <c r="M66" s="136">
        <v>123</v>
      </c>
      <c r="N66" s="136">
        <v>0</v>
      </c>
      <c r="O66" s="136">
        <v>6</v>
      </c>
      <c r="P66" s="136">
        <v>0</v>
      </c>
      <c r="Q66" s="136">
        <v>0</v>
      </c>
      <c r="R66" s="7" t="s">
        <v>145</v>
      </c>
      <c r="S66" s="114" t="s">
        <v>151</v>
      </c>
      <c r="T66" s="1"/>
    </row>
    <row r="67" spans="3:20" ht="13.5" thickBot="1" x14ac:dyDescent="0.25">
      <c r="C67" s="136">
        <f t="shared" ref="C67:P67" si="22">SUM(C65:C66)</f>
        <v>4152</v>
      </c>
      <c r="D67" s="136">
        <f t="shared" si="22"/>
        <v>244</v>
      </c>
      <c r="E67" s="136">
        <f t="shared" si="22"/>
        <v>3908</v>
      </c>
      <c r="F67" s="136">
        <f t="shared" si="22"/>
        <v>2</v>
      </c>
      <c r="G67" s="136">
        <f t="shared" si="22"/>
        <v>391</v>
      </c>
      <c r="H67" s="136">
        <f t="shared" si="22"/>
        <v>182</v>
      </c>
      <c r="I67" s="136">
        <f t="shared" si="22"/>
        <v>2819</v>
      </c>
      <c r="J67" s="136">
        <f t="shared" si="22"/>
        <v>60</v>
      </c>
      <c r="K67" s="136">
        <f t="shared" si="22"/>
        <v>439</v>
      </c>
      <c r="L67" s="136">
        <f t="shared" si="22"/>
        <v>0</v>
      </c>
      <c r="M67" s="136">
        <f t="shared" si="22"/>
        <v>244</v>
      </c>
      <c r="N67" s="136">
        <f t="shared" si="22"/>
        <v>0</v>
      </c>
      <c r="O67" s="136">
        <f t="shared" si="22"/>
        <v>13</v>
      </c>
      <c r="P67" s="136">
        <f t="shared" si="22"/>
        <v>0</v>
      </c>
      <c r="Q67" s="136">
        <f>SUM(Q65:Q66)</f>
        <v>2</v>
      </c>
      <c r="R67" s="7" t="s">
        <v>12</v>
      </c>
      <c r="S67" s="9"/>
      <c r="T67" s="1"/>
    </row>
    <row r="68" spans="3:20" ht="13.5" thickBot="1" x14ac:dyDescent="0.25">
      <c r="C68" s="136">
        <f t="shared" si="0"/>
        <v>11</v>
      </c>
      <c r="D68" s="136">
        <f t="shared" si="1"/>
        <v>6</v>
      </c>
      <c r="E68" s="136">
        <f t="shared" si="1"/>
        <v>5</v>
      </c>
      <c r="F68" s="136">
        <v>3</v>
      </c>
      <c r="G68" s="136">
        <v>1</v>
      </c>
      <c r="H68" s="136">
        <v>0</v>
      </c>
      <c r="I68" s="136">
        <v>0</v>
      </c>
      <c r="J68" s="136">
        <v>3</v>
      </c>
      <c r="K68" s="136">
        <v>4</v>
      </c>
      <c r="L68" s="136">
        <v>0</v>
      </c>
      <c r="M68" s="136">
        <v>0</v>
      </c>
      <c r="N68" s="136">
        <v>0</v>
      </c>
      <c r="O68" s="136">
        <v>0</v>
      </c>
      <c r="P68" s="136">
        <v>0</v>
      </c>
      <c r="Q68" s="136">
        <v>0</v>
      </c>
      <c r="R68" s="7" t="s">
        <v>146</v>
      </c>
      <c r="S68" s="114"/>
      <c r="T68" s="1"/>
    </row>
    <row r="69" spans="3:20" ht="13.5" thickBot="1" x14ac:dyDescent="0.25">
      <c r="C69" s="136">
        <f t="shared" si="0"/>
        <v>45</v>
      </c>
      <c r="D69" s="136">
        <f t="shared" si="1"/>
        <v>2</v>
      </c>
      <c r="E69" s="136">
        <f t="shared" si="1"/>
        <v>43</v>
      </c>
      <c r="F69" s="136">
        <v>0</v>
      </c>
      <c r="G69" s="136">
        <v>13</v>
      </c>
      <c r="H69" s="136">
        <v>0</v>
      </c>
      <c r="I69" s="136">
        <v>0</v>
      </c>
      <c r="J69" s="136">
        <v>2</v>
      </c>
      <c r="K69" s="136">
        <v>21</v>
      </c>
      <c r="L69" s="136">
        <v>0</v>
      </c>
      <c r="M69" s="136">
        <v>9</v>
      </c>
      <c r="N69" s="136">
        <v>0</v>
      </c>
      <c r="O69" s="136">
        <v>0</v>
      </c>
      <c r="P69" s="136">
        <v>0</v>
      </c>
      <c r="Q69" s="136">
        <v>0</v>
      </c>
      <c r="R69" s="7" t="s">
        <v>145</v>
      </c>
      <c r="S69" s="114" t="s">
        <v>152</v>
      </c>
      <c r="T69" s="1"/>
    </row>
    <row r="70" spans="3:20" ht="13.5" thickBot="1" x14ac:dyDescent="0.25">
      <c r="C70" s="136">
        <f t="shared" ref="C70:P70" si="23">SUM(C68:C69)</f>
        <v>56</v>
      </c>
      <c r="D70" s="136">
        <f t="shared" si="23"/>
        <v>8</v>
      </c>
      <c r="E70" s="136">
        <f t="shared" si="23"/>
        <v>48</v>
      </c>
      <c r="F70" s="136">
        <f t="shared" si="23"/>
        <v>3</v>
      </c>
      <c r="G70" s="136">
        <f t="shared" si="23"/>
        <v>14</v>
      </c>
      <c r="H70" s="136">
        <f t="shared" si="23"/>
        <v>0</v>
      </c>
      <c r="I70" s="136">
        <f t="shared" si="23"/>
        <v>0</v>
      </c>
      <c r="J70" s="136">
        <f t="shared" si="23"/>
        <v>5</v>
      </c>
      <c r="K70" s="136">
        <f t="shared" si="23"/>
        <v>25</v>
      </c>
      <c r="L70" s="136">
        <f t="shared" si="23"/>
        <v>0</v>
      </c>
      <c r="M70" s="136">
        <f t="shared" si="23"/>
        <v>9</v>
      </c>
      <c r="N70" s="136">
        <f t="shared" si="23"/>
        <v>0</v>
      </c>
      <c r="O70" s="136">
        <f t="shared" si="23"/>
        <v>0</v>
      </c>
      <c r="P70" s="136">
        <f t="shared" si="23"/>
        <v>0</v>
      </c>
      <c r="Q70" s="136">
        <f>SUM(Q68:Q69)</f>
        <v>0</v>
      </c>
      <c r="R70" s="7" t="s">
        <v>12</v>
      </c>
      <c r="S70" s="9"/>
      <c r="T70" s="1"/>
    </row>
    <row r="71" spans="3:20" ht="13.5" thickBot="1" x14ac:dyDescent="0.25">
      <c r="C71" s="136">
        <f t="shared" ref="C71:C78" si="24">SUM(D71:E71)</f>
        <v>104</v>
      </c>
      <c r="D71" s="136">
        <f t="shared" ref="D71:E78" si="25">P71+N71+L71+J71+H71+F71</f>
        <v>15</v>
      </c>
      <c r="E71" s="136">
        <f t="shared" si="25"/>
        <v>89</v>
      </c>
      <c r="F71" s="136">
        <v>12</v>
      </c>
      <c r="G71" s="136">
        <v>9</v>
      </c>
      <c r="H71" s="136">
        <v>0</v>
      </c>
      <c r="I71" s="136">
        <v>30</v>
      </c>
      <c r="J71" s="136">
        <v>3</v>
      </c>
      <c r="K71" s="136">
        <v>40</v>
      </c>
      <c r="L71" s="136">
        <v>0</v>
      </c>
      <c r="M71" s="136">
        <v>6</v>
      </c>
      <c r="N71" s="136">
        <v>0</v>
      </c>
      <c r="O71" s="136">
        <v>0</v>
      </c>
      <c r="P71" s="136">
        <v>0</v>
      </c>
      <c r="Q71" s="136">
        <v>4</v>
      </c>
      <c r="R71" s="7" t="s">
        <v>146</v>
      </c>
      <c r="S71" s="114"/>
      <c r="T71" s="1"/>
    </row>
    <row r="72" spans="3:20" ht="13.5" thickBot="1" x14ac:dyDescent="0.25">
      <c r="C72" s="136">
        <f t="shared" si="24"/>
        <v>512</v>
      </c>
      <c r="D72" s="136">
        <f t="shared" si="25"/>
        <v>59</v>
      </c>
      <c r="E72" s="136">
        <f t="shared" si="25"/>
        <v>453</v>
      </c>
      <c r="F72" s="136">
        <v>27</v>
      </c>
      <c r="G72" s="136">
        <v>18</v>
      </c>
      <c r="H72" s="136">
        <v>0</v>
      </c>
      <c r="I72" s="136">
        <v>131</v>
      </c>
      <c r="J72" s="136">
        <v>29</v>
      </c>
      <c r="K72" s="136">
        <v>221</v>
      </c>
      <c r="L72" s="136">
        <v>3</v>
      </c>
      <c r="M72" s="136">
        <v>12</v>
      </c>
      <c r="N72" s="136">
        <v>0</v>
      </c>
      <c r="O72" s="136">
        <v>0</v>
      </c>
      <c r="P72" s="136">
        <v>0</v>
      </c>
      <c r="Q72" s="136">
        <v>71</v>
      </c>
      <c r="R72" s="7" t="s">
        <v>145</v>
      </c>
      <c r="S72" s="114" t="s">
        <v>190</v>
      </c>
      <c r="T72" s="1"/>
    </row>
    <row r="73" spans="3:20" ht="13.5" thickBot="1" x14ac:dyDescent="0.25">
      <c r="C73" s="136">
        <f t="shared" ref="C73:P73" si="26">SUM(C71:C72)</f>
        <v>616</v>
      </c>
      <c r="D73" s="136">
        <f t="shared" si="26"/>
        <v>74</v>
      </c>
      <c r="E73" s="136">
        <f t="shared" si="26"/>
        <v>542</v>
      </c>
      <c r="F73" s="136">
        <f t="shared" si="26"/>
        <v>39</v>
      </c>
      <c r="G73" s="136">
        <f t="shared" si="26"/>
        <v>27</v>
      </c>
      <c r="H73" s="136">
        <f t="shared" si="26"/>
        <v>0</v>
      </c>
      <c r="I73" s="136">
        <f t="shared" si="26"/>
        <v>161</v>
      </c>
      <c r="J73" s="136">
        <f t="shared" si="26"/>
        <v>32</v>
      </c>
      <c r="K73" s="136">
        <f t="shared" si="26"/>
        <v>261</v>
      </c>
      <c r="L73" s="136">
        <f t="shared" si="26"/>
        <v>3</v>
      </c>
      <c r="M73" s="136">
        <f t="shared" si="26"/>
        <v>18</v>
      </c>
      <c r="N73" s="136">
        <f t="shared" si="26"/>
        <v>0</v>
      </c>
      <c r="O73" s="136">
        <f t="shared" si="26"/>
        <v>0</v>
      </c>
      <c r="P73" s="136">
        <f t="shared" si="26"/>
        <v>0</v>
      </c>
      <c r="Q73" s="136">
        <f>SUM(Q71:Q72)</f>
        <v>75</v>
      </c>
      <c r="R73" s="7" t="s">
        <v>12</v>
      </c>
      <c r="S73" s="9"/>
      <c r="T73" s="1"/>
    </row>
    <row r="74" spans="3:20" ht="13.5" thickBot="1" x14ac:dyDescent="0.25">
      <c r="C74" s="136">
        <f t="shared" si="24"/>
        <v>508</v>
      </c>
      <c r="D74" s="136">
        <f t="shared" si="25"/>
        <v>71</v>
      </c>
      <c r="E74" s="136">
        <f t="shared" si="25"/>
        <v>437</v>
      </c>
      <c r="F74" s="136">
        <v>0</v>
      </c>
      <c r="G74" s="136">
        <v>0</v>
      </c>
      <c r="H74" s="136">
        <v>0</v>
      </c>
      <c r="I74" s="136">
        <v>0</v>
      </c>
      <c r="J74" s="136">
        <v>64</v>
      </c>
      <c r="K74" s="136">
        <v>388</v>
      </c>
      <c r="L74" s="136">
        <v>6</v>
      </c>
      <c r="M74" s="136">
        <v>42</v>
      </c>
      <c r="N74" s="136">
        <v>1</v>
      </c>
      <c r="O74" s="136">
        <v>6</v>
      </c>
      <c r="P74" s="136">
        <v>0</v>
      </c>
      <c r="Q74" s="136">
        <v>1</v>
      </c>
      <c r="R74" s="7" t="s">
        <v>146</v>
      </c>
      <c r="S74" s="114"/>
      <c r="T74" s="1"/>
    </row>
    <row r="75" spans="3:20" ht="13.5" thickBot="1" x14ac:dyDescent="0.25">
      <c r="C75" s="136">
        <f t="shared" si="24"/>
        <v>119</v>
      </c>
      <c r="D75" s="136">
        <f t="shared" si="25"/>
        <v>8</v>
      </c>
      <c r="E75" s="136">
        <f t="shared" si="25"/>
        <v>111</v>
      </c>
      <c r="F75" s="136">
        <v>0</v>
      </c>
      <c r="G75" s="136">
        <v>0</v>
      </c>
      <c r="H75" s="136">
        <v>1</v>
      </c>
      <c r="I75" s="136">
        <v>5</v>
      </c>
      <c r="J75" s="136">
        <v>5</v>
      </c>
      <c r="K75" s="136">
        <v>89</v>
      </c>
      <c r="L75" s="136">
        <v>2</v>
      </c>
      <c r="M75" s="136">
        <v>15</v>
      </c>
      <c r="N75" s="136">
        <v>0</v>
      </c>
      <c r="O75" s="136">
        <v>0</v>
      </c>
      <c r="P75" s="136">
        <v>0</v>
      </c>
      <c r="Q75" s="136">
        <v>2</v>
      </c>
      <c r="R75" s="7" t="s">
        <v>145</v>
      </c>
      <c r="S75" s="114" t="s">
        <v>205</v>
      </c>
      <c r="T75" s="1"/>
    </row>
    <row r="76" spans="3:20" ht="13.5" thickBot="1" x14ac:dyDescent="0.25">
      <c r="C76" s="136">
        <f t="shared" ref="C76:P76" si="27">SUM(C74:C75)</f>
        <v>627</v>
      </c>
      <c r="D76" s="136">
        <f t="shared" si="27"/>
        <v>79</v>
      </c>
      <c r="E76" s="136">
        <f t="shared" si="27"/>
        <v>548</v>
      </c>
      <c r="F76" s="136">
        <f t="shared" si="27"/>
        <v>0</v>
      </c>
      <c r="G76" s="136">
        <f t="shared" si="27"/>
        <v>0</v>
      </c>
      <c r="H76" s="136">
        <f t="shared" si="27"/>
        <v>1</v>
      </c>
      <c r="I76" s="136">
        <f t="shared" si="27"/>
        <v>5</v>
      </c>
      <c r="J76" s="136">
        <f t="shared" si="27"/>
        <v>69</v>
      </c>
      <c r="K76" s="136">
        <f t="shared" si="27"/>
        <v>477</v>
      </c>
      <c r="L76" s="136">
        <f t="shared" si="27"/>
        <v>8</v>
      </c>
      <c r="M76" s="136">
        <f t="shared" si="27"/>
        <v>57</v>
      </c>
      <c r="N76" s="136">
        <f t="shared" si="27"/>
        <v>1</v>
      </c>
      <c r="O76" s="136">
        <f t="shared" si="27"/>
        <v>6</v>
      </c>
      <c r="P76" s="136">
        <f t="shared" si="27"/>
        <v>0</v>
      </c>
      <c r="Q76" s="136">
        <f>SUM(Q74:Q75)</f>
        <v>3</v>
      </c>
      <c r="R76" s="7" t="s">
        <v>12</v>
      </c>
      <c r="S76" s="9"/>
      <c r="T76" s="1"/>
    </row>
    <row r="77" spans="3:20" ht="13.5" thickBot="1" x14ac:dyDescent="0.25">
      <c r="C77" s="136">
        <f t="shared" si="24"/>
        <v>351</v>
      </c>
      <c r="D77" s="136">
        <f t="shared" si="25"/>
        <v>176</v>
      </c>
      <c r="E77" s="136">
        <f t="shared" si="25"/>
        <v>175</v>
      </c>
      <c r="F77" s="136">
        <v>28</v>
      </c>
      <c r="G77" s="136">
        <v>0</v>
      </c>
      <c r="H77" s="136">
        <v>35</v>
      </c>
      <c r="I77" s="136">
        <v>11</v>
      </c>
      <c r="J77" s="136">
        <v>70</v>
      </c>
      <c r="K77" s="136">
        <v>49</v>
      </c>
      <c r="L77" s="136">
        <v>40</v>
      </c>
      <c r="M77" s="136">
        <v>90</v>
      </c>
      <c r="N77" s="136">
        <v>3</v>
      </c>
      <c r="O77" s="136">
        <v>17</v>
      </c>
      <c r="P77" s="136">
        <v>0</v>
      </c>
      <c r="Q77" s="136">
        <v>8</v>
      </c>
      <c r="R77" s="7" t="s">
        <v>146</v>
      </c>
      <c r="S77" s="114"/>
      <c r="T77" s="1"/>
    </row>
    <row r="78" spans="3:20" ht="13.5" thickBot="1" x14ac:dyDescent="0.25">
      <c r="C78" s="136">
        <f t="shared" si="24"/>
        <v>1186</v>
      </c>
      <c r="D78" s="136">
        <f t="shared" si="25"/>
        <v>562</v>
      </c>
      <c r="E78" s="136">
        <f t="shared" si="25"/>
        <v>624</v>
      </c>
      <c r="F78" s="136">
        <v>112</v>
      </c>
      <c r="G78" s="136">
        <v>79</v>
      </c>
      <c r="H78" s="136">
        <v>61</v>
      </c>
      <c r="I78" s="136">
        <v>17</v>
      </c>
      <c r="J78" s="136">
        <v>244</v>
      </c>
      <c r="K78" s="136">
        <v>219</v>
      </c>
      <c r="L78" s="136">
        <v>119</v>
      </c>
      <c r="M78" s="136">
        <v>201</v>
      </c>
      <c r="N78" s="136">
        <v>18</v>
      </c>
      <c r="O78" s="136">
        <v>56</v>
      </c>
      <c r="P78" s="136">
        <v>8</v>
      </c>
      <c r="Q78" s="136">
        <v>52</v>
      </c>
      <c r="R78" s="7" t="s">
        <v>145</v>
      </c>
      <c r="S78" s="114" t="s">
        <v>155</v>
      </c>
      <c r="T78" s="1"/>
    </row>
    <row r="79" spans="3:20" ht="13.5" thickBot="1" x14ac:dyDescent="0.25">
      <c r="C79" s="136">
        <f t="shared" ref="C79:P79" si="28">SUM(C77:C78)</f>
        <v>1537</v>
      </c>
      <c r="D79" s="136">
        <f t="shared" si="28"/>
        <v>738</v>
      </c>
      <c r="E79" s="136">
        <f t="shared" si="28"/>
        <v>799</v>
      </c>
      <c r="F79" s="136">
        <f t="shared" si="28"/>
        <v>140</v>
      </c>
      <c r="G79" s="136">
        <f t="shared" si="28"/>
        <v>79</v>
      </c>
      <c r="H79" s="136">
        <f t="shared" si="28"/>
        <v>96</v>
      </c>
      <c r="I79" s="136">
        <f t="shared" si="28"/>
        <v>28</v>
      </c>
      <c r="J79" s="136">
        <f t="shared" si="28"/>
        <v>314</v>
      </c>
      <c r="K79" s="136">
        <f t="shared" si="28"/>
        <v>268</v>
      </c>
      <c r="L79" s="136">
        <f t="shared" si="28"/>
        <v>159</v>
      </c>
      <c r="M79" s="136">
        <f t="shared" si="28"/>
        <v>291</v>
      </c>
      <c r="N79" s="136">
        <f t="shared" si="28"/>
        <v>21</v>
      </c>
      <c r="O79" s="136">
        <f t="shared" si="28"/>
        <v>73</v>
      </c>
      <c r="P79" s="136">
        <f t="shared" si="28"/>
        <v>8</v>
      </c>
      <c r="Q79" s="136">
        <f>SUM(Q77:Q78)</f>
        <v>60</v>
      </c>
      <c r="R79" s="7" t="s">
        <v>12</v>
      </c>
      <c r="S79" s="9"/>
      <c r="T79" s="1"/>
    </row>
    <row r="80" spans="3:20" ht="13.5" thickBot="1" x14ac:dyDescent="0.25">
      <c r="C80" s="136">
        <f t="shared" ref="C80:Q82" si="29">C5+C8+C11+C14+C17+C20+C23+C26+C29+C32+C35+C38+C41+C44+C47+C50+C53+C56+C59+C62+C65+C68+C71+C74+C77</f>
        <v>26156</v>
      </c>
      <c r="D80" s="136">
        <f t="shared" si="29"/>
        <v>9961</v>
      </c>
      <c r="E80" s="136">
        <f t="shared" si="29"/>
        <v>16195</v>
      </c>
      <c r="F80" s="136">
        <f t="shared" si="29"/>
        <v>139</v>
      </c>
      <c r="G80" s="136">
        <f t="shared" si="29"/>
        <v>774</v>
      </c>
      <c r="H80" s="136">
        <f t="shared" si="29"/>
        <v>5579</v>
      </c>
      <c r="I80" s="136">
        <f t="shared" si="29"/>
        <v>6999</v>
      </c>
      <c r="J80" s="136">
        <f t="shared" si="29"/>
        <v>2133</v>
      </c>
      <c r="K80" s="136">
        <f t="shared" si="29"/>
        <v>2135</v>
      </c>
      <c r="L80" s="136">
        <f t="shared" si="29"/>
        <v>1737</v>
      </c>
      <c r="M80" s="136">
        <f t="shared" si="29"/>
        <v>3597</v>
      </c>
      <c r="N80" s="136">
        <f t="shared" si="29"/>
        <v>285</v>
      </c>
      <c r="O80" s="136">
        <f t="shared" si="29"/>
        <v>1578</v>
      </c>
      <c r="P80" s="136">
        <f t="shared" si="29"/>
        <v>88</v>
      </c>
      <c r="Q80" s="136">
        <f>Q5+Q8+Q11+Q14+Q17+Q20+Q23+Q26+Q29+Q32+Q35+Q38+Q41+Q44+Q47+Q50+Q53+Q56+Q59+Q62+Q65+Q68+Q71+Q74+Q77</f>
        <v>1112</v>
      </c>
      <c r="R80" s="7" t="s">
        <v>146</v>
      </c>
      <c r="S80" s="36"/>
      <c r="T80" s="1"/>
    </row>
    <row r="81" spans="3:20" ht="13.5" thickBot="1" x14ac:dyDescent="0.25">
      <c r="C81" s="136">
        <f t="shared" si="29"/>
        <v>15433</v>
      </c>
      <c r="D81" s="136">
        <f t="shared" si="29"/>
        <v>4140</v>
      </c>
      <c r="E81" s="136">
        <f t="shared" si="29"/>
        <v>11293</v>
      </c>
      <c r="F81" s="136">
        <f t="shared" si="29"/>
        <v>354</v>
      </c>
      <c r="G81" s="136">
        <f t="shared" si="29"/>
        <v>628</v>
      </c>
      <c r="H81" s="136">
        <f t="shared" si="29"/>
        <v>141</v>
      </c>
      <c r="I81" s="136">
        <f t="shared" si="29"/>
        <v>763</v>
      </c>
      <c r="J81" s="136">
        <f t="shared" si="29"/>
        <v>1087</v>
      </c>
      <c r="K81" s="136">
        <f t="shared" si="29"/>
        <v>2504</v>
      </c>
      <c r="L81" s="136">
        <f t="shared" si="29"/>
        <v>1976</v>
      </c>
      <c r="M81" s="136">
        <f t="shared" si="29"/>
        <v>5014</v>
      </c>
      <c r="N81" s="136">
        <f t="shared" si="29"/>
        <v>417</v>
      </c>
      <c r="O81" s="136">
        <f t="shared" si="29"/>
        <v>1414</v>
      </c>
      <c r="P81" s="136">
        <f t="shared" si="29"/>
        <v>165</v>
      </c>
      <c r="Q81" s="136">
        <f t="shared" si="29"/>
        <v>970</v>
      </c>
      <c r="R81" s="7" t="s">
        <v>145</v>
      </c>
      <c r="S81" s="37" t="s">
        <v>188</v>
      </c>
      <c r="T81" s="1"/>
    </row>
    <row r="82" spans="3:20" ht="13.5" thickBot="1" x14ac:dyDescent="0.25">
      <c r="C82" s="136">
        <f t="shared" si="29"/>
        <v>41589</v>
      </c>
      <c r="D82" s="136">
        <f t="shared" si="29"/>
        <v>14101</v>
      </c>
      <c r="E82" s="136">
        <f t="shared" si="29"/>
        <v>27488</v>
      </c>
      <c r="F82" s="136">
        <f t="shared" si="29"/>
        <v>493</v>
      </c>
      <c r="G82" s="136">
        <f t="shared" si="29"/>
        <v>1402</v>
      </c>
      <c r="H82" s="136">
        <f t="shared" si="29"/>
        <v>5720</v>
      </c>
      <c r="I82" s="136">
        <f t="shared" si="29"/>
        <v>7762</v>
      </c>
      <c r="J82" s="136">
        <f t="shared" si="29"/>
        <v>3220</v>
      </c>
      <c r="K82" s="136">
        <f t="shared" si="29"/>
        <v>4639</v>
      </c>
      <c r="L82" s="136">
        <f t="shared" si="29"/>
        <v>3713</v>
      </c>
      <c r="M82" s="136">
        <f t="shared" si="29"/>
        <v>8611</v>
      </c>
      <c r="N82" s="136">
        <f t="shared" si="29"/>
        <v>702</v>
      </c>
      <c r="O82" s="136">
        <f t="shared" si="29"/>
        <v>2992</v>
      </c>
      <c r="P82" s="136">
        <f t="shared" si="29"/>
        <v>253</v>
      </c>
      <c r="Q82" s="136">
        <f t="shared" si="29"/>
        <v>2082</v>
      </c>
      <c r="R82" s="7" t="s">
        <v>12</v>
      </c>
      <c r="S82" s="38"/>
      <c r="T82" s="1"/>
    </row>
    <row r="84" spans="3:20" x14ac:dyDescent="0.2">
      <c r="C84" s="11"/>
      <c r="D84" s="11"/>
      <c r="E84" s="11"/>
    </row>
    <row r="85" spans="3:20" x14ac:dyDescent="0.2">
      <c r="C85" s="11"/>
      <c r="D85" s="11"/>
      <c r="E85" s="11"/>
    </row>
    <row r="86" spans="3:20" x14ac:dyDescent="0.2">
      <c r="C86" s="11"/>
      <c r="D86" s="11"/>
      <c r="E86" s="11"/>
    </row>
  </sheetData>
  <mergeCells count="10">
    <mergeCell ref="C1:S1"/>
    <mergeCell ref="C2:S2"/>
    <mergeCell ref="C3:E3"/>
    <mergeCell ref="F3:G3"/>
    <mergeCell ref="H3:I3"/>
    <mergeCell ref="J3:K3"/>
    <mergeCell ref="L3:M3"/>
    <mergeCell ref="N3:O3"/>
    <mergeCell ref="P3:Q3"/>
    <mergeCell ref="R3:R4"/>
  </mergeCells>
  <pageMargins left="0.97" right="0.4" top="0.25" bottom="0.25" header="0.25" footer="0.25"/>
  <pageSetup paperSize="9" scale="89" orientation="landscape" r:id="rId1"/>
  <headerFooter alignWithMargins="0"/>
  <rowBreaks count="1" manualBreakCount="1">
    <brk id="43" min="2" max="18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266"/>
  <sheetViews>
    <sheetView showGridLines="0" view="pageBreakPreview" zoomScaleNormal="100" zoomScaleSheetLayoutView="100" workbookViewId="0">
      <selection activeCell="R15" sqref="R15"/>
    </sheetView>
  </sheetViews>
  <sheetFormatPr defaultRowHeight="22.5" customHeight="1" x14ac:dyDescent="0.2"/>
  <cols>
    <col min="1" max="1" width="9" style="2"/>
    <col min="2" max="2" width="7.875" style="333" customWidth="1"/>
    <col min="3" max="3" width="6.375" style="333" customWidth="1"/>
    <col min="4" max="4" width="6.875" style="333" customWidth="1"/>
    <col min="5" max="5" width="7.375" style="333" bestFit="1" customWidth="1"/>
    <col min="6" max="16" width="6.375" style="333" customWidth="1"/>
    <col min="17" max="17" width="9.625" style="212" customWidth="1"/>
    <col min="18" max="18" width="36.625" style="334" bestFit="1" customWidth="1"/>
    <col min="19" max="19" width="3.25" style="81" customWidth="1"/>
    <col min="20" max="20" width="6.125" style="81" customWidth="1"/>
    <col min="21" max="21" width="35.75" style="81" customWidth="1"/>
    <col min="22" max="245" width="9" style="2"/>
    <col min="246" max="248" width="6.125" style="2" customWidth="1"/>
    <col min="249" max="260" width="5.375" style="2" customWidth="1"/>
    <col min="261" max="261" width="9.625" style="2" customWidth="1"/>
    <col min="262" max="262" width="35" style="2" bestFit="1" customWidth="1"/>
    <col min="263" max="263" width="3.25" style="2" customWidth="1"/>
    <col min="264" max="264" width="9" style="2"/>
    <col min="265" max="265" width="11.625" style="2" bestFit="1" customWidth="1"/>
    <col min="266" max="501" width="9" style="2"/>
    <col min="502" max="504" width="6.125" style="2" customWidth="1"/>
    <col min="505" max="516" width="5.375" style="2" customWidth="1"/>
    <col min="517" max="517" width="9.625" style="2" customWidth="1"/>
    <col min="518" max="518" width="35" style="2" bestFit="1" customWidth="1"/>
    <col min="519" max="519" width="3.25" style="2" customWidth="1"/>
    <col min="520" max="520" width="9" style="2"/>
    <col min="521" max="521" width="11.625" style="2" bestFit="1" customWidth="1"/>
    <col min="522" max="757" width="9" style="2"/>
    <col min="758" max="760" width="6.125" style="2" customWidth="1"/>
    <col min="761" max="772" width="5.375" style="2" customWidth="1"/>
    <col min="773" max="773" width="9.625" style="2" customWidth="1"/>
    <col min="774" max="774" width="35" style="2" bestFit="1" customWidth="1"/>
    <col min="775" max="775" width="3.25" style="2" customWidth="1"/>
    <col min="776" max="776" width="9" style="2"/>
    <col min="777" max="777" width="11.625" style="2" bestFit="1" customWidth="1"/>
    <col min="778" max="1013" width="9" style="2"/>
    <col min="1014" max="1016" width="6.125" style="2" customWidth="1"/>
    <col min="1017" max="1028" width="5.375" style="2" customWidth="1"/>
    <col min="1029" max="1029" width="9.625" style="2" customWidth="1"/>
    <col min="1030" max="1030" width="35" style="2" bestFit="1" customWidth="1"/>
    <col min="1031" max="1031" width="3.25" style="2" customWidth="1"/>
    <col min="1032" max="1032" width="9" style="2"/>
    <col min="1033" max="1033" width="11.625" style="2" bestFit="1" customWidth="1"/>
    <col min="1034" max="1269" width="9" style="2"/>
    <col min="1270" max="1272" width="6.125" style="2" customWidth="1"/>
    <col min="1273" max="1284" width="5.375" style="2" customWidth="1"/>
    <col min="1285" max="1285" width="9.625" style="2" customWidth="1"/>
    <col min="1286" max="1286" width="35" style="2" bestFit="1" customWidth="1"/>
    <col min="1287" max="1287" width="3.25" style="2" customWidth="1"/>
    <col min="1288" max="1288" width="9" style="2"/>
    <col min="1289" max="1289" width="11.625" style="2" bestFit="1" customWidth="1"/>
    <col min="1290" max="1525" width="9" style="2"/>
    <col min="1526" max="1528" width="6.125" style="2" customWidth="1"/>
    <col min="1529" max="1540" width="5.375" style="2" customWidth="1"/>
    <col min="1541" max="1541" width="9.625" style="2" customWidth="1"/>
    <col min="1542" max="1542" width="35" style="2" bestFit="1" customWidth="1"/>
    <col min="1543" max="1543" width="3.25" style="2" customWidth="1"/>
    <col min="1544" max="1544" width="9" style="2"/>
    <col min="1545" max="1545" width="11.625" style="2" bestFit="1" customWidth="1"/>
    <col min="1546" max="1781" width="9" style="2"/>
    <col min="1782" max="1784" width="6.125" style="2" customWidth="1"/>
    <col min="1785" max="1796" width="5.375" style="2" customWidth="1"/>
    <col min="1797" max="1797" width="9.625" style="2" customWidth="1"/>
    <col min="1798" max="1798" width="35" style="2" bestFit="1" customWidth="1"/>
    <col min="1799" max="1799" width="3.25" style="2" customWidth="1"/>
    <col min="1800" max="1800" width="9" style="2"/>
    <col min="1801" max="1801" width="11.625" style="2" bestFit="1" customWidth="1"/>
    <col min="1802" max="2037" width="9" style="2"/>
    <col min="2038" max="2040" width="6.125" style="2" customWidth="1"/>
    <col min="2041" max="2052" width="5.375" style="2" customWidth="1"/>
    <col min="2053" max="2053" width="9.625" style="2" customWidth="1"/>
    <col min="2054" max="2054" width="35" style="2" bestFit="1" customWidth="1"/>
    <col min="2055" max="2055" width="3.25" style="2" customWidth="1"/>
    <col min="2056" max="2056" width="9" style="2"/>
    <col min="2057" max="2057" width="11.625" style="2" bestFit="1" customWidth="1"/>
    <col min="2058" max="2293" width="9" style="2"/>
    <col min="2294" max="2296" width="6.125" style="2" customWidth="1"/>
    <col min="2297" max="2308" width="5.375" style="2" customWidth="1"/>
    <col min="2309" max="2309" width="9.625" style="2" customWidth="1"/>
    <col min="2310" max="2310" width="35" style="2" bestFit="1" customWidth="1"/>
    <col min="2311" max="2311" width="3.25" style="2" customWidth="1"/>
    <col min="2312" max="2312" width="9" style="2"/>
    <col min="2313" max="2313" width="11.625" style="2" bestFit="1" customWidth="1"/>
    <col min="2314" max="2549" width="9" style="2"/>
    <col min="2550" max="2552" width="6.125" style="2" customWidth="1"/>
    <col min="2553" max="2564" width="5.375" style="2" customWidth="1"/>
    <col min="2565" max="2565" width="9.625" style="2" customWidth="1"/>
    <col min="2566" max="2566" width="35" style="2" bestFit="1" customWidth="1"/>
    <col min="2567" max="2567" width="3.25" style="2" customWidth="1"/>
    <col min="2568" max="2568" width="9" style="2"/>
    <col min="2569" max="2569" width="11.625" style="2" bestFit="1" customWidth="1"/>
    <col min="2570" max="2805" width="9" style="2"/>
    <col min="2806" max="2808" width="6.125" style="2" customWidth="1"/>
    <col min="2809" max="2820" width="5.375" style="2" customWidth="1"/>
    <col min="2821" max="2821" width="9.625" style="2" customWidth="1"/>
    <col min="2822" max="2822" width="35" style="2" bestFit="1" customWidth="1"/>
    <col min="2823" max="2823" width="3.25" style="2" customWidth="1"/>
    <col min="2824" max="2824" width="9" style="2"/>
    <col min="2825" max="2825" width="11.625" style="2" bestFit="1" customWidth="1"/>
    <col min="2826" max="3061" width="9" style="2"/>
    <col min="3062" max="3064" width="6.125" style="2" customWidth="1"/>
    <col min="3065" max="3076" width="5.375" style="2" customWidth="1"/>
    <col min="3077" max="3077" width="9.625" style="2" customWidth="1"/>
    <col min="3078" max="3078" width="35" style="2" bestFit="1" customWidth="1"/>
    <col min="3079" max="3079" width="3.25" style="2" customWidth="1"/>
    <col min="3080" max="3080" width="9" style="2"/>
    <col min="3081" max="3081" width="11.625" style="2" bestFit="1" customWidth="1"/>
    <col min="3082" max="3317" width="9" style="2"/>
    <col min="3318" max="3320" width="6.125" style="2" customWidth="1"/>
    <col min="3321" max="3332" width="5.375" style="2" customWidth="1"/>
    <col min="3333" max="3333" width="9.625" style="2" customWidth="1"/>
    <col min="3334" max="3334" width="35" style="2" bestFit="1" customWidth="1"/>
    <col min="3335" max="3335" width="3.25" style="2" customWidth="1"/>
    <col min="3336" max="3336" width="9" style="2"/>
    <col min="3337" max="3337" width="11.625" style="2" bestFit="1" customWidth="1"/>
    <col min="3338" max="3573" width="9" style="2"/>
    <col min="3574" max="3576" width="6.125" style="2" customWidth="1"/>
    <col min="3577" max="3588" width="5.375" style="2" customWidth="1"/>
    <col min="3589" max="3589" width="9.625" style="2" customWidth="1"/>
    <col min="3590" max="3590" width="35" style="2" bestFit="1" customWidth="1"/>
    <col min="3591" max="3591" width="3.25" style="2" customWidth="1"/>
    <col min="3592" max="3592" width="9" style="2"/>
    <col min="3593" max="3593" width="11.625" style="2" bestFit="1" customWidth="1"/>
    <col min="3594" max="3829" width="9" style="2"/>
    <col min="3830" max="3832" width="6.125" style="2" customWidth="1"/>
    <col min="3833" max="3844" width="5.375" style="2" customWidth="1"/>
    <col min="3845" max="3845" width="9.625" style="2" customWidth="1"/>
    <col min="3846" max="3846" width="35" style="2" bestFit="1" customWidth="1"/>
    <col min="3847" max="3847" width="3.25" style="2" customWidth="1"/>
    <col min="3848" max="3848" width="9" style="2"/>
    <col min="3849" max="3849" width="11.625" style="2" bestFit="1" customWidth="1"/>
    <col min="3850" max="4085" width="9" style="2"/>
    <col min="4086" max="4088" width="6.125" style="2" customWidth="1"/>
    <col min="4089" max="4100" width="5.375" style="2" customWidth="1"/>
    <col min="4101" max="4101" width="9.625" style="2" customWidth="1"/>
    <col min="4102" max="4102" width="35" style="2" bestFit="1" customWidth="1"/>
    <col min="4103" max="4103" width="3.25" style="2" customWidth="1"/>
    <col min="4104" max="4104" width="9" style="2"/>
    <col min="4105" max="4105" width="11.625" style="2" bestFit="1" customWidth="1"/>
    <col min="4106" max="4341" width="9" style="2"/>
    <col min="4342" max="4344" width="6.125" style="2" customWidth="1"/>
    <col min="4345" max="4356" width="5.375" style="2" customWidth="1"/>
    <col min="4357" max="4357" width="9.625" style="2" customWidth="1"/>
    <col min="4358" max="4358" width="35" style="2" bestFit="1" customWidth="1"/>
    <col min="4359" max="4359" width="3.25" style="2" customWidth="1"/>
    <col min="4360" max="4360" width="9" style="2"/>
    <col min="4361" max="4361" width="11.625" style="2" bestFit="1" customWidth="1"/>
    <col min="4362" max="4597" width="9" style="2"/>
    <col min="4598" max="4600" width="6.125" style="2" customWidth="1"/>
    <col min="4601" max="4612" width="5.375" style="2" customWidth="1"/>
    <col min="4613" max="4613" width="9.625" style="2" customWidth="1"/>
    <col min="4614" max="4614" width="35" style="2" bestFit="1" customWidth="1"/>
    <col min="4615" max="4615" width="3.25" style="2" customWidth="1"/>
    <col min="4616" max="4616" width="9" style="2"/>
    <col min="4617" max="4617" width="11.625" style="2" bestFit="1" customWidth="1"/>
    <col min="4618" max="4853" width="9" style="2"/>
    <col min="4854" max="4856" width="6.125" style="2" customWidth="1"/>
    <col min="4857" max="4868" width="5.375" style="2" customWidth="1"/>
    <col min="4869" max="4869" width="9.625" style="2" customWidth="1"/>
    <col min="4870" max="4870" width="35" style="2" bestFit="1" customWidth="1"/>
    <col min="4871" max="4871" width="3.25" style="2" customWidth="1"/>
    <col min="4872" max="4872" width="9" style="2"/>
    <col min="4873" max="4873" width="11.625" style="2" bestFit="1" customWidth="1"/>
    <col min="4874" max="5109" width="9" style="2"/>
    <col min="5110" max="5112" width="6.125" style="2" customWidth="1"/>
    <col min="5113" max="5124" width="5.375" style="2" customWidth="1"/>
    <col min="5125" max="5125" width="9.625" style="2" customWidth="1"/>
    <col min="5126" max="5126" width="35" style="2" bestFit="1" customWidth="1"/>
    <col min="5127" max="5127" width="3.25" style="2" customWidth="1"/>
    <col min="5128" max="5128" width="9" style="2"/>
    <col min="5129" max="5129" width="11.625" style="2" bestFit="1" customWidth="1"/>
    <col min="5130" max="5365" width="9" style="2"/>
    <col min="5366" max="5368" width="6.125" style="2" customWidth="1"/>
    <col min="5369" max="5380" width="5.375" style="2" customWidth="1"/>
    <col min="5381" max="5381" width="9.625" style="2" customWidth="1"/>
    <col min="5382" max="5382" width="35" style="2" bestFit="1" customWidth="1"/>
    <col min="5383" max="5383" width="3.25" style="2" customWidth="1"/>
    <col min="5384" max="5384" width="9" style="2"/>
    <col min="5385" max="5385" width="11.625" style="2" bestFit="1" customWidth="1"/>
    <col min="5386" max="5621" width="9" style="2"/>
    <col min="5622" max="5624" width="6.125" style="2" customWidth="1"/>
    <col min="5625" max="5636" width="5.375" style="2" customWidth="1"/>
    <col min="5637" max="5637" width="9.625" style="2" customWidth="1"/>
    <col min="5638" max="5638" width="35" style="2" bestFit="1" customWidth="1"/>
    <col min="5639" max="5639" width="3.25" style="2" customWidth="1"/>
    <col min="5640" max="5640" width="9" style="2"/>
    <col min="5641" max="5641" width="11.625" style="2" bestFit="1" customWidth="1"/>
    <col min="5642" max="5877" width="9" style="2"/>
    <col min="5878" max="5880" width="6.125" style="2" customWidth="1"/>
    <col min="5881" max="5892" width="5.375" style="2" customWidth="1"/>
    <col min="5893" max="5893" width="9.625" style="2" customWidth="1"/>
    <col min="5894" max="5894" width="35" style="2" bestFit="1" customWidth="1"/>
    <col min="5895" max="5895" width="3.25" style="2" customWidth="1"/>
    <col min="5896" max="5896" width="9" style="2"/>
    <col min="5897" max="5897" width="11.625" style="2" bestFit="1" customWidth="1"/>
    <col min="5898" max="6133" width="9" style="2"/>
    <col min="6134" max="6136" width="6.125" style="2" customWidth="1"/>
    <col min="6137" max="6148" width="5.375" style="2" customWidth="1"/>
    <col min="6149" max="6149" width="9.625" style="2" customWidth="1"/>
    <col min="6150" max="6150" width="35" style="2" bestFit="1" customWidth="1"/>
    <col min="6151" max="6151" width="3.25" style="2" customWidth="1"/>
    <col min="6152" max="6152" width="9" style="2"/>
    <col min="6153" max="6153" width="11.625" style="2" bestFit="1" customWidth="1"/>
    <col min="6154" max="6389" width="9" style="2"/>
    <col min="6390" max="6392" width="6.125" style="2" customWidth="1"/>
    <col min="6393" max="6404" width="5.375" style="2" customWidth="1"/>
    <col min="6405" max="6405" width="9.625" style="2" customWidth="1"/>
    <col min="6406" max="6406" width="35" style="2" bestFit="1" customWidth="1"/>
    <col min="6407" max="6407" width="3.25" style="2" customWidth="1"/>
    <col min="6408" max="6408" width="9" style="2"/>
    <col min="6409" max="6409" width="11.625" style="2" bestFit="1" customWidth="1"/>
    <col min="6410" max="6645" width="9" style="2"/>
    <col min="6646" max="6648" width="6.125" style="2" customWidth="1"/>
    <col min="6649" max="6660" width="5.375" style="2" customWidth="1"/>
    <col min="6661" max="6661" width="9.625" style="2" customWidth="1"/>
    <col min="6662" max="6662" width="35" style="2" bestFit="1" customWidth="1"/>
    <col min="6663" max="6663" width="3.25" style="2" customWidth="1"/>
    <col min="6664" max="6664" width="9" style="2"/>
    <col min="6665" max="6665" width="11.625" style="2" bestFit="1" customWidth="1"/>
    <col min="6666" max="6901" width="9" style="2"/>
    <col min="6902" max="6904" width="6.125" style="2" customWidth="1"/>
    <col min="6905" max="6916" width="5.375" style="2" customWidth="1"/>
    <col min="6917" max="6917" width="9.625" style="2" customWidth="1"/>
    <col min="6918" max="6918" width="35" style="2" bestFit="1" customWidth="1"/>
    <col min="6919" max="6919" width="3.25" style="2" customWidth="1"/>
    <col min="6920" max="6920" width="9" style="2"/>
    <col min="6921" max="6921" width="11.625" style="2" bestFit="1" customWidth="1"/>
    <col min="6922" max="7157" width="9" style="2"/>
    <col min="7158" max="7160" width="6.125" style="2" customWidth="1"/>
    <col min="7161" max="7172" width="5.375" style="2" customWidth="1"/>
    <col min="7173" max="7173" width="9.625" style="2" customWidth="1"/>
    <col min="7174" max="7174" width="35" style="2" bestFit="1" customWidth="1"/>
    <col min="7175" max="7175" width="3.25" style="2" customWidth="1"/>
    <col min="7176" max="7176" width="9" style="2"/>
    <col min="7177" max="7177" width="11.625" style="2" bestFit="1" customWidth="1"/>
    <col min="7178" max="7413" width="9" style="2"/>
    <col min="7414" max="7416" width="6.125" style="2" customWidth="1"/>
    <col min="7417" max="7428" width="5.375" style="2" customWidth="1"/>
    <col min="7429" max="7429" width="9.625" style="2" customWidth="1"/>
    <col min="7430" max="7430" width="35" style="2" bestFit="1" customWidth="1"/>
    <col min="7431" max="7431" width="3.25" style="2" customWidth="1"/>
    <col min="7432" max="7432" width="9" style="2"/>
    <col min="7433" max="7433" width="11.625" style="2" bestFit="1" customWidth="1"/>
    <col min="7434" max="7669" width="9" style="2"/>
    <col min="7670" max="7672" width="6.125" style="2" customWidth="1"/>
    <col min="7673" max="7684" width="5.375" style="2" customWidth="1"/>
    <col min="7685" max="7685" width="9.625" style="2" customWidth="1"/>
    <col min="7686" max="7686" width="35" style="2" bestFit="1" customWidth="1"/>
    <col min="7687" max="7687" width="3.25" style="2" customWidth="1"/>
    <col min="7688" max="7688" width="9" style="2"/>
    <col min="7689" max="7689" width="11.625" style="2" bestFit="1" customWidth="1"/>
    <col min="7690" max="7925" width="9" style="2"/>
    <col min="7926" max="7928" width="6.125" style="2" customWidth="1"/>
    <col min="7929" max="7940" width="5.375" style="2" customWidth="1"/>
    <col min="7941" max="7941" width="9.625" style="2" customWidth="1"/>
    <col min="7942" max="7942" width="35" style="2" bestFit="1" customWidth="1"/>
    <col min="7943" max="7943" width="3.25" style="2" customWidth="1"/>
    <col min="7944" max="7944" width="9" style="2"/>
    <col min="7945" max="7945" width="11.625" style="2" bestFit="1" customWidth="1"/>
    <col min="7946" max="8181" width="9" style="2"/>
    <col min="8182" max="8184" width="6.125" style="2" customWidth="1"/>
    <col min="8185" max="8196" width="5.375" style="2" customWidth="1"/>
    <col min="8197" max="8197" width="9.625" style="2" customWidth="1"/>
    <col min="8198" max="8198" width="35" style="2" bestFit="1" customWidth="1"/>
    <col min="8199" max="8199" width="3.25" style="2" customWidth="1"/>
    <col min="8200" max="8200" width="9" style="2"/>
    <col min="8201" max="8201" width="11.625" style="2" bestFit="1" customWidth="1"/>
    <col min="8202" max="8437" width="9" style="2"/>
    <col min="8438" max="8440" width="6.125" style="2" customWidth="1"/>
    <col min="8441" max="8452" width="5.375" style="2" customWidth="1"/>
    <col min="8453" max="8453" width="9.625" style="2" customWidth="1"/>
    <col min="8454" max="8454" width="35" style="2" bestFit="1" customWidth="1"/>
    <col min="8455" max="8455" width="3.25" style="2" customWidth="1"/>
    <col min="8456" max="8456" width="9" style="2"/>
    <col min="8457" max="8457" width="11.625" style="2" bestFit="1" customWidth="1"/>
    <col min="8458" max="8693" width="9" style="2"/>
    <col min="8694" max="8696" width="6.125" style="2" customWidth="1"/>
    <col min="8697" max="8708" width="5.375" style="2" customWidth="1"/>
    <col min="8709" max="8709" width="9.625" style="2" customWidth="1"/>
    <col min="8710" max="8710" width="35" style="2" bestFit="1" customWidth="1"/>
    <col min="8711" max="8711" width="3.25" style="2" customWidth="1"/>
    <col min="8712" max="8712" width="9" style="2"/>
    <col min="8713" max="8713" width="11.625" style="2" bestFit="1" customWidth="1"/>
    <col min="8714" max="8949" width="9" style="2"/>
    <col min="8950" max="8952" width="6.125" style="2" customWidth="1"/>
    <col min="8953" max="8964" width="5.375" style="2" customWidth="1"/>
    <col min="8965" max="8965" width="9.625" style="2" customWidth="1"/>
    <col min="8966" max="8966" width="35" style="2" bestFit="1" customWidth="1"/>
    <col min="8967" max="8967" width="3.25" style="2" customWidth="1"/>
    <col min="8968" max="8968" width="9" style="2"/>
    <col min="8969" max="8969" width="11.625" style="2" bestFit="1" customWidth="1"/>
    <col min="8970" max="9205" width="9" style="2"/>
    <col min="9206" max="9208" width="6.125" style="2" customWidth="1"/>
    <col min="9209" max="9220" width="5.375" style="2" customWidth="1"/>
    <col min="9221" max="9221" width="9.625" style="2" customWidth="1"/>
    <col min="9222" max="9222" width="35" style="2" bestFit="1" customWidth="1"/>
    <col min="9223" max="9223" width="3.25" style="2" customWidth="1"/>
    <col min="9224" max="9224" width="9" style="2"/>
    <col min="9225" max="9225" width="11.625" style="2" bestFit="1" customWidth="1"/>
    <col min="9226" max="9461" width="9" style="2"/>
    <col min="9462" max="9464" width="6.125" style="2" customWidth="1"/>
    <col min="9465" max="9476" width="5.375" style="2" customWidth="1"/>
    <col min="9477" max="9477" width="9.625" style="2" customWidth="1"/>
    <col min="9478" max="9478" width="35" style="2" bestFit="1" customWidth="1"/>
    <col min="9479" max="9479" width="3.25" style="2" customWidth="1"/>
    <col min="9480" max="9480" width="9" style="2"/>
    <col min="9481" max="9481" width="11.625" style="2" bestFit="1" customWidth="1"/>
    <col min="9482" max="9717" width="9" style="2"/>
    <col min="9718" max="9720" width="6.125" style="2" customWidth="1"/>
    <col min="9721" max="9732" width="5.375" style="2" customWidth="1"/>
    <col min="9733" max="9733" width="9.625" style="2" customWidth="1"/>
    <col min="9734" max="9734" width="35" style="2" bestFit="1" customWidth="1"/>
    <col min="9735" max="9735" width="3.25" style="2" customWidth="1"/>
    <col min="9736" max="9736" width="9" style="2"/>
    <col min="9737" max="9737" width="11.625" style="2" bestFit="1" customWidth="1"/>
    <col min="9738" max="9973" width="9" style="2"/>
    <col min="9974" max="9976" width="6.125" style="2" customWidth="1"/>
    <col min="9977" max="9988" width="5.375" style="2" customWidth="1"/>
    <col min="9989" max="9989" width="9.625" style="2" customWidth="1"/>
    <col min="9990" max="9990" width="35" style="2" bestFit="1" customWidth="1"/>
    <col min="9991" max="9991" width="3.25" style="2" customWidth="1"/>
    <col min="9992" max="9992" width="9" style="2"/>
    <col min="9993" max="9993" width="11.625" style="2" bestFit="1" customWidth="1"/>
    <col min="9994" max="10229" width="9" style="2"/>
    <col min="10230" max="10232" width="6.125" style="2" customWidth="1"/>
    <col min="10233" max="10244" width="5.375" style="2" customWidth="1"/>
    <col min="10245" max="10245" width="9.625" style="2" customWidth="1"/>
    <col min="10246" max="10246" width="35" style="2" bestFit="1" customWidth="1"/>
    <col min="10247" max="10247" width="3.25" style="2" customWidth="1"/>
    <col min="10248" max="10248" width="9" style="2"/>
    <col min="10249" max="10249" width="11.625" style="2" bestFit="1" customWidth="1"/>
    <col min="10250" max="10485" width="9" style="2"/>
    <col min="10486" max="10488" width="6.125" style="2" customWidth="1"/>
    <col min="10489" max="10500" width="5.375" style="2" customWidth="1"/>
    <col min="10501" max="10501" width="9.625" style="2" customWidth="1"/>
    <col min="10502" max="10502" width="35" style="2" bestFit="1" customWidth="1"/>
    <col min="10503" max="10503" width="3.25" style="2" customWidth="1"/>
    <col min="10504" max="10504" width="9" style="2"/>
    <col min="10505" max="10505" width="11.625" style="2" bestFit="1" customWidth="1"/>
    <col min="10506" max="10741" width="9" style="2"/>
    <col min="10742" max="10744" width="6.125" style="2" customWidth="1"/>
    <col min="10745" max="10756" width="5.375" style="2" customWidth="1"/>
    <col min="10757" max="10757" width="9.625" style="2" customWidth="1"/>
    <col min="10758" max="10758" width="35" style="2" bestFit="1" customWidth="1"/>
    <col min="10759" max="10759" width="3.25" style="2" customWidth="1"/>
    <col min="10760" max="10760" width="9" style="2"/>
    <col min="10761" max="10761" width="11.625" style="2" bestFit="1" customWidth="1"/>
    <col min="10762" max="10997" width="9" style="2"/>
    <col min="10998" max="11000" width="6.125" style="2" customWidth="1"/>
    <col min="11001" max="11012" width="5.375" style="2" customWidth="1"/>
    <col min="11013" max="11013" width="9.625" style="2" customWidth="1"/>
    <col min="11014" max="11014" width="35" style="2" bestFit="1" customWidth="1"/>
    <col min="11015" max="11015" width="3.25" style="2" customWidth="1"/>
    <col min="11016" max="11016" width="9" style="2"/>
    <col min="11017" max="11017" width="11.625" style="2" bestFit="1" customWidth="1"/>
    <col min="11018" max="11253" width="9" style="2"/>
    <col min="11254" max="11256" width="6.125" style="2" customWidth="1"/>
    <col min="11257" max="11268" width="5.375" style="2" customWidth="1"/>
    <col min="11269" max="11269" width="9.625" style="2" customWidth="1"/>
    <col min="11270" max="11270" width="35" style="2" bestFit="1" customWidth="1"/>
    <col min="11271" max="11271" width="3.25" style="2" customWidth="1"/>
    <col min="11272" max="11272" width="9" style="2"/>
    <col min="11273" max="11273" width="11.625" style="2" bestFit="1" customWidth="1"/>
    <col min="11274" max="11509" width="9" style="2"/>
    <col min="11510" max="11512" width="6.125" style="2" customWidth="1"/>
    <col min="11513" max="11524" width="5.375" style="2" customWidth="1"/>
    <col min="11525" max="11525" width="9.625" style="2" customWidth="1"/>
    <col min="11526" max="11526" width="35" style="2" bestFit="1" customWidth="1"/>
    <col min="11527" max="11527" width="3.25" style="2" customWidth="1"/>
    <col min="11528" max="11528" width="9" style="2"/>
    <col min="11529" max="11529" width="11.625" style="2" bestFit="1" customWidth="1"/>
    <col min="11530" max="11765" width="9" style="2"/>
    <col min="11766" max="11768" width="6.125" style="2" customWidth="1"/>
    <col min="11769" max="11780" width="5.375" style="2" customWidth="1"/>
    <col min="11781" max="11781" width="9.625" style="2" customWidth="1"/>
    <col min="11782" max="11782" width="35" style="2" bestFit="1" customWidth="1"/>
    <col min="11783" max="11783" width="3.25" style="2" customWidth="1"/>
    <col min="11784" max="11784" width="9" style="2"/>
    <col min="11785" max="11785" width="11.625" style="2" bestFit="1" customWidth="1"/>
    <col min="11786" max="12021" width="9" style="2"/>
    <col min="12022" max="12024" width="6.125" style="2" customWidth="1"/>
    <col min="12025" max="12036" width="5.375" style="2" customWidth="1"/>
    <col min="12037" max="12037" width="9.625" style="2" customWidth="1"/>
    <col min="12038" max="12038" width="35" style="2" bestFit="1" customWidth="1"/>
    <col min="12039" max="12039" width="3.25" style="2" customWidth="1"/>
    <col min="12040" max="12040" width="9" style="2"/>
    <col min="12041" max="12041" width="11.625" style="2" bestFit="1" customWidth="1"/>
    <col min="12042" max="12277" width="9" style="2"/>
    <col min="12278" max="12280" width="6.125" style="2" customWidth="1"/>
    <col min="12281" max="12292" width="5.375" style="2" customWidth="1"/>
    <col min="12293" max="12293" width="9.625" style="2" customWidth="1"/>
    <col min="12294" max="12294" width="35" style="2" bestFit="1" customWidth="1"/>
    <col min="12295" max="12295" width="3.25" style="2" customWidth="1"/>
    <col min="12296" max="12296" width="9" style="2"/>
    <col min="12297" max="12297" width="11.625" style="2" bestFit="1" customWidth="1"/>
    <col min="12298" max="12533" width="9" style="2"/>
    <col min="12534" max="12536" width="6.125" style="2" customWidth="1"/>
    <col min="12537" max="12548" width="5.375" style="2" customWidth="1"/>
    <col min="12549" max="12549" width="9.625" style="2" customWidth="1"/>
    <col min="12550" max="12550" width="35" style="2" bestFit="1" customWidth="1"/>
    <col min="12551" max="12551" width="3.25" style="2" customWidth="1"/>
    <col min="12552" max="12552" width="9" style="2"/>
    <col min="12553" max="12553" width="11.625" style="2" bestFit="1" customWidth="1"/>
    <col min="12554" max="12789" width="9" style="2"/>
    <col min="12790" max="12792" width="6.125" style="2" customWidth="1"/>
    <col min="12793" max="12804" width="5.375" style="2" customWidth="1"/>
    <col min="12805" max="12805" width="9.625" style="2" customWidth="1"/>
    <col min="12806" max="12806" width="35" style="2" bestFit="1" customWidth="1"/>
    <col min="12807" max="12807" width="3.25" style="2" customWidth="1"/>
    <col min="12808" max="12808" width="9" style="2"/>
    <col min="12809" max="12809" width="11.625" style="2" bestFit="1" customWidth="1"/>
    <col min="12810" max="13045" width="9" style="2"/>
    <col min="13046" max="13048" width="6.125" style="2" customWidth="1"/>
    <col min="13049" max="13060" width="5.375" style="2" customWidth="1"/>
    <col min="13061" max="13061" width="9.625" style="2" customWidth="1"/>
    <col min="13062" max="13062" width="35" style="2" bestFit="1" customWidth="1"/>
    <col min="13063" max="13063" width="3.25" style="2" customWidth="1"/>
    <col min="13064" max="13064" width="9" style="2"/>
    <col min="13065" max="13065" width="11.625" style="2" bestFit="1" customWidth="1"/>
    <col min="13066" max="13301" width="9" style="2"/>
    <col min="13302" max="13304" width="6.125" style="2" customWidth="1"/>
    <col min="13305" max="13316" width="5.375" style="2" customWidth="1"/>
    <col min="13317" max="13317" width="9.625" style="2" customWidth="1"/>
    <col min="13318" max="13318" width="35" style="2" bestFit="1" customWidth="1"/>
    <col min="13319" max="13319" width="3.25" style="2" customWidth="1"/>
    <col min="13320" max="13320" width="9" style="2"/>
    <col min="13321" max="13321" width="11.625" style="2" bestFit="1" customWidth="1"/>
    <col min="13322" max="13557" width="9" style="2"/>
    <col min="13558" max="13560" width="6.125" style="2" customWidth="1"/>
    <col min="13561" max="13572" width="5.375" style="2" customWidth="1"/>
    <col min="13573" max="13573" width="9.625" style="2" customWidth="1"/>
    <col min="13574" max="13574" width="35" style="2" bestFit="1" customWidth="1"/>
    <col min="13575" max="13575" width="3.25" style="2" customWidth="1"/>
    <col min="13576" max="13576" width="9" style="2"/>
    <col min="13577" max="13577" width="11.625" style="2" bestFit="1" customWidth="1"/>
    <col min="13578" max="13813" width="9" style="2"/>
    <col min="13814" max="13816" width="6.125" style="2" customWidth="1"/>
    <col min="13817" max="13828" width="5.375" style="2" customWidth="1"/>
    <col min="13829" max="13829" width="9.625" style="2" customWidth="1"/>
    <col min="13830" max="13830" width="35" style="2" bestFit="1" customWidth="1"/>
    <col min="13831" max="13831" width="3.25" style="2" customWidth="1"/>
    <col min="13832" max="13832" width="9" style="2"/>
    <col min="13833" max="13833" width="11.625" style="2" bestFit="1" customWidth="1"/>
    <col min="13834" max="14069" width="9" style="2"/>
    <col min="14070" max="14072" width="6.125" style="2" customWidth="1"/>
    <col min="14073" max="14084" width="5.375" style="2" customWidth="1"/>
    <col min="14085" max="14085" width="9.625" style="2" customWidth="1"/>
    <col min="14086" max="14086" width="35" style="2" bestFit="1" customWidth="1"/>
    <col min="14087" max="14087" width="3.25" style="2" customWidth="1"/>
    <col min="14088" max="14088" width="9" style="2"/>
    <col min="14089" max="14089" width="11.625" style="2" bestFit="1" customWidth="1"/>
    <col min="14090" max="14325" width="9" style="2"/>
    <col min="14326" max="14328" width="6.125" style="2" customWidth="1"/>
    <col min="14329" max="14340" width="5.375" style="2" customWidth="1"/>
    <col min="14341" max="14341" width="9.625" style="2" customWidth="1"/>
    <col min="14342" max="14342" width="35" style="2" bestFit="1" customWidth="1"/>
    <col min="14343" max="14343" width="3.25" style="2" customWidth="1"/>
    <col min="14344" max="14344" width="9" style="2"/>
    <col min="14345" max="14345" width="11.625" style="2" bestFit="1" customWidth="1"/>
    <col min="14346" max="14581" width="9" style="2"/>
    <col min="14582" max="14584" width="6.125" style="2" customWidth="1"/>
    <col min="14585" max="14596" width="5.375" style="2" customWidth="1"/>
    <col min="14597" max="14597" width="9.625" style="2" customWidth="1"/>
    <col min="14598" max="14598" width="35" style="2" bestFit="1" customWidth="1"/>
    <col min="14599" max="14599" width="3.25" style="2" customWidth="1"/>
    <col min="14600" max="14600" width="9" style="2"/>
    <col min="14601" max="14601" width="11.625" style="2" bestFit="1" customWidth="1"/>
    <col min="14602" max="14837" width="9" style="2"/>
    <col min="14838" max="14840" width="6.125" style="2" customWidth="1"/>
    <col min="14841" max="14852" width="5.375" style="2" customWidth="1"/>
    <col min="14853" max="14853" width="9.625" style="2" customWidth="1"/>
    <col min="14854" max="14854" width="35" style="2" bestFit="1" customWidth="1"/>
    <col min="14855" max="14855" width="3.25" style="2" customWidth="1"/>
    <col min="14856" max="14856" width="9" style="2"/>
    <col min="14857" max="14857" width="11.625" style="2" bestFit="1" customWidth="1"/>
    <col min="14858" max="15093" width="9" style="2"/>
    <col min="15094" max="15096" width="6.125" style="2" customWidth="1"/>
    <col min="15097" max="15108" width="5.375" style="2" customWidth="1"/>
    <col min="15109" max="15109" width="9.625" style="2" customWidth="1"/>
    <col min="15110" max="15110" width="35" style="2" bestFit="1" customWidth="1"/>
    <col min="15111" max="15111" width="3.25" style="2" customWidth="1"/>
    <col min="15112" max="15112" width="9" style="2"/>
    <col min="15113" max="15113" width="11.625" style="2" bestFit="1" customWidth="1"/>
    <col min="15114" max="15349" width="9" style="2"/>
    <col min="15350" max="15352" width="6.125" style="2" customWidth="1"/>
    <col min="15353" max="15364" width="5.375" style="2" customWidth="1"/>
    <col min="15365" max="15365" width="9.625" style="2" customWidth="1"/>
    <col min="15366" max="15366" width="35" style="2" bestFit="1" customWidth="1"/>
    <col min="15367" max="15367" width="3.25" style="2" customWidth="1"/>
    <col min="15368" max="15368" width="9" style="2"/>
    <col min="15369" max="15369" width="11.625" style="2" bestFit="1" customWidth="1"/>
    <col min="15370" max="15605" width="9" style="2"/>
    <col min="15606" max="15608" width="6.125" style="2" customWidth="1"/>
    <col min="15609" max="15620" width="5.375" style="2" customWidth="1"/>
    <col min="15621" max="15621" width="9.625" style="2" customWidth="1"/>
    <col min="15622" max="15622" width="35" style="2" bestFit="1" customWidth="1"/>
    <col min="15623" max="15623" width="3.25" style="2" customWidth="1"/>
    <col min="15624" max="15624" width="9" style="2"/>
    <col min="15625" max="15625" width="11.625" style="2" bestFit="1" customWidth="1"/>
    <col min="15626" max="15861" width="9" style="2"/>
    <col min="15862" max="15864" width="6.125" style="2" customWidth="1"/>
    <col min="15865" max="15876" width="5.375" style="2" customWidth="1"/>
    <col min="15877" max="15877" width="9.625" style="2" customWidth="1"/>
    <col min="15878" max="15878" width="35" style="2" bestFit="1" customWidth="1"/>
    <col min="15879" max="15879" width="3.25" style="2" customWidth="1"/>
    <col min="15880" max="15880" width="9" style="2"/>
    <col min="15881" max="15881" width="11.625" style="2" bestFit="1" customWidth="1"/>
    <col min="15882" max="16117" width="9" style="2"/>
    <col min="16118" max="16120" width="6.125" style="2" customWidth="1"/>
    <col min="16121" max="16132" width="5.375" style="2" customWidth="1"/>
    <col min="16133" max="16133" width="9.625" style="2" customWidth="1"/>
    <col min="16134" max="16134" width="35" style="2" bestFit="1" customWidth="1"/>
    <col min="16135" max="16135" width="3.25" style="2" customWidth="1"/>
    <col min="16136" max="16136" width="9" style="2"/>
    <col min="16137" max="16137" width="11.625" style="2" bestFit="1" customWidth="1"/>
    <col min="16138" max="16384" width="9" style="2"/>
  </cols>
  <sheetData>
    <row r="1" spans="2:19" ht="22.5" customHeight="1" x14ac:dyDescent="0.2">
      <c r="B1" s="573" t="s">
        <v>742</v>
      </c>
      <c r="C1" s="573"/>
      <c r="D1" s="573"/>
      <c r="E1" s="573"/>
      <c r="F1" s="573"/>
      <c r="G1" s="573"/>
      <c r="H1" s="573"/>
      <c r="I1" s="573"/>
      <c r="J1" s="573"/>
      <c r="K1" s="573"/>
      <c r="L1" s="573"/>
      <c r="M1" s="573"/>
      <c r="N1" s="573"/>
      <c r="O1" s="573"/>
      <c r="P1" s="573"/>
      <c r="Q1" s="573"/>
      <c r="R1" s="573"/>
      <c r="S1" s="137"/>
    </row>
    <row r="2" spans="2:19" ht="22.5" customHeight="1" thickBot="1" x14ac:dyDescent="0.25">
      <c r="B2" s="574" t="s">
        <v>743</v>
      </c>
      <c r="C2" s="574"/>
      <c r="D2" s="574"/>
      <c r="E2" s="574"/>
      <c r="F2" s="574"/>
      <c r="G2" s="574"/>
      <c r="H2" s="574"/>
      <c r="I2" s="574"/>
      <c r="J2" s="574"/>
      <c r="K2" s="574"/>
      <c r="L2" s="574"/>
      <c r="M2" s="574"/>
      <c r="N2" s="574"/>
      <c r="O2" s="574"/>
      <c r="P2" s="574"/>
      <c r="Q2" s="574"/>
      <c r="R2" s="574"/>
      <c r="S2" s="137"/>
    </row>
    <row r="3" spans="2:19" ht="22.5" customHeight="1" thickBot="1" x14ac:dyDescent="0.25">
      <c r="B3" s="477" t="s">
        <v>4</v>
      </c>
      <c r="C3" s="477"/>
      <c r="D3" s="477"/>
      <c r="E3" s="477" t="s">
        <v>735</v>
      </c>
      <c r="F3" s="477"/>
      <c r="G3" s="477" t="s">
        <v>736</v>
      </c>
      <c r="H3" s="477"/>
      <c r="I3" s="477" t="s">
        <v>737</v>
      </c>
      <c r="J3" s="477"/>
      <c r="K3" s="477" t="s">
        <v>738</v>
      </c>
      <c r="L3" s="477"/>
      <c r="M3" s="477" t="s">
        <v>739</v>
      </c>
      <c r="N3" s="477"/>
      <c r="O3" s="477" t="s">
        <v>740</v>
      </c>
      <c r="P3" s="477"/>
      <c r="Q3" s="575" t="s">
        <v>741</v>
      </c>
      <c r="R3" s="304" t="s">
        <v>144</v>
      </c>
    </row>
    <row r="4" spans="2:19" ht="22.5" customHeight="1" thickBot="1" x14ac:dyDescent="0.25">
      <c r="B4" s="204" t="s">
        <v>227</v>
      </c>
      <c r="C4" s="204" t="s">
        <v>10</v>
      </c>
      <c r="D4" s="204" t="s">
        <v>9</v>
      </c>
      <c r="E4" s="204" t="s">
        <v>10</v>
      </c>
      <c r="F4" s="204" t="s">
        <v>9</v>
      </c>
      <c r="G4" s="204" t="s">
        <v>10</v>
      </c>
      <c r="H4" s="204" t="s">
        <v>9</v>
      </c>
      <c r="I4" s="204" t="s">
        <v>10</v>
      </c>
      <c r="J4" s="204" t="s">
        <v>9</v>
      </c>
      <c r="K4" s="204" t="s">
        <v>10</v>
      </c>
      <c r="L4" s="204" t="s">
        <v>9</v>
      </c>
      <c r="M4" s="204" t="s">
        <v>10</v>
      </c>
      <c r="N4" s="204" t="s">
        <v>9</v>
      </c>
      <c r="O4" s="204" t="s">
        <v>10</v>
      </c>
      <c r="P4" s="204" t="s">
        <v>9</v>
      </c>
      <c r="Q4" s="481"/>
      <c r="R4" s="282" t="s">
        <v>68</v>
      </c>
    </row>
    <row r="5" spans="2:19" ht="22.5" customHeight="1" thickBot="1" x14ac:dyDescent="0.25">
      <c r="B5" s="305">
        <f>SUM(C5:D5)</f>
        <v>53</v>
      </c>
      <c r="C5" s="305">
        <f t="shared" ref="C5:D36" si="0">O5+M5+K5+I5+G5+E5</f>
        <v>0</v>
      </c>
      <c r="D5" s="305">
        <f t="shared" si="0"/>
        <v>53</v>
      </c>
      <c r="E5" s="305">
        <v>0</v>
      </c>
      <c r="F5" s="305">
        <v>3</v>
      </c>
      <c r="G5" s="305">
        <v>0</v>
      </c>
      <c r="H5" s="305">
        <v>38</v>
      </c>
      <c r="I5" s="305">
        <v>0</v>
      </c>
      <c r="J5" s="305">
        <v>10</v>
      </c>
      <c r="K5" s="305">
        <v>0</v>
      </c>
      <c r="L5" s="305">
        <v>2</v>
      </c>
      <c r="M5" s="305">
        <v>0</v>
      </c>
      <c r="N5" s="305">
        <v>0</v>
      </c>
      <c r="O5" s="305">
        <v>0</v>
      </c>
      <c r="P5" s="305">
        <v>0</v>
      </c>
      <c r="Q5" s="203" t="s">
        <v>146</v>
      </c>
      <c r="R5" s="306"/>
    </row>
    <row r="6" spans="2:19" ht="22.5" customHeight="1" thickBot="1" x14ac:dyDescent="0.25">
      <c r="B6" s="305">
        <f t="shared" ref="B6:B69" si="1">SUM(C6:D6)</f>
        <v>70</v>
      </c>
      <c r="C6" s="305">
        <f t="shared" si="0"/>
        <v>0</v>
      </c>
      <c r="D6" s="305">
        <f t="shared" si="0"/>
        <v>70</v>
      </c>
      <c r="E6" s="305">
        <v>0</v>
      </c>
      <c r="F6" s="305">
        <v>26</v>
      </c>
      <c r="G6" s="305">
        <v>0</v>
      </c>
      <c r="H6" s="305">
        <v>0</v>
      </c>
      <c r="I6" s="305">
        <v>0</v>
      </c>
      <c r="J6" s="305">
        <v>3</v>
      </c>
      <c r="K6" s="305">
        <v>0</v>
      </c>
      <c r="L6" s="305">
        <v>40</v>
      </c>
      <c r="M6" s="305">
        <v>0</v>
      </c>
      <c r="N6" s="305">
        <v>1</v>
      </c>
      <c r="O6" s="305">
        <v>0</v>
      </c>
      <c r="P6" s="305">
        <v>0</v>
      </c>
      <c r="Q6" s="203" t="s">
        <v>145</v>
      </c>
      <c r="R6" s="306" t="s">
        <v>338</v>
      </c>
    </row>
    <row r="7" spans="2:19" ht="22.5" customHeight="1" thickBot="1" x14ac:dyDescent="0.25">
      <c r="B7" s="305">
        <f>SUM(B5:B6)</f>
        <v>123</v>
      </c>
      <c r="C7" s="305">
        <f t="shared" si="0"/>
        <v>0</v>
      </c>
      <c r="D7" s="305">
        <f t="shared" si="0"/>
        <v>123</v>
      </c>
      <c r="E7" s="305">
        <f t="shared" ref="E7:P7" si="2">SUM(E5:E6)</f>
        <v>0</v>
      </c>
      <c r="F7" s="305">
        <f t="shared" si="2"/>
        <v>29</v>
      </c>
      <c r="G7" s="305">
        <f t="shared" si="2"/>
        <v>0</v>
      </c>
      <c r="H7" s="305">
        <f t="shared" si="2"/>
        <v>38</v>
      </c>
      <c r="I7" s="305">
        <f t="shared" si="2"/>
        <v>0</v>
      </c>
      <c r="J7" s="305">
        <f t="shared" si="2"/>
        <v>13</v>
      </c>
      <c r="K7" s="305">
        <f t="shared" si="2"/>
        <v>0</v>
      </c>
      <c r="L7" s="305">
        <f t="shared" si="2"/>
        <v>42</v>
      </c>
      <c r="M7" s="305">
        <f t="shared" si="2"/>
        <v>0</v>
      </c>
      <c r="N7" s="305">
        <f t="shared" si="2"/>
        <v>1</v>
      </c>
      <c r="O7" s="305">
        <f t="shared" si="2"/>
        <v>0</v>
      </c>
      <c r="P7" s="305">
        <f t="shared" si="2"/>
        <v>0</v>
      </c>
      <c r="Q7" s="203" t="s">
        <v>12</v>
      </c>
      <c r="R7" s="307"/>
    </row>
    <row r="8" spans="2:19" ht="22.5" customHeight="1" thickBot="1" x14ac:dyDescent="0.25">
      <c r="B8" s="305">
        <f t="shared" si="1"/>
        <v>4</v>
      </c>
      <c r="C8" s="305">
        <f t="shared" si="0"/>
        <v>0</v>
      </c>
      <c r="D8" s="305">
        <f t="shared" si="0"/>
        <v>4</v>
      </c>
      <c r="E8" s="305">
        <v>0</v>
      </c>
      <c r="F8" s="305">
        <v>0</v>
      </c>
      <c r="G8" s="305">
        <v>0</v>
      </c>
      <c r="H8" s="305">
        <v>0</v>
      </c>
      <c r="I8" s="305">
        <v>0</v>
      </c>
      <c r="J8" s="305">
        <v>1</v>
      </c>
      <c r="K8" s="305">
        <v>0</v>
      </c>
      <c r="L8" s="305">
        <v>3</v>
      </c>
      <c r="M8" s="305">
        <v>0</v>
      </c>
      <c r="N8" s="305">
        <v>0</v>
      </c>
      <c r="O8" s="305">
        <v>0</v>
      </c>
      <c r="P8" s="305">
        <v>0</v>
      </c>
      <c r="Q8" s="203" t="s">
        <v>146</v>
      </c>
      <c r="R8" s="306"/>
    </row>
    <row r="9" spans="2:19" ht="22.5" customHeight="1" thickBot="1" x14ac:dyDescent="0.25">
      <c r="B9" s="305">
        <f t="shared" si="1"/>
        <v>63</v>
      </c>
      <c r="C9" s="305">
        <f t="shared" si="0"/>
        <v>0</v>
      </c>
      <c r="D9" s="305">
        <f t="shared" si="0"/>
        <v>63</v>
      </c>
      <c r="E9" s="305">
        <v>0</v>
      </c>
      <c r="F9" s="305">
        <v>0</v>
      </c>
      <c r="G9" s="305">
        <v>0</v>
      </c>
      <c r="H9" s="305">
        <v>0</v>
      </c>
      <c r="I9" s="305">
        <v>0</v>
      </c>
      <c r="J9" s="305">
        <v>25</v>
      </c>
      <c r="K9" s="305">
        <v>0</v>
      </c>
      <c r="L9" s="305">
        <v>31</v>
      </c>
      <c r="M9" s="305">
        <v>0</v>
      </c>
      <c r="N9" s="305">
        <v>7</v>
      </c>
      <c r="O9" s="305">
        <v>0</v>
      </c>
      <c r="P9" s="305">
        <v>0</v>
      </c>
      <c r="Q9" s="203" t="s">
        <v>145</v>
      </c>
      <c r="R9" s="306" t="s">
        <v>80</v>
      </c>
    </row>
    <row r="10" spans="2:19" ht="22.5" customHeight="1" thickBot="1" x14ac:dyDescent="0.25">
      <c r="B10" s="305">
        <f t="shared" ref="B10" si="3">SUM(B8:B9)</f>
        <v>67</v>
      </c>
      <c r="C10" s="305">
        <f t="shared" si="0"/>
        <v>0</v>
      </c>
      <c r="D10" s="305">
        <f t="shared" si="0"/>
        <v>67</v>
      </c>
      <c r="E10" s="305">
        <f t="shared" ref="E10:P10" si="4">SUM(E8:E9)</f>
        <v>0</v>
      </c>
      <c r="F10" s="305">
        <f t="shared" si="4"/>
        <v>0</v>
      </c>
      <c r="G10" s="305">
        <f t="shared" si="4"/>
        <v>0</v>
      </c>
      <c r="H10" s="305">
        <f t="shared" si="4"/>
        <v>0</v>
      </c>
      <c r="I10" s="305">
        <f t="shared" si="4"/>
        <v>0</v>
      </c>
      <c r="J10" s="305">
        <f t="shared" si="4"/>
        <v>26</v>
      </c>
      <c r="K10" s="305">
        <f t="shared" si="4"/>
        <v>0</v>
      </c>
      <c r="L10" s="305">
        <f t="shared" si="4"/>
        <v>34</v>
      </c>
      <c r="M10" s="305">
        <f t="shared" si="4"/>
        <v>0</v>
      </c>
      <c r="N10" s="305">
        <f t="shared" si="4"/>
        <v>7</v>
      </c>
      <c r="O10" s="305">
        <f t="shared" si="4"/>
        <v>0</v>
      </c>
      <c r="P10" s="305">
        <f t="shared" si="4"/>
        <v>0</v>
      </c>
      <c r="Q10" s="203" t="s">
        <v>12</v>
      </c>
      <c r="R10" s="307"/>
    </row>
    <row r="11" spans="2:19" ht="22.5" customHeight="1" thickBot="1" x14ac:dyDescent="0.25">
      <c r="B11" s="305">
        <f t="shared" si="1"/>
        <v>135</v>
      </c>
      <c r="C11" s="305">
        <f t="shared" si="0"/>
        <v>0</v>
      </c>
      <c r="D11" s="305">
        <f t="shared" si="0"/>
        <v>135</v>
      </c>
      <c r="E11" s="305">
        <v>0</v>
      </c>
      <c r="F11" s="305">
        <v>0</v>
      </c>
      <c r="G11" s="305">
        <v>0</v>
      </c>
      <c r="H11" s="305">
        <v>40</v>
      </c>
      <c r="I11" s="305">
        <v>0</v>
      </c>
      <c r="J11" s="305">
        <v>15</v>
      </c>
      <c r="K11" s="305">
        <v>0</v>
      </c>
      <c r="L11" s="305">
        <v>27</v>
      </c>
      <c r="M11" s="305">
        <v>0</v>
      </c>
      <c r="N11" s="305">
        <v>25</v>
      </c>
      <c r="O11" s="305">
        <v>0</v>
      </c>
      <c r="P11" s="305">
        <v>28</v>
      </c>
      <c r="Q11" s="203" t="s">
        <v>146</v>
      </c>
      <c r="R11" s="306"/>
    </row>
    <row r="12" spans="2:19" ht="22.5" customHeight="1" thickBot="1" x14ac:dyDescent="0.25">
      <c r="B12" s="305">
        <f t="shared" si="1"/>
        <v>4</v>
      </c>
      <c r="C12" s="305">
        <f t="shared" si="0"/>
        <v>0</v>
      </c>
      <c r="D12" s="305">
        <f t="shared" si="0"/>
        <v>4</v>
      </c>
      <c r="E12" s="305">
        <v>0</v>
      </c>
      <c r="F12" s="305">
        <v>0</v>
      </c>
      <c r="G12" s="305">
        <v>0</v>
      </c>
      <c r="H12" s="305">
        <v>0</v>
      </c>
      <c r="I12" s="305">
        <v>0</v>
      </c>
      <c r="J12" s="305">
        <v>0</v>
      </c>
      <c r="K12" s="305">
        <v>0</v>
      </c>
      <c r="L12" s="305">
        <v>0</v>
      </c>
      <c r="M12" s="305">
        <v>0</v>
      </c>
      <c r="N12" s="305">
        <v>3</v>
      </c>
      <c r="O12" s="305">
        <v>0</v>
      </c>
      <c r="P12" s="305">
        <v>1</v>
      </c>
      <c r="Q12" s="203" t="s">
        <v>145</v>
      </c>
      <c r="R12" s="306" t="s">
        <v>339</v>
      </c>
    </row>
    <row r="13" spans="2:19" ht="22.5" customHeight="1" thickBot="1" x14ac:dyDescent="0.25">
      <c r="B13" s="305">
        <f t="shared" ref="B13" si="5">SUM(B11:B12)</f>
        <v>139</v>
      </c>
      <c r="C13" s="305">
        <f t="shared" si="0"/>
        <v>0</v>
      </c>
      <c r="D13" s="305">
        <f t="shared" si="0"/>
        <v>139</v>
      </c>
      <c r="E13" s="305">
        <f t="shared" ref="E13:P13" si="6">SUM(E11:E12)</f>
        <v>0</v>
      </c>
      <c r="F13" s="305">
        <f t="shared" si="6"/>
        <v>0</v>
      </c>
      <c r="G13" s="305">
        <f t="shared" si="6"/>
        <v>0</v>
      </c>
      <c r="H13" s="305">
        <f t="shared" si="6"/>
        <v>40</v>
      </c>
      <c r="I13" s="305">
        <f t="shared" si="6"/>
        <v>0</v>
      </c>
      <c r="J13" s="305">
        <f t="shared" si="6"/>
        <v>15</v>
      </c>
      <c r="K13" s="305">
        <f t="shared" si="6"/>
        <v>0</v>
      </c>
      <c r="L13" s="305">
        <f t="shared" si="6"/>
        <v>27</v>
      </c>
      <c r="M13" s="305">
        <f t="shared" si="6"/>
        <v>0</v>
      </c>
      <c r="N13" s="305">
        <f t="shared" si="6"/>
        <v>28</v>
      </c>
      <c r="O13" s="305">
        <f t="shared" si="6"/>
        <v>0</v>
      </c>
      <c r="P13" s="305">
        <f t="shared" si="6"/>
        <v>29</v>
      </c>
      <c r="Q13" s="203" t="s">
        <v>12</v>
      </c>
      <c r="R13" s="307"/>
    </row>
    <row r="14" spans="2:19" ht="22.5" customHeight="1" thickBot="1" x14ac:dyDescent="0.25">
      <c r="B14" s="305">
        <f t="shared" si="1"/>
        <v>142</v>
      </c>
      <c r="C14" s="305">
        <f t="shared" si="0"/>
        <v>54</v>
      </c>
      <c r="D14" s="305">
        <f t="shared" si="0"/>
        <v>88</v>
      </c>
      <c r="E14" s="305">
        <v>0</v>
      </c>
      <c r="F14" s="305">
        <v>0</v>
      </c>
      <c r="G14" s="305">
        <v>18</v>
      </c>
      <c r="H14" s="305">
        <v>13</v>
      </c>
      <c r="I14" s="305">
        <v>4</v>
      </c>
      <c r="J14" s="305">
        <v>2</v>
      </c>
      <c r="K14" s="305">
        <v>14</v>
      </c>
      <c r="L14" s="305">
        <v>31</v>
      </c>
      <c r="M14" s="305">
        <v>9</v>
      </c>
      <c r="N14" s="305">
        <v>26</v>
      </c>
      <c r="O14" s="305">
        <v>9</v>
      </c>
      <c r="P14" s="305">
        <v>16</v>
      </c>
      <c r="Q14" s="203" t="s">
        <v>146</v>
      </c>
      <c r="R14" s="306"/>
    </row>
    <row r="15" spans="2:19" ht="22.5" customHeight="1" thickBot="1" x14ac:dyDescent="0.25">
      <c r="B15" s="305">
        <f t="shared" si="1"/>
        <v>25</v>
      </c>
      <c r="C15" s="305">
        <f t="shared" si="0"/>
        <v>4</v>
      </c>
      <c r="D15" s="305">
        <f t="shared" si="0"/>
        <v>21</v>
      </c>
      <c r="E15" s="305">
        <v>0</v>
      </c>
      <c r="F15" s="305">
        <v>0</v>
      </c>
      <c r="G15" s="305">
        <v>0</v>
      </c>
      <c r="H15" s="305">
        <v>0</v>
      </c>
      <c r="I15" s="305">
        <v>0</v>
      </c>
      <c r="J15" s="305">
        <v>4</v>
      </c>
      <c r="K15" s="305">
        <v>4</v>
      </c>
      <c r="L15" s="305">
        <v>11</v>
      </c>
      <c r="M15" s="305">
        <v>0</v>
      </c>
      <c r="N15" s="305">
        <v>4</v>
      </c>
      <c r="O15" s="305">
        <v>0</v>
      </c>
      <c r="P15" s="305">
        <v>2</v>
      </c>
      <c r="Q15" s="203" t="s">
        <v>145</v>
      </c>
      <c r="R15" s="306" t="s">
        <v>340</v>
      </c>
    </row>
    <row r="16" spans="2:19" ht="22.5" customHeight="1" thickBot="1" x14ac:dyDescent="0.25">
      <c r="B16" s="305">
        <f t="shared" ref="B16" si="7">SUM(B14:B15)</f>
        <v>167</v>
      </c>
      <c r="C16" s="305">
        <f t="shared" si="0"/>
        <v>58</v>
      </c>
      <c r="D16" s="305">
        <f t="shared" si="0"/>
        <v>109</v>
      </c>
      <c r="E16" s="305">
        <f t="shared" ref="E16:P16" si="8">SUM(E14:E15)</f>
        <v>0</v>
      </c>
      <c r="F16" s="305">
        <f t="shared" si="8"/>
        <v>0</v>
      </c>
      <c r="G16" s="305">
        <f t="shared" si="8"/>
        <v>18</v>
      </c>
      <c r="H16" s="305">
        <f t="shared" si="8"/>
        <v>13</v>
      </c>
      <c r="I16" s="305">
        <f t="shared" si="8"/>
        <v>4</v>
      </c>
      <c r="J16" s="305">
        <f t="shared" si="8"/>
        <v>6</v>
      </c>
      <c r="K16" s="305">
        <f t="shared" si="8"/>
        <v>18</v>
      </c>
      <c r="L16" s="305">
        <f t="shared" si="8"/>
        <v>42</v>
      </c>
      <c r="M16" s="305">
        <f t="shared" si="8"/>
        <v>9</v>
      </c>
      <c r="N16" s="305">
        <f t="shared" si="8"/>
        <v>30</v>
      </c>
      <c r="O16" s="305">
        <f t="shared" si="8"/>
        <v>9</v>
      </c>
      <c r="P16" s="305">
        <f t="shared" si="8"/>
        <v>18</v>
      </c>
      <c r="Q16" s="203" t="s">
        <v>12</v>
      </c>
      <c r="R16" s="307"/>
    </row>
    <row r="17" spans="2:18" ht="22.5" customHeight="1" thickBot="1" x14ac:dyDescent="0.25">
      <c r="B17" s="305">
        <f t="shared" si="1"/>
        <v>73</v>
      </c>
      <c r="C17" s="305">
        <f t="shared" si="0"/>
        <v>0</v>
      </c>
      <c r="D17" s="305">
        <f t="shared" si="0"/>
        <v>73</v>
      </c>
      <c r="E17" s="305">
        <v>0</v>
      </c>
      <c r="F17" s="305">
        <v>0</v>
      </c>
      <c r="G17" s="305">
        <v>0</v>
      </c>
      <c r="H17" s="305">
        <v>28</v>
      </c>
      <c r="I17" s="305">
        <v>0</v>
      </c>
      <c r="J17" s="305">
        <v>7</v>
      </c>
      <c r="K17" s="305">
        <v>0</v>
      </c>
      <c r="L17" s="305">
        <v>24</v>
      </c>
      <c r="M17" s="305">
        <v>0</v>
      </c>
      <c r="N17" s="305">
        <v>12</v>
      </c>
      <c r="O17" s="305">
        <v>0</v>
      </c>
      <c r="P17" s="305">
        <v>2</v>
      </c>
      <c r="Q17" s="203" t="s">
        <v>146</v>
      </c>
      <c r="R17" s="306"/>
    </row>
    <row r="18" spans="2:18" ht="22.5" customHeight="1" thickBot="1" x14ac:dyDescent="0.25">
      <c r="B18" s="305">
        <f t="shared" si="1"/>
        <v>8</v>
      </c>
      <c r="C18" s="305">
        <f t="shared" si="0"/>
        <v>0</v>
      </c>
      <c r="D18" s="305">
        <f t="shared" si="0"/>
        <v>8</v>
      </c>
      <c r="E18" s="305">
        <v>0</v>
      </c>
      <c r="F18" s="305">
        <v>0</v>
      </c>
      <c r="G18" s="305">
        <v>0</v>
      </c>
      <c r="H18" s="305">
        <v>0</v>
      </c>
      <c r="I18" s="305">
        <v>0</v>
      </c>
      <c r="J18" s="305">
        <v>0</v>
      </c>
      <c r="K18" s="305">
        <v>0</v>
      </c>
      <c r="L18" s="305">
        <v>0</v>
      </c>
      <c r="M18" s="305">
        <v>0</v>
      </c>
      <c r="N18" s="305">
        <v>5</v>
      </c>
      <c r="O18" s="305">
        <v>0</v>
      </c>
      <c r="P18" s="305">
        <v>3</v>
      </c>
      <c r="Q18" s="203" t="s">
        <v>145</v>
      </c>
      <c r="R18" s="306" t="s">
        <v>341</v>
      </c>
    </row>
    <row r="19" spans="2:18" ht="22.5" customHeight="1" thickBot="1" x14ac:dyDescent="0.25">
      <c r="B19" s="305">
        <f t="shared" ref="B19" si="9">SUM(B17:B18)</f>
        <v>81</v>
      </c>
      <c r="C19" s="305">
        <f t="shared" si="0"/>
        <v>0</v>
      </c>
      <c r="D19" s="305">
        <f t="shared" si="0"/>
        <v>81</v>
      </c>
      <c r="E19" s="305">
        <f t="shared" ref="E19:P19" si="10">SUM(E17:E18)</f>
        <v>0</v>
      </c>
      <c r="F19" s="305">
        <f t="shared" si="10"/>
        <v>0</v>
      </c>
      <c r="G19" s="305">
        <f t="shared" si="10"/>
        <v>0</v>
      </c>
      <c r="H19" s="305">
        <f t="shared" si="10"/>
        <v>28</v>
      </c>
      <c r="I19" s="305">
        <f t="shared" si="10"/>
        <v>0</v>
      </c>
      <c r="J19" s="305">
        <f t="shared" si="10"/>
        <v>7</v>
      </c>
      <c r="K19" s="305">
        <f t="shared" si="10"/>
        <v>0</v>
      </c>
      <c r="L19" s="305">
        <f t="shared" si="10"/>
        <v>24</v>
      </c>
      <c r="M19" s="305">
        <f t="shared" si="10"/>
        <v>0</v>
      </c>
      <c r="N19" s="305">
        <f t="shared" si="10"/>
        <v>17</v>
      </c>
      <c r="O19" s="305">
        <f t="shared" si="10"/>
        <v>0</v>
      </c>
      <c r="P19" s="305">
        <f t="shared" si="10"/>
        <v>5</v>
      </c>
      <c r="Q19" s="203" t="s">
        <v>12</v>
      </c>
      <c r="R19" s="307"/>
    </row>
    <row r="20" spans="2:18" ht="22.5" customHeight="1" thickBot="1" x14ac:dyDescent="0.25">
      <c r="B20" s="305">
        <f t="shared" si="1"/>
        <v>107</v>
      </c>
      <c r="C20" s="305">
        <f t="shared" si="0"/>
        <v>31</v>
      </c>
      <c r="D20" s="305">
        <f t="shared" si="0"/>
        <v>76</v>
      </c>
      <c r="E20" s="305">
        <v>0</v>
      </c>
      <c r="F20" s="305">
        <v>0</v>
      </c>
      <c r="G20" s="305">
        <v>14</v>
      </c>
      <c r="H20" s="305">
        <v>25</v>
      </c>
      <c r="I20" s="305">
        <v>1</v>
      </c>
      <c r="J20" s="305">
        <v>0</v>
      </c>
      <c r="K20" s="305">
        <v>9</v>
      </c>
      <c r="L20" s="305">
        <v>31</v>
      </c>
      <c r="M20" s="305">
        <v>7</v>
      </c>
      <c r="N20" s="305">
        <v>14</v>
      </c>
      <c r="O20" s="305">
        <v>0</v>
      </c>
      <c r="P20" s="305">
        <v>6</v>
      </c>
      <c r="Q20" s="203" t="s">
        <v>146</v>
      </c>
      <c r="R20" s="306"/>
    </row>
    <row r="21" spans="2:18" ht="22.5" customHeight="1" thickBot="1" x14ac:dyDescent="0.25">
      <c r="B21" s="305">
        <f t="shared" si="1"/>
        <v>31</v>
      </c>
      <c r="C21" s="305">
        <f t="shared" si="0"/>
        <v>6</v>
      </c>
      <c r="D21" s="305">
        <f t="shared" si="0"/>
        <v>25</v>
      </c>
      <c r="E21" s="305">
        <v>2</v>
      </c>
      <c r="F21" s="305">
        <v>3</v>
      </c>
      <c r="G21" s="305">
        <v>0</v>
      </c>
      <c r="H21" s="305">
        <v>0</v>
      </c>
      <c r="I21" s="305">
        <v>0</v>
      </c>
      <c r="J21" s="305">
        <v>4</v>
      </c>
      <c r="K21" s="305">
        <v>4</v>
      </c>
      <c r="L21" s="305">
        <v>11</v>
      </c>
      <c r="M21" s="305">
        <v>0</v>
      </c>
      <c r="N21" s="305">
        <v>5</v>
      </c>
      <c r="O21" s="305">
        <v>0</v>
      </c>
      <c r="P21" s="305">
        <v>2</v>
      </c>
      <c r="Q21" s="203" t="s">
        <v>145</v>
      </c>
      <c r="R21" s="306" t="s">
        <v>342</v>
      </c>
    </row>
    <row r="22" spans="2:18" ht="22.5" customHeight="1" thickBot="1" x14ac:dyDescent="0.25">
      <c r="B22" s="305">
        <f t="shared" ref="B22" si="11">SUM(B20:B21)</f>
        <v>138</v>
      </c>
      <c r="C22" s="305">
        <f t="shared" si="0"/>
        <v>37</v>
      </c>
      <c r="D22" s="305">
        <f t="shared" si="0"/>
        <v>101</v>
      </c>
      <c r="E22" s="305">
        <f t="shared" ref="E22:P22" si="12">SUM(E20:E21)</f>
        <v>2</v>
      </c>
      <c r="F22" s="305">
        <f t="shared" si="12"/>
        <v>3</v>
      </c>
      <c r="G22" s="305">
        <f t="shared" si="12"/>
        <v>14</v>
      </c>
      <c r="H22" s="305">
        <f t="shared" si="12"/>
        <v>25</v>
      </c>
      <c r="I22" s="305">
        <f t="shared" si="12"/>
        <v>1</v>
      </c>
      <c r="J22" s="305">
        <f t="shared" si="12"/>
        <v>4</v>
      </c>
      <c r="K22" s="305">
        <f t="shared" si="12"/>
        <v>13</v>
      </c>
      <c r="L22" s="305">
        <f t="shared" si="12"/>
        <v>42</v>
      </c>
      <c r="M22" s="305">
        <f t="shared" si="12"/>
        <v>7</v>
      </c>
      <c r="N22" s="305">
        <f t="shared" si="12"/>
        <v>19</v>
      </c>
      <c r="O22" s="305">
        <f t="shared" si="12"/>
        <v>0</v>
      </c>
      <c r="P22" s="305">
        <f t="shared" si="12"/>
        <v>8</v>
      </c>
      <c r="Q22" s="203" t="s">
        <v>12</v>
      </c>
      <c r="R22" s="307"/>
    </row>
    <row r="23" spans="2:18" ht="22.5" customHeight="1" thickBot="1" x14ac:dyDescent="0.25">
      <c r="B23" s="305">
        <f t="shared" si="1"/>
        <v>60</v>
      </c>
      <c r="C23" s="305">
        <f t="shared" si="0"/>
        <v>0</v>
      </c>
      <c r="D23" s="305">
        <f t="shared" si="0"/>
        <v>60</v>
      </c>
      <c r="E23" s="305">
        <v>0</v>
      </c>
      <c r="F23" s="305">
        <v>0</v>
      </c>
      <c r="G23" s="305">
        <v>0</v>
      </c>
      <c r="H23" s="305">
        <v>22</v>
      </c>
      <c r="I23" s="305">
        <v>0</v>
      </c>
      <c r="J23" s="305">
        <v>0</v>
      </c>
      <c r="K23" s="305">
        <v>0</v>
      </c>
      <c r="L23" s="305">
        <v>22</v>
      </c>
      <c r="M23" s="305">
        <v>0</v>
      </c>
      <c r="N23" s="305">
        <v>14</v>
      </c>
      <c r="O23" s="305">
        <v>0</v>
      </c>
      <c r="P23" s="305">
        <v>2</v>
      </c>
      <c r="Q23" s="203" t="s">
        <v>146</v>
      </c>
      <c r="R23" s="306"/>
    </row>
    <row r="24" spans="2:18" ht="22.5" customHeight="1" thickBot="1" x14ac:dyDescent="0.25">
      <c r="B24" s="305">
        <f t="shared" si="1"/>
        <v>37</v>
      </c>
      <c r="C24" s="305">
        <f t="shared" si="0"/>
        <v>0</v>
      </c>
      <c r="D24" s="305">
        <f t="shared" si="0"/>
        <v>37</v>
      </c>
      <c r="E24" s="305">
        <v>0</v>
      </c>
      <c r="F24" s="305">
        <v>0</v>
      </c>
      <c r="G24" s="305">
        <v>0</v>
      </c>
      <c r="H24" s="305">
        <v>0</v>
      </c>
      <c r="I24" s="305">
        <v>0</v>
      </c>
      <c r="J24" s="305">
        <v>8</v>
      </c>
      <c r="K24" s="305">
        <v>0</v>
      </c>
      <c r="L24" s="305">
        <v>17</v>
      </c>
      <c r="M24" s="305">
        <v>0</v>
      </c>
      <c r="N24" s="305">
        <v>5</v>
      </c>
      <c r="O24" s="305">
        <v>0</v>
      </c>
      <c r="P24" s="305">
        <v>7</v>
      </c>
      <c r="Q24" s="203" t="s">
        <v>145</v>
      </c>
      <c r="R24" s="306" t="s">
        <v>343</v>
      </c>
    </row>
    <row r="25" spans="2:18" ht="22.5" customHeight="1" thickBot="1" x14ac:dyDescent="0.25">
      <c r="B25" s="305">
        <f t="shared" ref="B25" si="13">SUM(B23:B24)</f>
        <v>97</v>
      </c>
      <c r="C25" s="305">
        <f t="shared" si="0"/>
        <v>0</v>
      </c>
      <c r="D25" s="305">
        <f t="shared" si="0"/>
        <v>97</v>
      </c>
      <c r="E25" s="305">
        <f t="shared" ref="E25:P25" si="14">SUM(E23:E24)</f>
        <v>0</v>
      </c>
      <c r="F25" s="305">
        <f t="shared" si="14"/>
        <v>0</v>
      </c>
      <c r="G25" s="305">
        <f t="shared" si="14"/>
        <v>0</v>
      </c>
      <c r="H25" s="305">
        <f t="shared" si="14"/>
        <v>22</v>
      </c>
      <c r="I25" s="305">
        <f t="shared" si="14"/>
        <v>0</v>
      </c>
      <c r="J25" s="305">
        <f t="shared" si="14"/>
        <v>8</v>
      </c>
      <c r="K25" s="305">
        <f t="shared" si="14"/>
        <v>0</v>
      </c>
      <c r="L25" s="305">
        <f t="shared" si="14"/>
        <v>39</v>
      </c>
      <c r="M25" s="305">
        <f t="shared" si="14"/>
        <v>0</v>
      </c>
      <c r="N25" s="305">
        <f t="shared" si="14"/>
        <v>19</v>
      </c>
      <c r="O25" s="305">
        <f t="shared" si="14"/>
        <v>0</v>
      </c>
      <c r="P25" s="305">
        <f t="shared" si="14"/>
        <v>9</v>
      </c>
      <c r="Q25" s="203" t="s">
        <v>12</v>
      </c>
      <c r="R25" s="307"/>
    </row>
    <row r="26" spans="2:18" ht="22.5" customHeight="1" thickBot="1" x14ac:dyDescent="0.25">
      <c r="B26" s="305">
        <f t="shared" si="1"/>
        <v>111</v>
      </c>
      <c r="C26" s="305">
        <f t="shared" si="0"/>
        <v>19</v>
      </c>
      <c r="D26" s="305">
        <f t="shared" si="0"/>
        <v>92</v>
      </c>
      <c r="E26" s="305">
        <v>0</v>
      </c>
      <c r="F26" s="305">
        <v>0</v>
      </c>
      <c r="G26" s="305">
        <v>18</v>
      </c>
      <c r="H26" s="305">
        <v>28</v>
      </c>
      <c r="I26" s="305">
        <v>0</v>
      </c>
      <c r="J26" s="305">
        <v>0</v>
      </c>
      <c r="K26" s="305">
        <v>1</v>
      </c>
      <c r="L26" s="305">
        <v>51</v>
      </c>
      <c r="M26" s="305">
        <v>0</v>
      </c>
      <c r="N26" s="305">
        <v>11</v>
      </c>
      <c r="O26" s="305">
        <v>0</v>
      </c>
      <c r="P26" s="305">
        <v>2</v>
      </c>
      <c r="Q26" s="203" t="s">
        <v>146</v>
      </c>
      <c r="R26" s="306"/>
    </row>
    <row r="27" spans="2:18" ht="22.5" customHeight="1" thickBot="1" x14ac:dyDescent="0.25">
      <c r="B27" s="305">
        <f t="shared" si="1"/>
        <v>39</v>
      </c>
      <c r="C27" s="305">
        <f t="shared" si="0"/>
        <v>8</v>
      </c>
      <c r="D27" s="305">
        <f t="shared" si="0"/>
        <v>31</v>
      </c>
      <c r="E27" s="305">
        <v>0</v>
      </c>
      <c r="F27" s="305">
        <v>0</v>
      </c>
      <c r="G27" s="305">
        <v>0</v>
      </c>
      <c r="H27" s="305">
        <v>0</v>
      </c>
      <c r="I27" s="305">
        <v>4</v>
      </c>
      <c r="J27" s="305">
        <v>9</v>
      </c>
      <c r="K27" s="305">
        <v>3</v>
      </c>
      <c r="L27" s="305">
        <v>4</v>
      </c>
      <c r="M27" s="305">
        <v>0</v>
      </c>
      <c r="N27" s="305">
        <v>11</v>
      </c>
      <c r="O27" s="305">
        <v>1</v>
      </c>
      <c r="P27" s="305">
        <v>7</v>
      </c>
      <c r="Q27" s="203" t="s">
        <v>145</v>
      </c>
      <c r="R27" s="306" t="s">
        <v>344</v>
      </c>
    </row>
    <row r="28" spans="2:18" ht="22.5" customHeight="1" thickBot="1" x14ac:dyDescent="0.25">
      <c r="B28" s="305">
        <f t="shared" ref="B28" si="15">SUM(B26:B27)</f>
        <v>150</v>
      </c>
      <c r="C28" s="305">
        <f t="shared" si="0"/>
        <v>27</v>
      </c>
      <c r="D28" s="305">
        <f t="shared" si="0"/>
        <v>123</v>
      </c>
      <c r="E28" s="305">
        <f t="shared" ref="E28:P28" si="16">SUM(E26:E27)</f>
        <v>0</v>
      </c>
      <c r="F28" s="305">
        <f t="shared" si="16"/>
        <v>0</v>
      </c>
      <c r="G28" s="305">
        <f t="shared" si="16"/>
        <v>18</v>
      </c>
      <c r="H28" s="305">
        <f t="shared" si="16"/>
        <v>28</v>
      </c>
      <c r="I28" s="305">
        <f t="shared" si="16"/>
        <v>4</v>
      </c>
      <c r="J28" s="305">
        <f t="shared" si="16"/>
        <v>9</v>
      </c>
      <c r="K28" s="305">
        <f t="shared" si="16"/>
        <v>4</v>
      </c>
      <c r="L28" s="305">
        <f t="shared" si="16"/>
        <v>55</v>
      </c>
      <c r="M28" s="305">
        <f t="shared" si="16"/>
        <v>0</v>
      </c>
      <c r="N28" s="305">
        <f t="shared" si="16"/>
        <v>22</v>
      </c>
      <c r="O28" s="305">
        <f t="shared" si="16"/>
        <v>1</v>
      </c>
      <c r="P28" s="305">
        <f t="shared" si="16"/>
        <v>9</v>
      </c>
      <c r="Q28" s="203" t="s">
        <v>12</v>
      </c>
      <c r="R28" s="307"/>
    </row>
    <row r="29" spans="2:18" ht="22.5" customHeight="1" thickBot="1" x14ac:dyDescent="0.25">
      <c r="B29" s="305">
        <f t="shared" si="1"/>
        <v>15</v>
      </c>
      <c r="C29" s="305">
        <f t="shared" si="0"/>
        <v>0</v>
      </c>
      <c r="D29" s="305">
        <f t="shared" si="0"/>
        <v>15</v>
      </c>
      <c r="E29" s="305">
        <v>0</v>
      </c>
      <c r="F29" s="305">
        <v>0</v>
      </c>
      <c r="G29" s="305">
        <v>0</v>
      </c>
      <c r="H29" s="305">
        <v>13</v>
      </c>
      <c r="I29" s="305">
        <v>0</v>
      </c>
      <c r="J29" s="305">
        <v>1</v>
      </c>
      <c r="K29" s="305">
        <v>0</v>
      </c>
      <c r="L29" s="305">
        <v>1</v>
      </c>
      <c r="M29" s="305">
        <v>0</v>
      </c>
      <c r="N29" s="305">
        <v>0</v>
      </c>
      <c r="O29" s="305">
        <v>0</v>
      </c>
      <c r="P29" s="305">
        <v>0</v>
      </c>
      <c r="Q29" s="203" t="s">
        <v>146</v>
      </c>
      <c r="R29" s="306"/>
    </row>
    <row r="30" spans="2:18" ht="22.5" customHeight="1" thickBot="1" x14ac:dyDescent="0.25">
      <c r="B30" s="305">
        <f t="shared" si="1"/>
        <v>3</v>
      </c>
      <c r="C30" s="305">
        <f t="shared" si="0"/>
        <v>0</v>
      </c>
      <c r="D30" s="305">
        <f t="shared" si="0"/>
        <v>3</v>
      </c>
      <c r="E30" s="305">
        <v>0</v>
      </c>
      <c r="F30" s="305">
        <v>0</v>
      </c>
      <c r="G30" s="305">
        <v>0</v>
      </c>
      <c r="H30" s="305">
        <v>0</v>
      </c>
      <c r="I30" s="305">
        <v>0</v>
      </c>
      <c r="J30" s="305">
        <v>0</v>
      </c>
      <c r="K30" s="305">
        <v>0</v>
      </c>
      <c r="L30" s="305">
        <v>2</v>
      </c>
      <c r="M30" s="305">
        <v>0</v>
      </c>
      <c r="N30" s="305">
        <v>0</v>
      </c>
      <c r="O30" s="305">
        <v>0</v>
      </c>
      <c r="P30" s="305">
        <v>1</v>
      </c>
      <c r="Q30" s="203" t="s">
        <v>145</v>
      </c>
      <c r="R30" s="306" t="s">
        <v>249</v>
      </c>
    </row>
    <row r="31" spans="2:18" ht="22.5" customHeight="1" thickBot="1" x14ac:dyDescent="0.25">
      <c r="B31" s="305">
        <f t="shared" ref="B31" si="17">SUM(B29:B30)</f>
        <v>18</v>
      </c>
      <c r="C31" s="305">
        <f t="shared" si="0"/>
        <v>0</v>
      </c>
      <c r="D31" s="305">
        <f t="shared" si="0"/>
        <v>18</v>
      </c>
      <c r="E31" s="305">
        <f t="shared" ref="E31:P31" si="18">SUM(E29:E30)</f>
        <v>0</v>
      </c>
      <c r="F31" s="305">
        <f t="shared" si="18"/>
        <v>0</v>
      </c>
      <c r="G31" s="305">
        <f t="shared" si="18"/>
        <v>0</v>
      </c>
      <c r="H31" s="305">
        <f t="shared" si="18"/>
        <v>13</v>
      </c>
      <c r="I31" s="305">
        <f t="shared" si="18"/>
        <v>0</v>
      </c>
      <c r="J31" s="305">
        <f t="shared" si="18"/>
        <v>1</v>
      </c>
      <c r="K31" s="305">
        <f t="shared" si="18"/>
        <v>0</v>
      </c>
      <c r="L31" s="305">
        <f t="shared" si="18"/>
        <v>3</v>
      </c>
      <c r="M31" s="305">
        <f t="shared" si="18"/>
        <v>0</v>
      </c>
      <c r="N31" s="305">
        <f t="shared" si="18"/>
        <v>0</v>
      </c>
      <c r="O31" s="305">
        <f t="shared" si="18"/>
        <v>0</v>
      </c>
      <c r="P31" s="305">
        <f t="shared" si="18"/>
        <v>1</v>
      </c>
      <c r="Q31" s="203" t="s">
        <v>12</v>
      </c>
      <c r="R31" s="307"/>
    </row>
    <row r="32" spans="2:18" ht="22.5" customHeight="1" thickBot="1" x14ac:dyDescent="0.25">
      <c r="B32" s="305">
        <f t="shared" si="1"/>
        <v>439</v>
      </c>
      <c r="C32" s="305">
        <f t="shared" si="0"/>
        <v>317</v>
      </c>
      <c r="D32" s="305">
        <f t="shared" si="0"/>
        <v>122</v>
      </c>
      <c r="E32" s="305">
        <v>0</v>
      </c>
      <c r="F32" s="305">
        <v>2</v>
      </c>
      <c r="G32" s="305">
        <v>198</v>
      </c>
      <c r="H32" s="305">
        <v>60</v>
      </c>
      <c r="I32" s="305">
        <v>50</v>
      </c>
      <c r="J32" s="305">
        <v>24</v>
      </c>
      <c r="K32" s="305">
        <v>63</v>
      </c>
      <c r="L32" s="305">
        <v>26</v>
      </c>
      <c r="M32" s="305">
        <v>6</v>
      </c>
      <c r="N32" s="305">
        <v>9</v>
      </c>
      <c r="O32" s="305">
        <v>0</v>
      </c>
      <c r="P32" s="305">
        <v>1</v>
      </c>
      <c r="Q32" s="203" t="s">
        <v>146</v>
      </c>
      <c r="R32" s="306"/>
    </row>
    <row r="33" spans="2:18" ht="22.5" customHeight="1" thickBot="1" x14ac:dyDescent="0.25">
      <c r="B33" s="305">
        <f t="shared" si="1"/>
        <v>14</v>
      </c>
      <c r="C33" s="305">
        <f t="shared" si="0"/>
        <v>11</v>
      </c>
      <c r="D33" s="305">
        <f t="shared" si="0"/>
        <v>3</v>
      </c>
      <c r="E33" s="305">
        <v>0</v>
      </c>
      <c r="F33" s="305">
        <v>0</v>
      </c>
      <c r="G33" s="305">
        <v>0</v>
      </c>
      <c r="H33" s="305">
        <v>0</v>
      </c>
      <c r="I33" s="305">
        <v>0</v>
      </c>
      <c r="J33" s="305">
        <v>0</v>
      </c>
      <c r="K33" s="305">
        <v>2</v>
      </c>
      <c r="L33" s="305">
        <v>0</v>
      </c>
      <c r="M33" s="305">
        <v>7</v>
      </c>
      <c r="N33" s="305">
        <v>1</v>
      </c>
      <c r="O33" s="305">
        <v>2</v>
      </c>
      <c r="P33" s="305">
        <v>2</v>
      </c>
      <c r="Q33" s="203" t="s">
        <v>145</v>
      </c>
      <c r="R33" s="306" t="s">
        <v>744</v>
      </c>
    </row>
    <row r="34" spans="2:18" ht="22.5" customHeight="1" thickBot="1" x14ac:dyDescent="0.25">
      <c r="B34" s="305">
        <f t="shared" ref="B34" si="19">SUM(B32:B33)</f>
        <v>453</v>
      </c>
      <c r="C34" s="305">
        <f t="shared" si="0"/>
        <v>328</v>
      </c>
      <c r="D34" s="305">
        <f t="shared" si="0"/>
        <v>125</v>
      </c>
      <c r="E34" s="305">
        <f t="shared" ref="E34:P34" si="20">SUM(E32:E33)</f>
        <v>0</v>
      </c>
      <c r="F34" s="305">
        <f t="shared" si="20"/>
        <v>2</v>
      </c>
      <c r="G34" s="305">
        <f t="shared" si="20"/>
        <v>198</v>
      </c>
      <c r="H34" s="305">
        <f t="shared" si="20"/>
        <v>60</v>
      </c>
      <c r="I34" s="305">
        <f t="shared" si="20"/>
        <v>50</v>
      </c>
      <c r="J34" s="305">
        <f t="shared" si="20"/>
        <v>24</v>
      </c>
      <c r="K34" s="305">
        <f t="shared" si="20"/>
        <v>65</v>
      </c>
      <c r="L34" s="305">
        <f t="shared" si="20"/>
        <v>26</v>
      </c>
      <c r="M34" s="305">
        <f t="shared" si="20"/>
        <v>13</v>
      </c>
      <c r="N34" s="305">
        <f t="shared" si="20"/>
        <v>10</v>
      </c>
      <c r="O34" s="305">
        <f t="shared" si="20"/>
        <v>2</v>
      </c>
      <c r="P34" s="305">
        <f t="shared" si="20"/>
        <v>3</v>
      </c>
      <c r="Q34" s="203" t="s">
        <v>12</v>
      </c>
      <c r="R34" s="307"/>
    </row>
    <row r="35" spans="2:18" ht="22.5" customHeight="1" thickBot="1" x14ac:dyDescent="0.25">
      <c r="B35" s="305">
        <f t="shared" si="1"/>
        <v>31</v>
      </c>
      <c r="C35" s="305">
        <f t="shared" si="0"/>
        <v>0</v>
      </c>
      <c r="D35" s="305">
        <f t="shared" si="0"/>
        <v>31</v>
      </c>
      <c r="E35" s="305">
        <v>0</v>
      </c>
      <c r="F35" s="305">
        <v>2</v>
      </c>
      <c r="G35" s="305">
        <v>0</v>
      </c>
      <c r="H35" s="305">
        <v>5</v>
      </c>
      <c r="I35" s="305">
        <v>0</v>
      </c>
      <c r="J35" s="305">
        <v>0</v>
      </c>
      <c r="K35" s="305">
        <v>0</v>
      </c>
      <c r="L35" s="305">
        <v>9</v>
      </c>
      <c r="M35" s="305">
        <v>0</v>
      </c>
      <c r="N35" s="305">
        <v>14</v>
      </c>
      <c r="O35" s="305">
        <v>0</v>
      </c>
      <c r="P35" s="305">
        <v>1</v>
      </c>
      <c r="Q35" s="203" t="s">
        <v>146</v>
      </c>
      <c r="R35" s="306"/>
    </row>
    <row r="36" spans="2:18" ht="22.5" customHeight="1" thickBot="1" x14ac:dyDescent="0.25">
      <c r="B36" s="305">
        <f t="shared" si="1"/>
        <v>7</v>
      </c>
      <c r="C36" s="305">
        <f t="shared" si="0"/>
        <v>0</v>
      </c>
      <c r="D36" s="305">
        <f t="shared" si="0"/>
        <v>7</v>
      </c>
      <c r="E36" s="305">
        <v>0</v>
      </c>
      <c r="F36" s="305">
        <v>0</v>
      </c>
      <c r="G36" s="305">
        <v>0</v>
      </c>
      <c r="H36" s="305">
        <v>0</v>
      </c>
      <c r="I36" s="305">
        <v>0</v>
      </c>
      <c r="J36" s="305">
        <v>2</v>
      </c>
      <c r="K36" s="305">
        <v>0</v>
      </c>
      <c r="L36" s="305">
        <v>2</v>
      </c>
      <c r="M36" s="305">
        <v>0</v>
      </c>
      <c r="N36" s="305">
        <v>2</v>
      </c>
      <c r="O36" s="305">
        <v>0</v>
      </c>
      <c r="P36" s="305">
        <v>1</v>
      </c>
      <c r="Q36" s="203" t="s">
        <v>145</v>
      </c>
      <c r="R36" s="306" t="s">
        <v>745</v>
      </c>
    </row>
    <row r="37" spans="2:18" ht="22.5" customHeight="1" thickBot="1" x14ac:dyDescent="0.25">
      <c r="B37" s="305">
        <f t="shared" ref="B37" si="21">SUM(B35:B36)</f>
        <v>38</v>
      </c>
      <c r="C37" s="305">
        <f t="shared" ref="C37:D68" si="22">O37+M37+K37+I37+G37+E37</f>
        <v>0</v>
      </c>
      <c r="D37" s="305">
        <f t="shared" si="22"/>
        <v>38</v>
      </c>
      <c r="E37" s="305">
        <f t="shared" ref="E37:P37" si="23">SUM(E35:E36)</f>
        <v>0</v>
      </c>
      <c r="F37" s="305">
        <f t="shared" si="23"/>
        <v>2</v>
      </c>
      <c r="G37" s="305">
        <f t="shared" si="23"/>
        <v>0</v>
      </c>
      <c r="H37" s="305">
        <f t="shared" si="23"/>
        <v>5</v>
      </c>
      <c r="I37" s="305">
        <f t="shared" si="23"/>
        <v>0</v>
      </c>
      <c r="J37" s="305">
        <f t="shared" si="23"/>
        <v>2</v>
      </c>
      <c r="K37" s="305">
        <f t="shared" si="23"/>
        <v>0</v>
      </c>
      <c r="L37" s="305">
        <f t="shared" si="23"/>
        <v>11</v>
      </c>
      <c r="M37" s="305">
        <f t="shared" si="23"/>
        <v>0</v>
      </c>
      <c r="N37" s="305">
        <f t="shared" si="23"/>
        <v>16</v>
      </c>
      <c r="O37" s="305">
        <f t="shared" si="23"/>
        <v>0</v>
      </c>
      <c r="P37" s="305">
        <f t="shared" si="23"/>
        <v>2</v>
      </c>
      <c r="Q37" s="203" t="s">
        <v>12</v>
      </c>
      <c r="R37" s="307"/>
    </row>
    <row r="38" spans="2:18" ht="22.5" customHeight="1" thickBot="1" x14ac:dyDescent="0.25">
      <c r="B38" s="305">
        <f t="shared" si="1"/>
        <v>129</v>
      </c>
      <c r="C38" s="305">
        <f t="shared" si="22"/>
        <v>46</v>
      </c>
      <c r="D38" s="305">
        <f t="shared" si="22"/>
        <v>83</v>
      </c>
      <c r="E38" s="305">
        <v>0</v>
      </c>
      <c r="F38" s="305">
        <v>0</v>
      </c>
      <c r="G38" s="305">
        <v>33</v>
      </c>
      <c r="H38" s="305">
        <v>14</v>
      </c>
      <c r="I38" s="305">
        <v>4</v>
      </c>
      <c r="J38" s="305">
        <v>3</v>
      </c>
      <c r="K38" s="305">
        <v>8</v>
      </c>
      <c r="L38" s="305">
        <v>24</v>
      </c>
      <c r="M38" s="305">
        <v>1</v>
      </c>
      <c r="N38" s="305">
        <v>15</v>
      </c>
      <c r="O38" s="305">
        <v>0</v>
      </c>
      <c r="P38" s="305">
        <v>27</v>
      </c>
      <c r="Q38" s="203" t="s">
        <v>146</v>
      </c>
      <c r="R38" s="306"/>
    </row>
    <row r="39" spans="2:18" ht="22.5" customHeight="1" thickBot="1" x14ac:dyDescent="0.25">
      <c r="B39" s="305">
        <f t="shared" si="1"/>
        <v>42</v>
      </c>
      <c r="C39" s="305">
        <f t="shared" si="22"/>
        <v>12</v>
      </c>
      <c r="D39" s="305">
        <f t="shared" si="22"/>
        <v>30</v>
      </c>
      <c r="E39" s="305">
        <v>0</v>
      </c>
      <c r="F39" s="305">
        <v>0</v>
      </c>
      <c r="G39" s="305">
        <v>0</v>
      </c>
      <c r="H39" s="305">
        <v>0</v>
      </c>
      <c r="I39" s="305">
        <v>0</v>
      </c>
      <c r="J39" s="305">
        <v>0</v>
      </c>
      <c r="K39" s="305">
        <v>5</v>
      </c>
      <c r="L39" s="305">
        <v>9</v>
      </c>
      <c r="M39" s="305">
        <v>6</v>
      </c>
      <c r="N39" s="305">
        <v>15</v>
      </c>
      <c r="O39" s="305">
        <v>1</v>
      </c>
      <c r="P39" s="305">
        <v>6</v>
      </c>
      <c r="Q39" s="203" t="s">
        <v>145</v>
      </c>
      <c r="R39" s="306" t="s">
        <v>345</v>
      </c>
    </row>
    <row r="40" spans="2:18" ht="22.5" customHeight="1" thickBot="1" x14ac:dyDescent="0.25">
      <c r="B40" s="305">
        <f t="shared" ref="B40" si="24">SUM(B38:B39)</f>
        <v>171</v>
      </c>
      <c r="C40" s="305">
        <f t="shared" si="22"/>
        <v>58</v>
      </c>
      <c r="D40" s="305">
        <f t="shared" si="22"/>
        <v>113</v>
      </c>
      <c r="E40" s="305">
        <f t="shared" ref="E40:P40" si="25">SUM(E38:E39)</f>
        <v>0</v>
      </c>
      <c r="F40" s="305">
        <f t="shared" si="25"/>
        <v>0</v>
      </c>
      <c r="G40" s="305">
        <f t="shared" si="25"/>
        <v>33</v>
      </c>
      <c r="H40" s="305">
        <f t="shared" si="25"/>
        <v>14</v>
      </c>
      <c r="I40" s="305">
        <f t="shared" si="25"/>
        <v>4</v>
      </c>
      <c r="J40" s="305">
        <f t="shared" si="25"/>
        <v>3</v>
      </c>
      <c r="K40" s="305">
        <f t="shared" si="25"/>
        <v>13</v>
      </c>
      <c r="L40" s="305">
        <f t="shared" si="25"/>
        <v>33</v>
      </c>
      <c r="M40" s="305">
        <f t="shared" si="25"/>
        <v>7</v>
      </c>
      <c r="N40" s="305">
        <f t="shared" si="25"/>
        <v>30</v>
      </c>
      <c r="O40" s="305">
        <f t="shared" si="25"/>
        <v>1</v>
      </c>
      <c r="P40" s="305">
        <f t="shared" si="25"/>
        <v>33</v>
      </c>
      <c r="Q40" s="203" t="s">
        <v>12</v>
      </c>
      <c r="R40" s="307"/>
    </row>
    <row r="41" spans="2:18" ht="22.5" customHeight="1" thickBot="1" x14ac:dyDescent="0.25">
      <c r="B41" s="305">
        <f t="shared" si="1"/>
        <v>158</v>
      </c>
      <c r="C41" s="305">
        <f t="shared" si="22"/>
        <v>60</v>
      </c>
      <c r="D41" s="305">
        <f t="shared" si="22"/>
        <v>98</v>
      </c>
      <c r="E41" s="305">
        <v>0</v>
      </c>
      <c r="F41" s="305">
        <v>0</v>
      </c>
      <c r="G41" s="305">
        <v>45</v>
      </c>
      <c r="H41" s="305">
        <v>38</v>
      </c>
      <c r="I41" s="305">
        <v>2</v>
      </c>
      <c r="J41" s="305">
        <v>3</v>
      </c>
      <c r="K41" s="305">
        <v>10</v>
      </c>
      <c r="L41" s="305">
        <v>38</v>
      </c>
      <c r="M41" s="305">
        <v>3</v>
      </c>
      <c r="N41" s="305">
        <v>14</v>
      </c>
      <c r="O41" s="305">
        <v>0</v>
      </c>
      <c r="P41" s="305">
        <v>5</v>
      </c>
      <c r="Q41" s="203" t="s">
        <v>146</v>
      </c>
      <c r="R41" s="306"/>
    </row>
    <row r="42" spans="2:18" ht="22.5" customHeight="1" thickBot="1" x14ac:dyDescent="0.25">
      <c r="B42" s="305">
        <f t="shared" si="1"/>
        <v>21</v>
      </c>
      <c r="C42" s="305">
        <f t="shared" si="22"/>
        <v>0</v>
      </c>
      <c r="D42" s="305">
        <f t="shared" si="22"/>
        <v>21</v>
      </c>
      <c r="E42" s="305">
        <v>0</v>
      </c>
      <c r="F42" s="305">
        <v>0</v>
      </c>
      <c r="G42" s="305">
        <v>0</v>
      </c>
      <c r="H42" s="305">
        <v>0</v>
      </c>
      <c r="I42" s="305">
        <v>0</v>
      </c>
      <c r="J42" s="305">
        <v>1</v>
      </c>
      <c r="K42" s="305">
        <v>0</v>
      </c>
      <c r="L42" s="305">
        <v>3</v>
      </c>
      <c r="M42" s="305">
        <v>0</v>
      </c>
      <c r="N42" s="305">
        <v>10</v>
      </c>
      <c r="O42" s="305">
        <v>0</v>
      </c>
      <c r="P42" s="305">
        <v>7</v>
      </c>
      <c r="Q42" s="203" t="s">
        <v>145</v>
      </c>
      <c r="R42" s="306" t="s">
        <v>346</v>
      </c>
    </row>
    <row r="43" spans="2:18" ht="22.5" customHeight="1" thickBot="1" x14ac:dyDescent="0.25">
      <c r="B43" s="305">
        <f t="shared" ref="B43" si="26">SUM(B41:B42)</f>
        <v>179</v>
      </c>
      <c r="C43" s="305">
        <f t="shared" si="22"/>
        <v>60</v>
      </c>
      <c r="D43" s="305">
        <f t="shared" si="22"/>
        <v>119</v>
      </c>
      <c r="E43" s="305">
        <f t="shared" ref="E43:P43" si="27">SUM(E41:E42)</f>
        <v>0</v>
      </c>
      <c r="F43" s="305">
        <f t="shared" si="27"/>
        <v>0</v>
      </c>
      <c r="G43" s="305">
        <f t="shared" si="27"/>
        <v>45</v>
      </c>
      <c r="H43" s="305">
        <f t="shared" si="27"/>
        <v>38</v>
      </c>
      <c r="I43" s="305">
        <f t="shared" si="27"/>
        <v>2</v>
      </c>
      <c r="J43" s="305">
        <f t="shared" si="27"/>
        <v>4</v>
      </c>
      <c r="K43" s="305">
        <f t="shared" si="27"/>
        <v>10</v>
      </c>
      <c r="L43" s="305">
        <f t="shared" si="27"/>
        <v>41</v>
      </c>
      <c r="M43" s="305">
        <f t="shared" si="27"/>
        <v>3</v>
      </c>
      <c r="N43" s="305">
        <f t="shared" si="27"/>
        <v>24</v>
      </c>
      <c r="O43" s="305">
        <f t="shared" si="27"/>
        <v>0</v>
      </c>
      <c r="P43" s="305">
        <f t="shared" si="27"/>
        <v>12</v>
      </c>
      <c r="Q43" s="203" t="s">
        <v>12</v>
      </c>
      <c r="R43" s="307"/>
    </row>
    <row r="44" spans="2:18" ht="22.5" customHeight="1" thickBot="1" x14ac:dyDescent="0.25">
      <c r="B44" s="305">
        <f t="shared" si="1"/>
        <v>3</v>
      </c>
      <c r="C44" s="305">
        <f t="shared" si="22"/>
        <v>0</v>
      </c>
      <c r="D44" s="305">
        <f t="shared" si="22"/>
        <v>3</v>
      </c>
      <c r="E44" s="305">
        <v>0</v>
      </c>
      <c r="F44" s="305">
        <v>0</v>
      </c>
      <c r="G44" s="305">
        <v>0</v>
      </c>
      <c r="H44" s="305">
        <v>0</v>
      </c>
      <c r="I44" s="305">
        <v>0</v>
      </c>
      <c r="J44" s="305">
        <v>0</v>
      </c>
      <c r="K44" s="305">
        <v>0</v>
      </c>
      <c r="L44" s="305">
        <v>3</v>
      </c>
      <c r="M44" s="305">
        <v>0</v>
      </c>
      <c r="N44" s="305">
        <v>0</v>
      </c>
      <c r="O44" s="305">
        <v>0</v>
      </c>
      <c r="P44" s="305">
        <v>0</v>
      </c>
      <c r="Q44" s="203" t="s">
        <v>146</v>
      </c>
      <c r="R44" s="306"/>
    </row>
    <row r="45" spans="2:18" ht="22.5" customHeight="1" thickBot="1" x14ac:dyDescent="0.25">
      <c r="B45" s="305">
        <f t="shared" si="1"/>
        <v>1</v>
      </c>
      <c r="C45" s="305">
        <f t="shared" si="22"/>
        <v>0</v>
      </c>
      <c r="D45" s="305">
        <f t="shared" si="22"/>
        <v>1</v>
      </c>
      <c r="E45" s="305">
        <v>0</v>
      </c>
      <c r="F45" s="305">
        <v>0</v>
      </c>
      <c r="G45" s="305">
        <v>0</v>
      </c>
      <c r="H45" s="305">
        <v>0</v>
      </c>
      <c r="I45" s="305">
        <v>0</v>
      </c>
      <c r="J45" s="305">
        <v>0</v>
      </c>
      <c r="K45" s="305">
        <v>0</v>
      </c>
      <c r="L45" s="305">
        <v>1</v>
      </c>
      <c r="M45" s="305">
        <v>0</v>
      </c>
      <c r="N45" s="305">
        <v>0</v>
      </c>
      <c r="O45" s="305">
        <v>0</v>
      </c>
      <c r="P45" s="305">
        <v>0</v>
      </c>
      <c r="Q45" s="203" t="s">
        <v>145</v>
      </c>
      <c r="R45" s="306" t="s">
        <v>576</v>
      </c>
    </row>
    <row r="46" spans="2:18" ht="22.5" customHeight="1" thickBot="1" x14ac:dyDescent="0.25">
      <c r="B46" s="305">
        <f t="shared" ref="B46" si="28">SUM(B44:B45)</f>
        <v>4</v>
      </c>
      <c r="C46" s="305">
        <f t="shared" si="22"/>
        <v>0</v>
      </c>
      <c r="D46" s="305">
        <f t="shared" si="22"/>
        <v>4</v>
      </c>
      <c r="E46" s="305">
        <f t="shared" ref="E46:P46" si="29">SUM(E44:E45)</f>
        <v>0</v>
      </c>
      <c r="F46" s="305">
        <f t="shared" si="29"/>
        <v>0</v>
      </c>
      <c r="G46" s="305">
        <f t="shared" si="29"/>
        <v>0</v>
      </c>
      <c r="H46" s="305">
        <f t="shared" si="29"/>
        <v>0</v>
      </c>
      <c r="I46" s="305">
        <f t="shared" si="29"/>
        <v>0</v>
      </c>
      <c r="J46" s="305">
        <f t="shared" si="29"/>
        <v>0</v>
      </c>
      <c r="K46" s="305">
        <f t="shared" si="29"/>
        <v>0</v>
      </c>
      <c r="L46" s="305">
        <f t="shared" si="29"/>
        <v>4</v>
      </c>
      <c r="M46" s="305">
        <f t="shared" si="29"/>
        <v>0</v>
      </c>
      <c r="N46" s="305">
        <f t="shared" si="29"/>
        <v>0</v>
      </c>
      <c r="O46" s="305">
        <f t="shared" si="29"/>
        <v>0</v>
      </c>
      <c r="P46" s="305">
        <f t="shared" si="29"/>
        <v>0</v>
      </c>
      <c r="Q46" s="203" t="s">
        <v>12</v>
      </c>
      <c r="R46" s="307"/>
    </row>
    <row r="47" spans="2:18" ht="22.5" customHeight="1" thickBot="1" x14ac:dyDescent="0.25">
      <c r="B47" s="305">
        <f t="shared" si="1"/>
        <v>70</v>
      </c>
      <c r="C47" s="305">
        <f t="shared" si="22"/>
        <v>0</v>
      </c>
      <c r="D47" s="305">
        <f t="shared" si="22"/>
        <v>70</v>
      </c>
      <c r="E47" s="305">
        <v>0</v>
      </c>
      <c r="F47" s="305">
        <v>0</v>
      </c>
      <c r="G47" s="305">
        <v>0</v>
      </c>
      <c r="H47" s="305">
        <v>25</v>
      </c>
      <c r="I47" s="305">
        <v>0</v>
      </c>
      <c r="J47" s="305">
        <v>5</v>
      </c>
      <c r="K47" s="305">
        <v>0</v>
      </c>
      <c r="L47" s="305">
        <v>26</v>
      </c>
      <c r="M47" s="305">
        <v>0</v>
      </c>
      <c r="N47" s="305">
        <v>7</v>
      </c>
      <c r="O47" s="305">
        <v>0</v>
      </c>
      <c r="P47" s="305">
        <v>7</v>
      </c>
      <c r="Q47" s="203" t="s">
        <v>146</v>
      </c>
      <c r="R47" s="306"/>
    </row>
    <row r="48" spans="2:18" ht="22.5" customHeight="1" thickBot="1" x14ac:dyDescent="0.25">
      <c r="B48" s="305">
        <f t="shared" si="1"/>
        <v>8</v>
      </c>
      <c r="C48" s="305">
        <f t="shared" si="22"/>
        <v>0</v>
      </c>
      <c r="D48" s="305">
        <f t="shared" si="22"/>
        <v>8</v>
      </c>
      <c r="E48" s="305">
        <v>0</v>
      </c>
      <c r="F48" s="305">
        <v>0</v>
      </c>
      <c r="G48" s="305">
        <v>0</v>
      </c>
      <c r="H48" s="305">
        <v>0</v>
      </c>
      <c r="I48" s="305">
        <v>0</v>
      </c>
      <c r="J48" s="305">
        <v>0</v>
      </c>
      <c r="K48" s="305">
        <v>0</v>
      </c>
      <c r="L48" s="305">
        <v>0</v>
      </c>
      <c r="M48" s="305">
        <v>0</v>
      </c>
      <c r="N48" s="305">
        <v>8</v>
      </c>
      <c r="O48" s="305">
        <v>0</v>
      </c>
      <c r="P48" s="305">
        <v>0</v>
      </c>
      <c r="Q48" s="203" t="s">
        <v>145</v>
      </c>
      <c r="R48" s="306" t="s">
        <v>746</v>
      </c>
    </row>
    <row r="49" spans="2:18" ht="22.5" customHeight="1" thickBot="1" x14ac:dyDescent="0.25">
      <c r="B49" s="305">
        <f t="shared" ref="B49" si="30">SUM(B47:B48)</f>
        <v>78</v>
      </c>
      <c r="C49" s="305">
        <f t="shared" si="22"/>
        <v>0</v>
      </c>
      <c r="D49" s="305">
        <f t="shared" si="22"/>
        <v>78</v>
      </c>
      <c r="E49" s="305">
        <f t="shared" ref="E49:P49" si="31">SUM(E47:E48)</f>
        <v>0</v>
      </c>
      <c r="F49" s="305">
        <f t="shared" si="31"/>
        <v>0</v>
      </c>
      <c r="G49" s="305">
        <f t="shared" si="31"/>
        <v>0</v>
      </c>
      <c r="H49" s="305">
        <f t="shared" si="31"/>
        <v>25</v>
      </c>
      <c r="I49" s="305">
        <f t="shared" si="31"/>
        <v>0</v>
      </c>
      <c r="J49" s="305">
        <f t="shared" si="31"/>
        <v>5</v>
      </c>
      <c r="K49" s="305">
        <f t="shared" si="31"/>
        <v>0</v>
      </c>
      <c r="L49" s="305">
        <f t="shared" si="31"/>
        <v>26</v>
      </c>
      <c r="M49" s="305">
        <f t="shared" si="31"/>
        <v>0</v>
      </c>
      <c r="N49" s="305">
        <f t="shared" si="31"/>
        <v>15</v>
      </c>
      <c r="O49" s="305">
        <f t="shared" si="31"/>
        <v>0</v>
      </c>
      <c r="P49" s="305">
        <f t="shared" si="31"/>
        <v>7</v>
      </c>
      <c r="Q49" s="203" t="s">
        <v>12</v>
      </c>
      <c r="R49" s="307"/>
    </row>
    <row r="50" spans="2:18" ht="22.5" customHeight="1" thickBot="1" x14ac:dyDescent="0.25">
      <c r="B50" s="305">
        <f t="shared" si="1"/>
        <v>66</v>
      </c>
      <c r="C50" s="305">
        <f t="shared" si="22"/>
        <v>0</v>
      </c>
      <c r="D50" s="305">
        <f t="shared" si="22"/>
        <v>66</v>
      </c>
      <c r="E50" s="305">
        <v>0</v>
      </c>
      <c r="F50" s="305">
        <v>0</v>
      </c>
      <c r="G50" s="305">
        <v>0</v>
      </c>
      <c r="H50" s="305">
        <v>9</v>
      </c>
      <c r="I50" s="305">
        <v>0</v>
      </c>
      <c r="J50" s="305">
        <v>7</v>
      </c>
      <c r="K50" s="305">
        <v>0</v>
      </c>
      <c r="L50" s="305">
        <v>37</v>
      </c>
      <c r="M50" s="305">
        <v>0</v>
      </c>
      <c r="N50" s="305">
        <v>8</v>
      </c>
      <c r="O50" s="305">
        <v>0</v>
      </c>
      <c r="P50" s="305">
        <v>5</v>
      </c>
      <c r="Q50" s="203" t="s">
        <v>146</v>
      </c>
      <c r="R50" s="306"/>
    </row>
    <row r="51" spans="2:18" ht="22.5" customHeight="1" thickBot="1" x14ac:dyDescent="0.25">
      <c r="B51" s="305">
        <f t="shared" si="1"/>
        <v>2</v>
      </c>
      <c r="C51" s="305">
        <f t="shared" si="22"/>
        <v>0</v>
      </c>
      <c r="D51" s="305">
        <f t="shared" si="22"/>
        <v>2</v>
      </c>
      <c r="E51" s="305">
        <v>0</v>
      </c>
      <c r="F51" s="305">
        <v>0</v>
      </c>
      <c r="G51" s="305">
        <v>0</v>
      </c>
      <c r="H51" s="305">
        <v>0</v>
      </c>
      <c r="I51" s="305">
        <v>0</v>
      </c>
      <c r="J51" s="305">
        <v>0</v>
      </c>
      <c r="K51" s="305">
        <v>0</v>
      </c>
      <c r="L51" s="305">
        <v>0</v>
      </c>
      <c r="M51" s="305">
        <v>0</v>
      </c>
      <c r="N51" s="305">
        <v>1</v>
      </c>
      <c r="O51" s="305">
        <v>0</v>
      </c>
      <c r="P51" s="305">
        <v>1</v>
      </c>
      <c r="Q51" s="203" t="s">
        <v>145</v>
      </c>
      <c r="R51" s="306" t="s">
        <v>747</v>
      </c>
    </row>
    <row r="52" spans="2:18" ht="22.5" customHeight="1" thickBot="1" x14ac:dyDescent="0.25">
      <c r="B52" s="305">
        <f t="shared" ref="B52" si="32">SUM(B50:B51)</f>
        <v>68</v>
      </c>
      <c r="C52" s="305">
        <f t="shared" si="22"/>
        <v>0</v>
      </c>
      <c r="D52" s="305">
        <f t="shared" si="22"/>
        <v>68</v>
      </c>
      <c r="E52" s="305">
        <f t="shared" ref="E52:P52" si="33">SUM(E50:E51)</f>
        <v>0</v>
      </c>
      <c r="F52" s="305">
        <f t="shared" si="33"/>
        <v>0</v>
      </c>
      <c r="G52" s="305">
        <f t="shared" si="33"/>
        <v>0</v>
      </c>
      <c r="H52" s="305">
        <f t="shared" si="33"/>
        <v>9</v>
      </c>
      <c r="I52" s="305">
        <f t="shared" si="33"/>
        <v>0</v>
      </c>
      <c r="J52" s="305">
        <f t="shared" si="33"/>
        <v>7</v>
      </c>
      <c r="K52" s="305">
        <f t="shared" si="33"/>
        <v>0</v>
      </c>
      <c r="L52" s="305">
        <f t="shared" si="33"/>
        <v>37</v>
      </c>
      <c r="M52" s="305">
        <f t="shared" si="33"/>
        <v>0</v>
      </c>
      <c r="N52" s="305">
        <f t="shared" si="33"/>
        <v>9</v>
      </c>
      <c r="O52" s="305">
        <f t="shared" si="33"/>
        <v>0</v>
      </c>
      <c r="P52" s="305">
        <f t="shared" si="33"/>
        <v>6</v>
      </c>
      <c r="Q52" s="203" t="s">
        <v>12</v>
      </c>
      <c r="R52" s="307"/>
    </row>
    <row r="53" spans="2:18" ht="22.5" customHeight="1" thickBot="1" x14ac:dyDescent="0.25">
      <c r="B53" s="305">
        <f t="shared" si="1"/>
        <v>9</v>
      </c>
      <c r="C53" s="305">
        <f t="shared" si="22"/>
        <v>1</v>
      </c>
      <c r="D53" s="305">
        <f t="shared" si="22"/>
        <v>8</v>
      </c>
      <c r="E53" s="305">
        <v>0</v>
      </c>
      <c r="F53" s="305">
        <v>0</v>
      </c>
      <c r="G53" s="305">
        <v>1</v>
      </c>
      <c r="H53" s="305">
        <v>0</v>
      </c>
      <c r="I53" s="305">
        <v>0</v>
      </c>
      <c r="J53" s="305">
        <v>0</v>
      </c>
      <c r="K53" s="305">
        <v>0</v>
      </c>
      <c r="L53" s="305">
        <v>2</v>
      </c>
      <c r="M53" s="305">
        <v>0</v>
      </c>
      <c r="N53" s="305">
        <v>3</v>
      </c>
      <c r="O53" s="305">
        <v>0</v>
      </c>
      <c r="P53" s="305">
        <v>3</v>
      </c>
      <c r="Q53" s="203" t="s">
        <v>146</v>
      </c>
      <c r="R53" s="306"/>
    </row>
    <row r="54" spans="2:18" ht="22.5" customHeight="1" thickBot="1" x14ac:dyDescent="0.25">
      <c r="B54" s="305">
        <f t="shared" si="1"/>
        <v>17</v>
      </c>
      <c r="C54" s="305">
        <f t="shared" si="22"/>
        <v>9</v>
      </c>
      <c r="D54" s="305">
        <f t="shared" si="22"/>
        <v>8</v>
      </c>
      <c r="E54" s="305">
        <v>8</v>
      </c>
      <c r="F54" s="305">
        <v>0</v>
      </c>
      <c r="G54" s="305">
        <v>0</v>
      </c>
      <c r="H54" s="305">
        <v>0</v>
      </c>
      <c r="I54" s="305">
        <v>0</v>
      </c>
      <c r="J54" s="305">
        <v>1</v>
      </c>
      <c r="K54" s="305">
        <v>1</v>
      </c>
      <c r="L54" s="305">
        <v>1</v>
      </c>
      <c r="M54" s="305">
        <v>0</v>
      </c>
      <c r="N54" s="305">
        <v>4</v>
      </c>
      <c r="O54" s="305">
        <v>0</v>
      </c>
      <c r="P54" s="305">
        <v>2</v>
      </c>
      <c r="Q54" s="203" t="s">
        <v>145</v>
      </c>
      <c r="R54" s="306" t="s">
        <v>347</v>
      </c>
    </row>
    <row r="55" spans="2:18" ht="22.5" customHeight="1" thickBot="1" x14ac:dyDescent="0.25">
      <c r="B55" s="305">
        <f t="shared" ref="B55" si="34">SUM(B53:B54)</f>
        <v>26</v>
      </c>
      <c r="C55" s="305">
        <f t="shared" si="22"/>
        <v>10</v>
      </c>
      <c r="D55" s="305">
        <f t="shared" si="22"/>
        <v>16</v>
      </c>
      <c r="E55" s="305">
        <f t="shared" ref="E55:P55" si="35">SUM(E53:E54)</f>
        <v>8</v>
      </c>
      <c r="F55" s="305">
        <f t="shared" si="35"/>
        <v>0</v>
      </c>
      <c r="G55" s="305">
        <f t="shared" si="35"/>
        <v>1</v>
      </c>
      <c r="H55" s="305">
        <f t="shared" si="35"/>
        <v>0</v>
      </c>
      <c r="I55" s="305">
        <f t="shared" si="35"/>
        <v>0</v>
      </c>
      <c r="J55" s="305">
        <f t="shared" si="35"/>
        <v>1</v>
      </c>
      <c r="K55" s="305">
        <f t="shared" si="35"/>
        <v>1</v>
      </c>
      <c r="L55" s="305">
        <f t="shared" si="35"/>
        <v>3</v>
      </c>
      <c r="M55" s="305">
        <f t="shared" si="35"/>
        <v>0</v>
      </c>
      <c r="N55" s="305">
        <f t="shared" si="35"/>
        <v>7</v>
      </c>
      <c r="O55" s="305">
        <f t="shared" si="35"/>
        <v>0</v>
      </c>
      <c r="P55" s="305">
        <f t="shared" si="35"/>
        <v>5</v>
      </c>
      <c r="Q55" s="203" t="s">
        <v>12</v>
      </c>
      <c r="R55" s="307"/>
    </row>
    <row r="56" spans="2:18" ht="22.5" customHeight="1" thickBot="1" x14ac:dyDescent="0.25">
      <c r="B56" s="305">
        <f t="shared" si="1"/>
        <v>25</v>
      </c>
      <c r="C56" s="305">
        <f t="shared" si="22"/>
        <v>23</v>
      </c>
      <c r="D56" s="305">
        <f t="shared" si="22"/>
        <v>2</v>
      </c>
      <c r="E56" s="305">
        <v>0</v>
      </c>
      <c r="F56" s="305">
        <v>0</v>
      </c>
      <c r="G56" s="305">
        <v>23</v>
      </c>
      <c r="H56" s="305">
        <v>2</v>
      </c>
      <c r="I56" s="305">
        <v>0</v>
      </c>
      <c r="J56" s="305">
        <v>0</v>
      </c>
      <c r="K56" s="305">
        <v>0</v>
      </c>
      <c r="L56" s="305">
        <v>0</v>
      </c>
      <c r="M56" s="305">
        <v>0</v>
      </c>
      <c r="N56" s="305">
        <v>0</v>
      </c>
      <c r="O56" s="305">
        <v>0</v>
      </c>
      <c r="P56" s="305">
        <v>0</v>
      </c>
      <c r="Q56" s="203" t="s">
        <v>146</v>
      </c>
      <c r="R56" s="306"/>
    </row>
    <row r="57" spans="2:18" ht="22.5" customHeight="1" thickBot="1" x14ac:dyDescent="0.25">
      <c r="B57" s="305">
        <f t="shared" si="1"/>
        <v>5</v>
      </c>
      <c r="C57" s="305">
        <f t="shared" si="22"/>
        <v>1</v>
      </c>
      <c r="D57" s="305">
        <f t="shared" si="22"/>
        <v>4</v>
      </c>
      <c r="E57" s="305">
        <v>0</v>
      </c>
      <c r="F57" s="305">
        <v>0</v>
      </c>
      <c r="G57" s="305">
        <v>0</v>
      </c>
      <c r="H57" s="305">
        <v>0</v>
      </c>
      <c r="I57" s="305">
        <v>0</v>
      </c>
      <c r="J57" s="305">
        <v>1</v>
      </c>
      <c r="K57" s="305">
        <v>1</v>
      </c>
      <c r="L57" s="305">
        <v>1</v>
      </c>
      <c r="M57" s="305">
        <v>0</v>
      </c>
      <c r="N57" s="305">
        <v>2</v>
      </c>
      <c r="O57" s="305">
        <v>0</v>
      </c>
      <c r="P57" s="305">
        <v>0</v>
      </c>
      <c r="Q57" s="203" t="s">
        <v>145</v>
      </c>
      <c r="R57" s="306" t="s">
        <v>348</v>
      </c>
    </row>
    <row r="58" spans="2:18" ht="22.5" customHeight="1" thickBot="1" x14ac:dyDescent="0.25">
      <c r="B58" s="305">
        <f t="shared" ref="B58" si="36">SUM(B56:B57)</f>
        <v>30</v>
      </c>
      <c r="C58" s="305">
        <f t="shared" si="22"/>
        <v>24</v>
      </c>
      <c r="D58" s="305">
        <f t="shared" si="22"/>
        <v>6</v>
      </c>
      <c r="E58" s="305">
        <f t="shared" ref="E58:P58" si="37">SUM(E56:E57)</f>
        <v>0</v>
      </c>
      <c r="F58" s="305">
        <f t="shared" si="37"/>
        <v>0</v>
      </c>
      <c r="G58" s="305">
        <f t="shared" si="37"/>
        <v>23</v>
      </c>
      <c r="H58" s="305">
        <f t="shared" si="37"/>
        <v>2</v>
      </c>
      <c r="I58" s="305">
        <f t="shared" si="37"/>
        <v>0</v>
      </c>
      <c r="J58" s="305">
        <f t="shared" si="37"/>
        <v>1</v>
      </c>
      <c r="K58" s="305">
        <f t="shared" si="37"/>
        <v>1</v>
      </c>
      <c r="L58" s="305">
        <f t="shared" si="37"/>
        <v>1</v>
      </c>
      <c r="M58" s="305">
        <f t="shared" si="37"/>
        <v>0</v>
      </c>
      <c r="N58" s="305">
        <f t="shared" si="37"/>
        <v>2</v>
      </c>
      <c r="O58" s="305">
        <f t="shared" si="37"/>
        <v>0</v>
      </c>
      <c r="P58" s="305">
        <f t="shared" si="37"/>
        <v>0</v>
      </c>
      <c r="Q58" s="203" t="s">
        <v>12</v>
      </c>
      <c r="R58" s="307"/>
    </row>
    <row r="59" spans="2:18" ht="22.5" customHeight="1" thickBot="1" x14ac:dyDescent="0.25">
      <c r="B59" s="305">
        <f t="shared" si="1"/>
        <v>29</v>
      </c>
      <c r="C59" s="305">
        <f t="shared" si="22"/>
        <v>8</v>
      </c>
      <c r="D59" s="305">
        <f t="shared" si="22"/>
        <v>21</v>
      </c>
      <c r="E59" s="305">
        <v>0</v>
      </c>
      <c r="F59" s="305">
        <v>0</v>
      </c>
      <c r="G59" s="305">
        <v>6</v>
      </c>
      <c r="H59" s="305">
        <v>8</v>
      </c>
      <c r="I59" s="305">
        <v>1</v>
      </c>
      <c r="J59" s="305">
        <v>3</v>
      </c>
      <c r="K59" s="305">
        <v>1</v>
      </c>
      <c r="L59" s="305">
        <v>7</v>
      </c>
      <c r="M59" s="305">
        <v>0</v>
      </c>
      <c r="N59" s="305">
        <v>2</v>
      </c>
      <c r="O59" s="305">
        <v>0</v>
      </c>
      <c r="P59" s="305">
        <v>1</v>
      </c>
      <c r="Q59" s="203" t="s">
        <v>146</v>
      </c>
      <c r="R59" s="306"/>
    </row>
    <row r="60" spans="2:18" ht="22.5" customHeight="1" thickBot="1" x14ac:dyDescent="0.25">
      <c r="B60" s="305">
        <f t="shared" si="1"/>
        <v>10</v>
      </c>
      <c r="C60" s="305">
        <f t="shared" si="22"/>
        <v>0</v>
      </c>
      <c r="D60" s="305">
        <f t="shared" si="22"/>
        <v>10</v>
      </c>
      <c r="E60" s="305">
        <v>0</v>
      </c>
      <c r="F60" s="305">
        <v>0</v>
      </c>
      <c r="G60" s="305">
        <v>0</v>
      </c>
      <c r="H60" s="305">
        <v>0</v>
      </c>
      <c r="I60" s="305">
        <v>0</v>
      </c>
      <c r="J60" s="305">
        <v>3</v>
      </c>
      <c r="K60" s="305">
        <v>0</v>
      </c>
      <c r="L60" s="305">
        <v>4</v>
      </c>
      <c r="M60" s="305">
        <v>0</v>
      </c>
      <c r="N60" s="305">
        <v>2</v>
      </c>
      <c r="O60" s="305">
        <v>0</v>
      </c>
      <c r="P60" s="305">
        <v>1</v>
      </c>
      <c r="Q60" s="203" t="s">
        <v>145</v>
      </c>
      <c r="R60" s="306" t="s">
        <v>349</v>
      </c>
    </row>
    <row r="61" spans="2:18" ht="22.5" customHeight="1" thickBot="1" x14ac:dyDescent="0.25">
      <c r="B61" s="305">
        <f t="shared" ref="B61" si="38">SUM(B59:B60)</f>
        <v>39</v>
      </c>
      <c r="C61" s="305">
        <f t="shared" si="22"/>
        <v>8</v>
      </c>
      <c r="D61" s="305">
        <f t="shared" si="22"/>
        <v>31</v>
      </c>
      <c r="E61" s="305">
        <f t="shared" ref="E61:P61" si="39">SUM(E59:E60)</f>
        <v>0</v>
      </c>
      <c r="F61" s="305">
        <f t="shared" si="39"/>
        <v>0</v>
      </c>
      <c r="G61" s="305">
        <f t="shared" si="39"/>
        <v>6</v>
      </c>
      <c r="H61" s="305">
        <f t="shared" si="39"/>
        <v>8</v>
      </c>
      <c r="I61" s="305">
        <f t="shared" si="39"/>
        <v>1</v>
      </c>
      <c r="J61" s="305">
        <f t="shared" si="39"/>
        <v>6</v>
      </c>
      <c r="K61" s="305">
        <f t="shared" si="39"/>
        <v>1</v>
      </c>
      <c r="L61" s="305">
        <f t="shared" si="39"/>
        <v>11</v>
      </c>
      <c r="M61" s="305">
        <f t="shared" si="39"/>
        <v>0</v>
      </c>
      <c r="N61" s="305">
        <f t="shared" si="39"/>
        <v>4</v>
      </c>
      <c r="O61" s="305">
        <f t="shared" si="39"/>
        <v>0</v>
      </c>
      <c r="P61" s="305">
        <f t="shared" si="39"/>
        <v>2</v>
      </c>
      <c r="Q61" s="203" t="s">
        <v>12</v>
      </c>
      <c r="R61" s="307"/>
    </row>
    <row r="62" spans="2:18" ht="22.5" customHeight="1" thickBot="1" x14ac:dyDescent="0.25">
      <c r="B62" s="305">
        <f t="shared" si="1"/>
        <v>33</v>
      </c>
      <c r="C62" s="305">
        <f t="shared" si="22"/>
        <v>33</v>
      </c>
      <c r="D62" s="305">
        <f t="shared" si="22"/>
        <v>0</v>
      </c>
      <c r="E62" s="305">
        <v>0</v>
      </c>
      <c r="F62" s="305">
        <v>0</v>
      </c>
      <c r="G62" s="305">
        <v>17</v>
      </c>
      <c r="H62" s="305">
        <v>0</v>
      </c>
      <c r="I62" s="305">
        <v>5</v>
      </c>
      <c r="J62" s="305">
        <v>0</v>
      </c>
      <c r="K62" s="305">
        <v>10</v>
      </c>
      <c r="L62" s="305">
        <v>0</v>
      </c>
      <c r="M62" s="305">
        <v>1</v>
      </c>
      <c r="N62" s="305">
        <v>0</v>
      </c>
      <c r="O62" s="305">
        <v>0</v>
      </c>
      <c r="P62" s="305">
        <v>0</v>
      </c>
      <c r="Q62" s="203" t="s">
        <v>146</v>
      </c>
      <c r="R62" s="306"/>
    </row>
    <row r="63" spans="2:18" ht="22.5" customHeight="1" thickBot="1" x14ac:dyDescent="0.25">
      <c r="B63" s="305">
        <f t="shared" si="1"/>
        <v>12</v>
      </c>
      <c r="C63" s="305">
        <f t="shared" si="22"/>
        <v>11</v>
      </c>
      <c r="D63" s="305">
        <f t="shared" si="22"/>
        <v>1</v>
      </c>
      <c r="E63" s="305">
        <v>0</v>
      </c>
      <c r="F63" s="305">
        <v>0</v>
      </c>
      <c r="G63" s="305">
        <v>0</v>
      </c>
      <c r="H63" s="305">
        <v>0</v>
      </c>
      <c r="I63" s="305">
        <v>0</v>
      </c>
      <c r="J63" s="305">
        <v>0</v>
      </c>
      <c r="K63" s="305">
        <v>5</v>
      </c>
      <c r="L63" s="305">
        <v>0</v>
      </c>
      <c r="M63" s="305">
        <v>3</v>
      </c>
      <c r="N63" s="305">
        <v>0</v>
      </c>
      <c r="O63" s="305">
        <v>3</v>
      </c>
      <c r="P63" s="305">
        <v>1</v>
      </c>
      <c r="Q63" s="203" t="s">
        <v>145</v>
      </c>
      <c r="R63" s="306" t="s">
        <v>350</v>
      </c>
    </row>
    <row r="64" spans="2:18" ht="22.5" customHeight="1" thickBot="1" x14ac:dyDescent="0.25">
      <c r="B64" s="305">
        <f t="shared" ref="B64" si="40">SUM(B62:B63)</f>
        <v>45</v>
      </c>
      <c r="C64" s="305">
        <f t="shared" si="22"/>
        <v>44</v>
      </c>
      <c r="D64" s="305">
        <f t="shared" si="22"/>
        <v>1</v>
      </c>
      <c r="E64" s="305">
        <f t="shared" ref="E64:P64" si="41">SUM(E62:E63)</f>
        <v>0</v>
      </c>
      <c r="F64" s="305">
        <f t="shared" si="41"/>
        <v>0</v>
      </c>
      <c r="G64" s="305">
        <f t="shared" si="41"/>
        <v>17</v>
      </c>
      <c r="H64" s="305">
        <f t="shared" si="41"/>
        <v>0</v>
      </c>
      <c r="I64" s="305">
        <f t="shared" si="41"/>
        <v>5</v>
      </c>
      <c r="J64" s="305">
        <f t="shared" si="41"/>
        <v>0</v>
      </c>
      <c r="K64" s="305">
        <f t="shared" si="41"/>
        <v>15</v>
      </c>
      <c r="L64" s="305">
        <f t="shared" si="41"/>
        <v>0</v>
      </c>
      <c r="M64" s="305">
        <f t="shared" si="41"/>
        <v>4</v>
      </c>
      <c r="N64" s="305">
        <f t="shared" si="41"/>
        <v>0</v>
      </c>
      <c r="O64" s="305">
        <f t="shared" si="41"/>
        <v>3</v>
      </c>
      <c r="P64" s="305">
        <f t="shared" si="41"/>
        <v>1</v>
      </c>
      <c r="Q64" s="203" t="s">
        <v>12</v>
      </c>
      <c r="R64" s="307"/>
    </row>
    <row r="65" spans="2:18" ht="22.5" customHeight="1" thickBot="1" x14ac:dyDescent="0.25">
      <c r="B65" s="305">
        <f t="shared" si="1"/>
        <v>31</v>
      </c>
      <c r="C65" s="305">
        <f t="shared" si="22"/>
        <v>24</v>
      </c>
      <c r="D65" s="305">
        <f t="shared" si="22"/>
        <v>7</v>
      </c>
      <c r="E65" s="305">
        <v>0</v>
      </c>
      <c r="F65" s="305">
        <v>0</v>
      </c>
      <c r="G65" s="305">
        <v>8</v>
      </c>
      <c r="H65" s="305">
        <v>7</v>
      </c>
      <c r="I65" s="305">
        <v>9</v>
      </c>
      <c r="J65" s="305">
        <v>0</v>
      </c>
      <c r="K65" s="305">
        <v>4</v>
      </c>
      <c r="L65" s="305">
        <v>0</v>
      </c>
      <c r="M65" s="305">
        <v>3</v>
      </c>
      <c r="N65" s="305">
        <v>0</v>
      </c>
      <c r="O65" s="305">
        <v>0</v>
      </c>
      <c r="P65" s="305">
        <v>0</v>
      </c>
      <c r="Q65" s="203" t="s">
        <v>146</v>
      </c>
      <c r="R65" s="306"/>
    </row>
    <row r="66" spans="2:18" ht="22.5" customHeight="1" thickBot="1" x14ac:dyDescent="0.25">
      <c r="B66" s="305">
        <f t="shared" si="1"/>
        <v>18</v>
      </c>
      <c r="C66" s="305">
        <f t="shared" si="22"/>
        <v>15</v>
      </c>
      <c r="D66" s="305">
        <f t="shared" si="22"/>
        <v>3</v>
      </c>
      <c r="E66" s="305">
        <v>0</v>
      </c>
      <c r="F66" s="305">
        <v>0</v>
      </c>
      <c r="G66" s="305">
        <v>0</v>
      </c>
      <c r="H66" s="305">
        <v>0</v>
      </c>
      <c r="I66" s="305">
        <v>0</v>
      </c>
      <c r="J66" s="305">
        <v>0</v>
      </c>
      <c r="K66" s="305">
        <v>4</v>
      </c>
      <c r="L66" s="305">
        <v>0</v>
      </c>
      <c r="M66" s="305">
        <v>10</v>
      </c>
      <c r="N66" s="305">
        <v>2</v>
      </c>
      <c r="O66" s="305">
        <v>1</v>
      </c>
      <c r="P66" s="305">
        <v>1</v>
      </c>
      <c r="Q66" s="203" t="s">
        <v>145</v>
      </c>
      <c r="R66" s="306" t="s">
        <v>351</v>
      </c>
    </row>
    <row r="67" spans="2:18" ht="22.5" customHeight="1" thickBot="1" x14ac:dyDescent="0.25">
      <c r="B67" s="305">
        <f t="shared" ref="B67" si="42">SUM(B65:B66)</f>
        <v>49</v>
      </c>
      <c r="C67" s="305">
        <f t="shared" si="22"/>
        <v>39</v>
      </c>
      <c r="D67" s="305">
        <f t="shared" si="22"/>
        <v>10</v>
      </c>
      <c r="E67" s="305">
        <f t="shared" ref="E67:P67" si="43">SUM(E65:E66)</f>
        <v>0</v>
      </c>
      <c r="F67" s="305">
        <f t="shared" si="43"/>
        <v>0</v>
      </c>
      <c r="G67" s="305">
        <f t="shared" si="43"/>
        <v>8</v>
      </c>
      <c r="H67" s="305">
        <f t="shared" si="43"/>
        <v>7</v>
      </c>
      <c r="I67" s="305">
        <f t="shared" si="43"/>
        <v>9</v>
      </c>
      <c r="J67" s="305">
        <f t="shared" si="43"/>
        <v>0</v>
      </c>
      <c r="K67" s="305">
        <f t="shared" si="43"/>
        <v>8</v>
      </c>
      <c r="L67" s="305">
        <f t="shared" si="43"/>
        <v>0</v>
      </c>
      <c r="M67" s="305">
        <f t="shared" si="43"/>
        <v>13</v>
      </c>
      <c r="N67" s="305">
        <f t="shared" si="43"/>
        <v>2</v>
      </c>
      <c r="O67" s="305">
        <f t="shared" si="43"/>
        <v>1</v>
      </c>
      <c r="P67" s="305">
        <f t="shared" si="43"/>
        <v>1</v>
      </c>
      <c r="Q67" s="203" t="s">
        <v>12</v>
      </c>
      <c r="R67" s="307"/>
    </row>
    <row r="68" spans="2:18" ht="22.5" customHeight="1" thickBot="1" x14ac:dyDescent="0.25">
      <c r="B68" s="305">
        <f t="shared" si="1"/>
        <v>30</v>
      </c>
      <c r="C68" s="305">
        <f t="shared" si="22"/>
        <v>30</v>
      </c>
      <c r="D68" s="305">
        <f t="shared" si="22"/>
        <v>0</v>
      </c>
      <c r="E68" s="305">
        <v>0</v>
      </c>
      <c r="F68" s="305">
        <v>0</v>
      </c>
      <c r="G68" s="305">
        <v>30</v>
      </c>
      <c r="H68" s="305">
        <v>0</v>
      </c>
      <c r="I68" s="305">
        <v>0</v>
      </c>
      <c r="J68" s="305">
        <v>0</v>
      </c>
      <c r="K68" s="305">
        <v>0</v>
      </c>
      <c r="L68" s="305">
        <v>0</v>
      </c>
      <c r="M68" s="305">
        <v>0</v>
      </c>
      <c r="N68" s="305">
        <v>0</v>
      </c>
      <c r="O68" s="305">
        <v>0</v>
      </c>
      <c r="P68" s="305">
        <v>0</v>
      </c>
      <c r="Q68" s="203" t="s">
        <v>146</v>
      </c>
      <c r="R68" s="306"/>
    </row>
    <row r="69" spans="2:18" ht="22.5" customHeight="1" thickBot="1" x14ac:dyDescent="0.25">
      <c r="B69" s="305">
        <f t="shared" si="1"/>
        <v>23</v>
      </c>
      <c r="C69" s="305">
        <f t="shared" ref="C69:D84" si="44">O69+M69+K69+I69+G69+E69</f>
        <v>14</v>
      </c>
      <c r="D69" s="305">
        <f t="shared" si="44"/>
        <v>9</v>
      </c>
      <c r="E69" s="305">
        <v>0</v>
      </c>
      <c r="F69" s="305">
        <v>0</v>
      </c>
      <c r="G69" s="305">
        <v>0</v>
      </c>
      <c r="H69" s="305">
        <v>0</v>
      </c>
      <c r="I69" s="305">
        <v>5</v>
      </c>
      <c r="J69" s="305">
        <v>1</v>
      </c>
      <c r="K69" s="305">
        <v>9</v>
      </c>
      <c r="L69" s="305">
        <v>8</v>
      </c>
      <c r="M69" s="305">
        <v>0</v>
      </c>
      <c r="N69" s="305">
        <v>0</v>
      </c>
      <c r="O69" s="305">
        <v>0</v>
      </c>
      <c r="P69" s="305">
        <v>0</v>
      </c>
      <c r="Q69" s="203" t="s">
        <v>145</v>
      </c>
      <c r="R69" s="306" t="s">
        <v>352</v>
      </c>
    </row>
    <row r="70" spans="2:18" ht="22.5" customHeight="1" thickBot="1" x14ac:dyDescent="0.25">
      <c r="B70" s="305">
        <f t="shared" ref="B70" si="45">SUM(B68:B69)</f>
        <v>53</v>
      </c>
      <c r="C70" s="305">
        <f t="shared" si="44"/>
        <v>44</v>
      </c>
      <c r="D70" s="305">
        <f t="shared" si="44"/>
        <v>9</v>
      </c>
      <c r="E70" s="305">
        <f t="shared" ref="E70:P70" si="46">SUM(E68:E69)</f>
        <v>0</v>
      </c>
      <c r="F70" s="305">
        <f t="shared" si="46"/>
        <v>0</v>
      </c>
      <c r="G70" s="305">
        <f t="shared" si="46"/>
        <v>30</v>
      </c>
      <c r="H70" s="305">
        <f t="shared" si="46"/>
        <v>0</v>
      </c>
      <c r="I70" s="305">
        <f t="shared" si="46"/>
        <v>5</v>
      </c>
      <c r="J70" s="305">
        <f t="shared" si="46"/>
        <v>1</v>
      </c>
      <c r="K70" s="305">
        <f t="shared" si="46"/>
        <v>9</v>
      </c>
      <c r="L70" s="305">
        <f t="shared" si="46"/>
        <v>8</v>
      </c>
      <c r="M70" s="305">
        <f t="shared" si="46"/>
        <v>0</v>
      </c>
      <c r="N70" s="305">
        <f t="shared" si="46"/>
        <v>0</v>
      </c>
      <c r="O70" s="305">
        <f t="shared" si="46"/>
        <v>0</v>
      </c>
      <c r="P70" s="305">
        <f t="shared" si="46"/>
        <v>0</v>
      </c>
      <c r="Q70" s="203" t="s">
        <v>12</v>
      </c>
      <c r="R70" s="307"/>
    </row>
    <row r="71" spans="2:18" ht="22.5" customHeight="1" thickBot="1" x14ac:dyDescent="0.25">
      <c r="B71" s="305">
        <f t="shared" ref="B71:B84" si="47">SUM(C71:D71)</f>
        <v>55</v>
      </c>
      <c r="C71" s="305">
        <f t="shared" si="44"/>
        <v>0</v>
      </c>
      <c r="D71" s="305">
        <f t="shared" si="44"/>
        <v>55</v>
      </c>
      <c r="E71" s="305">
        <v>0</v>
      </c>
      <c r="F71" s="305">
        <v>0</v>
      </c>
      <c r="G71" s="305">
        <v>0</v>
      </c>
      <c r="H71" s="305">
        <v>19</v>
      </c>
      <c r="I71" s="305">
        <v>0</v>
      </c>
      <c r="J71" s="305">
        <v>13</v>
      </c>
      <c r="K71" s="305">
        <v>0</v>
      </c>
      <c r="L71" s="305">
        <v>19</v>
      </c>
      <c r="M71" s="305">
        <v>0</v>
      </c>
      <c r="N71" s="305">
        <v>4</v>
      </c>
      <c r="O71" s="305">
        <v>0</v>
      </c>
      <c r="P71" s="305">
        <v>0</v>
      </c>
      <c r="Q71" s="203" t="s">
        <v>146</v>
      </c>
      <c r="R71" s="306"/>
    </row>
    <row r="72" spans="2:18" ht="22.5" customHeight="1" thickBot="1" x14ac:dyDescent="0.25">
      <c r="B72" s="305">
        <f t="shared" si="47"/>
        <v>66</v>
      </c>
      <c r="C72" s="305">
        <f t="shared" si="44"/>
        <v>0</v>
      </c>
      <c r="D72" s="305">
        <f t="shared" si="44"/>
        <v>66</v>
      </c>
      <c r="E72" s="305">
        <v>0</v>
      </c>
      <c r="F72" s="305">
        <v>10</v>
      </c>
      <c r="G72" s="305">
        <v>0</v>
      </c>
      <c r="H72" s="305">
        <v>0</v>
      </c>
      <c r="I72" s="305">
        <v>0</v>
      </c>
      <c r="J72" s="305">
        <v>10</v>
      </c>
      <c r="K72" s="305">
        <v>0</v>
      </c>
      <c r="L72" s="305">
        <v>46</v>
      </c>
      <c r="M72" s="305">
        <v>0</v>
      </c>
      <c r="N72" s="305">
        <v>0</v>
      </c>
      <c r="O72" s="305">
        <v>0</v>
      </c>
      <c r="P72" s="305">
        <v>0</v>
      </c>
      <c r="Q72" s="203" t="s">
        <v>145</v>
      </c>
      <c r="R72" s="306" t="s">
        <v>250</v>
      </c>
    </row>
    <row r="73" spans="2:18" ht="22.5" customHeight="1" thickBot="1" x14ac:dyDescent="0.25">
      <c r="B73" s="305">
        <f t="shared" ref="B73" si="48">SUM(B71:B72)</f>
        <v>121</v>
      </c>
      <c r="C73" s="305">
        <f t="shared" si="44"/>
        <v>0</v>
      </c>
      <c r="D73" s="305">
        <f t="shared" si="44"/>
        <v>121</v>
      </c>
      <c r="E73" s="305">
        <f t="shared" ref="E73:P73" si="49">SUM(E71:E72)</f>
        <v>0</v>
      </c>
      <c r="F73" s="305">
        <f t="shared" si="49"/>
        <v>10</v>
      </c>
      <c r="G73" s="305">
        <f t="shared" si="49"/>
        <v>0</v>
      </c>
      <c r="H73" s="305">
        <f t="shared" si="49"/>
        <v>19</v>
      </c>
      <c r="I73" s="305">
        <f t="shared" si="49"/>
        <v>0</v>
      </c>
      <c r="J73" s="305">
        <f t="shared" si="49"/>
        <v>23</v>
      </c>
      <c r="K73" s="305">
        <f t="shared" si="49"/>
        <v>0</v>
      </c>
      <c r="L73" s="305">
        <f t="shared" si="49"/>
        <v>65</v>
      </c>
      <c r="M73" s="305">
        <f t="shared" si="49"/>
        <v>0</v>
      </c>
      <c r="N73" s="305">
        <f t="shared" si="49"/>
        <v>4</v>
      </c>
      <c r="O73" s="305">
        <f t="shared" si="49"/>
        <v>0</v>
      </c>
      <c r="P73" s="305">
        <f t="shared" si="49"/>
        <v>0</v>
      </c>
      <c r="Q73" s="203" t="s">
        <v>12</v>
      </c>
      <c r="R73" s="307"/>
    </row>
    <row r="74" spans="2:18" ht="22.5" customHeight="1" thickBot="1" x14ac:dyDescent="0.25">
      <c r="B74" s="305">
        <f t="shared" si="47"/>
        <v>10</v>
      </c>
      <c r="C74" s="305">
        <f t="shared" si="44"/>
        <v>10</v>
      </c>
      <c r="D74" s="305">
        <f t="shared" si="44"/>
        <v>0</v>
      </c>
      <c r="E74" s="305">
        <v>1</v>
      </c>
      <c r="F74" s="305">
        <v>0</v>
      </c>
      <c r="G74" s="305">
        <v>8</v>
      </c>
      <c r="H74" s="305">
        <v>0</v>
      </c>
      <c r="I74" s="305">
        <v>1</v>
      </c>
      <c r="J74" s="305">
        <v>0</v>
      </c>
      <c r="K74" s="305">
        <v>0</v>
      </c>
      <c r="L74" s="305">
        <v>0</v>
      </c>
      <c r="M74" s="305">
        <v>0</v>
      </c>
      <c r="N74" s="305">
        <v>0</v>
      </c>
      <c r="O74" s="305">
        <v>0</v>
      </c>
      <c r="P74" s="305">
        <v>0</v>
      </c>
      <c r="Q74" s="203" t="s">
        <v>146</v>
      </c>
      <c r="R74" s="306"/>
    </row>
    <row r="75" spans="2:18" ht="22.5" customHeight="1" thickBot="1" x14ac:dyDescent="0.25">
      <c r="B75" s="305">
        <f t="shared" si="47"/>
        <v>21</v>
      </c>
      <c r="C75" s="305">
        <f t="shared" si="44"/>
        <v>16</v>
      </c>
      <c r="D75" s="305">
        <f t="shared" si="44"/>
        <v>5</v>
      </c>
      <c r="E75" s="305">
        <v>0</v>
      </c>
      <c r="F75" s="305">
        <v>0</v>
      </c>
      <c r="G75" s="305">
        <v>0</v>
      </c>
      <c r="H75" s="305">
        <v>0</v>
      </c>
      <c r="I75" s="305">
        <v>8</v>
      </c>
      <c r="J75" s="305">
        <v>1</v>
      </c>
      <c r="K75" s="305">
        <v>7</v>
      </c>
      <c r="L75" s="305">
        <v>4</v>
      </c>
      <c r="M75" s="305">
        <v>0</v>
      </c>
      <c r="N75" s="305">
        <v>0</v>
      </c>
      <c r="O75" s="305">
        <v>1</v>
      </c>
      <c r="P75" s="305">
        <v>0</v>
      </c>
      <c r="Q75" s="203" t="s">
        <v>145</v>
      </c>
      <c r="R75" s="306" t="s">
        <v>748</v>
      </c>
    </row>
    <row r="76" spans="2:18" ht="22.5" customHeight="1" thickBot="1" x14ac:dyDescent="0.25">
      <c r="B76" s="305">
        <f t="shared" ref="B76" si="50">SUM(B74:B75)</f>
        <v>31</v>
      </c>
      <c r="C76" s="305">
        <f t="shared" si="44"/>
        <v>26</v>
      </c>
      <c r="D76" s="305">
        <f t="shared" si="44"/>
        <v>5</v>
      </c>
      <c r="E76" s="305">
        <f t="shared" ref="E76:P76" si="51">SUM(E74:E75)</f>
        <v>1</v>
      </c>
      <c r="F76" s="305">
        <f t="shared" si="51"/>
        <v>0</v>
      </c>
      <c r="G76" s="305">
        <f t="shared" si="51"/>
        <v>8</v>
      </c>
      <c r="H76" s="305">
        <f t="shared" si="51"/>
        <v>0</v>
      </c>
      <c r="I76" s="305">
        <f t="shared" si="51"/>
        <v>9</v>
      </c>
      <c r="J76" s="305">
        <f t="shared" si="51"/>
        <v>1</v>
      </c>
      <c r="K76" s="305">
        <f t="shared" si="51"/>
        <v>7</v>
      </c>
      <c r="L76" s="305">
        <f t="shared" si="51"/>
        <v>4</v>
      </c>
      <c r="M76" s="305">
        <f t="shared" si="51"/>
        <v>0</v>
      </c>
      <c r="N76" s="305">
        <f t="shared" si="51"/>
        <v>0</v>
      </c>
      <c r="O76" s="305">
        <f t="shared" si="51"/>
        <v>1</v>
      </c>
      <c r="P76" s="305">
        <f t="shared" si="51"/>
        <v>0</v>
      </c>
      <c r="Q76" s="203" t="s">
        <v>12</v>
      </c>
      <c r="R76" s="307"/>
    </row>
    <row r="77" spans="2:18" ht="22.5" customHeight="1" thickBot="1" x14ac:dyDescent="0.25">
      <c r="B77" s="305">
        <f t="shared" si="47"/>
        <v>64</v>
      </c>
      <c r="C77" s="305">
        <f t="shared" si="44"/>
        <v>64</v>
      </c>
      <c r="D77" s="305">
        <f t="shared" si="44"/>
        <v>0</v>
      </c>
      <c r="E77" s="305">
        <v>0</v>
      </c>
      <c r="F77" s="305">
        <v>0</v>
      </c>
      <c r="G77" s="305">
        <v>45</v>
      </c>
      <c r="H77" s="305">
        <v>0</v>
      </c>
      <c r="I77" s="305">
        <v>12</v>
      </c>
      <c r="J77" s="305">
        <v>0</v>
      </c>
      <c r="K77" s="305">
        <v>7</v>
      </c>
      <c r="L77" s="305">
        <v>0</v>
      </c>
      <c r="M77" s="305">
        <v>0</v>
      </c>
      <c r="N77" s="305">
        <v>0</v>
      </c>
      <c r="O77" s="305">
        <v>0</v>
      </c>
      <c r="P77" s="305">
        <v>0</v>
      </c>
      <c r="Q77" s="203" t="s">
        <v>146</v>
      </c>
      <c r="R77" s="306"/>
    </row>
    <row r="78" spans="2:18" ht="22.5" customHeight="1" thickBot="1" x14ac:dyDescent="0.25">
      <c r="B78" s="305">
        <f t="shared" si="47"/>
        <v>12</v>
      </c>
      <c r="C78" s="305">
        <f t="shared" si="44"/>
        <v>9</v>
      </c>
      <c r="D78" s="305">
        <f t="shared" si="44"/>
        <v>3</v>
      </c>
      <c r="E78" s="305">
        <v>0</v>
      </c>
      <c r="F78" s="305">
        <v>0</v>
      </c>
      <c r="G78" s="305">
        <v>0</v>
      </c>
      <c r="H78" s="305">
        <v>0</v>
      </c>
      <c r="I78" s="305">
        <v>0</v>
      </c>
      <c r="J78" s="305">
        <v>0</v>
      </c>
      <c r="K78" s="305">
        <v>9</v>
      </c>
      <c r="L78" s="305">
        <v>0</v>
      </c>
      <c r="M78" s="305">
        <v>0</v>
      </c>
      <c r="N78" s="305">
        <v>1</v>
      </c>
      <c r="O78" s="305">
        <v>0</v>
      </c>
      <c r="P78" s="305">
        <v>2</v>
      </c>
      <c r="Q78" s="203" t="s">
        <v>145</v>
      </c>
      <c r="R78" s="306" t="s">
        <v>749</v>
      </c>
    </row>
    <row r="79" spans="2:18" ht="22.5" customHeight="1" thickBot="1" x14ac:dyDescent="0.25">
      <c r="B79" s="305">
        <f t="shared" ref="B79" si="52">SUM(B77:B78)</f>
        <v>76</v>
      </c>
      <c r="C79" s="305">
        <f t="shared" si="44"/>
        <v>73</v>
      </c>
      <c r="D79" s="305">
        <f t="shared" si="44"/>
        <v>3</v>
      </c>
      <c r="E79" s="305">
        <f t="shared" ref="E79:P79" si="53">SUM(E77:E78)</f>
        <v>0</v>
      </c>
      <c r="F79" s="305">
        <f t="shared" si="53"/>
        <v>0</v>
      </c>
      <c r="G79" s="305">
        <f t="shared" si="53"/>
        <v>45</v>
      </c>
      <c r="H79" s="305">
        <f t="shared" si="53"/>
        <v>0</v>
      </c>
      <c r="I79" s="305">
        <f t="shared" si="53"/>
        <v>12</v>
      </c>
      <c r="J79" s="305">
        <f t="shared" si="53"/>
        <v>0</v>
      </c>
      <c r="K79" s="305">
        <f t="shared" si="53"/>
        <v>16</v>
      </c>
      <c r="L79" s="305">
        <f t="shared" si="53"/>
        <v>0</v>
      </c>
      <c r="M79" s="305">
        <f t="shared" si="53"/>
        <v>0</v>
      </c>
      <c r="N79" s="305">
        <f t="shared" si="53"/>
        <v>1</v>
      </c>
      <c r="O79" s="305">
        <f t="shared" si="53"/>
        <v>0</v>
      </c>
      <c r="P79" s="305">
        <f t="shared" si="53"/>
        <v>2</v>
      </c>
      <c r="Q79" s="203" t="s">
        <v>12</v>
      </c>
      <c r="R79" s="307"/>
    </row>
    <row r="80" spans="2:18" ht="22.5" customHeight="1" thickBot="1" x14ac:dyDescent="0.25">
      <c r="B80" s="305">
        <f t="shared" si="47"/>
        <v>125</v>
      </c>
      <c r="C80" s="305">
        <f t="shared" si="44"/>
        <v>123</v>
      </c>
      <c r="D80" s="305">
        <f t="shared" si="44"/>
        <v>2</v>
      </c>
      <c r="E80" s="305">
        <v>3</v>
      </c>
      <c r="F80" s="305">
        <v>2</v>
      </c>
      <c r="G80" s="305">
        <v>34</v>
      </c>
      <c r="H80" s="305">
        <v>0</v>
      </c>
      <c r="I80" s="305">
        <v>36</v>
      </c>
      <c r="J80" s="305">
        <v>0</v>
      </c>
      <c r="K80" s="305">
        <v>44</v>
      </c>
      <c r="L80" s="305">
        <v>0</v>
      </c>
      <c r="M80" s="305">
        <v>6</v>
      </c>
      <c r="N80" s="305">
        <v>0</v>
      </c>
      <c r="O80" s="305">
        <v>0</v>
      </c>
      <c r="P80" s="305">
        <v>0</v>
      </c>
      <c r="Q80" s="203" t="s">
        <v>146</v>
      </c>
      <c r="R80" s="306"/>
    </row>
    <row r="81" spans="2:19" ht="22.5" customHeight="1" thickBot="1" x14ac:dyDescent="0.25">
      <c r="B81" s="305">
        <f t="shared" si="47"/>
        <v>9</v>
      </c>
      <c r="C81" s="305">
        <f t="shared" si="44"/>
        <v>2</v>
      </c>
      <c r="D81" s="305">
        <f t="shared" si="44"/>
        <v>7</v>
      </c>
      <c r="E81" s="305">
        <v>0</v>
      </c>
      <c r="F81" s="305">
        <v>0</v>
      </c>
      <c r="G81" s="305">
        <v>0</v>
      </c>
      <c r="H81" s="305">
        <v>0</v>
      </c>
      <c r="I81" s="305">
        <v>0</v>
      </c>
      <c r="J81" s="305">
        <v>0</v>
      </c>
      <c r="K81" s="305">
        <v>1</v>
      </c>
      <c r="L81" s="305">
        <v>1</v>
      </c>
      <c r="M81" s="305">
        <v>1</v>
      </c>
      <c r="N81" s="305">
        <v>2</v>
      </c>
      <c r="O81" s="305">
        <v>0</v>
      </c>
      <c r="P81" s="305">
        <v>4</v>
      </c>
      <c r="Q81" s="203" t="s">
        <v>145</v>
      </c>
      <c r="R81" s="306" t="s">
        <v>355</v>
      </c>
    </row>
    <row r="82" spans="2:19" ht="22.5" customHeight="1" thickBot="1" x14ac:dyDescent="0.25">
      <c r="B82" s="305">
        <f t="shared" ref="B82" si="54">SUM(B80:B81)</f>
        <v>134</v>
      </c>
      <c r="C82" s="305">
        <f t="shared" si="44"/>
        <v>125</v>
      </c>
      <c r="D82" s="305">
        <f t="shared" si="44"/>
        <v>9</v>
      </c>
      <c r="E82" s="305">
        <f t="shared" ref="E82:P82" si="55">SUM(E80:E81)</f>
        <v>3</v>
      </c>
      <c r="F82" s="305">
        <f t="shared" si="55"/>
        <v>2</v>
      </c>
      <c r="G82" s="305">
        <f t="shared" si="55"/>
        <v>34</v>
      </c>
      <c r="H82" s="305">
        <f t="shared" si="55"/>
        <v>0</v>
      </c>
      <c r="I82" s="305">
        <f t="shared" si="55"/>
        <v>36</v>
      </c>
      <c r="J82" s="305">
        <f t="shared" si="55"/>
        <v>0</v>
      </c>
      <c r="K82" s="305">
        <f t="shared" si="55"/>
        <v>45</v>
      </c>
      <c r="L82" s="305">
        <f t="shared" si="55"/>
        <v>1</v>
      </c>
      <c r="M82" s="305">
        <f t="shared" si="55"/>
        <v>7</v>
      </c>
      <c r="N82" s="305">
        <f t="shared" si="55"/>
        <v>2</v>
      </c>
      <c r="O82" s="305">
        <f t="shared" si="55"/>
        <v>0</v>
      </c>
      <c r="P82" s="305">
        <f t="shared" si="55"/>
        <v>4</v>
      </c>
      <c r="Q82" s="203" t="s">
        <v>12</v>
      </c>
      <c r="R82" s="307"/>
    </row>
    <row r="83" spans="2:19" ht="22.5" customHeight="1" thickBot="1" x14ac:dyDescent="0.25">
      <c r="B83" s="305">
        <f t="shared" si="47"/>
        <v>125</v>
      </c>
      <c r="C83" s="305">
        <f t="shared" si="44"/>
        <v>123</v>
      </c>
      <c r="D83" s="305">
        <f t="shared" si="44"/>
        <v>2</v>
      </c>
      <c r="E83" s="305">
        <v>3</v>
      </c>
      <c r="F83" s="305">
        <v>2</v>
      </c>
      <c r="G83" s="305">
        <v>34</v>
      </c>
      <c r="H83" s="305">
        <v>0</v>
      </c>
      <c r="I83" s="305">
        <v>36</v>
      </c>
      <c r="J83" s="305">
        <v>0</v>
      </c>
      <c r="K83" s="305">
        <v>44</v>
      </c>
      <c r="L83" s="305">
        <v>0</v>
      </c>
      <c r="M83" s="305">
        <v>6</v>
      </c>
      <c r="N83" s="305">
        <v>0</v>
      </c>
      <c r="O83" s="305">
        <v>0</v>
      </c>
      <c r="P83" s="305">
        <v>0</v>
      </c>
      <c r="Q83" s="203" t="s">
        <v>146</v>
      </c>
      <c r="R83" s="306"/>
    </row>
    <row r="84" spans="2:19" ht="22.5" customHeight="1" thickBot="1" x14ac:dyDescent="0.25">
      <c r="B84" s="305">
        <f t="shared" si="47"/>
        <v>11</v>
      </c>
      <c r="C84" s="305">
        <f t="shared" si="44"/>
        <v>2</v>
      </c>
      <c r="D84" s="305">
        <f t="shared" si="44"/>
        <v>9</v>
      </c>
      <c r="E84" s="305">
        <v>0</v>
      </c>
      <c r="F84" s="305">
        <v>0</v>
      </c>
      <c r="G84" s="305">
        <v>0</v>
      </c>
      <c r="H84" s="305">
        <v>0</v>
      </c>
      <c r="I84" s="305">
        <v>0</v>
      </c>
      <c r="J84" s="305">
        <v>0</v>
      </c>
      <c r="K84" s="305">
        <v>1</v>
      </c>
      <c r="L84" s="305">
        <v>1</v>
      </c>
      <c r="M84" s="305">
        <v>1</v>
      </c>
      <c r="N84" s="305">
        <v>2</v>
      </c>
      <c r="O84" s="305">
        <v>0</v>
      </c>
      <c r="P84" s="305">
        <v>6</v>
      </c>
      <c r="Q84" s="203" t="s">
        <v>145</v>
      </c>
      <c r="R84" s="306" t="s">
        <v>750</v>
      </c>
    </row>
    <row r="85" spans="2:19" ht="22.5" customHeight="1" thickBot="1" x14ac:dyDescent="0.25">
      <c r="B85" s="305">
        <f t="shared" ref="B85:P85" si="56">SUM(B83:B84)</f>
        <v>136</v>
      </c>
      <c r="C85" s="305">
        <f t="shared" si="56"/>
        <v>125</v>
      </c>
      <c r="D85" s="305">
        <f t="shared" si="56"/>
        <v>11</v>
      </c>
      <c r="E85" s="305">
        <f t="shared" si="56"/>
        <v>3</v>
      </c>
      <c r="F85" s="305">
        <f t="shared" si="56"/>
        <v>2</v>
      </c>
      <c r="G85" s="305">
        <f t="shared" si="56"/>
        <v>34</v>
      </c>
      <c r="H85" s="305">
        <f t="shared" si="56"/>
        <v>0</v>
      </c>
      <c r="I85" s="305">
        <f t="shared" si="56"/>
        <v>36</v>
      </c>
      <c r="J85" s="305">
        <f t="shared" si="56"/>
        <v>0</v>
      </c>
      <c r="K85" s="305">
        <f t="shared" si="56"/>
        <v>45</v>
      </c>
      <c r="L85" s="305">
        <f t="shared" si="56"/>
        <v>1</v>
      </c>
      <c r="M85" s="305">
        <f t="shared" si="56"/>
        <v>7</v>
      </c>
      <c r="N85" s="305">
        <f t="shared" si="56"/>
        <v>2</v>
      </c>
      <c r="O85" s="305">
        <f t="shared" si="56"/>
        <v>0</v>
      </c>
      <c r="P85" s="305">
        <f t="shared" si="56"/>
        <v>6</v>
      </c>
      <c r="Q85" s="308" t="s">
        <v>12</v>
      </c>
      <c r="R85" s="309"/>
    </row>
    <row r="86" spans="2:19" ht="22.5" customHeight="1" thickBot="1" x14ac:dyDescent="0.25">
      <c r="B86" s="310">
        <f t="shared" ref="B86:P88" si="57">B5+B8+B11+B14+B17+B20+B23+B26+B29+B32+B35+B38+B41+B44+B47+B50+B53+B56+B59+B62+B65+B68+B71+B74+B77+B80+B83</f>
        <v>2132</v>
      </c>
      <c r="C86" s="310">
        <f t="shared" si="57"/>
        <v>966</v>
      </c>
      <c r="D86" s="310">
        <f t="shared" si="57"/>
        <v>1166</v>
      </c>
      <c r="E86" s="310">
        <f t="shared" si="57"/>
        <v>7</v>
      </c>
      <c r="F86" s="310">
        <f t="shared" si="57"/>
        <v>11</v>
      </c>
      <c r="G86" s="310">
        <f t="shared" si="57"/>
        <v>532</v>
      </c>
      <c r="H86" s="310">
        <f t="shared" si="57"/>
        <v>394</v>
      </c>
      <c r="I86" s="310">
        <f t="shared" si="57"/>
        <v>161</v>
      </c>
      <c r="J86" s="310">
        <f t="shared" si="57"/>
        <v>94</v>
      </c>
      <c r="K86" s="310">
        <f t="shared" si="57"/>
        <v>215</v>
      </c>
      <c r="L86" s="310">
        <f t="shared" si="57"/>
        <v>383</v>
      </c>
      <c r="M86" s="310">
        <f t="shared" si="57"/>
        <v>42</v>
      </c>
      <c r="N86" s="310">
        <f t="shared" si="57"/>
        <v>178</v>
      </c>
      <c r="O86" s="310">
        <f t="shared" si="57"/>
        <v>9</v>
      </c>
      <c r="P86" s="310">
        <f t="shared" si="57"/>
        <v>106</v>
      </c>
      <c r="Q86" s="311" t="s">
        <v>146</v>
      </c>
      <c r="R86" s="312"/>
    </row>
    <row r="87" spans="2:19" ht="22.5" customHeight="1" thickBot="1" x14ac:dyDescent="0.25">
      <c r="B87" s="310">
        <f t="shared" si="57"/>
        <v>579</v>
      </c>
      <c r="C87" s="310">
        <f t="shared" si="57"/>
        <v>120</v>
      </c>
      <c r="D87" s="310">
        <f t="shared" si="57"/>
        <v>459</v>
      </c>
      <c r="E87" s="310">
        <f t="shared" si="57"/>
        <v>10</v>
      </c>
      <c r="F87" s="310">
        <f t="shared" si="57"/>
        <v>39</v>
      </c>
      <c r="G87" s="310">
        <f t="shared" si="57"/>
        <v>0</v>
      </c>
      <c r="H87" s="310">
        <f t="shared" si="57"/>
        <v>0</v>
      </c>
      <c r="I87" s="310">
        <f t="shared" si="57"/>
        <v>17</v>
      </c>
      <c r="J87" s="310">
        <f t="shared" si="57"/>
        <v>73</v>
      </c>
      <c r="K87" s="310">
        <f t="shared" si="57"/>
        <v>56</v>
      </c>
      <c r="L87" s="310">
        <f t="shared" si="57"/>
        <v>197</v>
      </c>
      <c r="M87" s="310">
        <f t="shared" si="57"/>
        <v>28</v>
      </c>
      <c r="N87" s="310">
        <f t="shared" si="57"/>
        <v>93</v>
      </c>
      <c r="O87" s="310">
        <f t="shared" si="57"/>
        <v>9</v>
      </c>
      <c r="P87" s="310">
        <f t="shared" si="57"/>
        <v>57</v>
      </c>
      <c r="Q87" s="203" t="s">
        <v>145</v>
      </c>
      <c r="R87" s="313" t="s">
        <v>188</v>
      </c>
    </row>
    <row r="88" spans="2:19" ht="22.5" customHeight="1" thickBot="1" x14ac:dyDescent="0.25">
      <c r="B88" s="310">
        <f t="shared" si="57"/>
        <v>2711</v>
      </c>
      <c r="C88" s="310">
        <f t="shared" si="57"/>
        <v>1086</v>
      </c>
      <c r="D88" s="310">
        <f t="shared" si="57"/>
        <v>1625</v>
      </c>
      <c r="E88" s="310">
        <f t="shared" si="57"/>
        <v>17</v>
      </c>
      <c r="F88" s="310">
        <f t="shared" si="57"/>
        <v>50</v>
      </c>
      <c r="G88" s="310">
        <f t="shared" si="57"/>
        <v>532</v>
      </c>
      <c r="H88" s="310">
        <f t="shared" si="57"/>
        <v>394</v>
      </c>
      <c r="I88" s="310">
        <f t="shared" si="57"/>
        <v>178</v>
      </c>
      <c r="J88" s="310">
        <f t="shared" si="57"/>
        <v>167</v>
      </c>
      <c r="K88" s="310">
        <f t="shared" si="57"/>
        <v>271</v>
      </c>
      <c r="L88" s="310">
        <f t="shared" si="57"/>
        <v>580</v>
      </c>
      <c r="M88" s="310">
        <f t="shared" si="57"/>
        <v>70</v>
      </c>
      <c r="N88" s="310">
        <f t="shared" si="57"/>
        <v>271</v>
      </c>
      <c r="O88" s="310">
        <f t="shared" si="57"/>
        <v>18</v>
      </c>
      <c r="P88" s="310">
        <f t="shared" si="57"/>
        <v>163</v>
      </c>
      <c r="Q88" s="314" t="s">
        <v>12</v>
      </c>
      <c r="R88" s="315"/>
    </row>
    <row r="89" spans="2:19" s="96" customFormat="1" ht="22.5" customHeight="1" thickBot="1" x14ac:dyDescent="0.25">
      <c r="B89" s="316"/>
      <c r="C89" s="316"/>
      <c r="D89" s="316"/>
      <c r="E89" s="316"/>
      <c r="F89" s="316"/>
      <c r="G89" s="316"/>
      <c r="H89" s="316"/>
      <c r="I89" s="316"/>
      <c r="J89" s="316"/>
      <c r="K89" s="316"/>
      <c r="L89" s="316"/>
      <c r="M89" s="316"/>
      <c r="N89" s="316"/>
      <c r="O89" s="316"/>
      <c r="P89" s="316"/>
      <c r="Q89" s="317"/>
      <c r="R89" s="318"/>
      <c r="S89" s="138"/>
    </row>
    <row r="90" spans="2:19" ht="27.75" customHeight="1" thickBot="1" x14ac:dyDescent="0.25">
      <c r="B90" s="477" t="s">
        <v>4</v>
      </c>
      <c r="C90" s="477"/>
      <c r="D90" s="477"/>
      <c r="E90" s="477" t="s">
        <v>735</v>
      </c>
      <c r="F90" s="477"/>
      <c r="G90" s="477" t="s">
        <v>736</v>
      </c>
      <c r="H90" s="477"/>
      <c r="I90" s="477" t="s">
        <v>737</v>
      </c>
      <c r="J90" s="477"/>
      <c r="K90" s="477" t="s">
        <v>738</v>
      </c>
      <c r="L90" s="477"/>
      <c r="M90" s="477" t="s">
        <v>739</v>
      </c>
      <c r="N90" s="477"/>
      <c r="O90" s="477" t="s">
        <v>740</v>
      </c>
      <c r="P90" s="477"/>
      <c r="Q90" s="575" t="s">
        <v>741</v>
      </c>
      <c r="R90" s="304" t="s">
        <v>144</v>
      </c>
    </row>
    <row r="91" spans="2:19" ht="22.5" customHeight="1" thickBot="1" x14ac:dyDescent="0.25">
      <c r="B91" s="204" t="s">
        <v>227</v>
      </c>
      <c r="C91" s="204" t="s">
        <v>10</v>
      </c>
      <c r="D91" s="204" t="s">
        <v>9</v>
      </c>
      <c r="E91" s="204" t="s">
        <v>10</v>
      </c>
      <c r="F91" s="204" t="s">
        <v>9</v>
      </c>
      <c r="G91" s="204" t="s">
        <v>10</v>
      </c>
      <c r="H91" s="204" t="s">
        <v>9</v>
      </c>
      <c r="I91" s="204" t="s">
        <v>10</v>
      </c>
      <c r="J91" s="204" t="s">
        <v>9</v>
      </c>
      <c r="K91" s="204" t="s">
        <v>10</v>
      </c>
      <c r="L91" s="204" t="s">
        <v>9</v>
      </c>
      <c r="M91" s="204" t="s">
        <v>10</v>
      </c>
      <c r="N91" s="204" t="s">
        <v>9</v>
      </c>
      <c r="O91" s="204" t="s">
        <v>10</v>
      </c>
      <c r="P91" s="204" t="s">
        <v>9</v>
      </c>
      <c r="Q91" s="481"/>
      <c r="R91" s="282" t="s">
        <v>207</v>
      </c>
    </row>
    <row r="92" spans="2:19" ht="22.5" customHeight="1" thickBot="1" x14ac:dyDescent="0.25">
      <c r="B92" s="305">
        <f>SUM(C92:D92)</f>
        <v>115</v>
      </c>
      <c r="C92" s="305">
        <f>O92+M92+K92+I92+G92+E92</f>
        <v>0</v>
      </c>
      <c r="D92" s="305">
        <f>P92+N92+L92+J92+H92+F92</f>
        <v>115</v>
      </c>
      <c r="E92" s="305">
        <v>0</v>
      </c>
      <c r="F92" s="305">
        <v>50</v>
      </c>
      <c r="G92" s="305">
        <v>0</v>
      </c>
      <c r="H92" s="305">
        <v>16</v>
      </c>
      <c r="I92" s="305">
        <v>0</v>
      </c>
      <c r="J92" s="305">
        <v>9</v>
      </c>
      <c r="K92" s="305">
        <v>0</v>
      </c>
      <c r="L92" s="305">
        <v>30</v>
      </c>
      <c r="M92" s="305">
        <v>0</v>
      </c>
      <c r="N92" s="305">
        <v>5</v>
      </c>
      <c r="O92" s="305">
        <v>0</v>
      </c>
      <c r="P92" s="305">
        <v>5</v>
      </c>
      <c r="Q92" s="203" t="s">
        <v>146</v>
      </c>
      <c r="R92" s="306"/>
    </row>
    <row r="93" spans="2:19" ht="22.5" customHeight="1" thickBot="1" x14ac:dyDescent="0.25">
      <c r="B93" s="305">
        <f t="shared" ref="B93:B108" si="58">SUM(C93:D93)</f>
        <v>9</v>
      </c>
      <c r="C93" s="305">
        <f>O93+M93+K93+I93+G93+E93</f>
        <v>0</v>
      </c>
      <c r="D93" s="305">
        <f>P93+N93+L93+J93+H93+F93</f>
        <v>9</v>
      </c>
      <c r="E93" s="305">
        <v>0</v>
      </c>
      <c r="F93" s="305">
        <v>0</v>
      </c>
      <c r="G93" s="305">
        <v>0</v>
      </c>
      <c r="H93" s="305">
        <v>0</v>
      </c>
      <c r="I93" s="305">
        <v>0</v>
      </c>
      <c r="J93" s="305">
        <v>0</v>
      </c>
      <c r="K93" s="305">
        <v>0</v>
      </c>
      <c r="L93" s="305">
        <v>0</v>
      </c>
      <c r="M93" s="305">
        <v>0</v>
      </c>
      <c r="N93" s="305">
        <v>9</v>
      </c>
      <c r="O93" s="305">
        <v>0</v>
      </c>
      <c r="P93" s="305">
        <v>0</v>
      </c>
      <c r="Q93" s="203" t="s">
        <v>145</v>
      </c>
      <c r="R93" s="306" t="s">
        <v>751</v>
      </c>
    </row>
    <row r="94" spans="2:19" ht="22.5" customHeight="1" thickBot="1" x14ac:dyDescent="0.25">
      <c r="B94" s="305">
        <f t="shared" ref="B94:P94" si="59">SUM(B92:B93)</f>
        <v>124</v>
      </c>
      <c r="C94" s="305">
        <f t="shared" si="59"/>
        <v>0</v>
      </c>
      <c r="D94" s="305">
        <f t="shared" si="59"/>
        <v>124</v>
      </c>
      <c r="E94" s="305">
        <f t="shared" si="59"/>
        <v>0</v>
      </c>
      <c r="F94" s="305">
        <f t="shared" si="59"/>
        <v>50</v>
      </c>
      <c r="G94" s="305">
        <f t="shared" si="59"/>
        <v>0</v>
      </c>
      <c r="H94" s="305">
        <f t="shared" si="59"/>
        <v>16</v>
      </c>
      <c r="I94" s="305">
        <f t="shared" si="59"/>
        <v>0</v>
      </c>
      <c r="J94" s="305">
        <f t="shared" si="59"/>
        <v>9</v>
      </c>
      <c r="K94" s="305">
        <f t="shared" si="59"/>
        <v>0</v>
      </c>
      <c r="L94" s="305">
        <f t="shared" si="59"/>
        <v>30</v>
      </c>
      <c r="M94" s="305">
        <f t="shared" si="59"/>
        <v>0</v>
      </c>
      <c r="N94" s="305">
        <f t="shared" si="59"/>
        <v>14</v>
      </c>
      <c r="O94" s="305">
        <f t="shared" si="59"/>
        <v>0</v>
      </c>
      <c r="P94" s="305">
        <f t="shared" si="59"/>
        <v>5</v>
      </c>
      <c r="Q94" s="203" t="s">
        <v>12</v>
      </c>
      <c r="R94" s="307"/>
    </row>
    <row r="95" spans="2:19" ht="22.5" customHeight="1" thickBot="1" x14ac:dyDescent="0.25">
      <c r="B95" s="305">
        <f t="shared" si="58"/>
        <v>136</v>
      </c>
      <c r="C95" s="305">
        <f>O95+M95+K95+I95+G95+E95</f>
        <v>0</v>
      </c>
      <c r="D95" s="305">
        <f>P95+N95+L95+J95+H95+F95</f>
        <v>136</v>
      </c>
      <c r="E95" s="305">
        <v>0</v>
      </c>
      <c r="F95" s="305">
        <v>62</v>
      </c>
      <c r="G95" s="305">
        <v>0</v>
      </c>
      <c r="H95" s="305">
        <v>6</v>
      </c>
      <c r="I95" s="305">
        <v>0</v>
      </c>
      <c r="J95" s="305">
        <v>15</v>
      </c>
      <c r="K95" s="305">
        <v>0</v>
      </c>
      <c r="L95" s="305">
        <v>43</v>
      </c>
      <c r="M95" s="305">
        <v>0</v>
      </c>
      <c r="N95" s="305">
        <v>6</v>
      </c>
      <c r="O95" s="305">
        <v>0</v>
      </c>
      <c r="P95" s="305">
        <v>4</v>
      </c>
      <c r="Q95" s="203" t="s">
        <v>146</v>
      </c>
      <c r="R95" s="306"/>
    </row>
    <row r="96" spans="2:19" ht="22.5" customHeight="1" thickBot="1" x14ac:dyDescent="0.25">
      <c r="B96" s="305">
        <f t="shared" si="58"/>
        <v>2</v>
      </c>
      <c r="C96" s="305">
        <f>O96+M96+K96+I96+G96+E96</f>
        <v>0</v>
      </c>
      <c r="D96" s="305">
        <f>P96+N96+L96+J96+H96+F96</f>
        <v>2</v>
      </c>
      <c r="E96" s="305">
        <v>0</v>
      </c>
      <c r="F96" s="305">
        <v>0</v>
      </c>
      <c r="G96" s="305">
        <v>0</v>
      </c>
      <c r="H96" s="305">
        <v>0</v>
      </c>
      <c r="I96" s="305">
        <v>0</v>
      </c>
      <c r="J96" s="305">
        <v>0</v>
      </c>
      <c r="K96" s="305">
        <v>0</v>
      </c>
      <c r="L96" s="305">
        <v>0</v>
      </c>
      <c r="M96" s="305">
        <v>0</v>
      </c>
      <c r="N96" s="305">
        <v>1</v>
      </c>
      <c r="O96" s="305">
        <v>0</v>
      </c>
      <c r="P96" s="305">
        <v>1</v>
      </c>
      <c r="Q96" s="203" t="s">
        <v>145</v>
      </c>
      <c r="R96" s="306" t="s">
        <v>752</v>
      </c>
    </row>
    <row r="97" spans="2:18" ht="22.5" customHeight="1" thickBot="1" x14ac:dyDescent="0.25">
      <c r="B97" s="305">
        <f t="shared" ref="B97:P97" si="60">SUM(B95:B96)</f>
        <v>138</v>
      </c>
      <c r="C97" s="305">
        <f t="shared" si="60"/>
        <v>0</v>
      </c>
      <c r="D97" s="305">
        <f t="shared" si="60"/>
        <v>138</v>
      </c>
      <c r="E97" s="305">
        <f t="shared" si="60"/>
        <v>0</v>
      </c>
      <c r="F97" s="305">
        <f t="shared" si="60"/>
        <v>62</v>
      </c>
      <c r="G97" s="305">
        <f t="shared" si="60"/>
        <v>0</v>
      </c>
      <c r="H97" s="305">
        <f t="shared" si="60"/>
        <v>6</v>
      </c>
      <c r="I97" s="305">
        <f t="shared" si="60"/>
        <v>0</v>
      </c>
      <c r="J97" s="305">
        <f t="shared" si="60"/>
        <v>15</v>
      </c>
      <c r="K97" s="305">
        <f t="shared" si="60"/>
        <v>0</v>
      </c>
      <c r="L97" s="305">
        <f t="shared" si="60"/>
        <v>43</v>
      </c>
      <c r="M97" s="305">
        <f t="shared" si="60"/>
        <v>0</v>
      </c>
      <c r="N97" s="305">
        <f t="shared" si="60"/>
        <v>7</v>
      </c>
      <c r="O97" s="305">
        <f t="shared" si="60"/>
        <v>0</v>
      </c>
      <c r="P97" s="305">
        <f t="shared" si="60"/>
        <v>5</v>
      </c>
      <c r="Q97" s="203" t="s">
        <v>12</v>
      </c>
      <c r="R97" s="307"/>
    </row>
    <row r="98" spans="2:18" ht="22.5" customHeight="1" thickBot="1" x14ac:dyDescent="0.25">
      <c r="B98" s="305">
        <f t="shared" si="58"/>
        <v>170</v>
      </c>
      <c r="C98" s="305">
        <f>O98+M98+K98+I98+G98+E98</f>
        <v>0</v>
      </c>
      <c r="D98" s="305">
        <f>P98+N98+L98+J98+H98+F98</f>
        <v>170</v>
      </c>
      <c r="E98" s="305">
        <v>0</v>
      </c>
      <c r="F98" s="305">
        <v>44</v>
      </c>
      <c r="G98" s="305">
        <v>0</v>
      </c>
      <c r="H98" s="305">
        <v>25</v>
      </c>
      <c r="I98" s="305">
        <v>0</v>
      </c>
      <c r="J98" s="305">
        <v>29</v>
      </c>
      <c r="K98" s="305">
        <v>0</v>
      </c>
      <c r="L98" s="305">
        <v>38</v>
      </c>
      <c r="M98" s="305">
        <v>0</v>
      </c>
      <c r="N98" s="305">
        <v>15</v>
      </c>
      <c r="O98" s="305">
        <v>0</v>
      </c>
      <c r="P98" s="305">
        <v>19</v>
      </c>
      <c r="Q98" s="203" t="s">
        <v>146</v>
      </c>
      <c r="R98" s="306"/>
    </row>
    <row r="99" spans="2:18" ht="22.5" customHeight="1" thickBot="1" x14ac:dyDescent="0.25">
      <c r="B99" s="305">
        <f t="shared" si="58"/>
        <v>5</v>
      </c>
      <c r="C99" s="305">
        <f>O99+M99+K99+I99+G99+E99</f>
        <v>0</v>
      </c>
      <c r="D99" s="305">
        <f>P99+N99+L99+J99+H99+F99</f>
        <v>5</v>
      </c>
      <c r="E99" s="305">
        <v>0</v>
      </c>
      <c r="F99" s="305">
        <v>0</v>
      </c>
      <c r="G99" s="305">
        <v>0</v>
      </c>
      <c r="H99" s="305">
        <v>0</v>
      </c>
      <c r="I99" s="305">
        <v>0</v>
      </c>
      <c r="J99" s="305">
        <v>0</v>
      </c>
      <c r="K99" s="305">
        <v>0</v>
      </c>
      <c r="L99" s="305">
        <v>0</v>
      </c>
      <c r="M99" s="305">
        <v>0</v>
      </c>
      <c r="N99" s="305">
        <v>4</v>
      </c>
      <c r="O99" s="305">
        <v>0</v>
      </c>
      <c r="P99" s="305">
        <v>1</v>
      </c>
      <c r="Q99" s="203" t="s">
        <v>145</v>
      </c>
      <c r="R99" s="306" t="s">
        <v>358</v>
      </c>
    </row>
    <row r="100" spans="2:18" ht="22.5" customHeight="1" thickBot="1" x14ac:dyDescent="0.25">
      <c r="B100" s="305">
        <f t="shared" ref="B100:P100" si="61">SUM(B98:B99)</f>
        <v>175</v>
      </c>
      <c r="C100" s="305">
        <f t="shared" si="61"/>
        <v>0</v>
      </c>
      <c r="D100" s="305">
        <f t="shared" si="61"/>
        <v>175</v>
      </c>
      <c r="E100" s="305">
        <f t="shared" si="61"/>
        <v>0</v>
      </c>
      <c r="F100" s="305">
        <f t="shared" si="61"/>
        <v>44</v>
      </c>
      <c r="G100" s="305">
        <f t="shared" si="61"/>
        <v>0</v>
      </c>
      <c r="H100" s="305">
        <f t="shared" si="61"/>
        <v>25</v>
      </c>
      <c r="I100" s="305">
        <f t="shared" si="61"/>
        <v>0</v>
      </c>
      <c r="J100" s="305">
        <f t="shared" si="61"/>
        <v>29</v>
      </c>
      <c r="K100" s="305">
        <f t="shared" si="61"/>
        <v>0</v>
      </c>
      <c r="L100" s="305">
        <f t="shared" si="61"/>
        <v>38</v>
      </c>
      <c r="M100" s="305">
        <f t="shared" si="61"/>
        <v>0</v>
      </c>
      <c r="N100" s="305">
        <f t="shared" si="61"/>
        <v>19</v>
      </c>
      <c r="O100" s="305">
        <f t="shared" si="61"/>
        <v>0</v>
      </c>
      <c r="P100" s="305">
        <f t="shared" si="61"/>
        <v>20</v>
      </c>
      <c r="Q100" s="203" t="s">
        <v>12</v>
      </c>
      <c r="R100" s="307"/>
    </row>
    <row r="101" spans="2:18" ht="22.5" customHeight="1" thickBot="1" x14ac:dyDescent="0.25">
      <c r="B101" s="305">
        <f t="shared" si="58"/>
        <v>139</v>
      </c>
      <c r="C101" s="305">
        <f>O101+M101+K101+I101+G101+E101</f>
        <v>0</v>
      </c>
      <c r="D101" s="305">
        <f>P101+N101+L101+J101+H101+F101</f>
        <v>139</v>
      </c>
      <c r="E101" s="305">
        <v>0</v>
      </c>
      <c r="F101" s="305">
        <v>33</v>
      </c>
      <c r="G101" s="305">
        <v>0</v>
      </c>
      <c r="H101" s="305">
        <v>17</v>
      </c>
      <c r="I101" s="305">
        <v>0</v>
      </c>
      <c r="J101" s="305">
        <v>12</v>
      </c>
      <c r="K101" s="305">
        <v>0</v>
      </c>
      <c r="L101" s="305">
        <v>46</v>
      </c>
      <c r="M101" s="305">
        <v>0</v>
      </c>
      <c r="N101" s="305">
        <v>19</v>
      </c>
      <c r="O101" s="305">
        <v>0</v>
      </c>
      <c r="P101" s="305">
        <v>12</v>
      </c>
      <c r="Q101" s="203" t="s">
        <v>146</v>
      </c>
      <c r="R101" s="306"/>
    </row>
    <row r="102" spans="2:18" ht="22.5" customHeight="1" thickBot="1" x14ac:dyDescent="0.25">
      <c r="B102" s="305">
        <f t="shared" si="58"/>
        <v>6</v>
      </c>
      <c r="C102" s="305">
        <f>O102+M102+K102+I102+G102+E102</f>
        <v>0</v>
      </c>
      <c r="D102" s="305">
        <f>P102+N102+L102+J102+H102+F102</f>
        <v>6</v>
      </c>
      <c r="E102" s="305">
        <v>0</v>
      </c>
      <c r="F102" s="305">
        <v>0</v>
      </c>
      <c r="G102" s="305">
        <v>0</v>
      </c>
      <c r="H102" s="305">
        <v>0</v>
      </c>
      <c r="I102" s="305">
        <v>0</v>
      </c>
      <c r="J102" s="305">
        <v>0</v>
      </c>
      <c r="K102" s="305">
        <v>0</v>
      </c>
      <c r="L102" s="305">
        <v>3</v>
      </c>
      <c r="M102" s="305">
        <v>0</v>
      </c>
      <c r="N102" s="305">
        <v>3</v>
      </c>
      <c r="O102" s="305">
        <v>0</v>
      </c>
      <c r="P102" s="305">
        <v>0</v>
      </c>
      <c r="Q102" s="203" t="s">
        <v>145</v>
      </c>
      <c r="R102" s="306" t="s">
        <v>346</v>
      </c>
    </row>
    <row r="103" spans="2:18" ht="22.5" customHeight="1" thickBot="1" x14ac:dyDescent="0.25">
      <c r="B103" s="305">
        <f t="shared" ref="B103:P103" si="62">SUM(B101:B102)</f>
        <v>145</v>
      </c>
      <c r="C103" s="305">
        <f t="shared" si="62"/>
        <v>0</v>
      </c>
      <c r="D103" s="305">
        <f t="shared" si="62"/>
        <v>145</v>
      </c>
      <c r="E103" s="305">
        <f t="shared" si="62"/>
        <v>0</v>
      </c>
      <c r="F103" s="305">
        <f t="shared" si="62"/>
        <v>33</v>
      </c>
      <c r="G103" s="305">
        <f t="shared" si="62"/>
        <v>0</v>
      </c>
      <c r="H103" s="305">
        <f t="shared" si="62"/>
        <v>17</v>
      </c>
      <c r="I103" s="305">
        <f t="shared" si="62"/>
        <v>0</v>
      </c>
      <c r="J103" s="305">
        <f t="shared" si="62"/>
        <v>12</v>
      </c>
      <c r="K103" s="305">
        <f t="shared" si="62"/>
        <v>0</v>
      </c>
      <c r="L103" s="305">
        <f t="shared" si="62"/>
        <v>49</v>
      </c>
      <c r="M103" s="305">
        <f t="shared" si="62"/>
        <v>0</v>
      </c>
      <c r="N103" s="305">
        <f t="shared" si="62"/>
        <v>22</v>
      </c>
      <c r="O103" s="305">
        <f t="shared" si="62"/>
        <v>0</v>
      </c>
      <c r="P103" s="305">
        <f t="shared" si="62"/>
        <v>12</v>
      </c>
      <c r="Q103" s="203" t="s">
        <v>12</v>
      </c>
      <c r="R103" s="307"/>
    </row>
    <row r="104" spans="2:18" ht="22.5" customHeight="1" thickBot="1" x14ac:dyDescent="0.25">
      <c r="B104" s="305">
        <f t="shared" si="58"/>
        <v>101</v>
      </c>
      <c r="C104" s="305">
        <f>O104+M104+K104+I104+G104+E104</f>
        <v>0</v>
      </c>
      <c r="D104" s="305">
        <f>P104+N104+L104+J104+H104+F104</f>
        <v>101</v>
      </c>
      <c r="E104" s="305">
        <v>0</v>
      </c>
      <c r="F104" s="305">
        <v>29</v>
      </c>
      <c r="G104" s="305">
        <v>0</v>
      </c>
      <c r="H104" s="305">
        <v>18</v>
      </c>
      <c r="I104" s="305">
        <v>0</v>
      </c>
      <c r="J104" s="305">
        <v>15</v>
      </c>
      <c r="K104" s="305">
        <v>0</v>
      </c>
      <c r="L104" s="305">
        <v>28</v>
      </c>
      <c r="M104" s="305">
        <v>0</v>
      </c>
      <c r="N104" s="305">
        <v>9</v>
      </c>
      <c r="O104" s="305">
        <v>0</v>
      </c>
      <c r="P104" s="305">
        <v>2</v>
      </c>
      <c r="Q104" s="203" t="s">
        <v>146</v>
      </c>
      <c r="R104" s="306"/>
    </row>
    <row r="105" spans="2:18" ht="22.5" customHeight="1" thickBot="1" x14ac:dyDescent="0.25">
      <c r="B105" s="305">
        <f t="shared" si="58"/>
        <v>10</v>
      </c>
      <c r="C105" s="305">
        <f>O105+M105+K105+I105+G105+E105</f>
        <v>0</v>
      </c>
      <c r="D105" s="305">
        <f>P105+N105+L105+J105+H105+F105</f>
        <v>10</v>
      </c>
      <c r="E105" s="305">
        <v>0</v>
      </c>
      <c r="F105" s="305">
        <v>0</v>
      </c>
      <c r="G105" s="305">
        <v>0</v>
      </c>
      <c r="H105" s="305">
        <v>0</v>
      </c>
      <c r="I105" s="305">
        <v>0</v>
      </c>
      <c r="J105" s="305">
        <v>0</v>
      </c>
      <c r="K105" s="305">
        <v>0</v>
      </c>
      <c r="L105" s="305">
        <v>0</v>
      </c>
      <c r="M105" s="305">
        <v>0</v>
      </c>
      <c r="N105" s="305">
        <v>6</v>
      </c>
      <c r="O105" s="305">
        <v>0</v>
      </c>
      <c r="P105" s="305">
        <v>4</v>
      </c>
      <c r="Q105" s="203" t="s">
        <v>145</v>
      </c>
      <c r="R105" s="306" t="s">
        <v>360</v>
      </c>
    </row>
    <row r="106" spans="2:18" ht="22.5" customHeight="1" thickBot="1" x14ac:dyDescent="0.25">
      <c r="B106" s="305">
        <f t="shared" ref="B106:P106" si="63">SUM(B104:B105)</f>
        <v>111</v>
      </c>
      <c r="C106" s="305">
        <f t="shared" si="63"/>
        <v>0</v>
      </c>
      <c r="D106" s="305">
        <f t="shared" si="63"/>
        <v>111</v>
      </c>
      <c r="E106" s="305">
        <f t="shared" si="63"/>
        <v>0</v>
      </c>
      <c r="F106" s="305">
        <f t="shared" si="63"/>
        <v>29</v>
      </c>
      <c r="G106" s="305">
        <f t="shared" si="63"/>
        <v>0</v>
      </c>
      <c r="H106" s="305">
        <f t="shared" si="63"/>
        <v>18</v>
      </c>
      <c r="I106" s="305">
        <f t="shared" si="63"/>
        <v>0</v>
      </c>
      <c r="J106" s="305">
        <f t="shared" si="63"/>
        <v>15</v>
      </c>
      <c r="K106" s="305">
        <f t="shared" si="63"/>
        <v>0</v>
      </c>
      <c r="L106" s="305">
        <f t="shared" si="63"/>
        <v>28</v>
      </c>
      <c r="M106" s="305">
        <f t="shared" si="63"/>
        <v>0</v>
      </c>
      <c r="N106" s="305">
        <f t="shared" si="63"/>
        <v>15</v>
      </c>
      <c r="O106" s="305">
        <f t="shared" si="63"/>
        <v>0</v>
      </c>
      <c r="P106" s="305">
        <f t="shared" si="63"/>
        <v>6</v>
      </c>
      <c r="Q106" s="203" t="s">
        <v>12</v>
      </c>
      <c r="R106" s="307"/>
    </row>
    <row r="107" spans="2:18" ht="22.5" customHeight="1" thickBot="1" x14ac:dyDescent="0.25">
      <c r="B107" s="305">
        <f t="shared" si="58"/>
        <v>18</v>
      </c>
      <c r="C107" s="305">
        <f>O107+M107+K107+I107+G107+E107</f>
        <v>0</v>
      </c>
      <c r="D107" s="305">
        <f>P107+N107+L107+J107+H107+F107</f>
        <v>18</v>
      </c>
      <c r="E107" s="305">
        <v>0</v>
      </c>
      <c r="F107" s="305">
        <v>7</v>
      </c>
      <c r="G107" s="305">
        <v>0</v>
      </c>
      <c r="H107" s="305">
        <v>8</v>
      </c>
      <c r="I107" s="305">
        <v>0</v>
      </c>
      <c r="J107" s="305">
        <v>2</v>
      </c>
      <c r="K107" s="305">
        <v>0</v>
      </c>
      <c r="L107" s="305">
        <v>1</v>
      </c>
      <c r="M107" s="305">
        <v>0</v>
      </c>
      <c r="N107" s="305">
        <v>0</v>
      </c>
      <c r="O107" s="305">
        <v>0</v>
      </c>
      <c r="P107" s="305">
        <v>0</v>
      </c>
      <c r="Q107" s="203" t="s">
        <v>146</v>
      </c>
      <c r="R107" s="306"/>
    </row>
    <row r="108" spans="2:18" ht="22.5" customHeight="1" thickBot="1" x14ac:dyDescent="0.25">
      <c r="B108" s="305">
        <f t="shared" si="58"/>
        <v>6</v>
      </c>
      <c r="C108" s="305">
        <f>O108+M108+K108+I108+G108+E108</f>
        <v>0</v>
      </c>
      <c r="D108" s="305">
        <f>P108+N108+L108+J108+H108+F108</f>
        <v>6</v>
      </c>
      <c r="E108" s="305">
        <v>0</v>
      </c>
      <c r="F108" s="305">
        <v>0</v>
      </c>
      <c r="G108" s="305">
        <v>0</v>
      </c>
      <c r="H108" s="305">
        <v>0</v>
      </c>
      <c r="I108" s="305">
        <v>0</v>
      </c>
      <c r="J108" s="305">
        <v>0</v>
      </c>
      <c r="K108" s="305">
        <v>0</v>
      </c>
      <c r="L108" s="305">
        <v>5</v>
      </c>
      <c r="M108" s="305">
        <v>0</v>
      </c>
      <c r="N108" s="305">
        <v>0</v>
      </c>
      <c r="O108" s="305">
        <v>0</v>
      </c>
      <c r="P108" s="305">
        <v>1</v>
      </c>
      <c r="Q108" s="203" t="s">
        <v>145</v>
      </c>
      <c r="R108" s="306" t="s">
        <v>249</v>
      </c>
    </row>
    <row r="109" spans="2:18" ht="22.5" customHeight="1" thickBot="1" x14ac:dyDescent="0.25">
      <c r="B109" s="305">
        <f t="shared" ref="B109:P109" si="64">SUM(B107:B108)</f>
        <v>24</v>
      </c>
      <c r="C109" s="305">
        <f t="shared" si="64"/>
        <v>0</v>
      </c>
      <c r="D109" s="305">
        <f t="shared" si="64"/>
        <v>24</v>
      </c>
      <c r="E109" s="305">
        <f t="shared" si="64"/>
        <v>0</v>
      </c>
      <c r="F109" s="305">
        <f t="shared" si="64"/>
        <v>7</v>
      </c>
      <c r="G109" s="305">
        <f t="shared" si="64"/>
        <v>0</v>
      </c>
      <c r="H109" s="305">
        <f t="shared" si="64"/>
        <v>8</v>
      </c>
      <c r="I109" s="305">
        <f t="shared" si="64"/>
        <v>0</v>
      </c>
      <c r="J109" s="305">
        <f t="shared" si="64"/>
        <v>2</v>
      </c>
      <c r="K109" s="305">
        <f t="shared" si="64"/>
        <v>0</v>
      </c>
      <c r="L109" s="305">
        <f t="shared" si="64"/>
        <v>6</v>
      </c>
      <c r="M109" s="305">
        <f t="shared" si="64"/>
        <v>0</v>
      </c>
      <c r="N109" s="305">
        <f t="shared" si="64"/>
        <v>0</v>
      </c>
      <c r="O109" s="305">
        <f t="shared" si="64"/>
        <v>0</v>
      </c>
      <c r="P109" s="305">
        <f t="shared" si="64"/>
        <v>1</v>
      </c>
      <c r="Q109" s="203" t="s">
        <v>12</v>
      </c>
      <c r="R109" s="307"/>
    </row>
    <row r="110" spans="2:18" ht="22.5" customHeight="1" thickBot="1" x14ac:dyDescent="0.25">
      <c r="B110" s="305">
        <f t="shared" ref="B110:P112" si="65">B92+B95+B98+B101+B104+B107</f>
        <v>679</v>
      </c>
      <c r="C110" s="305">
        <f t="shared" si="65"/>
        <v>0</v>
      </c>
      <c r="D110" s="305">
        <f t="shared" si="65"/>
        <v>679</v>
      </c>
      <c r="E110" s="305">
        <f t="shared" si="65"/>
        <v>0</v>
      </c>
      <c r="F110" s="305">
        <f t="shared" si="65"/>
        <v>225</v>
      </c>
      <c r="G110" s="305">
        <f t="shared" si="65"/>
        <v>0</v>
      </c>
      <c r="H110" s="305">
        <f t="shared" si="65"/>
        <v>90</v>
      </c>
      <c r="I110" s="305">
        <f t="shared" si="65"/>
        <v>0</v>
      </c>
      <c r="J110" s="305">
        <f t="shared" si="65"/>
        <v>82</v>
      </c>
      <c r="K110" s="305">
        <f t="shared" si="65"/>
        <v>0</v>
      </c>
      <c r="L110" s="305">
        <f t="shared" si="65"/>
        <v>186</v>
      </c>
      <c r="M110" s="305">
        <f t="shared" si="65"/>
        <v>0</v>
      </c>
      <c r="N110" s="305">
        <f t="shared" si="65"/>
        <v>54</v>
      </c>
      <c r="O110" s="305">
        <f t="shared" si="65"/>
        <v>0</v>
      </c>
      <c r="P110" s="305">
        <f t="shared" si="65"/>
        <v>42</v>
      </c>
      <c r="Q110" s="203" t="s">
        <v>146</v>
      </c>
      <c r="R110" s="280"/>
    </row>
    <row r="111" spans="2:18" ht="22.5" customHeight="1" thickBot="1" x14ac:dyDescent="0.25">
      <c r="B111" s="305">
        <f t="shared" si="65"/>
        <v>38</v>
      </c>
      <c r="C111" s="305">
        <f t="shared" si="65"/>
        <v>0</v>
      </c>
      <c r="D111" s="305">
        <f t="shared" si="65"/>
        <v>38</v>
      </c>
      <c r="E111" s="305">
        <f t="shared" si="65"/>
        <v>0</v>
      </c>
      <c r="F111" s="305">
        <f t="shared" si="65"/>
        <v>0</v>
      </c>
      <c r="G111" s="305">
        <f t="shared" si="65"/>
        <v>0</v>
      </c>
      <c r="H111" s="305">
        <f t="shared" si="65"/>
        <v>0</v>
      </c>
      <c r="I111" s="305">
        <f t="shared" si="65"/>
        <v>0</v>
      </c>
      <c r="J111" s="305">
        <f t="shared" si="65"/>
        <v>0</v>
      </c>
      <c r="K111" s="305">
        <f t="shared" si="65"/>
        <v>0</v>
      </c>
      <c r="L111" s="305">
        <f t="shared" si="65"/>
        <v>8</v>
      </c>
      <c r="M111" s="305">
        <f t="shared" si="65"/>
        <v>0</v>
      </c>
      <c r="N111" s="305">
        <f t="shared" si="65"/>
        <v>23</v>
      </c>
      <c r="O111" s="305">
        <f t="shared" si="65"/>
        <v>0</v>
      </c>
      <c r="P111" s="305">
        <f t="shared" si="65"/>
        <v>7</v>
      </c>
      <c r="Q111" s="203" t="s">
        <v>145</v>
      </c>
      <c r="R111" s="281" t="s">
        <v>188</v>
      </c>
    </row>
    <row r="112" spans="2:18" ht="22.5" customHeight="1" thickBot="1" x14ac:dyDescent="0.25">
      <c r="B112" s="305">
        <f t="shared" si="65"/>
        <v>717</v>
      </c>
      <c r="C112" s="305">
        <f t="shared" si="65"/>
        <v>0</v>
      </c>
      <c r="D112" s="305">
        <f t="shared" si="65"/>
        <v>717</v>
      </c>
      <c r="E112" s="305">
        <f t="shared" si="65"/>
        <v>0</v>
      </c>
      <c r="F112" s="305">
        <f t="shared" si="65"/>
        <v>225</v>
      </c>
      <c r="G112" s="305">
        <f t="shared" si="65"/>
        <v>0</v>
      </c>
      <c r="H112" s="305">
        <f t="shared" si="65"/>
        <v>90</v>
      </c>
      <c r="I112" s="305">
        <f t="shared" si="65"/>
        <v>0</v>
      </c>
      <c r="J112" s="305">
        <f t="shared" si="65"/>
        <v>82</v>
      </c>
      <c r="K112" s="305">
        <f t="shared" si="65"/>
        <v>0</v>
      </c>
      <c r="L112" s="305">
        <f t="shared" si="65"/>
        <v>194</v>
      </c>
      <c r="M112" s="305">
        <f t="shared" si="65"/>
        <v>0</v>
      </c>
      <c r="N112" s="305">
        <f t="shared" si="65"/>
        <v>77</v>
      </c>
      <c r="O112" s="305">
        <f t="shared" si="65"/>
        <v>0</v>
      </c>
      <c r="P112" s="305">
        <f t="shared" si="65"/>
        <v>49</v>
      </c>
      <c r="Q112" s="203" t="s">
        <v>12</v>
      </c>
      <c r="R112" s="282"/>
    </row>
    <row r="113" spans="2:18" ht="22.5" customHeight="1" thickBot="1" x14ac:dyDescent="0.25">
      <c r="B113" s="319"/>
      <c r="C113" s="319"/>
      <c r="D113" s="319"/>
      <c r="E113" s="319"/>
      <c r="F113" s="319"/>
      <c r="G113" s="319"/>
      <c r="H113" s="319"/>
      <c r="I113" s="319"/>
      <c r="J113" s="319"/>
      <c r="K113" s="319"/>
      <c r="L113" s="319"/>
      <c r="M113" s="319"/>
      <c r="N113" s="319"/>
      <c r="O113" s="319"/>
      <c r="P113" s="319"/>
      <c r="Q113" s="320"/>
      <c r="R113" s="320"/>
    </row>
    <row r="114" spans="2:18" ht="22.5" customHeight="1" thickBot="1" x14ac:dyDescent="0.25">
      <c r="B114" s="477" t="s">
        <v>4</v>
      </c>
      <c r="C114" s="477"/>
      <c r="D114" s="477"/>
      <c r="E114" s="477" t="s">
        <v>735</v>
      </c>
      <c r="F114" s="477"/>
      <c r="G114" s="477" t="s">
        <v>736</v>
      </c>
      <c r="H114" s="477"/>
      <c r="I114" s="477" t="s">
        <v>737</v>
      </c>
      <c r="J114" s="477"/>
      <c r="K114" s="477" t="s">
        <v>738</v>
      </c>
      <c r="L114" s="477"/>
      <c r="M114" s="477" t="s">
        <v>739</v>
      </c>
      <c r="N114" s="477"/>
      <c r="O114" s="477" t="s">
        <v>740</v>
      </c>
      <c r="P114" s="477"/>
      <c r="Q114" s="575" t="s">
        <v>741</v>
      </c>
      <c r="R114" s="321" t="s">
        <v>144</v>
      </c>
    </row>
    <row r="115" spans="2:18" ht="22.5" customHeight="1" thickBot="1" x14ac:dyDescent="0.25">
      <c r="B115" s="204" t="s">
        <v>227</v>
      </c>
      <c r="C115" s="204" t="s">
        <v>10</v>
      </c>
      <c r="D115" s="204" t="s">
        <v>9</v>
      </c>
      <c r="E115" s="204" t="s">
        <v>10</v>
      </c>
      <c r="F115" s="204" t="s">
        <v>9</v>
      </c>
      <c r="G115" s="204" t="s">
        <v>10</v>
      </c>
      <c r="H115" s="204" t="s">
        <v>9</v>
      </c>
      <c r="I115" s="204" t="s">
        <v>10</v>
      </c>
      <c r="J115" s="204" t="s">
        <v>9</v>
      </c>
      <c r="K115" s="204" t="s">
        <v>10</v>
      </c>
      <c r="L115" s="204" t="s">
        <v>9</v>
      </c>
      <c r="M115" s="204" t="s">
        <v>10</v>
      </c>
      <c r="N115" s="204" t="s">
        <v>9</v>
      </c>
      <c r="O115" s="204" t="s">
        <v>10</v>
      </c>
      <c r="P115" s="204" t="s">
        <v>9</v>
      </c>
      <c r="Q115" s="481"/>
      <c r="R115" s="282" t="s">
        <v>206</v>
      </c>
    </row>
    <row r="116" spans="2:18" ht="22.5" customHeight="1" thickBot="1" x14ac:dyDescent="0.25">
      <c r="B116" s="305">
        <f>SUM(C116:D116)</f>
        <v>161</v>
      </c>
      <c r="C116" s="305">
        <f t="shared" ref="C116:D157" si="66">O116+M116+K116+I116+G116+E116</f>
        <v>1</v>
      </c>
      <c r="D116" s="305">
        <f t="shared" si="66"/>
        <v>160</v>
      </c>
      <c r="E116" s="305">
        <v>0</v>
      </c>
      <c r="F116" s="305">
        <v>0</v>
      </c>
      <c r="G116" s="305">
        <v>1</v>
      </c>
      <c r="H116" s="305">
        <v>77</v>
      </c>
      <c r="I116" s="305">
        <v>0</v>
      </c>
      <c r="J116" s="305">
        <v>36</v>
      </c>
      <c r="K116" s="305">
        <v>0</v>
      </c>
      <c r="L116" s="305">
        <v>40</v>
      </c>
      <c r="M116" s="305">
        <v>0</v>
      </c>
      <c r="N116" s="305">
        <v>2</v>
      </c>
      <c r="O116" s="305">
        <v>0</v>
      </c>
      <c r="P116" s="305">
        <v>5</v>
      </c>
      <c r="Q116" s="203" t="s">
        <v>146</v>
      </c>
      <c r="R116" s="306"/>
    </row>
    <row r="117" spans="2:18" ht="22.5" customHeight="1" thickBot="1" x14ac:dyDescent="0.25">
      <c r="B117" s="305">
        <f t="shared" ref="B117:B156" si="67">SUM(C117:D117)</f>
        <v>50</v>
      </c>
      <c r="C117" s="305">
        <f t="shared" si="66"/>
        <v>0</v>
      </c>
      <c r="D117" s="305">
        <f t="shared" si="66"/>
        <v>50</v>
      </c>
      <c r="E117" s="305">
        <v>0</v>
      </c>
      <c r="F117" s="305">
        <v>0</v>
      </c>
      <c r="G117" s="305">
        <v>0</v>
      </c>
      <c r="H117" s="305">
        <v>0</v>
      </c>
      <c r="I117" s="305">
        <v>0</v>
      </c>
      <c r="J117" s="305">
        <v>0</v>
      </c>
      <c r="K117" s="305">
        <v>0</v>
      </c>
      <c r="L117" s="305">
        <v>31</v>
      </c>
      <c r="M117" s="305">
        <v>0</v>
      </c>
      <c r="N117" s="305">
        <v>14</v>
      </c>
      <c r="O117" s="305">
        <v>0</v>
      </c>
      <c r="P117" s="305">
        <v>5</v>
      </c>
      <c r="Q117" s="203" t="s">
        <v>145</v>
      </c>
      <c r="R117" s="306" t="s">
        <v>366</v>
      </c>
    </row>
    <row r="118" spans="2:18" ht="22.5" customHeight="1" thickBot="1" x14ac:dyDescent="0.25">
      <c r="B118" s="305">
        <f>SUM(B116:B117)</f>
        <v>211</v>
      </c>
      <c r="C118" s="305">
        <f t="shared" si="66"/>
        <v>1</v>
      </c>
      <c r="D118" s="305">
        <f t="shared" si="66"/>
        <v>210</v>
      </c>
      <c r="E118" s="305">
        <f t="shared" ref="E118:P118" si="68">SUM(E116:E117)</f>
        <v>0</v>
      </c>
      <c r="F118" s="305">
        <f t="shared" si="68"/>
        <v>0</v>
      </c>
      <c r="G118" s="305">
        <f t="shared" si="68"/>
        <v>1</v>
      </c>
      <c r="H118" s="305">
        <f t="shared" si="68"/>
        <v>77</v>
      </c>
      <c r="I118" s="305">
        <f t="shared" si="68"/>
        <v>0</v>
      </c>
      <c r="J118" s="305">
        <f t="shared" si="68"/>
        <v>36</v>
      </c>
      <c r="K118" s="305">
        <f t="shared" si="68"/>
        <v>0</v>
      </c>
      <c r="L118" s="305">
        <f t="shared" si="68"/>
        <v>71</v>
      </c>
      <c r="M118" s="305">
        <f t="shared" si="68"/>
        <v>0</v>
      </c>
      <c r="N118" s="305">
        <f t="shared" si="68"/>
        <v>16</v>
      </c>
      <c r="O118" s="305">
        <f t="shared" si="68"/>
        <v>0</v>
      </c>
      <c r="P118" s="305">
        <f t="shared" si="68"/>
        <v>10</v>
      </c>
      <c r="Q118" s="203" t="s">
        <v>12</v>
      </c>
      <c r="R118" s="307"/>
    </row>
    <row r="119" spans="2:18" ht="22.5" customHeight="1" thickBot="1" x14ac:dyDescent="0.25">
      <c r="B119" s="305">
        <f t="shared" si="67"/>
        <v>169</v>
      </c>
      <c r="C119" s="305">
        <f t="shared" si="66"/>
        <v>44</v>
      </c>
      <c r="D119" s="305">
        <f t="shared" si="66"/>
        <v>125</v>
      </c>
      <c r="E119" s="305">
        <v>0</v>
      </c>
      <c r="F119" s="305">
        <v>0</v>
      </c>
      <c r="G119" s="305">
        <v>19</v>
      </c>
      <c r="H119" s="305">
        <v>42</v>
      </c>
      <c r="I119" s="305">
        <v>16</v>
      </c>
      <c r="J119" s="305">
        <v>17</v>
      </c>
      <c r="K119" s="305">
        <v>8</v>
      </c>
      <c r="L119" s="305">
        <v>36</v>
      </c>
      <c r="M119" s="305">
        <v>1</v>
      </c>
      <c r="N119" s="305">
        <v>21</v>
      </c>
      <c r="O119" s="305">
        <v>0</v>
      </c>
      <c r="P119" s="305">
        <v>9</v>
      </c>
      <c r="Q119" s="203" t="s">
        <v>146</v>
      </c>
      <c r="R119" s="306"/>
    </row>
    <row r="120" spans="2:18" ht="22.5" customHeight="1" thickBot="1" x14ac:dyDescent="0.25">
      <c r="B120" s="305">
        <f t="shared" si="67"/>
        <v>2</v>
      </c>
      <c r="C120" s="305">
        <f t="shared" si="66"/>
        <v>0</v>
      </c>
      <c r="D120" s="305">
        <f t="shared" si="66"/>
        <v>2</v>
      </c>
      <c r="E120" s="305">
        <v>0</v>
      </c>
      <c r="F120" s="305">
        <v>0</v>
      </c>
      <c r="G120" s="305">
        <v>0</v>
      </c>
      <c r="H120" s="305">
        <v>0</v>
      </c>
      <c r="I120" s="305">
        <v>0</v>
      </c>
      <c r="J120" s="305">
        <v>0</v>
      </c>
      <c r="K120" s="305">
        <v>0</v>
      </c>
      <c r="L120" s="305">
        <v>1</v>
      </c>
      <c r="M120" s="305">
        <v>0</v>
      </c>
      <c r="N120" s="305">
        <v>1</v>
      </c>
      <c r="O120" s="305">
        <v>0</v>
      </c>
      <c r="P120" s="305">
        <v>0</v>
      </c>
      <c r="Q120" s="203" t="s">
        <v>145</v>
      </c>
      <c r="R120" s="306" t="s">
        <v>581</v>
      </c>
    </row>
    <row r="121" spans="2:18" ht="22.5" customHeight="1" thickBot="1" x14ac:dyDescent="0.25">
      <c r="B121" s="305">
        <f>SUM(B119:B120)</f>
        <v>171</v>
      </c>
      <c r="C121" s="305">
        <f t="shared" si="66"/>
        <v>44</v>
      </c>
      <c r="D121" s="305">
        <f t="shared" si="66"/>
        <v>127</v>
      </c>
      <c r="E121" s="305">
        <f t="shared" ref="E121:P121" si="69">SUM(E119:E120)</f>
        <v>0</v>
      </c>
      <c r="F121" s="305">
        <f t="shared" si="69"/>
        <v>0</v>
      </c>
      <c r="G121" s="305">
        <f t="shared" si="69"/>
        <v>19</v>
      </c>
      <c r="H121" s="305">
        <f t="shared" si="69"/>
        <v>42</v>
      </c>
      <c r="I121" s="305">
        <f t="shared" si="69"/>
        <v>16</v>
      </c>
      <c r="J121" s="305">
        <f t="shared" si="69"/>
        <v>17</v>
      </c>
      <c r="K121" s="305">
        <f t="shared" si="69"/>
        <v>8</v>
      </c>
      <c r="L121" s="305">
        <f t="shared" si="69"/>
        <v>37</v>
      </c>
      <c r="M121" s="305">
        <f t="shared" si="69"/>
        <v>1</v>
      </c>
      <c r="N121" s="305">
        <f t="shared" si="69"/>
        <v>22</v>
      </c>
      <c r="O121" s="305">
        <f t="shared" si="69"/>
        <v>0</v>
      </c>
      <c r="P121" s="305">
        <f t="shared" si="69"/>
        <v>9</v>
      </c>
      <c r="Q121" s="203" t="s">
        <v>12</v>
      </c>
      <c r="R121" s="307"/>
    </row>
    <row r="122" spans="2:18" ht="22.5" customHeight="1" thickBot="1" x14ac:dyDescent="0.25">
      <c r="B122" s="305">
        <f t="shared" si="67"/>
        <v>314</v>
      </c>
      <c r="C122" s="305">
        <f t="shared" si="66"/>
        <v>46</v>
      </c>
      <c r="D122" s="305">
        <f t="shared" si="66"/>
        <v>268</v>
      </c>
      <c r="E122" s="305">
        <v>0</v>
      </c>
      <c r="F122" s="305">
        <v>0</v>
      </c>
      <c r="G122" s="305">
        <v>24</v>
      </c>
      <c r="H122" s="305">
        <v>71</v>
      </c>
      <c r="I122" s="305">
        <v>12</v>
      </c>
      <c r="J122" s="305">
        <v>60</v>
      </c>
      <c r="K122" s="305">
        <v>10</v>
      </c>
      <c r="L122" s="305">
        <v>82</v>
      </c>
      <c r="M122" s="305">
        <v>0</v>
      </c>
      <c r="N122" s="305">
        <v>32</v>
      </c>
      <c r="O122" s="305">
        <v>0</v>
      </c>
      <c r="P122" s="305">
        <v>23</v>
      </c>
      <c r="Q122" s="203" t="s">
        <v>146</v>
      </c>
      <c r="R122" s="306"/>
    </row>
    <row r="123" spans="2:18" ht="22.5" customHeight="1" thickBot="1" x14ac:dyDescent="0.25">
      <c r="B123" s="305">
        <f t="shared" si="67"/>
        <v>29</v>
      </c>
      <c r="C123" s="305">
        <f t="shared" si="66"/>
        <v>0</v>
      </c>
      <c r="D123" s="305">
        <f t="shared" si="66"/>
        <v>29</v>
      </c>
      <c r="E123" s="305">
        <v>0</v>
      </c>
      <c r="F123" s="305">
        <v>0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11</v>
      </c>
      <c r="M123" s="305">
        <v>0</v>
      </c>
      <c r="N123" s="305">
        <v>10</v>
      </c>
      <c r="O123" s="305">
        <v>0</v>
      </c>
      <c r="P123" s="305">
        <v>8</v>
      </c>
      <c r="Q123" s="203" t="s">
        <v>145</v>
      </c>
      <c r="R123" s="306" t="s">
        <v>361</v>
      </c>
    </row>
    <row r="124" spans="2:18" ht="22.5" customHeight="1" thickBot="1" x14ac:dyDescent="0.25">
      <c r="B124" s="305">
        <f>SUM(B122:B123)</f>
        <v>343</v>
      </c>
      <c r="C124" s="305">
        <f t="shared" si="66"/>
        <v>46</v>
      </c>
      <c r="D124" s="305">
        <f t="shared" si="66"/>
        <v>297</v>
      </c>
      <c r="E124" s="305">
        <f t="shared" ref="E124:P124" si="70">SUM(E122:E123)</f>
        <v>0</v>
      </c>
      <c r="F124" s="305">
        <f t="shared" si="70"/>
        <v>0</v>
      </c>
      <c r="G124" s="305">
        <f t="shared" si="70"/>
        <v>24</v>
      </c>
      <c r="H124" s="305">
        <f t="shared" si="70"/>
        <v>71</v>
      </c>
      <c r="I124" s="305">
        <f t="shared" si="70"/>
        <v>12</v>
      </c>
      <c r="J124" s="305">
        <f t="shared" si="70"/>
        <v>60</v>
      </c>
      <c r="K124" s="305">
        <f t="shared" si="70"/>
        <v>10</v>
      </c>
      <c r="L124" s="305">
        <f t="shared" si="70"/>
        <v>93</v>
      </c>
      <c r="M124" s="305">
        <f t="shared" si="70"/>
        <v>0</v>
      </c>
      <c r="N124" s="305">
        <f t="shared" si="70"/>
        <v>42</v>
      </c>
      <c r="O124" s="305">
        <f t="shared" si="70"/>
        <v>0</v>
      </c>
      <c r="P124" s="305">
        <f t="shared" si="70"/>
        <v>31</v>
      </c>
      <c r="Q124" s="203" t="s">
        <v>12</v>
      </c>
      <c r="R124" s="307"/>
    </row>
    <row r="125" spans="2:18" ht="22.5" customHeight="1" thickBot="1" x14ac:dyDescent="0.25">
      <c r="B125" s="305">
        <f t="shared" si="67"/>
        <v>72</v>
      </c>
      <c r="C125" s="305">
        <f t="shared" si="66"/>
        <v>0</v>
      </c>
      <c r="D125" s="305">
        <f t="shared" si="66"/>
        <v>72</v>
      </c>
      <c r="E125" s="305">
        <v>0</v>
      </c>
      <c r="F125" s="305">
        <v>0</v>
      </c>
      <c r="G125" s="305">
        <v>0</v>
      </c>
      <c r="H125" s="305">
        <v>6</v>
      </c>
      <c r="I125" s="305">
        <v>0</v>
      </c>
      <c r="J125" s="305">
        <v>14</v>
      </c>
      <c r="K125" s="305">
        <v>0</v>
      </c>
      <c r="L125" s="305">
        <v>34</v>
      </c>
      <c r="M125" s="305">
        <v>0</v>
      </c>
      <c r="N125" s="305">
        <v>14</v>
      </c>
      <c r="O125" s="305">
        <v>0</v>
      </c>
      <c r="P125" s="305">
        <v>4</v>
      </c>
      <c r="Q125" s="203" t="s">
        <v>146</v>
      </c>
      <c r="R125" s="306"/>
    </row>
    <row r="126" spans="2:18" ht="22.5" customHeight="1" thickBot="1" x14ac:dyDescent="0.25">
      <c r="B126" s="305">
        <f t="shared" si="67"/>
        <v>16</v>
      </c>
      <c r="C126" s="305">
        <f t="shared" si="66"/>
        <v>0</v>
      </c>
      <c r="D126" s="305">
        <f t="shared" si="66"/>
        <v>16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11</v>
      </c>
      <c r="O126" s="305">
        <v>0</v>
      </c>
      <c r="P126" s="305">
        <v>5</v>
      </c>
      <c r="Q126" s="203" t="s">
        <v>145</v>
      </c>
      <c r="R126" s="306" t="s">
        <v>753</v>
      </c>
    </row>
    <row r="127" spans="2:18" ht="22.5" customHeight="1" thickBot="1" x14ac:dyDescent="0.25">
      <c r="B127" s="305">
        <f>SUM(B125:B126)</f>
        <v>88</v>
      </c>
      <c r="C127" s="305">
        <f t="shared" si="66"/>
        <v>0</v>
      </c>
      <c r="D127" s="305">
        <f t="shared" si="66"/>
        <v>88</v>
      </c>
      <c r="E127" s="305">
        <f t="shared" ref="E127:P127" si="71">SUM(E125:E126)</f>
        <v>0</v>
      </c>
      <c r="F127" s="305">
        <f t="shared" si="71"/>
        <v>0</v>
      </c>
      <c r="G127" s="305">
        <f t="shared" si="71"/>
        <v>0</v>
      </c>
      <c r="H127" s="305">
        <f t="shared" si="71"/>
        <v>6</v>
      </c>
      <c r="I127" s="305">
        <f t="shared" si="71"/>
        <v>0</v>
      </c>
      <c r="J127" s="305">
        <f t="shared" si="71"/>
        <v>14</v>
      </c>
      <c r="K127" s="305">
        <f t="shared" si="71"/>
        <v>0</v>
      </c>
      <c r="L127" s="305">
        <f t="shared" si="71"/>
        <v>34</v>
      </c>
      <c r="M127" s="305">
        <f t="shared" si="71"/>
        <v>0</v>
      </c>
      <c r="N127" s="305">
        <f t="shared" si="71"/>
        <v>25</v>
      </c>
      <c r="O127" s="305">
        <f t="shared" si="71"/>
        <v>0</v>
      </c>
      <c r="P127" s="305">
        <f t="shared" si="71"/>
        <v>9</v>
      </c>
      <c r="Q127" s="203" t="s">
        <v>12</v>
      </c>
      <c r="R127" s="307"/>
    </row>
    <row r="128" spans="2:18" ht="22.5" customHeight="1" thickBot="1" x14ac:dyDescent="0.25">
      <c r="B128" s="305">
        <f t="shared" si="67"/>
        <v>86</v>
      </c>
      <c r="C128" s="305">
        <f t="shared" si="66"/>
        <v>36</v>
      </c>
      <c r="D128" s="305">
        <f t="shared" si="66"/>
        <v>50</v>
      </c>
      <c r="E128" s="305">
        <v>0</v>
      </c>
      <c r="F128" s="305">
        <v>0</v>
      </c>
      <c r="G128" s="305">
        <v>31</v>
      </c>
      <c r="H128" s="305">
        <v>21</v>
      </c>
      <c r="I128" s="305">
        <v>5</v>
      </c>
      <c r="J128" s="305">
        <v>6</v>
      </c>
      <c r="K128" s="305">
        <v>0</v>
      </c>
      <c r="L128" s="305">
        <v>17</v>
      </c>
      <c r="M128" s="305">
        <v>0</v>
      </c>
      <c r="N128" s="305">
        <v>6</v>
      </c>
      <c r="O128" s="305">
        <v>0</v>
      </c>
      <c r="P128" s="305">
        <v>0</v>
      </c>
      <c r="Q128" s="203" t="s">
        <v>146</v>
      </c>
      <c r="R128" s="306"/>
    </row>
    <row r="129" spans="2:18" ht="22.5" customHeight="1" thickBot="1" x14ac:dyDescent="0.25">
      <c r="B129" s="305">
        <f t="shared" si="67"/>
        <v>34</v>
      </c>
      <c r="C129" s="305">
        <f t="shared" si="66"/>
        <v>9</v>
      </c>
      <c r="D129" s="305">
        <f t="shared" si="66"/>
        <v>25</v>
      </c>
      <c r="E129" s="305">
        <v>0</v>
      </c>
      <c r="F129" s="305">
        <v>0</v>
      </c>
      <c r="G129" s="305">
        <v>0</v>
      </c>
      <c r="H129" s="305">
        <v>0</v>
      </c>
      <c r="I129" s="305">
        <v>2</v>
      </c>
      <c r="J129" s="305">
        <v>3</v>
      </c>
      <c r="K129" s="305">
        <v>5</v>
      </c>
      <c r="L129" s="305">
        <v>17</v>
      </c>
      <c r="M129" s="305">
        <v>2</v>
      </c>
      <c r="N129" s="305">
        <v>0</v>
      </c>
      <c r="O129" s="305">
        <v>0</v>
      </c>
      <c r="P129" s="305">
        <v>5</v>
      </c>
      <c r="Q129" s="203" t="s">
        <v>145</v>
      </c>
      <c r="R129" s="306" t="s">
        <v>364</v>
      </c>
    </row>
    <row r="130" spans="2:18" ht="22.5" customHeight="1" thickBot="1" x14ac:dyDescent="0.25">
      <c r="B130" s="305">
        <f>SUM(B128:B129)</f>
        <v>120</v>
      </c>
      <c r="C130" s="305">
        <f t="shared" si="66"/>
        <v>45</v>
      </c>
      <c r="D130" s="305">
        <f t="shared" si="66"/>
        <v>75</v>
      </c>
      <c r="E130" s="305">
        <f t="shared" ref="E130:P130" si="72">SUM(E128:E129)</f>
        <v>0</v>
      </c>
      <c r="F130" s="305">
        <f t="shared" si="72"/>
        <v>0</v>
      </c>
      <c r="G130" s="305">
        <f t="shared" si="72"/>
        <v>31</v>
      </c>
      <c r="H130" s="305">
        <f t="shared" si="72"/>
        <v>21</v>
      </c>
      <c r="I130" s="305">
        <f t="shared" si="72"/>
        <v>7</v>
      </c>
      <c r="J130" s="305">
        <f t="shared" si="72"/>
        <v>9</v>
      </c>
      <c r="K130" s="305">
        <f t="shared" si="72"/>
        <v>5</v>
      </c>
      <c r="L130" s="305">
        <f t="shared" si="72"/>
        <v>34</v>
      </c>
      <c r="M130" s="305">
        <f t="shared" si="72"/>
        <v>2</v>
      </c>
      <c r="N130" s="305">
        <f t="shared" si="72"/>
        <v>6</v>
      </c>
      <c r="O130" s="305">
        <f t="shared" si="72"/>
        <v>0</v>
      </c>
      <c r="P130" s="305">
        <f t="shared" si="72"/>
        <v>5</v>
      </c>
      <c r="Q130" s="203" t="s">
        <v>12</v>
      </c>
      <c r="R130" s="307"/>
    </row>
    <row r="131" spans="2:18" ht="22.5" customHeight="1" thickBot="1" x14ac:dyDescent="0.25">
      <c r="B131" s="305">
        <f t="shared" si="67"/>
        <v>78</v>
      </c>
      <c r="C131" s="305">
        <f t="shared" si="66"/>
        <v>40</v>
      </c>
      <c r="D131" s="305">
        <f t="shared" si="66"/>
        <v>38</v>
      </c>
      <c r="E131" s="305">
        <v>0</v>
      </c>
      <c r="F131" s="305">
        <v>0</v>
      </c>
      <c r="G131" s="305">
        <v>28</v>
      </c>
      <c r="H131" s="305">
        <v>14</v>
      </c>
      <c r="I131" s="305">
        <v>11</v>
      </c>
      <c r="J131" s="305">
        <v>3</v>
      </c>
      <c r="K131" s="305">
        <v>1</v>
      </c>
      <c r="L131" s="305">
        <v>8</v>
      </c>
      <c r="M131" s="305">
        <v>0</v>
      </c>
      <c r="N131" s="305">
        <v>9</v>
      </c>
      <c r="O131" s="305">
        <v>0</v>
      </c>
      <c r="P131" s="305">
        <v>4</v>
      </c>
      <c r="Q131" s="203" t="s">
        <v>146</v>
      </c>
      <c r="R131" s="306"/>
    </row>
    <row r="132" spans="2:18" ht="22.5" customHeight="1" thickBot="1" x14ac:dyDescent="0.25">
      <c r="B132" s="305">
        <f t="shared" si="67"/>
        <v>61</v>
      </c>
      <c r="C132" s="305">
        <f t="shared" si="66"/>
        <v>13</v>
      </c>
      <c r="D132" s="305">
        <f t="shared" si="66"/>
        <v>48</v>
      </c>
      <c r="E132" s="305">
        <v>0</v>
      </c>
      <c r="F132" s="305">
        <v>0</v>
      </c>
      <c r="G132" s="305">
        <v>0</v>
      </c>
      <c r="H132" s="305">
        <v>11</v>
      </c>
      <c r="I132" s="305">
        <v>9</v>
      </c>
      <c r="J132" s="305">
        <v>8</v>
      </c>
      <c r="K132" s="305">
        <v>3</v>
      </c>
      <c r="L132" s="305">
        <v>21</v>
      </c>
      <c r="M132" s="305">
        <v>1</v>
      </c>
      <c r="N132" s="305">
        <v>5</v>
      </c>
      <c r="O132" s="305">
        <v>0</v>
      </c>
      <c r="P132" s="305">
        <v>3</v>
      </c>
      <c r="Q132" s="203" t="s">
        <v>145</v>
      </c>
      <c r="R132" s="306" t="s">
        <v>365</v>
      </c>
    </row>
    <row r="133" spans="2:18" ht="22.5" customHeight="1" thickBot="1" x14ac:dyDescent="0.25">
      <c r="B133" s="305">
        <f>SUM(B131:B132)</f>
        <v>139</v>
      </c>
      <c r="C133" s="305">
        <f t="shared" si="66"/>
        <v>53</v>
      </c>
      <c r="D133" s="305">
        <f t="shared" si="66"/>
        <v>86</v>
      </c>
      <c r="E133" s="305">
        <f t="shared" ref="E133:P133" si="73">SUM(E131:E132)</f>
        <v>0</v>
      </c>
      <c r="F133" s="305">
        <f t="shared" si="73"/>
        <v>0</v>
      </c>
      <c r="G133" s="305">
        <f t="shared" si="73"/>
        <v>28</v>
      </c>
      <c r="H133" s="305">
        <f t="shared" si="73"/>
        <v>25</v>
      </c>
      <c r="I133" s="305">
        <f t="shared" si="73"/>
        <v>20</v>
      </c>
      <c r="J133" s="305">
        <f t="shared" si="73"/>
        <v>11</v>
      </c>
      <c r="K133" s="305">
        <f t="shared" si="73"/>
        <v>4</v>
      </c>
      <c r="L133" s="305">
        <f t="shared" si="73"/>
        <v>29</v>
      </c>
      <c r="M133" s="305">
        <f t="shared" si="73"/>
        <v>1</v>
      </c>
      <c r="N133" s="305">
        <f t="shared" si="73"/>
        <v>14</v>
      </c>
      <c r="O133" s="305">
        <f t="shared" si="73"/>
        <v>0</v>
      </c>
      <c r="P133" s="305">
        <f t="shared" si="73"/>
        <v>7</v>
      </c>
      <c r="Q133" s="203" t="s">
        <v>12</v>
      </c>
      <c r="R133" s="307"/>
    </row>
    <row r="134" spans="2:18" ht="22.5" customHeight="1" thickBot="1" x14ac:dyDescent="0.25">
      <c r="B134" s="305">
        <f t="shared" si="67"/>
        <v>5</v>
      </c>
      <c r="C134" s="305">
        <f t="shared" si="66"/>
        <v>0</v>
      </c>
      <c r="D134" s="305">
        <f t="shared" si="66"/>
        <v>5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1</v>
      </c>
      <c r="K134" s="305">
        <v>0</v>
      </c>
      <c r="L134" s="305">
        <v>3</v>
      </c>
      <c r="M134" s="305">
        <v>0</v>
      </c>
      <c r="N134" s="305">
        <v>1</v>
      </c>
      <c r="O134" s="305">
        <v>0</v>
      </c>
      <c r="P134" s="305">
        <v>0</v>
      </c>
      <c r="Q134" s="203" t="s">
        <v>146</v>
      </c>
      <c r="R134" s="306"/>
    </row>
    <row r="135" spans="2:18" ht="22.5" customHeight="1" thickBot="1" x14ac:dyDescent="0.25">
      <c r="B135" s="305">
        <f t="shared" si="67"/>
        <v>24</v>
      </c>
      <c r="C135" s="305">
        <f t="shared" si="66"/>
        <v>0</v>
      </c>
      <c r="D135" s="305">
        <f t="shared" si="66"/>
        <v>24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12</v>
      </c>
      <c r="K135" s="305">
        <v>0</v>
      </c>
      <c r="L135" s="305">
        <v>12</v>
      </c>
      <c r="M135" s="305">
        <v>0</v>
      </c>
      <c r="N135" s="305">
        <v>0</v>
      </c>
      <c r="O135" s="305">
        <v>0</v>
      </c>
      <c r="P135" s="305">
        <v>0</v>
      </c>
      <c r="Q135" s="203" t="s">
        <v>145</v>
      </c>
      <c r="R135" s="306" t="s">
        <v>81</v>
      </c>
    </row>
    <row r="136" spans="2:18" ht="22.5" customHeight="1" thickBot="1" x14ac:dyDescent="0.25">
      <c r="B136" s="305">
        <f>SUM(B134:B135)</f>
        <v>29</v>
      </c>
      <c r="C136" s="305">
        <f t="shared" si="66"/>
        <v>0</v>
      </c>
      <c r="D136" s="305">
        <f t="shared" si="66"/>
        <v>29</v>
      </c>
      <c r="E136" s="305">
        <f t="shared" ref="E136:P136" si="74">SUM(E134:E135)</f>
        <v>0</v>
      </c>
      <c r="F136" s="305">
        <f t="shared" si="74"/>
        <v>0</v>
      </c>
      <c r="G136" s="305">
        <f t="shared" si="74"/>
        <v>0</v>
      </c>
      <c r="H136" s="305">
        <f t="shared" si="74"/>
        <v>0</v>
      </c>
      <c r="I136" s="305">
        <f t="shared" si="74"/>
        <v>0</v>
      </c>
      <c r="J136" s="305">
        <f t="shared" si="74"/>
        <v>13</v>
      </c>
      <c r="K136" s="305">
        <f t="shared" si="74"/>
        <v>0</v>
      </c>
      <c r="L136" s="305">
        <f t="shared" si="74"/>
        <v>15</v>
      </c>
      <c r="M136" s="305">
        <f t="shared" si="74"/>
        <v>0</v>
      </c>
      <c r="N136" s="305">
        <f t="shared" si="74"/>
        <v>1</v>
      </c>
      <c r="O136" s="305">
        <f t="shared" si="74"/>
        <v>0</v>
      </c>
      <c r="P136" s="305">
        <f t="shared" si="74"/>
        <v>0</v>
      </c>
      <c r="Q136" s="203" t="s">
        <v>12</v>
      </c>
      <c r="R136" s="307"/>
    </row>
    <row r="137" spans="2:18" ht="22.5" customHeight="1" thickBot="1" x14ac:dyDescent="0.25">
      <c r="B137" s="305">
        <f t="shared" si="67"/>
        <v>31</v>
      </c>
      <c r="C137" s="305">
        <f t="shared" si="66"/>
        <v>2</v>
      </c>
      <c r="D137" s="305">
        <f t="shared" si="66"/>
        <v>29</v>
      </c>
      <c r="E137" s="305">
        <v>0</v>
      </c>
      <c r="F137" s="305">
        <v>0</v>
      </c>
      <c r="G137" s="305">
        <v>2</v>
      </c>
      <c r="H137" s="305">
        <v>12</v>
      </c>
      <c r="I137" s="305">
        <v>0</v>
      </c>
      <c r="J137" s="305">
        <v>7</v>
      </c>
      <c r="K137" s="305">
        <v>0</v>
      </c>
      <c r="L137" s="305">
        <v>4</v>
      </c>
      <c r="M137" s="305">
        <v>0</v>
      </c>
      <c r="N137" s="305">
        <v>5</v>
      </c>
      <c r="O137" s="305">
        <v>0</v>
      </c>
      <c r="P137" s="305">
        <v>1</v>
      </c>
      <c r="Q137" s="203" t="s">
        <v>146</v>
      </c>
      <c r="R137" s="306"/>
    </row>
    <row r="138" spans="2:18" ht="22.5" customHeight="1" thickBot="1" x14ac:dyDescent="0.25">
      <c r="B138" s="305">
        <f t="shared" si="67"/>
        <v>9</v>
      </c>
      <c r="C138" s="305">
        <f t="shared" si="66"/>
        <v>0</v>
      </c>
      <c r="D138" s="305">
        <f t="shared" si="66"/>
        <v>9</v>
      </c>
      <c r="E138" s="305">
        <v>0</v>
      </c>
      <c r="F138" s="305">
        <v>0</v>
      </c>
      <c r="G138" s="305">
        <v>0</v>
      </c>
      <c r="H138" s="305">
        <v>0</v>
      </c>
      <c r="I138" s="305">
        <v>0</v>
      </c>
      <c r="J138" s="305">
        <v>0</v>
      </c>
      <c r="K138" s="305">
        <v>0</v>
      </c>
      <c r="L138" s="305">
        <v>4</v>
      </c>
      <c r="M138" s="305">
        <v>0</v>
      </c>
      <c r="N138" s="305">
        <v>3</v>
      </c>
      <c r="O138" s="305">
        <v>0</v>
      </c>
      <c r="P138" s="305">
        <v>2</v>
      </c>
      <c r="Q138" s="203" t="s">
        <v>145</v>
      </c>
      <c r="R138" s="306" t="s">
        <v>252</v>
      </c>
    </row>
    <row r="139" spans="2:18" ht="22.5" customHeight="1" thickBot="1" x14ac:dyDescent="0.25">
      <c r="B139" s="305">
        <f>SUM(B137:B138)</f>
        <v>40</v>
      </c>
      <c r="C139" s="305">
        <f t="shared" si="66"/>
        <v>2</v>
      </c>
      <c r="D139" s="305">
        <f t="shared" si="66"/>
        <v>38</v>
      </c>
      <c r="E139" s="305">
        <f t="shared" ref="E139:P139" si="75">SUM(E137:E138)</f>
        <v>0</v>
      </c>
      <c r="F139" s="305">
        <f t="shared" si="75"/>
        <v>0</v>
      </c>
      <c r="G139" s="305">
        <f t="shared" si="75"/>
        <v>2</v>
      </c>
      <c r="H139" s="305">
        <f t="shared" si="75"/>
        <v>12</v>
      </c>
      <c r="I139" s="305">
        <f t="shared" si="75"/>
        <v>0</v>
      </c>
      <c r="J139" s="305">
        <f t="shared" si="75"/>
        <v>7</v>
      </c>
      <c r="K139" s="305">
        <f t="shared" si="75"/>
        <v>0</v>
      </c>
      <c r="L139" s="305">
        <f t="shared" si="75"/>
        <v>8</v>
      </c>
      <c r="M139" s="305">
        <f t="shared" si="75"/>
        <v>0</v>
      </c>
      <c r="N139" s="305">
        <f t="shared" si="75"/>
        <v>8</v>
      </c>
      <c r="O139" s="305">
        <f t="shared" si="75"/>
        <v>0</v>
      </c>
      <c r="P139" s="305">
        <f t="shared" si="75"/>
        <v>3</v>
      </c>
      <c r="Q139" s="203" t="s">
        <v>12</v>
      </c>
      <c r="R139" s="307"/>
    </row>
    <row r="140" spans="2:18" ht="22.5" customHeight="1" thickBot="1" x14ac:dyDescent="0.25">
      <c r="B140" s="305">
        <f t="shared" si="67"/>
        <v>36</v>
      </c>
      <c r="C140" s="305">
        <f t="shared" si="66"/>
        <v>36</v>
      </c>
      <c r="D140" s="305">
        <f t="shared" si="66"/>
        <v>0</v>
      </c>
      <c r="E140" s="305">
        <v>0</v>
      </c>
      <c r="F140" s="305">
        <v>0</v>
      </c>
      <c r="G140" s="305">
        <v>20</v>
      </c>
      <c r="H140" s="305">
        <v>0</v>
      </c>
      <c r="I140" s="305">
        <v>14</v>
      </c>
      <c r="J140" s="305">
        <v>0</v>
      </c>
      <c r="K140" s="305">
        <v>2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203" t="s">
        <v>146</v>
      </c>
      <c r="R140" s="306"/>
    </row>
    <row r="141" spans="2:18" ht="22.5" customHeight="1" thickBot="1" x14ac:dyDescent="0.25">
      <c r="B141" s="305">
        <f t="shared" si="67"/>
        <v>1</v>
      </c>
      <c r="C141" s="305">
        <f t="shared" si="66"/>
        <v>1</v>
      </c>
      <c r="D141" s="305">
        <f t="shared" si="66"/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1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203" t="s">
        <v>145</v>
      </c>
      <c r="R141" s="306" t="s">
        <v>579</v>
      </c>
    </row>
    <row r="142" spans="2:18" ht="22.5" customHeight="1" thickBot="1" x14ac:dyDescent="0.25">
      <c r="B142" s="305">
        <f>SUM(B140:B141)</f>
        <v>37</v>
      </c>
      <c r="C142" s="305">
        <f t="shared" si="66"/>
        <v>37</v>
      </c>
      <c r="D142" s="305">
        <f t="shared" si="66"/>
        <v>0</v>
      </c>
      <c r="E142" s="305">
        <f t="shared" ref="E142:P142" si="76">SUM(E140:E141)</f>
        <v>0</v>
      </c>
      <c r="F142" s="305">
        <f t="shared" si="76"/>
        <v>0</v>
      </c>
      <c r="G142" s="305">
        <f t="shared" si="76"/>
        <v>20</v>
      </c>
      <c r="H142" s="305">
        <f t="shared" si="76"/>
        <v>0</v>
      </c>
      <c r="I142" s="305">
        <f t="shared" si="76"/>
        <v>14</v>
      </c>
      <c r="J142" s="305">
        <f t="shared" si="76"/>
        <v>0</v>
      </c>
      <c r="K142" s="305">
        <f t="shared" si="76"/>
        <v>3</v>
      </c>
      <c r="L142" s="305">
        <f t="shared" si="76"/>
        <v>0</v>
      </c>
      <c r="M142" s="305">
        <f t="shared" si="76"/>
        <v>0</v>
      </c>
      <c r="N142" s="305">
        <f t="shared" si="76"/>
        <v>0</v>
      </c>
      <c r="O142" s="305">
        <f t="shared" si="76"/>
        <v>0</v>
      </c>
      <c r="P142" s="305">
        <f t="shared" si="76"/>
        <v>0</v>
      </c>
      <c r="Q142" s="203" t="s">
        <v>12</v>
      </c>
      <c r="R142" s="307"/>
    </row>
    <row r="143" spans="2:18" ht="22.5" customHeight="1" thickBot="1" x14ac:dyDescent="0.25">
      <c r="B143" s="305">
        <f t="shared" si="67"/>
        <v>269</v>
      </c>
      <c r="C143" s="305">
        <f t="shared" si="66"/>
        <v>50</v>
      </c>
      <c r="D143" s="305">
        <f t="shared" si="66"/>
        <v>219</v>
      </c>
      <c r="E143" s="305">
        <v>0</v>
      </c>
      <c r="F143" s="305">
        <v>0</v>
      </c>
      <c r="G143" s="305">
        <v>29</v>
      </c>
      <c r="H143" s="305">
        <v>62</v>
      </c>
      <c r="I143" s="305">
        <v>15</v>
      </c>
      <c r="J143" s="305">
        <v>43</v>
      </c>
      <c r="K143" s="305">
        <v>5</v>
      </c>
      <c r="L143" s="305">
        <v>66</v>
      </c>
      <c r="M143" s="305">
        <v>1</v>
      </c>
      <c r="N143" s="305">
        <v>28</v>
      </c>
      <c r="O143" s="305">
        <v>0</v>
      </c>
      <c r="P143" s="305">
        <v>20</v>
      </c>
      <c r="Q143" s="203" t="s">
        <v>146</v>
      </c>
      <c r="R143" s="306"/>
    </row>
    <row r="144" spans="2:18" ht="22.5" customHeight="1" thickBot="1" x14ac:dyDescent="0.25">
      <c r="B144" s="305">
        <f t="shared" si="67"/>
        <v>16</v>
      </c>
      <c r="C144" s="305">
        <f t="shared" si="66"/>
        <v>1</v>
      </c>
      <c r="D144" s="305">
        <f t="shared" si="66"/>
        <v>15</v>
      </c>
      <c r="E144" s="305">
        <v>0</v>
      </c>
      <c r="F144" s="305">
        <v>0</v>
      </c>
      <c r="G144" s="305">
        <v>0</v>
      </c>
      <c r="H144" s="305">
        <v>0</v>
      </c>
      <c r="I144" s="305">
        <v>0</v>
      </c>
      <c r="J144" s="305">
        <v>0</v>
      </c>
      <c r="K144" s="305">
        <v>1</v>
      </c>
      <c r="L144" s="305">
        <v>5</v>
      </c>
      <c r="M144" s="305">
        <v>0</v>
      </c>
      <c r="N144" s="305">
        <v>5</v>
      </c>
      <c r="O144" s="305">
        <v>0</v>
      </c>
      <c r="P144" s="305">
        <v>5</v>
      </c>
      <c r="Q144" s="203" t="s">
        <v>145</v>
      </c>
      <c r="R144" s="306" t="s">
        <v>358</v>
      </c>
    </row>
    <row r="145" spans="2:18" ht="22.5" customHeight="1" thickBot="1" x14ac:dyDescent="0.25">
      <c r="B145" s="305">
        <f>SUM(B143:B144)</f>
        <v>285</v>
      </c>
      <c r="C145" s="305">
        <f t="shared" si="66"/>
        <v>51</v>
      </c>
      <c r="D145" s="305">
        <f t="shared" si="66"/>
        <v>234</v>
      </c>
      <c r="E145" s="305">
        <f t="shared" ref="E145:P145" si="77">SUM(E143:E144)</f>
        <v>0</v>
      </c>
      <c r="F145" s="305">
        <f t="shared" si="77"/>
        <v>0</v>
      </c>
      <c r="G145" s="305">
        <f t="shared" si="77"/>
        <v>29</v>
      </c>
      <c r="H145" s="305">
        <f t="shared" si="77"/>
        <v>62</v>
      </c>
      <c r="I145" s="305">
        <f t="shared" si="77"/>
        <v>15</v>
      </c>
      <c r="J145" s="305">
        <f t="shared" si="77"/>
        <v>43</v>
      </c>
      <c r="K145" s="305">
        <f t="shared" si="77"/>
        <v>6</v>
      </c>
      <c r="L145" s="305">
        <f t="shared" si="77"/>
        <v>71</v>
      </c>
      <c r="M145" s="305">
        <f t="shared" si="77"/>
        <v>1</v>
      </c>
      <c r="N145" s="305">
        <f t="shared" si="77"/>
        <v>33</v>
      </c>
      <c r="O145" s="305">
        <f t="shared" si="77"/>
        <v>0</v>
      </c>
      <c r="P145" s="305">
        <f t="shared" si="77"/>
        <v>25</v>
      </c>
      <c r="Q145" s="203" t="s">
        <v>12</v>
      </c>
      <c r="R145" s="307"/>
    </row>
    <row r="146" spans="2:18" ht="22.5" customHeight="1" thickBot="1" x14ac:dyDescent="0.25">
      <c r="B146" s="305">
        <f t="shared" si="67"/>
        <v>414</v>
      </c>
      <c r="C146" s="305">
        <f t="shared" si="66"/>
        <v>99</v>
      </c>
      <c r="D146" s="305">
        <f t="shared" si="66"/>
        <v>315</v>
      </c>
      <c r="E146" s="305">
        <v>0</v>
      </c>
      <c r="F146" s="305">
        <v>0</v>
      </c>
      <c r="G146" s="305">
        <v>70</v>
      </c>
      <c r="H146" s="305">
        <v>110</v>
      </c>
      <c r="I146" s="305">
        <v>24</v>
      </c>
      <c r="J146" s="305">
        <v>23</v>
      </c>
      <c r="K146" s="305">
        <v>5</v>
      </c>
      <c r="L146" s="305">
        <v>97</v>
      </c>
      <c r="M146" s="305">
        <v>0</v>
      </c>
      <c r="N146" s="305">
        <v>47</v>
      </c>
      <c r="O146" s="305">
        <v>0</v>
      </c>
      <c r="P146" s="305">
        <v>38</v>
      </c>
      <c r="Q146" s="203" t="s">
        <v>146</v>
      </c>
      <c r="R146" s="306"/>
    </row>
    <row r="147" spans="2:18" ht="22.5" customHeight="1" thickBot="1" x14ac:dyDescent="0.25">
      <c r="B147" s="305">
        <f t="shared" si="67"/>
        <v>42</v>
      </c>
      <c r="C147" s="305">
        <f t="shared" si="66"/>
        <v>9</v>
      </c>
      <c r="D147" s="305">
        <f t="shared" si="66"/>
        <v>33</v>
      </c>
      <c r="E147" s="305">
        <v>0</v>
      </c>
      <c r="F147" s="305">
        <v>0</v>
      </c>
      <c r="G147" s="305">
        <v>0</v>
      </c>
      <c r="H147" s="305">
        <v>0</v>
      </c>
      <c r="I147" s="305">
        <v>0</v>
      </c>
      <c r="J147" s="305">
        <v>0</v>
      </c>
      <c r="K147" s="305">
        <v>5</v>
      </c>
      <c r="L147" s="305">
        <v>12</v>
      </c>
      <c r="M147" s="305">
        <v>1</v>
      </c>
      <c r="N147" s="305">
        <v>8</v>
      </c>
      <c r="O147" s="305">
        <v>3</v>
      </c>
      <c r="P147" s="305">
        <v>13</v>
      </c>
      <c r="Q147" s="203" t="s">
        <v>145</v>
      </c>
      <c r="R147" s="306" t="s">
        <v>363</v>
      </c>
    </row>
    <row r="148" spans="2:18" ht="22.5" customHeight="1" thickBot="1" x14ac:dyDescent="0.25">
      <c r="B148" s="305">
        <f>SUM(B146:B147)</f>
        <v>456</v>
      </c>
      <c r="C148" s="305">
        <f t="shared" si="66"/>
        <v>108</v>
      </c>
      <c r="D148" s="305">
        <f t="shared" si="66"/>
        <v>348</v>
      </c>
      <c r="E148" s="305">
        <f t="shared" ref="E148:P148" si="78">SUM(E146:E147)</f>
        <v>0</v>
      </c>
      <c r="F148" s="305">
        <f t="shared" si="78"/>
        <v>0</v>
      </c>
      <c r="G148" s="305">
        <f t="shared" si="78"/>
        <v>70</v>
      </c>
      <c r="H148" s="305">
        <f t="shared" si="78"/>
        <v>110</v>
      </c>
      <c r="I148" s="305">
        <f t="shared" si="78"/>
        <v>24</v>
      </c>
      <c r="J148" s="305">
        <f t="shared" si="78"/>
        <v>23</v>
      </c>
      <c r="K148" s="305">
        <f t="shared" si="78"/>
        <v>10</v>
      </c>
      <c r="L148" s="305">
        <f t="shared" si="78"/>
        <v>109</v>
      </c>
      <c r="M148" s="305">
        <f t="shared" si="78"/>
        <v>1</v>
      </c>
      <c r="N148" s="305">
        <f t="shared" si="78"/>
        <v>55</v>
      </c>
      <c r="O148" s="305">
        <f t="shared" si="78"/>
        <v>3</v>
      </c>
      <c r="P148" s="305">
        <f t="shared" si="78"/>
        <v>51</v>
      </c>
      <c r="Q148" s="203" t="s">
        <v>12</v>
      </c>
      <c r="R148" s="307"/>
    </row>
    <row r="149" spans="2:18" ht="22.5" customHeight="1" thickBot="1" x14ac:dyDescent="0.25">
      <c r="B149" s="305">
        <f t="shared" si="67"/>
        <v>4</v>
      </c>
      <c r="C149" s="305">
        <f t="shared" si="66"/>
        <v>0</v>
      </c>
      <c r="D149" s="305">
        <f t="shared" si="66"/>
        <v>4</v>
      </c>
      <c r="E149" s="305">
        <v>0</v>
      </c>
      <c r="F149" s="305">
        <v>0</v>
      </c>
      <c r="G149" s="305">
        <v>0</v>
      </c>
      <c r="H149" s="305">
        <v>0</v>
      </c>
      <c r="I149" s="305">
        <v>0</v>
      </c>
      <c r="J149" s="305">
        <v>3</v>
      </c>
      <c r="K149" s="305">
        <v>0</v>
      </c>
      <c r="L149" s="305">
        <v>1</v>
      </c>
      <c r="M149" s="305">
        <v>0</v>
      </c>
      <c r="N149" s="305">
        <v>0</v>
      </c>
      <c r="O149" s="305">
        <v>0</v>
      </c>
      <c r="P149" s="305">
        <v>0</v>
      </c>
      <c r="Q149" s="203" t="s">
        <v>146</v>
      </c>
      <c r="R149" s="306"/>
    </row>
    <row r="150" spans="2:18" ht="22.5" customHeight="1" thickBot="1" x14ac:dyDescent="0.25">
      <c r="B150" s="305">
        <f t="shared" si="67"/>
        <v>22</v>
      </c>
      <c r="C150" s="305">
        <f t="shared" si="66"/>
        <v>0</v>
      </c>
      <c r="D150" s="305">
        <f t="shared" si="66"/>
        <v>22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9</v>
      </c>
      <c r="K150" s="305">
        <v>0</v>
      </c>
      <c r="L150" s="305">
        <v>10</v>
      </c>
      <c r="M150" s="305">
        <v>0</v>
      </c>
      <c r="N150" s="305">
        <v>3</v>
      </c>
      <c r="O150" s="305">
        <v>0</v>
      </c>
      <c r="P150" s="305">
        <v>0</v>
      </c>
      <c r="Q150" s="203" t="s">
        <v>145</v>
      </c>
      <c r="R150" s="306" t="s">
        <v>82</v>
      </c>
    </row>
    <row r="151" spans="2:18" ht="22.5" customHeight="1" thickBot="1" x14ac:dyDescent="0.25">
      <c r="B151" s="305">
        <f>SUM(B149:B150)</f>
        <v>26</v>
      </c>
      <c r="C151" s="305">
        <f t="shared" si="66"/>
        <v>0</v>
      </c>
      <c r="D151" s="305">
        <f t="shared" si="66"/>
        <v>26</v>
      </c>
      <c r="E151" s="305">
        <f t="shared" ref="E151:P151" si="79">SUM(E149:E150)</f>
        <v>0</v>
      </c>
      <c r="F151" s="305">
        <f t="shared" si="79"/>
        <v>0</v>
      </c>
      <c r="G151" s="305">
        <f t="shared" si="79"/>
        <v>0</v>
      </c>
      <c r="H151" s="305">
        <f t="shared" si="79"/>
        <v>0</v>
      </c>
      <c r="I151" s="305">
        <f t="shared" si="79"/>
        <v>0</v>
      </c>
      <c r="J151" s="305">
        <f t="shared" si="79"/>
        <v>12</v>
      </c>
      <c r="K151" s="305">
        <f t="shared" si="79"/>
        <v>0</v>
      </c>
      <c r="L151" s="305">
        <f t="shared" si="79"/>
        <v>11</v>
      </c>
      <c r="M151" s="305">
        <f t="shared" si="79"/>
        <v>0</v>
      </c>
      <c r="N151" s="305">
        <f t="shared" si="79"/>
        <v>3</v>
      </c>
      <c r="O151" s="305">
        <f t="shared" si="79"/>
        <v>0</v>
      </c>
      <c r="P151" s="305">
        <f t="shared" si="79"/>
        <v>0</v>
      </c>
      <c r="Q151" s="203" t="s">
        <v>12</v>
      </c>
      <c r="R151" s="307"/>
    </row>
    <row r="152" spans="2:18" ht="22.5" customHeight="1" thickBot="1" x14ac:dyDescent="0.25">
      <c r="B152" s="305">
        <f t="shared" si="67"/>
        <v>58</v>
      </c>
      <c r="C152" s="305">
        <f t="shared" si="66"/>
        <v>12</v>
      </c>
      <c r="D152" s="305">
        <f t="shared" si="66"/>
        <v>46</v>
      </c>
      <c r="E152" s="305">
        <v>0</v>
      </c>
      <c r="F152" s="305">
        <v>0</v>
      </c>
      <c r="G152" s="305">
        <v>10</v>
      </c>
      <c r="H152" s="305">
        <v>11</v>
      </c>
      <c r="I152" s="305">
        <v>2</v>
      </c>
      <c r="J152" s="305">
        <v>4</v>
      </c>
      <c r="K152" s="305">
        <v>0</v>
      </c>
      <c r="L152" s="305">
        <v>23</v>
      </c>
      <c r="M152" s="305">
        <v>0</v>
      </c>
      <c r="N152" s="305">
        <v>7</v>
      </c>
      <c r="O152" s="305">
        <v>0</v>
      </c>
      <c r="P152" s="305">
        <v>1</v>
      </c>
      <c r="Q152" s="203" t="s">
        <v>146</v>
      </c>
      <c r="R152" s="306"/>
    </row>
    <row r="153" spans="2:18" ht="22.5" customHeight="1" thickBot="1" x14ac:dyDescent="0.25">
      <c r="B153" s="305">
        <f t="shared" si="67"/>
        <v>17</v>
      </c>
      <c r="C153" s="305">
        <f t="shared" si="66"/>
        <v>3</v>
      </c>
      <c r="D153" s="305">
        <f t="shared" si="66"/>
        <v>14</v>
      </c>
      <c r="E153" s="305">
        <v>0</v>
      </c>
      <c r="F153" s="305">
        <v>0</v>
      </c>
      <c r="G153" s="305">
        <v>0</v>
      </c>
      <c r="H153" s="305">
        <v>0</v>
      </c>
      <c r="I153" s="305">
        <v>0</v>
      </c>
      <c r="J153" s="305">
        <v>0</v>
      </c>
      <c r="K153" s="305">
        <v>3</v>
      </c>
      <c r="L153" s="305">
        <v>6</v>
      </c>
      <c r="M153" s="305">
        <v>0</v>
      </c>
      <c r="N153" s="305">
        <v>3</v>
      </c>
      <c r="O153" s="305">
        <v>0</v>
      </c>
      <c r="P153" s="305">
        <v>5</v>
      </c>
      <c r="Q153" s="203" t="s">
        <v>145</v>
      </c>
      <c r="R153" s="306" t="s">
        <v>639</v>
      </c>
    </row>
    <row r="154" spans="2:18" ht="22.5" customHeight="1" thickBot="1" x14ac:dyDescent="0.25">
      <c r="B154" s="305">
        <f>SUM(B152:B153)</f>
        <v>75</v>
      </c>
      <c r="C154" s="305">
        <f t="shared" si="66"/>
        <v>15</v>
      </c>
      <c r="D154" s="305">
        <f t="shared" si="66"/>
        <v>60</v>
      </c>
      <c r="E154" s="305">
        <f t="shared" ref="E154:P154" si="80">SUM(E152:E153)</f>
        <v>0</v>
      </c>
      <c r="F154" s="305">
        <f t="shared" si="80"/>
        <v>0</v>
      </c>
      <c r="G154" s="305">
        <f t="shared" si="80"/>
        <v>10</v>
      </c>
      <c r="H154" s="305">
        <f t="shared" si="80"/>
        <v>11</v>
      </c>
      <c r="I154" s="305">
        <f t="shared" si="80"/>
        <v>2</v>
      </c>
      <c r="J154" s="305">
        <f t="shared" si="80"/>
        <v>4</v>
      </c>
      <c r="K154" s="305">
        <f t="shared" si="80"/>
        <v>3</v>
      </c>
      <c r="L154" s="305">
        <f t="shared" si="80"/>
        <v>29</v>
      </c>
      <c r="M154" s="305">
        <f t="shared" si="80"/>
        <v>0</v>
      </c>
      <c r="N154" s="305">
        <f t="shared" si="80"/>
        <v>10</v>
      </c>
      <c r="O154" s="305">
        <f t="shared" si="80"/>
        <v>0</v>
      </c>
      <c r="P154" s="305">
        <f t="shared" si="80"/>
        <v>6</v>
      </c>
      <c r="Q154" s="203" t="s">
        <v>12</v>
      </c>
      <c r="R154" s="307"/>
    </row>
    <row r="155" spans="2:18" ht="22.5" customHeight="1" thickBot="1" x14ac:dyDescent="0.25">
      <c r="B155" s="305">
        <f t="shared" si="67"/>
        <v>33</v>
      </c>
      <c r="C155" s="305">
        <f t="shared" si="66"/>
        <v>22</v>
      </c>
      <c r="D155" s="305">
        <f t="shared" si="66"/>
        <v>11</v>
      </c>
      <c r="E155" s="305">
        <v>0</v>
      </c>
      <c r="F155" s="305">
        <v>0</v>
      </c>
      <c r="G155" s="305">
        <v>16</v>
      </c>
      <c r="H155" s="305">
        <v>6</v>
      </c>
      <c r="I155" s="305">
        <v>6</v>
      </c>
      <c r="J155" s="305">
        <v>4</v>
      </c>
      <c r="K155" s="305">
        <v>0</v>
      </c>
      <c r="L155" s="305">
        <v>1</v>
      </c>
      <c r="M155" s="305">
        <v>0</v>
      </c>
      <c r="N155" s="305">
        <v>0</v>
      </c>
      <c r="O155" s="305">
        <v>0</v>
      </c>
      <c r="P155" s="305">
        <v>0</v>
      </c>
      <c r="Q155" s="203" t="s">
        <v>146</v>
      </c>
      <c r="R155" s="306"/>
    </row>
    <row r="156" spans="2:18" ht="22.5" customHeight="1" thickBot="1" x14ac:dyDescent="0.25">
      <c r="B156" s="305">
        <f t="shared" si="67"/>
        <v>39</v>
      </c>
      <c r="C156" s="305">
        <f t="shared" si="66"/>
        <v>11</v>
      </c>
      <c r="D156" s="305">
        <f t="shared" si="66"/>
        <v>28</v>
      </c>
      <c r="E156" s="305">
        <v>0</v>
      </c>
      <c r="F156" s="305">
        <v>0</v>
      </c>
      <c r="G156" s="305">
        <v>0</v>
      </c>
      <c r="H156" s="305">
        <v>0</v>
      </c>
      <c r="I156" s="305">
        <v>3</v>
      </c>
      <c r="J156" s="305">
        <v>2</v>
      </c>
      <c r="K156" s="305">
        <v>8</v>
      </c>
      <c r="L156" s="305">
        <v>22</v>
      </c>
      <c r="M156" s="305">
        <v>0</v>
      </c>
      <c r="N156" s="305">
        <v>4</v>
      </c>
      <c r="O156" s="305">
        <v>0</v>
      </c>
      <c r="P156" s="305">
        <v>0</v>
      </c>
      <c r="Q156" s="203" t="s">
        <v>145</v>
      </c>
      <c r="R156" s="306" t="s">
        <v>367</v>
      </c>
    </row>
    <row r="157" spans="2:18" ht="22.5" customHeight="1" thickBot="1" x14ac:dyDescent="0.25">
      <c r="B157" s="305">
        <f>SUM(B155:B156)</f>
        <v>72</v>
      </c>
      <c r="C157" s="305">
        <f t="shared" si="66"/>
        <v>33</v>
      </c>
      <c r="D157" s="305">
        <f t="shared" si="66"/>
        <v>39</v>
      </c>
      <c r="E157" s="305">
        <f t="shared" ref="E157:P157" si="81">SUM(E155:E156)</f>
        <v>0</v>
      </c>
      <c r="F157" s="305">
        <f t="shared" si="81"/>
        <v>0</v>
      </c>
      <c r="G157" s="305">
        <f t="shared" si="81"/>
        <v>16</v>
      </c>
      <c r="H157" s="305">
        <f t="shared" si="81"/>
        <v>6</v>
      </c>
      <c r="I157" s="305">
        <f t="shared" si="81"/>
        <v>9</v>
      </c>
      <c r="J157" s="305">
        <f t="shared" si="81"/>
        <v>6</v>
      </c>
      <c r="K157" s="305">
        <f t="shared" si="81"/>
        <v>8</v>
      </c>
      <c r="L157" s="305">
        <f t="shared" si="81"/>
        <v>23</v>
      </c>
      <c r="M157" s="305">
        <f t="shared" si="81"/>
        <v>0</v>
      </c>
      <c r="N157" s="305">
        <f t="shared" si="81"/>
        <v>4</v>
      </c>
      <c r="O157" s="305">
        <f t="shared" si="81"/>
        <v>0</v>
      </c>
      <c r="P157" s="305">
        <f t="shared" si="81"/>
        <v>0</v>
      </c>
      <c r="Q157" s="203" t="s">
        <v>12</v>
      </c>
      <c r="R157" s="307"/>
    </row>
    <row r="158" spans="2:18" ht="22.5" customHeight="1" thickBot="1" x14ac:dyDescent="0.25">
      <c r="B158" s="305">
        <f t="shared" ref="B158:P160" si="82">B116+B119+B122+B125+B128+B131+B134+B137+B140+B143+B146+B149+B152+B155</f>
        <v>1730</v>
      </c>
      <c r="C158" s="305">
        <f t="shared" si="82"/>
        <v>388</v>
      </c>
      <c r="D158" s="305">
        <f t="shared" si="82"/>
        <v>1342</v>
      </c>
      <c r="E158" s="305">
        <f t="shared" si="82"/>
        <v>0</v>
      </c>
      <c r="F158" s="305">
        <f t="shared" si="82"/>
        <v>0</v>
      </c>
      <c r="G158" s="305">
        <f t="shared" si="82"/>
        <v>250</v>
      </c>
      <c r="H158" s="305">
        <f t="shared" si="82"/>
        <v>432</v>
      </c>
      <c r="I158" s="305">
        <f t="shared" si="82"/>
        <v>105</v>
      </c>
      <c r="J158" s="305">
        <f t="shared" si="82"/>
        <v>221</v>
      </c>
      <c r="K158" s="305">
        <f t="shared" si="82"/>
        <v>31</v>
      </c>
      <c r="L158" s="305">
        <f t="shared" si="82"/>
        <v>412</v>
      </c>
      <c r="M158" s="305">
        <f t="shared" si="82"/>
        <v>2</v>
      </c>
      <c r="N158" s="305">
        <f t="shared" si="82"/>
        <v>172</v>
      </c>
      <c r="O158" s="305">
        <f t="shared" si="82"/>
        <v>0</v>
      </c>
      <c r="P158" s="305">
        <f t="shared" si="82"/>
        <v>105</v>
      </c>
      <c r="Q158" s="203" t="s">
        <v>146</v>
      </c>
      <c r="R158" s="280"/>
    </row>
    <row r="159" spans="2:18" ht="22.5" customHeight="1" thickBot="1" x14ac:dyDescent="0.25">
      <c r="B159" s="305">
        <f t="shared" si="82"/>
        <v>362</v>
      </c>
      <c r="C159" s="305">
        <f t="shared" si="82"/>
        <v>47</v>
      </c>
      <c r="D159" s="305">
        <f t="shared" si="82"/>
        <v>315</v>
      </c>
      <c r="E159" s="305">
        <f t="shared" si="82"/>
        <v>0</v>
      </c>
      <c r="F159" s="305">
        <f t="shared" si="82"/>
        <v>0</v>
      </c>
      <c r="G159" s="305">
        <f t="shared" si="82"/>
        <v>0</v>
      </c>
      <c r="H159" s="305">
        <f t="shared" si="82"/>
        <v>11</v>
      </c>
      <c r="I159" s="305">
        <f t="shared" si="82"/>
        <v>14</v>
      </c>
      <c r="J159" s="305">
        <f t="shared" si="82"/>
        <v>34</v>
      </c>
      <c r="K159" s="305">
        <f t="shared" si="82"/>
        <v>26</v>
      </c>
      <c r="L159" s="305">
        <f t="shared" si="82"/>
        <v>152</v>
      </c>
      <c r="M159" s="305">
        <f t="shared" si="82"/>
        <v>4</v>
      </c>
      <c r="N159" s="305">
        <f t="shared" si="82"/>
        <v>67</v>
      </c>
      <c r="O159" s="305">
        <f t="shared" si="82"/>
        <v>3</v>
      </c>
      <c r="P159" s="305">
        <f t="shared" si="82"/>
        <v>51</v>
      </c>
      <c r="Q159" s="203" t="s">
        <v>145</v>
      </c>
      <c r="R159" s="281" t="s">
        <v>188</v>
      </c>
    </row>
    <row r="160" spans="2:18" ht="22.5" customHeight="1" thickBot="1" x14ac:dyDescent="0.25">
      <c r="B160" s="305">
        <f t="shared" si="82"/>
        <v>2092</v>
      </c>
      <c r="C160" s="305">
        <f t="shared" si="82"/>
        <v>435</v>
      </c>
      <c r="D160" s="305">
        <f t="shared" si="82"/>
        <v>1657</v>
      </c>
      <c r="E160" s="305">
        <f t="shared" si="82"/>
        <v>0</v>
      </c>
      <c r="F160" s="305">
        <f t="shared" si="82"/>
        <v>0</v>
      </c>
      <c r="G160" s="305">
        <f t="shared" si="82"/>
        <v>250</v>
      </c>
      <c r="H160" s="305">
        <f t="shared" si="82"/>
        <v>443</v>
      </c>
      <c r="I160" s="305">
        <f t="shared" si="82"/>
        <v>119</v>
      </c>
      <c r="J160" s="305">
        <f t="shared" si="82"/>
        <v>255</v>
      </c>
      <c r="K160" s="305">
        <f t="shared" si="82"/>
        <v>57</v>
      </c>
      <c r="L160" s="305">
        <f t="shared" si="82"/>
        <v>564</v>
      </c>
      <c r="M160" s="305">
        <f t="shared" si="82"/>
        <v>6</v>
      </c>
      <c r="N160" s="305">
        <f t="shared" si="82"/>
        <v>239</v>
      </c>
      <c r="O160" s="305">
        <f t="shared" si="82"/>
        <v>3</v>
      </c>
      <c r="P160" s="305">
        <f t="shared" si="82"/>
        <v>156</v>
      </c>
      <c r="Q160" s="203" t="s">
        <v>12</v>
      </c>
      <c r="R160" s="282"/>
    </row>
    <row r="161" spans="2:18" ht="22.5" customHeight="1" thickBot="1" x14ac:dyDescent="0.25">
      <c r="B161" s="319"/>
      <c r="C161" s="319"/>
      <c r="D161" s="319"/>
      <c r="E161" s="319"/>
      <c r="F161" s="319"/>
      <c r="G161" s="319"/>
      <c r="H161" s="319"/>
      <c r="I161" s="319"/>
      <c r="J161" s="319"/>
      <c r="K161" s="319"/>
      <c r="L161" s="319"/>
      <c r="M161" s="319"/>
      <c r="N161" s="319"/>
      <c r="O161" s="319"/>
      <c r="P161" s="319"/>
      <c r="Q161" s="320"/>
      <c r="R161" s="320"/>
    </row>
    <row r="162" spans="2:18" ht="22.5" customHeight="1" thickBot="1" x14ac:dyDescent="0.25">
      <c r="B162" s="477" t="s">
        <v>4</v>
      </c>
      <c r="C162" s="477"/>
      <c r="D162" s="477"/>
      <c r="E162" s="477" t="s">
        <v>735</v>
      </c>
      <c r="F162" s="477"/>
      <c r="G162" s="477" t="s">
        <v>736</v>
      </c>
      <c r="H162" s="477"/>
      <c r="I162" s="477" t="s">
        <v>737</v>
      </c>
      <c r="J162" s="477"/>
      <c r="K162" s="477" t="s">
        <v>738</v>
      </c>
      <c r="L162" s="477"/>
      <c r="M162" s="477" t="s">
        <v>739</v>
      </c>
      <c r="N162" s="477"/>
      <c r="O162" s="477" t="s">
        <v>740</v>
      </c>
      <c r="P162" s="477"/>
      <c r="Q162" s="575" t="s">
        <v>741</v>
      </c>
      <c r="R162" s="304" t="s">
        <v>144</v>
      </c>
    </row>
    <row r="163" spans="2:18" ht="22.5" customHeight="1" thickBot="1" x14ac:dyDescent="0.25">
      <c r="B163" s="204" t="s">
        <v>227</v>
      </c>
      <c r="C163" s="204" t="s">
        <v>10</v>
      </c>
      <c r="D163" s="204" t="s">
        <v>9</v>
      </c>
      <c r="E163" s="204" t="s">
        <v>10</v>
      </c>
      <c r="F163" s="204" t="s">
        <v>9</v>
      </c>
      <c r="G163" s="204" t="s">
        <v>10</v>
      </c>
      <c r="H163" s="204" t="s">
        <v>9</v>
      </c>
      <c r="I163" s="204" t="s">
        <v>10</v>
      </c>
      <c r="J163" s="204" t="s">
        <v>9</v>
      </c>
      <c r="K163" s="204" t="s">
        <v>10</v>
      </c>
      <c r="L163" s="204" t="s">
        <v>9</v>
      </c>
      <c r="M163" s="204" t="s">
        <v>10</v>
      </c>
      <c r="N163" s="204" t="s">
        <v>9</v>
      </c>
      <c r="O163" s="204" t="s">
        <v>10</v>
      </c>
      <c r="P163" s="204" t="s">
        <v>9</v>
      </c>
      <c r="Q163" s="481"/>
      <c r="R163" s="282" t="s">
        <v>72</v>
      </c>
    </row>
    <row r="164" spans="2:18" ht="22.5" customHeight="1" thickBot="1" x14ac:dyDescent="0.25">
      <c r="B164" s="305">
        <f>SUM(C164:D164)</f>
        <v>196</v>
      </c>
      <c r="C164" s="305">
        <f>O164+M164+K164+I164+G164+E164</f>
        <v>33</v>
      </c>
      <c r="D164" s="305">
        <f>P164+N164+L164+J164+H164+F164</f>
        <v>163</v>
      </c>
      <c r="E164" s="305">
        <v>0</v>
      </c>
      <c r="F164" s="305">
        <v>0</v>
      </c>
      <c r="G164" s="305">
        <v>18</v>
      </c>
      <c r="H164" s="305">
        <v>24</v>
      </c>
      <c r="I164" s="305">
        <v>10</v>
      </c>
      <c r="J164" s="305">
        <v>15</v>
      </c>
      <c r="K164" s="305">
        <v>4</v>
      </c>
      <c r="L164" s="305">
        <v>24</v>
      </c>
      <c r="M164" s="305">
        <v>1</v>
      </c>
      <c r="N164" s="305">
        <v>44</v>
      </c>
      <c r="O164" s="305">
        <v>0</v>
      </c>
      <c r="P164" s="305">
        <v>56</v>
      </c>
      <c r="Q164" s="203" t="s">
        <v>146</v>
      </c>
      <c r="R164" s="306"/>
    </row>
    <row r="165" spans="2:18" ht="22.5" customHeight="1" thickBot="1" x14ac:dyDescent="0.25">
      <c r="B165" s="305">
        <f t="shared" ref="B165:B228" si="83">SUM(C165:D165)</f>
        <v>111</v>
      </c>
      <c r="C165" s="305">
        <f>O165+M165+K165+I165+G165+E165</f>
        <v>19</v>
      </c>
      <c r="D165" s="305">
        <f>P165+N165+L165+J165+H165+F165</f>
        <v>92</v>
      </c>
      <c r="E165" s="305">
        <v>0</v>
      </c>
      <c r="F165" s="305">
        <v>0</v>
      </c>
      <c r="G165" s="305">
        <v>0</v>
      </c>
      <c r="H165" s="305">
        <v>0</v>
      </c>
      <c r="I165" s="305">
        <v>8</v>
      </c>
      <c r="J165" s="305">
        <v>65</v>
      </c>
      <c r="K165" s="305">
        <v>8</v>
      </c>
      <c r="L165" s="305">
        <v>2</v>
      </c>
      <c r="M165" s="305">
        <v>1</v>
      </c>
      <c r="N165" s="305">
        <v>12</v>
      </c>
      <c r="O165" s="305">
        <v>2</v>
      </c>
      <c r="P165" s="305">
        <v>13</v>
      </c>
      <c r="Q165" s="203" t="s">
        <v>145</v>
      </c>
      <c r="R165" s="306" t="s">
        <v>712</v>
      </c>
    </row>
    <row r="166" spans="2:18" ht="22.5" customHeight="1" thickBot="1" x14ac:dyDescent="0.25">
      <c r="B166" s="305">
        <f t="shared" ref="B166:P166" si="84">SUM(B164:B165)</f>
        <v>307</v>
      </c>
      <c r="C166" s="305">
        <f t="shared" si="84"/>
        <v>52</v>
      </c>
      <c r="D166" s="305">
        <f t="shared" si="84"/>
        <v>255</v>
      </c>
      <c r="E166" s="305">
        <f t="shared" si="84"/>
        <v>0</v>
      </c>
      <c r="F166" s="305">
        <f t="shared" si="84"/>
        <v>0</v>
      </c>
      <c r="G166" s="305">
        <f t="shared" si="84"/>
        <v>18</v>
      </c>
      <c r="H166" s="305">
        <f t="shared" si="84"/>
        <v>24</v>
      </c>
      <c r="I166" s="305">
        <f t="shared" si="84"/>
        <v>18</v>
      </c>
      <c r="J166" s="305">
        <f t="shared" si="84"/>
        <v>80</v>
      </c>
      <c r="K166" s="305">
        <f t="shared" si="84"/>
        <v>12</v>
      </c>
      <c r="L166" s="305">
        <f t="shared" si="84"/>
        <v>26</v>
      </c>
      <c r="M166" s="305">
        <f t="shared" si="84"/>
        <v>2</v>
      </c>
      <c r="N166" s="305">
        <f t="shared" si="84"/>
        <v>56</v>
      </c>
      <c r="O166" s="305">
        <f t="shared" si="84"/>
        <v>2</v>
      </c>
      <c r="P166" s="305">
        <f t="shared" si="84"/>
        <v>69</v>
      </c>
      <c r="Q166" s="203" t="s">
        <v>12</v>
      </c>
      <c r="R166" s="307"/>
    </row>
    <row r="167" spans="2:18" ht="22.5" customHeight="1" thickBot="1" x14ac:dyDescent="0.25">
      <c r="B167" s="305">
        <f t="shared" si="83"/>
        <v>219</v>
      </c>
      <c r="C167" s="305">
        <f>O167+M167+K167+I167+G167+E167</f>
        <v>107</v>
      </c>
      <c r="D167" s="305">
        <f>P167+N167+L167+J167+H167+F167</f>
        <v>112</v>
      </c>
      <c r="E167" s="305">
        <v>0</v>
      </c>
      <c r="F167" s="305">
        <v>0</v>
      </c>
      <c r="G167" s="305">
        <v>60</v>
      </c>
      <c r="H167" s="305">
        <v>54</v>
      </c>
      <c r="I167" s="305">
        <v>33</v>
      </c>
      <c r="J167" s="305">
        <v>2</v>
      </c>
      <c r="K167" s="305">
        <v>12</v>
      </c>
      <c r="L167" s="305">
        <v>18</v>
      </c>
      <c r="M167" s="305">
        <v>1</v>
      </c>
      <c r="N167" s="305">
        <v>14</v>
      </c>
      <c r="O167" s="305">
        <v>1</v>
      </c>
      <c r="P167" s="305">
        <v>24</v>
      </c>
      <c r="Q167" s="203" t="s">
        <v>146</v>
      </c>
      <c r="R167" s="306"/>
    </row>
    <row r="168" spans="2:18" ht="22.5" customHeight="1" thickBot="1" x14ac:dyDescent="0.25">
      <c r="B168" s="305">
        <f t="shared" si="83"/>
        <v>131</v>
      </c>
      <c r="C168" s="305">
        <f>O168+M168+K168+I168+G168+E168</f>
        <v>52</v>
      </c>
      <c r="D168" s="305">
        <f>P168+N168+L168+J168+H168+F168</f>
        <v>79</v>
      </c>
      <c r="E168" s="305">
        <v>0</v>
      </c>
      <c r="F168" s="305">
        <v>0</v>
      </c>
      <c r="G168" s="305">
        <v>0</v>
      </c>
      <c r="H168" s="305">
        <v>0</v>
      </c>
      <c r="I168" s="305">
        <v>12</v>
      </c>
      <c r="J168" s="305">
        <v>2</v>
      </c>
      <c r="K168" s="305">
        <v>12</v>
      </c>
      <c r="L168" s="305">
        <v>22</v>
      </c>
      <c r="M168" s="305">
        <v>14</v>
      </c>
      <c r="N168" s="305">
        <v>19</v>
      </c>
      <c r="O168" s="305">
        <v>14</v>
      </c>
      <c r="P168" s="305">
        <v>36</v>
      </c>
      <c r="Q168" s="203" t="s">
        <v>145</v>
      </c>
      <c r="R168" s="306" t="s">
        <v>348</v>
      </c>
    </row>
    <row r="169" spans="2:18" ht="22.5" customHeight="1" thickBot="1" x14ac:dyDescent="0.25">
      <c r="B169" s="305">
        <f t="shared" ref="B169:P169" si="85">SUM(B167:B168)</f>
        <v>350</v>
      </c>
      <c r="C169" s="305">
        <f t="shared" si="85"/>
        <v>159</v>
      </c>
      <c r="D169" s="305">
        <f t="shared" si="85"/>
        <v>191</v>
      </c>
      <c r="E169" s="305">
        <f t="shared" si="85"/>
        <v>0</v>
      </c>
      <c r="F169" s="305">
        <f t="shared" si="85"/>
        <v>0</v>
      </c>
      <c r="G169" s="305">
        <f t="shared" si="85"/>
        <v>60</v>
      </c>
      <c r="H169" s="305">
        <f t="shared" si="85"/>
        <v>54</v>
      </c>
      <c r="I169" s="305">
        <f t="shared" si="85"/>
        <v>45</v>
      </c>
      <c r="J169" s="305">
        <f t="shared" si="85"/>
        <v>4</v>
      </c>
      <c r="K169" s="305">
        <f t="shared" si="85"/>
        <v>24</v>
      </c>
      <c r="L169" s="305">
        <f t="shared" si="85"/>
        <v>40</v>
      </c>
      <c r="M169" s="305">
        <f t="shared" si="85"/>
        <v>15</v>
      </c>
      <c r="N169" s="305">
        <f t="shared" si="85"/>
        <v>33</v>
      </c>
      <c r="O169" s="305">
        <f t="shared" si="85"/>
        <v>15</v>
      </c>
      <c r="P169" s="305">
        <f t="shared" si="85"/>
        <v>60</v>
      </c>
      <c r="Q169" s="203" t="s">
        <v>12</v>
      </c>
      <c r="R169" s="307"/>
    </row>
    <row r="170" spans="2:18" ht="22.5" customHeight="1" thickBot="1" x14ac:dyDescent="0.25">
      <c r="B170" s="305">
        <f t="shared" si="83"/>
        <v>156</v>
      </c>
      <c r="C170" s="305">
        <f>O170+M170+K170+I170+G170+E170</f>
        <v>72</v>
      </c>
      <c r="D170" s="305">
        <f>P170+N170+L170+J170+H170+F170</f>
        <v>84</v>
      </c>
      <c r="E170" s="305">
        <v>0</v>
      </c>
      <c r="F170" s="305">
        <v>0</v>
      </c>
      <c r="G170" s="305">
        <v>50</v>
      </c>
      <c r="H170" s="305">
        <v>65</v>
      </c>
      <c r="I170" s="305">
        <v>19</v>
      </c>
      <c r="J170" s="305">
        <v>2</v>
      </c>
      <c r="K170" s="305">
        <v>2</v>
      </c>
      <c r="L170" s="305">
        <v>13</v>
      </c>
      <c r="M170" s="305">
        <v>0</v>
      </c>
      <c r="N170" s="305">
        <v>4</v>
      </c>
      <c r="O170" s="305">
        <v>1</v>
      </c>
      <c r="P170" s="305">
        <v>0</v>
      </c>
      <c r="Q170" s="203" t="s">
        <v>146</v>
      </c>
      <c r="R170" s="306"/>
    </row>
    <row r="171" spans="2:18" ht="22.5" customHeight="1" thickBot="1" x14ac:dyDescent="0.25">
      <c r="B171" s="305">
        <f t="shared" si="83"/>
        <v>229</v>
      </c>
      <c r="C171" s="305">
        <f>O171+M171+K171+I171+G171+E171</f>
        <v>66</v>
      </c>
      <c r="D171" s="305">
        <f>P171+N171+L171+J171+H171+F171</f>
        <v>163</v>
      </c>
      <c r="E171" s="305">
        <v>45</v>
      </c>
      <c r="F171" s="305">
        <v>49</v>
      </c>
      <c r="G171" s="305">
        <v>0</v>
      </c>
      <c r="H171" s="305">
        <v>0</v>
      </c>
      <c r="I171" s="305">
        <v>0</v>
      </c>
      <c r="J171" s="305">
        <v>6</v>
      </c>
      <c r="K171" s="305">
        <v>18</v>
      </c>
      <c r="L171" s="305">
        <v>70</v>
      </c>
      <c r="M171" s="305">
        <v>2</v>
      </c>
      <c r="N171" s="305">
        <v>31</v>
      </c>
      <c r="O171" s="305">
        <v>1</v>
      </c>
      <c r="P171" s="305">
        <v>7</v>
      </c>
      <c r="Q171" s="203" t="s">
        <v>145</v>
      </c>
      <c r="R171" s="306" t="s">
        <v>364</v>
      </c>
    </row>
    <row r="172" spans="2:18" ht="22.5" customHeight="1" thickBot="1" x14ac:dyDescent="0.25">
      <c r="B172" s="305">
        <f t="shared" ref="B172:P172" si="86">SUM(B170:B171)</f>
        <v>385</v>
      </c>
      <c r="C172" s="305">
        <f t="shared" si="86"/>
        <v>138</v>
      </c>
      <c r="D172" s="305">
        <f t="shared" si="86"/>
        <v>247</v>
      </c>
      <c r="E172" s="305">
        <f t="shared" si="86"/>
        <v>45</v>
      </c>
      <c r="F172" s="305">
        <f t="shared" si="86"/>
        <v>49</v>
      </c>
      <c r="G172" s="305">
        <f t="shared" si="86"/>
        <v>50</v>
      </c>
      <c r="H172" s="305">
        <f t="shared" si="86"/>
        <v>65</v>
      </c>
      <c r="I172" s="305">
        <f t="shared" si="86"/>
        <v>19</v>
      </c>
      <c r="J172" s="305">
        <f t="shared" si="86"/>
        <v>8</v>
      </c>
      <c r="K172" s="305">
        <f t="shared" si="86"/>
        <v>20</v>
      </c>
      <c r="L172" s="305">
        <f t="shared" si="86"/>
        <v>83</v>
      </c>
      <c r="M172" s="305">
        <f t="shared" si="86"/>
        <v>2</v>
      </c>
      <c r="N172" s="305">
        <f t="shared" si="86"/>
        <v>35</v>
      </c>
      <c r="O172" s="305">
        <f t="shared" si="86"/>
        <v>2</v>
      </c>
      <c r="P172" s="305">
        <f t="shared" si="86"/>
        <v>7</v>
      </c>
      <c r="Q172" s="203" t="s">
        <v>12</v>
      </c>
      <c r="R172" s="307"/>
    </row>
    <row r="173" spans="2:18" ht="22.5" customHeight="1" thickBot="1" x14ac:dyDescent="0.25">
      <c r="B173" s="305">
        <f t="shared" si="83"/>
        <v>320</v>
      </c>
      <c r="C173" s="305">
        <f>O173+M173+K173+I173+G173+E173</f>
        <v>0</v>
      </c>
      <c r="D173" s="305">
        <f>P173+N173+L173+J173+H173+F173</f>
        <v>320</v>
      </c>
      <c r="E173" s="305">
        <v>0</v>
      </c>
      <c r="F173" s="305">
        <v>1</v>
      </c>
      <c r="G173" s="305">
        <v>0</v>
      </c>
      <c r="H173" s="305">
        <v>160</v>
      </c>
      <c r="I173" s="305">
        <v>0</v>
      </c>
      <c r="J173" s="305">
        <v>89</v>
      </c>
      <c r="K173" s="305">
        <v>0</v>
      </c>
      <c r="L173" s="305">
        <v>44</v>
      </c>
      <c r="M173" s="305">
        <v>0</v>
      </c>
      <c r="N173" s="305">
        <v>13</v>
      </c>
      <c r="O173" s="305">
        <v>0</v>
      </c>
      <c r="P173" s="305">
        <v>13</v>
      </c>
      <c r="Q173" s="203" t="s">
        <v>146</v>
      </c>
      <c r="R173" s="306"/>
    </row>
    <row r="174" spans="2:18" ht="22.5" customHeight="1" thickBot="1" x14ac:dyDescent="0.25">
      <c r="B174" s="305">
        <f t="shared" si="83"/>
        <v>197</v>
      </c>
      <c r="C174" s="305">
        <f>O174+M174+K174+I174+G174+E174</f>
        <v>0</v>
      </c>
      <c r="D174" s="305">
        <f>P174+N174+L174+J174+H174+F174</f>
        <v>197</v>
      </c>
      <c r="E174" s="305">
        <v>0</v>
      </c>
      <c r="F174" s="305">
        <v>10</v>
      </c>
      <c r="G174" s="305">
        <v>0</v>
      </c>
      <c r="H174" s="305">
        <v>0</v>
      </c>
      <c r="I174" s="305">
        <v>0</v>
      </c>
      <c r="J174" s="305">
        <v>47</v>
      </c>
      <c r="K174" s="305">
        <v>0</v>
      </c>
      <c r="L174" s="305">
        <v>133</v>
      </c>
      <c r="M174" s="305">
        <v>0</v>
      </c>
      <c r="N174" s="305">
        <v>4</v>
      </c>
      <c r="O174" s="305">
        <v>0</v>
      </c>
      <c r="P174" s="305">
        <v>3</v>
      </c>
      <c r="Q174" s="203" t="s">
        <v>145</v>
      </c>
      <c r="R174" s="306" t="s">
        <v>754</v>
      </c>
    </row>
    <row r="175" spans="2:18" ht="22.5" customHeight="1" thickBot="1" x14ac:dyDescent="0.25">
      <c r="B175" s="305">
        <f t="shared" ref="B175:P175" si="87">SUM(B173:B174)</f>
        <v>517</v>
      </c>
      <c r="C175" s="305">
        <f t="shared" si="87"/>
        <v>0</v>
      </c>
      <c r="D175" s="305">
        <f t="shared" si="87"/>
        <v>517</v>
      </c>
      <c r="E175" s="305">
        <f t="shared" si="87"/>
        <v>0</v>
      </c>
      <c r="F175" s="305">
        <f t="shared" si="87"/>
        <v>11</v>
      </c>
      <c r="G175" s="305">
        <f t="shared" si="87"/>
        <v>0</v>
      </c>
      <c r="H175" s="305">
        <f t="shared" si="87"/>
        <v>160</v>
      </c>
      <c r="I175" s="305">
        <f t="shared" si="87"/>
        <v>0</v>
      </c>
      <c r="J175" s="305">
        <f t="shared" si="87"/>
        <v>136</v>
      </c>
      <c r="K175" s="305">
        <f t="shared" si="87"/>
        <v>0</v>
      </c>
      <c r="L175" s="305">
        <f t="shared" si="87"/>
        <v>177</v>
      </c>
      <c r="M175" s="305">
        <f t="shared" si="87"/>
        <v>0</v>
      </c>
      <c r="N175" s="305">
        <f t="shared" si="87"/>
        <v>17</v>
      </c>
      <c r="O175" s="305">
        <f t="shared" si="87"/>
        <v>0</v>
      </c>
      <c r="P175" s="305">
        <f t="shared" si="87"/>
        <v>16</v>
      </c>
      <c r="Q175" s="203" t="s">
        <v>12</v>
      </c>
      <c r="R175" s="307"/>
    </row>
    <row r="176" spans="2:18" ht="22.5" customHeight="1" thickBot="1" x14ac:dyDescent="0.25">
      <c r="B176" s="305">
        <f t="shared" si="83"/>
        <v>10</v>
      </c>
      <c r="C176" s="305">
        <f>O176+M176+K176+I176+G176+E176</f>
        <v>0</v>
      </c>
      <c r="D176" s="305">
        <f>P176+N176+L176+J176+H176+F176</f>
        <v>10</v>
      </c>
      <c r="E176" s="305">
        <v>0</v>
      </c>
      <c r="F176" s="305">
        <v>0</v>
      </c>
      <c r="G176" s="305">
        <v>0</v>
      </c>
      <c r="H176" s="305">
        <v>3</v>
      </c>
      <c r="I176" s="305">
        <v>0</v>
      </c>
      <c r="J176" s="305">
        <v>6</v>
      </c>
      <c r="K176" s="305">
        <v>0</v>
      </c>
      <c r="L176" s="305">
        <v>1</v>
      </c>
      <c r="M176" s="305">
        <v>0</v>
      </c>
      <c r="N176" s="305">
        <v>0</v>
      </c>
      <c r="O176" s="305">
        <v>0</v>
      </c>
      <c r="P176" s="305">
        <v>0</v>
      </c>
      <c r="Q176" s="203" t="s">
        <v>146</v>
      </c>
      <c r="R176" s="306"/>
    </row>
    <row r="177" spans="2:18" ht="22.5" customHeight="1" thickBot="1" x14ac:dyDescent="0.25">
      <c r="B177" s="305">
        <f t="shared" si="83"/>
        <v>60</v>
      </c>
      <c r="C177" s="305">
        <f>O177+M177+K177+I177+G177+E177</f>
        <v>0</v>
      </c>
      <c r="D177" s="305">
        <f>P177+N177+L177+J177+H177+F177</f>
        <v>60</v>
      </c>
      <c r="E177" s="305">
        <v>0</v>
      </c>
      <c r="F177" s="305">
        <v>0</v>
      </c>
      <c r="G177" s="305">
        <v>0</v>
      </c>
      <c r="H177" s="305">
        <v>0</v>
      </c>
      <c r="I177" s="305">
        <v>0</v>
      </c>
      <c r="J177" s="305">
        <v>10</v>
      </c>
      <c r="K177" s="305">
        <v>0</v>
      </c>
      <c r="L177" s="305">
        <v>50</v>
      </c>
      <c r="M177" s="305">
        <v>0</v>
      </c>
      <c r="N177" s="305">
        <v>0</v>
      </c>
      <c r="O177" s="305">
        <v>0</v>
      </c>
      <c r="P177" s="305">
        <v>0</v>
      </c>
      <c r="Q177" s="203" t="s">
        <v>145</v>
      </c>
      <c r="R177" s="306" t="s">
        <v>755</v>
      </c>
    </row>
    <row r="178" spans="2:18" ht="22.5" customHeight="1" thickBot="1" x14ac:dyDescent="0.25">
      <c r="B178" s="305">
        <f t="shared" ref="B178:P178" si="88">SUM(B176:B177)</f>
        <v>70</v>
      </c>
      <c r="C178" s="305">
        <f t="shared" si="88"/>
        <v>0</v>
      </c>
      <c r="D178" s="305">
        <f t="shared" si="88"/>
        <v>70</v>
      </c>
      <c r="E178" s="305">
        <f t="shared" si="88"/>
        <v>0</v>
      </c>
      <c r="F178" s="305">
        <f t="shared" si="88"/>
        <v>0</v>
      </c>
      <c r="G178" s="305">
        <f t="shared" si="88"/>
        <v>0</v>
      </c>
      <c r="H178" s="305">
        <f t="shared" si="88"/>
        <v>3</v>
      </c>
      <c r="I178" s="305">
        <f t="shared" si="88"/>
        <v>0</v>
      </c>
      <c r="J178" s="305">
        <f t="shared" si="88"/>
        <v>16</v>
      </c>
      <c r="K178" s="305">
        <f t="shared" si="88"/>
        <v>0</v>
      </c>
      <c r="L178" s="305">
        <f t="shared" si="88"/>
        <v>51</v>
      </c>
      <c r="M178" s="305">
        <f t="shared" si="88"/>
        <v>0</v>
      </c>
      <c r="N178" s="305">
        <f t="shared" si="88"/>
        <v>0</v>
      </c>
      <c r="O178" s="305">
        <f t="shared" si="88"/>
        <v>0</v>
      </c>
      <c r="P178" s="305">
        <f t="shared" si="88"/>
        <v>0</v>
      </c>
      <c r="Q178" s="203" t="s">
        <v>12</v>
      </c>
      <c r="R178" s="307"/>
    </row>
    <row r="179" spans="2:18" ht="22.5" customHeight="1" thickBot="1" x14ac:dyDescent="0.25">
      <c r="B179" s="305">
        <f t="shared" si="83"/>
        <v>507</v>
      </c>
      <c r="C179" s="305">
        <f>O179+M179+K179+I179+G179+E179</f>
        <v>200</v>
      </c>
      <c r="D179" s="305">
        <f>P179+N179+L179+J179+H179+F179</f>
        <v>307</v>
      </c>
      <c r="E179" s="305">
        <v>0</v>
      </c>
      <c r="F179" s="305">
        <v>0</v>
      </c>
      <c r="G179" s="305">
        <v>82</v>
      </c>
      <c r="H179" s="305">
        <v>116</v>
      </c>
      <c r="I179" s="305">
        <v>56</v>
      </c>
      <c r="J179" s="305">
        <v>24</v>
      </c>
      <c r="K179" s="305">
        <v>53</v>
      </c>
      <c r="L179" s="305">
        <v>68</v>
      </c>
      <c r="M179" s="305">
        <v>5</v>
      </c>
      <c r="N179" s="305">
        <v>59</v>
      </c>
      <c r="O179" s="305">
        <v>4</v>
      </c>
      <c r="P179" s="305">
        <v>40</v>
      </c>
      <c r="Q179" s="203" t="s">
        <v>146</v>
      </c>
      <c r="R179" s="306"/>
    </row>
    <row r="180" spans="2:18" ht="22.5" customHeight="1" thickBot="1" x14ac:dyDescent="0.25">
      <c r="B180" s="305">
        <f t="shared" si="83"/>
        <v>182</v>
      </c>
      <c r="C180" s="305">
        <f>O180+M180+K180+I180+G180+E180</f>
        <v>61</v>
      </c>
      <c r="D180" s="305">
        <f>P180+N180+L180+J180+H180+F180</f>
        <v>121</v>
      </c>
      <c r="E180" s="305">
        <v>10</v>
      </c>
      <c r="F180" s="305">
        <v>0</v>
      </c>
      <c r="G180" s="305">
        <v>0</v>
      </c>
      <c r="H180" s="305">
        <v>0</v>
      </c>
      <c r="I180" s="305">
        <v>17</v>
      </c>
      <c r="J180" s="305">
        <v>24</v>
      </c>
      <c r="K180" s="305">
        <v>20</v>
      </c>
      <c r="L180" s="305">
        <v>50</v>
      </c>
      <c r="M180" s="305">
        <v>10</v>
      </c>
      <c r="N180" s="305">
        <v>20</v>
      </c>
      <c r="O180" s="305">
        <v>4</v>
      </c>
      <c r="P180" s="305">
        <v>27</v>
      </c>
      <c r="Q180" s="203" t="s">
        <v>145</v>
      </c>
      <c r="R180" s="306" t="s">
        <v>371</v>
      </c>
    </row>
    <row r="181" spans="2:18" ht="22.5" customHeight="1" thickBot="1" x14ac:dyDescent="0.25">
      <c r="B181" s="305">
        <f t="shared" ref="B181:P181" si="89">SUM(B179:B180)</f>
        <v>689</v>
      </c>
      <c r="C181" s="305">
        <f t="shared" si="89"/>
        <v>261</v>
      </c>
      <c r="D181" s="305">
        <f t="shared" si="89"/>
        <v>428</v>
      </c>
      <c r="E181" s="305">
        <f t="shared" si="89"/>
        <v>10</v>
      </c>
      <c r="F181" s="305">
        <f t="shared" si="89"/>
        <v>0</v>
      </c>
      <c r="G181" s="305">
        <f t="shared" si="89"/>
        <v>82</v>
      </c>
      <c r="H181" s="305">
        <f t="shared" si="89"/>
        <v>116</v>
      </c>
      <c r="I181" s="305">
        <f t="shared" si="89"/>
        <v>73</v>
      </c>
      <c r="J181" s="305">
        <f t="shared" si="89"/>
        <v>48</v>
      </c>
      <c r="K181" s="305">
        <f t="shared" si="89"/>
        <v>73</v>
      </c>
      <c r="L181" s="305">
        <f t="shared" si="89"/>
        <v>118</v>
      </c>
      <c r="M181" s="305">
        <f t="shared" si="89"/>
        <v>15</v>
      </c>
      <c r="N181" s="305">
        <f t="shared" si="89"/>
        <v>79</v>
      </c>
      <c r="O181" s="305">
        <f t="shared" si="89"/>
        <v>8</v>
      </c>
      <c r="P181" s="305">
        <f t="shared" si="89"/>
        <v>67</v>
      </c>
      <c r="Q181" s="203" t="s">
        <v>12</v>
      </c>
      <c r="R181" s="307"/>
    </row>
    <row r="182" spans="2:18" ht="22.5" customHeight="1" thickBot="1" x14ac:dyDescent="0.25">
      <c r="B182" s="305">
        <f t="shared" si="83"/>
        <v>693</v>
      </c>
      <c r="C182" s="305">
        <f>O182+M182+K182+I182+G182+E182</f>
        <v>344</v>
      </c>
      <c r="D182" s="305">
        <f>P182+N182+L182+J182+H182+F182</f>
        <v>349</v>
      </c>
      <c r="E182" s="305">
        <v>0</v>
      </c>
      <c r="F182" s="305">
        <v>0</v>
      </c>
      <c r="G182" s="305">
        <v>185</v>
      </c>
      <c r="H182" s="305">
        <v>85</v>
      </c>
      <c r="I182" s="305">
        <v>95</v>
      </c>
      <c r="J182" s="305">
        <v>34</v>
      </c>
      <c r="K182" s="305">
        <v>48</v>
      </c>
      <c r="L182" s="305">
        <v>103</v>
      </c>
      <c r="M182" s="305">
        <v>6</v>
      </c>
      <c r="N182" s="305">
        <v>84</v>
      </c>
      <c r="O182" s="305">
        <v>10</v>
      </c>
      <c r="P182" s="305">
        <v>43</v>
      </c>
      <c r="Q182" s="203" t="s">
        <v>146</v>
      </c>
      <c r="R182" s="306"/>
    </row>
    <row r="183" spans="2:18" ht="22.5" customHeight="1" thickBot="1" x14ac:dyDescent="0.25">
      <c r="B183" s="305">
        <f t="shared" si="83"/>
        <v>138</v>
      </c>
      <c r="C183" s="305">
        <f>O183+M183+K183+I183+G183+E183</f>
        <v>52</v>
      </c>
      <c r="D183" s="305">
        <f>P183+N183+L183+J183+H183+F183</f>
        <v>86</v>
      </c>
      <c r="E183" s="305">
        <v>0</v>
      </c>
      <c r="F183" s="305">
        <v>0</v>
      </c>
      <c r="G183" s="305">
        <v>0</v>
      </c>
      <c r="H183" s="305">
        <v>0</v>
      </c>
      <c r="I183" s="305">
        <v>4</v>
      </c>
      <c r="J183" s="305">
        <v>5</v>
      </c>
      <c r="K183" s="305">
        <v>40</v>
      </c>
      <c r="L183" s="305">
        <v>30</v>
      </c>
      <c r="M183" s="305">
        <v>4</v>
      </c>
      <c r="N183" s="305">
        <v>27</v>
      </c>
      <c r="O183" s="305">
        <v>4</v>
      </c>
      <c r="P183" s="305">
        <v>24</v>
      </c>
      <c r="Q183" s="203" t="s">
        <v>145</v>
      </c>
      <c r="R183" s="306" t="s">
        <v>496</v>
      </c>
    </row>
    <row r="184" spans="2:18" ht="22.5" customHeight="1" thickBot="1" x14ac:dyDescent="0.25">
      <c r="B184" s="305">
        <f t="shared" ref="B184:P184" si="90">SUM(B182:B183)</f>
        <v>831</v>
      </c>
      <c r="C184" s="305">
        <f t="shared" si="90"/>
        <v>396</v>
      </c>
      <c r="D184" s="305">
        <f t="shared" si="90"/>
        <v>435</v>
      </c>
      <c r="E184" s="305">
        <f t="shared" si="90"/>
        <v>0</v>
      </c>
      <c r="F184" s="305">
        <f t="shared" si="90"/>
        <v>0</v>
      </c>
      <c r="G184" s="305">
        <f t="shared" si="90"/>
        <v>185</v>
      </c>
      <c r="H184" s="305">
        <f t="shared" si="90"/>
        <v>85</v>
      </c>
      <c r="I184" s="305">
        <f t="shared" si="90"/>
        <v>99</v>
      </c>
      <c r="J184" s="305">
        <f t="shared" si="90"/>
        <v>39</v>
      </c>
      <c r="K184" s="305">
        <f t="shared" si="90"/>
        <v>88</v>
      </c>
      <c r="L184" s="305">
        <f t="shared" si="90"/>
        <v>133</v>
      </c>
      <c r="M184" s="305">
        <f t="shared" si="90"/>
        <v>10</v>
      </c>
      <c r="N184" s="305">
        <f t="shared" si="90"/>
        <v>111</v>
      </c>
      <c r="O184" s="305">
        <f t="shared" si="90"/>
        <v>14</v>
      </c>
      <c r="P184" s="305">
        <f t="shared" si="90"/>
        <v>67</v>
      </c>
      <c r="Q184" s="203" t="s">
        <v>12</v>
      </c>
      <c r="R184" s="307"/>
    </row>
    <row r="185" spans="2:18" ht="22.5" customHeight="1" thickBot="1" x14ac:dyDescent="0.25">
      <c r="B185" s="305">
        <f t="shared" si="83"/>
        <v>487</v>
      </c>
      <c r="C185" s="305">
        <f>O185+M185+K185+I185+G185+E185</f>
        <v>116</v>
      </c>
      <c r="D185" s="305">
        <f>P185+N185+L185+J185+H185+F185</f>
        <v>371</v>
      </c>
      <c r="E185" s="305">
        <v>0</v>
      </c>
      <c r="F185" s="305">
        <v>0</v>
      </c>
      <c r="G185" s="305">
        <v>68</v>
      </c>
      <c r="H185" s="305">
        <v>160</v>
      </c>
      <c r="I185" s="305">
        <v>2</v>
      </c>
      <c r="J185" s="305">
        <v>2</v>
      </c>
      <c r="K185" s="305">
        <v>28</v>
      </c>
      <c r="L185" s="305">
        <v>97</v>
      </c>
      <c r="M185" s="305">
        <v>12</v>
      </c>
      <c r="N185" s="305">
        <v>41</v>
      </c>
      <c r="O185" s="305">
        <v>6</v>
      </c>
      <c r="P185" s="305">
        <v>71</v>
      </c>
      <c r="Q185" s="203" t="s">
        <v>146</v>
      </c>
      <c r="R185" s="306"/>
    </row>
    <row r="186" spans="2:18" ht="22.5" customHeight="1" thickBot="1" x14ac:dyDescent="0.25">
      <c r="B186" s="305">
        <f t="shared" si="83"/>
        <v>156</v>
      </c>
      <c r="C186" s="305">
        <f>O186+M186+K186+I186+G186+E186</f>
        <v>30</v>
      </c>
      <c r="D186" s="305">
        <f>P186+N186+L186+J186+H186+F186</f>
        <v>126</v>
      </c>
      <c r="E186" s="305">
        <v>0</v>
      </c>
      <c r="F186" s="305">
        <v>0</v>
      </c>
      <c r="G186" s="305">
        <v>0</v>
      </c>
      <c r="H186" s="305">
        <v>0</v>
      </c>
      <c r="I186" s="305">
        <v>4</v>
      </c>
      <c r="J186" s="305">
        <v>8</v>
      </c>
      <c r="K186" s="305">
        <v>14</v>
      </c>
      <c r="L186" s="305">
        <v>66</v>
      </c>
      <c r="M186" s="305">
        <v>11</v>
      </c>
      <c r="N186" s="305">
        <v>29</v>
      </c>
      <c r="O186" s="305">
        <v>1</v>
      </c>
      <c r="P186" s="305">
        <v>23</v>
      </c>
      <c r="Q186" s="203" t="s">
        <v>145</v>
      </c>
      <c r="R186" s="306" t="s">
        <v>344</v>
      </c>
    </row>
    <row r="187" spans="2:18" ht="22.5" customHeight="1" thickBot="1" x14ac:dyDescent="0.25">
      <c r="B187" s="305">
        <f t="shared" ref="B187:P187" si="91">SUM(B185:B186)</f>
        <v>643</v>
      </c>
      <c r="C187" s="305">
        <f t="shared" si="91"/>
        <v>146</v>
      </c>
      <c r="D187" s="305">
        <f t="shared" si="91"/>
        <v>497</v>
      </c>
      <c r="E187" s="305">
        <f t="shared" si="91"/>
        <v>0</v>
      </c>
      <c r="F187" s="305">
        <f t="shared" si="91"/>
        <v>0</v>
      </c>
      <c r="G187" s="305">
        <f t="shared" si="91"/>
        <v>68</v>
      </c>
      <c r="H187" s="305">
        <f t="shared" si="91"/>
        <v>160</v>
      </c>
      <c r="I187" s="305">
        <f t="shared" si="91"/>
        <v>6</v>
      </c>
      <c r="J187" s="305">
        <f t="shared" si="91"/>
        <v>10</v>
      </c>
      <c r="K187" s="305">
        <f t="shared" si="91"/>
        <v>42</v>
      </c>
      <c r="L187" s="305">
        <f t="shared" si="91"/>
        <v>163</v>
      </c>
      <c r="M187" s="305">
        <f t="shared" si="91"/>
        <v>23</v>
      </c>
      <c r="N187" s="305">
        <f t="shared" si="91"/>
        <v>70</v>
      </c>
      <c r="O187" s="305">
        <f t="shared" si="91"/>
        <v>7</v>
      </c>
      <c r="P187" s="305">
        <f t="shared" si="91"/>
        <v>94</v>
      </c>
      <c r="Q187" s="203" t="s">
        <v>12</v>
      </c>
      <c r="R187" s="307"/>
    </row>
    <row r="188" spans="2:18" ht="22.5" customHeight="1" thickBot="1" x14ac:dyDescent="0.25">
      <c r="B188" s="305">
        <f t="shared" si="83"/>
        <v>217</v>
      </c>
      <c r="C188" s="305">
        <f>O188+M188+K188+I188+G188+E188</f>
        <v>117</v>
      </c>
      <c r="D188" s="305">
        <f>P188+N188+L188+J188+H188+F188</f>
        <v>100</v>
      </c>
      <c r="E188" s="305">
        <v>0</v>
      </c>
      <c r="F188" s="305">
        <v>0</v>
      </c>
      <c r="G188" s="305">
        <v>75</v>
      </c>
      <c r="H188" s="305">
        <v>34</v>
      </c>
      <c r="I188" s="305">
        <v>3</v>
      </c>
      <c r="J188" s="305">
        <v>4</v>
      </c>
      <c r="K188" s="305">
        <v>24</v>
      </c>
      <c r="L188" s="305">
        <v>40</v>
      </c>
      <c r="M188" s="305">
        <v>15</v>
      </c>
      <c r="N188" s="305">
        <v>11</v>
      </c>
      <c r="O188" s="305">
        <v>0</v>
      </c>
      <c r="P188" s="305">
        <v>11</v>
      </c>
      <c r="Q188" s="203" t="s">
        <v>146</v>
      </c>
      <c r="R188" s="306"/>
    </row>
    <row r="189" spans="2:18" ht="22.5" customHeight="1" thickBot="1" x14ac:dyDescent="0.25">
      <c r="B189" s="305">
        <f t="shared" si="83"/>
        <v>49</v>
      </c>
      <c r="C189" s="305">
        <f>O189+M189+K189+I189+G189+E189</f>
        <v>9</v>
      </c>
      <c r="D189" s="305">
        <f>P189+N189+L189+J189+H189+F189</f>
        <v>40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4</v>
      </c>
      <c r="K189" s="305">
        <v>4</v>
      </c>
      <c r="L189" s="305">
        <v>8</v>
      </c>
      <c r="M189" s="305">
        <v>0</v>
      </c>
      <c r="N189" s="305">
        <v>13</v>
      </c>
      <c r="O189" s="305">
        <v>5</v>
      </c>
      <c r="P189" s="305">
        <v>15</v>
      </c>
      <c r="Q189" s="203" t="s">
        <v>145</v>
      </c>
      <c r="R189" s="306" t="s">
        <v>406</v>
      </c>
    </row>
    <row r="190" spans="2:18" ht="22.5" customHeight="1" thickBot="1" x14ac:dyDescent="0.25">
      <c r="B190" s="305">
        <f t="shared" ref="B190:P190" si="92">SUM(B188:B189)</f>
        <v>266</v>
      </c>
      <c r="C190" s="305">
        <f t="shared" si="92"/>
        <v>126</v>
      </c>
      <c r="D190" s="305">
        <f t="shared" si="92"/>
        <v>140</v>
      </c>
      <c r="E190" s="305">
        <f t="shared" si="92"/>
        <v>0</v>
      </c>
      <c r="F190" s="305">
        <f t="shared" si="92"/>
        <v>0</v>
      </c>
      <c r="G190" s="305">
        <f t="shared" si="92"/>
        <v>75</v>
      </c>
      <c r="H190" s="305">
        <f t="shared" si="92"/>
        <v>34</v>
      </c>
      <c r="I190" s="305">
        <f t="shared" si="92"/>
        <v>3</v>
      </c>
      <c r="J190" s="305">
        <f t="shared" si="92"/>
        <v>8</v>
      </c>
      <c r="K190" s="305">
        <f t="shared" si="92"/>
        <v>28</v>
      </c>
      <c r="L190" s="305">
        <f t="shared" si="92"/>
        <v>48</v>
      </c>
      <c r="M190" s="305">
        <f t="shared" si="92"/>
        <v>15</v>
      </c>
      <c r="N190" s="305">
        <f t="shared" si="92"/>
        <v>24</v>
      </c>
      <c r="O190" s="305">
        <f t="shared" si="92"/>
        <v>5</v>
      </c>
      <c r="P190" s="305">
        <f t="shared" si="92"/>
        <v>26</v>
      </c>
      <c r="Q190" s="203" t="s">
        <v>12</v>
      </c>
      <c r="R190" s="307"/>
    </row>
    <row r="191" spans="2:18" ht="22.5" customHeight="1" thickBot="1" x14ac:dyDescent="0.25">
      <c r="B191" s="305">
        <f t="shared" si="83"/>
        <v>479</v>
      </c>
      <c r="C191" s="305">
        <f>O191+M191+K191+I191+G191+E191</f>
        <v>221</v>
      </c>
      <c r="D191" s="305">
        <f>P191+N191+L191+J191+H191+F191</f>
        <v>258</v>
      </c>
      <c r="E191" s="305">
        <v>0</v>
      </c>
      <c r="F191" s="305">
        <v>0</v>
      </c>
      <c r="G191" s="305">
        <v>128</v>
      </c>
      <c r="H191" s="305">
        <v>58</v>
      </c>
      <c r="I191" s="305">
        <v>49</v>
      </c>
      <c r="J191" s="305">
        <v>13</v>
      </c>
      <c r="K191" s="305">
        <v>41</v>
      </c>
      <c r="L191" s="305">
        <v>57</v>
      </c>
      <c r="M191" s="305">
        <v>3</v>
      </c>
      <c r="N191" s="305">
        <v>50</v>
      </c>
      <c r="O191" s="305">
        <v>0</v>
      </c>
      <c r="P191" s="305">
        <v>80</v>
      </c>
      <c r="Q191" s="203" t="s">
        <v>146</v>
      </c>
      <c r="R191" s="306"/>
    </row>
    <row r="192" spans="2:18" ht="22.5" customHeight="1" thickBot="1" x14ac:dyDescent="0.25">
      <c r="B192" s="305">
        <f t="shared" si="83"/>
        <v>252</v>
      </c>
      <c r="C192" s="305">
        <f>O192+M192+K192+I192+G192+E192</f>
        <v>82</v>
      </c>
      <c r="D192" s="305">
        <f>P192+N192+L192+J192+H192+F192</f>
        <v>170</v>
      </c>
      <c r="E192" s="305">
        <v>0</v>
      </c>
      <c r="F192" s="305">
        <v>0</v>
      </c>
      <c r="G192" s="305">
        <v>0</v>
      </c>
      <c r="H192" s="305">
        <v>0</v>
      </c>
      <c r="I192" s="305">
        <v>14</v>
      </c>
      <c r="J192" s="305">
        <v>4</v>
      </c>
      <c r="K192" s="305">
        <v>45</v>
      </c>
      <c r="L192" s="305">
        <v>74</v>
      </c>
      <c r="M192" s="305">
        <v>12</v>
      </c>
      <c r="N192" s="305">
        <v>51</v>
      </c>
      <c r="O192" s="305">
        <v>11</v>
      </c>
      <c r="P192" s="305">
        <v>41</v>
      </c>
      <c r="Q192" s="203" t="s">
        <v>145</v>
      </c>
      <c r="R192" s="306" t="s">
        <v>455</v>
      </c>
    </row>
    <row r="193" spans="2:18" ht="22.5" customHeight="1" thickBot="1" x14ac:dyDescent="0.25">
      <c r="B193" s="305">
        <f t="shared" ref="B193:P193" si="93">SUM(B191:B192)</f>
        <v>731</v>
      </c>
      <c r="C193" s="305">
        <f t="shared" si="93"/>
        <v>303</v>
      </c>
      <c r="D193" s="305">
        <f t="shared" si="93"/>
        <v>428</v>
      </c>
      <c r="E193" s="305">
        <f t="shared" si="93"/>
        <v>0</v>
      </c>
      <c r="F193" s="305">
        <f t="shared" si="93"/>
        <v>0</v>
      </c>
      <c r="G193" s="305">
        <f t="shared" si="93"/>
        <v>128</v>
      </c>
      <c r="H193" s="305">
        <f t="shared" si="93"/>
        <v>58</v>
      </c>
      <c r="I193" s="305">
        <f t="shared" si="93"/>
        <v>63</v>
      </c>
      <c r="J193" s="305">
        <f t="shared" si="93"/>
        <v>17</v>
      </c>
      <c r="K193" s="305">
        <f t="shared" si="93"/>
        <v>86</v>
      </c>
      <c r="L193" s="305">
        <f t="shared" si="93"/>
        <v>131</v>
      </c>
      <c r="M193" s="305">
        <f t="shared" si="93"/>
        <v>15</v>
      </c>
      <c r="N193" s="305">
        <f t="shared" si="93"/>
        <v>101</v>
      </c>
      <c r="O193" s="305">
        <f t="shared" si="93"/>
        <v>11</v>
      </c>
      <c r="P193" s="305">
        <f t="shared" si="93"/>
        <v>121</v>
      </c>
      <c r="Q193" s="203" t="s">
        <v>12</v>
      </c>
      <c r="R193" s="307"/>
    </row>
    <row r="194" spans="2:18" ht="22.5" customHeight="1" thickBot="1" x14ac:dyDescent="0.25">
      <c r="B194" s="305">
        <f t="shared" si="83"/>
        <v>305</v>
      </c>
      <c r="C194" s="305">
        <f>O194+M194+K194+I194+G194+E194</f>
        <v>150</v>
      </c>
      <c r="D194" s="305">
        <f>P194+N194+L194+J194+H194+F194</f>
        <v>155</v>
      </c>
      <c r="E194" s="305">
        <v>0</v>
      </c>
      <c r="F194" s="305">
        <v>0</v>
      </c>
      <c r="G194" s="305">
        <v>96</v>
      </c>
      <c r="H194" s="305">
        <v>44</v>
      </c>
      <c r="I194" s="305">
        <v>50</v>
      </c>
      <c r="J194" s="305">
        <v>15</v>
      </c>
      <c r="K194" s="305">
        <v>2</v>
      </c>
      <c r="L194" s="305">
        <v>55</v>
      </c>
      <c r="M194" s="305">
        <v>2</v>
      </c>
      <c r="N194" s="305">
        <v>23</v>
      </c>
      <c r="O194" s="305">
        <v>0</v>
      </c>
      <c r="P194" s="305">
        <v>18</v>
      </c>
      <c r="Q194" s="203" t="s">
        <v>146</v>
      </c>
      <c r="R194" s="306"/>
    </row>
    <row r="195" spans="2:18" ht="22.5" customHeight="1" thickBot="1" x14ac:dyDescent="0.25">
      <c r="B195" s="305">
        <f t="shared" si="83"/>
        <v>93</v>
      </c>
      <c r="C195" s="305">
        <f>O195+M195+K195+I195+G195+E195</f>
        <v>24</v>
      </c>
      <c r="D195" s="305">
        <f>P195+N195+L195+J195+H195+F195</f>
        <v>69</v>
      </c>
      <c r="E195" s="305">
        <v>0</v>
      </c>
      <c r="F195" s="305">
        <v>0</v>
      </c>
      <c r="G195" s="305">
        <v>0</v>
      </c>
      <c r="H195" s="305">
        <v>0</v>
      </c>
      <c r="I195" s="305">
        <v>4</v>
      </c>
      <c r="J195" s="305">
        <v>4</v>
      </c>
      <c r="K195" s="305">
        <v>14</v>
      </c>
      <c r="L195" s="305">
        <v>32</v>
      </c>
      <c r="M195" s="305">
        <v>5</v>
      </c>
      <c r="N195" s="305">
        <v>23</v>
      </c>
      <c r="O195" s="305">
        <v>1</v>
      </c>
      <c r="P195" s="305">
        <v>10</v>
      </c>
      <c r="Q195" s="203" t="s">
        <v>145</v>
      </c>
      <c r="R195" s="306" t="s">
        <v>528</v>
      </c>
    </row>
    <row r="196" spans="2:18" ht="22.5" customHeight="1" thickBot="1" x14ac:dyDescent="0.25">
      <c r="B196" s="305">
        <f t="shared" ref="B196:P196" si="94">SUM(B194:B195)</f>
        <v>398</v>
      </c>
      <c r="C196" s="305">
        <f t="shared" si="94"/>
        <v>174</v>
      </c>
      <c r="D196" s="305">
        <f t="shared" si="94"/>
        <v>224</v>
      </c>
      <c r="E196" s="305">
        <f t="shared" si="94"/>
        <v>0</v>
      </c>
      <c r="F196" s="305">
        <f t="shared" si="94"/>
        <v>0</v>
      </c>
      <c r="G196" s="305">
        <f t="shared" si="94"/>
        <v>96</v>
      </c>
      <c r="H196" s="305">
        <f t="shared" si="94"/>
        <v>44</v>
      </c>
      <c r="I196" s="305">
        <f t="shared" si="94"/>
        <v>54</v>
      </c>
      <c r="J196" s="305">
        <f t="shared" si="94"/>
        <v>19</v>
      </c>
      <c r="K196" s="305">
        <f t="shared" si="94"/>
        <v>16</v>
      </c>
      <c r="L196" s="305">
        <f t="shared" si="94"/>
        <v>87</v>
      </c>
      <c r="M196" s="305">
        <f t="shared" si="94"/>
        <v>7</v>
      </c>
      <c r="N196" s="305">
        <f t="shared" si="94"/>
        <v>46</v>
      </c>
      <c r="O196" s="305">
        <f t="shared" si="94"/>
        <v>1</v>
      </c>
      <c r="P196" s="305">
        <f t="shared" si="94"/>
        <v>28</v>
      </c>
      <c r="Q196" s="203" t="s">
        <v>12</v>
      </c>
      <c r="R196" s="307"/>
    </row>
    <row r="197" spans="2:18" ht="22.5" customHeight="1" thickBot="1" x14ac:dyDescent="0.25">
      <c r="B197" s="305">
        <f t="shared" si="83"/>
        <v>178</v>
      </c>
      <c r="C197" s="305">
        <f>O197+M197+K197+I197+G197+E197</f>
        <v>86</v>
      </c>
      <c r="D197" s="305">
        <f>P197+N197+L197+J197+H197+F197</f>
        <v>92</v>
      </c>
      <c r="E197" s="305">
        <v>0</v>
      </c>
      <c r="F197" s="305">
        <v>0</v>
      </c>
      <c r="G197" s="305">
        <v>57</v>
      </c>
      <c r="H197" s="305">
        <v>48</v>
      </c>
      <c r="I197" s="305">
        <v>22</v>
      </c>
      <c r="J197" s="305">
        <v>7</v>
      </c>
      <c r="K197" s="305">
        <v>7</v>
      </c>
      <c r="L197" s="305">
        <v>23</v>
      </c>
      <c r="M197" s="305">
        <v>0</v>
      </c>
      <c r="N197" s="305">
        <v>14</v>
      </c>
      <c r="O197" s="305">
        <v>0</v>
      </c>
      <c r="P197" s="305">
        <v>0</v>
      </c>
      <c r="Q197" s="203" t="s">
        <v>146</v>
      </c>
      <c r="R197" s="306"/>
    </row>
    <row r="198" spans="2:18" ht="22.5" customHeight="1" thickBot="1" x14ac:dyDescent="0.25">
      <c r="B198" s="305">
        <f t="shared" si="83"/>
        <v>126</v>
      </c>
      <c r="C198" s="305">
        <f>O198+M198+K198+I198+G198+E198</f>
        <v>12</v>
      </c>
      <c r="D198" s="305">
        <f>P198+N198+L198+J198+H198+F198</f>
        <v>114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53</v>
      </c>
      <c r="K198" s="305">
        <v>6</v>
      </c>
      <c r="L198" s="305">
        <v>48</v>
      </c>
      <c r="M198" s="305">
        <v>5</v>
      </c>
      <c r="N198" s="305">
        <v>9</v>
      </c>
      <c r="O198" s="305">
        <v>1</v>
      </c>
      <c r="P198" s="305">
        <v>4</v>
      </c>
      <c r="Q198" s="203" t="s">
        <v>145</v>
      </c>
      <c r="R198" s="306" t="s">
        <v>713</v>
      </c>
    </row>
    <row r="199" spans="2:18" ht="22.5" customHeight="1" thickBot="1" x14ac:dyDescent="0.25">
      <c r="B199" s="305">
        <f t="shared" ref="B199:P199" si="95">SUM(B197:B198)</f>
        <v>304</v>
      </c>
      <c r="C199" s="305">
        <f t="shared" si="95"/>
        <v>98</v>
      </c>
      <c r="D199" s="305">
        <f t="shared" si="95"/>
        <v>206</v>
      </c>
      <c r="E199" s="305">
        <f t="shared" si="95"/>
        <v>0</v>
      </c>
      <c r="F199" s="305">
        <f t="shared" si="95"/>
        <v>0</v>
      </c>
      <c r="G199" s="305">
        <f t="shared" si="95"/>
        <v>57</v>
      </c>
      <c r="H199" s="305">
        <f t="shared" si="95"/>
        <v>48</v>
      </c>
      <c r="I199" s="305">
        <f t="shared" si="95"/>
        <v>22</v>
      </c>
      <c r="J199" s="305">
        <f t="shared" si="95"/>
        <v>60</v>
      </c>
      <c r="K199" s="305">
        <f t="shared" si="95"/>
        <v>13</v>
      </c>
      <c r="L199" s="305">
        <f t="shared" si="95"/>
        <v>71</v>
      </c>
      <c r="M199" s="305">
        <f t="shared" si="95"/>
        <v>5</v>
      </c>
      <c r="N199" s="305">
        <f t="shared" si="95"/>
        <v>23</v>
      </c>
      <c r="O199" s="305">
        <f t="shared" si="95"/>
        <v>1</v>
      </c>
      <c r="P199" s="305">
        <f t="shared" si="95"/>
        <v>4</v>
      </c>
      <c r="Q199" s="203" t="s">
        <v>12</v>
      </c>
      <c r="R199" s="307"/>
    </row>
    <row r="200" spans="2:18" ht="22.5" customHeight="1" thickBot="1" x14ac:dyDescent="0.25">
      <c r="B200" s="305">
        <f t="shared" si="83"/>
        <v>111</v>
      </c>
      <c r="C200" s="305">
        <f>O200+M200+K200+I200+G200+E200</f>
        <v>0</v>
      </c>
      <c r="D200" s="305">
        <f>P200+N200+L200+J200+H200+F200</f>
        <v>111</v>
      </c>
      <c r="E200" s="305">
        <v>0</v>
      </c>
      <c r="F200" s="305">
        <v>0</v>
      </c>
      <c r="G200" s="305">
        <v>0</v>
      </c>
      <c r="H200" s="305">
        <v>58</v>
      </c>
      <c r="I200" s="305">
        <v>0</v>
      </c>
      <c r="J200" s="305">
        <v>2</v>
      </c>
      <c r="K200" s="305">
        <v>0</v>
      </c>
      <c r="L200" s="305">
        <v>27</v>
      </c>
      <c r="M200" s="305">
        <v>0</v>
      </c>
      <c r="N200" s="305">
        <v>13</v>
      </c>
      <c r="O200" s="305">
        <v>0</v>
      </c>
      <c r="P200" s="305">
        <v>11</v>
      </c>
      <c r="Q200" s="203" t="s">
        <v>146</v>
      </c>
      <c r="R200" s="306"/>
    </row>
    <row r="201" spans="2:18" ht="22.5" customHeight="1" thickBot="1" x14ac:dyDescent="0.25">
      <c r="B201" s="305">
        <f t="shared" si="83"/>
        <v>50</v>
      </c>
      <c r="C201" s="305">
        <f>O201+M201+K201+I201+G201+E201</f>
        <v>0</v>
      </c>
      <c r="D201" s="305">
        <f>P201+N201+L201+J201+H201+F201</f>
        <v>50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28</v>
      </c>
      <c r="M201" s="305">
        <v>0</v>
      </c>
      <c r="N201" s="305">
        <v>11</v>
      </c>
      <c r="O201" s="305">
        <v>0</v>
      </c>
      <c r="P201" s="305">
        <v>11</v>
      </c>
      <c r="Q201" s="203" t="s">
        <v>145</v>
      </c>
      <c r="R201" s="306" t="s">
        <v>380</v>
      </c>
    </row>
    <row r="202" spans="2:18" ht="22.5" customHeight="1" thickBot="1" x14ac:dyDescent="0.25">
      <c r="B202" s="305">
        <f t="shared" ref="B202:P202" si="96">SUM(B200:B201)</f>
        <v>161</v>
      </c>
      <c r="C202" s="305">
        <f t="shared" si="96"/>
        <v>0</v>
      </c>
      <c r="D202" s="305">
        <f t="shared" si="96"/>
        <v>161</v>
      </c>
      <c r="E202" s="305">
        <f t="shared" si="96"/>
        <v>0</v>
      </c>
      <c r="F202" s="305">
        <f t="shared" si="96"/>
        <v>0</v>
      </c>
      <c r="G202" s="305">
        <f t="shared" si="96"/>
        <v>0</v>
      </c>
      <c r="H202" s="305">
        <f t="shared" si="96"/>
        <v>58</v>
      </c>
      <c r="I202" s="305">
        <f t="shared" si="96"/>
        <v>0</v>
      </c>
      <c r="J202" s="305">
        <f t="shared" si="96"/>
        <v>2</v>
      </c>
      <c r="K202" s="305">
        <f t="shared" si="96"/>
        <v>0</v>
      </c>
      <c r="L202" s="305">
        <f t="shared" si="96"/>
        <v>55</v>
      </c>
      <c r="M202" s="305">
        <f t="shared" si="96"/>
        <v>0</v>
      </c>
      <c r="N202" s="305">
        <f t="shared" si="96"/>
        <v>24</v>
      </c>
      <c r="O202" s="305">
        <f t="shared" si="96"/>
        <v>0</v>
      </c>
      <c r="P202" s="305">
        <f t="shared" si="96"/>
        <v>22</v>
      </c>
      <c r="Q202" s="203" t="s">
        <v>12</v>
      </c>
      <c r="R202" s="307"/>
    </row>
    <row r="203" spans="2:18" ht="22.5" customHeight="1" thickBot="1" x14ac:dyDescent="0.25">
      <c r="B203" s="305">
        <f t="shared" si="83"/>
        <v>203</v>
      </c>
      <c r="C203" s="305">
        <f>O203+M203+K203+I203+G203+E203</f>
        <v>0</v>
      </c>
      <c r="D203" s="305">
        <f>P203+N203+L203+J203+H203+F203</f>
        <v>203</v>
      </c>
      <c r="E203" s="305">
        <v>0</v>
      </c>
      <c r="F203" s="305">
        <v>0</v>
      </c>
      <c r="G203" s="305">
        <v>0</v>
      </c>
      <c r="H203" s="305">
        <v>58</v>
      </c>
      <c r="I203" s="305">
        <v>0</v>
      </c>
      <c r="J203" s="305">
        <v>13</v>
      </c>
      <c r="K203" s="305">
        <v>0</v>
      </c>
      <c r="L203" s="305">
        <v>38</v>
      </c>
      <c r="M203" s="305">
        <v>0</v>
      </c>
      <c r="N203" s="305">
        <v>48</v>
      </c>
      <c r="O203" s="305">
        <v>0</v>
      </c>
      <c r="P203" s="305">
        <v>46</v>
      </c>
      <c r="Q203" s="203" t="s">
        <v>146</v>
      </c>
      <c r="R203" s="306"/>
    </row>
    <row r="204" spans="2:18" ht="22.5" customHeight="1" thickBot="1" x14ac:dyDescent="0.25">
      <c r="B204" s="305">
        <f t="shared" si="83"/>
        <v>152</v>
      </c>
      <c r="C204" s="305">
        <f>O204+M204+K204+I204+G204+E204</f>
        <v>0</v>
      </c>
      <c r="D204" s="305">
        <f>P204+N204+L204+J204+H204+F204</f>
        <v>152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27</v>
      </c>
      <c r="K204" s="305">
        <v>0</v>
      </c>
      <c r="L204" s="305">
        <v>38</v>
      </c>
      <c r="M204" s="305">
        <v>0</v>
      </c>
      <c r="N204" s="305">
        <v>39</v>
      </c>
      <c r="O204" s="305">
        <v>0</v>
      </c>
      <c r="P204" s="305">
        <v>48</v>
      </c>
      <c r="Q204" s="203" t="s">
        <v>145</v>
      </c>
      <c r="R204" s="306" t="s">
        <v>454</v>
      </c>
    </row>
    <row r="205" spans="2:18" ht="22.5" customHeight="1" thickBot="1" x14ac:dyDescent="0.25">
      <c r="B205" s="305">
        <f t="shared" ref="B205:P205" si="97">SUM(B203:B204)</f>
        <v>355</v>
      </c>
      <c r="C205" s="305">
        <f t="shared" si="97"/>
        <v>0</v>
      </c>
      <c r="D205" s="305">
        <f t="shared" si="97"/>
        <v>355</v>
      </c>
      <c r="E205" s="305">
        <f t="shared" si="97"/>
        <v>0</v>
      </c>
      <c r="F205" s="305">
        <f t="shared" si="97"/>
        <v>0</v>
      </c>
      <c r="G205" s="305">
        <f t="shared" si="97"/>
        <v>0</v>
      </c>
      <c r="H205" s="305">
        <f t="shared" si="97"/>
        <v>58</v>
      </c>
      <c r="I205" s="305">
        <f t="shared" si="97"/>
        <v>0</v>
      </c>
      <c r="J205" s="305">
        <f t="shared" si="97"/>
        <v>40</v>
      </c>
      <c r="K205" s="305">
        <f t="shared" si="97"/>
        <v>0</v>
      </c>
      <c r="L205" s="305">
        <f t="shared" si="97"/>
        <v>76</v>
      </c>
      <c r="M205" s="305">
        <f t="shared" si="97"/>
        <v>0</v>
      </c>
      <c r="N205" s="305">
        <f t="shared" si="97"/>
        <v>87</v>
      </c>
      <c r="O205" s="305">
        <f t="shared" si="97"/>
        <v>0</v>
      </c>
      <c r="P205" s="305">
        <f t="shared" si="97"/>
        <v>94</v>
      </c>
      <c r="Q205" s="203" t="s">
        <v>12</v>
      </c>
      <c r="R205" s="307"/>
    </row>
    <row r="206" spans="2:18" ht="22.5" customHeight="1" thickBot="1" x14ac:dyDescent="0.25">
      <c r="B206" s="305">
        <f t="shared" si="83"/>
        <v>227</v>
      </c>
      <c r="C206" s="305">
        <f>O206+M206+K206+I206+G206+E206</f>
        <v>153</v>
      </c>
      <c r="D206" s="305">
        <f>P206+N206+L206+J206+H206+F206</f>
        <v>74</v>
      </c>
      <c r="E206" s="305">
        <v>0</v>
      </c>
      <c r="F206" s="305">
        <v>0</v>
      </c>
      <c r="G206" s="305">
        <v>125</v>
      </c>
      <c r="H206" s="305">
        <v>37</v>
      </c>
      <c r="I206" s="305">
        <v>14</v>
      </c>
      <c r="J206" s="305">
        <v>4</v>
      </c>
      <c r="K206" s="305">
        <v>13</v>
      </c>
      <c r="L206" s="305">
        <v>20</v>
      </c>
      <c r="M206" s="305">
        <v>1</v>
      </c>
      <c r="N206" s="305">
        <v>8</v>
      </c>
      <c r="O206" s="305">
        <v>0</v>
      </c>
      <c r="P206" s="305">
        <v>5</v>
      </c>
      <c r="Q206" s="203" t="s">
        <v>146</v>
      </c>
      <c r="R206" s="306"/>
    </row>
    <row r="207" spans="2:18" ht="22.5" customHeight="1" thickBot="1" x14ac:dyDescent="0.25">
      <c r="B207" s="305">
        <f t="shared" si="83"/>
        <v>112</v>
      </c>
      <c r="C207" s="305">
        <f>O207+M207+K207+I207+G207+E207</f>
        <v>42</v>
      </c>
      <c r="D207" s="305">
        <f>P207+N207+L207+J207+H207+F207</f>
        <v>70</v>
      </c>
      <c r="E207" s="305">
        <v>0</v>
      </c>
      <c r="F207" s="305">
        <v>0</v>
      </c>
      <c r="G207" s="305">
        <v>0</v>
      </c>
      <c r="H207" s="305">
        <v>0</v>
      </c>
      <c r="I207" s="305">
        <v>12</v>
      </c>
      <c r="J207" s="305">
        <v>12</v>
      </c>
      <c r="K207" s="305">
        <v>22</v>
      </c>
      <c r="L207" s="305">
        <v>26</v>
      </c>
      <c r="M207" s="305">
        <v>8</v>
      </c>
      <c r="N207" s="305">
        <v>21</v>
      </c>
      <c r="O207" s="305">
        <v>0</v>
      </c>
      <c r="P207" s="305">
        <v>11</v>
      </c>
      <c r="Q207" s="203" t="s">
        <v>145</v>
      </c>
      <c r="R207" s="306" t="s">
        <v>378</v>
      </c>
    </row>
    <row r="208" spans="2:18" ht="22.5" customHeight="1" thickBot="1" x14ac:dyDescent="0.25">
      <c r="B208" s="305">
        <f t="shared" ref="B208:P208" si="98">SUM(B206:B207)</f>
        <v>339</v>
      </c>
      <c r="C208" s="305">
        <f t="shared" si="98"/>
        <v>195</v>
      </c>
      <c r="D208" s="305">
        <f t="shared" si="98"/>
        <v>144</v>
      </c>
      <c r="E208" s="305">
        <f t="shared" si="98"/>
        <v>0</v>
      </c>
      <c r="F208" s="305">
        <f t="shared" si="98"/>
        <v>0</v>
      </c>
      <c r="G208" s="305">
        <f t="shared" si="98"/>
        <v>125</v>
      </c>
      <c r="H208" s="305">
        <f t="shared" si="98"/>
        <v>37</v>
      </c>
      <c r="I208" s="305">
        <f t="shared" si="98"/>
        <v>26</v>
      </c>
      <c r="J208" s="305">
        <f t="shared" si="98"/>
        <v>16</v>
      </c>
      <c r="K208" s="305">
        <f t="shared" si="98"/>
        <v>35</v>
      </c>
      <c r="L208" s="305">
        <f t="shared" si="98"/>
        <v>46</v>
      </c>
      <c r="M208" s="305">
        <f t="shared" si="98"/>
        <v>9</v>
      </c>
      <c r="N208" s="305">
        <f t="shared" si="98"/>
        <v>29</v>
      </c>
      <c r="O208" s="305">
        <f t="shared" si="98"/>
        <v>0</v>
      </c>
      <c r="P208" s="305">
        <f t="shared" si="98"/>
        <v>16</v>
      </c>
      <c r="Q208" s="203" t="s">
        <v>12</v>
      </c>
      <c r="R208" s="307"/>
    </row>
    <row r="209" spans="2:18" ht="22.5" customHeight="1" thickBot="1" x14ac:dyDescent="0.25">
      <c r="B209" s="305">
        <f t="shared" si="83"/>
        <v>15</v>
      </c>
      <c r="C209" s="305">
        <f>O209+M209+K209+I209+G209+E209</f>
        <v>0</v>
      </c>
      <c r="D209" s="305">
        <f>P209+N209+L209+J209+H209+F209</f>
        <v>15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4</v>
      </c>
      <c r="K209" s="305">
        <v>0</v>
      </c>
      <c r="L209" s="305">
        <v>8</v>
      </c>
      <c r="M209" s="305">
        <v>0</v>
      </c>
      <c r="N209" s="305">
        <v>3</v>
      </c>
      <c r="O209" s="305">
        <v>0</v>
      </c>
      <c r="P209" s="305">
        <v>0</v>
      </c>
      <c r="Q209" s="203" t="s">
        <v>146</v>
      </c>
      <c r="R209" s="306"/>
    </row>
    <row r="210" spans="2:18" ht="22.5" customHeight="1" thickBot="1" x14ac:dyDescent="0.25">
      <c r="B210" s="305">
        <f t="shared" si="83"/>
        <v>4</v>
      </c>
      <c r="C210" s="305">
        <f>O210+M210+K210+I210+G210+E210</f>
        <v>0</v>
      </c>
      <c r="D210" s="305">
        <f>P210+N210+L210+J210+H210+F210</f>
        <v>4</v>
      </c>
      <c r="E210" s="305">
        <v>0</v>
      </c>
      <c r="F210" s="305">
        <v>4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203" t="s">
        <v>145</v>
      </c>
      <c r="R210" s="306" t="s">
        <v>254</v>
      </c>
    </row>
    <row r="211" spans="2:18" ht="22.5" customHeight="1" thickBot="1" x14ac:dyDescent="0.25">
      <c r="B211" s="305">
        <f t="shared" ref="B211:P211" si="99">SUM(B209:B210)</f>
        <v>19</v>
      </c>
      <c r="C211" s="305">
        <f t="shared" si="99"/>
        <v>0</v>
      </c>
      <c r="D211" s="305">
        <f t="shared" si="99"/>
        <v>19</v>
      </c>
      <c r="E211" s="305">
        <f t="shared" si="99"/>
        <v>0</v>
      </c>
      <c r="F211" s="305">
        <f t="shared" si="99"/>
        <v>4</v>
      </c>
      <c r="G211" s="305">
        <f t="shared" si="99"/>
        <v>0</v>
      </c>
      <c r="H211" s="305">
        <f t="shared" si="99"/>
        <v>0</v>
      </c>
      <c r="I211" s="305">
        <f t="shared" si="99"/>
        <v>0</v>
      </c>
      <c r="J211" s="305">
        <f t="shared" si="99"/>
        <v>4</v>
      </c>
      <c r="K211" s="305">
        <f t="shared" si="99"/>
        <v>0</v>
      </c>
      <c r="L211" s="305">
        <f t="shared" si="99"/>
        <v>8</v>
      </c>
      <c r="M211" s="305">
        <f t="shared" si="99"/>
        <v>0</v>
      </c>
      <c r="N211" s="305">
        <f t="shared" si="99"/>
        <v>3</v>
      </c>
      <c r="O211" s="305">
        <f t="shared" si="99"/>
        <v>0</v>
      </c>
      <c r="P211" s="305">
        <f t="shared" si="99"/>
        <v>0</v>
      </c>
      <c r="Q211" s="203" t="s">
        <v>12</v>
      </c>
      <c r="R211" s="307"/>
    </row>
    <row r="212" spans="2:18" ht="22.5" customHeight="1" thickBot="1" x14ac:dyDescent="0.25">
      <c r="B212" s="305">
        <f t="shared" si="83"/>
        <v>4</v>
      </c>
      <c r="C212" s="305">
        <f>O212+M212+K212+I212+G212+E212</f>
        <v>4</v>
      </c>
      <c r="D212" s="305">
        <f>P212+N212+L212+J212+H212+F212</f>
        <v>0</v>
      </c>
      <c r="E212" s="305">
        <v>0</v>
      </c>
      <c r="F212" s="305">
        <v>0</v>
      </c>
      <c r="G212" s="305">
        <v>4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203" t="s">
        <v>146</v>
      </c>
      <c r="R212" s="306"/>
    </row>
    <row r="213" spans="2:18" ht="22.5" customHeight="1" thickBot="1" x14ac:dyDescent="0.25">
      <c r="B213" s="305">
        <f t="shared" si="83"/>
        <v>8</v>
      </c>
      <c r="C213" s="305">
        <f>O213+M213+K213+I213+G213+E213</f>
        <v>8</v>
      </c>
      <c r="D213" s="305">
        <f>P213+N213+L213+J213+H213+F213</f>
        <v>0</v>
      </c>
      <c r="E213" s="305">
        <v>8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203" t="s">
        <v>145</v>
      </c>
      <c r="R213" s="306" t="s">
        <v>71</v>
      </c>
    </row>
    <row r="214" spans="2:18" ht="22.5" customHeight="1" thickBot="1" x14ac:dyDescent="0.25">
      <c r="B214" s="305">
        <f t="shared" ref="B214:D214" si="100">SUM(B212:B213)</f>
        <v>12</v>
      </c>
      <c r="C214" s="305">
        <f t="shared" si="100"/>
        <v>12</v>
      </c>
      <c r="D214" s="305">
        <f t="shared" si="100"/>
        <v>0</v>
      </c>
      <c r="E214" s="305">
        <v>2</v>
      </c>
      <c r="F214" s="305">
        <f>SUM(F212:F213)</f>
        <v>0</v>
      </c>
      <c r="G214" s="305">
        <v>4</v>
      </c>
      <c r="H214" s="305">
        <f t="shared" ref="H214:P214" si="101">SUM(H212:H213)</f>
        <v>0</v>
      </c>
      <c r="I214" s="305">
        <f t="shared" si="101"/>
        <v>0</v>
      </c>
      <c r="J214" s="305">
        <f t="shared" si="101"/>
        <v>0</v>
      </c>
      <c r="K214" s="305">
        <f t="shared" si="101"/>
        <v>0</v>
      </c>
      <c r="L214" s="305">
        <f t="shared" si="101"/>
        <v>0</v>
      </c>
      <c r="M214" s="305">
        <f t="shared" si="101"/>
        <v>0</v>
      </c>
      <c r="N214" s="305">
        <f t="shared" si="101"/>
        <v>0</v>
      </c>
      <c r="O214" s="305">
        <f t="shared" si="101"/>
        <v>0</v>
      </c>
      <c r="P214" s="305">
        <f t="shared" si="101"/>
        <v>0</v>
      </c>
      <c r="Q214" s="203" t="s">
        <v>12</v>
      </c>
      <c r="R214" s="307"/>
    </row>
    <row r="215" spans="2:18" ht="22.5" customHeight="1" thickBot="1" x14ac:dyDescent="0.25">
      <c r="B215" s="305">
        <f t="shared" si="83"/>
        <v>14</v>
      </c>
      <c r="C215" s="305">
        <f>O215+M215+K215+I215+G215+E215</f>
        <v>0</v>
      </c>
      <c r="D215" s="305">
        <f>P215+N215+L215+J215+H215+F215</f>
        <v>14</v>
      </c>
      <c r="E215" s="305">
        <v>0</v>
      </c>
      <c r="F215" s="305">
        <v>0</v>
      </c>
      <c r="G215" s="305">
        <v>0</v>
      </c>
      <c r="H215" s="305">
        <v>3</v>
      </c>
      <c r="I215" s="305">
        <v>0</v>
      </c>
      <c r="J215" s="305">
        <v>7</v>
      </c>
      <c r="K215" s="305">
        <v>0</v>
      </c>
      <c r="L215" s="305">
        <v>4</v>
      </c>
      <c r="M215" s="305">
        <v>0</v>
      </c>
      <c r="N215" s="305">
        <v>0</v>
      </c>
      <c r="O215" s="305">
        <v>0</v>
      </c>
      <c r="P215" s="305">
        <v>0</v>
      </c>
      <c r="Q215" s="203" t="s">
        <v>146</v>
      </c>
      <c r="R215" s="306"/>
    </row>
    <row r="216" spans="2:18" ht="22.5" customHeight="1" thickBot="1" x14ac:dyDescent="0.25">
      <c r="B216" s="305">
        <f t="shared" si="83"/>
        <v>128</v>
      </c>
      <c r="C216" s="305">
        <f>O216+M216+K216+I216+G216+E216</f>
        <v>0</v>
      </c>
      <c r="D216" s="305">
        <f>P216+N216+L216+J216+H216+F216</f>
        <v>128</v>
      </c>
      <c r="E216" s="305">
        <v>0</v>
      </c>
      <c r="F216" s="305">
        <v>1</v>
      </c>
      <c r="G216" s="305">
        <v>0</v>
      </c>
      <c r="H216" s="305">
        <v>0</v>
      </c>
      <c r="I216" s="305">
        <v>0</v>
      </c>
      <c r="J216" s="305">
        <v>59</v>
      </c>
      <c r="K216" s="305">
        <v>0</v>
      </c>
      <c r="L216" s="305">
        <v>60</v>
      </c>
      <c r="M216" s="305">
        <v>0</v>
      </c>
      <c r="N216" s="305">
        <v>7</v>
      </c>
      <c r="O216" s="305">
        <v>0</v>
      </c>
      <c r="P216" s="305">
        <v>1</v>
      </c>
      <c r="Q216" s="203" t="s">
        <v>145</v>
      </c>
      <c r="R216" s="306" t="s">
        <v>83</v>
      </c>
    </row>
    <row r="217" spans="2:18" ht="22.5" customHeight="1" thickBot="1" x14ac:dyDescent="0.25">
      <c r="B217" s="305">
        <f t="shared" ref="B217:P217" si="102">SUM(B215:B216)</f>
        <v>142</v>
      </c>
      <c r="C217" s="305">
        <f t="shared" si="102"/>
        <v>0</v>
      </c>
      <c r="D217" s="305">
        <f t="shared" si="102"/>
        <v>142</v>
      </c>
      <c r="E217" s="305">
        <f t="shared" si="102"/>
        <v>0</v>
      </c>
      <c r="F217" s="305">
        <f t="shared" si="102"/>
        <v>1</v>
      </c>
      <c r="G217" s="305">
        <f t="shared" si="102"/>
        <v>0</v>
      </c>
      <c r="H217" s="305">
        <f t="shared" si="102"/>
        <v>3</v>
      </c>
      <c r="I217" s="305">
        <f t="shared" si="102"/>
        <v>0</v>
      </c>
      <c r="J217" s="305">
        <f t="shared" si="102"/>
        <v>66</v>
      </c>
      <c r="K217" s="305">
        <f t="shared" si="102"/>
        <v>0</v>
      </c>
      <c r="L217" s="305">
        <f t="shared" si="102"/>
        <v>64</v>
      </c>
      <c r="M217" s="305">
        <f t="shared" si="102"/>
        <v>0</v>
      </c>
      <c r="N217" s="305">
        <f t="shared" si="102"/>
        <v>7</v>
      </c>
      <c r="O217" s="305">
        <f t="shared" si="102"/>
        <v>0</v>
      </c>
      <c r="P217" s="305">
        <f t="shared" si="102"/>
        <v>1</v>
      </c>
      <c r="Q217" s="203" t="s">
        <v>12</v>
      </c>
      <c r="R217" s="307"/>
    </row>
    <row r="218" spans="2:18" ht="22.5" customHeight="1" thickBot="1" x14ac:dyDescent="0.25">
      <c r="B218" s="305">
        <f t="shared" si="83"/>
        <v>43</v>
      </c>
      <c r="C218" s="305">
        <f>O218+M218+K218+I218+G218+E218</f>
        <v>0</v>
      </c>
      <c r="D218" s="305">
        <f>P218+N218+L218+J218+H218+F218</f>
        <v>43</v>
      </c>
      <c r="E218" s="305">
        <v>0</v>
      </c>
      <c r="F218" s="305">
        <v>42</v>
      </c>
      <c r="G218" s="305">
        <v>0</v>
      </c>
      <c r="H218" s="305">
        <v>0</v>
      </c>
      <c r="I218" s="305">
        <v>0</v>
      </c>
      <c r="J218" s="305">
        <v>0</v>
      </c>
      <c r="K218" s="305">
        <v>0</v>
      </c>
      <c r="L218" s="305">
        <v>1</v>
      </c>
      <c r="M218" s="305">
        <v>0</v>
      </c>
      <c r="N218" s="305">
        <v>0</v>
      </c>
      <c r="O218" s="305">
        <v>0</v>
      </c>
      <c r="P218" s="305">
        <v>0</v>
      </c>
      <c r="Q218" s="203" t="s">
        <v>146</v>
      </c>
      <c r="R218" s="306"/>
    </row>
    <row r="219" spans="2:18" ht="22.5" customHeight="1" thickBot="1" x14ac:dyDescent="0.25">
      <c r="B219" s="305">
        <f t="shared" si="83"/>
        <v>13</v>
      </c>
      <c r="C219" s="305">
        <f>O219+M219+K219+I219+G219+E219</f>
        <v>0</v>
      </c>
      <c r="D219" s="305">
        <f>P219+N219+L219+J219+H219+F219</f>
        <v>13</v>
      </c>
      <c r="E219" s="305">
        <v>0</v>
      </c>
      <c r="F219" s="305">
        <v>0</v>
      </c>
      <c r="G219" s="305">
        <v>0</v>
      </c>
      <c r="H219" s="305">
        <v>0</v>
      </c>
      <c r="I219" s="305">
        <v>0</v>
      </c>
      <c r="J219" s="305">
        <v>0</v>
      </c>
      <c r="K219" s="305">
        <v>0</v>
      </c>
      <c r="L219" s="305">
        <v>6</v>
      </c>
      <c r="M219" s="305">
        <v>0</v>
      </c>
      <c r="N219" s="305">
        <v>4</v>
      </c>
      <c r="O219" s="305">
        <v>0</v>
      </c>
      <c r="P219" s="305">
        <v>3</v>
      </c>
      <c r="Q219" s="203" t="s">
        <v>145</v>
      </c>
      <c r="R219" s="306" t="s">
        <v>756</v>
      </c>
    </row>
    <row r="220" spans="2:18" ht="22.5" customHeight="1" thickBot="1" x14ac:dyDescent="0.25">
      <c r="B220" s="305">
        <f t="shared" ref="B220:P220" si="103">SUM(B218:B219)</f>
        <v>56</v>
      </c>
      <c r="C220" s="305">
        <f t="shared" si="103"/>
        <v>0</v>
      </c>
      <c r="D220" s="305">
        <f t="shared" si="103"/>
        <v>56</v>
      </c>
      <c r="E220" s="305">
        <f t="shared" si="103"/>
        <v>0</v>
      </c>
      <c r="F220" s="305">
        <f t="shared" si="103"/>
        <v>42</v>
      </c>
      <c r="G220" s="305">
        <f t="shared" si="103"/>
        <v>0</v>
      </c>
      <c r="H220" s="305">
        <f t="shared" si="103"/>
        <v>0</v>
      </c>
      <c r="I220" s="305">
        <f t="shared" si="103"/>
        <v>0</v>
      </c>
      <c r="J220" s="305">
        <f t="shared" si="103"/>
        <v>0</v>
      </c>
      <c r="K220" s="305">
        <f t="shared" si="103"/>
        <v>0</v>
      </c>
      <c r="L220" s="305">
        <f t="shared" si="103"/>
        <v>7</v>
      </c>
      <c r="M220" s="305">
        <f t="shared" si="103"/>
        <v>0</v>
      </c>
      <c r="N220" s="305">
        <f t="shared" si="103"/>
        <v>4</v>
      </c>
      <c r="O220" s="305">
        <f t="shared" si="103"/>
        <v>0</v>
      </c>
      <c r="P220" s="305">
        <f t="shared" si="103"/>
        <v>3</v>
      </c>
      <c r="Q220" s="203" t="s">
        <v>12</v>
      </c>
      <c r="R220" s="307"/>
    </row>
    <row r="221" spans="2:18" ht="22.5" customHeight="1" thickBot="1" x14ac:dyDescent="0.25">
      <c r="B221" s="305">
        <f t="shared" si="83"/>
        <v>1</v>
      </c>
      <c r="C221" s="305">
        <f>O221+M221+K221+I221+G221+E221</f>
        <v>0</v>
      </c>
      <c r="D221" s="305">
        <f>P221+N221+L221+J221+H221+F221</f>
        <v>1</v>
      </c>
      <c r="E221" s="305">
        <v>0</v>
      </c>
      <c r="F221" s="305">
        <v>0</v>
      </c>
      <c r="G221" s="305">
        <v>0</v>
      </c>
      <c r="H221" s="305">
        <v>0</v>
      </c>
      <c r="I221" s="305">
        <v>0</v>
      </c>
      <c r="J221" s="305">
        <v>0</v>
      </c>
      <c r="K221" s="305">
        <v>0</v>
      </c>
      <c r="L221" s="305">
        <v>1</v>
      </c>
      <c r="M221" s="305">
        <v>0</v>
      </c>
      <c r="N221" s="305">
        <v>0</v>
      </c>
      <c r="O221" s="305">
        <v>0</v>
      </c>
      <c r="P221" s="305">
        <v>0</v>
      </c>
      <c r="Q221" s="203" t="s">
        <v>146</v>
      </c>
      <c r="R221" s="306"/>
    </row>
    <row r="222" spans="2:18" ht="22.5" customHeight="1" thickBot="1" x14ac:dyDescent="0.25">
      <c r="B222" s="305">
        <f t="shared" si="83"/>
        <v>17</v>
      </c>
      <c r="C222" s="305">
        <f>O222+M222+K222+I222+G222+E222</f>
        <v>0</v>
      </c>
      <c r="D222" s="305">
        <f>P222+N222+L222+J222+H222+F222</f>
        <v>17</v>
      </c>
      <c r="E222" s="305">
        <v>0</v>
      </c>
      <c r="F222" s="305">
        <v>0</v>
      </c>
      <c r="G222" s="305">
        <v>0</v>
      </c>
      <c r="H222" s="305">
        <v>0</v>
      </c>
      <c r="I222" s="305">
        <v>0</v>
      </c>
      <c r="J222" s="305">
        <v>4</v>
      </c>
      <c r="K222" s="305">
        <v>0</v>
      </c>
      <c r="L222" s="305">
        <v>6</v>
      </c>
      <c r="M222" s="305">
        <v>0</v>
      </c>
      <c r="N222" s="305">
        <v>4</v>
      </c>
      <c r="O222" s="305">
        <v>0</v>
      </c>
      <c r="P222" s="305">
        <v>3</v>
      </c>
      <c r="Q222" s="203" t="s">
        <v>145</v>
      </c>
      <c r="R222" s="306" t="s">
        <v>757</v>
      </c>
    </row>
    <row r="223" spans="2:18" ht="22.5" customHeight="1" thickBot="1" x14ac:dyDescent="0.25">
      <c r="B223" s="305">
        <f t="shared" ref="B223:P223" si="104">SUM(B221:B222)</f>
        <v>18</v>
      </c>
      <c r="C223" s="305">
        <f t="shared" si="104"/>
        <v>0</v>
      </c>
      <c r="D223" s="305">
        <f t="shared" si="104"/>
        <v>18</v>
      </c>
      <c r="E223" s="305">
        <f t="shared" si="104"/>
        <v>0</v>
      </c>
      <c r="F223" s="305">
        <f t="shared" si="104"/>
        <v>0</v>
      </c>
      <c r="G223" s="305">
        <f t="shared" si="104"/>
        <v>0</v>
      </c>
      <c r="H223" s="305">
        <f t="shared" si="104"/>
        <v>0</v>
      </c>
      <c r="I223" s="305">
        <f t="shared" si="104"/>
        <v>0</v>
      </c>
      <c r="J223" s="305">
        <f t="shared" si="104"/>
        <v>4</v>
      </c>
      <c r="K223" s="305">
        <f t="shared" si="104"/>
        <v>0</v>
      </c>
      <c r="L223" s="305">
        <f t="shared" si="104"/>
        <v>7</v>
      </c>
      <c r="M223" s="305">
        <f t="shared" si="104"/>
        <v>0</v>
      </c>
      <c r="N223" s="305">
        <f t="shared" si="104"/>
        <v>4</v>
      </c>
      <c r="O223" s="305">
        <f t="shared" si="104"/>
        <v>0</v>
      </c>
      <c r="P223" s="305">
        <f t="shared" si="104"/>
        <v>3</v>
      </c>
      <c r="Q223" s="203" t="s">
        <v>12</v>
      </c>
      <c r="R223" s="307"/>
    </row>
    <row r="224" spans="2:18" ht="22.5" customHeight="1" thickBot="1" x14ac:dyDescent="0.25">
      <c r="B224" s="305">
        <f t="shared" si="83"/>
        <v>43</v>
      </c>
      <c r="C224" s="305">
        <f>O224+M224+K224+I224+G224+E224</f>
        <v>40</v>
      </c>
      <c r="D224" s="305">
        <f>P224+N224+L224+J224+H224+F224</f>
        <v>3</v>
      </c>
      <c r="E224" s="305">
        <v>0</v>
      </c>
      <c r="F224" s="305">
        <v>0</v>
      </c>
      <c r="G224" s="305">
        <v>34</v>
      </c>
      <c r="H224" s="305">
        <v>3</v>
      </c>
      <c r="I224" s="305">
        <v>5</v>
      </c>
      <c r="J224" s="305">
        <v>0</v>
      </c>
      <c r="K224" s="305">
        <v>1</v>
      </c>
      <c r="L224" s="305">
        <v>0</v>
      </c>
      <c r="M224" s="305">
        <v>0</v>
      </c>
      <c r="N224" s="305">
        <v>0</v>
      </c>
      <c r="O224" s="305">
        <v>0</v>
      </c>
      <c r="P224" s="305">
        <v>0</v>
      </c>
      <c r="Q224" s="203" t="s">
        <v>146</v>
      </c>
      <c r="R224" s="306"/>
    </row>
    <row r="225" spans="2:18" ht="22.5" customHeight="1" thickBot="1" x14ac:dyDescent="0.25">
      <c r="B225" s="305">
        <f t="shared" si="83"/>
        <v>43</v>
      </c>
      <c r="C225" s="305">
        <f>O225+M225+K225+I225+G225+E225</f>
        <v>31</v>
      </c>
      <c r="D225" s="305">
        <f>P225+N225+L225+J225+H225+F225</f>
        <v>12</v>
      </c>
      <c r="E225" s="305">
        <v>0</v>
      </c>
      <c r="F225" s="305">
        <v>0</v>
      </c>
      <c r="G225" s="305">
        <v>0</v>
      </c>
      <c r="H225" s="305">
        <v>0</v>
      </c>
      <c r="I225" s="305">
        <v>8</v>
      </c>
      <c r="J225" s="305">
        <v>8</v>
      </c>
      <c r="K225" s="305">
        <v>16</v>
      </c>
      <c r="L225" s="305">
        <v>4</v>
      </c>
      <c r="M225" s="305">
        <v>6</v>
      </c>
      <c r="N225" s="305">
        <v>0</v>
      </c>
      <c r="O225" s="305">
        <v>1</v>
      </c>
      <c r="P225" s="305">
        <v>0</v>
      </c>
      <c r="Q225" s="203" t="s">
        <v>145</v>
      </c>
      <c r="R225" s="306" t="s">
        <v>377</v>
      </c>
    </row>
    <row r="226" spans="2:18" ht="22.5" customHeight="1" thickBot="1" x14ac:dyDescent="0.25">
      <c r="B226" s="305">
        <f t="shared" ref="B226:P226" si="105">SUM(B224:B225)</f>
        <v>86</v>
      </c>
      <c r="C226" s="305">
        <f t="shared" si="105"/>
        <v>71</v>
      </c>
      <c r="D226" s="305">
        <f t="shared" si="105"/>
        <v>15</v>
      </c>
      <c r="E226" s="305">
        <f t="shared" si="105"/>
        <v>0</v>
      </c>
      <c r="F226" s="305">
        <f t="shared" si="105"/>
        <v>0</v>
      </c>
      <c r="G226" s="305">
        <f t="shared" si="105"/>
        <v>34</v>
      </c>
      <c r="H226" s="305">
        <f t="shared" si="105"/>
        <v>3</v>
      </c>
      <c r="I226" s="305">
        <f t="shared" si="105"/>
        <v>13</v>
      </c>
      <c r="J226" s="305">
        <f t="shared" si="105"/>
        <v>8</v>
      </c>
      <c r="K226" s="305">
        <f t="shared" si="105"/>
        <v>17</v>
      </c>
      <c r="L226" s="305">
        <f t="shared" si="105"/>
        <v>4</v>
      </c>
      <c r="M226" s="305">
        <f t="shared" si="105"/>
        <v>6</v>
      </c>
      <c r="N226" s="305">
        <f t="shared" si="105"/>
        <v>0</v>
      </c>
      <c r="O226" s="305">
        <f t="shared" si="105"/>
        <v>1</v>
      </c>
      <c r="P226" s="305">
        <f t="shared" si="105"/>
        <v>0</v>
      </c>
      <c r="Q226" s="203" t="s">
        <v>12</v>
      </c>
      <c r="R226" s="307"/>
    </row>
    <row r="227" spans="2:18" ht="22.5" customHeight="1" thickBot="1" x14ac:dyDescent="0.25">
      <c r="B227" s="305">
        <f t="shared" si="83"/>
        <v>2</v>
      </c>
      <c r="C227" s="305">
        <f>O227+M227+K227+I227+G227+E227</f>
        <v>0</v>
      </c>
      <c r="D227" s="305">
        <f>P227+N227+L227+J227+H227+F227</f>
        <v>2</v>
      </c>
      <c r="E227" s="305">
        <v>0</v>
      </c>
      <c r="F227" s="305">
        <v>0</v>
      </c>
      <c r="G227" s="305">
        <v>0</v>
      </c>
      <c r="H227" s="305">
        <v>0</v>
      </c>
      <c r="I227" s="305">
        <v>0</v>
      </c>
      <c r="J227" s="305">
        <v>2</v>
      </c>
      <c r="K227" s="305">
        <v>0</v>
      </c>
      <c r="L227" s="305">
        <v>0</v>
      </c>
      <c r="M227" s="305">
        <v>0</v>
      </c>
      <c r="N227" s="305">
        <v>0</v>
      </c>
      <c r="O227" s="305">
        <v>0</v>
      </c>
      <c r="P227" s="305">
        <v>0</v>
      </c>
      <c r="Q227" s="203" t="s">
        <v>146</v>
      </c>
      <c r="R227" s="306"/>
    </row>
    <row r="228" spans="2:18" ht="22.5" customHeight="1" thickBot="1" x14ac:dyDescent="0.25">
      <c r="B228" s="305">
        <f t="shared" si="83"/>
        <v>49</v>
      </c>
      <c r="C228" s="305">
        <f>O228+M228+K228+I228+G228+E228</f>
        <v>0</v>
      </c>
      <c r="D228" s="305">
        <f>P228+N228+L228+J228+H228+F228</f>
        <v>49</v>
      </c>
      <c r="E228" s="305">
        <v>0</v>
      </c>
      <c r="F228" s="305">
        <v>0</v>
      </c>
      <c r="G228" s="305">
        <v>0</v>
      </c>
      <c r="H228" s="305">
        <v>0</v>
      </c>
      <c r="I228" s="305">
        <v>0</v>
      </c>
      <c r="J228" s="305">
        <v>33</v>
      </c>
      <c r="K228" s="305">
        <v>0</v>
      </c>
      <c r="L228" s="305">
        <v>16</v>
      </c>
      <c r="M228" s="305">
        <v>0</v>
      </c>
      <c r="N228" s="305">
        <v>0</v>
      </c>
      <c r="O228" s="305">
        <v>0</v>
      </c>
      <c r="P228" s="305">
        <v>0</v>
      </c>
      <c r="Q228" s="203" t="s">
        <v>145</v>
      </c>
      <c r="R228" s="306" t="s">
        <v>84</v>
      </c>
    </row>
    <row r="229" spans="2:18" ht="22.5" customHeight="1" thickBot="1" x14ac:dyDescent="0.25">
      <c r="B229" s="305">
        <f t="shared" ref="B229:P229" si="106">SUM(B227:B228)</f>
        <v>51</v>
      </c>
      <c r="C229" s="305">
        <f t="shared" si="106"/>
        <v>0</v>
      </c>
      <c r="D229" s="305">
        <f t="shared" si="106"/>
        <v>51</v>
      </c>
      <c r="E229" s="305">
        <f t="shared" si="106"/>
        <v>0</v>
      </c>
      <c r="F229" s="305">
        <f t="shared" si="106"/>
        <v>0</v>
      </c>
      <c r="G229" s="305">
        <f t="shared" si="106"/>
        <v>0</v>
      </c>
      <c r="H229" s="305">
        <f t="shared" si="106"/>
        <v>0</v>
      </c>
      <c r="I229" s="305">
        <f t="shared" si="106"/>
        <v>0</v>
      </c>
      <c r="J229" s="305">
        <f t="shared" si="106"/>
        <v>35</v>
      </c>
      <c r="K229" s="305">
        <f t="shared" si="106"/>
        <v>0</v>
      </c>
      <c r="L229" s="305">
        <f t="shared" si="106"/>
        <v>16</v>
      </c>
      <c r="M229" s="305">
        <f t="shared" si="106"/>
        <v>0</v>
      </c>
      <c r="N229" s="305">
        <f t="shared" si="106"/>
        <v>0</v>
      </c>
      <c r="O229" s="305">
        <f t="shared" si="106"/>
        <v>0</v>
      </c>
      <c r="P229" s="305">
        <f t="shared" si="106"/>
        <v>0</v>
      </c>
      <c r="Q229" s="203" t="s">
        <v>12</v>
      </c>
      <c r="R229" s="307"/>
    </row>
    <row r="230" spans="2:18" ht="22.5" customHeight="1" thickBot="1" x14ac:dyDescent="0.25">
      <c r="B230" s="305">
        <f t="shared" ref="B230:B249" si="107">SUM(C230:D230)</f>
        <v>5</v>
      </c>
      <c r="C230" s="305">
        <f>O230+M230+K230+I230+G230+E230</f>
        <v>0</v>
      </c>
      <c r="D230" s="305">
        <f>P230+N230+L230+J230+H230+F230</f>
        <v>5</v>
      </c>
      <c r="E230" s="305">
        <v>0</v>
      </c>
      <c r="F230" s="305">
        <v>0</v>
      </c>
      <c r="G230" s="305">
        <v>0</v>
      </c>
      <c r="H230" s="305">
        <v>0</v>
      </c>
      <c r="I230" s="305">
        <v>0</v>
      </c>
      <c r="J230" s="305">
        <v>4</v>
      </c>
      <c r="K230" s="305">
        <v>0</v>
      </c>
      <c r="L230" s="305">
        <v>1</v>
      </c>
      <c r="M230" s="305">
        <v>0</v>
      </c>
      <c r="N230" s="305">
        <v>0</v>
      </c>
      <c r="O230" s="305">
        <v>0</v>
      </c>
      <c r="P230" s="305">
        <v>0</v>
      </c>
      <c r="Q230" s="203" t="s">
        <v>146</v>
      </c>
      <c r="R230" s="306"/>
    </row>
    <row r="231" spans="2:18" ht="22.5" customHeight="1" thickBot="1" x14ac:dyDescent="0.25">
      <c r="B231" s="305">
        <f t="shared" si="107"/>
        <v>54</v>
      </c>
      <c r="C231" s="305">
        <f>O231+M231+K231+I231+G231+E231</f>
        <v>0</v>
      </c>
      <c r="D231" s="305">
        <f>P231+N231+L231+J231+H231+F231</f>
        <v>54</v>
      </c>
      <c r="E231" s="305">
        <v>0</v>
      </c>
      <c r="F231" s="305">
        <v>0</v>
      </c>
      <c r="G231" s="305">
        <v>0</v>
      </c>
      <c r="H231" s="305">
        <v>0</v>
      </c>
      <c r="I231" s="305">
        <v>0</v>
      </c>
      <c r="J231" s="305">
        <v>37</v>
      </c>
      <c r="K231" s="305">
        <v>0</v>
      </c>
      <c r="L231" s="305">
        <v>16</v>
      </c>
      <c r="M231" s="305">
        <v>0</v>
      </c>
      <c r="N231" s="305">
        <v>1</v>
      </c>
      <c r="O231" s="305">
        <v>0</v>
      </c>
      <c r="P231" s="305">
        <v>0</v>
      </c>
      <c r="Q231" s="203" t="s">
        <v>145</v>
      </c>
      <c r="R231" s="306" t="s">
        <v>85</v>
      </c>
    </row>
    <row r="232" spans="2:18" ht="22.5" customHeight="1" thickBot="1" x14ac:dyDescent="0.25">
      <c r="B232" s="305">
        <f t="shared" ref="B232:I232" si="108">SUM(B230:B231)</f>
        <v>59</v>
      </c>
      <c r="C232" s="305">
        <f t="shared" si="108"/>
        <v>0</v>
      </c>
      <c r="D232" s="305">
        <f t="shared" si="108"/>
        <v>59</v>
      </c>
      <c r="E232" s="305">
        <f t="shared" si="108"/>
        <v>0</v>
      </c>
      <c r="F232" s="305">
        <f t="shared" si="108"/>
        <v>0</v>
      </c>
      <c r="G232" s="305">
        <f t="shared" si="108"/>
        <v>0</v>
      </c>
      <c r="H232" s="305">
        <f t="shared" si="108"/>
        <v>0</v>
      </c>
      <c r="I232" s="305">
        <f t="shared" si="108"/>
        <v>0</v>
      </c>
      <c r="J232" s="305">
        <v>41</v>
      </c>
      <c r="K232" s="305">
        <f>SUM(K230:K231)</f>
        <v>0</v>
      </c>
      <c r="L232" s="305">
        <v>17</v>
      </c>
      <c r="M232" s="305">
        <f>SUM(M230:M231)</f>
        <v>0</v>
      </c>
      <c r="N232" s="305">
        <v>1</v>
      </c>
      <c r="O232" s="305">
        <f>SUM(O230:O231)</f>
        <v>0</v>
      </c>
      <c r="P232" s="305">
        <f>SUM(P230:P231)</f>
        <v>0</v>
      </c>
      <c r="Q232" s="203" t="s">
        <v>12</v>
      </c>
      <c r="R232" s="307"/>
    </row>
    <row r="233" spans="2:18" ht="22.5" customHeight="1" thickBot="1" x14ac:dyDescent="0.25">
      <c r="B233" s="305">
        <f t="shared" si="107"/>
        <v>38</v>
      </c>
      <c r="C233" s="305">
        <f>O233+M233+K233+I233+G233+E233</f>
        <v>0</v>
      </c>
      <c r="D233" s="305">
        <f>P233+N233+L233+J233+H233+F233</f>
        <v>38</v>
      </c>
      <c r="E233" s="305">
        <v>0</v>
      </c>
      <c r="F233" s="305">
        <v>0</v>
      </c>
      <c r="G233" s="305">
        <v>0</v>
      </c>
      <c r="H233" s="305">
        <v>10</v>
      </c>
      <c r="I233" s="305">
        <v>0</v>
      </c>
      <c r="J233" s="305">
        <v>2</v>
      </c>
      <c r="K233" s="305">
        <v>0</v>
      </c>
      <c r="L233" s="305">
        <v>11</v>
      </c>
      <c r="M233" s="305">
        <v>0</v>
      </c>
      <c r="N233" s="305">
        <v>9</v>
      </c>
      <c r="O233" s="305">
        <v>0</v>
      </c>
      <c r="P233" s="305">
        <v>6</v>
      </c>
      <c r="Q233" s="203" t="s">
        <v>146</v>
      </c>
      <c r="R233" s="306"/>
    </row>
    <row r="234" spans="2:18" ht="22.5" customHeight="1" thickBot="1" x14ac:dyDescent="0.25">
      <c r="B234" s="305">
        <f t="shared" si="107"/>
        <v>17</v>
      </c>
      <c r="C234" s="305">
        <f>O234+M234+K234+I234+G234+E234</f>
        <v>0</v>
      </c>
      <c r="D234" s="305">
        <f>P234+N234+L234+J234+H234+F234</f>
        <v>17</v>
      </c>
      <c r="E234" s="305">
        <v>0</v>
      </c>
      <c r="F234" s="305">
        <v>0</v>
      </c>
      <c r="G234" s="305">
        <v>0</v>
      </c>
      <c r="H234" s="305">
        <v>0</v>
      </c>
      <c r="I234" s="305">
        <v>0</v>
      </c>
      <c r="J234" s="305">
        <v>2</v>
      </c>
      <c r="K234" s="305">
        <v>0</v>
      </c>
      <c r="L234" s="305">
        <v>10</v>
      </c>
      <c r="M234" s="305">
        <v>0</v>
      </c>
      <c r="N234" s="305">
        <v>1</v>
      </c>
      <c r="O234" s="305">
        <v>0</v>
      </c>
      <c r="P234" s="305">
        <v>4</v>
      </c>
      <c r="Q234" s="203" t="s">
        <v>145</v>
      </c>
      <c r="R234" s="306" t="s">
        <v>379</v>
      </c>
    </row>
    <row r="235" spans="2:18" ht="22.5" customHeight="1" thickBot="1" x14ac:dyDescent="0.25">
      <c r="B235" s="305">
        <f t="shared" ref="B235:P235" si="109">SUM(B233:B234)</f>
        <v>55</v>
      </c>
      <c r="C235" s="305">
        <f t="shared" si="109"/>
        <v>0</v>
      </c>
      <c r="D235" s="305">
        <f t="shared" si="109"/>
        <v>55</v>
      </c>
      <c r="E235" s="305">
        <f t="shared" si="109"/>
        <v>0</v>
      </c>
      <c r="F235" s="305">
        <f t="shared" si="109"/>
        <v>0</v>
      </c>
      <c r="G235" s="305">
        <f t="shared" si="109"/>
        <v>0</v>
      </c>
      <c r="H235" s="305">
        <f t="shared" si="109"/>
        <v>10</v>
      </c>
      <c r="I235" s="305">
        <f t="shared" si="109"/>
        <v>0</v>
      </c>
      <c r="J235" s="305">
        <f t="shared" si="109"/>
        <v>4</v>
      </c>
      <c r="K235" s="305">
        <f t="shared" si="109"/>
        <v>0</v>
      </c>
      <c r="L235" s="305">
        <f t="shared" si="109"/>
        <v>21</v>
      </c>
      <c r="M235" s="305">
        <f t="shared" si="109"/>
        <v>0</v>
      </c>
      <c r="N235" s="305">
        <f t="shared" si="109"/>
        <v>10</v>
      </c>
      <c r="O235" s="305">
        <f t="shared" si="109"/>
        <v>0</v>
      </c>
      <c r="P235" s="305">
        <f t="shared" si="109"/>
        <v>10</v>
      </c>
      <c r="Q235" s="203" t="s">
        <v>12</v>
      </c>
      <c r="R235" s="307"/>
    </row>
    <row r="236" spans="2:18" ht="22.5" customHeight="1" thickBot="1" x14ac:dyDescent="0.25">
      <c r="B236" s="305">
        <f t="shared" si="107"/>
        <v>77</v>
      </c>
      <c r="C236" s="305">
        <f>O236+M236+K236+I236+G236+E236</f>
        <v>0</v>
      </c>
      <c r="D236" s="305">
        <f>P236+N236+L236+J236+H236+F236</f>
        <v>77</v>
      </c>
      <c r="E236" s="305">
        <v>0</v>
      </c>
      <c r="F236" s="305">
        <v>0</v>
      </c>
      <c r="G236" s="305">
        <v>0</v>
      </c>
      <c r="H236" s="305">
        <v>44</v>
      </c>
      <c r="I236" s="305">
        <v>0</v>
      </c>
      <c r="J236" s="305">
        <v>2</v>
      </c>
      <c r="K236" s="305">
        <v>0</v>
      </c>
      <c r="L236" s="305">
        <v>18</v>
      </c>
      <c r="M236" s="305">
        <v>0</v>
      </c>
      <c r="N236" s="305">
        <v>8</v>
      </c>
      <c r="O236" s="305">
        <v>0</v>
      </c>
      <c r="P236" s="305">
        <v>5</v>
      </c>
      <c r="Q236" s="203" t="s">
        <v>146</v>
      </c>
      <c r="R236" s="306"/>
    </row>
    <row r="237" spans="2:18" ht="22.5" customHeight="1" thickBot="1" x14ac:dyDescent="0.25">
      <c r="B237" s="305">
        <f t="shared" si="107"/>
        <v>51</v>
      </c>
      <c r="C237" s="305">
        <f>O237+M237+K237+I237+G237+E237</f>
        <v>10</v>
      </c>
      <c r="D237" s="305">
        <f>P237+N237+L237+J237+H237+F237</f>
        <v>41</v>
      </c>
      <c r="E237" s="305">
        <v>0</v>
      </c>
      <c r="F237" s="305">
        <v>0</v>
      </c>
      <c r="G237" s="305">
        <v>0</v>
      </c>
      <c r="H237" s="305">
        <v>0</v>
      </c>
      <c r="I237" s="305">
        <v>0</v>
      </c>
      <c r="J237" s="305">
        <v>0</v>
      </c>
      <c r="K237" s="305">
        <v>8</v>
      </c>
      <c r="L237" s="305">
        <v>22</v>
      </c>
      <c r="M237" s="305">
        <v>1</v>
      </c>
      <c r="N237" s="305">
        <v>13</v>
      </c>
      <c r="O237" s="305">
        <v>1</v>
      </c>
      <c r="P237" s="305">
        <v>6</v>
      </c>
      <c r="Q237" s="203" t="s">
        <v>145</v>
      </c>
      <c r="R237" s="306" t="s">
        <v>758</v>
      </c>
    </row>
    <row r="238" spans="2:18" ht="22.5" customHeight="1" thickBot="1" x14ac:dyDescent="0.25">
      <c r="B238" s="305">
        <f t="shared" ref="B238:G238" si="110">SUM(B236:B237)</f>
        <v>128</v>
      </c>
      <c r="C238" s="305">
        <f t="shared" si="110"/>
        <v>10</v>
      </c>
      <c r="D238" s="305">
        <f t="shared" si="110"/>
        <v>118</v>
      </c>
      <c r="E238" s="305">
        <f t="shared" si="110"/>
        <v>0</v>
      </c>
      <c r="F238" s="305">
        <f t="shared" si="110"/>
        <v>0</v>
      </c>
      <c r="G238" s="305">
        <f t="shared" si="110"/>
        <v>0</v>
      </c>
      <c r="H238" s="305">
        <v>44</v>
      </c>
      <c r="I238" s="305">
        <f t="shared" ref="I238:P238" si="111">SUM(I236:I237)</f>
        <v>0</v>
      </c>
      <c r="J238" s="305">
        <f t="shared" si="111"/>
        <v>2</v>
      </c>
      <c r="K238" s="305">
        <f t="shared" si="111"/>
        <v>8</v>
      </c>
      <c r="L238" s="305">
        <f t="shared" si="111"/>
        <v>40</v>
      </c>
      <c r="M238" s="305">
        <f t="shared" si="111"/>
        <v>1</v>
      </c>
      <c r="N238" s="305">
        <f t="shared" si="111"/>
        <v>21</v>
      </c>
      <c r="O238" s="305">
        <f t="shared" si="111"/>
        <v>1</v>
      </c>
      <c r="P238" s="305">
        <f t="shared" si="111"/>
        <v>11</v>
      </c>
      <c r="Q238" s="203" t="s">
        <v>12</v>
      </c>
      <c r="R238" s="307"/>
    </row>
    <row r="239" spans="2:18" ht="22.5" customHeight="1" thickBot="1" x14ac:dyDescent="0.25">
      <c r="B239" s="305">
        <f t="shared" si="107"/>
        <v>2</v>
      </c>
      <c r="C239" s="305">
        <f>O239+M239+K239+I239+G239+E239</f>
        <v>0</v>
      </c>
      <c r="D239" s="305">
        <f>P239+N239+L239+J239+H239+F239</f>
        <v>2</v>
      </c>
      <c r="E239" s="305">
        <v>0</v>
      </c>
      <c r="F239" s="305">
        <v>0</v>
      </c>
      <c r="G239" s="305">
        <v>0</v>
      </c>
      <c r="H239" s="305">
        <v>0</v>
      </c>
      <c r="I239" s="305">
        <v>0</v>
      </c>
      <c r="J239" s="305">
        <v>0</v>
      </c>
      <c r="K239" s="305">
        <v>0</v>
      </c>
      <c r="L239" s="305">
        <v>2</v>
      </c>
      <c r="M239" s="305">
        <v>0</v>
      </c>
      <c r="N239" s="305">
        <v>0</v>
      </c>
      <c r="O239" s="305">
        <v>0</v>
      </c>
      <c r="P239" s="305">
        <v>0</v>
      </c>
      <c r="Q239" s="203" t="s">
        <v>146</v>
      </c>
      <c r="R239" s="306"/>
    </row>
    <row r="240" spans="2:18" ht="22.5" customHeight="1" thickBot="1" x14ac:dyDescent="0.25">
      <c r="B240" s="305">
        <f t="shared" si="107"/>
        <v>21</v>
      </c>
      <c r="C240" s="305">
        <f>O240+M240+K240+I240+G240+E240</f>
        <v>0</v>
      </c>
      <c r="D240" s="305">
        <f>P240+N240+L240+J240+H240+F240</f>
        <v>21</v>
      </c>
      <c r="E240" s="305">
        <v>0</v>
      </c>
      <c r="F240" s="305">
        <v>0</v>
      </c>
      <c r="G240" s="305">
        <v>0</v>
      </c>
      <c r="H240" s="305">
        <v>0</v>
      </c>
      <c r="I240" s="305">
        <v>0</v>
      </c>
      <c r="J240" s="305">
        <v>6</v>
      </c>
      <c r="K240" s="305">
        <v>0</v>
      </c>
      <c r="L240" s="305">
        <v>12</v>
      </c>
      <c r="M240" s="305">
        <v>0</v>
      </c>
      <c r="N240" s="305">
        <v>3</v>
      </c>
      <c r="O240" s="305">
        <v>0</v>
      </c>
      <c r="P240" s="305">
        <v>0</v>
      </c>
      <c r="Q240" s="203" t="s">
        <v>145</v>
      </c>
      <c r="R240" s="306" t="s">
        <v>86</v>
      </c>
    </row>
    <row r="241" spans="2:18" ht="22.5" customHeight="1" thickBot="1" x14ac:dyDescent="0.25">
      <c r="B241" s="305">
        <f t="shared" ref="B241:P241" si="112">SUM(B239:B240)</f>
        <v>23</v>
      </c>
      <c r="C241" s="305">
        <f t="shared" si="112"/>
        <v>0</v>
      </c>
      <c r="D241" s="305">
        <f t="shared" si="112"/>
        <v>23</v>
      </c>
      <c r="E241" s="305">
        <f t="shared" si="112"/>
        <v>0</v>
      </c>
      <c r="F241" s="305">
        <f t="shared" si="112"/>
        <v>0</v>
      </c>
      <c r="G241" s="305">
        <f t="shared" si="112"/>
        <v>0</v>
      </c>
      <c r="H241" s="305">
        <f t="shared" si="112"/>
        <v>0</v>
      </c>
      <c r="I241" s="305">
        <f t="shared" si="112"/>
        <v>0</v>
      </c>
      <c r="J241" s="305">
        <f t="shared" si="112"/>
        <v>6</v>
      </c>
      <c r="K241" s="305">
        <f t="shared" si="112"/>
        <v>0</v>
      </c>
      <c r="L241" s="305">
        <f t="shared" si="112"/>
        <v>14</v>
      </c>
      <c r="M241" s="305">
        <f t="shared" si="112"/>
        <v>0</v>
      </c>
      <c r="N241" s="305">
        <f t="shared" si="112"/>
        <v>3</v>
      </c>
      <c r="O241" s="305">
        <f t="shared" si="112"/>
        <v>0</v>
      </c>
      <c r="P241" s="305">
        <f t="shared" si="112"/>
        <v>0</v>
      </c>
      <c r="Q241" s="203" t="s">
        <v>12</v>
      </c>
      <c r="R241" s="307"/>
    </row>
    <row r="242" spans="2:18" ht="22.5" customHeight="1" thickBot="1" x14ac:dyDescent="0.25">
      <c r="B242" s="305">
        <f t="shared" si="107"/>
        <v>1</v>
      </c>
      <c r="C242" s="305">
        <f>O242+M242+K242+I242+G242+E242</f>
        <v>0</v>
      </c>
      <c r="D242" s="305">
        <f>P242+N242+L242+J242+H242+F242</f>
        <v>1</v>
      </c>
      <c r="E242" s="305">
        <v>0</v>
      </c>
      <c r="F242" s="305">
        <v>0</v>
      </c>
      <c r="G242" s="305">
        <v>0</v>
      </c>
      <c r="H242" s="305">
        <v>0</v>
      </c>
      <c r="I242" s="305">
        <v>0</v>
      </c>
      <c r="J242" s="305">
        <v>0</v>
      </c>
      <c r="K242" s="305">
        <v>0</v>
      </c>
      <c r="L242" s="305">
        <v>0</v>
      </c>
      <c r="M242" s="305">
        <v>0</v>
      </c>
      <c r="N242" s="305">
        <v>1</v>
      </c>
      <c r="O242" s="305">
        <v>0</v>
      </c>
      <c r="P242" s="305">
        <v>0</v>
      </c>
      <c r="Q242" s="203" t="s">
        <v>146</v>
      </c>
      <c r="R242" s="306"/>
    </row>
    <row r="243" spans="2:18" ht="22.5" customHeight="1" thickBot="1" x14ac:dyDescent="0.25">
      <c r="B243" s="305">
        <f t="shared" si="107"/>
        <v>4</v>
      </c>
      <c r="C243" s="305">
        <f>O243+M243+K243+I243+G243+E243</f>
        <v>0</v>
      </c>
      <c r="D243" s="305">
        <f>P243+N243+L243+J243+H243+F243</f>
        <v>4</v>
      </c>
      <c r="E243" s="305">
        <v>0</v>
      </c>
      <c r="F243" s="305">
        <v>0</v>
      </c>
      <c r="G243" s="305">
        <v>0</v>
      </c>
      <c r="H243" s="305">
        <v>0</v>
      </c>
      <c r="I243" s="305">
        <v>0</v>
      </c>
      <c r="J243" s="305">
        <v>0</v>
      </c>
      <c r="K243" s="305">
        <v>0</v>
      </c>
      <c r="L243" s="305">
        <v>4</v>
      </c>
      <c r="M243" s="305">
        <v>0</v>
      </c>
      <c r="N243" s="305">
        <v>0</v>
      </c>
      <c r="O243" s="305">
        <v>0</v>
      </c>
      <c r="P243" s="305">
        <v>0</v>
      </c>
      <c r="Q243" s="203" t="s">
        <v>145</v>
      </c>
      <c r="R243" s="306" t="s">
        <v>387</v>
      </c>
    </row>
    <row r="244" spans="2:18" ht="22.5" customHeight="1" thickBot="1" x14ac:dyDescent="0.25">
      <c r="B244" s="305">
        <f t="shared" ref="B244:P244" si="113">SUM(B242:B243)</f>
        <v>5</v>
      </c>
      <c r="C244" s="305">
        <f t="shared" si="113"/>
        <v>0</v>
      </c>
      <c r="D244" s="305">
        <f t="shared" si="113"/>
        <v>5</v>
      </c>
      <c r="E244" s="305">
        <f t="shared" si="113"/>
        <v>0</v>
      </c>
      <c r="F244" s="305">
        <f t="shared" si="113"/>
        <v>0</v>
      </c>
      <c r="G244" s="305">
        <f t="shared" si="113"/>
        <v>0</v>
      </c>
      <c r="H244" s="305">
        <f t="shared" si="113"/>
        <v>0</v>
      </c>
      <c r="I244" s="305">
        <f t="shared" si="113"/>
        <v>0</v>
      </c>
      <c r="J244" s="305">
        <f t="shared" si="113"/>
        <v>0</v>
      </c>
      <c r="K244" s="305">
        <f t="shared" si="113"/>
        <v>0</v>
      </c>
      <c r="L244" s="305">
        <f t="shared" si="113"/>
        <v>4</v>
      </c>
      <c r="M244" s="305">
        <f t="shared" si="113"/>
        <v>0</v>
      </c>
      <c r="N244" s="305">
        <f t="shared" si="113"/>
        <v>1</v>
      </c>
      <c r="O244" s="305">
        <f t="shared" si="113"/>
        <v>0</v>
      </c>
      <c r="P244" s="305">
        <f t="shared" si="113"/>
        <v>0</v>
      </c>
      <c r="Q244" s="203" t="s">
        <v>12</v>
      </c>
      <c r="R244" s="307"/>
    </row>
    <row r="245" spans="2:18" ht="22.5" customHeight="1" thickBot="1" x14ac:dyDescent="0.25">
      <c r="B245" s="305">
        <f t="shared" si="107"/>
        <v>0</v>
      </c>
      <c r="C245" s="305">
        <f>O245+M245+K245+I245+G245+E245</f>
        <v>0</v>
      </c>
      <c r="D245" s="305">
        <f>P245+N245+L245+J245+H245+F245</f>
        <v>0</v>
      </c>
      <c r="E245" s="305">
        <v>0</v>
      </c>
      <c r="F245" s="305">
        <v>0</v>
      </c>
      <c r="G245" s="305">
        <v>0</v>
      </c>
      <c r="H245" s="305">
        <v>0</v>
      </c>
      <c r="I245" s="305">
        <v>0</v>
      </c>
      <c r="J245" s="305">
        <v>0</v>
      </c>
      <c r="K245" s="305">
        <v>0</v>
      </c>
      <c r="L245" s="305">
        <v>0</v>
      </c>
      <c r="M245" s="305">
        <v>0</v>
      </c>
      <c r="N245" s="305">
        <v>0</v>
      </c>
      <c r="O245" s="305">
        <v>0</v>
      </c>
      <c r="P245" s="305">
        <v>0</v>
      </c>
      <c r="Q245" s="203" t="s">
        <v>146</v>
      </c>
      <c r="R245" s="306"/>
    </row>
    <row r="246" spans="2:18" ht="22.5" customHeight="1" thickBot="1" x14ac:dyDescent="0.25">
      <c r="B246" s="305">
        <f t="shared" si="107"/>
        <v>6</v>
      </c>
      <c r="C246" s="305">
        <f>O246+M246+K246+I246+G246+E246</f>
        <v>0</v>
      </c>
      <c r="D246" s="305">
        <f>P246+N246+L246+J246+H246+F246</f>
        <v>6</v>
      </c>
      <c r="E246" s="305">
        <v>0</v>
      </c>
      <c r="F246" s="305">
        <v>0</v>
      </c>
      <c r="G246" s="305">
        <v>0</v>
      </c>
      <c r="H246" s="305">
        <v>0</v>
      </c>
      <c r="I246" s="305">
        <v>0</v>
      </c>
      <c r="J246" s="305">
        <v>0</v>
      </c>
      <c r="K246" s="305">
        <v>0</v>
      </c>
      <c r="L246" s="305">
        <v>6</v>
      </c>
      <c r="M246" s="305">
        <v>0</v>
      </c>
      <c r="N246" s="305">
        <v>0</v>
      </c>
      <c r="O246" s="305">
        <v>0</v>
      </c>
      <c r="P246" s="305">
        <v>0</v>
      </c>
      <c r="Q246" s="203" t="s">
        <v>145</v>
      </c>
      <c r="R246" s="306" t="s">
        <v>759</v>
      </c>
    </row>
    <row r="247" spans="2:18" ht="22.5" customHeight="1" thickBot="1" x14ac:dyDescent="0.25">
      <c r="B247" s="305">
        <f t="shared" ref="B247:P247" si="114">SUM(B245:B246)</f>
        <v>6</v>
      </c>
      <c r="C247" s="305">
        <f t="shared" si="114"/>
        <v>0</v>
      </c>
      <c r="D247" s="305">
        <f t="shared" si="114"/>
        <v>6</v>
      </c>
      <c r="E247" s="305">
        <f t="shared" si="114"/>
        <v>0</v>
      </c>
      <c r="F247" s="305">
        <f t="shared" si="114"/>
        <v>0</v>
      </c>
      <c r="G247" s="305">
        <f t="shared" si="114"/>
        <v>0</v>
      </c>
      <c r="H247" s="305">
        <f t="shared" si="114"/>
        <v>0</v>
      </c>
      <c r="I247" s="305">
        <f t="shared" si="114"/>
        <v>0</v>
      </c>
      <c r="J247" s="305">
        <f t="shared" si="114"/>
        <v>0</v>
      </c>
      <c r="K247" s="305">
        <f t="shared" si="114"/>
        <v>0</v>
      </c>
      <c r="L247" s="305">
        <f t="shared" si="114"/>
        <v>6</v>
      </c>
      <c r="M247" s="305">
        <f t="shared" si="114"/>
        <v>0</v>
      </c>
      <c r="N247" s="305">
        <f t="shared" si="114"/>
        <v>0</v>
      </c>
      <c r="O247" s="305">
        <f t="shared" si="114"/>
        <v>0</v>
      </c>
      <c r="P247" s="305">
        <f t="shared" si="114"/>
        <v>0</v>
      </c>
      <c r="Q247" s="203" t="s">
        <v>12</v>
      </c>
      <c r="R247" s="307"/>
    </row>
    <row r="248" spans="2:18" ht="22.5" customHeight="1" thickBot="1" x14ac:dyDescent="0.25">
      <c r="B248" s="305">
        <f t="shared" si="107"/>
        <v>20</v>
      </c>
      <c r="C248" s="305">
        <f>O248+M248+K248+I248+G248+E248</f>
        <v>0</v>
      </c>
      <c r="D248" s="305">
        <f>P248+N248+L248+J248+H248+F248</f>
        <v>20</v>
      </c>
      <c r="E248" s="305">
        <v>0</v>
      </c>
      <c r="F248" s="305">
        <v>0</v>
      </c>
      <c r="G248" s="305">
        <v>0</v>
      </c>
      <c r="H248" s="305">
        <v>13</v>
      </c>
      <c r="I248" s="305">
        <v>0</v>
      </c>
      <c r="J248" s="305">
        <v>6</v>
      </c>
      <c r="K248" s="305">
        <v>0</v>
      </c>
      <c r="L248" s="305">
        <v>1</v>
      </c>
      <c r="M248" s="305">
        <v>0</v>
      </c>
      <c r="N248" s="305">
        <v>0</v>
      </c>
      <c r="O248" s="305">
        <v>0</v>
      </c>
      <c r="P248" s="305">
        <v>0</v>
      </c>
      <c r="Q248" s="203" t="s">
        <v>146</v>
      </c>
      <c r="R248" s="306"/>
    </row>
    <row r="249" spans="2:18" ht="22.5" customHeight="1" thickBot="1" x14ac:dyDescent="0.25">
      <c r="B249" s="305">
        <f t="shared" si="107"/>
        <v>32</v>
      </c>
      <c r="C249" s="305">
        <f>O249+M249+K249+I249+G249+E249</f>
        <v>0</v>
      </c>
      <c r="D249" s="305">
        <f>P249+N249+L249+J249+H249+F249</f>
        <v>32</v>
      </c>
      <c r="E249" s="305">
        <v>0</v>
      </c>
      <c r="F249" s="305">
        <v>0</v>
      </c>
      <c r="G249" s="305">
        <v>0</v>
      </c>
      <c r="H249" s="305">
        <v>0</v>
      </c>
      <c r="I249" s="305">
        <v>0</v>
      </c>
      <c r="J249" s="305">
        <v>10</v>
      </c>
      <c r="K249" s="305">
        <v>0</v>
      </c>
      <c r="L249" s="305">
        <v>19</v>
      </c>
      <c r="M249" s="305">
        <v>0</v>
      </c>
      <c r="N249" s="305">
        <v>3</v>
      </c>
      <c r="O249" s="305">
        <v>0</v>
      </c>
      <c r="P249" s="305">
        <v>0</v>
      </c>
      <c r="Q249" s="203" t="s">
        <v>145</v>
      </c>
      <c r="R249" s="306" t="s">
        <v>760</v>
      </c>
    </row>
    <row r="250" spans="2:18" ht="22.5" customHeight="1" thickBot="1" x14ac:dyDescent="0.25">
      <c r="B250" s="305">
        <f t="shared" ref="B250:P250" si="115">SUM(B248:B249)</f>
        <v>52</v>
      </c>
      <c r="C250" s="305">
        <f t="shared" si="115"/>
        <v>0</v>
      </c>
      <c r="D250" s="305">
        <f t="shared" si="115"/>
        <v>52</v>
      </c>
      <c r="E250" s="305">
        <f t="shared" si="115"/>
        <v>0</v>
      </c>
      <c r="F250" s="305">
        <f t="shared" si="115"/>
        <v>0</v>
      </c>
      <c r="G250" s="305">
        <f t="shared" si="115"/>
        <v>0</v>
      </c>
      <c r="H250" s="305">
        <f t="shared" si="115"/>
        <v>13</v>
      </c>
      <c r="I250" s="305">
        <f t="shared" si="115"/>
        <v>0</v>
      </c>
      <c r="J250" s="305">
        <f t="shared" si="115"/>
        <v>16</v>
      </c>
      <c r="K250" s="305">
        <f t="shared" si="115"/>
        <v>0</v>
      </c>
      <c r="L250" s="305">
        <f t="shared" si="115"/>
        <v>20</v>
      </c>
      <c r="M250" s="305">
        <f t="shared" si="115"/>
        <v>0</v>
      </c>
      <c r="N250" s="305">
        <f t="shared" si="115"/>
        <v>3</v>
      </c>
      <c r="O250" s="305">
        <f t="shared" si="115"/>
        <v>0</v>
      </c>
      <c r="P250" s="305">
        <f t="shared" si="115"/>
        <v>0</v>
      </c>
      <c r="Q250" s="203" t="s">
        <v>12</v>
      </c>
      <c r="R250" s="307"/>
    </row>
    <row r="251" spans="2:18" ht="22.5" customHeight="1" thickBot="1" x14ac:dyDescent="0.25">
      <c r="B251" s="305">
        <f t="shared" ref="B251:P253" si="116">B164+B167+B170+B173+B176+B179+B182+B185+B188+B191+B194+B197+B200+B203+B206+B209+B212+B215+B218+B221+B224+B227+B230+B233+B236+B239+B242+B245+B248</f>
        <v>4573</v>
      </c>
      <c r="C251" s="305">
        <f t="shared" si="116"/>
        <v>1643</v>
      </c>
      <c r="D251" s="305">
        <f t="shared" si="116"/>
        <v>2930</v>
      </c>
      <c r="E251" s="305">
        <f t="shared" si="116"/>
        <v>0</v>
      </c>
      <c r="F251" s="305">
        <f t="shared" si="116"/>
        <v>43</v>
      </c>
      <c r="G251" s="305">
        <f t="shared" si="116"/>
        <v>982</v>
      </c>
      <c r="H251" s="305">
        <f t="shared" si="116"/>
        <v>1077</v>
      </c>
      <c r="I251" s="305">
        <f t="shared" si="116"/>
        <v>358</v>
      </c>
      <c r="J251" s="305">
        <f t="shared" si="116"/>
        <v>259</v>
      </c>
      <c r="K251" s="305">
        <f t="shared" si="116"/>
        <v>235</v>
      </c>
      <c r="L251" s="305">
        <f t="shared" si="116"/>
        <v>675</v>
      </c>
      <c r="M251" s="305">
        <f t="shared" si="116"/>
        <v>46</v>
      </c>
      <c r="N251" s="305">
        <f t="shared" si="116"/>
        <v>447</v>
      </c>
      <c r="O251" s="305">
        <f t="shared" si="116"/>
        <v>22</v>
      </c>
      <c r="P251" s="305">
        <f t="shared" si="116"/>
        <v>429</v>
      </c>
      <c r="Q251" s="203" t="s">
        <v>146</v>
      </c>
      <c r="R251" s="280"/>
    </row>
    <row r="252" spans="2:18" ht="22.5" customHeight="1" thickBot="1" x14ac:dyDescent="0.25">
      <c r="B252" s="305">
        <f t="shared" si="116"/>
        <v>2485</v>
      </c>
      <c r="C252" s="305">
        <f t="shared" si="116"/>
        <v>498</v>
      </c>
      <c r="D252" s="305">
        <f t="shared" si="116"/>
        <v>1987</v>
      </c>
      <c r="E252" s="305">
        <f t="shared" si="116"/>
        <v>63</v>
      </c>
      <c r="F252" s="305">
        <f t="shared" si="116"/>
        <v>64</v>
      </c>
      <c r="G252" s="305">
        <f t="shared" si="116"/>
        <v>0</v>
      </c>
      <c r="H252" s="305">
        <f t="shared" si="116"/>
        <v>0</v>
      </c>
      <c r="I252" s="305">
        <f t="shared" si="116"/>
        <v>83</v>
      </c>
      <c r="J252" s="305">
        <f t="shared" si="116"/>
        <v>430</v>
      </c>
      <c r="K252" s="305">
        <f t="shared" si="116"/>
        <v>227</v>
      </c>
      <c r="L252" s="305">
        <f t="shared" si="116"/>
        <v>858</v>
      </c>
      <c r="M252" s="305">
        <f t="shared" si="116"/>
        <v>79</v>
      </c>
      <c r="N252" s="305">
        <f t="shared" si="116"/>
        <v>345</v>
      </c>
      <c r="O252" s="305">
        <f t="shared" si="116"/>
        <v>46</v>
      </c>
      <c r="P252" s="305">
        <f t="shared" si="116"/>
        <v>290</v>
      </c>
      <c r="Q252" s="203" t="s">
        <v>145</v>
      </c>
      <c r="R252" s="281" t="s">
        <v>188</v>
      </c>
    </row>
    <row r="253" spans="2:18" ht="22.5" customHeight="1" thickBot="1" x14ac:dyDescent="0.25">
      <c r="B253" s="305">
        <f t="shared" si="116"/>
        <v>7058</v>
      </c>
      <c r="C253" s="305">
        <f t="shared" si="116"/>
        <v>2141</v>
      </c>
      <c r="D253" s="305">
        <f t="shared" si="116"/>
        <v>4917</v>
      </c>
      <c r="E253" s="305">
        <f t="shared" si="116"/>
        <v>57</v>
      </c>
      <c r="F253" s="305">
        <f t="shared" si="116"/>
        <v>107</v>
      </c>
      <c r="G253" s="305">
        <f t="shared" si="116"/>
        <v>982</v>
      </c>
      <c r="H253" s="305">
        <f t="shared" si="116"/>
        <v>1077</v>
      </c>
      <c r="I253" s="305">
        <f t="shared" si="116"/>
        <v>441</v>
      </c>
      <c r="J253" s="305">
        <f t="shared" si="116"/>
        <v>689</v>
      </c>
      <c r="K253" s="305">
        <f t="shared" si="116"/>
        <v>462</v>
      </c>
      <c r="L253" s="305">
        <f t="shared" si="116"/>
        <v>1533</v>
      </c>
      <c r="M253" s="305">
        <f t="shared" si="116"/>
        <v>125</v>
      </c>
      <c r="N253" s="305">
        <f t="shared" si="116"/>
        <v>792</v>
      </c>
      <c r="O253" s="305">
        <f t="shared" si="116"/>
        <v>68</v>
      </c>
      <c r="P253" s="305">
        <f t="shared" si="116"/>
        <v>719</v>
      </c>
      <c r="Q253" s="203" t="s">
        <v>12</v>
      </c>
      <c r="R253" s="282"/>
    </row>
    <row r="254" spans="2:18" ht="22.5" customHeight="1" thickBot="1" x14ac:dyDescent="0.25">
      <c r="B254" s="319"/>
      <c r="C254" s="319"/>
      <c r="D254" s="319"/>
      <c r="E254" s="319"/>
      <c r="F254" s="319"/>
      <c r="G254" s="319"/>
      <c r="H254" s="319"/>
      <c r="I254" s="319"/>
      <c r="J254" s="319"/>
      <c r="K254" s="319"/>
      <c r="L254" s="319"/>
      <c r="M254" s="319"/>
      <c r="N254" s="319"/>
      <c r="O254" s="319"/>
      <c r="P254" s="319"/>
      <c r="Q254" s="320"/>
      <c r="R254" s="320"/>
    </row>
    <row r="255" spans="2:18" ht="22.5" customHeight="1" thickBot="1" x14ac:dyDescent="0.25">
      <c r="B255" s="477" t="s">
        <v>4</v>
      </c>
      <c r="C255" s="477"/>
      <c r="D255" s="477"/>
      <c r="E255" s="477" t="s">
        <v>735</v>
      </c>
      <c r="F255" s="477"/>
      <c r="G255" s="477" t="s">
        <v>736</v>
      </c>
      <c r="H255" s="477"/>
      <c r="I255" s="477" t="s">
        <v>737</v>
      </c>
      <c r="J255" s="477"/>
      <c r="K255" s="477" t="s">
        <v>738</v>
      </c>
      <c r="L255" s="477"/>
      <c r="M255" s="477" t="s">
        <v>739</v>
      </c>
      <c r="N255" s="477"/>
      <c r="O255" s="477" t="s">
        <v>740</v>
      </c>
      <c r="P255" s="477"/>
      <c r="Q255" s="575" t="s">
        <v>741</v>
      </c>
      <c r="R255" s="304" t="s">
        <v>144</v>
      </c>
    </row>
    <row r="256" spans="2:18" ht="22.5" customHeight="1" thickBot="1" x14ac:dyDescent="0.25">
      <c r="B256" s="204" t="s">
        <v>227</v>
      </c>
      <c r="C256" s="204" t="s">
        <v>10</v>
      </c>
      <c r="D256" s="204" t="s">
        <v>9</v>
      </c>
      <c r="E256" s="204" t="s">
        <v>10</v>
      </c>
      <c r="F256" s="204" t="s">
        <v>9</v>
      </c>
      <c r="G256" s="204" t="s">
        <v>10</v>
      </c>
      <c r="H256" s="204" t="s">
        <v>9</v>
      </c>
      <c r="I256" s="204" t="s">
        <v>10</v>
      </c>
      <c r="J256" s="204" t="s">
        <v>9</v>
      </c>
      <c r="K256" s="204" t="s">
        <v>10</v>
      </c>
      <c r="L256" s="204" t="s">
        <v>9</v>
      </c>
      <c r="M256" s="204" t="s">
        <v>10</v>
      </c>
      <c r="N256" s="204" t="s">
        <v>9</v>
      </c>
      <c r="O256" s="204" t="s">
        <v>10</v>
      </c>
      <c r="P256" s="204" t="s">
        <v>9</v>
      </c>
      <c r="Q256" s="481"/>
      <c r="R256" s="282" t="s">
        <v>73</v>
      </c>
    </row>
    <row r="257" spans="2:18" ht="22.5" customHeight="1" thickBot="1" x14ac:dyDescent="0.25">
      <c r="B257" s="305">
        <f>SUM(C257:D257)</f>
        <v>544</v>
      </c>
      <c r="C257" s="305">
        <f>O257+M257+K257+I257+G257+E257</f>
        <v>283</v>
      </c>
      <c r="D257" s="305">
        <f>P257+N257+L257+J257+H257+F257</f>
        <v>261</v>
      </c>
      <c r="E257" s="305">
        <v>2</v>
      </c>
      <c r="F257" s="305">
        <v>5</v>
      </c>
      <c r="G257" s="305">
        <v>144</v>
      </c>
      <c r="H257" s="305">
        <v>99</v>
      </c>
      <c r="I257" s="305">
        <v>53</v>
      </c>
      <c r="J257" s="305">
        <v>19</v>
      </c>
      <c r="K257" s="305">
        <v>66</v>
      </c>
      <c r="L257" s="305">
        <v>81</v>
      </c>
      <c r="M257" s="305">
        <v>16</v>
      </c>
      <c r="N257" s="305">
        <v>38</v>
      </c>
      <c r="O257" s="305">
        <v>2</v>
      </c>
      <c r="P257" s="305">
        <v>19</v>
      </c>
      <c r="Q257" s="203" t="s">
        <v>146</v>
      </c>
      <c r="R257" s="306"/>
    </row>
    <row r="258" spans="2:18" ht="22.5" customHeight="1" thickBot="1" x14ac:dyDescent="0.25">
      <c r="B258" s="305">
        <f t="shared" ref="B258:B321" si="117">SUM(C258:D258)</f>
        <v>310</v>
      </c>
      <c r="C258" s="305">
        <f>O258+M258+K258+I258+G258+E258</f>
        <v>79</v>
      </c>
      <c r="D258" s="305">
        <f>P258+N258+L258+J258+H258+F258</f>
        <v>231</v>
      </c>
      <c r="E258" s="305">
        <v>61</v>
      </c>
      <c r="F258" s="305">
        <v>173</v>
      </c>
      <c r="G258" s="305">
        <v>0</v>
      </c>
      <c r="H258" s="305">
        <v>0</v>
      </c>
      <c r="I258" s="305">
        <v>4</v>
      </c>
      <c r="J258" s="305">
        <v>6</v>
      </c>
      <c r="K258" s="305">
        <v>11</v>
      </c>
      <c r="L258" s="305">
        <v>43</v>
      </c>
      <c r="M258" s="305">
        <v>0</v>
      </c>
      <c r="N258" s="305">
        <v>8</v>
      </c>
      <c r="O258" s="305">
        <v>3</v>
      </c>
      <c r="P258" s="305">
        <v>1</v>
      </c>
      <c r="Q258" s="203" t="s">
        <v>145</v>
      </c>
      <c r="R258" s="306" t="s">
        <v>403</v>
      </c>
    </row>
    <row r="259" spans="2:18" ht="22.5" customHeight="1" thickBot="1" x14ac:dyDescent="0.25">
      <c r="B259" s="305">
        <f t="shared" ref="B259:P259" si="118">SUM(B257:B258)</f>
        <v>854</v>
      </c>
      <c r="C259" s="305">
        <f t="shared" si="118"/>
        <v>362</v>
      </c>
      <c r="D259" s="305">
        <f t="shared" si="118"/>
        <v>492</v>
      </c>
      <c r="E259" s="305">
        <f t="shared" si="118"/>
        <v>63</v>
      </c>
      <c r="F259" s="305">
        <f t="shared" si="118"/>
        <v>178</v>
      </c>
      <c r="G259" s="305">
        <f t="shared" si="118"/>
        <v>144</v>
      </c>
      <c r="H259" s="305">
        <f t="shared" si="118"/>
        <v>99</v>
      </c>
      <c r="I259" s="305">
        <f t="shared" si="118"/>
        <v>57</v>
      </c>
      <c r="J259" s="305">
        <f t="shared" si="118"/>
        <v>25</v>
      </c>
      <c r="K259" s="305">
        <f t="shared" si="118"/>
        <v>77</v>
      </c>
      <c r="L259" s="305">
        <f t="shared" si="118"/>
        <v>124</v>
      </c>
      <c r="M259" s="305">
        <f t="shared" si="118"/>
        <v>16</v>
      </c>
      <c r="N259" s="305">
        <f t="shared" si="118"/>
        <v>46</v>
      </c>
      <c r="O259" s="305">
        <f t="shared" si="118"/>
        <v>5</v>
      </c>
      <c r="P259" s="305">
        <f t="shared" si="118"/>
        <v>20</v>
      </c>
      <c r="Q259" s="203" t="s">
        <v>12</v>
      </c>
      <c r="R259" s="307"/>
    </row>
    <row r="260" spans="2:18" ht="22.5" customHeight="1" thickBot="1" x14ac:dyDescent="0.25">
      <c r="B260" s="305">
        <f t="shared" si="117"/>
        <v>477</v>
      </c>
      <c r="C260" s="305">
        <f>O260+M260+K260+I260+G260+E260</f>
        <v>174</v>
      </c>
      <c r="D260" s="305">
        <f>P260+N260+L260+J260+H260+F260</f>
        <v>303</v>
      </c>
      <c r="E260" s="305">
        <v>0</v>
      </c>
      <c r="F260" s="305">
        <v>0</v>
      </c>
      <c r="G260" s="305">
        <v>92</v>
      </c>
      <c r="H260" s="305">
        <v>138</v>
      </c>
      <c r="I260" s="305">
        <v>8</v>
      </c>
      <c r="J260" s="305">
        <v>4</v>
      </c>
      <c r="K260" s="305">
        <v>45</v>
      </c>
      <c r="L260" s="305">
        <v>63</v>
      </c>
      <c r="M260" s="305">
        <v>22</v>
      </c>
      <c r="N260" s="305">
        <v>55</v>
      </c>
      <c r="O260" s="305">
        <v>7</v>
      </c>
      <c r="P260" s="305">
        <v>43</v>
      </c>
      <c r="Q260" s="203" t="s">
        <v>146</v>
      </c>
      <c r="R260" s="306"/>
    </row>
    <row r="261" spans="2:18" ht="22.5" customHeight="1" thickBot="1" x14ac:dyDescent="0.25">
      <c r="B261" s="305">
        <f t="shared" si="117"/>
        <v>59</v>
      </c>
      <c r="C261" s="305">
        <f>O261+M261+K261+I261+G261+E261</f>
        <v>25</v>
      </c>
      <c r="D261" s="305">
        <f>P261+N261+L261+J261+H261+F261</f>
        <v>34</v>
      </c>
      <c r="E261" s="305">
        <v>0</v>
      </c>
      <c r="F261" s="305">
        <v>0</v>
      </c>
      <c r="G261" s="305">
        <v>0</v>
      </c>
      <c r="H261" s="305">
        <v>0</v>
      </c>
      <c r="I261" s="305">
        <v>2</v>
      </c>
      <c r="J261" s="305">
        <v>1</v>
      </c>
      <c r="K261" s="305">
        <v>21</v>
      </c>
      <c r="L261" s="305">
        <v>32</v>
      </c>
      <c r="M261" s="305">
        <v>0</v>
      </c>
      <c r="N261" s="305">
        <v>1</v>
      </c>
      <c r="O261" s="305">
        <v>2</v>
      </c>
      <c r="P261" s="305">
        <v>0</v>
      </c>
      <c r="Q261" s="203" t="s">
        <v>145</v>
      </c>
      <c r="R261" s="306" t="s">
        <v>344</v>
      </c>
    </row>
    <row r="262" spans="2:18" ht="22.5" customHeight="1" thickBot="1" x14ac:dyDescent="0.25">
      <c r="B262" s="305">
        <f t="shared" ref="B262:P262" si="119">SUM(B260:B261)</f>
        <v>536</v>
      </c>
      <c r="C262" s="305">
        <f t="shared" si="119"/>
        <v>199</v>
      </c>
      <c r="D262" s="305">
        <f t="shared" si="119"/>
        <v>337</v>
      </c>
      <c r="E262" s="305">
        <f t="shared" si="119"/>
        <v>0</v>
      </c>
      <c r="F262" s="305">
        <f t="shared" si="119"/>
        <v>0</v>
      </c>
      <c r="G262" s="305">
        <f t="shared" si="119"/>
        <v>92</v>
      </c>
      <c r="H262" s="305">
        <f t="shared" si="119"/>
        <v>138</v>
      </c>
      <c r="I262" s="305">
        <f t="shared" si="119"/>
        <v>10</v>
      </c>
      <c r="J262" s="305">
        <f t="shared" si="119"/>
        <v>5</v>
      </c>
      <c r="K262" s="305">
        <f t="shared" si="119"/>
        <v>66</v>
      </c>
      <c r="L262" s="305">
        <f t="shared" si="119"/>
        <v>95</v>
      </c>
      <c r="M262" s="305">
        <f t="shared" si="119"/>
        <v>22</v>
      </c>
      <c r="N262" s="305">
        <f t="shared" si="119"/>
        <v>56</v>
      </c>
      <c r="O262" s="305">
        <f t="shared" si="119"/>
        <v>9</v>
      </c>
      <c r="P262" s="305">
        <f t="shared" si="119"/>
        <v>43</v>
      </c>
      <c r="Q262" s="203" t="s">
        <v>12</v>
      </c>
      <c r="R262" s="307"/>
    </row>
    <row r="263" spans="2:18" ht="22.5" customHeight="1" thickBot="1" x14ac:dyDescent="0.25">
      <c r="B263" s="305">
        <f t="shared" si="117"/>
        <v>164</v>
      </c>
      <c r="C263" s="305">
        <f>O263+M263+K263+I263+G263+E263</f>
        <v>80</v>
      </c>
      <c r="D263" s="305">
        <f>P263+N263+L263+J263+H263+F263</f>
        <v>84</v>
      </c>
      <c r="E263" s="305">
        <v>0</v>
      </c>
      <c r="F263" s="305">
        <v>0</v>
      </c>
      <c r="G263" s="305">
        <v>62</v>
      </c>
      <c r="H263" s="305">
        <v>59</v>
      </c>
      <c r="I263" s="305">
        <v>3</v>
      </c>
      <c r="J263" s="305">
        <v>0</v>
      </c>
      <c r="K263" s="305">
        <v>9</v>
      </c>
      <c r="L263" s="305">
        <v>12</v>
      </c>
      <c r="M263" s="305">
        <v>4</v>
      </c>
      <c r="N263" s="305">
        <v>11</v>
      </c>
      <c r="O263" s="305">
        <v>2</v>
      </c>
      <c r="P263" s="305">
        <v>2</v>
      </c>
      <c r="Q263" s="203" t="s">
        <v>146</v>
      </c>
      <c r="R263" s="306"/>
    </row>
    <row r="264" spans="2:18" ht="22.5" customHeight="1" thickBot="1" x14ac:dyDescent="0.25">
      <c r="B264" s="305">
        <f t="shared" si="117"/>
        <v>55</v>
      </c>
      <c r="C264" s="305">
        <f>O264+M264+K264+I264+G264+E264</f>
        <v>7</v>
      </c>
      <c r="D264" s="305">
        <f>P264+N264+L264+J264+H264+F264</f>
        <v>48</v>
      </c>
      <c r="E264" s="305">
        <v>0</v>
      </c>
      <c r="F264" s="305">
        <v>0</v>
      </c>
      <c r="G264" s="305">
        <v>0</v>
      </c>
      <c r="H264" s="305">
        <v>0</v>
      </c>
      <c r="I264" s="305">
        <v>1</v>
      </c>
      <c r="J264" s="305">
        <v>0</v>
      </c>
      <c r="K264" s="305">
        <v>4</v>
      </c>
      <c r="L264" s="305">
        <v>31</v>
      </c>
      <c r="M264" s="305">
        <v>0</v>
      </c>
      <c r="N264" s="305">
        <v>7</v>
      </c>
      <c r="O264" s="305">
        <v>2</v>
      </c>
      <c r="P264" s="305">
        <v>10</v>
      </c>
      <c r="Q264" s="203" t="s">
        <v>145</v>
      </c>
      <c r="R264" s="306" t="s">
        <v>406</v>
      </c>
    </row>
    <row r="265" spans="2:18" ht="22.5" customHeight="1" thickBot="1" x14ac:dyDescent="0.25">
      <c r="B265" s="305">
        <f t="shared" ref="B265:P265" si="120">SUM(B263:B264)</f>
        <v>219</v>
      </c>
      <c r="C265" s="305">
        <f t="shared" si="120"/>
        <v>87</v>
      </c>
      <c r="D265" s="305">
        <f t="shared" si="120"/>
        <v>132</v>
      </c>
      <c r="E265" s="305">
        <f t="shared" si="120"/>
        <v>0</v>
      </c>
      <c r="F265" s="305">
        <f t="shared" si="120"/>
        <v>0</v>
      </c>
      <c r="G265" s="305">
        <f t="shared" si="120"/>
        <v>62</v>
      </c>
      <c r="H265" s="305">
        <f t="shared" si="120"/>
        <v>59</v>
      </c>
      <c r="I265" s="305">
        <f t="shared" si="120"/>
        <v>4</v>
      </c>
      <c r="J265" s="305">
        <f t="shared" si="120"/>
        <v>0</v>
      </c>
      <c r="K265" s="305">
        <f t="shared" si="120"/>
        <v>13</v>
      </c>
      <c r="L265" s="305">
        <f t="shared" si="120"/>
        <v>43</v>
      </c>
      <c r="M265" s="305">
        <f t="shared" si="120"/>
        <v>4</v>
      </c>
      <c r="N265" s="305">
        <f t="shared" si="120"/>
        <v>18</v>
      </c>
      <c r="O265" s="305">
        <f t="shared" si="120"/>
        <v>4</v>
      </c>
      <c r="P265" s="305">
        <f t="shared" si="120"/>
        <v>12</v>
      </c>
      <c r="Q265" s="203" t="s">
        <v>12</v>
      </c>
      <c r="R265" s="307"/>
    </row>
    <row r="266" spans="2:18" ht="22.5" customHeight="1" thickBot="1" x14ac:dyDescent="0.25">
      <c r="B266" s="305">
        <f t="shared" si="117"/>
        <v>623</v>
      </c>
      <c r="C266" s="305">
        <f>O266+M266+K266+I266+G266+E266</f>
        <v>386</v>
      </c>
      <c r="D266" s="305">
        <f>P266+N266+L266+J266+H266+F266</f>
        <v>237</v>
      </c>
      <c r="E266" s="305">
        <v>3</v>
      </c>
      <c r="F266" s="305">
        <v>3</v>
      </c>
      <c r="G266" s="305">
        <v>242</v>
      </c>
      <c r="H266" s="305">
        <v>71</v>
      </c>
      <c r="I266" s="305">
        <v>59</v>
      </c>
      <c r="J266" s="305">
        <v>18</v>
      </c>
      <c r="K266" s="305">
        <v>60</v>
      </c>
      <c r="L266" s="305">
        <v>59</v>
      </c>
      <c r="M266" s="305">
        <v>20</v>
      </c>
      <c r="N266" s="305">
        <v>45</v>
      </c>
      <c r="O266" s="305">
        <v>2</v>
      </c>
      <c r="P266" s="305">
        <v>41</v>
      </c>
      <c r="Q266" s="203" t="s">
        <v>146</v>
      </c>
      <c r="R266" s="306"/>
    </row>
    <row r="267" spans="2:18" ht="22.5" customHeight="1" thickBot="1" x14ac:dyDescent="0.25">
      <c r="B267" s="305">
        <f t="shared" si="117"/>
        <v>119</v>
      </c>
      <c r="C267" s="305">
        <f>O267+M267+K267+I267+G267+E267</f>
        <v>32</v>
      </c>
      <c r="D267" s="305">
        <f>P267+N267+L267+J267+H267+F267</f>
        <v>87</v>
      </c>
      <c r="E267" s="305">
        <v>0</v>
      </c>
      <c r="F267" s="305">
        <v>0</v>
      </c>
      <c r="G267" s="305">
        <v>0</v>
      </c>
      <c r="H267" s="305">
        <v>0</v>
      </c>
      <c r="I267" s="305">
        <v>4</v>
      </c>
      <c r="J267" s="305">
        <v>4</v>
      </c>
      <c r="K267" s="305">
        <v>19</v>
      </c>
      <c r="L267" s="305">
        <v>61</v>
      </c>
      <c r="M267" s="305">
        <v>6</v>
      </c>
      <c r="N267" s="305">
        <v>11</v>
      </c>
      <c r="O267" s="305">
        <v>3</v>
      </c>
      <c r="P267" s="305">
        <v>11</v>
      </c>
      <c r="Q267" s="203" t="s">
        <v>145</v>
      </c>
      <c r="R267" s="306" t="s">
        <v>367</v>
      </c>
    </row>
    <row r="268" spans="2:18" ht="22.5" customHeight="1" thickBot="1" x14ac:dyDescent="0.25">
      <c r="B268" s="305">
        <f t="shared" ref="B268:P268" si="121">SUM(B266:B267)</f>
        <v>742</v>
      </c>
      <c r="C268" s="305">
        <f t="shared" si="121"/>
        <v>418</v>
      </c>
      <c r="D268" s="305">
        <f t="shared" si="121"/>
        <v>324</v>
      </c>
      <c r="E268" s="305">
        <f t="shared" si="121"/>
        <v>3</v>
      </c>
      <c r="F268" s="305">
        <f t="shared" si="121"/>
        <v>3</v>
      </c>
      <c r="G268" s="305">
        <f t="shared" si="121"/>
        <v>242</v>
      </c>
      <c r="H268" s="305">
        <f t="shared" si="121"/>
        <v>71</v>
      </c>
      <c r="I268" s="305">
        <f t="shared" si="121"/>
        <v>63</v>
      </c>
      <c r="J268" s="305">
        <f t="shared" si="121"/>
        <v>22</v>
      </c>
      <c r="K268" s="305">
        <f t="shared" si="121"/>
        <v>79</v>
      </c>
      <c r="L268" s="305">
        <f t="shared" si="121"/>
        <v>120</v>
      </c>
      <c r="M268" s="305">
        <f t="shared" si="121"/>
        <v>26</v>
      </c>
      <c r="N268" s="305">
        <f t="shared" si="121"/>
        <v>56</v>
      </c>
      <c r="O268" s="305">
        <f t="shared" si="121"/>
        <v>5</v>
      </c>
      <c r="P268" s="305">
        <f t="shared" si="121"/>
        <v>52</v>
      </c>
      <c r="Q268" s="203" t="s">
        <v>12</v>
      </c>
      <c r="R268" s="307"/>
    </row>
    <row r="269" spans="2:18" ht="22.5" customHeight="1" thickBot="1" x14ac:dyDescent="0.25">
      <c r="B269" s="305">
        <f t="shared" si="117"/>
        <v>195</v>
      </c>
      <c r="C269" s="305">
        <f>O269+M269+K269+I269+G269+E269</f>
        <v>0</v>
      </c>
      <c r="D269" s="305">
        <f>P269+N269+L269+J269+H269+F269</f>
        <v>195</v>
      </c>
      <c r="E269" s="305">
        <v>0</v>
      </c>
      <c r="F269" s="305">
        <v>3</v>
      </c>
      <c r="G269" s="305">
        <v>0</v>
      </c>
      <c r="H269" s="305">
        <v>58</v>
      </c>
      <c r="I269" s="305">
        <v>0</v>
      </c>
      <c r="J269" s="305">
        <v>8</v>
      </c>
      <c r="K269" s="305">
        <v>0</v>
      </c>
      <c r="L269" s="305">
        <v>52</v>
      </c>
      <c r="M269" s="305">
        <v>0</v>
      </c>
      <c r="N269" s="305">
        <v>43</v>
      </c>
      <c r="O269" s="305">
        <v>0</v>
      </c>
      <c r="P269" s="305">
        <v>31</v>
      </c>
      <c r="Q269" s="203" t="s">
        <v>146</v>
      </c>
      <c r="R269" s="306"/>
    </row>
    <row r="270" spans="2:18" ht="22.5" customHeight="1" thickBot="1" x14ac:dyDescent="0.25">
      <c r="B270" s="305">
        <f t="shared" si="117"/>
        <v>126</v>
      </c>
      <c r="C270" s="305">
        <f>O270+M270+K270+I270+G270+E270</f>
        <v>0</v>
      </c>
      <c r="D270" s="305">
        <f>P270+N270+L270+J270+H270+F270</f>
        <v>126</v>
      </c>
      <c r="E270" s="305">
        <v>0</v>
      </c>
      <c r="F270" s="305">
        <v>0</v>
      </c>
      <c r="G270" s="305">
        <v>0</v>
      </c>
      <c r="H270" s="305">
        <v>0</v>
      </c>
      <c r="I270" s="305">
        <v>0</v>
      </c>
      <c r="J270" s="305">
        <v>28</v>
      </c>
      <c r="K270" s="305">
        <v>0</v>
      </c>
      <c r="L270" s="305">
        <v>49</v>
      </c>
      <c r="M270" s="305">
        <v>0</v>
      </c>
      <c r="N270" s="305">
        <v>33</v>
      </c>
      <c r="O270" s="305">
        <v>0</v>
      </c>
      <c r="P270" s="305">
        <v>16</v>
      </c>
      <c r="Q270" s="203" t="s">
        <v>145</v>
      </c>
      <c r="R270" s="306" t="s">
        <v>454</v>
      </c>
    </row>
    <row r="271" spans="2:18" ht="22.5" customHeight="1" thickBot="1" x14ac:dyDescent="0.25">
      <c r="B271" s="305">
        <f t="shared" ref="B271:P271" si="122">SUM(B269:B270)</f>
        <v>321</v>
      </c>
      <c r="C271" s="305">
        <f t="shared" si="122"/>
        <v>0</v>
      </c>
      <c r="D271" s="305">
        <f t="shared" si="122"/>
        <v>321</v>
      </c>
      <c r="E271" s="305">
        <f t="shared" si="122"/>
        <v>0</v>
      </c>
      <c r="F271" s="305">
        <f t="shared" si="122"/>
        <v>3</v>
      </c>
      <c r="G271" s="305">
        <f t="shared" si="122"/>
        <v>0</v>
      </c>
      <c r="H271" s="305">
        <f t="shared" si="122"/>
        <v>58</v>
      </c>
      <c r="I271" s="305">
        <f t="shared" si="122"/>
        <v>0</v>
      </c>
      <c r="J271" s="305">
        <f t="shared" si="122"/>
        <v>36</v>
      </c>
      <c r="K271" s="305">
        <f t="shared" si="122"/>
        <v>0</v>
      </c>
      <c r="L271" s="305">
        <f t="shared" si="122"/>
        <v>101</v>
      </c>
      <c r="M271" s="305">
        <f t="shared" si="122"/>
        <v>0</v>
      </c>
      <c r="N271" s="305">
        <f t="shared" si="122"/>
        <v>76</v>
      </c>
      <c r="O271" s="305">
        <f t="shared" si="122"/>
        <v>0</v>
      </c>
      <c r="P271" s="305">
        <f t="shared" si="122"/>
        <v>47</v>
      </c>
      <c r="Q271" s="203" t="s">
        <v>12</v>
      </c>
      <c r="R271" s="307"/>
    </row>
    <row r="272" spans="2:18" ht="22.5" customHeight="1" thickBot="1" x14ac:dyDescent="0.25">
      <c r="B272" s="305">
        <f t="shared" si="117"/>
        <v>314</v>
      </c>
      <c r="C272" s="305">
        <f>O272+M272+K272+I272+G272+E272</f>
        <v>137</v>
      </c>
      <c r="D272" s="305">
        <f>P272+N272+L272+J272+H272+F272</f>
        <v>177</v>
      </c>
      <c r="E272" s="305">
        <v>0</v>
      </c>
      <c r="F272" s="305">
        <v>0</v>
      </c>
      <c r="G272" s="305">
        <v>52</v>
      </c>
      <c r="H272" s="305">
        <v>51</v>
      </c>
      <c r="I272" s="305">
        <v>54</v>
      </c>
      <c r="J272" s="305">
        <v>21</v>
      </c>
      <c r="K272" s="305">
        <v>28</v>
      </c>
      <c r="L272" s="305">
        <v>58</v>
      </c>
      <c r="M272" s="305">
        <v>0</v>
      </c>
      <c r="N272" s="305">
        <v>35</v>
      </c>
      <c r="O272" s="305">
        <v>3</v>
      </c>
      <c r="P272" s="305">
        <v>12</v>
      </c>
      <c r="Q272" s="203" t="s">
        <v>146</v>
      </c>
      <c r="R272" s="306"/>
    </row>
    <row r="273" spans="2:18" ht="22.5" customHeight="1" thickBot="1" x14ac:dyDescent="0.25">
      <c r="B273" s="305">
        <f t="shared" si="117"/>
        <v>68</v>
      </c>
      <c r="C273" s="305">
        <f>O273+M273+K273+I273+G273+E273</f>
        <v>33</v>
      </c>
      <c r="D273" s="305">
        <f>P273+N273+L273+J273+H273+F273</f>
        <v>35</v>
      </c>
      <c r="E273" s="305">
        <v>0</v>
      </c>
      <c r="F273" s="305">
        <v>0</v>
      </c>
      <c r="G273" s="305">
        <v>0</v>
      </c>
      <c r="H273" s="305">
        <v>0</v>
      </c>
      <c r="I273" s="305">
        <v>0</v>
      </c>
      <c r="J273" s="305">
        <v>0</v>
      </c>
      <c r="K273" s="305">
        <v>25</v>
      </c>
      <c r="L273" s="305">
        <v>34</v>
      </c>
      <c r="M273" s="305">
        <v>6</v>
      </c>
      <c r="N273" s="305">
        <v>1</v>
      </c>
      <c r="O273" s="305">
        <v>2</v>
      </c>
      <c r="P273" s="305">
        <v>0</v>
      </c>
      <c r="Q273" s="203" t="s">
        <v>145</v>
      </c>
      <c r="R273" s="306" t="s">
        <v>402</v>
      </c>
    </row>
    <row r="274" spans="2:18" ht="22.5" customHeight="1" thickBot="1" x14ac:dyDescent="0.25">
      <c r="B274" s="305">
        <f t="shared" ref="B274:P274" si="123">SUM(B272:B273)</f>
        <v>382</v>
      </c>
      <c r="C274" s="305">
        <f t="shared" si="123"/>
        <v>170</v>
      </c>
      <c r="D274" s="305">
        <f t="shared" si="123"/>
        <v>212</v>
      </c>
      <c r="E274" s="305">
        <f t="shared" si="123"/>
        <v>0</v>
      </c>
      <c r="F274" s="305">
        <f t="shared" si="123"/>
        <v>0</v>
      </c>
      <c r="G274" s="305">
        <f t="shared" si="123"/>
        <v>52</v>
      </c>
      <c r="H274" s="305">
        <f t="shared" si="123"/>
        <v>51</v>
      </c>
      <c r="I274" s="305">
        <f t="shared" si="123"/>
        <v>54</v>
      </c>
      <c r="J274" s="305">
        <f t="shared" si="123"/>
        <v>21</v>
      </c>
      <c r="K274" s="305">
        <f t="shared" si="123"/>
        <v>53</v>
      </c>
      <c r="L274" s="305">
        <f t="shared" si="123"/>
        <v>92</v>
      </c>
      <c r="M274" s="305">
        <f t="shared" si="123"/>
        <v>6</v>
      </c>
      <c r="N274" s="305">
        <f t="shared" si="123"/>
        <v>36</v>
      </c>
      <c r="O274" s="305">
        <f t="shared" si="123"/>
        <v>5</v>
      </c>
      <c r="P274" s="305">
        <f t="shared" si="123"/>
        <v>12</v>
      </c>
      <c r="Q274" s="203" t="s">
        <v>12</v>
      </c>
      <c r="R274" s="307"/>
    </row>
    <row r="275" spans="2:18" ht="22.5" customHeight="1" thickBot="1" x14ac:dyDescent="0.25">
      <c r="B275" s="305">
        <f t="shared" si="117"/>
        <v>79</v>
      </c>
      <c r="C275" s="305">
        <f>O275+M275+K275+I275+G275+E275</f>
        <v>0</v>
      </c>
      <c r="D275" s="305">
        <f>P275+N275+L275+J275+H275+F275</f>
        <v>79</v>
      </c>
      <c r="E275" s="305">
        <v>0</v>
      </c>
      <c r="F275" s="305">
        <v>3</v>
      </c>
      <c r="G275" s="305">
        <v>0</v>
      </c>
      <c r="H275" s="305">
        <v>40</v>
      </c>
      <c r="I275" s="305">
        <v>0</v>
      </c>
      <c r="J275" s="305">
        <v>5</v>
      </c>
      <c r="K275" s="305">
        <v>0</v>
      </c>
      <c r="L275" s="305">
        <v>19</v>
      </c>
      <c r="M275" s="305">
        <v>0</v>
      </c>
      <c r="N275" s="305">
        <v>7</v>
      </c>
      <c r="O275" s="305">
        <v>0</v>
      </c>
      <c r="P275" s="305">
        <v>5</v>
      </c>
      <c r="Q275" s="203" t="s">
        <v>146</v>
      </c>
      <c r="R275" s="306"/>
    </row>
    <row r="276" spans="2:18" ht="22.5" customHeight="1" thickBot="1" x14ac:dyDescent="0.25">
      <c r="B276" s="305">
        <f t="shared" si="117"/>
        <v>45</v>
      </c>
      <c r="C276" s="305">
        <f>O276+M276+K276+I276+G276+E276</f>
        <v>0</v>
      </c>
      <c r="D276" s="305">
        <f>P276+N276+L276+J276+H276+F276</f>
        <v>45</v>
      </c>
      <c r="E276" s="305">
        <v>0</v>
      </c>
      <c r="F276" s="305">
        <v>0</v>
      </c>
      <c r="G276" s="305">
        <v>0</v>
      </c>
      <c r="H276" s="305">
        <v>0</v>
      </c>
      <c r="I276" s="305">
        <v>0</v>
      </c>
      <c r="J276" s="305">
        <v>4</v>
      </c>
      <c r="K276" s="305">
        <v>0</v>
      </c>
      <c r="L276" s="305">
        <v>38</v>
      </c>
      <c r="M276" s="305">
        <v>0</v>
      </c>
      <c r="N276" s="305">
        <v>0</v>
      </c>
      <c r="O276" s="305">
        <v>0</v>
      </c>
      <c r="P276" s="305">
        <v>3</v>
      </c>
      <c r="Q276" s="203" t="s">
        <v>145</v>
      </c>
      <c r="R276" s="306" t="s">
        <v>405</v>
      </c>
    </row>
    <row r="277" spans="2:18" ht="22.5" customHeight="1" thickBot="1" x14ac:dyDescent="0.25">
      <c r="B277" s="305">
        <f t="shared" ref="B277:P277" si="124">SUM(B275:B276)</f>
        <v>124</v>
      </c>
      <c r="C277" s="305">
        <f t="shared" si="124"/>
        <v>0</v>
      </c>
      <c r="D277" s="305">
        <f t="shared" si="124"/>
        <v>124</v>
      </c>
      <c r="E277" s="305">
        <f t="shared" si="124"/>
        <v>0</v>
      </c>
      <c r="F277" s="305">
        <f t="shared" si="124"/>
        <v>3</v>
      </c>
      <c r="G277" s="305">
        <f t="shared" si="124"/>
        <v>0</v>
      </c>
      <c r="H277" s="305">
        <f t="shared" si="124"/>
        <v>40</v>
      </c>
      <c r="I277" s="305">
        <f t="shared" si="124"/>
        <v>0</v>
      </c>
      <c r="J277" s="305">
        <f t="shared" si="124"/>
        <v>9</v>
      </c>
      <c r="K277" s="305">
        <f t="shared" si="124"/>
        <v>0</v>
      </c>
      <c r="L277" s="305">
        <f t="shared" si="124"/>
        <v>57</v>
      </c>
      <c r="M277" s="305">
        <f t="shared" si="124"/>
        <v>0</v>
      </c>
      <c r="N277" s="305">
        <f t="shared" si="124"/>
        <v>7</v>
      </c>
      <c r="O277" s="305">
        <f t="shared" si="124"/>
        <v>0</v>
      </c>
      <c r="P277" s="305">
        <f t="shared" si="124"/>
        <v>8</v>
      </c>
      <c r="Q277" s="203" t="s">
        <v>12</v>
      </c>
      <c r="R277" s="307"/>
    </row>
    <row r="278" spans="2:18" ht="22.5" customHeight="1" thickBot="1" x14ac:dyDescent="0.25">
      <c r="B278" s="305">
        <f t="shared" si="117"/>
        <v>68</v>
      </c>
      <c r="C278" s="305">
        <f>O278+M278+K278+I278+G278+E278</f>
        <v>0</v>
      </c>
      <c r="D278" s="305">
        <f>P278+N278+L278+J278+H278+F278</f>
        <v>68</v>
      </c>
      <c r="E278" s="305">
        <v>0</v>
      </c>
      <c r="F278" s="305">
        <v>0</v>
      </c>
      <c r="G278" s="305">
        <v>0</v>
      </c>
      <c r="H278" s="305">
        <v>21</v>
      </c>
      <c r="I278" s="305">
        <v>0</v>
      </c>
      <c r="J278" s="305">
        <v>9</v>
      </c>
      <c r="K278" s="305">
        <v>0</v>
      </c>
      <c r="L278" s="305">
        <v>15</v>
      </c>
      <c r="M278" s="305">
        <v>0</v>
      </c>
      <c r="N278" s="305">
        <v>13</v>
      </c>
      <c r="O278" s="305">
        <v>0</v>
      </c>
      <c r="P278" s="305">
        <v>10</v>
      </c>
      <c r="Q278" s="203" t="s">
        <v>146</v>
      </c>
      <c r="R278" s="306"/>
    </row>
    <row r="279" spans="2:18" ht="22.5" customHeight="1" thickBot="1" x14ac:dyDescent="0.25">
      <c r="B279" s="305">
        <f t="shared" si="117"/>
        <v>35</v>
      </c>
      <c r="C279" s="305">
        <f>O279+M279+K279+I279+G279+E279</f>
        <v>0</v>
      </c>
      <c r="D279" s="305">
        <f>P279+N279+L279+J279+H279+F279</f>
        <v>35</v>
      </c>
      <c r="E279" s="305">
        <v>0</v>
      </c>
      <c r="F279" s="305">
        <v>0</v>
      </c>
      <c r="G279" s="305">
        <v>0</v>
      </c>
      <c r="H279" s="305">
        <v>0</v>
      </c>
      <c r="I279" s="305">
        <v>0</v>
      </c>
      <c r="J279" s="305">
        <v>3</v>
      </c>
      <c r="K279" s="305">
        <v>0</v>
      </c>
      <c r="L279" s="305">
        <v>22</v>
      </c>
      <c r="M279" s="305">
        <v>0</v>
      </c>
      <c r="N279" s="305">
        <v>7</v>
      </c>
      <c r="O279" s="305">
        <v>0</v>
      </c>
      <c r="P279" s="305">
        <v>3</v>
      </c>
      <c r="Q279" s="203" t="s">
        <v>145</v>
      </c>
      <c r="R279" s="306" t="s">
        <v>407</v>
      </c>
    </row>
    <row r="280" spans="2:18" ht="22.5" customHeight="1" thickBot="1" x14ac:dyDescent="0.25">
      <c r="B280" s="305">
        <f t="shared" ref="B280:P280" si="125">SUM(B278:B279)</f>
        <v>103</v>
      </c>
      <c r="C280" s="305">
        <f t="shared" si="125"/>
        <v>0</v>
      </c>
      <c r="D280" s="305">
        <f t="shared" si="125"/>
        <v>103</v>
      </c>
      <c r="E280" s="305">
        <f t="shared" si="125"/>
        <v>0</v>
      </c>
      <c r="F280" s="305">
        <f t="shared" si="125"/>
        <v>0</v>
      </c>
      <c r="G280" s="305">
        <f t="shared" si="125"/>
        <v>0</v>
      </c>
      <c r="H280" s="305">
        <f t="shared" si="125"/>
        <v>21</v>
      </c>
      <c r="I280" s="305">
        <f t="shared" si="125"/>
        <v>0</v>
      </c>
      <c r="J280" s="305">
        <f t="shared" si="125"/>
        <v>12</v>
      </c>
      <c r="K280" s="305">
        <f t="shared" si="125"/>
        <v>0</v>
      </c>
      <c r="L280" s="305">
        <f t="shared" si="125"/>
        <v>37</v>
      </c>
      <c r="M280" s="305">
        <f t="shared" si="125"/>
        <v>0</v>
      </c>
      <c r="N280" s="305">
        <f t="shared" si="125"/>
        <v>20</v>
      </c>
      <c r="O280" s="305">
        <f t="shared" si="125"/>
        <v>0</v>
      </c>
      <c r="P280" s="305">
        <f t="shared" si="125"/>
        <v>13</v>
      </c>
      <c r="Q280" s="203" t="s">
        <v>12</v>
      </c>
      <c r="R280" s="307"/>
    </row>
    <row r="281" spans="2:18" ht="22.5" customHeight="1" thickBot="1" x14ac:dyDescent="0.25">
      <c r="B281" s="305">
        <f t="shared" si="117"/>
        <v>54</v>
      </c>
      <c r="C281" s="305">
        <f>O281+M281+K281+I281+G281+E281</f>
        <v>0</v>
      </c>
      <c r="D281" s="305">
        <f>P281+N281+L281+J281+H281+F281</f>
        <v>54</v>
      </c>
      <c r="E281" s="305">
        <v>0</v>
      </c>
      <c r="F281" s="305">
        <v>0</v>
      </c>
      <c r="G281" s="305">
        <v>0</v>
      </c>
      <c r="H281" s="305">
        <v>16</v>
      </c>
      <c r="I281" s="305">
        <v>0</v>
      </c>
      <c r="J281" s="305">
        <v>7</v>
      </c>
      <c r="K281" s="305">
        <v>0</v>
      </c>
      <c r="L281" s="305">
        <v>10</v>
      </c>
      <c r="M281" s="305">
        <v>0</v>
      </c>
      <c r="N281" s="305">
        <v>9</v>
      </c>
      <c r="O281" s="305">
        <v>0</v>
      </c>
      <c r="P281" s="305">
        <v>12</v>
      </c>
      <c r="Q281" s="203" t="s">
        <v>146</v>
      </c>
      <c r="R281" s="306"/>
    </row>
    <row r="282" spans="2:18" ht="22.5" customHeight="1" thickBot="1" x14ac:dyDescent="0.25">
      <c r="B282" s="305">
        <f t="shared" si="117"/>
        <v>31</v>
      </c>
      <c r="C282" s="305">
        <f>O282+M282+K282+I282+G282+E282</f>
        <v>0</v>
      </c>
      <c r="D282" s="305">
        <f>P282+N282+L282+J282+H282+F282</f>
        <v>31</v>
      </c>
      <c r="E282" s="305">
        <v>0</v>
      </c>
      <c r="F282" s="305">
        <v>0</v>
      </c>
      <c r="G282" s="305">
        <v>0</v>
      </c>
      <c r="H282" s="305">
        <v>0</v>
      </c>
      <c r="I282" s="305">
        <v>0</v>
      </c>
      <c r="J282" s="305">
        <v>0</v>
      </c>
      <c r="K282" s="305">
        <v>0</v>
      </c>
      <c r="L282" s="305">
        <v>23</v>
      </c>
      <c r="M282" s="305">
        <v>0</v>
      </c>
      <c r="N282" s="305">
        <v>4</v>
      </c>
      <c r="O282" s="305">
        <v>0</v>
      </c>
      <c r="P282" s="305">
        <v>4</v>
      </c>
      <c r="Q282" s="203" t="s">
        <v>145</v>
      </c>
      <c r="R282" s="306" t="s">
        <v>589</v>
      </c>
    </row>
    <row r="283" spans="2:18" ht="22.5" customHeight="1" thickBot="1" x14ac:dyDescent="0.25">
      <c r="B283" s="305">
        <f t="shared" ref="B283:P283" si="126">SUM(B281:B282)</f>
        <v>85</v>
      </c>
      <c r="C283" s="305">
        <f t="shared" si="126"/>
        <v>0</v>
      </c>
      <c r="D283" s="305">
        <f t="shared" si="126"/>
        <v>85</v>
      </c>
      <c r="E283" s="305">
        <f t="shared" si="126"/>
        <v>0</v>
      </c>
      <c r="F283" s="305">
        <f t="shared" si="126"/>
        <v>0</v>
      </c>
      <c r="G283" s="305">
        <f t="shared" si="126"/>
        <v>0</v>
      </c>
      <c r="H283" s="305">
        <f t="shared" si="126"/>
        <v>16</v>
      </c>
      <c r="I283" s="305">
        <f t="shared" si="126"/>
        <v>0</v>
      </c>
      <c r="J283" s="305">
        <f t="shared" si="126"/>
        <v>7</v>
      </c>
      <c r="K283" s="305">
        <f t="shared" si="126"/>
        <v>0</v>
      </c>
      <c r="L283" s="305">
        <f t="shared" si="126"/>
        <v>33</v>
      </c>
      <c r="M283" s="305">
        <f t="shared" si="126"/>
        <v>0</v>
      </c>
      <c r="N283" s="305">
        <f t="shared" si="126"/>
        <v>13</v>
      </c>
      <c r="O283" s="305">
        <f t="shared" si="126"/>
        <v>0</v>
      </c>
      <c r="P283" s="305">
        <f t="shared" si="126"/>
        <v>16</v>
      </c>
      <c r="Q283" s="203" t="s">
        <v>12</v>
      </c>
      <c r="R283" s="307"/>
    </row>
    <row r="284" spans="2:18" ht="22.5" customHeight="1" thickBot="1" x14ac:dyDescent="0.25">
      <c r="B284" s="305">
        <f t="shared" si="117"/>
        <v>54</v>
      </c>
      <c r="C284" s="305">
        <f>O284+M284+K284+I284+G284+E284</f>
        <v>0</v>
      </c>
      <c r="D284" s="305">
        <f>P284+N284+L284+J284+H284+F284</f>
        <v>54</v>
      </c>
      <c r="E284" s="305">
        <v>0</v>
      </c>
      <c r="F284" s="305">
        <v>3</v>
      </c>
      <c r="G284" s="305">
        <v>0</v>
      </c>
      <c r="H284" s="305">
        <v>18</v>
      </c>
      <c r="I284" s="305">
        <v>0</v>
      </c>
      <c r="J284" s="305">
        <v>2</v>
      </c>
      <c r="K284" s="305">
        <v>0</v>
      </c>
      <c r="L284" s="305">
        <v>17</v>
      </c>
      <c r="M284" s="305">
        <v>0</v>
      </c>
      <c r="N284" s="305">
        <v>9</v>
      </c>
      <c r="O284" s="305">
        <v>0</v>
      </c>
      <c r="P284" s="305">
        <v>5</v>
      </c>
      <c r="Q284" s="203" t="s">
        <v>146</v>
      </c>
      <c r="R284" s="306"/>
    </row>
    <row r="285" spans="2:18" ht="22.5" customHeight="1" thickBot="1" x14ac:dyDescent="0.25">
      <c r="B285" s="305">
        <f t="shared" si="117"/>
        <v>25</v>
      </c>
      <c r="C285" s="305">
        <f>O285+M285+K285+I285+G285+E285</f>
        <v>0</v>
      </c>
      <c r="D285" s="305">
        <f>P285+N285+L285+J285+H285+F285</f>
        <v>25</v>
      </c>
      <c r="E285" s="305">
        <v>0</v>
      </c>
      <c r="F285" s="305">
        <v>0</v>
      </c>
      <c r="G285" s="305">
        <v>0</v>
      </c>
      <c r="H285" s="305">
        <v>0</v>
      </c>
      <c r="I285" s="305">
        <v>0</v>
      </c>
      <c r="J285" s="305">
        <v>9</v>
      </c>
      <c r="K285" s="305">
        <v>0</v>
      </c>
      <c r="L285" s="305">
        <v>13</v>
      </c>
      <c r="M285" s="305">
        <v>0</v>
      </c>
      <c r="N285" s="305">
        <v>1</v>
      </c>
      <c r="O285" s="305">
        <v>0</v>
      </c>
      <c r="P285" s="305">
        <v>2</v>
      </c>
      <c r="Q285" s="203" t="s">
        <v>145</v>
      </c>
      <c r="R285" s="306" t="s">
        <v>590</v>
      </c>
    </row>
    <row r="286" spans="2:18" ht="22.5" customHeight="1" thickBot="1" x14ac:dyDescent="0.25">
      <c r="B286" s="305">
        <f t="shared" ref="B286:P286" si="127">SUM(B284:B285)</f>
        <v>79</v>
      </c>
      <c r="C286" s="305">
        <f t="shared" si="127"/>
        <v>0</v>
      </c>
      <c r="D286" s="305">
        <f t="shared" si="127"/>
        <v>79</v>
      </c>
      <c r="E286" s="305">
        <f t="shared" si="127"/>
        <v>0</v>
      </c>
      <c r="F286" s="305">
        <f t="shared" si="127"/>
        <v>3</v>
      </c>
      <c r="G286" s="305">
        <f t="shared" si="127"/>
        <v>0</v>
      </c>
      <c r="H286" s="305">
        <f t="shared" si="127"/>
        <v>18</v>
      </c>
      <c r="I286" s="305">
        <f t="shared" si="127"/>
        <v>0</v>
      </c>
      <c r="J286" s="305">
        <f t="shared" si="127"/>
        <v>11</v>
      </c>
      <c r="K286" s="305">
        <f t="shared" si="127"/>
        <v>0</v>
      </c>
      <c r="L286" s="305">
        <f t="shared" si="127"/>
        <v>30</v>
      </c>
      <c r="M286" s="305">
        <f t="shared" si="127"/>
        <v>0</v>
      </c>
      <c r="N286" s="305">
        <f t="shared" si="127"/>
        <v>10</v>
      </c>
      <c r="O286" s="305">
        <f t="shared" si="127"/>
        <v>0</v>
      </c>
      <c r="P286" s="305">
        <f t="shared" si="127"/>
        <v>7</v>
      </c>
      <c r="Q286" s="203" t="s">
        <v>12</v>
      </c>
      <c r="R286" s="307"/>
    </row>
    <row r="287" spans="2:18" ht="22.5" customHeight="1" thickBot="1" x14ac:dyDescent="0.25">
      <c r="B287" s="305">
        <f t="shared" si="117"/>
        <v>125</v>
      </c>
      <c r="C287" s="305">
        <f>O287+M287+K287+I287+G287+E287</f>
        <v>125</v>
      </c>
      <c r="D287" s="305">
        <f>P287+N287+L287+J287+H287+F287</f>
        <v>0</v>
      </c>
      <c r="E287" s="305">
        <v>0</v>
      </c>
      <c r="F287" s="305">
        <v>0</v>
      </c>
      <c r="G287" s="305">
        <v>77</v>
      </c>
      <c r="H287" s="305">
        <v>0</v>
      </c>
      <c r="I287" s="305">
        <v>25</v>
      </c>
      <c r="J287" s="305">
        <v>0</v>
      </c>
      <c r="K287" s="305">
        <v>22</v>
      </c>
      <c r="L287" s="305">
        <v>0</v>
      </c>
      <c r="M287" s="305">
        <v>1</v>
      </c>
      <c r="N287" s="305">
        <v>0</v>
      </c>
      <c r="O287" s="305">
        <v>0</v>
      </c>
      <c r="P287" s="305">
        <v>0</v>
      </c>
      <c r="Q287" s="203" t="s">
        <v>146</v>
      </c>
      <c r="R287" s="306"/>
    </row>
    <row r="288" spans="2:18" ht="22.5" customHeight="1" thickBot="1" x14ac:dyDescent="0.25">
      <c r="B288" s="305">
        <f t="shared" si="117"/>
        <v>44</v>
      </c>
      <c r="C288" s="305">
        <f>O288+M288+K288+I288+G288+E288</f>
        <v>44</v>
      </c>
      <c r="D288" s="305">
        <f>P288+N288+L288+J288+H288+F288</f>
        <v>0</v>
      </c>
      <c r="E288" s="305">
        <v>0</v>
      </c>
      <c r="F288" s="305">
        <v>0</v>
      </c>
      <c r="G288" s="305">
        <v>0</v>
      </c>
      <c r="H288" s="305">
        <v>0</v>
      </c>
      <c r="I288" s="305">
        <v>0</v>
      </c>
      <c r="J288" s="305">
        <v>0</v>
      </c>
      <c r="K288" s="305">
        <v>24</v>
      </c>
      <c r="L288" s="305">
        <v>0</v>
      </c>
      <c r="M288" s="305">
        <v>19</v>
      </c>
      <c r="N288" s="305">
        <v>0</v>
      </c>
      <c r="O288" s="305">
        <v>1</v>
      </c>
      <c r="P288" s="305">
        <v>0</v>
      </c>
      <c r="Q288" s="203" t="s">
        <v>145</v>
      </c>
      <c r="R288" s="129" t="s">
        <v>408</v>
      </c>
    </row>
    <row r="289" spans="2:18" ht="22.5" customHeight="1" thickBot="1" x14ac:dyDescent="0.25">
      <c r="B289" s="305">
        <f t="shared" ref="B289:P289" si="128">SUM(B287:B288)</f>
        <v>169</v>
      </c>
      <c r="C289" s="305">
        <f t="shared" si="128"/>
        <v>169</v>
      </c>
      <c r="D289" s="305">
        <f t="shared" si="128"/>
        <v>0</v>
      </c>
      <c r="E289" s="305">
        <f t="shared" si="128"/>
        <v>0</v>
      </c>
      <c r="F289" s="305">
        <f t="shared" si="128"/>
        <v>0</v>
      </c>
      <c r="G289" s="305">
        <f t="shared" si="128"/>
        <v>77</v>
      </c>
      <c r="H289" s="305">
        <f t="shared" si="128"/>
        <v>0</v>
      </c>
      <c r="I289" s="305">
        <f t="shared" si="128"/>
        <v>25</v>
      </c>
      <c r="J289" s="305">
        <f t="shared" si="128"/>
        <v>0</v>
      </c>
      <c r="K289" s="305">
        <f t="shared" si="128"/>
        <v>46</v>
      </c>
      <c r="L289" s="305">
        <f t="shared" si="128"/>
        <v>0</v>
      </c>
      <c r="M289" s="305">
        <f t="shared" si="128"/>
        <v>20</v>
      </c>
      <c r="N289" s="305">
        <f t="shared" si="128"/>
        <v>0</v>
      </c>
      <c r="O289" s="305">
        <f t="shared" si="128"/>
        <v>1</v>
      </c>
      <c r="P289" s="305">
        <f t="shared" si="128"/>
        <v>0</v>
      </c>
      <c r="Q289" s="203" t="s">
        <v>12</v>
      </c>
      <c r="R289" s="307"/>
    </row>
    <row r="290" spans="2:18" ht="22.5" customHeight="1" thickBot="1" x14ac:dyDescent="0.25">
      <c r="B290" s="305">
        <f t="shared" si="117"/>
        <v>99</v>
      </c>
      <c r="C290" s="305">
        <f>O290+M290+K290+I290+G290+E290</f>
        <v>67</v>
      </c>
      <c r="D290" s="305">
        <f>P290+N290+L290+J290+H290+F290</f>
        <v>32</v>
      </c>
      <c r="E290" s="305">
        <v>0</v>
      </c>
      <c r="F290" s="305">
        <v>0</v>
      </c>
      <c r="G290" s="305">
        <v>59</v>
      </c>
      <c r="H290" s="305">
        <v>15</v>
      </c>
      <c r="I290" s="305">
        <v>3</v>
      </c>
      <c r="J290" s="305">
        <v>2</v>
      </c>
      <c r="K290" s="305">
        <v>5</v>
      </c>
      <c r="L290" s="305">
        <v>12</v>
      </c>
      <c r="M290" s="305">
        <v>0</v>
      </c>
      <c r="N290" s="305">
        <v>2</v>
      </c>
      <c r="O290" s="305">
        <v>0</v>
      </c>
      <c r="P290" s="305">
        <v>1</v>
      </c>
      <c r="Q290" s="203" t="s">
        <v>146</v>
      </c>
      <c r="R290" s="306"/>
    </row>
    <row r="291" spans="2:18" ht="22.5" customHeight="1" thickBot="1" x14ac:dyDescent="0.25">
      <c r="B291" s="305">
        <f t="shared" si="117"/>
        <v>22</v>
      </c>
      <c r="C291" s="305">
        <f>O291+M291+K291+I291+G291+E291</f>
        <v>13</v>
      </c>
      <c r="D291" s="305">
        <f>P291+N291+L291+J291+H291+F291</f>
        <v>9</v>
      </c>
      <c r="E291" s="305">
        <v>0</v>
      </c>
      <c r="F291" s="305">
        <v>0</v>
      </c>
      <c r="G291" s="305">
        <v>0</v>
      </c>
      <c r="H291" s="305">
        <v>0</v>
      </c>
      <c r="I291" s="305">
        <v>3</v>
      </c>
      <c r="J291" s="305">
        <v>0</v>
      </c>
      <c r="K291" s="305">
        <v>10</v>
      </c>
      <c r="L291" s="305">
        <v>9</v>
      </c>
      <c r="M291" s="305">
        <v>0</v>
      </c>
      <c r="N291" s="305">
        <v>0</v>
      </c>
      <c r="O291" s="305">
        <v>0</v>
      </c>
      <c r="P291" s="305">
        <v>0</v>
      </c>
      <c r="Q291" s="203" t="s">
        <v>145</v>
      </c>
      <c r="R291" s="306" t="s">
        <v>347</v>
      </c>
    </row>
    <row r="292" spans="2:18" ht="22.5" customHeight="1" thickBot="1" x14ac:dyDescent="0.25">
      <c r="B292" s="305">
        <f t="shared" ref="B292:P292" si="129">SUM(B290:B291)</f>
        <v>121</v>
      </c>
      <c r="C292" s="305">
        <f t="shared" si="129"/>
        <v>80</v>
      </c>
      <c r="D292" s="305">
        <f t="shared" si="129"/>
        <v>41</v>
      </c>
      <c r="E292" s="305">
        <f t="shared" si="129"/>
        <v>0</v>
      </c>
      <c r="F292" s="305">
        <f t="shared" si="129"/>
        <v>0</v>
      </c>
      <c r="G292" s="305">
        <f t="shared" si="129"/>
        <v>59</v>
      </c>
      <c r="H292" s="305">
        <f t="shared" si="129"/>
        <v>15</v>
      </c>
      <c r="I292" s="305">
        <f t="shared" si="129"/>
        <v>6</v>
      </c>
      <c r="J292" s="305">
        <f t="shared" si="129"/>
        <v>2</v>
      </c>
      <c r="K292" s="305">
        <f t="shared" si="129"/>
        <v>15</v>
      </c>
      <c r="L292" s="305">
        <f t="shared" si="129"/>
        <v>21</v>
      </c>
      <c r="M292" s="305">
        <f t="shared" si="129"/>
        <v>0</v>
      </c>
      <c r="N292" s="305">
        <f t="shared" si="129"/>
        <v>2</v>
      </c>
      <c r="O292" s="305">
        <f t="shared" si="129"/>
        <v>0</v>
      </c>
      <c r="P292" s="305">
        <f t="shared" si="129"/>
        <v>1</v>
      </c>
      <c r="Q292" s="203" t="s">
        <v>12</v>
      </c>
      <c r="R292" s="307"/>
    </row>
    <row r="293" spans="2:18" ht="22.5" customHeight="1" thickBot="1" x14ac:dyDescent="0.25">
      <c r="B293" s="305">
        <f t="shared" si="117"/>
        <v>31</v>
      </c>
      <c r="C293" s="305">
        <f>O293+M293+K293+I293+G293+E293</f>
        <v>13</v>
      </c>
      <c r="D293" s="305">
        <f>P293+N293+L293+J293+H293+F293</f>
        <v>18</v>
      </c>
      <c r="E293" s="305">
        <v>0</v>
      </c>
      <c r="F293" s="305">
        <v>0</v>
      </c>
      <c r="G293" s="305">
        <v>10</v>
      </c>
      <c r="H293" s="305">
        <v>15</v>
      </c>
      <c r="I293" s="305">
        <v>1</v>
      </c>
      <c r="J293" s="305">
        <v>0</v>
      </c>
      <c r="K293" s="305">
        <v>1</v>
      </c>
      <c r="L293" s="305">
        <v>2</v>
      </c>
      <c r="M293" s="305">
        <v>1</v>
      </c>
      <c r="N293" s="305">
        <v>0</v>
      </c>
      <c r="O293" s="305">
        <v>0</v>
      </c>
      <c r="P293" s="305">
        <v>1</v>
      </c>
      <c r="Q293" s="203" t="s">
        <v>146</v>
      </c>
      <c r="R293" s="306"/>
    </row>
    <row r="294" spans="2:18" ht="22.5" customHeight="1" thickBot="1" x14ac:dyDescent="0.25">
      <c r="B294" s="305">
        <f t="shared" si="117"/>
        <v>31</v>
      </c>
      <c r="C294" s="305">
        <f>O294+M294+K294+I294+G294+E294</f>
        <v>12</v>
      </c>
      <c r="D294" s="305">
        <f>P294+N294+L294+J294+H294+F294</f>
        <v>19</v>
      </c>
      <c r="E294" s="305">
        <v>0</v>
      </c>
      <c r="F294" s="305">
        <v>0</v>
      </c>
      <c r="G294" s="305">
        <v>0</v>
      </c>
      <c r="H294" s="305">
        <v>0</v>
      </c>
      <c r="I294" s="305">
        <v>0</v>
      </c>
      <c r="J294" s="305">
        <v>0</v>
      </c>
      <c r="K294" s="305">
        <v>7</v>
      </c>
      <c r="L294" s="305">
        <v>2</v>
      </c>
      <c r="M294" s="305">
        <v>2</v>
      </c>
      <c r="N294" s="305">
        <v>12</v>
      </c>
      <c r="O294" s="305">
        <v>3</v>
      </c>
      <c r="P294" s="305">
        <v>5</v>
      </c>
      <c r="Q294" s="203" t="s">
        <v>145</v>
      </c>
      <c r="R294" s="306" t="s">
        <v>348</v>
      </c>
    </row>
    <row r="295" spans="2:18" ht="22.5" customHeight="1" thickBot="1" x14ac:dyDescent="0.25">
      <c r="B295" s="305">
        <f t="shared" ref="B295:P295" si="130">SUM(B293:B294)</f>
        <v>62</v>
      </c>
      <c r="C295" s="305">
        <f t="shared" si="130"/>
        <v>25</v>
      </c>
      <c r="D295" s="305">
        <f t="shared" si="130"/>
        <v>37</v>
      </c>
      <c r="E295" s="305">
        <f t="shared" si="130"/>
        <v>0</v>
      </c>
      <c r="F295" s="305">
        <f t="shared" si="130"/>
        <v>0</v>
      </c>
      <c r="G295" s="305">
        <f t="shared" si="130"/>
        <v>10</v>
      </c>
      <c r="H295" s="305">
        <f t="shared" si="130"/>
        <v>15</v>
      </c>
      <c r="I295" s="305">
        <f t="shared" si="130"/>
        <v>1</v>
      </c>
      <c r="J295" s="305">
        <f t="shared" si="130"/>
        <v>0</v>
      </c>
      <c r="K295" s="305">
        <f t="shared" si="130"/>
        <v>8</v>
      </c>
      <c r="L295" s="305">
        <f t="shared" si="130"/>
        <v>4</v>
      </c>
      <c r="M295" s="305">
        <f t="shared" si="130"/>
        <v>3</v>
      </c>
      <c r="N295" s="305">
        <f t="shared" si="130"/>
        <v>12</v>
      </c>
      <c r="O295" s="305">
        <f t="shared" si="130"/>
        <v>3</v>
      </c>
      <c r="P295" s="305">
        <f t="shared" si="130"/>
        <v>6</v>
      </c>
      <c r="Q295" s="203" t="s">
        <v>12</v>
      </c>
      <c r="R295" s="307"/>
    </row>
    <row r="296" spans="2:18" ht="22.5" customHeight="1" thickBot="1" x14ac:dyDescent="0.25">
      <c r="B296" s="305">
        <f t="shared" si="117"/>
        <v>12</v>
      </c>
      <c r="C296" s="305">
        <f>O296+M296+K296+I296+G296+E296</f>
        <v>0</v>
      </c>
      <c r="D296" s="305">
        <f>P296+N296+L296+J296+H296+F296</f>
        <v>12</v>
      </c>
      <c r="E296" s="305">
        <v>0</v>
      </c>
      <c r="F296" s="305">
        <v>0</v>
      </c>
      <c r="G296" s="305">
        <v>0</v>
      </c>
      <c r="H296" s="305">
        <v>3</v>
      </c>
      <c r="I296" s="305">
        <v>0</v>
      </c>
      <c r="J296" s="305">
        <v>4</v>
      </c>
      <c r="K296" s="305">
        <v>0</v>
      </c>
      <c r="L296" s="305">
        <v>3</v>
      </c>
      <c r="M296" s="305">
        <v>0</v>
      </c>
      <c r="N296" s="305">
        <v>1</v>
      </c>
      <c r="O296" s="305">
        <v>0</v>
      </c>
      <c r="P296" s="305">
        <v>1</v>
      </c>
      <c r="Q296" s="203" t="s">
        <v>146</v>
      </c>
      <c r="R296" s="306"/>
    </row>
    <row r="297" spans="2:18" ht="22.5" customHeight="1" thickBot="1" x14ac:dyDescent="0.25">
      <c r="B297" s="305">
        <f t="shared" si="117"/>
        <v>42</v>
      </c>
      <c r="C297" s="305">
        <f>O297+M297+K297+I297+G297+E297</f>
        <v>0</v>
      </c>
      <c r="D297" s="305">
        <f>P297+N297+L297+J297+H297+F297</f>
        <v>42</v>
      </c>
      <c r="E297" s="305">
        <v>0</v>
      </c>
      <c r="F297" s="305">
        <v>0</v>
      </c>
      <c r="G297" s="305">
        <v>0</v>
      </c>
      <c r="H297" s="305">
        <v>0</v>
      </c>
      <c r="I297" s="305">
        <v>0</v>
      </c>
      <c r="J297" s="305">
        <v>19</v>
      </c>
      <c r="K297" s="305">
        <v>0</v>
      </c>
      <c r="L297" s="305">
        <v>20</v>
      </c>
      <c r="M297" s="305">
        <v>0</v>
      </c>
      <c r="N297" s="305">
        <v>3</v>
      </c>
      <c r="O297" s="305">
        <v>0</v>
      </c>
      <c r="P297" s="305">
        <v>0</v>
      </c>
      <c r="Q297" s="203" t="s">
        <v>145</v>
      </c>
      <c r="R297" s="306" t="s">
        <v>88</v>
      </c>
    </row>
    <row r="298" spans="2:18" ht="22.5" customHeight="1" thickBot="1" x14ac:dyDescent="0.25">
      <c r="B298" s="305">
        <f t="shared" ref="B298:P298" si="131">SUM(B296:B297)</f>
        <v>54</v>
      </c>
      <c r="C298" s="305">
        <f t="shared" si="131"/>
        <v>0</v>
      </c>
      <c r="D298" s="305">
        <f t="shared" si="131"/>
        <v>54</v>
      </c>
      <c r="E298" s="305">
        <f t="shared" si="131"/>
        <v>0</v>
      </c>
      <c r="F298" s="305">
        <f t="shared" si="131"/>
        <v>0</v>
      </c>
      <c r="G298" s="305">
        <f t="shared" si="131"/>
        <v>0</v>
      </c>
      <c r="H298" s="305">
        <f t="shared" si="131"/>
        <v>3</v>
      </c>
      <c r="I298" s="305">
        <f t="shared" si="131"/>
        <v>0</v>
      </c>
      <c r="J298" s="305">
        <f t="shared" si="131"/>
        <v>23</v>
      </c>
      <c r="K298" s="305">
        <f t="shared" si="131"/>
        <v>0</v>
      </c>
      <c r="L298" s="305">
        <f t="shared" si="131"/>
        <v>23</v>
      </c>
      <c r="M298" s="305">
        <f t="shared" si="131"/>
        <v>0</v>
      </c>
      <c r="N298" s="305">
        <f t="shared" si="131"/>
        <v>4</v>
      </c>
      <c r="O298" s="305">
        <f t="shared" si="131"/>
        <v>0</v>
      </c>
      <c r="P298" s="305">
        <f t="shared" si="131"/>
        <v>1</v>
      </c>
      <c r="Q298" s="203" t="s">
        <v>12</v>
      </c>
      <c r="R298" s="307"/>
    </row>
    <row r="299" spans="2:18" ht="22.5" customHeight="1" thickBot="1" x14ac:dyDescent="0.25">
      <c r="B299" s="305">
        <f t="shared" si="117"/>
        <v>150</v>
      </c>
      <c r="C299" s="305">
        <f>O299+M299+K299+I299+G299+E299</f>
        <v>81</v>
      </c>
      <c r="D299" s="305">
        <f>P299+N299+L299+J299+H299+F299</f>
        <v>69</v>
      </c>
      <c r="E299" s="305">
        <v>0</v>
      </c>
      <c r="F299" s="305">
        <v>0</v>
      </c>
      <c r="G299" s="305">
        <v>70</v>
      </c>
      <c r="H299" s="305">
        <v>43</v>
      </c>
      <c r="I299" s="305">
        <v>3</v>
      </c>
      <c r="J299" s="305">
        <v>7</v>
      </c>
      <c r="K299" s="305">
        <v>8</v>
      </c>
      <c r="L299" s="305">
        <v>13</v>
      </c>
      <c r="M299" s="305">
        <v>0</v>
      </c>
      <c r="N299" s="305">
        <v>5</v>
      </c>
      <c r="O299" s="305">
        <v>0</v>
      </c>
      <c r="P299" s="305">
        <v>1</v>
      </c>
      <c r="Q299" s="203" t="s">
        <v>146</v>
      </c>
      <c r="R299" s="306"/>
    </row>
    <row r="300" spans="2:18" ht="22.5" customHeight="1" thickBot="1" x14ac:dyDescent="0.25">
      <c r="B300" s="305">
        <f t="shared" si="117"/>
        <v>37</v>
      </c>
      <c r="C300" s="305">
        <f>O300+M300+K300+I300+G300+E300</f>
        <v>8</v>
      </c>
      <c r="D300" s="305">
        <f>P300+N300+L300+J300+H300+F300</f>
        <v>29</v>
      </c>
      <c r="E300" s="305">
        <v>0</v>
      </c>
      <c r="F300" s="305">
        <v>0</v>
      </c>
      <c r="G300" s="305">
        <v>0</v>
      </c>
      <c r="H300" s="305">
        <v>0</v>
      </c>
      <c r="I300" s="305">
        <v>1</v>
      </c>
      <c r="J300" s="305">
        <v>4</v>
      </c>
      <c r="K300" s="305">
        <v>7</v>
      </c>
      <c r="L300" s="305">
        <v>20</v>
      </c>
      <c r="M300" s="305">
        <v>0</v>
      </c>
      <c r="N300" s="305">
        <v>4</v>
      </c>
      <c r="O300" s="305">
        <v>0</v>
      </c>
      <c r="P300" s="305">
        <v>1</v>
      </c>
      <c r="Q300" s="203" t="s">
        <v>145</v>
      </c>
      <c r="R300" s="306" t="s">
        <v>587</v>
      </c>
    </row>
    <row r="301" spans="2:18" ht="22.5" customHeight="1" thickBot="1" x14ac:dyDescent="0.25">
      <c r="B301" s="305">
        <f t="shared" ref="B301:P301" si="132">SUM(B299:B300)</f>
        <v>187</v>
      </c>
      <c r="C301" s="305">
        <f t="shared" si="132"/>
        <v>89</v>
      </c>
      <c r="D301" s="305">
        <f t="shared" si="132"/>
        <v>98</v>
      </c>
      <c r="E301" s="305">
        <f t="shared" si="132"/>
        <v>0</v>
      </c>
      <c r="F301" s="305">
        <f t="shared" si="132"/>
        <v>0</v>
      </c>
      <c r="G301" s="305">
        <f t="shared" si="132"/>
        <v>70</v>
      </c>
      <c r="H301" s="305">
        <f t="shared" si="132"/>
        <v>43</v>
      </c>
      <c r="I301" s="305">
        <f t="shared" si="132"/>
        <v>4</v>
      </c>
      <c r="J301" s="305">
        <f t="shared" si="132"/>
        <v>11</v>
      </c>
      <c r="K301" s="305">
        <f t="shared" si="132"/>
        <v>15</v>
      </c>
      <c r="L301" s="305">
        <f t="shared" si="132"/>
        <v>33</v>
      </c>
      <c r="M301" s="305">
        <f t="shared" si="132"/>
        <v>0</v>
      </c>
      <c r="N301" s="305">
        <f t="shared" si="132"/>
        <v>9</v>
      </c>
      <c r="O301" s="305">
        <f t="shared" si="132"/>
        <v>0</v>
      </c>
      <c r="P301" s="305">
        <f t="shared" si="132"/>
        <v>2</v>
      </c>
      <c r="Q301" s="203" t="s">
        <v>12</v>
      </c>
      <c r="R301" s="307"/>
    </row>
    <row r="302" spans="2:18" ht="22.5" customHeight="1" thickBot="1" x14ac:dyDescent="0.25">
      <c r="B302" s="305">
        <f t="shared" si="117"/>
        <v>224</v>
      </c>
      <c r="C302" s="305">
        <f>O302+M302+K302+I302+G302+E302</f>
        <v>224</v>
      </c>
      <c r="D302" s="305">
        <f>P302+N302+L302+J302+H302+F302</f>
        <v>0</v>
      </c>
      <c r="E302" s="305">
        <v>0</v>
      </c>
      <c r="F302" s="305">
        <v>0</v>
      </c>
      <c r="G302" s="305">
        <v>92</v>
      </c>
      <c r="H302" s="305">
        <v>0</v>
      </c>
      <c r="I302" s="305">
        <v>38</v>
      </c>
      <c r="J302" s="305">
        <v>0</v>
      </c>
      <c r="K302" s="305">
        <v>73</v>
      </c>
      <c r="L302" s="305">
        <v>0</v>
      </c>
      <c r="M302" s="305">
        <v>12</v>
      </c>
      <c r="N302" s="305">
        <v>0</v>
      </c>
      <c r="O302" s="305">
        <v>9</v>
      </c>
      <c r="P302" s="305">
        <v>0</v>
      </c>
      <c r="Q302" s="203" t="s">
        <v>146</v>
      </c>
      <c r="R302" s="306"/>
    </row>
    <row r="303" spans="2:18" ht="22.5" customHeight="1" thickBot="1" x14ac:dyDescent="0.25">
      <c r="B303" s="305">
        <f t="shared" si="117"/>
        <v>29</v>
      </c>
      <c r="C303" s="305">
        <f>O303+M303+K303+I303+G303+E303</f>
        <v>22</v>
      </c>
      <c r="D303" s="305">
        <f>P303+N303+L303+J303+H303+F303</f>
        <v>7</v>
      </c>
      <c r="E303" s="305">
        <v>0</v>
      </c>
      <c r="F303" s="305">
        <v>0</v>
      </c>
      <c r="G303" s="305">
        <v>0</v>
      </c>
      <c r="H303" s="305">
        <v>0</v>
      </c>
      <c r="I303" s="305">
        <v>0</v>
      </c>
      <c r="J303" s="305">
        <v>0</v>
      </c>
      <c r="K303" s="305">
        <v>3</v>
      </c>
      <c r="L303" s="305">
        <v>2</v>
      </c>
      <c r="M303" s="305">
        <v>12</v>
      </c>
      <c r="N303" s="305">
        <v>1</v>
      </c>
      <c r="O303" s="305">
        <v>7</v>
      </c>
      <c r="P303" s="305">
        <v>4</v>
      </c>
      <c r="Q303" s="203" t="s">
        <v>145</v>
      </c>
      <c r="R303" s="306" t="s">
        <v>676</v>
      </c>
    </row>
    <row r="304" spans="2:18" ht="22.5" customHeight="1" thickBot="1" x14ac:dyDescent="0.25">
      <c r="B304" s="305">
        <f t="shared" ref="B304:P304" si="133">SUM(B302:B303)</f>
        <v>253</v>
      </c>
      <c r="C304" s="305">
        <f t="shared" si="133"/>
        <v>246</v>
      </c>
      <c r="D304" s="305">
        <f t="shared" si="133"/>
        <v>7</v>
      </c>
      <c r="E304" s="305">
        <f t="shared" si="133"/>
        <v>0</v>
      </c>
      <c r="F304" s="305">
        <f t="shared" si="133"/>
        <v>0</v>
      </c>
      <c r="G304" s="305">
        <f t="shared" si="133"/>
        <v>92</v>
      </c>
      <c r="H304" s="305">
        <f t="shared" si="133"/>
        <v>0</v>
      </c>
      <c r="I304" s="305">
        <f t="shared" si="133"/>
        <v>38</v>
      </c>
      <c r="J304" s="305">
        <f t="shared" si="133"/>
        <v>0</v>
      </c>
      <c r="K304" s="305">
        <f t="shared" si="133"/>
        <v>76</v>
      </c>
      <c r="L304" s="305">
        <f t="shared" si="133"/>
        <v>2</v>
      </c>
      <c r="M304" s="305">
        <f t="shared" si="133"/>
        <v>24</v>
      </c>
      <c r="N304" s="305">
        <f t="shared" si="133"/>
        <v>1</v>
      </c>
      <c r="O304" s="305">
        <f t="shared" si="133"/>
        <v>16</v>
      </c>
      <c r="P304" s="305">
        <f t="shared" si="133"/>
        <v>4</v>
      </c>
      <c r="Q304" s="203" t="s">
        <v>12</v>
      </c>
      <c r="R304" s="307"/>
    </row>
    <row r="305" spans="2:18" ht="22.5" customHeight="1" thickBot="1" x14ac:dyDescent="0.25">
      <c r="B305" s="305">
        <f t="shared" si="117"/>
        <v>115</v>
      </c>
      <c r="C305" s="305">
        <f>O305+M305+K305+I305+G305+E305</f>
        <v>115</v>
      </c>
      <c r="D305" s="305">
        <f>P305+N305+L305+J305+H305+F305</f>
        <v>0</v>
      </c>
      <c r="E305" s="305">
        <v>0</v>
      </c>
      <c r="F305" s="305">
        <v>0</v>
      </c>
      <c r="G305" s="305">
        <v>67</v>
      </c>
      <c r="H305" s="305">
        <v>0</v>
      </c>
      <c r="I305" s="305">
        <v>27</v>
      </c>
      <c r="J305" s="305">
        <v>0</v>
      </c>
      <c r="K305" s="305">
        <v>9</v>
      </c>
      <c r="L305" s="305">
        <v>0</v>
      </c>
      <c r="M305" s="305">
        <v>6</v>
      </c>
      <c r="N305" s="305">
        <v>0</v>
      </c>
      <c r="O305" s="305">
        <v>6</v>
      </c>
      <c r="P305" s="305">
        <v>0</v>
      </c>
      <c r="Q305" s="203" t="s">
        <v>146</v>
      </c>
      <c r="R305" s="306"/>
    </row>
    <row r="306" spans="2:18" ht="22.5" customHeight="1" thickBot="1" x14ac:dyDescent="0.25">
      <c r="B306" s="305">
        <f t="shared" si="117"/>
        <v>14</v>
      </c>
      <c r="C306" s="305">
        <f>O306+M306+K306+I306+G306+E306</f>
        <v>14</v>
      </c>
      <c r="D306" s="305">
        <f>P306+N306+L306+J306+H306+F306</f>
        <v>0</v>
      </c>
      <c r="E306" s="305">
        <v>0</v>
      </c>
      <c r="F306" s="305">
        <v>0</v>
      </c>
      <c r="G306" s="305">
        <v>0</v>
      </c>
      <c r="H306" s="305">
        <v>0</v>
      </c>
      <c r="I306" s="305">
        <v>0</v>
      </c>
      <c r="J306" s="305">
        <v>0</v>
      </c>
      <c r="K306" s="305">
        <v>7</v>
      </c>
      <c r="L306" s="305">
        <v>0</v>
      </c>
      <c r="M306" s="305">
        <v>5</v>
      </c>
      <c r="N306" s="305">
        <v>0</v>
      </c>
      <c r="O306" s="305">
        <v>2</v>
      </c>
      <c r="P306" s="305">
        <v>0</v>
      </c>
      <c r="Q306" s="203" t="s">
        <v>145</v>
      </c>
      <c r="R306" s="306" t="s">
        <v>761</v>
      </c>
    </row>
    <row r="307" spans="2:18" ht="22.5" customHeight="1" thickBot="1" x14ac:dyDescent="0.25">
      <c r="B307" s="305">
        <f t="shared" ref="B307:P307" si="134">SUM(B305:B306)</f>
        <v>129</v>
      </c>
      <c r="C307" s="305">
        <f t="shared" si="134"/>
        <v>129</v>
      </c>
      <c r="D307" s="305">
        <f t="shared" si="134"/>
        <v>0</v>
      </c>
      <c r="E307" s="305">
        <f t="shared" si="134"/>
        <v>0</v>
      </c>
      <c r="F307" s="305">
        <f t="shared" si="134"/>
        <v>0</v>
      </c>
      <c r="G307" s="305">
        <f t="shared" si="134"/>
        <v>67</v>
      </c>
      <c r="H307" s="305">
        <f t="shared" si="134"/>
        <v>0</v>
      </c>
      <c r="I307" s="305">
        <f t="shared" si="134"/>
        <v>27</v>
      </c>
      <c r="J307" s="305">
        <f t="shared" si="134"/>
        <v>0</v>
      </c>
      <c r="K307" s="305">
        <f t="shared" si="134"/>
        <v>16</v>
      </c>
      <c r="L307" s="305">
        <f t="shared" si="134"/>
        <v>0</v>
      </c>
      <c r="M307" s="305">
        <f t="shared" si="134"/>
        <v>11</v>
      </c>
      <c r="N307" s="305">
        <f t="shared" si="134"/>
        <v>0</v>
      </c>
      <c r="O307" s="305">
        <f t="shared" si="134"/>
        <v>8</v>
      </c>
      <c r="P307" s="305">
        <f t="shared" si="134"/>
        <v>0</v>
      </c>
      <c r="Q307" s="203" t="s">
        <v>12</v>
      </c>
      <c r="R307" s="307"/>
    </row>
    <row r="308" spans="2:18" ht="22.5" customHeight="1" thickBot="1" x14ac:dyDescent="0.25">
      <c r="B308" s="305">
        <f t="shared" si="117"/>
        <v>114</v>
      </c>
      <c r="C308" s="305">
        <f>O308+M308+K308+I308+G308+E308</f>
        <v>114</v>
      </c>
      <c r="D308" s="305">
        <f>P308+N308+L308+J308+H308+F308</f>
        <v>0</v>
      </c>
      <c r="E308" s="305">
        <v>0</v>
      </c>
      <c r="F308" s="305">
        <v>0</v>
      </c>
      <c r="G308" s="305">
        <v>64</v>
      </c>
      <c r="H308" s="305">
        <v>0</v>
      </c>
      <c r="I308" s="305">
        <v>25</v>
      </c>
      <c r="J308" s="305">
        <v>0</v>
      </c>
      <c r="K308" s="305">
        <v>24</v>
      </c>
      <c r="L308" s="305">
        <v>0</v>
      </c>
      <c r="M308" s="305">
        <v>1</v>
      </c>
      <c r="N308" s="305">
        <v>0</v>
      </c>
      <c r="O308" s="305">
        <v>0</v>
      </c>
      <c r="P308" s="305">
        <v>0</v>
      </c>
      <c r="Q308" s="203" t="s">
        <v>146</v>
      </c>
      <c r="R308" s="306"/>
    </row>
    <row r="309" spans="2:18" ht="22.5" customHeight="1" thickBot="1" x14ac:dyDescent="0.25">
      <c r="B309" s="305">
        <f t="shared" si="117"/>
        <v>27</v>
      </c>
      <c r="C309" s="305">
        <f>O309+M309+K309+I309+G309+E309</f>
        <v>22</v>
      </c>
      <c r="D309" s="305">
        <f>P309+N309+L309+J309+H309+F309</f>
        <v>5</v>
      </c>
      <c r="E309" s="305">
        <v>0</v>
      </c>
      <c r="F309" s="305">
        <v>0</v>
      </c>
      <c r="G309" s="305">
        <v>0</v>
      </c>
      <c r="H309" s="305">
        <v>0</v>
      </c>
      <c r="I309" s="305">
        <v>0</v>
      </c>
      <c r="J309" s="305">
        <v>1</v>
      </c>
      <c r="K309" s="305">
        <v>19</v>
      </c>
      <c r="L309" s="305">
        <v>4</v>
      </c>
      <c r="M309" s="305">
        <v>3</v>
      </c>
      <c r="N309" s="305">
        <v>0</v>
      </c>
      <c r="O309" s="305">
        <v>0</v>
      </c>
      <c r="P309" s="305">
        <v>0</v>
      </c>
      <c r="Q309" s="203" t="s">
        <v>145</v>
      </c>
      <c r="R309" s="306" t="s">
        <v>762</v>
      </c>
    </row>
    <row r="310" spans="2:18" ht="22.5" customHeight="1" thickBot="1" x14ac:dyDescent="0.25">
      <c r="B310" s="305">
        <f t="shared" ref="B310:P310" si="135">SUM(B308:B309)</f>
        <v>141</v>
      </c>
      <c r="C310" s="305">
        <f t="shared" si="135"/>
        <v>136</v>
      </c>
      <c r="D310" s="305">
        <f t="shared" si="135"/>
        <v>5</v>
      </c>
      <c r="E310" s="305">
        <f t="shared" si="135"/>
        <v>0</v>
      </c>
      <c r="F310" s="305">
        <f t="shared" si="135"/>
        <v>0</v>
      </c>
      <c r="G310" s="305">
        <f t="shared" si="135"/>
        <v>64</v>
      </c>
      <c r="H310" s="305">
        <f t="shared" si="135"/>
        <v>0</v>
      </c>
      <c r="I310" s="305">
        <f t="shared" si="135"/>
        <v>25</v>
      </c>
      <c r="J310" s="305">
        <f t="shared" si="135"/>
        <v>1</v>
      </c>
      <c r="K310" s="305">
        <f t="shared" si="135"/>
        <v>43</v>
      </c>
      <c r="L310" s="305">
        <f t="shared" si="135"/>
        <v>4</v>
      </c>
      <c r="M310" s="305">
        <f t="shared" si="135"/>
        <v>4</v>
      </c>
      <c r="N310" s="305">
        <f t="shared" si="135"/>
        <v>0</v>
      </c>
      <c r="O310" s="305">
        <f t="shared" si="135"/>
        <v>0</v>
      </c>
      <c r="P310" s="305">
        <f t="shared" si="135"/>
        <v>0</v>
      </c>
      <c r="Q310" s="203" t="s">
        <v>12</v>
      </c>
      <c r="R310" s="307"/>
    </row>
    <row r="311" spans="2:18" ht="22.5" customHeight="1" thickBot="1" x14ac:dyDescent="0.25">
      <c r="B311" s="305">
        <f t="shared" si="117"/>
        <v>290</v>
      </c>
      <c r="C311" s="305">
        <f>O311+M311+K311+I311+G311+E311</f>
        <v>290</v>
      </c>
      <c r="D311" s="305">
        <f>P311+N311+L311+J311+H311+F311</f>
        <v>0</v>
      </c>
      <c r="E311" s="305">
        <v>11</v>
      </c>
      <c r="F311" s="305">
        <v>0</v>
      </c>
      <c r="G311" s="305">
        <v>105</v>
      </c>
      <c r="H311" s="305">
        <v>0</v>
      </c>
      <c r="I311" s="305">
        <v>57</v>
      </c>
      <c r="J311" s="305">
        <v>0</v>
      </c>
      <c r="K311" s="305">
        <v>102</v>
      </c>
      <c r="L311" s="305">
        <v>0</v>
      </c>
      <c r="M311" s="305">
        <v>13</v>
      </c>
      <c r="N311" s="305">
        <v>0</v>
      </c>
      <c r="O311" s="305">
        <v>2</v>
      </c>
      <c r="P311" s="305">
        <v>0</v>
      </c>
      <c r="Q311" s="203" t="s">
        <v>146</v>
      </c>
      <c r="R311" s="306"/>
    </row>
    <row r="312" spans="2:18" ht="22.5" customHeight="1" thickBot="1" x14ac:dyDescent="0.25">
      <c r="B312" s="305">
        <f t="shared" si="117"/>
        <v>32</v>
      </c>
      <c r="C312" s="305">
        <f>O312+M312+K312+I312+G312+E312</f>
        <v>18</v>
      </c>
      <c r="D312" s="305">
        <f>P312+N312+L312+J312+H312+F312</f>
        <v>14</v>
      </c>
      <c r="E312" s="305">
        <v>0</v>
      </c>
      <c r="F312" s="305">
        <v>0</v>
      </c>
      <c r="G312" s="305">
        <v>0</v>
      </c>
      <c r="H312" s="305">
        <v>0</v>
      </c>
      <c r="I312" s="305">
        <v>0</v>
      </c>
      <c r="J312" s="305">
        <v>0</v>
      </c>
      <c r="K312" s="305">
        <v>11</v>
      </c>
      <c r="L312" s="305">
        <v>4</v>
      </c>
      <c r="M312" s="305">
        <v>6</v>
      </c>
      <c r="N312" s="305">
        <v>8</v>
      </c>
      <c r="O312" s="305">
        <v>1</v>
      </c>
      <c r="P312" s="305">
        <v>2</v>
      </c>
      <c r="Q312" s="203" t="s">
        <v>145</v>
      </c>
      <c r="R312" s="306" t="s">
        <v>410</v>
      </c>
    </row>
    <row r="313" spans="2:18" ht="22.5" customHeight="1" thickBot="1" x14ac:dyDescent="0.25">
      <c r="B313" s="305">
        <f t="shared" ref="B313:P313" si="136">SUM(B311:B312)</f>
        <v>322</v>
      </c>
      <c r="C313" s="305">
        <f t="shared" si="136"/>
        <v>308</v>
      </c>
      <c r="D313" s="305">
        <f t="shared" si="136"/>
        <v>14</v>
      </c>
      <c r="E313" s="305">
        <f t="shared" si="136"/>
        <v>11</v>
      </c>
      <c r="F313" s="305">
        <f t="shared" si="136"/>
        <v>0</v>
      </c>
      <c r="G313" s="305">
        <f t="shared" si="136"/>
        <v>105</v>
      </c>
      <c r="H313" s="305">
        <f t="shared" si="136"/>
        <v>0</v>
      </c>
      <c r="I313" s="305">
        <f t="shared" si="136"/>
        <v>57</v>
      </c>
      <c r="J313" s="305">
        <f t="shared" si="136"/>
        <v>0</v>
      </c>
      <c r="K313" s="305">
        <f t="shared" si="136"/>
        <v>113</v>
      </c>
      <c r="L313" s="305">
        <f t="shared" si="136"/>
        <v>4</v>
      </c>
      <c r="M313" s="305">
        <f t="shared" si="136"/>
        <v>19</v>
      </c>
      <c r="N313" s="305">
        <f t="shared" si="136"/>
        <v>8</v>
      </c>
      <c r="O313" s="305">
        <f t="shared" si="136"/>
        <v>3</v>
      </c>
      <c r="P313" s="305">
        <f t="shared" si="136"/>
        <v>2</v>
      </c>
      <c r="Q313" s="203" t="s">
        <v>12</v>
      </c>
      <c r="R313" s="307"/>
    </row>
    <row r="314" spans="2:18" ht="22.5" customHeight="1" thickBot="1" x14ac:dyDescent="0.25">
      <c r="B314" s="305">
        <f t="shared" si="117"/>
        <v>0</v>
      </c>
      <c r="C314" s="305">
        <f>O314+M314+K314+I314+G314+E314</f>
        <v>0</v>
      </c>
      <c r="D314" s="305">
        <f>P314+N314+L314+J314+H314+F314</f>
        <v>0</v>
      </c>
      <c r="E314" s="305">
        <v>0</v>
      </c>
      <c r="F314" s="305">
        <v>0</v>
      </c>
      <c r="G314" s="305">
        <v>0</v>
      </c>
      <c r="H314" s="305">
        <v>0</v>
      </c>
      <c r="I314" s="305">
        <v>0</v>
      </c>
      <c r="J314" s="305">
        <v>0</v>
      </c>
      <c r="K314" s="305">
        <v>0</v>
      </c>
      <c r="L314" s="305">
        <v>0</v>
      </c>
      <c r="M314" s="305">
        <v>0</v>
      </c>
      <c r="N314" s="305">
        <v>0</v>
      </c>
      <c r="O314" s="305">
        <v>0</v>
      </c>
      <c r="P314" s="305">
        <v>0</v>
      </c>
      <c r="Q314" s="203" t="s">
        <v>146</v>
      </c>
      <c r="R314" s="306"/>
    </row>
    <row r="315" spans="2:18" ht="22.5" customHeight="1" thickBot="1" x14ac:dyDescent="0.25">
      <c r="B315" s="305">
        <f t="shared" si="117"/>
        <v>1</v>
      </c>
      <c r="C315" s="305">
        <f>O315+M315+K315+I315+G315+E315</f>
        <v>0</v>
      </c>
      <c r="D315" s="305">
        <f>P315+N315+L315+J315+H315+F315</f>
        <v>1</v>
      </c>
      <c r="E315" s="305">
        <v>0</v>
      </c>
      <c r="F315" s="305">
        <v>0</v>
      </c>
      <c r="G315" s="305">
        <v>0</v>
      </c>
      <c r="H315" s="305">
        <v>0</v>
      </c>
      <c r="I315" s="305">
        <v>0</v>
      </c>
      <c r="J315" s="305">
        <v>1</v>
      </c>
      <c r="K315" s="305">
        <v>0</v>
      </c>
      <c r="L315" s="305">
        <v>0</v>
      </c>
      <c r="M315" s="305">
        <v>0</v>
      </c>
      <c r="N315" s="305">
        <v>0</v>
      </c>
      <c r="O315" s="305">
        <v>0</v>
      </c>
      <c r="P315" s="305">
        <v>0</v>
      </c>
      <c r="Q315" s="203" t="s">
        <v>145</v>
      </c>
      <c r="R315" s="306" t="s">
        <v>198</v>
      </c>
    </row>
    <row r="316" spans="2:18" ht="22.5" customHeight="1" thickBot="1" x14ac:dyDescent="0.25">
      <c r="B316" s="305">
        <f t="shared" ref="B316:P316" si="137">SUM(B314:B315)</f>
        <v>1</v>
      </c>
      <c r="C316" s="305">
        <f t="shared" si="137"/>
        <v>0</v>
      </c>
      <c r="D316" s="305">
        <f t="shared" si="137"/>
        <v>1</v>
      </c>
      <c r="E316" s="305">
        <f t="shared" si="137"/>
        <v>0</v>
      </c>
      <c r="F316" s="305">
        <f t="shared" si="137"/>
        <v>0</v>
      </c>
      <c r="G316" s="305">
        <f t="shared" si="137"/>
        <v>0</v>
      </c>
      <c r="H316" s="305">
        <f t="shared" si="137"/>
        <v>0</v>
      </c>
      <c r="I316" s="305">
        <f t="shared" si="137"/>
        <v>0</v>
      </c>
      <c r="J316" s="305">
        <f t="shared" si="137"/>
        <v>1</v>
      </c>
      <c r="K316" s="305">
        <f t="shared" si="137"/>
        <v>0</v>
      </c>
      <c r="L316" s="305">
        <f t="shared" si="137"/>
        <v>0</v>
      </c>
      <c r="M316" s="305">
        <f t="shared" si="137"/>
        <v>0</v>
      </c>
      <c r="N316" s="305">
        <f t="shared" si="137"/>
        <v>0</v>
      </c>
      <c r="O316" s="305">
        <f t="shared" si="137"/>
        <v>0</v>
      </c>
      <c r="P316" s="305">
        <f t="shared" si="137"/>
        <v>0</v>
      </c>
      <c r="Q316" s="203" t="s">
        <v>12</v>
      </c>
      <c r="R316" s="307"/>
    </row>
    <row r="317" spans="2:18" ht="22.5" customHeight="1" thickBot="1" x14ac:dyDescent="0.25">
      <c r="B317" s="305">
        <f t="shared" si="117"/>
        <v>150</v>
      </c>
      <c r="C317" s="305">
        <f>O317+M317+K317+I317+G317+E317</f>
        <v>0</v>
      </c>
      <c r="D317" s="305">
        <f>P317+N317+L317+J317+H317+F317</f>
        <v>150</v>
      </c>
      <c r="E317" s="305">
        <v>0</v>
      </c>
      <c r="F317" s="305">
        <v>0</v>
      </c>
      <c r="G317" s="305">
        <v>0</v>
      </c>
      <c r="H317" s="305">
        <v>65</v>
      </c>
      <c r="I317" s="305">
        <v>0</v>
      </c>
      <c r="J317" s="305">
        <v>51</v>
      </c>
      <c r="K317" s="305">
        <v>0</v>
      </c>
      <c r="L317" s="305">
        <v>26</v>
      </c>
      <c r="M317" s="305">
        <v>0</v>
      </c>
      <c r="N317" s="305">
        <v>6</v>
      </c>
      <c r="O317" s="305">
        <v>0</v>
      </c>
      <c r="P317" s="305">
        <v>2</v>
      </c>
      <c r="Q317" s="203" t="s">
        <v>146</v>
      </c>
      <c r="R317" s="306"/>
    </row>
    <row r="318" spans="2:18" ht="22.5" customHeight="1" thickBot="1" x14ac:dyDescent="0.25">
      <c r="B318" s="305">
        <f t="shared" si="117"/>
        <v>19</v>
      </c>
      <c r="C318" s="305">
        <f>O318+M318+K318+I318+G318+E318</f>
        <v>0</v>
      </c>
      <c r="D318" s="305">
        <f>P318+N318+L318+J318+H318+F318</f>
        <v>19</v>
      </c>
      <c r="E318" s="305">
        <v>0</v>
      </c>
      <c r="F318" s="305">
        <v>0</v>
      </c>
      <c r="G318" s="305">
        <v>0</v>
      </c>
      <c r="H318" s="305">
        <v>0</v>
      </c>
      <c r="I318" s="305">
        <v>0</v>
      </c>
      <c r="J318" s="305">
        <v>0</v>
      </c>
      <c r="K318" s="305">
        <v>0</v>
      </c>
      <c r="L318" s="305">
        <v>18</v>
      </c>
      <c r="M318" s="305">
        <v>0</v>
      </c>
      <c r="N318" s="305">
        <v>1</v>
      </c>
      <c r="O318" s="305">
        <v>0</v>
      </c>
      <c r="P318" s="305">
        <v>0</v>
      </c>
      <c r="Q318" s="203" t="s">
        <v>145</v>
      </c>
      <c r="R318" s="306" t="s">
        <v>416</v>
      </c>
    </row>
    <row r="319" spans="2:18" ht="22.5" customHeight="1" thickBot="1" x14ac:dyDescent="0.25">
      <c r="B319" s="305">
        <f t="shared" ref="B319:P319" si="138">SUM(B317:B318)</f>
        <v>169</v>
      </c>
      <c r="C319" s="305">
        <f t="shared" si="138"/>
        <v>0</v>
      </c>
      <c r="D319" s="305">
        <f t="shared" si="138"/>
        <v>169</v>
      </c>
      <c r="E319" s="305">
        <f t="shared" si="138"/>
        <v>0</v>
      </c>
      <c r="F319" s="305">
        <f t="shared" si="138"/>
        <v>0</v>
      </c>
      <c r="G319" s="305">
        <f t="shared" si="138"/>
        <v>0</v>
      </c>
      <c r="H319" s="305">
        <f t="shared" si="138"/>
        <v>65</v>
      </c>
      <c r="I319" s="305">
        <f t="shared" si="138"/>
        <v>0</v>
      </c>
      <c r="J319" s="305">
        <f t="shared" si="138"/>
        <v>51</v>
      </c>
      <c r="K319" s="305">
        <f t="shared" si="138"/>
        <v>0</v>
      </c>
      <c r="L319" s="305">
        <f t="shared" si="138"/>
        <v>44</v>
      </c>
      <c r="M319" s="305">
        <f t="shared" si="138"/>
        <v>0</v>
      </c>
      <c r="N319" s="305">
        <f t="shared" si="138"/>
        <v>7</v>
      </c>
      <c r="O319" s="305">
        <f t="shared" si="138"/>
        <v>0</v>
      </c>
      <c r="P319" s="305">
        <f t="shared" si="138"/>
        <v>2</v>
      </c>
      <c r="Q319" s="203" t="s">
        <v>12</v>
      </c>
      <c r="R319" s="307"/>
    </row>
    <row r="320" spans="2:18" ht="22.5" customHeight="1" thickBot="1" x14ac:dyDescent="0.25">
      <c r="B320" s="305">
        <f t="shared" si="117"/>
        <v>40</v>
      </c>
      <c r="C320" s="305">
        <f>O320+M320+K320+I320+G320+E320</f>
        <v>28</v>
      </c>
      <c r="D320" s="305">
        <f>P320+N320+L320+J320+H320+F320</f>
        <v>12</v>
      </c>
      <c r="E320" s="305">
        <v>11</v>
      </c>
      <c r="F320" s="305">
        <v>0</v>
      </c>
      <c r="G320" s="305">
        <v>15</v>
      </c>
      <c r="H320" s="305">
        <v>5</v>
      </c>
      <c r="I320" s="305">
        <v>2</v>
      </c>
      <c r="J320" s="305">
        <v>5</v>
      </c>
      <c r="K320" s="305">
        <v>0</v>
      </c>
      <c r="L320" s="305">
        <v>2</v>
      </c>
      <c r="M320" s="305">
        <v>0</v>
      </c>
      <c r="N320" s="305">
        <v>0</v>
      </c>
      <c r="O320" s="305">
        <v>0</v>
      </c>
      <c r="P320" s="305">
        <v>0</v>
      </c>
      <c r="Q320" s="203" t="s">
        <v>146</v>
      </c>
      <c r="R320" s="306"/>
    </row>
    <row r="321" spans="2:18" ht="22.5" customHeight="1" thickBot="1" x14ac:dyDescent="0.25">
      <c r="B321" s="305">
        <f t="shared" si="117"/>
        <v>14</v>
      </c>
      <c r="C321" s="305">
        <f>O321+M321+K321+I321+G321+E321</f>
        <v>7</v>
      </c>
      <c r="D321" s="305">
        <f>P321+N321+L321+J321+H321+F321</f>
        <v>7</v>
      </c>
      <c r="E321" s="305">
        <v>0</v>
      </c>
      <c r="F321" s="305">
        <v>0</v>
      </c>
      <c r="G321" s="305">
        <v>0</v>
      </c>
      <c r="H321" s="305">
        <v>0</v>
      </c>
      <c r="I321" s="305">
        <v>3</v>
      </c>
      <c r="J321" s="305">
        <v>3</v>
      </c>
      <c r="K321" s="305">
        <v>4</v>
      </c>
      <c r="L321" s="305">
        <v>4</v>
      </c>
      <c r="M321" s="305">
        <v>0</v>
      </c>
      <c r="N321" s="305">
        <v>0</v>
      </c>
      <c r="O321" s="305">
        <v>0</v>
      </c>
      <c r="P321" s="305">
        <v>0</v>
      </c>
      <c r="Q321" s="203" t="s">
        <v>145</v>
      </c>
      <c r="R321" s="306" t="s">
        <v>622</v>
      </c>
    </row>
    <row r="322" spans="2:18" ht="22.5" customHeight="1" thickBot="1" x14ac:dyDescent="0.25">
      <c r="B322" s="305">
        <f t="shared" ref="B322:P322" si="139">SUM(B320:B321)</f>
        <v>54</v>
      </c>
      <c r="C322" s="305">
        <f t="shared" si="139"/>
        <v>35</v>
      </c>
      <c r="D322" s="305">
        <f t="shared" si="139"/>
        <v>19</v>
      </c>
      <c r="E322" s="305">
        <f t="shared" si="139"/>
        <v>11</v>
      </c>
      <c r="F322" s="305">
        <f t="shared" si="139"/>
        <v>0</v>
      </c>
      <c r="G322" s="305">
        <f t="shared" si="139"/>
        <v>15</v>
      </c>
      <c r="H322" s="305">
        <f t="shared" si="139"/>
        <v>5</v>
      </c>
      <c r="I322" s="305">
        <f t="shared" si="139"/>
        <v>5</v>
      </c>
      <c r="J322" s="305">
        <f t="shared" si="139"/>
        <v>8</v>
      </c>
      <c r="K322" s="305">
        <f t="shared" si="139"/>
        <v>4</v>
      </c>
      <c r="L322" s="305">
        <f t="shared" si="139"/>
        <v>6</v>
      </c>
      <c r="M322" s="305">
        <f t="shared" si="139"/>
        <v>0</v>
      </c>
      <c r="N322" s="305">
        <f t="shared" si="139"/>
        <v>0</v>
      </c>
      <c r="O322" s="305">
        <f t="shared" si="139"/>
        <v>0</v>
      </c>
      <c r="P322" s="305">
        <f t="shared" si="139"/>
        <v>0</v>
      </c>
      <c r="Q322" s="203" t="s">
        <v>12</v>
      </c>
      <c r="R322" s="307"/>
    </row>
    <row r="323" spans="2:18" ht="22.5" customHeight="1" thickBot="1" x14ac:dyDescent="0.25">
      <c r="B323" s="305">
        <f t="shared" ref="B323:P325" si="140">B257+B260+B263+B266+B269+B272+B275+B278+B281+B284+B287+B290+B293+B296+B299+B302+B305+B308+B311+B314+B317+B320</f>
        <v>3922</v>
      </c>
      <c r="C323" s="305">
        <f t="shared" si="140"/>
        <v>2117</v>
      </c>
      <c r="D323" s="305">
        <f t="shared" si="140"/>
        <v>1805</v>
      </c>
      <c r="E323" s="305">
        <f t="shared" si="140"/>
        <v>27</v>
      </c>
      <c r="F323" s="305">
        <f t="shared" si="140"/>
        <v>17</v>
      </c>
      <c r="G323" s="305">
        <f t="shared" si="140"/>
        <v>1151</v>
      </c>
      <c r="H323" s="305">
        <f t="shared" si="140"/>
        <v>717</v>
      </c>
      <c r="I323" s="305">
        <f t="shared" si="140"/>
        <v>358</v>
      </c>
      <c r="J323" s="305">
        <f t="shared" si="140"/>
        <v>162</v>
      </c>
      <c r="K323" s="305">
        <f t="shared" si="140"/>
        <v>452</v>
      </c>
      <c r="L323" s="305">
        <f t="shared" si="140"/>
        <v>444</v>
      </c>
      <c r="M323" s="305">
        <f t="shared" si="140"/>
        <v>96</v>
      </c>
      <c r="N323" s="305">
        <f t="shared" si="140"/>
        <v>279</v>
      </c>
      <c r="O323" s="305">
        <f t="shared" si="140"/>
        <v>33</v>
      </c>
      <c r="P323" s="305">
        <f t="shared" si="140"/>
        <v>186</v>
      </c>
      <c r="Q323" s="203" t="s">
        <v>146</v>
      </c>
      <c r="R323" s="280"/>
    </row>
    <row r="324" spans="2:18" ht="22.5" customHeight="1" thickBot="1" x14ac:dyDescent="0.25">
      <c r="B324" s="305">
        <f t="shared" si="140"/>
        <v>1185</v>
      </c>
      <c r="C324" s="305">
        <f t="shared" si="140"/>
        <v>336</v>
      </c>
      <c r="D324" s="305">
        <f t="shared" si="140"/>
        <v>849</v>
      </c>
      <c r="E324" s="305">
        <f t="shared" si="140"/>
        <v>61</v>
      </c>
      <c r="F324" s="305">
        <f t="shared" si="140"/>
        <v>173</v>
      </c>
      <c r="G324" s="305">
        <f t="shared" si="140"/>
        <v>0</v>
      </c>
      <c r="H324" s="305">
        <f t="shared" si="140"/>
        <v>0</v>
      </c>
      <c r="I324" s="305">
        <f t="shared" si="140"/>
        <v>18</v>
      </c>
      <c r="J324" s="305">
        <f t="shared" si="140"/>
        <v>83</v>
      </c>
      <c r="K324" s="305">
        <f t="shared" si="140"/>
        <v>172</v>
      </c>
      <c r="L324" s="305">
        <f t="shared" si="140"/>
        <v>429</v>
      </c>
      <c r="M324" s="305">
        <f t="shared" si="140"/>
        <v>59</v>
      </c>
      <c r="N324" s="305">
        <f t="shared" si="140"/>
        <v>102</v>
      </c>
      <c r="O324" s="305">
        <f t="shared" si="140"/>
        <v>26</v>
      </c>
      <c r="P324" s="305">
        <f t="shared" si="140"/>
        <v>62</v>
      </c>
      <c r="Q324" s="203" t="s">
        <v>145</v>
      </c>
      <c r="R324" s="281" t="s">
        <v>188</v>
      </c>
    </row>
    <row r="325" spans="2:18" ht="22.5" customHeight="1" thickBot="1" x14ac:dyDescent="0.25">
      <c r="B325" s="305">
        <f t="shared" si="140"/>
        <v>5107</v>
      </c>
      <c r="C325" s="305">
        <f t="shared" si="140"/>
        <v>2453</v>
      </c>
      <c r="D325" s="305">
        <f t="shared" si="140"/>
        <v>2654</v>
      </c>
      <c r="E325" s="305">
        <f t="shared" si="140"/>
        <v>88</v>
      </c>
      <c r="F325" s="305">
        <f t="shared" si="140"/>
        <v>190</v>
      </c>
      <c r="G325" s="305">
        <f t="shared" si="140"/>
        <v>1151</v>
      </c>
      <c r="H325" s="305">
        <f t="shared" si="140"/>
        <v>717</v>
      </c>
      <c r="I325" s="305">
        <f t="shared" si="140"/>
        <v>376</v>
      </c>
      <c r="J325" s="305">
        <f t="shared" si="140"/>
        <v>245</v>
      </c>
      <c r="K325" s="305">
        <f t="shared" si="140"/>
        <v>624</v>
      </c>
      <c r="L325" s="305">
        <f t="shared" si="140"/>
        <v>873</v>
      </c>
      <c r="M325" s="305">
        <f t="shared" si="140"/>
        <v>155</v>
      </c>
      <c r="N325" s="305">
        <f t="shared" si="140"/>
        <v>381</v>
      </c>
      <c r="O325" s="305">
        <f t="shared" si="140"/>
        <v>59</v>
      </c>
      <c r="P325" s="305">
        <f t="shared" si="140"/>
        <v>248</v>
      </c>
      <c r="Q325" s="203" t="s">
        <v>12</v>
      </c>
      <c r="R325" s="282"/>
    </row>
    <row r="326" spans="2:18" ht="22.5" customHeight="1" thickBot="1" x14ac:dyDescent="0.25">
      <c r="B326" s="319"/>
      <c r="C326" s="319"/>
      <c r="D326" s="319"/>
      <c r="E326" s="319"/>
      <c r="F326" s="319"/>
      <c r="G326" s="319"/>
      <c r="H326" s="319"/>
      <c r="I326" s="319"/>
      <c r="J326" s="319"/>
      <c r="K326" s="319"/>
      <c r="L326" s="319"/>
      <c r="M326" s="319"/>
      <c r="N326" s="319"/>
      <c r="O326" s="319"/>
      <c r="P326" s="319"/>
      <c r="Q326" s="320"/>
      <c r="R326" s="320"/>
    </row>
    <row r="327" spans="2:18" ht="22.5" customHeight="1" thickBot="1" x14ac:dyDescent="0.25">
      <c r="B327" s="477" t="s">
        <v>4</v>
      </c>
      <c r="C327" s="477"/>
      <c r="D327" s="477"/>
      <c r="E327" s="477" t="s">
        <v>735</v>
      </c>
      <c r="F327" s="477"/>
      <c r="G327" s="477" t="s">
        <v>736</v>
      </c>
      <c r="H327" s="477"/>
      <c r="I327" s="477" t="s">
        <v>737</v>
      </c>
      <c r="J327" s="477"/>
      <c r="K327" s="477" t="s">
        <v>738</v>
      </c>
      <c r="L327" s="477"/>
      <c r="M327" s="477" t="s">
        <v>739</v>
      </c>
      <c r="N327" s="477"/>
      <c r="O327" s="477" t="s">
        <v>740</v>
      </c>
      <c r="P327" s="477"/>
      <c r="Q327" s="575" t="s">
        <v>741</v>
      </c>
      <c r="R327" s="304" t="s">
        <v>144</v>
      </c>
    </row>
    <row r="328" spans="2:18" ht="22.5" customHeight="1" thickBot="1" x14ac:dyDescent="0.25">
      <c r="B328" s="204" t="s">
        <v>227</v>
      </c>
      <c r="C328" s="204" t="s">
        <v>10</v>
      </c>
      <c r="D328" s="204" t="s">
        <v>9</v>
      </c>
      <c r="E328" s="204" t="s">
        <v>10</v>
      </c>
      <c r="F328" s="204" t="s">
        <v>9</v>
      </c>
      <c r="G328" s="204" t="s">
        <v>10</v>
      </c>
      <c r="H328" s="204" t="s">
        <v>9</v>
      </c>
      <c r="I328" s="204" t="s">
        <v>10</v>
      </c>
      <c r="J328" s="204" t="s">
        <v>9</v>
      </c>
      <c r="K328" s="204" t="s">
        <v>10</v>
      </c>
      <c r="L328" s="204" t="s">
        <v>9</v>
      </c>
      <c r="M328" s="204" t="s">
        <v>10</v>
      </c>
      <c r="N328" s="204" t="s">
        <v>9</v>
      </c>
      <c r="O328" s="204" t="s">
        <v>10</v>
      </c>
      <c r="P328" s="204" t="s">
        <v>9</v>
      </c>
      <c r="Q328" s="481"/>
      <c r="R328" s="282" t="s">
        <v>90</v>
      </c>
    </row>
    <row r="329" spans="2:18" ht="22.5" customHeight="1" thickBot="1" x14ac:dyDescent="0.25">
      <c r="B329" s="305">
        <f>SUM(C329:D329)</f>
        <v>117</v>
      </c>
      <c r="C329" s="305">
        <f>O329+M329+K329+I329+G329+E329</f>
        <v>0</v>
      </c>
      <c r="D329" s="305">
        <f>P329+N329+L329+J329+H329+F329</f>
        <v>117</v>
      </c>
      <c r="E329" s="305">
        <v>0</v>
      </c>
      <c r="F329" s="305">
        <v>0</v>
      </c>
      <c r="G329" s="305">
        <v>0</v>
      </c>
      <c r="H329" s="305">
        <v>14</v>
      </c>
      <c r="I329" s="305">
        <v>0</v>
      </c>
      <c r="J329" s="305">
        <v>11</v>
      </c>
      <c r="K329" s="305">
        <v>0</v>
      </c>
      <c r="L329" s="305">
        <v>38</v>
      </c>
      <c r="M329" s="305">
        <v>0</v>
      </c>
      <c r="N329" s="305">
        <v>31</v>
      </c>
      <c r="O329" s="305">
        <v>0</v>
      </c>
      <c r="P329" s="305">
        <v>23</v>
      </c>
      <c r="Q329" s="203" t="s">
        <v>146</v>
      </c>
      <c r="R329" s="306"/>
    </row>
    <row r="330" spans="2:18" ht="22.5" customHeight="1" thickBot="1" x14ac:dyDescent="0.25">
      <c r="B330" s="305">
        <f t="shared" ref="B330:B357" si="141">SUM(C330:D330)</f>
        <v>120</v>
      </c>
      <c r="C330" s="305">
        <f>O330+M330+K330+I330+G330+E330</f>
        <v>0</v>
      </c>
      <c r="D330" s="305">
        <f>P330+N330+L330+J330+H330+F330</f>
        <v>120</v>
      </c>
      <c r="E330" s="305">
        <v>0</v>
      </c>
      <c r="F330" s="305">
        <v>0</v>
      </c>
      <c r="G330" s="305">
        <v>0</v>
      </c>
      <c r="H330" s="305">
        <v>0</v>
      </c>
      <c r="I330" s="305">
        <v>0</v>
      </c>
      <c r="J330" s="305">
        <v>26</v>
      </c>
      <c r="K330" s="305">
        <v>0</v>
      </c>
      <c r="L330" s="305">
        <v>36</v>
      </c>
      <c r="M330" s="305">
        <v>0</v>
      </c>
      <c r="N330" s="305">
        <v>36</v>
      </c>
      <c r="O330" s="305">
        <v>0</v>
      </c>
      <c r="P330" s="305">
        <v>22</v>
      </c>
      <c r="Q330" s="203" t="s">
        <v>145</v>
      </c>
      <c r="R330" s="306" t="s">
        <v>420</v>
      </c>
    </row>
    <row r="331" spans="2:18" ht="22.5" customHeight="1" thickBot="1" x14ac:dyDescent="0.25">
      <c r="B331" s="305">
        <f t="shared" ref="B331:P331" si="142">SUM(B329:B330)</f>
        <v>237</v>
      </c>
      <c r="C331" s="305">
        <f t="shared" si="142"/>
        <v>0</v>
      </c>
      <c r="D331" s="305">
        <f t="shared" si="142"/>
        <v>237</v>
      </c>
      <c r="E331" s="305">
        <f t="shared" si="142"/>
        <v>0</v>
      </c>
      <c r="F331" s="305">
        <f t="shared" si="142"/>
        <v>0</v>
      </c>
      <c r="G331" s="305">
        <f t="shared" si="142"/>
        <v>0</v>
      </c>
      <c r="H331" s="305">
        <f t="shared" si="142"/>
        <v>14</v>
      </c>
      <c r="I331" s="305">
        <f t="shared" si="142"/>
        <v>0</v>
      </c>
      <c r="J331" s="305">
        <f t="shared" si="142"/>
        <v>37</v>
      </c>
      <c r="K331" s="305">
        <f t="shared" si="142"/>
        <v>0</v>
      </c>
      <c r="L331" s="305">
        <f t="shared" si="142"/>
        <v>74</v>
      </c>
      <c r="M331" s="305">
        <f t="shared" si="142"/>
        <v>0</v>
      </c>
      <c r="N331" s="305">
        <f t="shared" si="142"/>
        <v>67</v>
      </c>
      <c r="O331" s="305">
        <f t="shared" si="142"/>
        <v>0</v>
      </c>
      <c r="P331" s="305">
        <f t="shared" si="142"/>
        <v>45</v>
      </c>
      <c r="Q331" s="203" t="s">
        <v>12</v>
      </c>
      <c r="R331" s="307"/>
    </row>
    <row r="332" spans="2:18" ht="22.5" customHeight="1" thickBot="1" x14ac:dyDescent="0.25">
      <c r="B332" s="305">
        <f t="shared" si="141"/>
        <v>50</v>
      </c>
      <c r="C332" s="305">
        <f>O332+M332+K332+I332+G332+E332</f>
        <v>0</v>
      </c>
      <c r="D332" s="305">
        <f>P332+N332+L332+J332+H332+F332</f>
        <v>50</v>
      </c>
      <c r="E332" s="305">
        <v>0</v>
      </c>
      <c r="F332" s="305">
        <v>0</v>
      </c>
      <c r="G332" s="305">
        <v>0</v>
      </c>
      <c r="H332" s="305">
        <v>14</v>
      </c>
      <c r="I332" s="305">
        <v>0</v>
      </c>
      <c r="J332" s="305">
        <v>9</v>
      </c>
      <c r="K332" s="305">
        <v>0</v>
      </c>
      <c r="L332" s="305">
        <v>18</v>
      </c>
      <c r="M332" s="305">
        <v>0</v>
      </c>
      <c r="N332" s="305">
        <v>7</v>
      </c>
      <c r="O332" s="305">
        <v>0</v>
      </c>
      <c r="P332" s="305">
        <v>2</v>
      </c>
      <c r="Q332" s="203" t="s">
        <v>146</v>
      </c>
      <c r="R332" s="306"/>
    </row>
    <row r="333" spans="2:18" ht="22.5" customHeight="1" thickBot="1" x14ac:dyDescent="0.25">
      <c r="B333" s="305">
        <f t="shared" si="141"/>
        <v>47</v>
      </c>
      <c r="C333" s="305">
        <f>O333+M333+K333+I333+G333+E333</f>
        <v>0</v>
      </c>
      <c r="D333" s="305">
        <f>P333+N333+L333+J333+H333+F333</f>
        <v>47</v>
      </c>
      <c r="E333" s="305">
        <v>0</v>
      </c>
      <c r="F333" s="305">
        <v>2</v>
      </c>
      <c r="G333" s="305">
        <v>0</v>
      </c>
      <c r="H333" s="305">
        <v>0</v>
      </c>
      <c r="I333" s="305">
        <v>0</v>
      </c>
      <c r="J333" s="305">
        <v>9</v>
      </c>
      <c r="K333" s="305">
        <v>0</v>
      </c>
      <c r="L333" s="305">
        <v>19</v>
      </c>
      <c r="M333" s="305">
        <v>0</v>
      </c>
      <c r="N333" s="305">
        <v>10</v>
      </c>
      <c r="O333" s="305">
        <v>0</v>
      </c>
      <c r="P333" s="305">
        <v>7</v>
      </c>
      <c r="Q333" s="203" t="s">
        <v>145</v>
      </c>
      <c r="R333" s="306" t="s">
        <v>648</v>
      </c>
    </row>
    <row r="334" spans="2:18" ht="22.5" customHeight="1" thickBot="1" x14ac:dyDescent="0.25">
      <c r="B334" s="305">
        <f t="shared" ref="B334:P334" si="143">SUM(B332:B333)</f>
        <v>97</v>
      </c>
      <c r="C334" s="305">
        <f t="shared" si="143"/>
        <v>0</v>
      </c>
      <c r="D334" s="305">
        <f t="shared" si="143"/>
        <v>97</v>
      </c>
      <c r="E334" s="305">
        <f t="shared" si="143"/>
        <v>0</v>
      </c>
      <c r="F334" s="305">
        <f t="shared" si="143"/>
        <v>2</v>
      </c>
      <c r="G334" s="305">
        <f t="shared" si="143"/>
        <v>0</v>
      </c>
      <c r="H334" s="305">
        <f t="shared" si="143"/>
        <v>14</v>
      </c>
      <c r="I334" s="305">
        <f t="shared" si="143"/>
        <v>0</v>
      </c>
      <c r="J334" s="305">
        <f t="shared" si="143"/>
        <v>18</v>
      </c>
      <c r="K334" s="305">
        <f t="shared" si="143"/>
        <v>0</v>
      </c>
      <c r="L334" s="305">
        <f t="shared" si="143"/>
        <v>37</v>
      </c>
      <c r="M334" s="305">
        <f t="shared" si="143"/>
        <v>0</v>
      </c>
      <c r="N334" s="305">
        <f t="shared" si="143"/>
        <v>17</v>
      </c>
      <c r="O334" s="305">
        <f t="shared" si="143"/>
        <v>0</v>
      </c>
      <c r="P334" s="305">
        <f t="shared" si="143"/>
        <v>9</v>
      </c>
      <c r="Q334" s="203" t="s">
        <v>12</v>
      </c>
      <c r="R334" s="307"/>
    </row>
    <row r="335" spans="2:18" ht="22.5" customHeight="1" thickBot="1" x14ac:dyDescent="0.25">
      <c r="B335" s="305">
        <f t="shared" si="141"/>
        <v>46</v>
      </c>
      <c r="C335" s="305">
        <f>O335+M335+K335+I335+G335+E335</f>
        <v>0</v>
      </c>
      <c r="D335" s="305">
        <f>P335+N335+L335+J335+H335+F335</f>
        <v>46</v>
      </c>
      <c r="E335" s="305">
        <v>0</v>
      </c>
      <c r="F335" s="305">
        <v>0</v>
      </c>
      <c r="G335" s="305">
        <v>0</v>
      </c>
      <c r="H335" s="305">
        <v>16</v>
      </c>
      <c r="I335" s="305">
        <v>0</v>
      </c>
      <c r="J335" s="305">
        <v>4</v>
      </c>
      <c r="K335" s="305">
        <v>0</v>
      </c>
      <c r="L335" s="305">
        <v>14</v>
      </c>
      <c r="M335" s="305">
        <v>0</v>
      </c>
      <c r="N335" s="305">
        <v>6</v>
      </c>
      <c r="O335" s="305">
        <v>0</v>
      </c>
      <c r="P335" s="305">
        <v>6</v>
      </c>
      <c r="Q335" s="203" t="s">
        <v>146</v>
      </c>
      <c r="R335" s="306"/>
    </row>
    <row r="336" spans="2:18" ht="22.5" customHeight="1" thickBot="1" x14ac:dyDescent="0.25">
      <c r="B336" s="305">
        <f t="shared" si="141"/>
        <v>74</v>
      </c>
      <c r="C336" s="305">
        <f>O336+M336+K336+I336+G336+E336</f>
        <v>0</v>
      </c>
      <c r="D336" s="305">
        <f>P336+N336+L336+J336+H336+F336</f>
        <v>74</v>
      </c>
      <c r="E336" s="305">
        <v>0</v>
      </c>
      <c r="F336" s="305">
        <v>0</v>
      </c>
      <c r="G336" s="305">
        <v>0</v>
      </c>
      <c r="H336" s="305">
        <v>0</v>
      </c>
      <c r="I336" s="305">
        <v>0</v>
      </c>
      <c r="J336" s="305">
        <v>21</v>
      </c>
      <c r="K336" s="305">
        <v>0</v>
      </c>
      <c r="L336" s="305">
        <v>36</v>
      </c>
      <c r="M336" s="305">
        <v>0</v>
      </c>
      <c r="N336" s="305">
        <v>10</v>
      </c>
      <c r="O336" s="305">
        <v>0</v>
      </c>
      <c r="P336" s="305">
        <v>7</v>
      </c>
      <c r="Q336" s="203" t="s">
        <v>145</v>
      </c>
      <c r="R336" s="306" t="s">
        <v>514</v>
      </c>
    </row>
    <row r="337" spans="2:18" ht="22.5" customHeight="1" thickBot="1" x14ac:dyDescent="0.25">
      <c r="B337" s="305">
        <f t="shared" ref="B337:P337" si="144">SUM(B335:B336)</f>
        <v>120</v>
      </c>
      <c r="C337" s="305">
        <f t="shared" si="144"/>
        <v>0</v>
      </c>
      <c r="D337" s="305">
        <f t="shared" si="144"/>
        <v>120</v>
      </c>
      <c r="E337" s="305">
        <f t="shared" si="144"/>
        <v>0</v>
      </c>
      <c r="F337" s="305">
        <f t="shared" si="144"/>
        <v>0</v>
      </c>
      <c r="G337" s="305">
        <f t="shared" si="144"/>
        <v>0</v>
      </c>
      <c r="H337" s="305">
        <f t="shared" si="144"/>
        <v>16</v>
      </c>
      <c r="I337" s="305">
        <f t="shared" si="144"/>
        <v>0</v>
      </c>
      <c r="J337" s="305">
        <f t="shared" si="144"/>
        <v>25</v>
      </c>
      <c r="K337" s="305">
        <f t="shared" si="144"/>
        <v>0</v>
      </c>
      <c r="L337" s="305">
        <f t="shared" si="144"/>
        <v>50</v>
      </c>
      <c r="M337" s="305">
        <f t="shared" si="144"/>
        <v>0</v>
      </c>
      <c r="N337" s="305">
        <f t="shared" si="144"/>
        <v>16</v>
      </c>
      <c r="O337" s="305">
        <f t="shared" si="144"/>
        <v>0</v>
      </c>
      <c r="P337" s="305">
        <f t="shared" si="144"/>
        <v>13</v>
      </c>
      <c r="Q337" s="203" t="s">
        <v>12</v>
      </c>
      <c r="R337" s="307"/>
    </row>
    <row r="338" spans="2:18" ht="22.5" customHeight="1" thickBot="1" x14ac:dyDescent="0.25">
      <c r="B338" s="305">
        <f t="shared" si="141"/>
        <v>1</v>
      </c>
      <c r="C338" s="305">
        <f>O338+M338+K338+I338+G338+E338</f>
        <v>0</v>
      </c>
      <c r="D338" s="305">
        <f>P338+N338+L338+J338+H338+F338</f>
        <v>1</v>
      </c>
      <c r="E338" s="305">
        <v>0</v>
      </c>
      <c r="F338" s="305">
        <v>0</v>
      </c>
      <c r="G338" s="305">
        <v>0</v>
      </c>
      <c r="H338" s="305">
        <v>0</v>
      </c>
      <c r="I338" s="305">
        <v>0</v>
      </c>
      <c r="J338" s="305">
        <v>0</v>
      </c>
      <c r="K338" s="305">
        <v>0</v>
      </c>
      <c r="L338" s="305">
        <v>1</v>
      </c>
      <c r="M338" s="305">
        <v>0</v>
      </c>
      <c r="N338" s="305">
        <v>0</v>
      </c>
      <c r="O338" s="305">
        <v>0</v>
      </c>
      <c r="P338" s="305">
        <v>0</v>
      </c>
      <c r="Q338" s="203" t="s">
        <v>146</v>
      </c>
      <c r="R338" s="306"/>
    </row>
    <row r="339" spans="2:18" ht="22.5" customHeight="1" thickBot="1" x14ac:dyDescent="0.25">
      <c r="B339" s="305">
        <f t="shared" si="141"/>
        <v>43</v>
      </c>
      <c r="C339" s="305">
        <f>O339+M339+K339+I339+G339+E339</f>
        <v>0</v>
      </c>
      <c r="D339" s="305">
        <f>P339+N339+L339+J339+H339+F339</f>
        <v>43</v>
      </c>
      <c r="E339" s="305">
        <v>0</v>
      </c>
      <c r="F339" s="305">
        <v>0</v>
      </c>
      <c r="G339" s="305">
        <v>0</v>
      </c>
      <c r="H339" s="305">
        <v>0</v>
      </c>
      <c r="I339" s="305">
        <v>0</v>
      </c>
      <c r="J339" s="305">
        <v>33</v>
      </c>
      <c r="K339" s="305">
        <v>0</v>
      </c>
      <c r="L339" s="305">
        <v>9</v>
      </c>
      <c r="M339" s="305">
        <v>0</v>
      </c>
      <c r="N339" s="305">
        <v>1</v>
      </c>
      <c r="O339" s="305">
        <v>0</v>
      </c>
      <c r="P339" s="305">
        <v>0</v>
      </c>
      <c r="Q339" s="203" t="s">
        <v>145</v>
      </c>
      <c r="R339" s="306" t="s">
        <v>89</v>
      </c>
    </row>
    <row r="340" spans="2:18" ht="22.5" customHeight="1" thickBot="1" x14ac:dyDescent="0.25">
      <c r="B340" s="305">
        <f t="shared" ref="B340:P340" si="145">SUM(B338:B339)</f>
        <v>44</v>
      </c>
      <c r="C340" s="305">
        <f t="shared" si="145"/>
        <v>0</v>
      </c>
      <c r="D340" s="305">
        <f t="shared" si="145"/>
        <v>44</v>
      </c>
      <c r="E340" s="305">
        <f t="shared" si="145"/>
        <v>0</v>
      </c>
      <c r="F340" s="305">
        <f t="shared" si="145"/>
        <v>0</v>
      </c>
      <c r="G340" s="305">
        <f t="shared" si="145"/>
        <v>0</v>
      </c>
      <c r="H340" s="305">
        <f t="shared" si="145"/>
        <v>0</v>
      </c>
      <c r="I340" s="305">
        <f t="shared" si="145"/>
        <v>0</v>
      </c>
      <c r="J340" s="305">
        <f t="shared" si="145"/>
        <v>33</v>
      </c>
      <c r="K340" s="305">
        <f t="shared" si="145"/>
        <v>0</v>
      </c>
      <c r="L340" s="305">
        <f t="shared" si="145"/>
        <v>10</v>
      </c>
      <c r="M340" s="305">
        <f t="shared" si="145"/>
        <v>0</v>
      </c>
      <c r="N340" s="305">
        <f t="shared" si="145"/>
        <v>1</v>
      </c>
      <c r="O340" s="305">
        <f t="shared" si="145"/>
        <v>0</v>
      </c>
      <c r="P340" s="305">
        <f t="shared" si="145"/>
        <v>0</v>
      </c>
      <c r="Q340" s="203" t="s">
        <v>12</v>
      </c>
      <c r="R340" s="307"/>
    </row>
    <row r="341" spans="2:18" ht="22.5" customHeight="1" thickBot="1" x14ac:dyDescent="0.25">
      <c r="B341" s="305">
        <f t="shared" si="141"/>
        <v>61</v>
      </c>
      <c r="C341" s="305">
        <f>O341+M341+K341+I341+G341+E341</f>
        <v>0</v>
      </c>
      <c r="D341" s="305">
        <f>P341+N341+L341+J341+H341+F341</f>
        <v>61</v>
      </c>
      <c r="E341" s="305">
        <v>0</v>
      </c>
      <c r="F341" s="305">
        <v>0</v>
      </c>
      <c r="G341" s="305">
        <v>0</v>
      </c>
      <c r="H341" s="305">
        <v>1</v>
      </c>
      <c r="I341" s="305">
        <v>0</v>
      </c>
      <c r="J341" s="305">
        <v>11</v>
      </c>
      <c r="K341" s="305">
        <v>0</v>
      </c>
      <c r="L341" s="305">
        <v>28</v>
      </c>
      <c r="M341" s="305">
        <v>0</v>
      </c>
      <c r="N341" s="305">
        <v>15</v>
      </c>
      <c r="O341" s="305">
        <v>0</v>
      </c>
      <c r="P341" s="305">
        <v>6</v>
      </c>
      <c r="Q341" s="203" t="s">
        <v>146</v>
      </c>
      <c r="R341" s="306"/>
    </row>
    <row r="342" spans="2:18" ht="22.5" customHeight="1" thickBot="1" x14ac:dyDescent="0.25">
      <c r="B342" s="305">
        <f t="shared" si="141"/>
        <v>114</v>
      </c>
      <c r="C342" s="305">
        <f>O342+M342+K342+I342+G342+E342</f>
        <v>0</v>
      </c>
      <c r="D342" s="305">
        <f>P342+N342+L342+J342+H342+F342</f>
        <v>114</v>
      </c>
      <c r="E342" s="305">
        <v>0</v>
      </c>
      <c r="F342" s="305">
        <v>0</v>
      </c>
      <c r="G342" s="305">
        <v>0</v>
      </c>
      <c r="H342" s="305">
        <v>0</v>
      </c>
      <c r="I342" s="305">
        <v>0</v>
      </c>
      <c r="J342" s="305">
        <v>17</v>
      </c>
      <c r="K342" s="305">
        <v>0</v>
      </c>
      <c r="L342" s="305">
        <v>33</v>
      </c>
      <c r="M342" s="305">
        <v>0</v>
      </c>
      <c r="N342" s="305">
        <v>38</v>
      </c>
      <c r="O342" s="305">
        <v>0</v>
      </c>
      <c r="P342" s="305">
        <v>26</v>
      </c>
      <c r="Q342" s="203" t="s">
        <v>145</v>
      </c>
      <c r="R342" s="306" t="s">
        <v>367</v>
      </c>
    </row>
    <row r="343" spans="2:18" ht="22.5" customHeight="1" thickBot="1" x14ac:dyDescent="0.25">
      <c r="B343" s="305">
        <f t="shared" ref="B343:P343" si="146">SUM(B341:B342)</f>
        <v>175</v>
      </c>
      <c r="C343" s="305">
        <f t="shared" si="146"/>
        <v>0</v>
      </c>
      <c r="D343" s="305">
        <f t="shared" si="146"/>
        <v>175</v>
      </c>
      <c r="E343" s="305">
        <f t="shared" si="146"/>
        <v>0</v>
      </c>
      <c r="F343" s="305">
        <f t="shared" si="146"/>
        <v>0</v>
      </c>
      <c r="G343" s="305">
        <f t="shared" si="146"/>
        <v>0</v>
      </c>
      <c r="H343" s="305">
        <f t="shared" si="146"/>
        <v>1</v>
      </c>
      <c r="I343" s="305">
        <f t="shared" si="146"/>
        <v>0</v>
      </c>
      <c r="J343" s="305">
        <f t="shared" si="146"/>
        <v>28</v>
      </c>
      <c r="K343" s="305">
        <f t="shared" si="146"/>
        <v>0</v>
      </c>
      <c r="L343" s="305">
        <f t="shared" si="146"/>
        <v>61</v>
      </c>
      <c r="M343" s="305">
        <f t="shared" si="146"/>
        <v>0</v>
      </c>
      <c r="N343" s="305">
        <f t="shared" si="146"/>
        <v>53</v>
      </c>
      <c r="O343" s="305">
        <f t="shared" si="146"/>
        <v>0</v>
      </c>
      <c r="P343" s="305">
        <f t="shared" si="146"/>
        <v>32</v>
      </c>
      <c r="Q343" s="203" t="s">
        <v>12</v>
      </c>
      <c r="R343" s="307"/>
    </row>
    <row r="344" spans="2:18" ht="22.5" customHeight="1" thickBot="1" x14ac:dyDescent="0.25">
      <c r="B344" s="305">
        <f t="shared" si="141"/>
        <v>23</v>
      </c>
      <c r="C344" s="305">
        <f>O344+M344+K344+I344+G344+E344</f>
        <v>0</v>
      </c>
      <c r="D344" s="305">
        <f>P344+N344+L344+J344+H344+F344</f>
        <v>23</v>
      </c>
      <c r="E344" s="305">
        <v>0</v>
      </c>
      <c r="F344" s="305">
        <v>0</v>
      </c>
      <c r="G344" s="305">
        <v>0</v>
      </c>
      <c r="H344" s="305">
        <v>4</v>
      </c>
      <c r="I344" s="305">
        <v>0</v>
      </c>
      <c r="J344" s="305">
        <v>4</v>
      </c>
      <c r="K344" s="305">
        <v>0</v>
      </c>
      <c r="L344" s="305">
        <v>5</v>
      </c>
      <c r="M344" s="305">
        <v>0</v>
      </c>
      <c r="N344" s="305">
        <v>3</v>
      </c>
      <c r="O344" s="305">
        <v>0</v>
      </c>
      <c r="P344" s="305">
        <v>7</v>
      </c>
      <c r="Q344" s="203" t="s">
        <v>146</v>
      </c>
      <c r="R344" s="306"/>
    </row>
    <row r="345" spans="2:18" ht="22.5" customHeight="1" thickBot="1" x14ac:dyDescent="0.25">
      <c r="B345" s="305">
        <f t="shared" si="141"/>
        <v>13</v>
      </c>
      <c r="C345" s="305">
        <f>O345+M345+K345+I345+G345+E345</f>
        <v>0</v>
      </c>
      <c r="D345" s="305">
        <f>P345+N345+L345+J345+H345+F345</f>
        <v>13</v>
      </c>
      <c r="E345" s="305">
        <v>0</v>
      </c>
      <c r="F345" s="305">
        <v>0</v>
      </c>
      <c r="G345" s="305">
        <v>0</v>
      </c>
      <c r="H345" s="305">
        <v>0</v>
      </c>
      <c r="I345" s="305">
        <v>0</v>
      </c>
      <c r="J345" s="305">
        <v>5</v>
      </c>
      <c r="K345" s="305">
        <v>0</v>
      </c>
      <c r="L345" s="305">
        <v>6</v>
      </c>
      <c r="M345" s="305">
        <v>0</v>
      </c>
      <c r="N345" s="305">
        <v>1</v>
      </c>
      <c r="O345" s="305">
        <v>0</v>
      </c>
      <c r="P345" s="305">
        <v>1</v>
      </c>
      <c r="Q345" s="203" t="s">
        <v>145</v>
      </c>
      <c r="R345" s="306" t="s">
        <v>405</v>
      </c>
    </row>
    <row r="346" spans="2:18" ht="22.5" customHeight="1" thickBot="1" x14ac:dyDescent="0.25">
      <c r="B346" s="305">
        <f t="shared" ref="B346:P346" si="147">SUM(B344:B345)</f>
        <v>36</v>
      </c>
      <c r="C346" s="305">
        <f t="shared" si="147"/>
        <v>0</v>
      </c>
      <c r="D346" s="305">
        <f t="shared" si="147"/>
        <v>36</v>
      </c>
      <c r="E346" s="305">
        <f t="shared" si="147"/>
        <v>0</v>
      </c>
      <c r="F346" s="305">
        <f t="shared" si="147"/>
        <v>0</v>
      </c>
      <c r="G346" s="305">
        <f t="shared" si="147"/>
        <v>0</v>
      </c>
      <c r="H346" s="305">
        <f t="shared" si="147"/>
        <v>4</v>
      </c>
      <c r="I346" s="305">
        <f t="shared" si="147"/>
        <v>0</v>
      </c>
      <c r="J346" s="305">
        <f t="shared" si="147"/>
        <v>9</v>
      </c>
      <c r="K346" s="305">
        <f t="shared" si="147"/>
        <v>0</v>
      </c>
      <c r="L346" s="305">
        <f t="shared" si="147"/>
        <v>11</v>
      </c>
      <c r="M346" s="305">
        <f t="shared" si="147"/>
        <v>0</v>
      </c>
      <c r="N346" s="305">
        <f t="shared" si="147"/>
        <v>4</v>
      </c>
      <c r="O346" s="305">
        <f t="shared" si="147"/>
        <v>0</v>
      </c>
      <c r="P346" s="305">
        <f t="shared" si="147"/>
        <v>8</v>
      </c>
      <c r="Q346" s="203" t="s">
        <v>12</v>
      </c>
      <c r="R346" s="307"/>
    </row>
    <row r="347" spans="2:18" ht="22.5" customHeight="1" thickBot="1" x14ac:dyDescent="0.25">
      <c r="B347" s="305">
        <f t="shared" si="141"/>
        <v>2</v>
      </c>
      <c r="C347" s="305">
        <f>O347+M347+K347+I347+G347+E347</f>
        <v>0</v>
      </c>
      <c r="D347" s="305">
        <f>P347+N347+L347+J347+H347+F347</f>
        <v>2</v>
      </c>
      <c r="E347" s="305">
        <v>0</v>
      </c>
      <c r="F347" s="305">
        <v>0</v>
      </c>
      <c r="G347" s="305">
        <v>0</v>
      </c>
      <c r="H347" s="305">
        <v>0</v>
      </c>
      <c r="I347" s="305">
        <v>0</v>
      </c>
      <c r="J347" s="305">
        <v>2</v>
      </c>
      <c r="K347" s="305">
        <v>0</v>
      </c>
      <c r="L347" s="305">
        <v>0</v>
      </c>
      <c r="M347" s="305">
        <v>0</v>
      </c>
      <c r="N347" s="305">
        <v>0</v>
      </c>
      <c r="O347" s="305">
        <v>0</v>
      </c>
      <c r="P347" s="305">
        <v>0</v>
      </c>
      <c r="Q347" s="203" t="s">
        <v>146</v>
      </c>
      <c r="R347" s="306"/>
    </row>
    <row r="348" spans="2:18" ht="22.5" customHeight="1" thickBot="1" x14ac:dyDescent="0.25">
      <c r="B348" s="305">
        <f t="shared" si="141"/>
        <v>70</v>
      </c>
      <c r="C348" s="305">
        <f>O348+M348+K348+I348+G348+E348</f>
        <v>0</v>
      </c>
      <c r="D348" s="305">
        <f>P348+N348+L348+J348+H348+F348</f>
        <v>70</v>
      </c>
      <c r="E348" s="305">
        <v>0</v>
      </c>
      <c r="F348" s="305">
        <f>74-27</f>
        <v>47</v>
      </c>
      <c r="G348" s="305">
        <v>0</v>
      </c>
      <c r="H348" s="305">
        <v>0</v>
      </c>
      <c r="I348" s="305">
        <v>0</v>
      </c>
      <c r="J348" s="305">
        <v>16</v>
      </c>
      <c r="K348" s="305">
        <v>0</v>
      </c>
      <c r="L348" s="305">
        <v>7</v>
      </c>
      <c r="M348" s="305">
        <v>0</v>
      </c>
      <c r="N348" s="305">
        <v>0</v>
      </c>
      <c r="O348" s="305">
        <v>0</v>
      </c>
      <c r="P348" s="305">
        <v>0</v>
      </c>
      <c r="Q348" s="203" t="s">
        <v>145</v>
      </c>
      <c r="R348" s="306" t="s">
        <v>91</v>
      </c>
    </row>
    <row r="349" spans="2:18" ht="22.5" customHeight="1" thickBot="1" x14ac:dyDescent="0.25">
      <c r="B349" s="305">
        <f t="shared" ref="B349:P349" si="148">SUM(B347:B348)</f>
        <v>72</v>
      </c>
      <c r="C349" s="305">
        <f t="shared" si="148"/>
        <v>0</v>
      </c>
      <c r="D349" s="305">
        <f t="shared" si="148"/>
        <v>72</v>
      </c>
      <c r="E349" s="305">
        <f t="shared" si="148"/>
        <v>0</v>
      </c>
      <c r="F349" s="305">
        <f t="shared" si="148"/>
        <v>47</v>
      </c>
      <c r="G349" s="305">
        <f t="shared" si="148"/>
        <v>0</v>
      </c>
      <c r="H349" s="305">
        <f t="shared" si="148"/>
        <v>0</v>
      </c>
      <c r="I349" s="305">
        <f t="shared" si="148"/>
        <v>0</v>
      </c>
      <c r="J349" s="305">
        <f t="shared" si="148"/>
        <v>18</v>
      </c>
      <c r="K349" s="305">
        <f t="shared" si="148"/>
        <v>0</v>
      </c>
      <c r="L349" s="305">
        <f t="shared" si="148"/>
        <v>7</v>
      </c>
      <c r="M349" s="305">
        <f t="shared" si="148"/>
        <v>0</v>
      </c>
      <c r="N349" s="305">
        <f t="shared" si="148"/>
        <v>0</v>
      </c>
      <c r="O349" s="305">
        <f t="shared" si="148"/>
        <v>0</v>
      </c>
      <c r="P349" s="305">
        <f t="shared" si="148"/>
        <v>0</v>
      </c>
      <c r="Q349" s="203" t="s">
        <v>12</v>
      </c>
      <c r="R349" s="307"/>
    </row>
    <row r="350" spans="2:18" ht="22.5" customHeight="1" thickBot="1" x14ac:dyDescent="0.25">
      <c r="B350" s="305">
        <f t="shared" si="141"/>
        <v>0</v>
      </c>
      <c r="C350" s="305">
        <f>O350+M350+K350+I350+G350+E350</f>
        <v>0</v>
      </c>
      <c r="D350" s="305">
        <f>P350+N350+L350+J350+H350+F350</f>
        <v>0</v>
      </c>
      <c r="E350" s="305">
        <v>0</v>
      </c>
      <c r="F350" s="305">
        <v>0</v>
      </c>
      <c r="G350" s="305">
        <v>0</v>
      </c>
      <c r="H350" s="305">
        <v>0</v>
      </c>
      <c r="I350" s="305">
        <v>0</v>
      </c>
      <c r="J350" s="305">
        <v>0</v>
      </c>
      <c r="K350" s="305">
        <v>0</v>
      </c>
      <c r="L350" s="305">
        <v>0</v>
      </c>
      <c r="M350" s="305">
        <v>0</v>
      </c>
      <c r="N350" s="305">
        <v>0</v>
      </c>
      <c r="O350" s="305">
        <v>0</v>
      </c>
      <c r="P350" s="305">
        <v>0</v>
      </c>
      <c r="Q350" s="203" t="s">
        <v>146</v>
      </c>
      <c r="R350" s="306"/>
    </row>
    <row r="351" spans="2:18" ht="22.5" customHeight="1" thickBot="1" x14ac:dyDescent="0.25">
      <c r="B351" s="305">
        <f t="shared" si="141"/>
        <v>3</v>
      </c>
      <c r="C351" s="305">
        <f>O351+M351+K351+I351+G351+E351</f>
        <v>0</v>
      </c>
      <c r="D351" s="305">
        <f>P351+N351+L351+J351+H351+F351</f>
        <v>3</v>
      </c>
      <c r="E351" s="305">
        <v>0</v>
      </c>
      <c r="F351" s="305">
        <v>0</v>
      </c>
      <c r="G351" s="305">
        <v>0</v>
      </c>
      <c r="H351" s="305">
        <v>0</v>
      </c>
      <c r="I351" s="305">
        <v>0</v>
      </c>
      <c r="J351" s="305">
        <v>3</v>
      </c>
      <c r="K351" s="305">
        <v>0</v>
      </c>
      <c r="L351" s="305">
        <v>0</v>
      </c>
      <c r="M351" s="305">
        <v>0</v>
      </c>
      <c r="N351" s="305">
        <v>0</v>
      </c>
      <c r="O351" s="305">
        <v>0</v>
      </c>
      <c r="P351" s="305">
        <v>0</v>
      </c>
      <c r="Q351" s="203" t="s">
        <v>145</v>
      </c>
      <c r="R351" s="306" t="s">
        <v>744</v>
      </c>
    </row>
    <row r="352" spans="2:18" ht="22.5" customHeight="1" thickBot="1" x14ac:dyDescent="0.25">
      <c r="B352" s="305">
        <f t="shared" ref="B352:P352" si="149">SUM(B350:B351)</f>
        <v>3</v>
      </c>
      <c r="C352" s="305">
        <f t="shared" si="149"/>
        <v>0</v>
      </c>
      <c r="D352" s="305">
        <f t="shared" si="149"/>
        <v>3</v>
      </c>
      <c r="E352" s="305">
        <f t="shared" si="149"/>
        <v>0</v>
      </c>
      <c r="F352" s="305">
        <f t="shared" si="149"/>
        <v>0</v>
      </c>
      <c r="G352" s="305">
        <f t="shared" si="149"/>
        <v>0</v>
      </c>
      <c r="H352" s="305">
        <f t="shared" si="149"/>
        <v>0</v>
      </c>
      <c r="I352" s="305">
        <f t="shared" si="149"/>
        <v>0</v>
      </c>
      <c r="J352" s="305">
        <f t="shared" si="149"/>
        <v>3</v>
      </c>
      <c r="K352" s="305">
        <f t="shared" si="149"/>
        <v>0</v>
      </c>
      <c r="L352" s="305">
        <f t="shared" si="149"/>
        <v>0</v>
      </c>
      <c r="M352" s="305">
        <f t="shared" si="149"/>
        <v>0</v>
      </c>
      <c r="N352" s="305">
        <f t="shared" si="149"/>
        <v>0</v>
      </c>
      <c r="O352" s="305">
        <f t="shared" si="149"/>
        <v>0</v>
      </c>
      <c r="P352" s="305">
        <f t="shared" si="149"/>
        <v>0</v>
      </c>
      <c r="Q352" s="203" t="s">
        <v>12</v>
      </c>
      <c r="R352" s="307"/>
    </row>
    <row r="353" spans="2:18" ht="22.5" customHeight="1" thickBot="1" x14ac:dyDescent="0.25">
      <c r="B353" s="305">
        <f t="shared" si="141"/>
        <v>0</v>
      </c>
      <c r="C353" s="305">
        <f>O353+M353+K353+I353+G353+E353</f>
        <v>0</v>
      </c>
      <c r="D353" s="305">
        <f>P353+N353+L353+J353+H353+F353</f>
        <v>0</v>
      </c>
      <c r="E353" s="305">
        <v>0</v>
      </c>
      <c r="F353" s="305">
        <v>0</v>
      </c>
      <c r="G353" s="305">
        <v>0</v>
      </c>
      <c r="H353" s="305">
        <v>0</v>
      </c>
      <c r="I353" s="305">
        <v>0</v>
      </c>
      <c r="J353" s="305">
        <v>0</v>
      </c>
      <c r="K353" s="305">
        <v>0</v>
      </c>
      <c r="L353" s="305">
        <v>0</v>
      </c>
      <c r="M353" s="305">
        <v>0</v>
      </c>
      <c r="N353" s="305">
        <v>0</v>
      </c>
      <c r="O353" s="305">
        <v>0</v>
      </c>
      <c r="P353" s="305">
        <v>0</v>
      </c>
      <c r="Q353" s="203" t="s">
        <v>146</v>
      </c>
      <c r="R353" s="306"/>
    </row>
    <row r="354" spans="2:18" ht="22.5" customHeight="1" thickBot="1" x14ac:dyDescent="0.25">
      <c r="B354" s="305">
        <f t="shared" si="141"/>
        <v>2</v>
      </c>
      <c r="C354" s="305">
        <f>O354+M354+K354+I354+G354+E354</f>
        <v>0</v>
      </c>
      <c r="D354" s="305">
        <f>P354+N354+L354+J354+H354+F354</f>
        <v>2</v>
      </c>
      <c r="E354" s="305">
        <v>0</v>
      </c>
      <c r="F354" s="305">
        <v>0</v>
      </c>
      <c r="G354" s="305">
        <v>0</v>
      </c>
      <c r="H354" s="305">
        <v>0</v>
      </c>
      <c r="I354" s="305">
        <v>0</v>
      </c>
      <c r="J354" s="305">
        <v>2</v>
      </c>
      <c r="K354" s="305">
        <v>0</v>
      </c>
      <c r="L354" s="305">
        <v>0</v>
      </c>
      <c r="M354" s="305">
        <v>0</v>
      </c>
      <c r="N354" s="305">
        <v>0</v>
      </c>
      <c r="O354" s="305">
        <v>0</v>
      </c>
      <c r="P354" s="305">
        <v>0</v>
      </c>
      <c r="Q354" s="203" t="s">
        <v>145</v>
      </c>
      <c r="R354" s="306" t="s">
        <v>763</v>
      </c>
    </row>
    <row r="355" spans="2:18" ht="22.5" customHeight="1" thickBot="1" x14ac:dyDescent="0.25">
      <c r="B355" s="305">
        <f t="shared" ref="B355:P355" si="150">SUM(B353:B354)</f>
        <v>2</v>
      </c>
      <c r="C355" s="305">
        <f t="shared" si="150"/>
        <v>0</v>
      </c>
      <c r="D355" s="305">
        <f t="shared" si="150"/>
        <v>2</v>
      </c>
      <c r="E355" s="305">
        <f t="shared" si="150"/>
        <v>0</v>
      </c>
      <c r="F355" s="305">
        <f t="shared" si="150"/>
        <v>0</v>
      </c>
      <c r="G355" s="305">
        <f t="shared" si="150"/>
        <v>0</v>
      </c>
      <c r="H355" s="305">
        <f t="shared" si="150"/>
        <v>0</v>
      </c>
      <c r="I355" s="305">
        <f t="shared" si="150"/>
        <v>0</v>
      </c>
      <c r="J355" s="305">
        <f t="shared" si="150"/>
        <v>2</v>
      </c>
      <c r="K355" s="305">
        <f t="shared" si="150"/>
        <v>0</v>
      </c>
      <c r="L355" s="305">
        <f t="shared" si="150"/>
        <v>0</v>
      </c>
      <c r="M355" s="305">
        <f t="shared" si="150"/>
        <v>0</v>
      </c>
      <c r="N355" s="305">
        <f t="shared" si="150"/>
        <v>0</v>
      </c>
      <c r="O355" s="305">
        <f t="shared" si="150"/>
        <v>0</v>
      </c>
      <c r="P355" s="305">
        <f t="shared" si="150"/>
        <v>0</v>
      </c>
      <c r="Q355" s="203" t="s">
        <v>12</v>
      </c>
      <c r="R355" s="307"/>
    </row>
    <row r="356" spans="2:18" ht="22.5" customHeight="1" thickBot="1" x14ac:dyDescent="0.25">
      <c r="B356" s="305">
        <f t="shared" si="141"/>
        <v>43</v>
      </c>
      <c r="C356" s="305">
        <f>O356+M356+K356+I356+G356+E356</f>
        <v>0</v>
      </c>
      <c r="D356" s="305">
        <f>P356+N356+L356+J356+H356+F356</f>
        <v>43</v>
      </c>
      <c r="E356" s="305">
        <v>0</v>
      </c>
      <c r="F356" s="305">
        <v>0</v>
      </c>
      <c r="G356" s="305">
        <v>0</v>
      </c>
      <c r="H356" s="305">
        <v>1</v>
      </c>
      <c r="I356" s="305">
        <v>0</v>
      </c>
      <c r="J356" s="305">
        <v>15</v>
      </c>
      <c r="K356" s="305">
        <v>0</v>
      </c>
      <c r="L356" s="305">
        <v>21</v>
      </c>
      <c r="M356" s="305">
        <v>0</v>
      </c>
      <c r="N356" s="305">
        <v>5</v>
      </c>
      <c r="O356" s="305">
        <v>0</v>
      </c>
      <c r="P356" s="305">
        <v>1</v>
      </c>
      <c r="Q356" s="203" t="s">
        <v>146</v>
      </c>
      <c r="R356" s="306"/>
    </row>
    <row r="357" spans="2:18" ht="22.5" customHeight="1" thickBot="1" x14ac:dyDescent="0.25">
      <c r="B357" s="305">
        <f t="shared" si="141"/>
        <v>129</v>
      </c>
      <c r="C357" s="305">
        <f>O357+M357+K357+I357+G357+E357</f>
        <v>0</v>
      </c>
      <c r="D357" s="305">
        <f>P357+N357+L357+J357+H357+F357</f>
        <v>129</v>
      </c>
      <c r="E357" s="305">
        <v>0</v>
      </c>
      <c r="F357" s="305">
        <v>0</v>
      </c>
      <c r="G357" s="305">
        <v>0</v>
      </c>
      <c r="H357" s="305">
        <v>0</v>
      </c>
      <c r="I357" s="305">
        <v>0</v>
      </c>
      <c r="J357" s="305">
        <v>113</v>
      </c>
      <c r="K357" s="305">
        <v>0</v>
      </c>
      <c r="L357" s="305">
        <v>11</v>
      </c>
      <c r="M357" s="305">
        <v>0</v>
      </c>
      <c r="N357" s="305">
        <v>4</v>
      </c>
      <c r="O357" s="305">
        <v>0</v>
      </c>
      <c r="P357" s="305">
        <v>1</v>
      </c>
      <c r="Q357" s="203" t="s">
        <v>145</v>
      </c>
      <c r="R357" s="306" t="s">
        <v>764</v>
      </c>
    </row>
    <row r="358" spans="2:18" ht="22.5" customHeight="1" thickBot="1" x14ac:dyDescent="0.25">
      <c r="B358" s="305">
        <f t="shared" ref="B358:P358" si="151">SUM(B356:B357)</f>
        <v>172</v>
      </c>
      <c r="C358" s="305">
        <f t="shared" si="151"/>
        <v>0</v>
      </c>
      <c r="D358" s="305">
        <f t="shared" si="151"/>
        <v>172</v>
      </c>
      <c r="E358" s="305">
        <f t="shared" si="151"/>
        <v>0</v>
      </c>
      <c r="F358" s="305">
        <f t="shared" si="151"/>
        <v>0</v>
      </c>
      <c r="G358" s="305">
        <f t="shared" si="151"/>
        <v>0</v>
      </c>
      <c r="H358" s="305">
        <f t="shared" si="151"/>
        <v>1</v>
      </c>
      <c r="I358" s="305">
        <f t="shared" si="151"/>
        <v>0</v>
      </c>
      <c r="J358" s="305">
        <f t="shared" si="151"/>
        <v>128</v>
      </c>
      <c r="K358" s="305">
        <f t="shared" si="151"/>
        <v>0</v>
      </c>
      <c r="L358" s="305">
        <f t="shared" si="151"/>
        <v>32</v>
      </c>
      <c r="M358" s="305">
        <f t="shared" si="151"/>
        <v>0</v>
      </c>
      <c r="N358" s="305">
        <f t="shared" si="151"/>
        <v>9</v>
      </c>
      <c r="O358" s="305">
        <f t="shared" si="151"/>
        <v>0</v>
      </c>
      <c r="P358" s="305">
        <f t="shared" si="151"/>
        <v>2</v>
      </c>
      <c r="Q358" s="203" t="s">
        <v>12</v>
      </c>
      <c r="R358" s="307"/>
    </row>
    <row r="359" spans="2:18" ht="22.5" customHeight="1" thickBot="1" x14ac:dyDescent="0.25">
      <c r="B359" s="305">
        <f t="shared" ref="B359:P360" si="152">B329+B332+B335+B338+B341+B344+B347+B350+B353+B356</f>
        <v>343</v>
      </c>
      <c r="C359" s="305">
        <f t="shared" si="152"/>
        <v>0</v>
      </c>
      <c r="D359" s="305">
        <f t="shared" si="152"/>
        <v>343</v>
      </c>
      <c r="E359" s="305">
        <f t="shared" si="152"/>
        <v>0</v>
      </c>
      <c r="F359" s="305">
        <f t="shared" si="152"/>
        <v>0</v>
      </c>
      <c r="G359" s="305">
        <f t="shared" si="152"/>
        <v>0</v>
      </c>
      <c r="H359" s="305">
        <f t="shared" si="152"/>
        <v>50</v>
      </c>
      <c r="I359" s="305">
        <f t="shared" si="152"/>
        <v>0</v>
      </c>
      <c r="J359" s="305">
        <f t="shared" si="152"/>
        <v>56</v>
      </c>
      <c r="K359" s="305">
        <f t="shared" si="152"/>
        <v>0</v>
      </c>
      <c r="L359" s="305">
        <f t="shared" si="152"/>
        <v>125</v>
      </c>
      <c r="M359" s="305">
        <f t="shared" si="152"/>
        <v>0</v>
      </c>
      <c r="N359" s="305">
        <f t="shared" si="152"/>
        <v>67</v>
      </c>
      <c r="O359" s="305">
        <f t="shared" si="152"/>
        <v>0</v>
      </c>
      <c r="P359" s="305">
        <f t="shared" si="152"/>
        <v>45</v>
      </c>
      <c r="Q359" s="203" t="s">
        <v>146</v>
      </c>
      <c r="R359" s="280"/>
    </row>
    <row r="360" spans="2:18" ht="22.5" customHeight="1" thickBot="1" x14ac:dyDescent="0.25">
      <c r="B360" s="305">
        <f t="shared" si="152"/>
        <v>615</v>
      </c>
      <c r="C360" s="305">
        <f t="shared" si="152"/>
        <v>0</v>
      </c>
      <c r="D360" s="305">
        <f t="shared" si="152"/>
        <v>615</v>
      </c>
      <c r="E360" s="305">
        <f t="shared" si="152"/>
        <v>0</v>
      </c>
      <c r="F360" s="305">
        <f t="shared" si="152"/>
        <v>49</v>
      </c>
      <c r="G360" s="305">
        <f t="shared" si="152"/>
        <v>0</v>
      </c>
      <c r="H360" s="305">
        <f t="shared" si="152"/>
        <v>0</v>
      </c>
      <c r="I360" s="305">
        <f t="shared" si="152"/>
        <v>0</v>
      </c>
      <c r="J360" s="305">
        <f t="shared" si="152"/>
        <v>245</v>
      </c>
      <c r="K360" s="305">
        <f t="shared" si="152"/>
        <v>0</v>
      </c>
      <c r="L360" s="305">
        <f t="shared" si="152"/>
        <v>157</v>
      </c>
      <c r="M360" s="305">
        <f t="shared" si="152"/>
        <v>0</v>
      </c>
      <c r="N360" s="305">
        <f t="shared" si="152"/>
        <v>100</v>
      </c>
      <c r="O360" s="305">
        <f t="shared" si="152"/>
        <v>0</v>
      </c>
      <c r="P360" s="305">
        <f t="shared" si="152"/>
        <v>64</v>
      </c>
      <c r="Q360" s="203" t="s">
        <v>145</v>
      </c>
      <c r="R360" s="281" t="s">
        <v>188</v>
      </c>
    </row>
    <row r="361" spans="2:18" ht="22.5" customHeight="1" thickBot="1" x14ac:dyDescent="0.25">
      <c r="B361" s="305">
        <f t="shared" ref="B361" si="153">SUM(B359:B360)</f>
        <v>958</v>
      </c>
      <c r="C361" s="305">
        <f t="shared" ref="C361:P361" si="154">SUM(C359:C360)</f>
        <v>0</v>
      </c>
      <c r="D361" s="305">
        <f t="shared" si="154"/>
        <v>958</v>
      </c>
      <c r="E361" s="305">
        <f t="shared" si="154"/>
        <v>0</v>
      </c>
      <c r="F361" s="305">
        <f t="shared" si="154"/>
        <v>49</v>
      </c>
      <c r="G361" s="305">
        <f t="shared" si="154"/>
        <v>0</v>
      </c>
      <c r="H361" s="305">
        <f t="shared" si="154"/>
        <v>50</v>
      </c>
      <c r="I361" s="305">
        <f t="shared" si="154"/>
        <v>0</v>
      </c>
      <c r="J361" s="305">
        <f t="shared" si="154"/>
        <v>301</v>
      </c>
      <c r="K361" s="305">
        <f t="shared" si="154"/>
        <v>0</v>
      </c>
      <c r="L361" s="305">
        <f t="shared" si="154"/>
        <v>282</v>
      </c>
      <c r="M361" s="305">
        <f t="shared" si="154"/>
        <v>0</v>
      </c>
      <c r="N361" s="305">
        <f t="shared" si="154"/>
        <v>167</v>
      </c>
      <c r="O361" s="305">
        <f t="shared" si="154"/>
        <v>0</v>
      </c>
      <c r="P361" s="305">
        <f t="shared" si="154"/>
        <v>109</v>
      </c>
      <c r="Q361" s="203" t="s">
        <v>12</v>
      </c>
      <c r="R361" s="282"/>
    </row>
    <row r="362" spans="2:18" ht="22.5" customHeight="1" thickBot="1" x14ac:dyDescent="0.25">
      <c r="B362" s="319"/>
      <c r="C362" s="319"/>
      <c r="D362" s="319"/>
      <c r="E362" s="319"/>
      <c r="F362" s="319"/>
      <c r="G362" s="319"/>
      <c r="H362" s="319"/>
      <c r="I362" s="319"/>
      <c r="J362" s="319"/>
      <c r="K362" s="319"/>
      <c r="L362" s="319"/>
      <c r="M362" s="319"/>
      <c r="N362" s="319"/>
      <c r="O362" s="319"/>
      <c r="P362" s="319"/>
      <c r="Q362" s="320"/>
      <c r="R362" s="320"/>
    </row>
    <row r="363" spans="2:18" ht="22.5" customHeight="1" thickBot="1" x14ac:dyDescent="0.25">
      <c r="B363" s="477" t="s">
        <v>4</v>
      </c>
      <c r="C363" s="477"/>
      <c r="D363" s="477"/>
      <c r="E363" s="477" t="s">
        <v>735</v>
      </c>
      <c r="F363" s="477"/>
      <c r="G363" s="477" t="s">
        <v>736</v>
      </c>
      <c r="H363" s="477"/>
      <c r="I363" s="477" t="s">
        <v>737</v>
      </c>
      <c r="J363" s="477"/>
      <c r="K363" s="477" t="s">
        <v>738</v>
      </c>
      <c r="L363" s="477"/>
      <c r="M363" s="477" t="s">
        <v>739</v>
      </c>
      <c r="N363" s="477"/>
      <c r="O363" s="477" t="s">
        <v>740</v>
      </c>
      <c r="P363" s="477"/>
      <c r="Q363" s="575" t="s">
        <v>741</v>
      </c>
      <c r="R363" s="304" t="s">
        <v>144</v>
      </c>
    </row>
    <row r="364" spans="2:18" ht="22.5" customHeight="1" thickBot="1" x14ac:dyDescent="0.25">
      <c r="B364" s="204" t="s">
        <v>227</v>
      </c>
      <c r="C364" s="204" t="s">
        <v>10</v>
      </c>
      <c r="D364" s="204" t="s">
        <v>9</v>
      </c>
      <c r="E364" s="204" t="s">
        <v>10</v>
      </c>
      <c r="F364" s="204" t="s">
        <v>9</v>
      </c>
      <c r="G364" s="204" t="s">
        <v>10</v>
      </c>
      <c r="H364" s="204" t="s">
        <v>9</v>
      </c>
      <c r="I364" s="204" t="s">
        <v>10</v>
      </c>
      <c r="J364" s="204" t="s">
        <v>9</v>
      </c>
      <c r="K364" s="204" t="s">
        <v>10</v>
      </c>
      <c r="L364" s="204" t="s">
        <v>9</v>
      </c>
      <c r="M364" s="204" t="s">
        <v>10</v>
      </c>
      <c r="N364" s="204" t="s">
        <v>9</v>
      </c>
      <c r="O364" s="204" t="s">
        <v>10</v>
      </c>
      <c r="P364" s="204" t="s">
        <v>9</v>
      </c>
      <c r="Q364" s="481"/>
      <c r="R364" s="282" t="s">
        <v>74</v>
      </c>
    </row>
    <row r="365" spans="2:18" ht="22.5" customHeight="1" thickBot="1" x14ac:dyDescent="0.25">
      <c r="B365" s="305">
        <f>SUM(C365:D365)</f>
        <v>121</v>
      </c>
      <c r="C365" s="305">
        <f>O365+M365+K365+I365+G365+E365</f>
        <v>0</v>
      </c>
      <c r="D365" s="305">
        <f>P365+N365+L365+J365+H365+F365</f>
        <v>121</v>
      </c>
      <c r="E365" s="305">
        <v>0</v>
      </c>
      <c r="F365" s="305">
        <v>0</v>
      </c>
      <c r="G365" s="305">
        <v>0</v>
      </c>
      <c r="H365" s="305">
        <v>37</v>
      </c>
      <c r="I365" s="305">
        <v>0</v>
      </c>
      <c r="J365" s="305">
        <v>72</v>
      </c>
      <c r="K365" s="305">
        <v>0</v>
      </c>
      <c r="L365" s="305">
        <v>11</v>
      </c>
      <c r="M365" s="305">
        <v>0</v>
      </c>
      <c r="N365" s="305">
        <v>1</v>
      </c>
      <c r="O365" s="305">
        <v>0</v>
      </c>
      <c r="P365" s="305">
        <v>0</v>
      </c>
      <c r="Q365" s="203" t="s">
        <v>146</v>
      </c>
      <c r="R365" s="306"/>
    </row>
    <row r="366" spans="2:18" ht="22.5" customHeight="1" thickBot="1" x14ac:dyDescent="0.25">
      <c r="B366" s="305">
        <f t="shared" ref="B366:B429" si="155">SUM(C366:D366)</f>
        <v>70</v>
      </c>
      <c r="C366" s="305">
        <f>O366+M366+K366+I366+G366+E366</f>
        <v>0</v>
      </c>
      <c r="D366" s="305">
        <f>P366+N366+L366+J366+H366+F366</f>
        <v>70</v>
      </c>
      <c r="E366" s="305">
        <v>0</v>
      </c>
      <c r="F366" s="305">
        <v>10</v>
      </c>
      <c r="G366" s="305">
        <v>0</v>
      </c>
      <c r="H366" s="305">
        <v>8</v>
      </c>
      <c r="I366" s="305">
        <v>0</v>
      </c>
      <c r="J366" s="305">
        <v>4</v>
      </c>
      <c r="K366" s="305">
        <v>0</v>
      </c>
      <c r="L366" s="305">
        <v>48</v>
      </c>
      <c r="M366" s="305">
        <v>0</v>
      </c>
      <c r="N366" s="305">
        <v>0</v>
      </c>
      <c r="O366" s="305">
        <v>0</v>
      </c>
      <c r="P366" s="305">
        <v>0</v>
      </c>
      <c r="Q366" s="203" t="s">
        <v>145</v>
      </c>
      <c r="R366" s="306" t="s">
        <v>649</v>
      </c>
    </row>
    <row r="367" spans="2:18" ht="22.5" customHeight="1" thickBot="1" x14ac:dyDescent="0.25">
      <c r="B367" s="305">
        <f t="shared" ref="B367:P367" si="156">SUM(B365:B366)</f>
        <v>191</v>
      </c>
      <c r="C367" s="305">
        <f t="shared" si="156"/>
        <v>0</v>
      </c>
      <c r="D367" s="305">
        <f t="shared" si="156"/>
        <v>191</v>
      </c>
      <c r="E367" s="305">
        <f t="shared" si="156"/>
        <v>0</v>
      </c>
      <c r="F367" s="305">
        <f t="shared" si="156"/>
        <v>10</v>
      </c>
      <c r="G367" s="305">
        <f t="shared" si="156"/>
        <v>0</v>
      </c>
      <c r="H367" s="305">
        <f t="shared" si="156"/>
        <v>45</v>
      </c>
      <c r="I367" s="305">
        <f t="shared" si="156"/>
        <v>0</v>
      </c>
      <c r="J367" s="305">
        <f t="shared" si="156"/>
        <v>76</v>
      </c>
      <c r="K367" s="305">
        <f t="shared" si="156"/>
        <v>0</v>
      </c>
      <c r="L367" s="305">
        <f t="shared" si="156"/>
        <v>59</v>
      </c>
      <c r="M367" s="305">
        <f t="shared" si="156"/>
        <v>0</v>
      </c>
      <c r="N367" s="305">
        <f t="shared" si="156"/>
        <v>1</v>
      </c>
      <c r="O367" s="305">
        <f t="shared" si="156"/>
        <v>0</v>
      </c>
      <c r="P367" s="305">
        <f t="shared" si="156"/>
        <v>0</v>
      </c>
      <c r="Q367" s="203" t="s">
        <v>12</v>
      </c>
      <c r="R367" s="307"/>
    </row>
    <row r="368" spans="2:18" ht="22.5" customHeight="1" thickBot="1" x14ac:dyDescent="0.25">
      <c r="B368" s="305">
        <f t="shared" si="155"/>
        <v>42</v>
      </c>
      <c r="C368" s="305">
        <f>O368+M368+K368+I368+G368+E368</f>
        <v>0</v>
      </c>
      <c r="D368" s="305">
        <f>P368+N368+L368+J368+H368+F368</f>
        <v>42</v>
      </c>
      <c r="E368" s="305">
        <v>0</v>
      </c>
      <c r="F368" s="305">
        <v>0</v>
      </c>
      <c r="G368" s="305">
        <v>0</v>
      </c>
      <c r="H368" s="305">
        <v>10</v>
      </c>
      <c r="I368" s="305">
        <v>0</v>
      </c>
      <c r="J368" s="305">
        <v>0</v>
      </c>
      <c r="K368" s="305">
        <v>0</v>
      </c>
      <c r="L368" s="305">
        <v>18</v>
      </c>
      <c r="M368" s="305">
        <v>0</v>
      </c>
      <c r="N368" s="305">
        <v>10</v>
      </c>
      <c r="O368" s="305">
        <v>0</v>
      </c>
      <c r="P368" s="305">
        <v>4</v>
      </c>
      <c r="Q368" s="203" t="s">
        <v>146</v>
      </c>
      <c r="R368" s="306"/>
    </row>
    <row r="369" spans="2:18" ht="22.5" customHeight="1" thickBot="1" x14ac:dyDescent="0.25">
      <c r="B369" s="305">
        <f t="shared" si="155"/>
        <v>15</v>
      </c>
      <c r="C369" s="305">
        <f>O369+M369+K369+I369+G369+E369</f>
        <v>0</v>
      </c>
      <c r="D369" s="305">
        <f>P369+N369+L369+J369+H369+F369</f>
        <v>15</v>
      </c>
      <c r="E369" s="305">
        <v>0</v>
      </c>
      <c r="F369" s="305">
        <v>0</v>
      </c>
      <c r="G369" s="305">
        <v>0</v>
      </c>
      <c r="H369" s="305">
        <v>0</v>
      </c>
      <c r="I369" s="305">
        <v>0</v>
      </c>
      <c r="J369" s="305">
        <v>0</v>
      </c>
      <c r="K369" s="305">
        <v>0</v>
      </c>
      <c r="L369" s="305">
        <v>10</v>
      </c>
      <c r="M369" s="305">
        <v>0</v>
      </c>
      <c r="N369" s="305">
        <v>3</v>
      </c>
      <c r="O369" s="305">
        <v>0</v>
      </c>
      <c r="P369" s="305">
        <v>2</v>
      </c>
      <c r="Q369" s="203" t="s">
        <v>145</v>
      </c>
      <c r="R369" s="306" t="s">
        <v>426</v>
      </c>
    </row>
    <row r="370" spans="2:18" ht="22.5" customHeight="1" thickBot="1" x14ac:dyDescent="0.25">
      <c r="B370" s="305">
        <f t="shared" ref="B370:P370" si="157">SUM(B368:B369)</f>
        <v>57</v>
      </c>
      <c r="C370" s="305">
        <f t="shared" si="157"/>
        <v>0</v>
      </c>
      <c r="D370" s="305">
        <f t="shared" si="157"/>
        <v>57</v>
      </c>
      <c r="E370" s="305">
        <f t="shared" si="157"/>
        <v>0</v>
      </c>
      <c r="F370" s="305">
        <f t="shared" si="157"/>
        <v>0</v>
      </c>
      <c r="G370" s="305">
        <f t="shared" si="157"/>
        <v>0</v>
      </c>
      <c r="H370" s="305">
        <f t="shared" si="157"/>
        <v>10</v>
      </c>
      <c r="I370" s="305">
        <f t="shared" si="157"/>
        <v>0</v>
      </c>
      <c r="J370" s="305">
        <f t="shared" si="157"/>
        <v>0</v>
      </c>
      <c r="K370" s="305">
        <f t="shared" si="157"/>
        <v>0</v>
      </c>
      <c r="L370" s="305">
        <f t="shared" si="157"/>
        <v>28</v>
      </c>
      <c r="M370" s="305">
        <f t="shared" si="157"/>
        <v>0</v>
      </c>
      <c r="N370" s="305">
        <f t="shared" si="157"/>
        <v>13</v>
      </c>
      <c r="O370" s="305">
        <f t="shared" si="157"/>
        <v>0</v>
      </c>
      <c r="P370" s="305">
        <f t="shared" si="157"/>
        <v>6</v>
      </c>
      <c r="Q370" s="203" t="s">
        <v>12</v>
      </c>
      <c r="R370" s="307"/>
    </row>
    <row r="371" spans="2:18" ht="22.5" customHeight="1" thickBot="1" x14ac:dyDescent="0.25">
      <c r="B371" s="305">
        <f t="shared" si="155"/>
        <v>118</v>
      </c>
      <c r="C371" s="305">
        <f>O371+M371+K371+I371+G371+E371</f>
        <v>26</v>
      </c>
      <c r="D371" s="305">
        <f>P371+N371+L371+J371+H371+F371</f>
        <v>92</v>
      </c>
      <c r="E371" s="305">
        <v>0</v>
      </c>
      <c r="F371" s="305">
        <v>0</v>
      </c>
      <c r="G371" s="305">
        <v>9</v>
      </c>
      <c r="H371" s="305">
        <v>22</v>
      </c>
      <c r="I371" s="305">
        <v>15</v>
      </c>
      <c r="J371" s="305">
        <v>12</v>
      </c>
      <c r="K371" s="305">
        <v>2</v>
      </c>
      <c r="L371" s="305">
        <v>21</v>
      </c>
      <c r="M371" s="305">
        <v>0</v>
      </c>
      <c r="N371" s="305">
        <v>21</v>
      </c>
      <c r="O371" s="305">
        <v>0</v>
      </c>
      <c r="P371" s="305">
        <v>16</v>
      </c>
      <c r="Q371" s="203" t="s">
        <v>146</v>
      </c>
      <c r="R371" s="306"/>
    </row>
    <row r="372" spans="2:18" ht="22.5" customHeight="1" thickBot="1" x14ac:dyDescent="0.25">
      <c r="B372" s="305">
        <f t="shared" si="155"/>
        <v>29</v>
      </c>
      <c r="C372" s="305">
        <f>O372+M372+K372+I372+G372+E372</f>
        <v>13</v>
      </c>
      <c r="D372" s="305">
        <f>P372+N372+L372+J372+H372+F372</f>
        <v>16</v>
      </c>
      <c r="E372" s="305">
        <v>0</v>
      </c>
      <c r="F372" s="305">
        <v>0</v>
      </c>
      <c r="G372" s="305">
        <v>0</v>
      </c>
      <c r="H372" s="305">
        <v>3</v>
      </c>
      <c r="I372" s="305">
        <v>0</v>
      </c>
      <c r="J372" s="305">
        <v>3</v>
      </c>
      <c r="K372" s="305">
        <v>12</v>
      </c>
      <c r="L372" s="305">
        <v>7</v>
      </c>
      <c r="M372" s="305">
        <v>1</v>
      </c>
      <c r="N372" s="305">
        <v>1</v>
      </c>
      <c r="O372" s="305">
        <v>0</v>
      </c>
      <c r="P372" s="305">
        <v>2</v>
      </c>
      <c r="Q372" s="203" t="s">
        <v>145</v>
      </c>
      <c r="R372" s="306" t="s">
        <v>427</v>
      </c>
    </row>
    <row r="373" spans="2:18" ht="22.5" customHeight="1" thickBot="1" x14ac:dyDescent="0.25">
      <c r="B373" s="305">
        <f t="shared" ref="B373:P373" si="158">SUM(B371:B372)</f>
        <v>147</v>
      </c>
      <c r="C373" s="305">
        <f t="shared" si="158"/>
        <v>39</v>
      </c>
      <c r="D373" s="305">
        <f t="shared" si="158"/>
        <v>108</v>
      </c>
      <c r="E373" s="305">
        <f t="shared" si="158"/>
        <v>0</v>
      </c>
      <c r="F373" s="305">
        <f t="shared" si="158"/>
        <v>0</v>
      </c>
      <c r="G373" s="305">
        <f t="shared" si="158"/>
        <v>9</v>
      </c>
      <c r="H373" s="305">
        <f t="shared" si="158"/>
        <v>25</v>
      </c>
      <c r="I373" s="305">
        <f t="shared" si="158"/>
        <v>15</v>
      </c>
      <c r="J373" s="305">
        <f t="shared" si="158"/>
        <v>15</v>
      </c>
      <c r="K373" s="305">
        <f t="shared" si="158"/>
        <v>14</v>
      </c>
      <c r="L373" s="305">
        <f t="shared" si="158"/>
        <v>28</v>
      </c>
      <c r="M373" s="305">
        <f t="shared" si="158"/>
        <v>1</v>
      </c>
      <c r="N373" s="305">
        <f t="shared" si="158"/>
        <v>22</v>
      </c>
      <c r="O373" s="305">
        <f t="shared" si="158"/>
        <v>0</v>
      </c>
      <c r="P373" s="305">
        <f t="shared" si="158"/>
        <v>18</v>
      </c>
      <c r="Q373" s="203" t="s">
        <v>12</v>
      </c>
      <c r="R373" s="307"/>
    </row>
    <row r="374" spans="2:18" ht="22.5" customHeight="1" thickBot="1" x14ac:dyDescent="0.25">
      <c r="B374" s="305">
        <f t="shared" si="155"/>
        <v>145</v>
      </c>
      <c r="C374" s="305">
        <f>O374+M374+K374+I374+G374+E374</f>
        <v>69</v>
      </c>
      <c r="D374" s="305">
        <f>P374+N374+L374+J374+H374+F374</f>
        <v>76</v>
      </c>
      <c r="E374" s="305">
        <v>0</v>
      </c>
      <c r="F374" s="305">
        <v>0</v>
      </c>
      <c r="G374" s="305">
        <v>43</v>
      </c>
      <c r="H374" s="305">
        <v>22</v>
      </c>
      <c r="I374" s="305">
        <v>11</v>
      </c>
      <c r="J374" s="305">
        <v>12</v>
      </c>
      <c r="K374" s="305">
        <v>12</v>
      </c>
      <c r="L374" s="305">
        <v>21</v>
      </c>
      <c r="M374" s="305">
        <v>3</v>
      </c>
      <c r="N374" s="305">
        <v>12</v>
      </c>
      <c r="O374" s="305">
        <v>0</v>
      </c>
      <c r="P374" s="305">
        <v>9</v>
      </c>
      <c r="Q374" s="203" t="s">
        <v>146</v>
      </c>
      <c r="R374" s="306"/>
    </row>
    <row r="375" spans="2:18" ht="22.5" customHeight="1" thickBot="1" x14ac:dyDescent="0.25">
      <c r="B375" s="305">
        <f t="shared" si="155"/>
        <v>58</v>
      </c>
      <c r="C375" s="305">
        <f>O375+M375+K375+I375+G375+E375</f>
        <v>22</v>
      </c>
      <c r="D375" s="305">
        <f>P375+N375+L375+J375+H375+F375</f>
        <v>36</v>
      </c>
      <c r="E375" s="305">
        <v>0</v>
      </c>
      <c r="F375" s="305">
        <v>0</v>
      </c>
      <c r="G375" s="305">
        <v>0</v>
      </c>
      <c r="H375" s="305">
        <v>0</v>
      </c>
      <c r="I375" s="305">
        <v>1</v>
      </c>
      <c r="J375" s="305">
        <v>3</v>
      </c>
      <c r="K375" s="305">
        <v>21</v>
      </c>
      <c r="L375" s="305">
        <v>22</v>
      </c>
      <c r="M375" s="305">
        <v>0</v>
      </c>
      <c r="N375" s="305">
        <v>9</v>
      </c>
      <c r="O375" s="305">
        <v>0</v>
      </c>
      <c r="P375" s="305">
        <v>2</v>
      </c>
      <c r="Q375" s="203" t="s">
        <v>145</v>
      </c>
      <c r="R375" s="306" t="s">
        <v>429</v>
      </c>
    </row>
    <row r="376" spans="2:18" ht="22.5" customHeight="1" thickBot="1" x14ac:dyDescent="0.25">
      <c r="B376" s="305">
        <f t="shared" ref="B376:P376" si="159">SUM(B374:B375)</f>
        <v>203</v>
      </c>
      <c r="C376" s="305">
        <f t="shared" si="159"/>
        <v>91</v>
      </c>
      <c r="D376" s="305">
        <f t="shared" si="159"/>
        <v>112</v>
      </c>
      <c r="E376" s="305">
        <f t="shared" si="159"/>
        <v>0</v>
      </c>
      <c r="F376" s="305">
        <f t="shared" si="159"/>
        <v>0</v>
      </c>
      <c r="G376" s="305">
        <f t="shared" si="159"/>
        <v>43</v>
      </c>
      <c r="H376" s="305">
        <f t="shared" si="159"/>
        <v>22</v>
      </c>
      <c r="I376" s="305">
        <f t="shared" si="159"/>
        <v>12</v>
      </c>
      <c r="J376" s="305">
        <f t="shared" si="159"/>
        <v>15</v>
      </c>
      <c r="K376" s="305">
        <f t="shared" si="159"/>
        <v>33</v>
      </c>
      <c r="L376" s="305">
        <f t="shared" si="159"/>
        <v>43</v>
      </c>
      <c r="M376" s="305">
        <f t="shared" si="159"/>
        <v>3</v>
      </c>
      <c r="N376" s="305">
        <f t="shared" si="159"/>
        <v>21</v>
      </c>
      <c r="O376" s="305">
        <f t="shared" si="159"/>
        <v>0</v>
      </c>
      <c r="P376" s="305">
        <f t="shared" si="159"/>
        <v>11</v>
      </c>
      <c r="Q376" s="203" t="s">
        <v>12</v>
      </c>
      <c r="R376" s="307"/>
    </row>
    <row r="377" spans="2:18" ht="22.5" customHeight="1" thickBot="1" x14ac:dyDescent="0.25">
      <c r="B377" s="305">
        <f t="shared" si="155"/>
        <v>69</v>
      </c>
      <c r="C377" s="305">
        <f>O377+M377+K377+I377+G377+E377</f>
        <v>7</v>
      </c>
      <c r="D377" s="305">
        <f>P377+N377+L377+J377+H377+F377</f>
        <v>62</v>
      </c>
      <c r="E377" s="305">
        <v>0</v>
      </c>
      <c r="F377" s="305">
        <v>0</v>
      </c>
      <c r="G377" s="305">
        <v>7</v>
      </c>
      <c r="H377" s="305">
        <v>24</v>
      </c>
      <c r="I377" s="305">
        <v>0</v>
      </c>
      <c r="J377" s="305">
        <v>13</v>
      </c>
      <c r="K377" s="305">
        <v>0</v>
      </c>
      <c r="L377" s="305">
        <v>11</v>
      </c>
      <c r="M377" s="305">
        <v>0</v>
      </c>
      <c r="N377" s="305">
        <v>11</v>
      </c>
      <c r="O377" s="305">
        <v>0</v>
      </c>
      <c r="P377" s="305">
        <v>3</v>
      </c>
      <c r="Q377" s="203" t="s">
        <v>146</v>
      </c>
      <c r="R377" s="306"/>
    </row>
    <row r="378" spans="2:18" ht="22.5" customHeight="1" thickBot="1" x14ac:dyDescent="0.25">
      <c r="B378" s="305">
        <f t="shared" si="155"/>
        <v>25</v>
      </c>
      <c r="C378" s="305">
        <f>O378+M378+K378+I378+G378+E378</f>
        <v>0</v>
      </c>
      <c r="D378" s="305">
        <f>P378+N378+L378+J378+H378+F378</f>
        <v>25</v>
      </c>
      <c r="E378" s="305">
        <v>0</v>
      </c>
      <c r="F378" s="305">
        <v>0</v>
      </c>
      <c r="G378" s="305">
        <v>0</v>
      </c>
      <c r="H378" s="305">
        <v>0</v>
      </c>
      <c r="I378" s="305">
        <v>0</v>
      </c>
      <c r="J378" s="305">
        <v>0</v>
      </c>
      <c r="K378" s="305">
        <v>0</v>
      </c>
      <c r="L378" s="305">
        <v>18</v>
      </c>
      <c r="M378" s="305">
        <v>0</v>
      </c>
      <c r="N378" s="305">
        <v>6</v>
      </c>
      <c r="O378" s="305">
        <v>0</v>
      </c>
      <c r="P378" s="305">
        <v>1</v>
      </c>
      <c r="Q378" s="203" t="s">
        <v>145</v>
      </c>
      <c r="R378" s="306" t="s">
        <v>430</v>
      </c>
    </row>
    <row r="379" spans="2:18" ht="22.5" customHeight="1" thickBot="1" x14ac:dyDescent="0.25">
      <c r="B379" s="305">
        <f t="shared" ref="B379:P379" si="160">SUM(B377:B378)</f>
        <v>94</v>
      </c>
      <c r="C379" s="305">
        <f t="shared" si="160"/>
        <v>7</v>
      </c>
      <c r="D379" s="305">
        <f t="shared" si="160"/>
        <v>87</v>
      </c>
      <c r="E379" s="305">
        <f t="shared" si="160"/>
        <v>0</v>
      </c>
      <c r="F379" s="305">
        <f t="shared" si="160"/>
        <v>0</v>
      </c>
      <c r="G379" s="305">
        <f t="shared" si="160"/>
        <v>7</v>
      </c>
      <c r="H379" s="305">
        <f t="shared" si="160"/>
        <v>24</v>
      </c>
      <c r="I379" s="305">
        <f t="shared" si="160"/>
        <v>0</v>
      </c>
      <c r="J379" s="305">
        <f t="shared" si="160"/>
        <v>13</v>
      </c>
      <c r="K379" s="305">
        <f t="shared" si="160"/>
        <v>0</v>
      </c>
      <c r="L379" s="305">
        <f t="shared" si="160"/>
        <v>29</v>
      </c>
      <c r="M379" s="305">
        <f t="shared" si="160"/>
        <v>0</v>
      </c>
      <c r="N379" s="305">
        <f t="shared" si="160"/>
        <v>17</v>
      </c>
      <c r="O379" s="305">
        <f t="shared" si="160"/>
        <v>0</v>
      </c>
      <c r="P379" s="305">
        <f t="shared" si="160"/>
        <v>4</v>
      </c>
      <c r="Q379" s="203" t="s">
        <v>12</v>
      </c>
      <c r="R379" s="307"/>
    </row>
    <row r="380" spans="2:18" ht="22.5" customHeight="1" thickBot="1" x14ac:dyDescent="0.25">
      <c r="B380" s="305">
        <f t="shared" si="155"/>
        <v>7</v>
      </c>
      <c r="C380" s="305">
        <f>O380+M380+K380+I380+G380+E380</f>
        <v>1</v>
      </c>
      <c r="D380" s="305">
        <f>P380+N380+L380+J380+H380+F380</f>
        <v>6</v>
      </c>
      <c r="E380" s="305">
        <v>0</v>
      </c>
      <c r="F380" s="305">
        <v>0</v>
      </c>
      <c r="G380" s="305">
        <v>1</v>
      </c>
      <c r="H380" s="305">
        <v>6</v>
      </c>
      <c r="I380" s="305">
        <v>0</v>
      </c>
      <c r="J380" s="305">
        <v>0</v>
      </c>
      <c r="K380" s="305">
        <v>0</v>
      </c>
      <c r="L380" s="305">
        <v>0</v>
      </c>
      <c r="M380" s="305">
        <v>0</v>
      </c>
      <c r="N380" s="305">
        <v>0</v>
      </c>
      <c r="O380" s="305">
        <v>0</v>
      </c>
      <c r="P380" s="305">
        <v>0</v>
      </c>
      <c r="Q380" s="203" t="s">
        <v>146</v>
      </c>
      <c r="R380" s="306"/>
    </row>
    <row r="381" spans="2:18" ht="22.5" customHeight="1" thickBot="1" x14ac:dyDescent="0.25">
      <c r="B381" s="305">
        <f t="shared" si="155"/>
        <v>55</v>
      </c>
      <c r="C381" s="305">
        <f>O381+M381+K381+I381+G381+E381</f>
        <v>13</v>
      </c>
      <c r="D381" s="305">
        <f>P381+N381+L381+J381+H381+F381</f>
        <v>42</v>
      </c>
      <c r="E381" s="305">
        <v>0</v>
      </c>
      <c r="F381" s="305">
        <v>0</v>
      </c>
      <c r="G381" s="305">
        <v>0</v>
      </c>
      <c r="H381" s="305">
        <v>0</v>
      </c>
      <c r="I381" s="305">
        <v>0</v>
      </c>
      <c r="J381" s="305">
        <v>0</v>
      </c>
      <c r="K381" s="305">
        <v>6</v>
      </c>
      <c r="L381" s="305">
        <v>26</v>
      </c>
      <c r="M381" s="305">
        <v>6</v>
      </c>
      <c r="N381" s="305">
        <v>6</v>
      </c>
      <c r="O381" s="305">
        <v>1</v>
      </c>
      <c r="P381" s="305">
        <v>10</v>
      </c>
      <c r="Q381" s="203" t="s">
        <v>145</v>
      </c>
      <c r="R381" s="306" t="s">
        <v>431</v>
      </c>
    </row>
    <row r="382" spans="2:18" ht="22.5" customHeight="1" thickBot="1" x14ac:dyDescent="0.25">
      <c r="B382" s="305">
        <f t="shared" ref="B382:P382" si="161">SUM(B380:B381)</f>
        <v>62</v>
      </c>
      <c r="C382" s="305">
        <f t="shared" si="161"/>
        <v>14</v>
      </c>
      <c r="D382" s="305">
        <f t="shared" si="161"/>
        <v>48</v>
      </c>
      <c r="E382" s="305">
        <f t="shared" si="161"/>
        <v>0</v>
      </c>
      <c r="F382" s="305">
        <f t="shared" si="161"/>
        <v>0</v>
      </c>
      <c r="G382" s="305">
        <f t="shared" si="161"/>
        <v>1</v>
      </c>
      <c r="H382" s="305">
        <f t="shared" si="161"/>
        <v>6</v>
      </c>
      <c r="I382" s="305">
        <f t="shared" si="161"/>
        <v>0</v>
      </c>
      <c r="J382" s="305">
        <f t="shared" si="161"/>
        <v>0</v>
      </c>
      <c r="K382" s="305">
        <f t="shared" si="161"/>
        <v>6</v>
      </c>
      <c r="L382" s="305">
        <f t="shared" si="161"/>
        <v>26</v>
      </c>
      <c r="M382" s="305">
        <f t="shared" si="161"/>
        <v>6</v>
      </c>
      <c r="N382" s="305">
        <f t="shared" si="161"/>
        <v>6</v>
      </c>
      <c r="O382" s="305">
        <f t="shared" si="161"/>
        <v>1</v>
      </c>
      <c r="P382" s="305">
        <f t="shared" si="161"/>
        <v>10</v>
      </c>
      <c r="Q382" s="203" t="s">
        <v>12</v>
      </c>
      <c r="R382" s="307"/>
    </row>
    <row r="383" spans="2:18" ht="22.5" customHeight="1" thickBot="1" x14ac:dyDescent="0.25">
      <c r="B383" s="305">
        <f t="shared" si="155"/>
        <v>51</v>
      </c>
      <c r="C383" s="305">
        <f>O383+M383+K383+I383+G383+E383</f>
        <v>28</v>
      </c>
      <c r="D383" s="305">
        <f>P383+N383+L383+J383+H383+F383</f>
        <v>23</v>
      </c>
      <c r="E383" s="305">
        <v>0</v>
      </c>
      <c r="F383" s="305">
        <v>0</v>
      </c>
      <c r="G383" s="305">
        <v>25</v>
      </c>
      <c r="H383" s="305">
        <v>7</v>
      </c>
      <c r="I383" s="305">
        <v>3</v>
      </c>
      <c r="J383" s="305">
        <v>0</v>
      </c>
      <c r="K383" s="305">
        <v>0</v>
      </c>
      <c r="L383" s="305">
        <v>13</v>
      </c>
      <c r="M383" s="305">
        <v>0</v>
      </c>
      <c r="N383" s="305">
        <v>1</v>
      </c>
      <c r="O383" s="305">
        <v>0</v>
      </c>
      <c r="P383" s="305">
        <v>2</v>
      </c>
      <c r="Q383" s="203" t="s">
        <v>146</v>
      </c>
      <c r="R383" s="306"/>
    </row>
    <row r="384" spans="2:18" ht="22.5" customHeight="1" thickBot="1" x14ac:dyDescent="0.25">
      <c r="B384" s="305">
        <f t="shared" si="155"/>
        <v>47</v>
      </c>
      <c r="C384" s="305">
        <f>O384+M384+K384+I384+G384+E384</f>
        <v>14</v>
      </c>
      <c r="D384" s="305">
        <f>P384+N384+L384+J384+H384+F384</f>
        <v>33</v>
      </c>
      <c r="E384" s="305">
        <v>0</v>
      </c>
      <c r="F384" s="305">
        <v>0</v>
      </c>
      <c r="G384" s="305">
        <v>0</v>
      </c>
      <c r="H384" s="305">
        <v>0</v>
      </c>
      <c r="I384" s="305">
        <v>0</v>
      </c>
      <c r="J384" s="305">
        <v>1</v>
      </c>
      <c r="K384" s="305">
        <v>13</v>
      </c>
      <c r="L384" s="305">
        <v>21</v>
      </c>
      <c r="M384" s="305">
        <v>0</v>
      </c>
      <c r="N384" s="305">
        <v>8</v>
      </c>
      <c r="O384" s="305">
        <v>1</v>
      </c>
      <c r="P384" s="305">
        <v>3</v>
      </c>
      <c r="Q384" s="203" t="s">
        <v>145</v>
      </c>
      <c r="R384" s="306" t="s">
        <v>432</v>
      </c>
    </row>
    <row r="385" spans="2:18" ht="22.5" customHeight="1" thickBot="1" x14ac:dyDescent="0.25">
      <c r="B385" s="305">
        <f t="shared" ref="B385:P385" si="162">SUM(B383:B384)</f>
        <v>98</v>
      </c>
      <c r="C385" s="305">
        <f t="shared" si="162"/>
        <v>42</v>
      </c>
      <c r="D385" s="305">
        <f t="shared" si="162"/>
        <v>56</v>
      </c>
      <c r="E385" s="305">
        <f t="shared" si="162"/>
        <v>0</v>
      </c>
      <c r="F385" s="305">
        <f t="shared" si="162"/>
        <v>0</v>
      </c>
      <c r="G385" s="305">
        <f t="shared" si="162"/>
        <v>25</v>
      </c>
      <c r="H385" s="305">
        <f t="shared" si="162"/>
        <v>7</v>
      </c>
      <c r="I385" s="305">
        <f t="shared" si="162"/>
        <v>3</v>
      </c>
      <c r="J385" s="305">
        <f t="shared" si="162"/>
        <v>1</v>
      </c>
      <c r="K385" s="305">
        <f t="shared" si="162"/>
        <v>13</v>
      </c>
      <c r="L385" s="305">
        <f t="shared" si="162"/>
        <v>34</v>
      </c>
      <c r="M385" s="305">
        <f t="shared" si="162"/>
        <v>0</v>
      </c>
      <c r="N385" s="305">
        <f t="shared" si="162"/>
        <v>9</v>
      </c>
      <c r="O385" s="305">
        <f t="shared" si="162"/>
        <v>1</v>
      </c>
      <c r="P385" s="305">
        <f t="shared" si="162"/>
        <v>5</v>
      </c>
      <c r="Q385" s="203" t="s">
        <v>12</v>
      </c>
      <c r="R385" s="307"/>
    </row>
    <row r="386" spans="2:18" ht="22.5" customHeight="1" thickBot="1" x14ac:dyDescent="0.25">
      <c r="B386" s="305">
        <f t="shared" si="155"/>
        <v>8</v>
      </c>
      <c r="C386" s="305">
        <f>O386+M386+K386+I386+G386+E386</f>
        <v>0</v>
      </c>
      <c r="D386" s="305">
        <f>P386+N386+L386+J386+H386+F386</f>
        <v>8</v>
      </c>
      <c r="E386" s="305">
        <v>0</v>
      </c>
      <c r="F386" s="305">
        <v>0</v>
      </c>
      <c r="G386" s="305">
        <v>0</v>
      </c>
      <c r="H386" s="305">
        <v>2</v>
      </c>
      <c r="I386" s="305">
        <v>0</v>
      </c>
      <c r="J386" s="305">
        <v>0</v>
      </c>
      <c r="K386" s="305">
        <v>0</v>
      </c>
      <c r="L386" s="305">
        <v>5</v>
      </c>
      <c r="M386" s="305">
        <v>0</v>
      </c>
      <c r="N386" s="305">
        <v>1</v>
      </c>
      <c r="O386" s="305">
        <v>0</v>
      </c>
      <c r="P386" s="305">
        <v>0</v>
      </c>
      <c r="Q386" s="203" t="s">
        <v>146</v>
      </c>
      <c r="R386" s="306"/>
    </row>
    <row r="387" spans="2:18" ht="22.5" customHeight="1" thickBot="1" x14ac:dyDescent="0.25">
      <c r="B387" s="305">
        <f t="shared" si="155"/>
        <v>11</v>
      </c>
      <c r="C387" s="305">
        <f>O387+M387+K387+I387+G387+E387</f>
        <v>0</v>
      </c>
      <c r="D387" s="305">
        <f>P387+N387+L387+J387+H387+F387</f>
        <v>11</v>
      </c>
      <c r="E387" s="305">
        <v>0</v>
      </c>
      <c r="F387" s="305">
        <v>0</v>
      </c>
      <c r="G387" s="305">
        <v>0</v>
      </c>
      <c r="H387" s="305">
        <v>0</v>
      </c>
      <c r="I387" s="305">
        <v>0</v>
      </c>
      <c r="J387" s="305">
        <v>2</v>
      </c>
      <c r="K387" s="305">
        <v>0</v>
      </c>
      <c r="L387" s="305">
        <v>7</v>
      </c>
      <c r="M387" s="305">
        <v>0</v>
      </c>
      <c r="N387" s="305">
        <v>1</v>
      </c>
      <c r="O387" s="305">
        <v>0</v>
      </c>
      <c r="P387" s="305">
        <v>1</v>
      </c>
      <c r="Q387" s="203" t="s">
        <v>145</v>
      </c>
      <c r="R387" s="306" t="s">
        <v>433</v>
      </c>
    </row>
    <row r="388" spans="2:18" ht="22.5" customHeight="1" thickBot="1" x14ac:dyDescent="0.25">
      <c r="B388" s="305">
        <f t="shared" ref="B388:P388" si="163">SUM(B386:B387)</f>
        <v>19</v>
      </c>
      <c r="C388" s="305">
        <f t="shared" si="163"/>
        <v>0</v>
      </c>
      <c r="D388" s="305">
        <f t="shared" si="163"/>
        <v>19</v>
      </c>
      <c r="E388" s="305">
        <f t="shared" si="163"/>
        <v>0</v>
      </c>
      <c r="F388" s="305">
        <f t="shared" si="163"/>
        <v>0</v>
      </c>
      <c r="G388" s="305">
        <f t="shared" si="163"/>
        <v>0</v>
      </c>
      <c r="H388" s="305">
        <f t="shared" si="163"/>
        <v>2</v>
      </c>
      <c r="I388" s="305">
        <f t="shared" si="163"/>
        <v>0</v>
      </c>
      <c r="J388" s="305">
        <f t="shared" si="163"/>
        <v>2</v>
      </c>
      <c r="K388" s="305">
        <f t="shared" si="163"/>
        <v>0</v>
      </c>
      <c r="L388" s="305">
        <f t="shared" si="163"/>
        <v>12</v>
      </c>
      <c r="M388" s="305">
        <f t="shared" si="163"/>
        <v>0</v>
      </c>
      <c r="N388" s="305">
        <f t="shared" si="163"/>
        <v>2</v>
      </c>
      <c r="O388" s="305">
        <f t="shared" si="163"/>
        <v>0</v>
      </c>
      <c r="P388" s="305">
        <f t="shared" si="163"/>
        <v>1</v>
      </c>
      <c r="Q388" s="203" t="s">
        <v>12</v>
      </c>
      <c r="R388" s="307"/>
    </row>
    <row r="389" spans="2:18" ht="22.5" customHeight="1" thickBot="1" x14ac:dyDescent="0.25">
      <c r="B389" s="305">
        <f t="shared" si="155"/>
        <v>86</v>
      </c>
      <c r="C389" s="305">
        <f>O389+M389+K389+I389+G389+E389</f>
        <v>15</v>
      </c>
      <c r="D389" s="305">
        <f>P389+N389+L389+J389+H389+F389</f>
        <v>71</v>
      </c>
      <c r="E389" s="305">
        <v>0</v>
      </c>
      <c r="F389" s="305">
        <v>0</v>
      </c>
      <c r="G389" s="305">
        <v>13</v>
      </c>
      <c r="H389" s="305">
        <v>12</v>
      </c>
      <c r="I389" s="305">
        <v>1</v>
      </c>
      <c r="J389" s="305">
        <v>6</v>
      </c>
      <c r="K389" s="305">
        <v>0</v>
      </c>
      <c r="L389" s="305">
        <v>33</v>
      </c>
      <c r="M389" s="305">
        <v>0</v>
      </c>
      <c r="N389" s="305">
        <v>17</v>
      </c>
      <c r="O389" s="305">
        <v>1</v>
      </c>
      <c r="P389" s="305">
        <v>3</v>
      </c>
      <c r="Q389" s="203" t="s">
        <v>146</v>
      </c>
      <c r="R389" s="306"/>
    </row>
    <row r="390" spans="2:18" ht="22.5" customHeight="1" thickBot="1" x14ac:dyDescent="0.25">
      <c r="B390" s="305">
        <f t="shared" si="155"/>
        <v>22</v>
      </c>
      <c r="C390" s="305">
        <f>O390+M390+K390+I390+G390+E390</f>
        <v>0</v>
      </c>
      <c r="D390" s="305">
        <f>P390+N390+L390+J390+H390+F390</f>
        <v>22</v>
      </c>
      <c r="E390" s="305">
        <v>0</v>
      </c>
      <c r="F390" s="305">
        <v>0</v>
      </c>
      <c r="G390" s="305">
        <v>0</v>
      </c>
      <c r="H390" s="305">
        <v>1</v>
      </c>
      <c r="I390" s="305">
        <v>0</v>
      </c>
      <c r="J390" s="305">
        <v>5</v>
      </c>
      <c r="K390" s="305">
        <v>0</v>
      </c>
      <c r="L390" s="305">
        <v>5</v>
      </c>
      <c r="M390" s="305">
        <v>0</v>
      </c>
      <c r="N390" s="305">
        <v>6</v>
      </c>
      <c r="O390" s="305">
        <v>0</v>
      </c>
      <c r="P390" s="305">
        <v>5</v>
      </c>
      <c r="Q390" s="203" t="s">
        <v>145</v>
      </c>
      <c r="R390" s="306" t="s">
        <v>434</v>
      </c>
    </row>
    <row r="391" spans="2:18" ht="22.5" customHeight="1" thickBot="1" x14ac:dyDescent="0.25">
      <c r="B391" s="305">
        <f t="shared" ref="B391:P391" si="164">SUM(B389:B390)</f>
        <v>108</v>
      </c>
      <c r="C391" s="305">
        <f t="shared" si="164"/>
        <v>15</v>
      </c>
      <c r="D391" s="305">
        <f t="shared" si="164"/>
        <v>93</v>
      </c>
      <c r="E391" s="305">
        <f t="shared" si="164"/>
        <v>0</v>
      </c>
      <c r="F391" s="305">
        <f t="shared" si="164"/>
        <v>0</v>
      </c>
      <c r="G391" s="305">
        <f t="shared" si="164"/>
        <v>13</v>
      </c>
      <c r="H391" s="305">
        <f t="shared" si="164"/>
        <v>13</v>
      </c>
      <c r="I391" s="305">
        <f t="shared" si="164"/>
        <v>1</v>
      </c>
      <c r="J391" s="305">
        <f t="shared" si="164"/>
        <v>11</v>
      </c>
      <c r="K391" s="305">
        <f t="shared" si="164"/>
        <v>0</v>
      </c>
      <c r="L391" s="305">
        <f t="shared" si="164"/>
        <v>38</v>
      </c>
      <c r="M391" s="305">
        <f t="shared" si="164"/>
        <v>0</v>
      </c>
      <c r="N391" s="305">
        <f t="shared" si="164"/>
        <v>23</v>
      </c>
      <c r="O391" s="305">
        <f t="shared" si="164"/>
        <v>1</v>
      </c>
      <c r="P391" s="305">
        <f t="shared" si="164"/>
        <v>8</v>
      </c>
      <c r="Q391" s="203" t="s">
        <v>12</v>
      </c>
      <c r="R391" s="307"/>
    </row>
    <row r="392" spans="2:18" ht="22.5" customHeight="1" thickBot="1" x14ac:dyDescent="0.25">
      <c r="B392" s="305">
        <f t="shared" si="155"/>
        <v>175</v>
      </c>
      <c r="C392" s="305">
        <f>O392+M392+K392+I392+G392+E392</f>
        <v>73</v>
      </c>
      <c r="D392" s="305">
        <f>P392+N392+L392+J392+H392+F392</f>
        <v>102</v>
      </c>
      <c r="E392" s="305">
        <v>0</v>
      </c>
      <c r="F392" s="305">
        <v>0</v>
      </c>
      <c r="G392" s="305">
        <v>46</v>
      </c>
      <c r="H392" s="305">
        <v>37</v>
      </c>
      <c r="I392" s="305">
        <v>5</v>
      </c>
      <c r="J392" s="305">
        <v>0</v>
      </c>
      <c r="K392" s="305">
        <v>8</v>
      </c>
      <c r="L392" s="305">
        <v>19</v>
      </c>
      <c r="M392" s="305">
        <v>11</v>
      </c>
      <c r="N392" s="305">
        <v>23</v>
      </c>
      <c r="O392" s="305">
        <v>3</v>
      </c>
      <c r="P392" s="305">
        <v>23</v>
      </c>
      <c r="Q392" s="203" t="s">
        <v>146</v>
      </c>
      <c r="R392" s="306"/>
    </row>
    <row r="393" spans="2:18" ht="22.5" customHeight="1" thickBot="1" x14ac:dyDescent="0.25">
      <c r="B393" s="305">
        <f t="shared" si="155"/>
        <v>111</v>
      </c>
      <c r="C393" s="305">
        <f>O393+M393+K393+I393+G393+E393</f>
        <v>26</v>
      </c>
      <c r="D393" s="305">
        <f>P393+N393+L393+J393+H393+F393</f>
        <v>85</v>
      </c>
      <c r="E393" s="305">
        <v>0</v>
      </c>
      <c r="F393" s="305">
        <v>0</v>
      </c>
      <c r="G393" s="305">
        <v>1</v>
      </c>
      <c r="H393" s="305">
        <v>8</v>
      </c>
      <c r="I393" s="305">
        <v>2</v>
      </c>
      <c r="J393" s="305">
        <v>2</v>
      </c>
      <c r="K393" s="305">
        <v>12</v>
      </c>
      <c r="L393" s="305">
        <v>35</v>
      </c>
      <c r="M393" s="305">
        <v>11</v>
      </c>
      <c r="N393" s="305">
        <v>15</v>
      </c>
      <c r="O393" s="305">
        <v>0</v>
      </c>
      <c r="P393" s="305">
        <v>25</v>
      </c>
      <c r="Q393" s="203" t="s">
        <v>145</v>
      </c>
      <c r="R393" s="306" t="s">
        <v>435</v>
      </c>
    </row>
    <row r="394" spans="2:18" ht="22.5" customHeight="1" thickBot="1" x14ac:dyDescent="0.25">
      <c r="B394" s="305">
        <f t="shared" ref="B394:P394" si="165">SUM(B392:B393)</f>
        <v>286</v>
      </c>
      <c r="C394" s="305">
        <f t="shared" si="165"/>
        <v>99</v>
      </c>
      <c r="D394" s="305">
        <f t="shared" si="165"/>
        <v>187</v>
      </c>
      <c r="E394" s="305">
        <f t="shared" si="165"/>
        <v>0</v>
      </c>
      <c r="F394" s="305">
        <f t="shared" si="165"/>
        <v>0</v>
      </c>
      <c r="G394" s="305">
        <f t="shared" si="165"/>
        <v>47</v>
      </c>
      <c r="H394" s="305">
        <f t="shared" si="165"/>
        <v>45</v>
      </c>
      <c r="I394" s="305">
        <f t="shared" si="165"/>
        <v>7</v>
      </c>
      <c r="J394" s="305">
        <f t="shared" si="165"/>
        <v>2</v>
      </c>
      <c r="K394" s="305">
        <f t="shared" si="165"/>
        <v>20</v>
      </c>
      <c r="L394" s="305">
        <f t="shared" si="165"/>
        <v>54</v>
      </c>
      <c r="M394" s="305">
        <f t="shared" si="165"/>
        <v>22</v>
      </c>
      <c r="N394" s="305">
        <f t="shared" si="165"/>
        <v>38</v>
      </c>
      <c r="O394" s="305">
        <f t="shared" si="165"/>
        <v>3</v>
      </c>
      <c r="P394" s="305">
        <f t="shared" si="165"/>
        <v>48</v>
      </c>
      <c r="Q394" s="203" t="s">
        <v>12</v>
      </c>
      <c r="R394" s="307"/>
    </row>
    <row r="395" spans="2:18" ht="22.5" customHeight="1" thickBot="1" x14ac:dyDescent="0.25">
      <c r="B395" s="305">
        <f t="shared" si="155"/>
        <v>26</v>
      </c>
      <c r="C395" s="305">
        <f>O395+M395+K395+I395+G395+E395</f>
        <v>13</v>
      </c>
      <c r="D395" s="305">
        <f>P395+N395+L395+J395+H395+F395</f>
        <v>13</v>
      </c>
      <c r="E395" s="305">
        <v>0</v>
      </c>
      <c r="F395" s="305">
        <v>0</v>
      </c>
      <c r="G395" s="305">
        <v>12</v>
      </c>
      <c r="H395" s="305">
        <v>7</v>
      </c>
      <c r="I395" s="305">
        <v>0</v>
      </c>
      <c r="J395" s="305">
        <v>0</v>
      </c>
      <c r="K395" s="305">
        <v>1</v>
      </c>
      <c r="L395" s="305">
        <v>4</v>
      </c>
      <c r="M395" s="305">
        <v>0</v>
      </c>
      <c r="N395" s="305">
        <v>2</v>
      </c>
      <c r="O395" s="305">
        <v>0</v>
      </c>
      <c r="P395" s="305">
        <v>0</v>
      </c>
      <c r="Q395" s="203" t="s">
        <v>146</v>
      </c>
      <c r="R395" s="306"/>
    </row>
    <row r="396" spans="2:18" ht="22.5" customHeight="1" thickBot="1" x14ac:dyDescent="0.25">
      <c r="B396" s="305">
        <f t="shared" si="155"/>
        <v>19</v>
      </c>
      <c r="C396" s="305">
        <f>O396+M396+K396+I396+G396+E396</f>
        <v>4</v>
      </c>
      <c r="D396" s="305">
        <f>P396+N396+L396+J396+H396+F396</f>
        <v>15</v>
      </c>
      <c r="E396" s="305">
        <v>0</v>
      </c>
      <c r="F396" s="305">
        <v>0</v>
      </c>
      <c r="G396" s="305">
        <v>0</v>
      </c>
      <c r="H396" s="305">
        <v>0</v>
      </c>
      <c r="I396" s="305">
        <v>0</v>
      </c>
      <c r="J396" s="305">
        <v>1</v>
      </c>
      <c r="K396" s="305">
        <v>3</v>
      </c>
      <c r="L396" s="305">
        <v>7</v>
      </c>
      <c r="M396" s="305">
        <v>1</v>
      </c>
      <c r="N396" s="305">
        <v>5</v>
      </c>
      <c r="O396" s="305">
        <v>0</v>
      </c>
      <c r="P396" s="305">
        <v>2</v>
      </c>
      <c r="Q396" s="203" t="s">
        <v>145</v>
      </c>
      <c r="R396" s="306" t="s">
        <v>436</v>
      </c>
    </row>
    <row r="397" spans="2:18" ht="22.5" customHeight="1" thickBot="1" x14ac:dyDescent="0.25">
      <c r="B397" s="305">
        <f t="shared" ref="B397:P397" si="166">SUM(B395:B396)</f>
        <v>45</v>
      </c>
      <c r="C397" s="305">
        <f t="shared" si="166"/>
        <v>17</v>
      </c>
      <c r="D397" s="305">
        <f t="shared" si="166"/>
        <v>28</v>
      </c>
      <c r="E397" s="305">
        <f t="shared" si="166"/>
        <v>0</v>
      </c>
      <c r="F397" s="305">
        <f t="shared" si="166"/>
        <v>0</v>
      </c>
      <c r="G397" s="305">
        <f t="shared" si="166"/>
        <v>12</v>
      </c>
      <c r="H397" s="305">
        <f t="shared" si="166"/>
        <v>7</v>
      </c>
      <c r="I397" s="305">
        <f t="shared" si="166"/>
        <v>0</v>
      </c>
      <c r="J397" s="305">
        <f t="shared" si="166"/>
        <v>1</v>
      </c>
      <c r="K397" s="305">
        <f t="shared" si="166"/>
        <v>4</v>
      </c>
      <c r="L397" s="305">
        <f t="shared" si="166"/>
        <v>11</v>
      </c>
      <c r="M397" s="305">
        <f t="shared" si="166"/>
        <v>1</v>
      </c>
      <c r="N397" s="305">
        <f t="shared" si="166"/>
        <v>7</v>
      </c>
      <c r="O397" s="305">
        <f t="shared" si="166"/>
        <v>0</v>
      </c>
      <c r="P397" s="305">
        <f t="shared" si="166"/>
        <v>2</v>
      </c>
      <c r="Q397" s="203" t="s">
        <v>12</v>
      </c>
      <c r="R397" s="307"/>
    </row>
    <row r="398" spans="2:18" ht="22.5" customHeight="1" thickBot="1" x14ac:dyDescent="0.25">
      <c r="B398" s="305">
        <f t="shared" si="155"/>
        <v>52</v>
      </c>
      <c r="C398" s="305">
        <f>O398+M398+K398+I398+G398+E398</f>
        <v>24</v>
      </c>
      <c r="D398" s="305">
        <f>P398+N398+L398+J398+H398+F398</f>
        <v>28</v>
      </c>
      <c r="E398" s="305">
        <v>0</v>
      </c>
      <c r="F398" s="305">
        <v>0</v>
      </c>
      <c r="G398" s="305">
        <v>22</v>
      </c>
      <c r="H398" s="305">
        <v>16</v>
      </c>
      <c r="I398" s="305">
        <v>0</v>
      </c>
      <c r="J398" s="305">
        <v>10</v>
      </c>
      <c r="K398" s="305">
        <v>2</v>
      </c>
      <c r="L398" s="305">
        <v>2</v>
      </c>
      <c r="M398" s="305">
        <v>0</v>
      </c>
      <c r="N398" s="305">
        <v>0</v>
      </c>
      <c r="O398" s="305">
        <v>0</v>
      </c>
      <c r="P398" s="305">
        <v>0</v>
      </c>
      <c r="Q398" s="203" t="s">
        <v>146</v>
      </c>
      <c r="R398" s="306"/>
    </row>
    <row r="399" spans="2:18" ht="22.5" customHeight="1" thickBot="1" x14ac:dyDescent="0.25">
      <c r="B399" s="305">
        <f t="shared" si="155"/>
        <v>29</v>
      </c>
      <c r="C399" s="305">
        <f>O399+M399+K399+I399+G399+E399</f>
        <v>3</v>
      </c>
      <c r="D399" s="305">
        <f>P399+N399+L399+J399+H399+F399</f>
        <v>26</v>
      </c>
      <c r="E399" s="305">
        <v>0</v>
      </c>
      <c r="F399" s="305">
        <v>0</v>
      </c>
      <c r="G399" s="305">
        <v>0</v>
      </c>
      <c r="H399" s="305">
        <v>4</v>
      </c>
      <c r="I399" s="305">
        <v>0</v>
      </c>
      <c r="J399" s="305">
        <v>2</v>
      </c>
      <c r="K399" s="305">
        <v>1</v>
      </c>
      <c r="L399" s="305">
        <v>16</v>
      </c>
      <c r="M399" s="305">
        <v>1</v>
      </c>
      <c r="N399" s="305">
        <v>2</v>
      </c>
      <c r="O399" s="305">
        <v>1</v>
      </c>
      <c r="P399" s="305">
        <v>2</v>
      </c>
      <c r="Q399" s="203" t="s">
        <v>145</v>
      </c>
      <c r="R399" s="306" t="s">
        <v>437</v>
      </c>
    </row>
    <row r="400" spans="2:18" ht="22.5" customHeight="1" thickBot="1" x14ac:dyDescent="0.25">
      <c r="B400" s="305">
        <f t="shared" ref="B400:P400" si="167">SUM(B398:B399)</f>
        <v>81</v>
      </c>
      <c r="C400" s="305">
        <f t="shared" si="167"/>
        <v>27</v>
      </c>
      <c r="D400" s="305">
        <f t="shared" si="167"/>
        <v>54</v>
      </c>
      <c r="E400" s="305">
        <f t="shared" si="167"/>
        <v>0</v>
      </c>
      <c r="F400" s="305">
        <f t="shared" si="167"/>
        <v>0</v>
      </c>
      <c r="G400" s="305">
        <f t="shared" si="167"/>
        <v>22</v>
      </c>
      <c r="H400" s="305">
        <f t="shared" si="167"/>
        <v>20</v>
      </c>
      <c r="I400" s="305">
        <f t="shared" si="167"/>
        <v>0</v>
      </c>
      <c r="J400" s="305">
        <f t="shared" si="167"/>
        <v>12</v>
      </c>
      <c r="K400" s="305">
        <f t="shared" si="167"/>
        <v>3</v>
      </c>
      <c r="L400" s="305">
        <f t="shared" si="167"/>
        <v>18</v>
      </c>
      <c r="M400" s="305">
        <f t="shared" si="167"/>
        <v>1</v>
      </c>
      <c r="N400" s="305">
        <f t="shared" si="167"/>
        <v>2</v>
      </c>
      <c r="O400" s="305">
        <f t="shared" si="167"/>
        <v>1</v>
      </c>
      <c r="P400" s="305">
        <f t="shared" si="167"/>
        <v>2</v>
      </c>
      <c r="Q400" s="203" t="s">
        <v>12</v>
      </c>
      <c r="R400" s="307"/>
    </row>
    <row r="401" spans="2:18" ht="22.5" customHeight="1" thickBot="1" x14ac:dyDescent="0.25">
      <c r="B401" s="305">
        <f t="shared" si="155"/>
        <v>12</v>
      </c>
      <c r="C401" s="305">
        <f>O401+M401+K401+I401+G401+E401</f>
        <v>12</v>
      </c>
      <c r="D401" s="305">
        <f>P401+N401+L401+J401+H401+F401</f>
        <v>0</v>
      </c>
      <c r="E401" s="305">
        <v>0</v>
      </c>
      <c r="F401" s="305">
        <v>0</v>
      </c>
      <c r="G401" s="305">
        <v>12</v>
      </c>
      <c r="H401" s="305">
        <v>0</v>
      </c>
      <c r="I401" s="305">
        <v>0</v>
      </c>
      <c r="J401" s="305">
        <v>0</v>
      </c>
      <c r="K401" s="305">
        <v>0</v>
      </c>
      <c r="L401" s="305">
        <v>0</v>
      </c>
      <c r="M401" s="305">
        <v>0</v>
      </c>
      <c r="N401" s="305">
        <v>0</v>
      </c>
      <c r="O401" s="305">
        <v>0</v>
      </c>
      <c r="P401" s="305">
        <v>0</v>
      </c>
      <c r="Q401" s="203" t="s">
        <v>146</v>
      </c>
      <c r="R401" s="306"/>
    </row>
    <row r="402" spans="2:18" ht="22.5" customHeight="1" thickBot="1" x14ac:dyDescent="0.25">
      <c r="B402" s="305">
        <f t="shared" si="155"/>
        <v>14</v>
      </c>
      <c r="C402" s="305">
        <f>O402+M402+K402+I402+G402+E402</f>
        <v>14</v>
      </c>
      <c r="D402" s="305">
        <f>P402+N402+L402+J402+H402+F402</f>
        <v>0</v>
      </c>
      <c r="E402" s="305">
        <v>0</v>
      </c>
      <c r="F402" s="305">
        <v>0</v>
      </c>
      <c r="G402" s="305">
        <v>0</v>
      </c>
      <c r="H402" s="305">
        <v>0</v>
      </c>
      <c r="I402" s="305">
        <v>0</v>
      </c>
      <c r="J402" s="305">
        <v>0</v>
      </c>
      <c r="K402" s="305">
        <v>10</v>
      </c>
      <c r="L402" s="305">
        <v>0</v>
      </c>
      <c r="M402" s="305">
        <v>4</v>
      </c>
      <c r="N402" s="305">
        <v>0</v>
      </c>
      <c r="O402" s="305">
        <v>0</v>
      </c>
      <c r="P402" s="305">
        <v>0</v>
      </c>
      <c r="Q402" s="203" t="s">
        <v>145</v>
      </c>
      <c r="R402" s="306" t="s">
        <v>438</v>
      </c>
    </row>
    <row r="403" spans="2:18" ht="22.5" customHeight="1" thickBot="1" x14ac:dyDescent="0.25">
      <c r="B403" s="305">
        <f t="shared" ref="B403:P403" si="168">SUM(B401:B402)</f>
        <v>26</v>
      </c>
      <c r="C403" s="305">
        <f t="shared" si="168"/>
        <v>26</v>
      </c>
      <c r="D403" s="305">
        <f t="shared" si="168"/>
        <v>0</v>
      </c>
      <c r="E403" s="305">
        <f t="shared" si="168"/>
        <v>0</v>
      </c>
      <c r="F403" s="305">
        <f t="shared" si="168"/>
        <v>0</v>
      </c>
      <c r="G403" s="305">
        <f t="shared" si="168"/>
        <v>12</v>
      </c>
      <c r="H403" s="305">
        <f t="shared" si="168"/>
        <v>0</v>
      </c>
      <c r="I403" s="305">
        <f t="shared" si="168"/>
        <v>0</v>
      </c>
      <c r="J403" s="305">
        <f t="shared" si="168"/>
        <v>0</v>
      </c>
      <c r="K403" s="305">
        <f t="shared" si="168"/>
        <v>10</v>
      </c>
      <c r="L403" s="305">
        <f t="shared" si="168"/>
        <v>0</v>
      </c>
      <c r="M403" s="305">
        <f t="shared" si="168"/>
        <v>4</v>
      </c>
      <c r="N403" s="305">
        <f t="shared" si="168"/>
        <v>0</v>
      </c>
      <c r="O403" s="305">
        <f t="shared" si="168"/>
        <v>0</v>
      </c>
      <c r="P403" s="305">
        <f t="shared" si="168"/>
        <v>0</v>
      </c>
      <c r="Q403" s="203" t="s">
        <v>12</v>
      </c>
      <c r="R403" s="307"/>
    </row>
    <row r="404" spans="2:18" ht="22.5" customHeight="1" thickBot="1" x14ac:dyDescent="0.25">
      <c r="B404" s="305">
        <f t="shared" si="155"/>
        <v>1</v>
      </c>
      <c r="C404" s="305">
        <f>O404+M404+K404+I404+G404+E404</f>
        <v>1</v>
      </c>
      <c r="D404" s="305">
        <f>P404+N404+L404+J404+H404+F404</f>
        <v>0</v>
      </c>
      <c r="E404" s="305">
        <v>1</v>
      </c>
      <c r="F404" s="305">
        <v>0</v>
      </c>
      <c r="G404" s="305">
        <v>0</v>
      </c>
      <c r="H404" s="305">
        <v>0</v>
      </c>
      <c r="I404" s="305">
        <v>0</v>
      </c>
      <c r="J404" s="305">
        <v>0</v>
      </c>
      <c r="K404" s="305">
        <v>0</v>
      </c>
      <c r="L404" s="305">
        <v>0</v>
      </c>
      <c r="M404" s="305">
        <v>0</v>
      </c>
      <c r="N404" s="305">
        <v>0</v>
      </c>
      <c r="O404" s="305">
        <v>0</v>
      </c>
      <c r="P404" s="305">
        <v>0</v>
      </c>
      <c r="Q404" s="203" t="s">
        <v>146</v>
      </c>
      <c r="R404" s="306"/>
    </row>
    <row r="405" spans="2:18" ht="22.5" customHeight="1" thickBot="1" x14ac:dyDescent="0.25">
      <c r="B405" s="305">
        <f t="shared" si="155"/>
        <v>47</v>
      </c>
      <c r="C405" s="305">
        <f>O405+M405+K405+I405+G405+E405</f>
        <v>23</v>
      </c>
      <c r="D405" s="305">
        <f>P405+N405+L405+J405+H405+F405</f>
        <v>24</v>
      </c>
      <c r="E405" s="305">
        <v>0</v>
      </c>
      <c r="F405" s="305">
        <v>0</v>
      </c>
      <c r="G405" s="305">
        <v>1</v>
      </c>
      <c r="H405" s="305">
        <v>0</v>
      </c>
      <c r="I405" s="305">
        <v>4</v>
      </c>
      <c r="J405" s="305">
        <v>3</v>
      </c>
      <c r="K405" s="305">
        <v>15</v>
      </c>
      <c r="L405" s="305">
        <v>20</v>
      </c>
      <c r="M405" s="305">
        <v>3</v>
      </c>
      <c r="N405" s="305">
        <v>1</v>
      </c>
      <c r="O405" s="305">
        <v>0</v>
      </c>
      <c r="P405" s="305">
        <v>0</v>
      </c>
      <c r="Q405" s="203" t="s">
        <v>145</v>
      </c>
      <c r="R405" s="306" t="s">
        <v>71</v>
      </c>
    </row>
    <row r="406" spans="2:18" ht="22.5" customHeight="1" thickBot="1" x14ac:dyDescent="0.25">
      <c r="B406" s="305">
        <f t="shared" ref="B406:P406" si="169">SUM(B404:B405)</f>
        <v>48</v>
      </c>
      <c r="C406" s="305">
        <f t="shared" si="169"/>
        <v>24</v>
      </c>
      <c r="D406" s="305">
        <f t="shared" si="169"/>
        <v>24</v>
      </c>
      <c r="E406" s="305">
        <f t="shared" si="169"/>
        <v>1</v>
      </c>
      <c r="F406" s="305">
        <f t="shared" si="169"/>
        <v>0</v>
      </c>
      <c r="G406" s="305">
        <f t="shared" si="169"/>
        <v>1</v>
      </c>
      <c r="H406" s="305">
        <f t="shared" si="169"/>
        <v>0</v>
      </c>
      <c r="I406" s="305">
        <f t="shared" si="169"/>
        <v>4</v>
      </c>
      <c r="J406" s="305">
        <f t="shared" si="169"/>
        <v>3</v>
      </c>
      <c r="K406" s="305">
        <f t="shared" si="169"/>
        <v>15</v>
      </c>
      <c r="L406" s="305">
        <f t="shared" si="169"/>
        <v>20</v>
      </c>
      <c r="M406" s="305">
        <f t="shared" si="169"/>
        <v>3</v>
      </c>
      <c r="N406" s="305">
        <f t="shared" si="169"/>
        <v>1</v>
      </c>
      <c r="O406" s="305">
        <f t="shared" si="169"/>
        <v>0</v>
      </c>
      <c r="P406" s="305">
        <f t="shared" si="169"/>
        <v>0</v>
      </c>
      <c r="Q406" s="203" t="s">
        <v>12</v>
      </c>
      <c r="R406" s="307"/>
    </row>
    <row r="407" spans="2:18" ht="22.5" customHeight="1" thickBot="1" x14ac:dyDescent="0.25">
      <c r="B407" s="305">
        <f t="shared" si="155"/>
        <v>6</v>
      </c>
      <c r="C407" s="305">
        <f>O407+M407+K407+I407+G407+E407</f>
        <v>0</v>
      </c>
      <c r="D407" s="305">
        <f>P407+N407+L407+J407+H407+F407</f>
        <v>6</v>
      </c>
      <c r="E407" s="305">
        <v>0</v>
      </c>
      <c r="F407" s="305">
        <v>0</v>
      </c>
      <c r="G407" s="305">
        <v>0</v>
      </c>
      <c r="H407" s="305">
        <v>6</v>
      </c>
      <c r="I407" s="305">
        <v>0</v>
      </c>
      <c r="J407" s="305">
        <v>0</v>
      </c>
      <c r="K407" s="305">
        <v>0</v>
      </c>
      <c r="L407" s="305">
        <v>0</v>
      </c>
      <c r="M407" s="305">
        <v>0</v>
      </c>
      <c r="N407" s="305">
        <v>0</v>
      </c>
      <c r="O407" s="305">
        <v>0</v>
      </c>
      <c r="P407" s="305">
        <v>0</v>
      </c>
      <c r="Q407" s="203" t="s">
        <v>146</v>
      </c>
      <c r="R407" s="306"/>
    </row>
    <row r="408" spans="2:18" ht="22.5" customHeight="1" thickBot="1" x14ac:dyDescent="0.25">
      <c r="B408" s="305">
        <f t="shared" si="155"/>
        <v>9</v>
      </c>
      <c r="C408" s="305">
        <f>O408+M408+K408+I408+G408+E408</f>
        <v>0</v>
      </c>
      <c r="D408" s="305">
        <f>P408+N408+L408+J408+H408+F408</f>
        <v>9</v>
      </c>
      <c r="E408" s="305">
        <v>0</v>
      </c>
      <c r="F408" s="305">
        <v>0</v>
      </c>
      <c r="G408" s="305">
        <v>0</v>
      </c>
      <c r="H408" s="305">
        <v>0</v>
      </c>
      <c r="I408" s="305">
        <v>0</v>
      </c>
      <c r="J408" s="305">
        <v>0</v>
      </c>
      <c r="K408" s="305">
        <v>0</v>
      </c>
      <c r="L408" s="305">
        <v>3</v>
      </c>
      <c r="M408" s="305">
        <v>0</v>
      </c>
      <c r="N408" s="305">
        <v>3</v>
      </c>
      <c r="O408" s="305">
        <v>0</v>
      </c>
      <c r="P408" s="305">
        <v>3</v>
      </c>
      <c r="Q408" s="203" t="s">
        <v>145</v>
      </c>
      <c r="R408" s="306" t="s">
        <v>439</v>
      </c>
    </row>
    <row r="409" spans="2:18" ht="22.5" customHeight="1" thickBot="1" x14ac:dyDescent="0.25">
      <c r="B409" s="305">
        <f t="shared" ref="B409:P409" si="170">SUM(B407:B408)</f>
        <v>15</v>
      </c>
      <c r="C409" s="305">
        <f t="shared" si="170"/>
        <v>0</v>
      </c>
      <c r="D409" s="305">
        <f t="shared" si="170"/>
        <v>15</v>
      </c>
      <c r="E409" s="305">
        <f t="shared" si="170"/>
        <v>0</v>
      </c>
      <c r="F409" s="305">
        <f t="shared" si="170"/>
        <v>0</v>
      </c>
      <c r="G409" s="305">
        <f t="shared" si="170"/>
        <v>0</v>
      </c>
      <c r="H409" s="305">
        <f t="shared" si="170"/>
        <v>6</v>
      </c>
      <c r="I409" s="305">
        <f t="shared" si="170"/>
        <v>0</v>
      </c>
      <c r="J409" s="305">
        <f t="shared" si="170"/>
        <v>0</v>
      </c>
      <c r="K409" s="305">
        <f t="shared" si="170"/>
        <v>0</v>
      </c>
      <c r="L409" s="305">
        <f t="shared" si="170"/>
        <v>3</v>
      </c>
      <c r="M409" s="305">
        <f t="shared" si="170"/>
        <v>0</v>
      </c>
      <c r="N409" s="305">
        <f t="shared" si="170"/>
        <v>3</v>
      </c>
      <c r="O409" s="305">
        <f t="shared" si="170"/>
        <v>0</v>
      </c>
      <c r="P409" s="305">
        <f t="shared" si="170"/>
        <v>3</v>
      </c>
      <c r="Q409" s="203" t="s">
        <v>12</v>
      </c>
      <c r="R409" s="307"/>
    </row>
    <row r="410" spans="2:18" ht="22.5" customHeight="1" thickBot="1" x14ac:dyDescent="0.25">
      <c r="B410" s="305">
        <f t="shared" si="155"/>
        <v>61</v>
      </c>
      <c r="C410" s="305">
        <f>O410+M410+K410+I410+G410+E410</f>
        <v>59</v>
      </c>
      <c r="D410" s="305">
        <f>P410+N410+L410+J410+H410+F410</f>
        <v>2</v>
      </c>
      <c r="E410" s="305">
        <v>0</v>
      </c>
      <c r="F410" s="305">
        <v>0</v>
      </c>
      <c r="G410" s="305">
        <v>26</v>
      </c>
      <c r="H410" s="305">
        <v>0</v>
      </c>
      <c r="I410" s="305">
        <v>29</v>
      </c>
      <c r="J410" s="305">
        <v>0</v>
      </c>
      <c r="K410" s="305">
        <v>2</v>
      </c>
      <c r="L410" s="305">
        <v>1</v>
      </c>
      <c r="M410" s="305">
        <v>2</v>
      </c>
      <c r="N410" s="305">
        <v>1</v>
      </c>
      <c r="O410" s="305">
        <v>0</v>
      </c>
      <c r="P410" s="305">
        <v>0</v>
      </c>
      <c r="Q410" s="203" t="s">
        <v>146</v>
      </c>
      <c r="R410" s="306"/>
    </row>
    <row r="411" spans="2:18" ht="22.5" customHeight="1" thickBot="1" x14ac:dyDescent="0.25">
      <c r="B411" s="305">
        <f t="shared" si="155"/>
        <v>36</v>
      </c>
      <c r="C411" s="305">
        <f>O411+M411+K411+I411+G411+E411</f>
        <v>18</v>
      </c>
      <c r="D411" s="305">
        <f>P411+N411+L411+J411+H411+F411</f>
        <v>18</v>
      </c>
      <c r="E411" s="305">
        <v>0</v>
      </c>
      <c r="F411" s="305">
        <v>0</v>
      </c>
      <c r="G411" s="305">
        <v>0</v>
      </c>
      <c r="H411" s="305">
        <v>0</v>
      </c>
      <c r="I411" s="305">
        <v>1</v>
      </c>
      <c r="J411" s="305">
        <v>0</v>
      </c>
      <c r="K411" s="305">
        <v>16</v>
      </c>
      <c r="L411" s="305">
        <v>17</v>
      </c>
      <c r="M411" s="305">
        <v>1</v>
      </c>
      <c r="N411" s="305">
        <v>1</v>
      </c>
      <c r="O411" s="305">
        <v>0</v>
      </c>
      <c r="P411" s="305">
        <v>0</v>
      </c>
      <c r="Q411" s="203" t="s">
        <v>145</v>
      </c>
      <c r="R411" s="306" t="s">
        <v>650</v>
      </c>
    </row>
    <row r="412" spans="2:18" ht="22.5" customHeight="1" thickBot="1" x14ac:dyDescent="0.25">
      <c r="B412" s="305">
        <f t="shared" ref="B412:P412" si="171">SUM(B410:B411)</f>
        <v>97</v>
      </c>
      <c r="C412" s="305">
        <f t="shared" si="171"/>
        <v>77</v>
      </c>
      <c r="D412" s="305">
        <f t="shared" si="171"/>
        <v>20</v>
      </c>
      <c r="E412" s="305">
        <f t="shared" si="171"/>
        <v>0</v>
      </c>
      <c r="F412" s="305">
        <f t="shared" si="171"/>
        <v>0</v>
      </c>
      <c r="G412" s="305">
        <f t="shared" si="171"/>
        <v>26</v>
      </c>
      <c r="H412" s="305">
        <f t="shared" si="171"/>
        <v>0</v>
      </c>
      <c r="I412" s="305">
        <f t="shared" si="171"/>
        <v>30</v>
      </c>
      <c r="J412" s="305">
        <f t="shared" si="171"/>
        <v>0</v>
      </c>
      <c r="K412" s="305">
        <f t="shared" si="171"/>
        <v>18</v>
      </c>
      <c r="L412" s="305">
        <f t="shared" si="171"/>
        <v>18</v>
      </c>
      <c r="M412" s="305">
        <f t="shared" si="171"/>
        <v>3</v>
      </c>
      <c r="N412" s="305">
        <f t="shared" si="171"/>
        <v>2</v>
      </c>
      <c r="O412" s="305">
        <f t="shared" si="171"/>
        <v>0</v>
      </c>
      <c r="P412" s="305">
        <f t="shared" si="171"/>
        <v>0</v>
      </c>
      <c r="Q412" s="203" t="s">
        <v>12</v>
      </c>
      <c r="R412" s="307"/>
    </row>
    <row r="413" spans="2:18" ht="22.5" customHeight="1" thickBot="1" x14ac:dyDescent="0.25">
      <c r="B413" s="305">
        <f t="shared" si="155"/>
        <v>38</v>
      </c>
      <c r="C413" s="305">
        <f>O413+M413+K413+I413+G413+E413</f>
        <v>38</v>
      </c>
      <c r="D413" s="305">
        <f>P413+N413+L413+J413+H413+F413</f>
        <v>0</v>
      </c>
      <c r="E413" s="305">
        <v>0</v>
      </c>
      <c r="F413" s="305">
        <v>0</v>
      </c>
      <c r="G413" s="305">
        <v>17</v>
      </c>
      <c r="H413" s="305">
        <v>0</v>
      </c>
      <c r="I413" s="305">
        <v>16</v>
      </c>
      <c r="J413" s="305">
        <v>0</v>
      </c>
      <c r="K413" s="305">
        <v>5</v>
      </c>
      <c r="L413" s="305">
        <v>0</v>
      </c>
      <c r="M413" s="305">
        <v>0</v>
      </c>
      <c r="N413" s="305">
        <v>0</v>
      </c>
      <c r="O413" s="305">
        <v>0</v>
      </c>
      <c r="P413" s="305">
        <v>0</v>
      </c>
      <c r="Q413" s="203" t="s">
        <v>146</v>
      </c>
      <c r="R413" s="306"/>
    </row>
    <row r="414" spans="2:18" ht="22.5" customHeight="1" thickBot="1" x14ac:dyDescent="0.25">
      <c r="B414" s="305">
        <f t="shared" si="155"/>
        <v>23</v>
      </c>
      <c r="C414" s="305">
        <f>O414+M414+K414+I414+G414+E414</f>
        <v>12</v>
      </c>
      <c r="D414" s="305">
        <f>P414+N414+L414+J414+H414+F414</f>
        <v>11</v>
      </c>
      <c r="E414" s="305">
        <v>0</v>
      </c>
      <c r="F414" s="305">
        <v>0</v>
      </c>
      <c r="G414" s="305">
        <v>0</v>
      </c>
      <c r="H414" s="305">
        <v>0</v>
      </c>
      <c r="I414" s="305">
        <v>2</v>
      </c>
      <c r="J414" s="305">
        <v>0</v>
      </c>
      <c r="K414" s="305">
        <v>10</v>
      </c>
      <c r="L414" s="305">
        <v>9</v>
      </c>
      <c r="M414" s="305">
        <v>0</v>
      </c>
      <c r="N414" s="305">
        <v>1</v>
      </c>
      <c r="O414" s="305">
        <v>0</v>
      </c>
      <c r="P414" s="305">
        <v>1</v>
      </c>
      <c r="Q414" s="203" t="s">
        <v>145</v>
      </c>
      <c r="R414" s="306" t="s">
        <v>441</v>
      </c>
    </row>
    <row r="415" spans="2:18" ht="22.5" customHeight="1" thickBot="1" x14ac:dyDescent="0.25">
      <c r="B415" s="305">
        <f t="shared" ref="B415:P415" si="172">SUM(B413:B414)</f>
        <v>61</v>
      </c>
      <c r="C415" s="305">
        <f t="shared" si="172"/>
        <v>50</v>
      </c>
      <c r="D415" s="305">
        <f t="shared" si="172"/>
        <v>11</v>
      </c>
      <c r="E415" s="305">
        <f t="shared" si="172"/>
        <v>0</v>
      </c>
      <c r="F415" s="305">
        <f t="shared" si="172"/>
        <v>0</v>
      </c>
      <c r="G415" s="305">
        <f t="shared" si="172"/>
        <v>17</v>
      </c>
      <c r="H415" s="305">
        <f t="shared" si="172"/>
        <v>0</v>
      </c>
      <c r="I415" s="305">
        <f t="shared" si="172"/>
        <v>18</v>
      </c>
      <c r="J415" s="305">
        <f t="shared" si="172"/>
        <v>0</v>
      </c>
      <c r="K415" s="305">
        <f t="shared" si="172"/>
        <v>15</v>
      </c>
      <c r="L415" s="305">
        <f t="shared" si="172"/>
        <v>9</v>
      </c>
      <c r="M415" s="305">
        <f t="shared" si="172"/>
        <v>0</v>
      </c>
      <c r="N415" s="305">
        <f t="shared" si="172"/>
        <v>1</v>
      </c>
      <c r="O415" s="305">
        <f t="shared" si="172"/>
        <v>0</v>
      </c>
      <c r="P415" s="305">
        <f t="shared" si="172"/>
        <v>1</v>
      </c>
      <c r="Q415" s="203" t="s">
        <v>12</v>
      </c>
      <c r="R415" s="307"/>
    </row>
    <row r="416" spans="2:18" ht="22.5" customHeight="1" thickBot="1" x14ac:dyDescent="0.25">
      <c r="B416" s="305">
        <f t="shared" si="155"/>
        <v>13</v>
      </c>
      <c r="C416" s="305">
        <f>O416+M416+K416+I416+G416+E416</f>
        <v>13</v>
      </c>
      <c r="D416" s="305">
        <f>P416+N416+L416+J416+H416+F416</f>
        <v>0</v>
      </c>
      <c r="E416" s="305">
        <v>4</v>
      </c>
      <c r="F416" s="305">
        <v>0</v>
      </c>
      <c r="G416" s="305">
        <v>9</v>
      </c>
      <c r="H416" s="305">
        <v>0</v>
      </c>
      <c r="I416" s="305">
        <v>0</v>
      </c>
      <c r="J416" s="305">
        <v>0</v>
      </c>
      <c r="K416" s="305">
        <v>0</v>
      </c>
      <c r="L416" s="305">
        <v>0</v>
      </c>
      <c r="M416" s="305">
        <v>0</v>
      </c>
      <c r="N416" s="305">
        <v>0</v>
      </c>
      <c r="O416" s="305">
        <v>0</v>
      </c>
      <c r="P416" s="305">
        <v>0</v>
      </c>
      <c r="Q416" s="203" t="s">
        <v>146</v>
      </c>
      <c r="R416" s="306"/>
    </row>
    <row r="417" spans="2:18" ht="22.5" customHeight="1" thickBot="1" x14ac:dyDescent="0.25">
      <c r="B417" s="305">
        <f t="shared" si="155"/>
        <v>18</v>
      </c>
      <c r="C417" s="305">
        <f>O417+M417+K417+I417+G417+E417</f>
        <v>11</v>
      </c>
      <c r="D417" s="305">
        <f>P417+N417+L417+J417+H417+F417</f>
        <v>7</v>
      </c>
      <c r="E417" s="305">
        <v>0</v>
      </c>
      <c r="F417" s="305">
        <v>0</v>
      </c>
      <c r="G417" s="305">
        <v>0</v>
      </c>
      <c r="H417" s="305">
        <v>0</v>
      </c>
      <c r="I417" s="305">
        <v>4</v>
      </c>
      <c r="J417" s="305">
        <v>0</v>
      </c>
      <c r="K417" s="305">
        <v>7</v>
      </c>
      <c r="L417" s="305">
        <v>7</v>
      </c>
      <c r="M417" s="305">
        <v>0</v>
      </c>
      <c r="N417" s="305">
        <v>0</v>
      </c>
      <c r="O417" s="305">
        <v>0</v>
      </c>
      <c r="P417" s="305">
        <v>0</v>
      </c>
      <c r="Q417" s="203" t="s">
        <v>145</v>
      </c>
      <c r="R417" s="306" t="s">
        <v>442</v>
      </c>
    </row>
    <row r="418" spans="2:18" ht="22.5" customHeight="1" thickBot="1" x14ac:dyDescent="0.25">
      <c r="B418" s="305">
        <f t="shared" ref="B418:P418" si="173">SUM(B416:B417)</f>
        <v>31</v>
      </c>
      <c r="C418" s="305">
        <f t="shared" si="173"/>
        <v>24</v>
      </c>
      <c r="D418" s="305">
        <f t="shared" si="173"/>
        <v>7</v>
      </c>
      <c r="E418" s="305">
        <f t="shared" si="173"/>
        <v>4</v>
      </c>
      <c r="F418" s="305">
        <f t="shared" si="173"/>
        <v>0</v>
      </c>
      <c r="G418" s="305">
        <f t="shared" si="173"/>
        <v>9</v>
      </c>
      <c r="H418" s="305">
        <f t="shared" si="173"/>
        <v>0</v>
      </c>
      <c r="I418" s="305">
        <f t="shared" si="173"/>
        <v>4</v>
      </c>
      <c r="J418" s="305">
        <f t="shared" si="173"/>
        <v>0</v>
      </c>
      <c r="K418" s="305">
        <f t="shared" si="173"/>
        <v>7</v>
      </c>
      <c r="L418" s="305">
        <f t="shared" si="173"/>
        <v>7</v>
      </c>
      <c r="M418" s="305">
        <f t="shared" si="173"/>
        <v>0</v>
      </c>
      <c r="N418" s="305">
        <f t="shared" si="173"/>
        <v>0</v>
      </c>
      <c r="O418" s="305">
        <f t="shared" si="173"/>
        <v>0</v>
      </c>
      <c r="P418" s="305">
        <f t="shared" si="173"/>
        <v>0</v>
      </c>
      <c r="Q418" s="203" t="s">
        <v>12</v>
      </c>
      <c r="R418" s="307"/>
    </row>
    <row r="419" spans="2:18" ht="22.5" customHeight="1" thickBot="1" x14ac:dyDescent="0.25">
      <c r="B419" s="305">
        <f t="shared" si="155"/>
        <v>14</v>
      </c>
      <c r="C419" s="305">
        <f>O419+M419+K419+I419+G419+E419</f>
        <v>14</v>
      </c>
      <c r="D419" s="305">
        <f>P419+N419+L419+J419+H419+F419</f>
        <v>0</v>
      </c>
      <c r="E419" s="305">
        <v>0</v>
      </c>
      <c r="F419" s="305">
        <v>0</v>
      </c>
      <c r="G419" s="305">
        <v>13</v>
      </c>
      <c r="H419" s="305">
        <v>0</v>
      </c>
      <c r="I419" s="305">
        <v>0</v>
      </c>
      <c r="J419" s="305">
        <v>0</v>
      </c>
      <c r="K419" s="305">
        <v>1</v>
      </c>
      <c r="L419" s="305">
        <v>0</v>
      </c>
      <c r="M419" s="305">
        <v>0</v>
      </c>
      <c r="N419" s="305">
        <v>0</v>
      </c>
      <c r="O419" s="305">
        <v>0</v>
      </c>
      <c r="P419" s="305">
        <v>0</v>
      </c>
      <c r="Q419" s="203" t="s">
        <v>146</v>
      </c>
      <c r="R419" s="306"/>
    </row>
    <row r="420" spans="2:18" ht="22.5" customHeight="1" thickBot="1" x14ac:dyDescent="0.25">
      <c r="B420" s="305">
        <f t="shared" si="155"/>
        <v>28</v>
      </c>
      <c r="C420" s="305">
        <f>O420+M420+K420+I420+G420+E420</f>
        <v>15</v>
      </c>
      <c r="D420" s="305">
        <f>P420+N420+L420+J420+H420+F420</f>
        <v>13</v>
      </c>
      <c r="E420" s="305">
        <v>0</v>
      </c>
      <c r="F420" s="305">
        <v>0</v>
      </c>
      <c r="G420" s="305">
        <v>0</v>
      </c>
      <c r="H420" s="305">
        <v>0</v>
      </c>
      <c r="I420" s="305">
        <v>6</v>
      </c>
      <c r="J420" s="305">
        <v>1</v>
      </c>
      <c r="K420" s="305">
        <v>9</v>
      </c>
      <c r="L420" s="305">
        <v>11</v>
      </c>
      <c r="M420" s="305">
        <v>0</v>
      </c>
      <c r="N420" s="305">
        <v>1</v>
      </c>
      <c r="O420" s="305">
        <v>0</v>
      </c>
      <c r="P420" s="305">
        <v>0</v>
      </c>
      <c r="Q420" s="203" t="s">
        <v>145</v>
      </c>
      <c r="R420" s="306" t="s">
        <v>651</v>
      </c>
    </row>
    <row r="421" spans="2:18" ht="22.5" customHeight="1" thickBot="1" x14ac:dyDescent="0.25">
      <c r="B421" s="305">
        <f t="shared" ref="B421:P421" si="174">SUM(B419:B420)</f>
        <v>42</v>
      </c>
      <c r="C421" s="305">
        <f t="shared" si="174"/>
        <v>29</v>
      </c>
      <c r="D421" s="305">
        <f t="shared" si="174"/>
        <v>13</v>
      </c>
      <c r="E421" s="305">
        <f t="shared" si="174"/>
        <v>0</v>
      </c>
      <c r="F421" s="305">
        <f t="shared" si="174"/>
        <v>0</v>
      </c>
      <c r="G421" s="305">
        <f t="shared" si="174"/>
        <v>13</v>
      </c>
      <c r="H421" s="305">
        <f t="shared" si="174"/>
        <v>0</v>
      </c>
      <c r="I421" s="305">
        <f t="shared" si="174"/>
        <v>6</v>
      </c>
      <c r="J421" s="305">
        <f t="shared" si="174"/>
        <v>1</v>
      </c>
      <c r="K421" s="305">
        <f t="shared" si="174"/>
        <v>10</v>
      </c>
      <c r="L421" s="305">
        <f t="shared" si="174"/>
        <v>11</v>
      </c>
      <c r="M421" s="305">
        <f t="shared" si="174"/>
        <v>0</v>
      </c>
      <c r="N421" s="305">
        <f t="shared" si="174"/>
        <v>1</v>
      </c>
      <c r="O421" s="305">
        <f t="shared" si="174"/>
        <v>0</v>
      </c>
      <c r="P421" s="305">
        <f t="shared" si="174"/>
        <v>0</v>
      </c>
      <c r="Q421" s="203" t="s">
        <v>12</v>
      </c>
      <c r="R421" s="307"/>
    </row>
    <row r="422" spans="2:18" ht="22.5" customHeight="1" thickBot="1" x14ac:dyDescent="0.25">
      <c r="B422" s="305">
        <f t="shared" si="155"/>
        <v>151</v>
      </c>
      <c r="C422" s="305">
        <f>O422+M422+K422+I422+G422+E422</f>
        <v>151</v>
      </c>
      <c r="D422" s="305">
        <f>P422+N422+L422+J422+H422+F422</f>
        <v>0</v>
      </c>
      <c r="E422" s="305">
        <v>1</v>
      </c>
      <c r="F422" s="305">
        <v>0</v>
      </c>
      <c r="G422" s="305">
        <v>23</v>
      </c>
      <c r="H422" s="305">
        <v>0</v>
      </c>
      <c r="I422" s="305">
        <v>58</v>
      </c>
      <c r="J422" s="305">
        <v>0</v>
      </c>
      <c r="K422" s="305">
        <v>63</v>
      </c>
      <c r="L422" s="305">
        <v>0</v>
      </c>
      <c r="M422" s="305">
        <v>3</v>
      </c>
      <c r="N422" s="305">
        <v>0</v>
      </c>
      <c r="O422" s="305">
        <v>3</v>
      </c>
      <c r="P422" s="305">
        <v>0</v>
      </c>
      <c r="Q422" s="203" t="s">
        <v>146</v>
      </c>
      <c r="R422" s="306"/>
    </row>
    <row r="423" spans="2:18" ht="22.5" customHeight="1" thickBot="1" x14ac:dyDescent="0.25">
      <c r="B423" s="305">
        <f t="shared" si="155"/>
        <v>42</v>
      </c>
      <c r="C423" s="305">
        <f>O423+M423+K423+I423+G423+E423</f>
        <v>20</v>
      </c>
      <c r="D423" s="305">
        <f>P423+N423+L423+J423+H423+F423</f>
        <v>22</v>
      </c>
      <c r="E423" s="305">
        <v>7</v>
      </c>
      <c r="F423" s="305">
        <v>0</v>
      </c>
      <c r="G423" s="305">
        <v>0</v>
      </c>
      <c r="H423" s="305">
        <v>0</v>
      </c>
      <c r="I423" s="305">
        <v>1</v>
      </c>
      <c r="J423" s="305">
        <v>0</v>
      </c>
      <c r="K423" s="305">
        <v>8</v>
      </c>
      <c r="L423" s="305">
        <v>9</v>
      </c>
      <c r="M423" s="305">
        <v>3</v>
      </c>
      <c r="N423" s="305">
        <v>8</v>
      </c>
      <c r="O423" s="305">
        <v>1</v>
      </c>
      <c r="P423" s="305">
        <v>5</v>
      </c>
      <c r="Q423" s="203" t="s">
        <v>145</v>
      </c>
      <c r="R423" s="306" t="s">
        <v>765</v>
      </c>
    </row>
    <row r="424" spans="2:18" ht="22.5" customHeight="1" thickBot="1" x14ac:dyDescent="0.25">
      <c r="B424" s="305">
        <f t="shared" ref="B424:P424" si="175">SUM(B422:B423)</f>
        <v>193</v>
      </c>
      <c r="C424" s="305">
        <f t="shared" si="175"/>
        <v>171</v>
      </c>
      <c r="D424" s="305">
        <f t="shared" si="175"/>
        <v>22</v>
      </c>
      <c r="E424" s="305">
        <f t="shared" si="175"/>
        <v>8</v>
      </c>
      <c r="F424" s="305">
        <f t="shared" si="175"/>
        <v>0</v>
      </c>
      <c r="G424" s="305">
        <f t="shared" si="175"/>
        <v>23</v>
      </c>
      <c r="H424" s="305">
        <f t="shared" si="175"/>
        <v>0</v>
      </c>
      <c r="I424" s="305">
        <f t="shared" si="175"/>
        <v>59</v>
      </c>
      <c r="J424" s="305">
        <f t="shared" si="175"/>
        <v>0</v>
      </c>
      <c r="K424" s="305">
        <f t="shared" si="175"/>
        <v>71</v>
      </c>
      <c r="L424" s="305">
        <f t="shared" si="175"/>
        <v>9</v>
      </c>
      <c r="M424" s="305">
        <f t="shared" si="175"/>
        <v>6</v>
      </c>
      <c r="N424" s="305">
        <f t="shared" si="175"/>
        <v>8</v>
      </c>
      <c r="O424" s="305">
        <f t="shared" si="175"/>
        <v>4</v>
      </c>
      <c r="P424" s="305">
        <f t="shared" si="175"/>
        <v>5</v>
      </c>
      <c r="Q424" s="203" t="s">
        <v>12</v>
      </c>
      <c r="R424" s="307"/>
    </row>
    <row r="425" spans="2:18" ht="22.5" customHeight="1" thickBot="1" x14ac:dyDescent="0.25">
      <c r="B425" s="305">
        <f t="shared" si="155"/>
        <v>8</v>
      </c>
      <c r="C425" s="305">
        <f>O425+M425+K425+I425+G425+E425</f>
        <v>8</v>
      </c>
      <c r="D425" s="305">
        <f>P425+N425+L425+J425+H425+F425</f>
        <v>0</v>
      </c>
      <c r="E425" s="305">
        <v>0</v>
      </c>
      <c r="F425" s="305">
        <v>0</v>
      </c>
      <c r="G425" s="305">
        <v>6</v>
      </c>
      <c r="H425" s="305">
        <v>0</v>
      </c>
      <c r="I425" s="305">
        <v>0</v>
      </c>
      <c r="J425" s="305">
        <v>0</v>
      </c>
      <c r="K425" s="305">
        <v>2</v>
      </c>
      <c r="L425" s="305">
        <v>0</v>
      </c>
      <c r="M425" s="305">
        <v>0</v>
      </c>
      <c r="N425" s="305">
        <v>0</v>
      </c>
      <c r="O425" s="305">
        <v>0</v>
      </c>
      <c r="P425" s="305">
        <v>0</v>
      </c>
      <c r="Q425" s="203" t="s">
        <v>146</v>
      </c>
      <c r="R425" s="306"/>
    </row>
    <row r="426" spans="2:18" ht="22.5" customHeight="1" thickBot="1" x14ac:dyDescent="0.25">
      <c r="B426" s="305">
        <f t="shared" si="155"/>
        <v>3</v>
      </c>
      <c r="C426" s="305">
        <f>O426+M426+K426+I426+G426+E426</f>
        <v>3</v>
      </c>
      <c r="D426" s="305">
        <f>P426+N426+L426+J426+H426+F426</f>
        <v>0</v>
      </c>
      <c r="E426" s="305">
        <v>0</v>
      </c>
      <c r="F426" s="305">
        <v>0</v>
      </c>
      <c r="G426" s="305">
        <v>0</v>
      </c>
      <c r="H426" s="305">
        <v>0</v>
      </c>
      <c r="I426" s="305">
        <v>3</v>
      </c>
      <c r="J426" s="305">
        <v>0</v>
      </c>
      <c r="K426" s="305">
        <v>0</v>
      </c>
      <c r="L426" s="305">
        <v>0</v>
      </c>
      <c r="M426" s="305">
        <v>0</v>
      </c>
      <c r="N426" s="305">
        <v>0</v>
      </c>
      <c r="O426" s="305">
        <v>0</v>
      </c>
      <c r="P426" s="305">
        <v>0</v>
      </c>
      <c r="Q426" s="203" t="s">
        <v>145</v>
      </c>
      <c r="R426" s="306" t="s">
        <v>92</v>
      </c>
    </row>
    <row r="427" spans="2:18" ht="22.5" customHeight="1" thickBot="1" x14ac:dyDescent="0.25">
      <c r="B427" s="305">
        <f t="shared" ref="B427:P427" si="176">SUM(B425:B426)</f>
        <v>11</v>
      </c>
      <c r="C427" s="305">
        <f t="shared" si="176"/>
        <v>11</v>
      </c>
      <c r="D427" s="305">
        <f t="shared" si="176"/>
        <v>0</v>
      </c>
      <c r="E427" s="305">
        <f t="shared" si="176"/>
        <v>0</v>
      </c>
      <c r="F427" s="305">
        <f t="shared" si="176"/>
        <v>0</v>
      </c>
      <c r="G427" s="305">
        <f t="shared" si="176"/>
        <v>6</v>
      </c>
      <c r="H427" s="305">
        <f t="shared" si="176"/>
        <v>0</v>
      </c>
      <c r="I427" s="305">
        <f t="shared" si="176"/>
        <v>3</v>
      </c>
      <c r="J427" s="305">
        <f t="shared" si="176"/>
        <v>0</v>
      </c>
      <c r="K427" s="305">
        <f t="shared" si="176"/>
        <v>2</v>
      </c>
      <c r="L427" s="305">
        <f t="shared" si="176"/>
        <v>0</v>
      </c>
      <c r="M427" s="305">
        <f t="shared" si="176"/>
        <v>0</v>
      </c>
      <c r="N427" s="305">
        <f t="shared" si="176"/>
        <v>0</v>
      </c>
      <c r="O427" s="305">
        <f t="shared" si="176"/>
        <v>0</v>
      </c>
      <c r="P427" s="305">
        <f t="shared" si="176"/>
        <v>0</v>
      </c>
      <c r="Q427" s="203" t="s">
        <v>12</v>
      </c>
      <c r="R427" s="307"/>
    </row>
    <row r="428" spans="2:18" ht="22.5" customHeight="1" thickBot="1" x14ac:dyDescent="0.25">
      <c r="B428" s="305">
        <f t="shared" si="155"/>
        <v>5</v>
      </c>
      <c r="C428" s="305">
        <f>O428+M428+K428+I428+G428+E428</f>
        <v>5</v>
      </c>
      <c r="D428" s="305">
        <f>P428+N428+L428+J428+H428+F428</f>
        <v>0</v>
      </c>
      <c r="E428" s="305">
        <v>2</v>
      </c>
      <c r="F428" s="305">
        <v>0</v>
      </c>
      <c r="G428" s="305">
        <v>0</v>
      </c>
      <c r="H428" s="305">
        <v>0</v>
      </c>
      <c r="I428" s="305">
        <v>3</v>
      </c>
      <c r="J428" s="305">
        <v>0</v>
      </c>
      <c r="K428" s="305">
        <v>0</v>
      </c>
      <c r="L428" s="305">
        <v>0</v>
      </c>
      <c r="M428" s="305">
        <v>0</v>
      </c>
      <c r="N428" s="305">
        <v>0</v>
      </c>
      <c r="O428" s="305">
        <v>0</v>
      </c>
      <c r="P428" s="305">
        <v>0</v>
      </c>
      <c r="Q428" s="203" t="s">
        <v>146</v>
      </c>
      <c r="R428" s="306"/>
    </row>
    <row r="429" spans="2:18" ht="22.5" customHeight="1" thickBot="1" x14ac:dyDescent="0.25">
      <c r="B429" s="305">
        <f t="shared" si="155"/>
        <v>1</v>
      </c>
      <c r="C429" s="305">
        <f>O429+M429+K429+I429+G429+E429</f>
        <v>1</v>
      </c>
      <c r="D429" s="305">
        <f>P429+N429+L429+J429+H429+F429</f>
        <v>0</v>
      </c>
      <c r="E429" s="305">
        <v>0</v>
      </c>
      <c r="F429" s="305">
        <v>0</v>
      </c>
      <c r="G429" s="305">
        <v>0</v>
      </c>
      <c r="H429" s="305">
        <v>0</v>
      </c>
      <c r="I429" s="305">
        <v>1</v>
      </c>
      <c r="J429" s="305">
        <v>0</v>
      </c>
      <c r="K429" s="305">
        <v>0</v>
      </c>
      <c r="L429" s="305">
        <v>0</v>
      </c>
      <c r="M429" s="305">
        <v>0</v>
      </c>
      <c r="N429" s="305">
        <v>0</v>
      </c>
      <c r="O429" s="305">
        <v>0</v>
      </c>
      <c r="P429" s="305">
        <v>0</v>
      </c>
      <c r="Q429" s="203" t="s">
        <v>145</v>
      </c>
      <c r="R429" s="306" t="s">
        <v>93</v>
      </c>
    </row>
    <row r="430" spans="2:18" ht="22.5" customHeight="1" thickBot="1" x14ac:dyDescent="0.25">
      <c r="B430" s="305">
        <f t="shared" ref="B430:P430" si="177">SUM(B428:B429)</f>
        <v>6</v>
      </c>
      <c r="C430" s="305">
        <f t="shared" si="177"/>
        <v>6</v>
      </c>
      <c r="D430" s="305">
        <f t="shared" si="177"/>
        <v>0</v>
      </c>
      <c r="E430" s="305">
        <f t="shared" si="177"/>
        <v>2</v>
      </c>
      <c r="F430" s="305">
        <f t="shared" si="177"/>
        <v>0</v>
      </c>
      <c r="G430" s="305">
        <f t="shared" si="177"/>
        <v>0</v>
      </c>
      <c r="H430" s="305">
        <f t="shared" si="177"/>
        <v>0</v>
      </c>
      <c r="I430" s="305">
        <f t="shared" si="177"/>
        <v>4</v>
      </c>
      <c r="J430" s="305">
        <f t="shared" si="177"/>
        <v>0</v>
      </c>
      <c r="K430" s="305">
        <f t="shared" si="177"/>
        <v>0</v>
      </c>
      <c r="L430" s="305">
        <f t="shared" si="177"/>
        <v>0</v>
      </c>
      <c r="M430" s="305">
        <f t="shared" si="177"/>
        <v>0</v>
      </c>
      <c r="N430" s="305">
        <f t="shared" si="177"/>
        <v>0</v>
      </c>
      <c r="O430" s="305">
        <f t="shared" si="177"/>
        <v>0</v>
      </c>
      <c r="P430" s="305">
        <f t="shared" si="177"/>
        <v>0</v>
      </c>
      <c r="Q430" s="203" t="s">
        <v>12</v>
      </c>
      <c r="R430" s="307"/>
    </row>
    <row r="431" spans="2:18" ht="22.5" customHeight="1" thickBot="1" x14ac:dyDescent="0.25">
      <c r="B431" s="305">
        <f t="shared" ref="B431:B453" si="178">SUM(C431:D431)</f>
        <v>16</v>
      </c>
      <c r="C431" s="305">
        <f>O431+M431+K431+I431+G431+E431</f>
        <v>16</v>
      </c>
      <c r="D431" s="305">
        <f>P431+N431+L431+J431+H431+F431</f>
        <v>0</v>
      </c>
      <c r="E431" s="305">
        <v>0</v>
      </c>
      <c r="F431" s="305">
        <v>0</v>
      </c>
      <c r="G431" s="305">
        <v>13</v>
      </c>
      <c r="H431" s="305">
        <v>0</v>
      </c>
      <c r="I431" s="305">
        <v>3</v>
      </c>
      <c r="J431" s="305">
        <v>0</v>
      </c>
      <c r="K431" s="305">
        <v>0</v>
      </c>
      <c r="L431" s="305">
        <v>0</v>
      </c>
      <c r="M431" s="305">
        <v>0</v>
      </c>
      <c r="N431" s="305">
        <v>0</v>
      </c>
      <c r="O431" s="305">
        <v>0</v>
      </c>
      <c r="P431" s="305">
        <v>0</v>
      </c>
      <c r="Q431" s="203" t="s">
        <v>146</v>
      </c>
      <c r="R431" s="306"/>
    </row>
    <row r="432" spans="2:18" ht="22.5" customHeight="1" thickBot="1" x14ac:dyDescent="0.25">
      <c r="B432" s="305">
        <f t="shared" si="178"/>
        <v>14</v>
      </c>
      <c r="C432" s="305">
        <f>O432+M432+K432+I432+G432+E432</f>
        <v>11</v>
      </c>
      <c r="D432" s="305">
        <f>P432+N432+L432+J432+H432+F432</f>
        <v>3</v>
      </c>
      <c r="E432" s="305">
        <v>0</v>
      </c>
      <c r="F432" s="305">
        <v>0</v>
      </c>
      <c r="G432" s="305">
        <v>0</v>
      </c>
      <c r="H432" s="305">
        <v>0</v>
      </c>
      <c r="I432" s="305">
        <v>3</v>
      </c>
      <c r="J432" s="305">
        <v>0</v>
      </c>
      <c r="K432" s="305">
        <v>7</v>
      </c>
      <c r="L432" s="305">
        <v>3</v>
      </c>
      <c r="M432" s="305">
        <v>0</v>
      </c>
      <c r="N432" s="305">
        <v>0</v>
      </c>
      <c r="O432" s="305">
        <v>1</v>
      </c>
      <c r="P432" s="305">
        <v>0</v>
      </c>
      <c r="Q432" s="203" t="s">
        <v>145</v>
      </c>
      <c r="R432" s="306" t="s">
        <v>445</v>
      </c>
    </row>
    <row r="433" spans="2:18" ht="22.5" customHeight="1" thickBot="1" x14ac:dyDescent="0.25">
      <c r="B433" s="305">
        <f t="shared" ref="B433:P433" si="179">SUM(B431:B432)</f>
        <v>30</v>
      </c>
      <c r="C433" s="305">
        <f t="shared" si="179"/>
        <v>27</v>
      </c>
      <c r="D433" s="305">
        <f t="shared" si="179"/>
        <v>3</v>
      </c>
      <c r="E433" s="305">
        <f t="shared" si="179"/>
        <v>0</v>
      </c>
      <c r="F433" s="305">
        <f t="shared" si="179"/>
        <v>0</v>
      </c>
      <c r="G433" s="305">
        <f t="shared" si="179"/>
        <v>13</v>
      </c>
      <c r="H433" s="305">
        <f t="shared" si="179"/>
        <v>0</v>
      </c>
      <c r="I433" s="305">
        <f t="shared" si="179"/>
        <v>6</v>
      </c>
      <c r="J433" s="305">
        <f t="shared" si="179"/>
        <v>0</v>
      </c>
      <c r="K433" s="305">
        <f t="shared" si="179"/>
        <v>7</v>
      </c>
      <c r="L433" s="305">
        <f t="shared" si="179"/>
        <v>3</v>
      </c>
      <c r="M433" s="305">
        <f t="shared" si="179"/>
        <v>0</v>
      </c>
      <c r="N433" s="305">
        <f t="shared" si="179"/>
        <v>0</v>
      </c>
      <c r="O433" s="305">
        <f t="shared" si="179"/>
        <v>1</v>
      </c>
      <c r="P433" s="305">
        <f t="shared" si="179"/>
        <v>0</v>
      </c>
      <c r="Q433" s="203" t="s">
        <v>12</v>
      </c>
      <c r="R433" s="307"/>
    </row>
    <row r="434" spans="2:18" ht="22.5" customHeight="1" thickBot="1" x14ac:dyDescent="0.25">
      <c r="B434" s="305">
        <f t="shared" si="178"/>
        <v>137</v>
      </c>
      <c r="C434" s="305">
        <f>O434+M434+K434+I434+G434+E434</f>
        <v>137</v>
      </c>
      <c r="D434" s="305">
        <f>P434+N434+L434+J434+H434+F434</f>
        <v>0</v>
      </c>
      <c r="E434" s="305">
        <v>0</v>
      </c>
      <c r="F434" s="305">
        <v>0</v>
      </c>
      <c r="G434" s="305">
        <v>25</v>
      </c>
      <c r="H434" s="305">
        <v>0</v>
      </c>
      <c r="I434" s="305">
        <v>56</v>
      </c>
      <c r="J434" s="305">
        <v>0</v>
      </c>
      <c r="K434" s="305">
        <v>48</v>
      </c>
      <c r="L434" s="305">
        <v>0</v>
      </c>
      <c r="M434" s="305">
        <v>7</v>
      </c>
      <c r="N434" s="305">
        <v>0</v>
      </c>
      <c r="O434" s="305">
        <v>1</v>
      </c>
      <c r="P434" s="305">
        <v>0</v>
      </c>
      <c r="Q434" s="203" t="s">
        <v>146</v>
      </c>
      <c r="R434" s="306"/>
    </row>
    <row r="435" spans="2:18" ht="22.5" customHeight="1" thickBot="1" x14ac:dyDescent="0.25">
      <c r="B435" s="305">
        <f t="shared" si="178"/>
        <v>39</v>
      </c>
      <c r="C435" s="305">
        <f>O435+M435+K435+I435+G435+E435</f>
        <v>21</v>
      </c>
      <c r="D435" s="305">
        <f>P435+N435+L435+J435+H435+F435</f>
        <v>18</v>
      </c>
      <c r="E435" s="305">
        <v>0</v>
      </c>
      <c r="F435" s="305">
        <v>0</v>
      </c>
      <c r="G435" s="305">
        <v>0</v>
      </c>
      <c r="H435" s="305">
        <v>0</v>
      </c>
      <c r="I435" s="305">
        <v>1</v>
      </c>
      <c r="J435" s="305">
        <v>0</v>
      </c>
      <c r="K435" s="305">
        <v>6</v>
      </c>
      <c r="L435" s="305">
        <v>8</v>
      </c>
      <c r="M435" s="305">
        <v>6</v>
      </c>
      <c r="N435" s="305">
        <v>3</v>
      </c>
      <c r="O435" s="305">
        <v>8</v>
      </c>
      <c r="P435" s="305">
        <v>7</v>
      </c>
      <c r="Q435" s="203" t="s">
        <v>145</v>
      </c>
      <c r="R435" s="306" t="s">
        <v>446</v>
      </c>
    </row>
    <row r="436" spans="2:18" ht="22.5" customHeight="1" thickBot="1" x14ac:dyDescent="0.25">
      <c r="B436" s="305">
        <f t="shared" ref="B436:P436" si="180">SUM(B434:B435)</f>
        <v>176</v>
      </c>
      <c r="C436" s="305">
        <f t="shared" si="180"/>
        <v>158</v>
      </c>
      <c r="D436" s="305">
        <f t="shared" si="180"/>
        <v>18</v>
      </c>
      <c r="E436" s="305">
        <f t="shared" si="180"/>
        <v>0</v>
      </c>
      <c r="F436" s="305">
        <f t="shared" si="180"/>
        <v>0</v>
      </c>
      <c r="G436" s="305">
        <f t="shared" si="180"/>
        <v>25</v>
      </c>
      <c r="H436" s="305">
        <f t="shared" si="180"/>
        <v>0</v>
      </c>
      <c r="I436" s="305">
        <f t="shared" si="180"/>
        <v>57</v>
      </c>
      <c r="J436" s="305">
        <f t="shared" si="180"/>
        <v>0</v>
      </c>
      <c r="K436" s="305">
        <f t="shared" si="180"/>
        <v>54</v>
      </c>
      <c r="L436" s="305">
        <f t="shared" si="180"/>
        <v>8</v>
      </c>
      <c r="M436" s="305">
        <f t="shared" si="180"/>
        <v>13</v>
      </c>
      <c r="N436" s="305">
        <f t="shared" si="180"/>
        <v>3</v>
      </c>
      <c r="O436" s="305">
        <f t="shared" si="180"/>
        <v>9</v>
      </c>
      <c r="P436" s="305">
        <f t="shared" si="180"/>
        <v>7</v>
      </c>
      <c r="Q436" s="203" t="s">
        <v>12</v>
      </c>
      <c r="R436" s="307"/>
    </row>
    <row r="437" spans="2:18" ht="22.5" customHeight="1" thickBot="1" x14ac:dyDescent="0.25">
      <c r="B437" s="305">
        <f t="shared" si="178"/>
        <v>7</v>
      </c>
      <c r="C437" s="305">
        <f>O437+M437+K437+I437+G437+E437</f>
        <v>7</v>
      </c>
      <c r="D437" s="305">
        <f>P437+N437+L437+J437+H437+F437</f>
        <v>0</v>
      </c>
      <c r="E437" s="305">
        <v>0</v>
      </c>
      <c r="F437" s="305">
        <v>0</v>
      </c>
      <c r="G437" s="305">
        <v>7</v>
      </c>
      <c r="H437" s="305">
        <v>0</v>
      </c>
      <c r="I437" s="305">
        <v>0</v>
      </c>
      <c r="J437" s="305">
        <v>0</v>
      </c>
      <c r="K437" s="305">
        <v>0</v>
      </c>
      <c r="L437" s="305">
        <v>0</v>
      </c>
      <c r="M437" s="305">
        <v>0</v>
      </c>
      <c r="N437" s="305">
        <v>0</v>
      </c>
      <c r="O437" s="305">
        <v>0</v>
      </c>
      <c r="P437" s="305">
        <v>0</v>
      </c>
      <c r="Q437" s="203" t="s">
        <v>146</v>
      </c>
      <c r="R437" s="306"/>
    </row>
    <row r="438" spans="2:18" ht="22.5" customHeight="1" thickBot="1" x14ac:dyDescent="0.25">
      <c r="B438" s="305">
        <f t="shared" si="178"/>
        <v>19</v>
      </c>
      <c r="C438" s="305">
        <f>O438+M438+K438+I438+G438+E438</f>
        <v>13</v>
      </c>
      <c r="D438" s="305">
        <f>P438+N438+L438+J438+H438+F438</f>
        <v>6</v>
      </c>
      <c r="E438" s="305">
        <v>0</v>
      </c>
      <c r="F438" s="305">
        <v>0</v>
      </c>
      <c r="G438" s="305">
        <v>0</v>
      </c>
      <c r="H438" s="305">
        <v>0</v>
      </c>
      <c r="I438" s="305">
        <v>8</v>
      </c>
      <c r="J438" s="305">
        <v>1</v>
      </c>
      <c r="K438" s="305">
        <v>5</v>
      </c>
      <c r="L438" s="305">
        <v>5</v>
      </c>
      <c r="M438" s="305">
        <v>0</v>
      </c>
      <c r="N438" s="305">
        <v>0</v>
      </c>
      <c r="O438" s="305">
        <v>0</v>
      </c>
      <c r="P438" s="305">
        <v>0</v>
      </c>
      <c r="Q438" s="203" t="s">
        <v>145</v>
      </c>
      <c r="R438" s="306" t="s">
        <v>447</v>
      </c>
    </row>
    <row r="439" spans="2:18" ht="22.5" customHeight="1" thickBot="1" x14ac:dyDescent="0.25">
      <c r="B439" s="305">
        <f t="shared" ref="B439:P439" si="181">SUM(B437:B438)</f>
        <v>26</v>
      </c>
      <c r="C439" s="305">
        <f t="shared" si="181"/>
        <v>20</v>
      </c>
      <c r="D439" s="305">
        <f t="shared" si="181"/>
        <v>6</v>
      </c>
      <c r="E439" s="305">
        <f t="shared" si="181"/>
        <v>0</v>
      </c>
      <c r="F439" s="305">
        <f t="shared" si="181"/>
        <v>0</v>
      </c>
      <c r="G439" s="305">
        <f t="shared" si="181"/>
        <v>7</v>
      </c>
      <c r="H439" s="305">
        <f t="shared" si="181"/>
        <v>0</v>
      </c>
      <c r="I439" s="305">
        <f t="shared" si="181"/>
        <v>8</v>
      </c>
      <c r="J439" s="305">
        <f t="shared" si="181"/>
        <v>1</v>
      </c>
      <c r="K439" s="305">
        <f t="shared" si="181"/>
        <v>5</v>
      </c>
      <c r="L439" s="305">
        <f t="shared" si="181"/>
        <v>5</v>
      </c>
      <c r="M439" s="305">
        <f t="shared" si="181"/>
        <v>0</v>
      </c>
      <c r="N439" s="305">
        <f t="shared" si="181"/>
        <v>0</v>
      </c>
      <c r="O439" s="305">
        <f t="shared" si="181"/>
        <v>0</v>
      </c>
      <c r="P439" s="305">
        <f t="shared" si="181"/>
        <v>0</v>
      </c>
      <c r="Q439" s="203" t="s">
        <v>12</v>
      </c>
      <c r="R439" s="307"/>
    </row>
    <row r="440" spans="2:18" ht="22.5" customHeight="1" thickBot="1" x14ac:dyDescent="0.25">
      <c r="B440" s="305">
        <f t="shared" si="178"/>
        <v>55</v>
      </c>
      <c r="C440" s="305">
        <f>O440+M440+K440+I440+G440+E440</f>
        <v>55</v>
      </c>
      <c r="D440" s="305">
        <f>P440+N440+L440+J440+H440+F440</f>
        <v>0</v>
      </c>
      <c r="E440" s="305">
        <v>5</v>
      </c>
      <c r="F440" s="305">
        <v>0</v>
      </c>
      <c r="G440" s="305">
        <v>42</v>
      </c>
      <c r="H440" s="305">
        <v>0</v>
      </c>
      <c r="I440" s="305">
        <v>8</v>
      </c>
      <c r="J440" s="305">
        <v>0</v>
      </c>
      <c r="K440" s="305">
        <v>0</v>
      </c>
      <c r="L440" s="305">
        <v>0</v>
      </c>
      <c r="M440" s="305">
        <v>0</v>
      </c>
      <c r="N440" s="305">
        <v>0</v>
      </c>
      <c r="O440" s="305">
        <v>0</v>
      </c>
      <c r="P440" s="305">
        <v>0</v>
      </c>
      <c r="Q440" s="203" t="s">
        <v>146</v>
      </c>
      <c r="R440" s="306"/>
    </row>
    <row r="441" spans="2:18" ht="22.5" customHeight="1" thickBot="1" x14ac:dyDescent="0.25">
      <c r="B441" s="305">
        <f t="shared" si="178"/>
        <v>32</v>
      </c>
      <c r="C441" s="305">
        <f>O441+M441+K441+I441+G441+E441</f>
        <v>25</v>
      </c>
      <c r="D441" s="305">
        <f>P441+N441+L441+J441+H441+F441</f>
        <v>7</v>
      </c>
      <c r="E441" s="305">
        <v>0</v>
      </c>
      <c r="F441" s="305">
        <v>0</v>
      </c>
      <c r="G441" s="305">
        <v>1</v>
      </c>
      <c r="H441" s="305">
        <v>0</v>
      </c>
      <c r="I441" s="305">
        <v>1</v>
      </c>
      <c r="J441" s="305">
        <v>0</v>
      </c>
      <c r="K441" s="305">
        <v>20</v>
      </c>
      <c r="L441" s="305">
        <v>5</v>
      </c>
      <c r="M441" s="305">
        <v>3</v>
      </c>
      <c r="N441" s="305">
        <v>1</v>
      </c>
      <c r="O441" s="305">
        <v>0</v>
      </c>
      <c r="P441" s="305">
        <v>1</v>
      </c>
      <c r="Q441" s="203" t="s">
        <v>145</v>
      </c>
      <c r="R441" s="306" t="s">
        <v>652</v>
      </c>
    </row>
    <row r="442" spans="2:18" ht="22.5" customHeight="1" thickBot="1" x14ac:dyDescent="0.25">
      <c r="B442" s="305">
        <f t="shared" ref="B442:P442" si="182">SUM(B440:B441)</f>
        <v>87</v>
      </c>
      <c r="C442" s="305">
        <f t="shared" si="182"/>
        <v>80</v>
      </c>
      <c r="D442" s="305">
        <f t="shared" si="182"/>
        <v>7</v>
      </c>
      <c r="E442" s="305">
        <f t="shared" si="182"/>
        <v>5</v>
      </c>
      <c r="F442" s="305">
        <f t="shared" si="182"/>
        <v>0</v>
      </c>
      <c r="G442" s="305">
        <f t="shared" si="182"/>
        <v>43</v>
      </c>
      <c r="H442" s="305">
        <f t="shared" si="182"/>
        <v>0</v>
      </c>
      <c r="I442" s="305">
        <f t="shared" si="182"/>
        <v>9</v>
      </c>
      <c r="J442" s="305">
        <f t="shared" si="182"/>
        <v>0</v>
      </c>
      <c r="K442" s="305">
        <f t="shared" si="182"/>
        <v>20</v>
      </c>
      <c r="L442" s="305">
        <f t="shared" si="182"/>
        <v>5</v>
      </c>
      <c r="M442" s="305">
        <f t="shared" si="182"/>
        <v>3</v>
      </c>
      <c r="N442" s="305">
        <f t="shared" si="182"/>
        <v>1</v>
      </c>
      <c r="O442" s="305">
        <f t="shared" si="182"/>
        <v>0</v>
      </c>
      <c r="P442" s="305">
        <f t="shared" si="182"/>
        <v>1</v>
      </c>
      <c r="Q442" s="203" t="s">
        <v>12</v>
      </c>
      <c r="R442" s="307"/>
    </row>
    <row r="443" spans="2:18" ht="22.5" customHeight="1" thickBot="1" x14ac:dyDescent="0.25">
      <c r="B443" s="305">
        <f t="shared" si="178"/>
        <v>29</v>
      </c>
      <c r="C443" s="305">
        <f>O443+M443+K443+I443+G443+E443</f>
        <v>17</v>
      </c>
      <c r="D443" s="305">
        <f>P443+N443+L443+J443+H443+F443</f>
        <v>12</v>
      </c>
      <c r="E443" s="305">
        <v>7</v>
      </c>
      <c r="F443" s="305">
        <v>5</v>
      </c>
      <c r="G443" s="305">
        <v>6</v>
      </c>
      <c r="H443" s="305">
        <v>1</v>
      </c>
      <c r="I443" s="305">
        <v>3</v>
      </c>
      <c r="J443" s="305">
        <v>6</v>
      </c>
      <c r="K443" s="305">
        <v>1</v>
      </c>
      <c r="L443" s="305">
        <v>0</v>
      </c>
      <c r="M443" s="305">
        <v>0</v>
      </c>
      <c r="N443" s="305">
        <v>0</v>
      </c>
      <c r="O443" s="305">
        <v>0</v>
      </c>
      <c r="P443" s="305">
        <v>0</v>
      </c>
      <c r="Q443" s="203" t="s">
        <v>146</v>
      </c>
      <c r="R443" s="306"/>
    </row>
    <row r="444" spans="2:18" ht="22.5" customHeight="1" thickBot="1" x14ac:dyDescent="0.25">
      <c r="B444" s="305">
        <f t="shared" si="178"/>
        <v>35</v>
      </c>
      <c r="C444" s="305">
        <f>O444+M444+K444+I444+G444+E444</f>
        <v>10</v>
      </c>
      <c r="D444" s="305">
        <f>P444+N444+L444+J444+H444+F444</f>
        <v>25</v>
      </c>
      <c r="E444" s="305">
        <v>6</v>
      </c>
      <c r="F444" s="305">
        <v>14</v>
      </c>
      <c r="G444" s="305">
        <v>0</v>
      </c>
      <c r="H444" s="305">
        <v>0</v>
      </c>
      <c r="I444" s="305">
        <v>2</v>
      </c>
      <c r="J444" s="305">
        <v>4</v>
      </c>
      <c r="K444" s="305">
        <v>2</v>
      </c>
      <c r="L444" s="305">
        <v>7</v>
      </c>
      <c r="M444" s="305">
        <v>0</v>
      </c>
      <c r="N444" s="305">
        <v>0</v>
      </c>
      <c r="O444" s="305">
        <v>0</v>
      </c>
      <c r="P444" s="305">
        <v>0</v>
      </c>
      <c r="Q444" s="203" t="s">
        <v>145</v>
      </c>
      <c r="R444" s="306" t="s">
        <v>264</v>
      </c>
    </row>
    <row r="445" spans="2:18" ht="22.5" customHeight="1" thickBot="1" x14ac:dyDescent="0.25">
      <c r="B445" s="305">
        <f t="shared" ref="B445:P445" si="183">SUM(B443:B444)</f>
        <v>64</v>
      </c>
      <c r="C445" s="305">
        <f t="shared" si="183"/>
        <v>27</v>
      </c>
      <c r="D445" s="305">
        <f t="shared" si="183"/>
        <v>37</v>
      </c>
      <c r="E445" s="305">
        <f t="shared" si="183"/>
        <v>13</v>
      </c>
      <c r="F445" s="305">
        <f t="shared" si="183"/>
        <v>19</v>
      </c>
      <c r="G445" s="305">
        <f t="shared" si="183"/>
        <v>6</v>
      </c>
      <c r="H445" s="305">
        <f t="shared" si="183"/>
        <v>1</v>
      </c>
      <c r="I445" s="305">
        <f t="shared" si="183"/>
        <v>5</v>
      </c>
      <c r="J445" s="305">
        <f t="shared" si="183"/>
        <v>10</v>
      </c>
      <c r="K445" s="305">
        <f t="shared" si="183"/>
        <v>3</v>
      </c>
      <c r="L445" s="305">
        <f t="shared" si="183"/>
        <v>7</v>
      </c>
      <c r="M445" s="305">
        <f t="shared" si="183"/>
        <v>0</v>
      </c>
      <c r="N445" s="305">
        <f t="shared" si="183"/>
        <v>0</v>
      </c>
      <c r="O445" s="305">
        <f t="shared" si="183"/>
        <v>0</v>
      </c>
      <c r="P445" s="305">
        <f t="shared" si="183"/>
        <v>0</v>
      </c>
      <c r="Q445" s="203" t="s">
        <v>12</v>
      </c>
      <c r="R445" s="307"/>
    </row>
    <row r="446" spans="2:18" ht="22.5" customHeight="1" thickBot="1" x14ac:dyDescent="0.25">
      <c r="B446" s="305">
        <f t="shared" si="178"/>
        <v>3</v>
      </c>
      <c r="C446" s="305">
        <f>O446+M446+K446+I446+G446+E446</f>
        <v>3</v>
      </c>
      <c r="D446" s="305">
        <f>P446+N446+L446+J446+H446+F446</f>
        <v>0</v>
      </c>
      <c r="E446" s="305">
        <v>0</v>
      </c>
      <c r="F446" s="305">
        <v>0</v>
      </c>
      <c r="G446" s="305">
        <v>3</v>
      </c>
      <c r="H446" s="305">
        <v>0</v>
      </c>
      <c r="I446" s="305">
        <v>0</v>
      </c>
      <c r="J446" s="305">
        <v>0</v>
      </c>
      <c r="K446" s="305">
        <v>0</v>
      </c>
      <c r="L446" s="305">
        <v>0</v>
      </c>
      <c r="M446" s="305">
        <v>0</v>
      </c>
      <c r="N446" s="305">
        <v>0</v>
      </c>
      <c r="O446" s="305">
        <v>0</v>
      </c>
      <c r="P446" s="305">
        <v>0</v>
      </c>
      <c r="Q446" s="203" t="s">
        <v>146</v>
      </c>
      <c r="R446" s="306"/>
    </row>
    <row r="447" spans="2:18" ht="22.5" customHeight="1" thickBot="1" x14ac:dyDescent="0.25">
      <c r="B447" s="305">
        <f t="shared" si="178"/>
        <v>9</v>
      </c>
      <c r="C447" s="305">
        <f>O447+M447+K447+I447+G447+E447</f>
        <v>9</v>
      </c>
      <c r="D447" s="305">
        <f>P447+N447+L447+J447+H447+F447</f>
        <v>0</v>
      </c>
      <c r="E447" s="305">
        <v>0</v>
      </c>
      <c r="F447" s="305">
        <v>0</v>
      </c>
      <c r="G447" s="305">
        <v>7</v>
      </c>
      <c r="H447" s="305">
        <v>0</v>
      </c>
      <c r="I447" s="305">
        <v>0</v>
      </c>
      <c r="J447" s="305">
        <v>0</v>
      </c>
      <c r="K447" s="305">
        <v>2</v>
      </c>
      <c r="L447" s="305">
        <v>0</v>
      </c>
      <c r="M447" s="305">
        <v>0</v>
      </c>
      <c r="N447" s="305">
        <v>0</v>
      </c>
      <c r="O447" s="305">
        <v>0</v>
      </c>
      <c r="P447" s="305">
        <v>0</v>
      </c>
      <c r="Q447" s="203" t="s">
        <v>145</v>
      </c>
      <c r="R447" s="306" t="s">
        <v>265</v>
      </c>
    </row>
    <row r="448" spans="2:18" ht="22.5" customHeight="1" thickBot="1" x14ac:dyDescent="0.25">
      <c r="B448" s="305">
        <f t="shared" ref="B448:P448" si="184">SUM(B446:B447)</f>
        <v>12</v>
      </c>
      <c r="C448" s="305">
        <f t="shared" si="184"/>
        <v>12</v>
      </c>
      <c r="D448" s="305">
        <f t="shared" si="184"/>
        <v>0</v>
      </c>
      <c r="E448" s="305">
        <f t="shared" si="184"/>
        <v>0</v>
      </c>
      <c r="F448" s="305">
        <f t="shared" si="184"/>
        <v>0</v>
      </c>
      <c r="G448" s="305">
        <f t="shared" si="184"/>
        <v>10</v>
      </c>
      <c r="H448" s="305">
        <f t="shared" si="184"/>
        <v>0</v>
      </c>
      <c r="I448" s="305">
        <f t="shared" si="184"/>
        <v>0</v>
      </c>
      <c r="J448" s="305">
        <f t="shared" si="184"/>
        <v>0</v>
      </c>
      <c r="K448" s="305">
        <f t="shared" si="184"/>
        <v>2</v>
      </c>
      <c r="L448" s="305">
        <f t="shared" si="184"/>
        <v>0</v>
      </c>
      <c r="M448" s="305">
        <f t="shared" si="184"/>
        <v>0</v>
      </c>
      <c r="N448" s="305">
        <f t="shared" si="184"/>
        <v>0</v>
      </c>
      <c r="O448" s="305">
        <f t="shared" si="184"/>
        <v>0</v>
      </c>
      <c r="P448" s="305">
        <f t="shared" si="184"/>
        <v>0</v>
      </c>
      <c r="Q448" s="203" t="s">
        <v>12</v>
      </c>
      <c r="R448" s="307"/>
    </row>
    <row r="449" spans="2:18" ht="22.5" customHeight="1" thickBot="1" x14ac:dyDescent="0.25">
      <c r="B449" s="305">
        <f t="shared" si="178"/>
        <v>10</v>
      </c>
      <c r="C449" s="305">
        <f>O449+M449+K449+I449+G449+E449</f>
        <v>5</v>
      </c>
      <c r="D449" s="305">
        <f>P449+N449+L449+J449+H449+F449</f>
        <v>5</v>
      </c>
      <c r="E449" s="305">
        <v>1</v>
      </c>
      <c r="F449" s="305">
        <v>4</v>
      </c>
      <c r="G449" s="305">
        <v>1</v>
      </c>
      <c r="H449" s="305">
        <v>1</v>
      </c>
      <c r="I449" s="305">
        <v>3</v>
      </c>
      <c r="J449" s="305">
        <v>0</v>
      </c>
      <c r="K449" s="305">
        <v>0</v>
      </c>
      <c r="L449" s="305">
        <v>0</v>
      </c>
      <c r="M449" s="305">
        <v>0</v>
      </c>
      <c r="N449" s="305">
        <v>0</v>
      </c>
      <c r="O449" s="305">
        <v>0</v>
      </c>
      <c r="P449" s="305">
        <v>0</v>
      </c>
      <c r="Q449" s="203" t="s">
        <v>146</v>
      </c>
      <c r="R449" s="306"/>
    </row>
    <row r="450" spans="2:18" ht="22.5" customHeight="1" thickBot="1" x14ac:dyDescent="0.25">
      <c r="B450" s="305">
        <f t="shared" si="178"/>
        <v>15</v>
      </c>
      <c r="C450" s="305">
        <f>O450+M450+K450+I450+G450+E450</f>
        <v>3</v>
      </c>
      <c r="D450" s="305">
        <f>P450+N450+L450+J450+H450+F450</f>
        <v>12</v>
      </c>
      <c r="E450" s="305">
        <v>2</v>
      </c>
      <c r="F450" s="305">
        <v>4</v>
      </c>
      <c r="G450" s="305">
        <v>0</v>
      </c>
      <c r="H450" s="305">
        <v>0</v>
      </c>
      <c r="I450" s="305">
        <v>0</v>
      </c>
      <c r="J450" s="305">
        <v>2</v>
      </c>
      <c r="K450" s="305">
        <v>1</v>
      </c>
      <c r="L450" s="305">
        <v>6</v>
      </c>
      <c r="M450" s="305">
        <v>0</v>
      </c>
      <c r="N450" s="305">
        <v>0</v>
      </c>
      <c r="O450" s="305">
        <v>0</v>
      </c>
      <c r="P450" s="305">
        <v>0</v>
      </c>
      <c r="Q450" s="203" t="s">
        <v>145</v>
      </c>
      <c r="R450" s="306" t="s">
        <v>266</v>
      </c>
    </row>
    <row r="451" spans="2:18" ht="22.5" customHeight="1" thickBot="1" x14ac:dyDescent="0.25">
      <c r="B451" s="305">
        <f t="shared" ref="B451:P451" si="185">SUM(B449:B450)</f>
        <v>25</v>
      </c>
      <c r="C451" s="305">
        <f t="shared" si="185"/>
        <v>8</v>
      </c>
      <c r="D451" s="305">
        <f t="shared" si="185"/>
        <v>17</v>
      </c>
      <c r="E451" s="305">
        <f t="shared" si="185"/>
        <v>3</v>
      </c>
      <c r="F451" s="305">
        <f t="shared" si="185"/>
        <v>8</v>
      </c>
      <c r="G451" s="305">
        <f t="shared" si="185"/>
        <v>1</v>
      </c>
      <c r="H451" s="305">
        <f t="shared" si="185"/>
        <v>1</v>
      </c>
      <c r="I451" s="305">
        <f t="shared" si="185"/>
        <v>3</v>
      </c>
      <c r="J451" s="305">
        <f t="shared" si="185"/>
        <v>2</v>
      </c>
      <c r="K451" s="305">
        <f t="shared" si="185"/>
        <v>1</v>
      </c>
      <c r="L451" s="305">
        <f t="shared" si="185"/>
        <v>6</v>
      </c>
      <c r="M451" s="305">
        <f t="shared" si="185"/>
        <v>0</v>
      </c>
      <c r="N451" s="305">
        <f t="shared" si="185"/>
        <v>0</v>
      </c>
      <c r="O451" s="305">
        <f t="shared" si="185"/>
        <v>0</v>
      </c>
      <c r="P451" s="305">
        <f t="shared" si="185"/>
        <v>0</v>
      </c>
      <c r="Q451" s="203" t="s">
        <v>12</v>
      </c>
      <c r="R451" s="307"/>
    </row>
    <row r="452" spans="2:18" ht="22.5" customHeight="1" thickBot="1" x14ac:dyDescent="0.25">
      <c r="B452" s="305">
        <f t="shared" si="178"/>
        <v>10</v>
      </c>
      <c r="C452" s="305">
        <f>O452+M452+K452+I452+G452+E452</f>
        <v>10</v>
      </c>
      <c r="D452" s="305">
        <f>P452+N452+L452+J452+H452+F452</f>
        <v>0</v>
      </c>
      <c r="E452" s="305">
        <v>3</v>
      </c>
      <c r="F452" s="305">
        <v>0</v>
      </c>
      <c r="G452" s="305">
        <v>7</v>
      </c>
      <c r="H452" s="305">
        <v>0</v>
      </c>
      <c r="I452" s="305">
        <v>0</v>
      </c>
      <c r="J452" s="305">
        <v>0</v>
      </c>
      <c r="K452" s="305">
        <v>0</v>
      </c>
      <c r="L452" s="305">
        <v>0</v>
      </c>
      <c r="M452" s="305">
        <v>0</v>
      </c>
      <c r="N452" s="305">
        <v>0</v>
      </c>
      <c r="O452" s="305">
        <v>0</v>
      </c>
      <c r="P452" s="305">
        <v>0</v>
      </c>
      <c r="Q452" s="203" t="s">
        <v>146</v>
      </c>
      <c r="R452" s="306"/>
    </row>
    <row r="453" spans="2:18" ht="22.5" customHeight="1" thickBot="1" x14ac:dyDescent="0.25">
      <c r="B453" s="305">
        <f t="shared" si="178"/>
        <v>7</v>
      </c>
      <c r="C453" s="305">
        <f>O453+M453+K453+I453+G453+E453</f>
        <v>4</v>
      </c>
      <c r="D453" s="305">
        <f>P453+N453+L453+J453+H453+F453</f>
        <v>3</v>
      </c>
      <c r="E453" s="305">
        <v>2</v>
      </c>
      <c r="F453" s="305">
        <v>3</v>
      </c>
      <c r="G453" s="305">
        <v>0</v>
      </c>
      <c r="H453" s="305">
        <v>0</v>
      </c>
      <c r="I453" s="305">
        <v>1</v>
      </c>
      <c r="J453" s="305">
        <v>0</v>
      </c>
      <c r="K453" s="305">
        <v>1</v>
      </c>
      <c r="L453" s="305">
        <v>0</v>
      </c>
      <c r="M453" s="305">
        <v>0</v>
      </c>
      <c r="N453" s="305">
        <v>0</v>
      </c>
      <c r="O453" s="305">
        <v>0</v>
      </c>
      <c r="P453" s="305">
        <v>0</v>
      </c>
      <c r="Q453" s="203" t="s">
        <v>145</v>
      </c>
      <c r="R453" s="306" t="s">
        <v>267</v>
      </c>
    </row>
    <row r="454" spans="2:18" ht="22.5" customHeight="1" thickBot="1" x14ac:dyDescent="0.25">
      <c r="B454" s="305">
        <f t="shared" ref="B454:P454" si="186">SUM(B452:B453)</f>
        <v>17</v>
      </c>
      <c r="C454" s="305">
        <f t="shared" si="186"/>
        <v>14</v>
      </c>
      <c r="D454" s="305">
        <f t="shared" si="186"/>
        <v>3</v>
      </c>
      <c r="E454" s="305">
        <f t="shared" si="186"/>
        <v>5</v>
      </c>
      <c r="F454" s="305">
        <f t="shared" si="186"/>
        <v>3</v>
      </c>
      <c r="G454" s="305">
        <f t="shared" si="186"/>
        <v>7</v>
      </c>
      <c r="H454" s="305">
        <f t="shared" si="186"/>
        <v>0</v>
      </c>
      <c r="I454" s="305">
        <f t="shared" si="186"/>
        <v>1</v>
      </c>
      <c r="J454" s="305">
        <f t="shared" si="186"/>
        <v>0</v>
      </c>
      <c r="K454" s="305">
        <f t="shared" si="186"/>
        <v>1</v>
      </c>
      <c r="L454" s="305">
        <f t="shared" si="186"/>
        <v>0</v>
      </c>
      <c r="M454" s="305">
        <f t="shared" si="186"/>
        <v>0</v>
      </c>
      <c r="N454" s="305">
        <f t="shared" si="186"/>
        <v>0</v>
      </c>
      <c r="O454" s="305">
        <f t="shared" si="186"/>
        <v>0</v>
      </c>
      <c r="P454" s="305">
        <f t="shared" si="186"/>
        <v>0</v>
      </c>
      <c r="Q454" s="203" t="s">
        <v>12</v>
      </c>
      <c r="R454" s="307"/>
    </row>
    <row r="455" spans="2:18" ht="22.5" customHeight="1" thickBot="1" x14ac:dyDescent="0.25">
      <c r="B455" s="305">
        <f t="shared" ref="B455:P457" si="187">B365+B368+B371+B374+B377+B380+B383+B386+B389+B392+B395+B398+B401+B404+B407+B410+B413+B416+B419+B422+B425+B428+B431+B434+B437+B440+B443+B446+B449+B452</f>
        <v>1476</v>
      </c>
      <c r="C455" s="305">
        <f t="shared" si="187"/>
        <v>807</v>
      </c>
      <c r="D455" s="305">
        <f t="shared" si="187"/>
        <v>669</v>
      </c>
      <c r="E455" s="305">
        <f t="shared" si="187"/>
        <v>24</v>
      </c>
      <c r="F455" s="305">
        <f t="shared" si="187"/>
        <v>9</v>
      </c>
      <c r="G455" s="305">
        <f t="shared" si="187"/>
        <v>388</v>
      </c>
      <c r="H455" s="305">
        <f t="shared" si="187"/>
        <v>210</v>
      </c>
      <c r="I455" s="305">
        <f t="shared" si="187"/>
        <v>214</v>
      </c>
      <c r="J455" s="305">
        <f t="shared" si="187"/>
        <v>131</v>
      </c>
      <c r="K455" s="305">
        <f t="shared" si="187"/>
        <v>147</v>
      </c>
      <c r="L455" s="305">
        <f t="shared" si="187"/>
        <v>159</v>
      </c>
      <c r="M455" s="305">
        <f t="shared" si="187"/>
        <v>26</v>
      </c>
      <c r="N455" s="305">
        <f t="shared" si="187"/>
        <v>100</v>
      </c>
      <c r="O455" s="305">
        <f t="shared" si="187"/>
        <v>8</v>
      </c>
      <c r="P455" s="305">
        <f t="shared" si="187"/>
        <v>60</v>
      </c>
      <c r="Q455" s="203" t="s">
        <v>146</v>
      </c>
      <c r="R455" s="280"/>
    </row>
    <row r="456" spans="2:18" ht="22.5" customHeight="1" thickBot="1" x14ac:dyDescent="0.25">
      <c r="B456" s="305">
        <f t="shared" si="187"/>
        <v>882</v>
      </c>
      <c r="C456" s="305">
        <f t="shared" si="187"/>
        <v>308</v>
      </c>
      <c r="D456" s="305">
        <f t="shared" si="187"/>
        <v>574</v>
      </c>
      <c r="E456" s="305">
        <f t="shared" si="187"/>
        <v>17</v>
      </c>
      <c r="F456" s="305">
        <f t="shared" si="187"/>
        <v>31</v>
      </c>
      <c r="G456" s="305">
        <f t="shared" si="187"/>
        <v>10</v>
      </c>
      <c r="H456" s="305">
        <f t="shared" si="187"/>
        <v>24</v>
      </c>
      <c r="I456" s="305">
        <f t="shared" si="187"/>
        <v>41</v>
      </c>
      <c r="J456" s="305">
        <f t="shared" si="187"/>
        <v>34</v>
      </c>
      <c r="K456" s="305">
        <f t="shared" si="187"/>
        <v>187</v>
      </c>
      <c r="L456" s="305">
        <f t="shared" si="187"/>
        <v>332</v>
      </c>
      <c r="M456" s="305">
        <f t="shared" si="187"/>
        <v>40</v>
      </c>
      <c r="N456" s="305">
        <f t="shared" si="187"/>
        <v>81</v>
      </c>
      <c r="O456" s="305">
        <f t="shared" si="187"/>
        <v>13</v>
      </c>
      <c r="P456" s="305">
        <f t="shared" si="187"/>
        <v>72</v>
      </c>
      <c r="Q456" s="203" t="s">
        <v>145</v>
      </c>
      <c r="R456" s="281" t="s">
        <v>188</v>
      </c>
    </row>
    <row r="457" spans="2:18" ht="22.5" customHeight="1" thickBot="1" x14ac:dyDescent="0.25">
      <c r="B457" s="305">
        <f t="shared" si="187"/>
        <v>2358</v>
      </c>
      <c r="C457" s="305">
        <f t="shared" si="187"/>
        <v>1115</v>
      </c>
      <c r="D457" s="305">
        <f t="shared" si="187"/>
        <v>1243</v>
      </c>
      <c r="E457" s="305">
        <f t="shared" si="187"/>
        <v>41</v>
      </c>
      <c r="F457" s="305">
        <f t="shared" si="187"/>
        <v>40</v>
      </c>
      <c r="G457" s="305">
        <f t="shared" si="187"/>
        <v>398</v>
      </c>
      <c r="H457" s="305">
        <f t="shared" si="187"/>
        <v>234</v>
      </c>
      <c r="I457" s="305">
        <f t="shared" si="187"/>
        <v>255</v>
      </c>
      <c r="J457" s="305">
        <f t="shared" si="187"/>
        <v>165</v>
      </c>
      <c r="K457" s="305">
        <f t="shared" si="187"/>
        <v>334</v>
      </c>
      <c r="L457" s="305">
        <f t="shared" si="187"/>
        <v>491</v>
      </c>
      <c r="M457" s="305">
        <f t="shared" si="187"/>
        <v>66</v>
      </c>
      <c r="N457" s="305">
        <f t="shared" si="187"/>
        <v>181</v>
      </c>
      <c r="O457" s="305">
        <f t="shared" si="187"/>
        <v>21</v>
      </c>
      <c r="P457" s="305">
        <f t="shared" si="187"/>
        <v>132</v>
      </c>
      <c r="Q457" s="203" t="s">
        <v>12</v>
      </c>
      <c r="R457" s="282"/>
    </row>
    <row r="458" spans="2:18" ht="22.5" customHeight="1" thickBot="1" x14ac:dyDescent="0.25">
      <c r="B458" s="319"/>
      <c r="C458" s="319"/>
      <c r="D458" s="319"/>
      <c r="E458" s="319"/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20"/>
      <c r="R458" s="320"/>
    </row>
    <row r="459" spans="2:18" ht="22.5" customHeight="1" thickBot="1" x14ac:dyDescent="0.25">
      <c r="B459" s="477" t="s">
        <v>4</v>
      </c>
      <c r="C459" s="477"/>
      <c r="D459" s="477"/>
      <c r="E459" s="477" t="s">
        <v>735</v>
      </c>
      <c r="F459" s="477"/>
      <c r="G459" s="477" t="s">
        <v>736</v>
      </c>
      <c r="H459" s="477"/>
      <c r="I459" s="477" t="s">
        <v>737</v>
      </c>
      <c r="J459" s="477"/>
      <c r="K459" s="477" t="s">
        <v>738</v>
      </c>
      <c r="L459" s="477"/>
      <c r="M459" s="477" t="s">
        <v>739</v>
      </c>
      <c r="N459" s="477"/>
      <c r="O459" s="477" t="s">
        <v>740</v>
      </c>
      <c r="P459" s="477"/>
      <c r="Q459" s="575" t="s">
        <v>741</v>
      </c>
      <c r="R459" s="304" t="s">
        <v>144</v>
      </c>
    </row>
    <row r="460" spans="2:18" ht="22.5" customHeight="1" thickBot="1" x14ac:dyDescent="0.25">
      <c r="B460" s="204" t="s">
        <v>227</v>
      </c>
      <c r="C460" s="204" t="s">
        <v>10</v>
      </c>
      <c r="D460" s="204" t="s">
        <v>9</v>
      </c>
      <c r="E460" s="204" t="s">
        <v>10</v>
      </c>
      <c r="F460" s="204" t="s">
        <v>9</v>
      </c>
      <c r="G460" s="204" t="s">
        <v>10</v>
      </c>
      <c r="H460" s="204" t="s">
        <v>9</v>
      </c>
      <c r="I460" s="204" t="s">
        <v>10</v>
      </c>
      <c r="J460" s="204" t="s">
        <v>9</v>
      </c>
      <c r="K460" s="204" t="s">
        <v>10</v>
      </c>
      <c r="L460" s="204" t="s">
        <v>9</v>
      </c>
      <c r="M460" s="204" t="s">
        <v>10</v>
      </c>
      <c r="N460" s="204" t="s">
        <v>9</v>
      </c>
      <c r="O460" s="204" t="s">
        <v>10</v>
      </c>
      <c r="P460" s="204" t="s">
        <v>9</v>
      </c>
      <c r="Q460" s="481"/>
      <c r="R460" s="282" t="s">
        <v>75</v>
      </c>
    </row>
    <row r="461" spans="2:18" ht="22.5" customHeight="1" thickBot="1" x14ac:dyDescent="0.25">
      <c r="B461" s="305">
        <f>D461+C461</f>
        <v>39</v>
      </c>
      <c r="C461" s="305">
        <f t="shared" ref="C461:D492" si="188">O461+M461+K461+I461+G461+E461</f>
        <v>0</v>
      </c>
      <c r="D461" s="305">
        <f t="shared" si="188"/>
        <v>39</v>
      </c>
      <c r="E461" s="305">
        <v>0</v>
      </c>
      <c r="F461" s="305">
        <v>0</v>
      </c>
      <c r="G461" s="305">
        <v>0</v>
      </c>
      <c r="H461" s="305">
        <v>20</v>
      </c>
      <c r="I461" s="305">
        <v>0</v>
      </c>
      <c r="J461" s="305">
        <v>3</v>
      </c>
      <c r="K461" s="305">
        <v>0</v>
      </c>
      <c r="L461" s="305">
        <v>6</v>
      </c>
      <c r="M461" s="305">
        <v>0</v>
      </c>
      <c r="N461" s="305">
        <v>4</v>
      </c>
      <c r="O461" s="305">
        <v>0</v>
      </c>
      <c r="P461" s="305">
        <v>6</v>
      </c>
      <c r="Q461" s="203" t="s">
        <v>146</v>
      </c>
      <c r="R461" s="306"/>
    </row>
    <row r="462" spans="2:18" ht="22.5" customHeight="1" thickBot="1" x14ac:dyDescent="0.25">
      <c r="B462" s="305">
        <f t="shared" ref="B462:B525" si="189">D462+C462</f>
        <v>50</v>
      </c>
      <c r="C462" s="305">
        <f t="shared" si="188"/>
        <v>0</v>
      </c>
      <c r="D462" s="305">
        <f t="shared" si="188"/>
        <v>50</v>
      </c>
      <c r="E462" s="305">
        <v>0</v>
      </c>
      <c r="F462" s="305">
        <v>0</v>
      </c>
      <c r="G462" s="305">
        <v>0</v>
      </c>
      <c r="H462" s="305">
        <v>0</v>
      </c>
      <c r="I462" s="305">
        <v>0</v>
      </c>
      <c r="J462" s="305">
        <v>3</v>
      </c>
      <c r="K462" s="305">
        <v>0</v>
      </c>
      <c r="L462" s="305">
        <v>28</v>
      </c>
      <c r="M462" s="305">
        <v>0</v>
      </c>
      <c r="N462" s="305">
        <v>14</v>
      </c>
      <c r="O462" s="305">
        <v>0</v>
      </c>
      <c r="P462" s="305">
        <v>5</v>
      </c>
      <c r="Q462" s="203" t="s">
        <v>145</v>
      </c>
      <c r="R462" s="306" t="s">
        <v>376</v>
      </c>
    </row>
    <row r="463" spans="2:18" ht="22.5" customHeight="1" thickBot="1" x14ac:dyDescent="0.25">
      <c r="B463" s="305">
        <f t="shared" si="189"/>
        <v>89</v>
      </c>
      <c r="C463" s="305">
        <f t="shared" si="188"/>
        <v>0</v>
      </c>
      <c r="D463" s="305">
        <f t="shared" si="188"/>
        <v>89</v>
      </c>
      <c r="E463" s="305">
        <f t="shared" ref="E463:P463" si="190">SUM(E461:E462)</f>
        <v>0</v>
      </c>
      <c r="F463" s="305">
        <f t="shared" si="190"/>
        <v>0</v>
      </c>
      <c r="G463" s="305">
        <f t="shared" si="190"/>
        <v>0</v>
      </c>
      <c r="H463" s="305">
        <f t="shared" si="190"/>
        <v>20</v>
      </c>
      <c r="I463" s="305">
        <f t="shared" si="190"/>
        <v>0</v>
      </c>
      <c r="J463" s="305">
        <f t="shared" si="190"/>
        <v>6</v>
      </c>
      <c r="K463" s="305">
        <f t="shared" si="190"/>
        <v>0</v>
      </c>
      <c r="L463" s="305">
        <f t="shared" si="190"/>
        <v>34</v>
      </c>
      <c r="M463" s="305">
        <f t="shared" si="190"/>
        <v>0</v>
      </c>
      <c r="N463" s="305">
        <f t="shared" si="190"/>
        <v>18</v>
      </c>
      <c r="O463" s="305">
        <f t="shared" si="190"/>
        <v>0</v>
      </c>
      <c r="P463" s="305">
        <f t="shared" si="190"/>
        <v>11</v>
      </c>
      <c r="Q463" s="203" t="s">
        <v>12</v>
      </c>
      <c r="R463" s="307"/>
    </row>
    <row r="464" spans="2:18" ht="22.5" customHeight="1" thickBot="1" x14ac:dyDescent="0.25">
      <c r="B464" s="305">
        <f t="shared" si="189"/>
        <v>17</v>
      </c>
      <c r="C464" s="305">
        <f t="shared" si="188"/>
        <v>0</v>
      </c>
      <c r="D464" s="305">
        <f t="shared" si="188"/>
        <v>17</v>
      </c>
      <c r="E464" s="305">
        <v>0</v>
      </c>
      <c r="F464" s="305">
        <v>0</v>
      </c>
      <c r="G464" s="305">
        <v>0</v>
      </c>
      <c r="H464" s="305">
        <v>17</v>
      </c>
      <c r="I464" s="305">
        <v>0</v>
      </c>
      <c r="J464" s="305">
        <v>0</v>
      </c>
      <c r="K464" s="305">
        <v>0</v>
      </c>
      <c r="L464" s="305">
        <v>0</v>
      </c>
      <c r="M464" s="305">
        <v>0</v>
      </c>
      <c r="N464" s="305">
        <v>0</v>
      </c>
      <c r="O464" s="305">
        <v>0</v>
      </c>
      <c r="P464" s="305">
        <v>0</v>
      </c>
      <c r="Q464" s="203" t="s">
        <v>146</v>
      </c>
      <c r="R464" s="306"/>
    </row>
    <row r="465" spans="2:18" ht="22.5" customHeight="1" thickBot="1" x14ac:dyDescent="0.25">
      <c r="B465" s="305">
        <f t="shared" si="189"/>
        <v>44</v>
      </c>
      <c r="C465" s="305">
        <f t="shared" si="188"/>
        <v>0</v>
      </c>
      <c r="D465" s="305">
        <f t="shared" si="188"/>
        <v>44</v>
      </c>
      <c r="E465" s="305">
        <v>0</v>
      </c>
      <c r="F465" s="305">
        <v>0</v>
      </c>
      <c r="G465" s="305">
        <v>0</v>
      </c>
      <c r="H465" s="305">
        <v>0</v>
      </c>
      <c r="I465" s="305">
        <v>0</v>
      </c>
      <c r="J465" s="305">
        <v>15</v>
      </c>
      <c r="K465" s="305">
        <v>0</v>
      </c>
      <c r="L465" s="305">
        <v>27</v>
      </c>
      <c r="M465" s="305">
        <v>0</v>
      </c>
      <c r="N465" s="305">
        <v>1</v>
      </c>
      <c r="O465" s="305">
        <v>0</v>
      </c>
      <c r="P465" s="305">
        <v>1</v>
      </c>
      <c r="Q465" s="203" t="s">
        <v>145</v>
      </c>
      <c r="R465" s="306" t="s">
        <v>451</v>
      </c>
    </row>
    <row r="466" spans="2:18" ht="22.5" customHeight="1" thickBot="1" x14ac:dyDescent="0.25">
      <c r="B466" s="305">
        <f>SUM(B464:B465)</f>
        <v>61</v>
      </c>
      <c r="C466" s="305">
        <f t="shared" si="188"/>
        <v>0</v>
      </c>
      <c r="D466" s="305">
        <f t="shared" si="188"/>
        <v>61</v>
      </c>
      <c r="E466" s="305">
        <f t="shared" ref="E466:P466" si="191">SUM(E464:E465)</f>
        <v>0</v>
      </c>
      <c r="F466" s="305">
        <f t="shared" si="191"/>
        <v>0</v>
      </c>
      <c r="G466" s="305">
        <f t="shared" si="191"/>
        <v>0</v>
      </c>
      <c r="H466" s="305">
        <f t="shared" si="191"/>
        <v>17</v>
      </c>
      <c r="I466" s="305">
        <f t="shared" si="191"/>
        <v>0</v>
      </c>
      <c r="J466" s="305">
        <f t="shared" si="191"/>
        <v>15</v>
      </c>
      <c r="K466" s="305">
        <f t="shared" si="191"/>
        <v>0</v>
      </c>
      <c r="L466" s="305">
        <f t="shared" si="191"/>
        <v>27</v>
      </c>
      <c r="M466" s="305">
        <f t="shared" si="191"/>
        <v>0</v>
      </c>
      <c r="N466" s="305">
        <f t="shared" si="191"/>
        <v>1</v>
      </c>
      <c r="O466" s="305">
        <f t="shared" si="191"/>
        <v>0</v>
      </c>
      <c r="P466" s="305">
        <f t="shared" si="191"/>
        <v>1</v>
      </c>
      <c r="Q466" s="203" t="s">
        <v>12</v>
      </c>
      <c r="R466" s="307"/>
    </row>
    <row r="467" spans="2:18" ht="22.5" customHeight="1" thickBot="1" x14ac:dyDescent="0.25">
      <c r="B467" s="305">
        <f t="shared" si="189"/>
        <v>31</v>
      </c>
      <c r="C467" s="305">
        <f t="shared" si="188"/>
        <v>0</v>
      </c>
      <c r="D467" s="305">
        <f t="shared" si="188"/>
        <v>31</v>
      </c>
      <c r="E467" s="305">
        <v>0</v>
      </c>
      <c r="F467" s="305">
        <v>0</v>
      </c>
      <c r="G467" s="305">
        <v>0</v>
      </c>
      <c r="H467" s="305">
        <v>8</v>
      </c>
      <c r="I467" s="305">
        <v>0</v>
      </c>
      <c r="J467" s="305">
        <v>15</v>
      </c>
      <c r="K467" s="305">
        <v>0</v>
      </c>
      <c r="L467" s="305">
        <v>6</v>
      </c>
      <c r="M467" s="305">
        <v>0</v>
      </c>
      <c r="N467" s="305">
        <v>2</v>
      </c>
      <c r="O467" s="305">
        <v>0</v>
      </c>
      <c r="P467" s="305">
        <v>0</v>
      </c>
      <c r="Q467" s="203" t="s">
        <v>146</v>
      </c>
      <c r="R467" s="306"/>
    </row>
    <row r="468" spans="2:18" ht="22.5" customHeight="1" thickBot="1" x14ac:dyDescent="0.25">
      <c r="B468" s="305">
        <f t="shared" si="189"/>
        <v>8</v>
      </c>
      <c r="C468" s="305">
        <f t="shared" si="188"/>
        <v>0</v>
      </c>
      <c r="D468" s="305">
        <f t="shared" si="188"/>
        <v>8</v>
      </c>
      <c r="E468" s="305">
        <v>0</v>
      </c>
      <c r="F468" s="305">
        <v>0</v>
      </c>
      <c r="G468" s="305">
        <v>0</v>
      </c>
      <c r="H468" s="305">
        <v>0</v>
      </c>
      <c r="I468" s="305">
        <v>0</v>
      </c>
      <c r="J468" s="305">
        <v>3</v>
      </c>
      <c r="K468" s="305">
        <v>0</v>
      </c>
      <c r="L468" s="305">
        <v>4</v>
      </c>
      <c r="M468" s="305">
        <v>0</v>
      </c>
      <c r="N468" s="305">
        <v>0</v>
      </c>
      <c r="O468" s="305">
        <v>0</v>
      </c>
      <c r="P468" s="305">
        <v>1</v>
      </c>
      <c r="Q468" s="203" t="s">
        <v>145</v>
      </c>
      <c r="R468" s="306" t="s">
        <v>654</v>
      </c>
    </row>
    <row r="469" spans="2:18" ht="22.5" customHeight="1" thickBot="1" x14ac:dyDescent="0.25">
      <c r="B469" s="305">
        <f>SUM(B467:B468)</f>
        <v>39</v>
      </c>
      <c r="C469" s="305">
        <f t="shared" si="188"/>
        <v>0</v>
      </c>
      <c r="D469" s="305">
        <f t="shared" si="188"/>
        <v>39</v>
      </c>
      <c r="E469" s="305">
        <f t="shared" ref="E469:P469" si="192">SUM(E467:E468)</f>
        <v>0</v>
      </c>
      <c r="F469" s="305">
        <f t="shared" si="192"/>
        <v>0</v>
      </c>
      <c r="G469" s="305">
        <f t="shared" si="192"/>
        <v>0</v>
      </c>
      <c r="H469" s="305">
        <f t="shared" si="192"/>
        <v>8</v>
      </c>
      <c r="I469" s="305">
        <f t="shared" si="192"/>
        <v>0</v>
      </c>
      <c r="J469" s="305">
        <f t="shared" si="192"/>
        <v>18</v>
      </c>
      <c r="K469" s="305">
        <f t="shared" si="192"/>
        <v>0</v>
      </c>
      <c r="L469" s="305">
        <f t="shared" si="192"/>
        <v>10</v>
      </c>
      <c r="M469" s="305">
        <f t="shared" si="192"/>
        <v>0</v>
      </c>
      <c r="N469" s="305">
        <f t="shared" si="192"/>
        <v>2</v>
      </c>
      <c r="O469" s="305">
        <f t="shared" si="192"/>
        <v>0</v>
      </c>
      <c r="P469" s="305">
        <f t="shared" si="192"/>
        <v>1</v>
      </c>
      <c r="Q469" s="203" t="s">
        <v>12</v>
      </c>
      <c r="R469" s="307"/>
    </row>
    <row r="470" spans="2:18" ht="22.5" customHeight="1" thickBot="1" x14ac:dyDescent="0.25">
      <c r="B470" s="305">
        <f t="shared" si="189"/>
        <v>67</v>
      </c>
      <c r="C470" s="305">
        <f t="shared" si="188"/>
        <v>0</v>
      </c>
      <c r="D470" s="305">
        <f t="shared" si="188"/>
        <v>67</v>
      </c>
      <c r="E470" s="305">
        <v>0</v>
      </c>
      <c r="F470" s="305">
        <v>0</v>
      </c>
      <c r="G470" s="305">
        <v>0</v>
      </c>
      <c r="H470" s="305">
        <v>24</v>
      </c>
      <c r="I470" s="305">
        <v>0</v>
      </c>
      <c r="J470" s="305">
        <v>19</v>
      </c>
      <c r="K470" s="305">
        <v>0</v>
      </c>
      <c r="L470" s="305">
        <v>20</v>
      </c>
      <c r="M470" s="305">
        <v>0</v>
      </c>
      <c r="N470" s="305">
        <v>4</v>
      </c>
      <c r="O470" s="305">
        <v>0</v>
      </c>
      <c r="P470" s="305">
        <v>0</v>
      </c>
      <c r="Q470" s="203" t="s">
        <v>146</v>
      </c>
      <c r="R470" s="306"/>
    </row>
    <row r="471" spans="2:18" ht="22.5" customHeight="1" thickBot="1" x14ac:dyDescent="0.25">
      <c r="B471" s="305">
        <f t="shared" si="189"/>
        <v>1</v>
      </c>
      <c r="C471" s="305">
        <f t="shared" si="188"/>
        <v>0</v>
      </c>
      <c r="D471" s="305">
        <f t="shared" si="188"/>
        <v>1</v>
      </c>
      <c r="E471" s="305">
        <v>0</v>
      </c>
      <c r="F471" s="305">
        <v>0</v>
      </c>
      <c r="G471" s="305">
        <v>0</v>
      </c>
      <c r="H471" s="305">
        <v>0</v>
      </c>
      <c r="I471" s="305">
        <v>0</v>
      </c>
      <c r="J471" s="305">
        <v>0</v>
      </c>
      <c r="K471" s="305">
        <v>0</v>
      </c>
      <c r="L471" s="305">
        <v>1</v>
      </c>
      <c r="M471" s="305">
        <v>0</v>
      </c>
      <c r="N471" s="305">
        <v>0</v>
      </c>
      <c r="O471" s="305">
        <v>0</v>
      </c>
      <c r="P471" s="305">
        <v>0</v>
      </c>
      <c r="Q471" s="203" t="s">
        <v>145</v>
      </c>
      <c r="R471" s="306" t="s">
        <v>624</v>
      </c>
    </row>
    <row r="472" spans="2:18" ht="22.5" customHeight="1" thickBot="1" x14ac:dyDescent="0.25">
      <c r="B472" s="305">
        <f>SUM(B470:B471)</f>
        <v>68</v>
      </c>
      <c r="C472" s="305">
        <f t="shared" si="188"/>
        <v>0</v>
      </c>
      <c r="D472" s="305">
        <f t="shared" si="188"/>
        <v>68</v>
      </c>
      <c r="E472" s="305">
        <f t="shared" ref="E472:P472" si="193">SUM(E470:E471)</f>
        <v>0</v>
      </c>
      <c r="F472" s="305">
        <f t="shared" si="193"/>
        <v>0</v>
      </c>
      <c r="G472" s="305">
        <f t="shared" si="193"/>
        <v>0</v>
      </c>
      <c r="H472" s="305">
        <f t="shared" si="193"/>
        <v>24</v>
      </c>
      <c r="I472" s="305">
        <f t="shared" si="193"/>
        <v>0</v>
      </c>
      <c r="J472" s="305">
        <f t="shared" si="193"/>
        <v>19</v>
      </c>
      <c r="K472" s="305">
        <f t="shared" si="193"/>
        <v>0</v>
      </c>
      <c r="L472" s="305">
        <f t="shared" si="193"/>
        <v>21</v>
      </c>
      <c r="M472" s="305">
        <f t="shared" si="193"/>
        <v>0</v>
      </c>
      <c r="N472" s="305">
        <f t="shared" si="193"/>
        <v>4</v>
      </c>
      <c r="O472" s="305">
        <f t="shared" si="193"/>
        <v>0</v>
      </c>
      <c r="P472" s="305">
        <f t="shared" si="193"/>
        <v>0</v>
      </c>
      <c r="Q472" s="203" t="s">
        <v>12</v>
      </c>
      <c r="R472" s="307"/>
    </row>
    <row r="473" spans="2:18" ht="22.5" customHeight="1" thickBot="1" x14ac:dyDescent="0.25">
      <c r="B473" s="305">
        <f t="shared" si="189"/>
        <v>89</v>
      </c>
      <c r="C473" s="305">
        <f t="shared" si="188"/>
        <v>0</v>
      </c>
      <c r="D473" s="305">
        <f t="shared" si="188"/>
        <v>89</v>
      </c>
      <c r="E473" s="305">
        <v>0</v>
      </c>
      <c r="F473" s="305">
        <v>0</v>
      </c>
      <c r="G473" s="305">
        <v>0</v>
      </c>
      <c r="H473" s="305">
        <v>42</v>
      </c>
      <c r="I473" s="305">
        <v>0</v>
      </c>
      <c r="J473" s="305">
        <v>2</v>
      </c>
      <c r="K473" s="305">
        <v>0</v>
      </c>
      <c r="L473" s="305">
        <v>32</v>
      </c>
      <c r="M473" s="305">
        <v>0</v>
      </c>
      <c r="N473" s="305">
        <v>9</v>
      </c>
      <c r="O473" s="305">
        <v>0</v>
      </c>
      <c r="P473" s="305">
        <v>4</v>
      </c>
      <c r="Q473" s="203" t="s">
        <v>146</v>
      </c>
      <c r="R473" s="306"/>
    </row>
    <row r="474" spans="2:18" ht="22.5" customHeight="1" thickBot="1" x14ac:dyDescent="0.25">
      <c r="B474" s="305">
        <f t="shared" si="189"/>
        <v>58</v>
      </c>
      <c r="C474" s="305">
        <f t="shared" si="188"/>
        <v>0</v>
      </c>
      <c r="D474" s="305">
        <f t="shared" si="188"/>
        <v>58</v>
      </c>
      <c r="E474" s="305">
        <v>0</v>
      </c>
      <c r="F474" s="305">
        <v>0</v>
      </c>
      <c r="G474" s="305">
        <v>0</v>
      </c>
      <c r="H474" s="305">
        <v>0</v>
      </c>
      <c r="I474" s="305">
        <v>0</v>
      </c>
      <c r="J474" s="305">
        <v>1</v>
      </c>
      <c r="K474" s="305">
        <v>0</v>
      </c>
      <c r="L474" s="305">
        <v>49</v>
      </c>
      <c r="M474" s="305">
        <v>0</v>
      </c>
      <c r="N474" s="305">
        <v>7</v>
      </c>
      <c r="O474" s="305">
        <v>0</v>
      </c>
      <c r="P474" s="305">
        <v>1</v>
      </c>
      <c r="Q474" s="203" t="s">
        <v>145</v>
      </c>
      <c r="R474" s="306" t="s">
        <v>655</v>
      </c>
    </row>
    <row r="475" spans="2:18" ht="22.5" customHeight="1" thickBot="1" x14ac:dyDescent="0.25">
      <c r="B475" s="305">
        <f>SUM(B473:B474)</f>
        <v>147</v>
      </c>
      <c r="C475" s="305">
        <f t="shared" si="188"/>
        <v>0</v>
      </c>
      <c r="D475" s="305">
        <f t="shared" si="188"/>
        <v>147</v>
      </c>
      <c r="E475" s="305">
        <f t="shared" ref="E475:P475" si="194">SUM(E473:E474)</f>
        <v>0</v>
      </c>
      <c r="F475" s="305">
        <f t="shared" si="194"/>
        <v>0</v>
      </c>
      <c r="G475" s="305">
        <f t="shared" si="194"/>
        <v>0</v>
      </c>
      <c r="H475" s="305">
        <f t="shared" si="194"/>
        <v>42</v>
      </c>
      <c r="I475" s="305">
        <f t="shared" si="194"/>
        <v>0</v>
      </c>
      <c r="J475" s="305">
        <f t="shared" si="194"/>
        <v>3</v>
      </c>
      <c r="K475" s="305">
        <f t="shared" si="194"/>
        <v>0</v>
      </c>
      <c r="L475" s="305">
        <f t="shared" si="194"/>
        <v>81</v>
      </c>
      <c r="M475" s="305">
        <f t="shared" si="194"/>
        <v>0</v>
      </c>
      <c r="N475" s="305">
        <f t="shared" si="194"/>
        <v>16</v>
      </c>
      <c r="O475" s="305">
        <f t="shared" si="194"/>
        <v>0</v>
      </c>
      <c r="P475" s="305">
        <f t="shared" si="194"/>
        <v>5</v>
      </c>
      <c r="Q475" s="203" t="s">
        <v>12</v>
      </c>
      <c r="R475" s="307"/>
    </row>
    <row r="476" spans="2:18" ht="22.5" customHeight="1" thickBot="1" x14ac:dyDescent="0.25">
      <c r="B476" s="305">
        <f t="shared" si="189"/>
        <v>100</v>
      </c>
      <c r="C476" s="305">
        <f t="shared" si="188"/>
        <v>1</v>
      </c>
      <c r="D476" s="305">
        <f t="shared" si="188"/>
        <v>99</v>
      </c>
      <c r="E476" s="305">
        <v>0</v>
      </c>
      <c r="F476" s="305">
        <v>0</v>
      </c>
      <c r="G476" s="305">
        <v>1</v>
      </c>
      <c r="H476" s="305">
        <v>49</v>
      </c>
      <c r="I476" s="305">
        <v>0</v>
      </c>
      <c r="J476" s="305">
        <v>0</v>
      </c>
      <c r="K476" s="305">
        <v>0</v>
      </c>
      <c r="L476" s="305">
        <v>33</v>
      </c>
      <c r="M476" s="305">
        <v>0</v>
      </c>
      <c r="N476" s="305">
        <v>12</v>
      </c>
      <c r="O476" s="305">
        <v>0</v>
      </c>
      <c r="P476" s="305">
        <v>5</v>
      </c>
      <c r="Q476" s="203" t="s">
        <v>146</v>
      </c>
      <c r="R476" s="306"/>
    </row>
    <row r="477" spans="2:18" ht="22.5" customHeight="1" thickBot="1" x14ac:dyDescent="0.25">
      <c r="B477" s="305">
        <f t="shared" si="189"/>
        <v>55</v>
      </c>
      <c r="C477" s="305">
        <f t="shared" si="188"/>
        <v>0</v>
      </c>
      <c r="D477" s="305">
        <f t="shared" si="188"/>
        <v>55</v>
      </c>
      <c r="E477" s="305">
        <v>0</v>
      </c>
      <c r="F477" s="305">
        <v>0</v>
      </c>
      <c r="G477" s="305">
        <v>0</v>
      </c>
      <c r="H477" s="305">
        <v>0</v>
      </c>
      <c r="I477" s="305">
        <v>0</v>
      </c>
      <c r="J477" s="305">
        <v>1</v>
      </c>
      <c r="K477" s="305">
        <v>0</v>
      </c>
      <c r="L477" s="305">
        <v>47</v>
      </c>
      <c r="M477" s="305">
        <v>0</v>
      </c>
      <c r="N477" s="305">
        <v>6</v>
      </c>
      <c r="O477" s="305">
        <v>0</v>
      </c>
      <c r="P477" s="305">
        <v>1</v>
      </c>
      <c r="Q477" s="203" t="s">
        <v>145</v>
      </c>
      <c r="R477" s="306" t="s">
        <v>453</v>
      </c>
    </row>
    <row r="478" spans="2:18" ht="22.5" customHeight="1" thickBot="1" x14ac:dyDescent="0.25">
      <c r="B478" s="305">
        <f>SUM(B476:B477)</f>
        <v>155</v>
      </c>
      <c r="C478" s="305">
        <f t="shared" si="188"/>
        <v>1</v>
      </c>
      <c r="D478" s="305">
        <f t="shared" si="188"/>
        <v>154</v>
      </c>
      <c r="E478" s="305">
        <f t="shared" ref="E478:P478" si="195">SUM(E476:E477)</f>
        <v>0</v>
      </c>
      <c r="F478" s="305">
        <f t="shared" si="195"/>
        <v>0</v>
      </c>
      <c r="G478" s="305">
        <f t="shared" si="195"/>
        <v>1</v>
      </c>
      <c r="H478" s="305">
        <f t="shared" si="195"/>
        <v>49</v>
      </c>
      <c r="I478" s="305">
        <f t="shared" si="195"/>
        <v>0</v>
      </c>
      <c r="J478" s="305">
        <f t="shared" si="195"/>
        <v>1</v>
      </c>
      <c r="K478" s="305">
        <f t="shared" si="195"/>
        <v>0</v>
      </c>
      <c r="L478" s="305">
        <f t="shared" si="195"/>
        <v>80</v>
      </c>
      <c r="M478" s="305">
        <f t="shared" si="195"/>
        <v>0</v>
      </c>
      <c r="N478" s="305">
        <f t="shared" si="195"/>
        <v>18</v>
      </c>
      <c r="O478" s="305">
        <f t="shared" si="195"/>
        <v>0</v>
      </c>
      <c r="P478" s="305">
        <f t="shared" si="195"/>
        <v>6</v>
      </c>
      <c r="Q478" s="203" t="s">
        <v>12</v>
      </c>
      <c r="R478" s="307"/>
    </row>
    <row r="479" spans="2:18" ht="22.5" customHeight="1" thickBot="1" x14ac:dyDescent="0.25">
      <c r="B479" s="305">
        <f t="shared" si="189"/>
        <v>11</v>
      </c>
      <c r="C479" s="305">
        <f t="shared" si="188"/>
        <v>0</v>
      </c>
      <c r="D479" s="305">
        <f t="shared" si="188"/>
        <v>11</v>
      </c>
      <c r="E479" s="305">
        <v>0</v>
      </c>
      <c r="F479" s="305">
        <v>0</v>
      </c>
      <c r="G479" s="305">
        <v>0</v>
      </c>
      <c r="H479" s="305">
        <v>10</v>
      </c>
      <c r="I479" s="305">
        <v>0</v>
      </c>
      <c r="J479" s="305">
        <v>0</v>
      </c>
      <c r="K479" s="305">
        <v>0</v>
      </c>
      <c r="L479" s="305">
        <v>1</v>
      </c>
      <c r="M479" s="305">
        <v>0</v>
      </c>
      <c r="N479" s="305">
        <v>0</v>
      </c>
      <c r="O479" s="305">
        <v>0</v>
      </c>
      <c r="P479" s="305">
        <v>0</v>
      </c>
      <c r="Q479" s="203" t="s">
        <v>146</v>
      </c>
      <c r="R479" s="306"/>
    </row>
    <row r="480" spans="2:18" ht="22.5" customHeight="1" thickBot="1" x14ac:dyDescent="0.25">
      <c r="B480" s="305">
        <f t="shared" si="189"/>
        <v>39</v>
      </c>
      <c r="C480" s="305">
        <f t="shared" si="188"/>
        <v>0</v>
      </c>
      <c r="D480" s="305">
        <f t="shared" si="188"/>
        <v>39</v>
      </c>
      <c r="E480" s="305">
        <v>0</v>
      </c>
      <c r="F480" s="305">
        <v>0</v>
      </c>
      <c r="G480" s="305">
        <v>0</v>
      </c>
      <c r="H480" s="305">
        <v>0</v>
      </c>
      <c r="I480" s="305">
        <v>0</v>
      </c>
      <c r="J480" s="305">
        <v>4</v>
      </c>
      <c r="K480" s="305">
        <v>0</v>
      </c>
      <c r="L480" s="305">
        <v>23</v>
      </c>
      <c r="M480" s="305">
        <v>0</v>
      </c>
      <c r="N480" s="305">
        <v>11</v>
      </c>
      <c r="O480" s="305">
        <v>0</v>
      </c>
      <c r="P480" s="305">
        <v>1</v>
      </c>
      <c r="Q480" s="203" t="s">
        <v>145</v>
      </c>
      <c r="R480" s="306" t="s">
        <v>406</v>
      </c>
    </row>
    <row r="481" spans="2:18" ht="22.5" customHeight="1" thickBot="1" x14ac:dyDescent="0.25">
      <c r="B481" s="305">
        <f>SUM(B479:B480)</f>
        <v>50</v>
      </c>
      <c r="C481" s="305">
        <f t="shared" si="188"/>
        <v>0</v>
      </c>
      <c r="D481" s="305">
        <f t="shared" si="188"/>
        <v>50</v>
      </c>
      <c r="E481" s="305">
        <f t="shared" ref="E481:P481" si="196">SUM(E479:E480)</f>
        <v>0</v>
      </c>
      <c r="F481" s="305">
        <f t="shared" si="196"/>
        <v>0</v>
      </c>
      <c r="G481" s="305">
        <f t="shared" si="196"/>
        <v>0</v>
      </c>
      <c r="H481" s="305">
        <f t="shared" si="196"/>
        <v>10</v>
      </c>
      <c r="I481" s="305">
        <f t="shared" si="196"/>
        <v>0</v>
      </c>
      <c r="J481" s="305">
        <f t="shared" si="196"/>
        <v>4</v>
      </c>
      <c r="K481" s="305">
        <f t="shared" si="196"/>
        <v>0</v>
      </c>
      <c r="L481" s="305">
        <f t="shared" si="196"/>
        <v>24</v>
      </c>
      <c r="M481" s="305">
        <f t="shared" si="196"/>
        <v>0</v>
      </c>
      <c r="N481" s="305">
        <f t="shared" si="196"/>
        <v>11</v>
      </c>
      <c r="O481" s="305">
        <f t="shared" si="196"/>
        <v>0</v>
      </c>
      <c r="P481" s="305">
        <f t="shared" si="196"/>
        <v>1</v>
      </c>
      <c r="Q481" s="203" t="s">
        <v>12</v>
      </c>
      <c r="R481" s="307"/>
    </row>
    <row r="482" spans="2:18" ht="22.5" customHeight="1" thickBot="1" x14ac:dyDescent="0.25">
      <c r="B482" s="305">
        <f t="shared" si="189"/>
        <v>17</v>
      </c>
      <c r="C482" s="305">
        <f t="shared" si="188"/>
        <v>0</v>
      </c>
      <c r="D482" s="305">
        <f t="shared" si="188"/>
        <v>17</v>
      </c>
      <c r="E482" s="305">
        <v>0</v>
      </c>
      <c r="F482" s="305">
        <v>0</v>
      </c>
      <c r="G482" s="305">
        <v>0</v>
      </c>
      <c r="H482" s="305">
        <v>15</v>
      </c>
      <c r="I482" s="305">
        <v>0</v>
      </c>
      <c r="J482" s="305">
        <v>0</v>
      </c>
      <c r="K482" s="305">
        <v>0</v>
      </c>
      <c r="L482" s="305">
        <v>2</v>
      </c>
      <c r="M482" s="305">
        <v>0</v>
      </c>
      <c r="N482" s="305">
        <v>0</v>
      </c>
      <c r="O482" s="305">
        <v>0</v>
      </c>
      <c r="P482" s="305">
        <v>0</v>
      </c>
      <c r="Q482" s="203" t="s">
        <v>146</v>
      </c>
      <c r="R482" s="306"/>
    </row>
    <row r="483" spans="2:18" ht="22.5" customHeight="1" thickBot="1" x14ac:dyDescent="0.25">
      <c r="B483" s="305">
        <f t="shared" si="189"/>
        <v>26</v>
      </c>
      <c r="C483" s="305">
        <f t="shared" si="188"/>
        <v>4</v>
      </c>
      <c r="D483" s="305">
        <f t="shared" si="188"/>
        <v>22</v>
      </c>
      <c r="E483" s="305">
        <v>0</v>
      </c>
      <c r="F483" s="305">
        <v>0</v>
      </c>
      <c r="G483" s="305">
        <v>0</v>
      </c>
      <c r="H483" s="305">
        <v>0</v>
      </c>
      <c r="I483" s="305">
        <v>1</v>
      </c>
      <c r="J483" s="305">
        <v>6</v>
      </c>
      <c r="K483" s="305">
        <v>3</v>
      </c>
      <c r="L483" s="305">
        <v>12</v>
      </c>
      <c r="M483" s="305">
        <v>0</v>
      </c>
      <c r="N483" s="305">
        <v>1</v>
      </c>
      <c r="O483" s="305">
        <v>0</v>
      </c>
      <c r="P483" s="305">
        <v>3</v>
      </c>
      <c r="Q483" s="203" t="s">
        <v>145</v>
      </c>
      <c r="R483" s="306" t="s">
        <v>348</v>
      </c>
    </row>
    <row r="484" spans="2:18" ht="22.5" customHeight="1" thickBot="1" x14ac:dyDescent="0.25">
      <c r="B484" s="305">
        <f>SUM(B482:B483)</f>
        <v>43</v>
      </c>
      <c r="C484" s="305">
        <f t="shared" si="188"/>
        <v>4</v>
      </c>
      <c r="D484" s="305">
        <f t="shared" si="188"/>
        <v>39</v>
      </c>
      <c r="E484" s="305">
        <f t="shared" ref="E484:P484" si="197">SUM(E482:E483)</f>
        <v>0</v>
      </c>
      <c r="F484" s="305">
        <f t="shared" si="197"/>
        <v>0</v>
      </c>
      <c r="G484" s="305">
        <f t="shared" si="197"/>
        <v>0</v>
      </c>
      <c r="H484" s="305">
        <f t="shared" si="197"/>
        <v>15</v>
      </c>
      <c r="I484" s="305">
        <f t="shared" si="197"/>
        <v>1</v>
      </c>
      <c r="J484" s="305">
        <f t="shared" si="197"/>
        <v>6</v>
      </c>
      <c r="K484" s="305">
        <f t="shared" si="197"/>
        <v>3</v>
      </c>
      <c r="L484" s="305">
        <f t="shared" si="197"/>
        <v>14</v>
      </c>
      <c r="M484" s="305">
        <f t="shared" si="197"/>
        <v>0</v>
      </c>
      <c r="N484" s="305">
        <f t="shared" si="197"/>
        <v>1</v>
      </c>
      <c r="O484" s="305">
        <f t="shared" si="197"/>
        <v>0</v>
      </c>
      <c r="P484" s="305">
        <f t="shared" si="197"/>
        <v>3</v>
      </c>
      <c r="Q484" s="203" t="s">
        <v>12</v>
      </c>
      <c r="R484" s="307"/>
    </row>
    <row r="485" spans="2:18" ht="22.5" customHeight="1" thickBot="1" x14ac:dyDescent="0.25">
      <c r="B485" s="305">
        <f t="shared" si="189"/>
        <v>18</v>
      </c>
      <c r="C485" s="305">
        <f t="shared" si="188"/>
        <v>0</v>
      </c>
      <c r="D485" s="305">
        <f t="shared" si="188"/>
        <v>18</v>
      </c>
      <c r="E485" s="305">
        <v>0</v>
      </c>
      <c r="F485" s="305">
        <v>0</v>
      </c>
      <c r="G485" s="305">
        <v>0</v>
      </c>
      <c r="H485" s="305">
        <v>17</v>
      </c>
      <c r="I485" s="305">
        <v>0</v>
      </c>
      <c r="J485" s="305">
        <v>1</v>
      </c>
      <c r="K485" s="305">
        <v>0</v>
      </c>
      <c r="L485" s="305">
        <v>0</v>
      </c>
      <c r="M485" s="305">
        <v>0</v>
      </c>
      <c r="N485" s="305">
        <v>0</v>
      </c>
      <c r="O485" s="305">
        <v>0</v>
      </c>
      <c r="P485" s="305">
        <v>0</v>
      </c>
      <c r="Q485" s="203" t="s">
        <v>146</v>
      </c>
      <c r="R485" s="306"/>
    </row>
    <row r="486" spans="2:18" ht="22.5" customHeight="1" thickBot="1" x14ac:dyDescent="0.25">
      <c r="B486" s="305">
        <f t="shared" si="189"/>
        <v>12</v>
      </c>
      <c r="C486" s="305">
        <f t="shared" si="188"/>
        <v>2</v>
      </c>
      <c r="D486" s="305">
        <f t="shared" si="188"/>
        <v>10</v>
      </c>
      <c r="E486" s="305">
        <v>0</v>
      </c>
      <c r="F486" s="305">
        <v>0</v>
      </c>
      <c r="G486" s="305">
        <v>0</v>
      </c>
      <c r="H486" s="305">
        <v>0</v>
      </c>
      <c r="I486" s="305">
        <v>0</v>
      </c>
      <c r="J486" s="305">
        <v>3</v>
      </c>
      <c r="K486" s="305">
        <v>2</v>
      </c>
      <c r="L486" s="305">
        <v>7</v>
      </c>
      <c r="M486" s="305">
        <v>0</v>
      </c>
      <c r="N486" s="305">
        <v>0</v>
      </c>
      <c r="O486" s="305">
        <v>0</v>
      </c>
      <c r="P486" s="305">
        <v>0</v>
      </c>
      <c r="Q486" s="203" t="s">
        <v>145</v>
      </c>
      <c r="R486" s="306" t="s">
        <v>347</v>
      </c>
    </row>
    <row r="487" spans="2:18" ht="22.5" customHeight="1" thickBot="1" x14ac:dyDescent="0.25">
      <c r="B487" s="305">
        <f>SUM(B485:B486)</f>
        <v>30</v>
      </c>
      <c r="C487" s="305">
        <f t="shared" si="188"/>
        <v>2</v>
      </c>
      <c r="D487" s="305">
        <f t="shared" si="188"/>
        <v>28</v>
      </c>
      <c r="E487" s="305">
        <f t="shared" ref="E487:P487" si="198">SUM(E485:E486)</f>
        <v>0</v>
      </c>
      <c r="F487" s="305">
        <f t="shared" si="198"/>
        <v>0</v>
      </c>
      <c r="G487" s="305">
        <f t="shared" si="198"/>
        <v>0</v>
      </c>
      <c r="H487" s="305">
        <f t="shared" si="198"/>
        <v>17</v>
      </c>
      <c r="I487" s="305">
        <f t="shared" si="198"/>
        <v>0</v>
      </c>
      <c r="J487" s="305">
        <f t="shared" si="198"/>
        <v>4</v>
      </c>
      <c r="K487" s="305">
        <f t="shared" si="198"/>
        <v>2</v>
      </c>
      <c r="L487" s="305">
        <f t="shared" si="198"/>
        <v>7</v>
      </c>
      <c r="M487" s="305">
        <f t="shared" si="198"/>
        <v>0</v>
      </c>
      <c r="N487" s="305">
        <f t="shared" si="198"/>
        <v>0</v>
      </c>
      <c r="O487" s="305">
        <f t="shared" si="198"/>
        <v>0</v>
      </c>
      <c r="P487" s="305">
        <f t="shared" si="198"/>
        <v>0</v>
      </c>
      <c r="Q487" s="203" t="s">
        <v>12</v>
      </c>
      <c r="R487" s="307"/>
    </row>
    <row r="488" spans="2:18" ht="22.5" customHeight="1" thickBot="1" x14ac:dyDescent="0.25">
      <c r="B488" s="305">
        <f t="shared" si="189"/>
        <v>13</v>
      </c>
      <c r="C488" s="305">
        <f t="shared" si="188"/>
        <v>0</v>
      </c>
      <c r="D488" s="305">
        <f t="shared" si="188"/>
        <v>13</v>
      </c>
      <c r="E488" s="305">
        <v>0</v>
      </c>
      <c r="F488" s="305">
        <v>0</v>
      </c>
      <c r="G488" s="305">
        <v>0</v>
      </c>
      <c r="H488" s="305">
        <v>13</v>
      </c>
      <c r="I488" s="305">
        <v>0</v>
      </c>
      <c r="J488" s="305">
        <v>0</v>
      </c>
      <c r="K488" s="305">
        <v>0</v>
      </c>
      <c r="L488" s="305">
        <v>0</v>
      </c>
      <c r="M488" s="305">
        <v>0</v>
      </c>
      <c r="N488" s="305">
        <v>0</v>
      </c>
      <c r="O488" s="305">
        <v>0</v>
      </c>
      <c r="P488" s="305">
        <v>0</v>
      </c>
      <c r="Q488" s="203" t="s">
        <v>146</v>
      </c>
      <c r="R488" s="306"/>
    </row>
    <row r="489" spans="2:18" ht="22.5" customHeight="1" thickBot="1" x14ac:dyDescent="0.25">
      <c r="B489" s="305">
        <f t="shared" si="189"/>
        <v>45</v>
      </c>
      <c r="C489" s="305">
        <f t="shared" si="188"/>
        <v>0</v>
      </c>
      <c r="D489" s="305">
        <f t="shared" si="188"/>
        <v>45</v>
      </c>
      <c r="E489" s="305">
        <v>0</v>
      </c>
      <c r="F489" s="305">
        <v>0</v>
      </c>
      <c r="G489" s="305">
        <v>0</v>
      </c>
      <c r="H489" s="305">
        <v>0</v>
      </c>
      <c r="I489" s="305">
        <v>0</v>
      </c>
      <c r="J489" s="305">
        <v>8</v>
      </c>
      <c r="K489" s="305">
        <v>0</v>
      </c>
      <c r="L489" s="305">
        <v>33</v>
      </c>
      <c r="M489" s="305">
        <v>0</v>
      </c>
      <c r="N489" s="305">
        <v>4</v>
      </c>
      <c r="O489" s="305">
        <v>0</v>
      </c>
      <c r="P489" s="305">
        <v>0</v>
      </c>
      <c r="Q489" s="203" t="s">
        <v>145</v>
      </c>
      <c r="R489" s="306" t="s">
        <v>454</v>
      </c>
    </row>
    <row r="490" spans="2:18" ht="22.5" customHeight="1" thickBot="1" x14ac:dyDescent="0.25">
      <c r="B490" s="305">
        <f>SUM(B488:B489)</f>
        <v>58</v>
      </c>
      <c r="C490" s="305">
        <f t="shared" si="188"/>
        <v>0</v>
      </c>
      <c r="D490" s="305">
        <f t="shared" si="188"/>
        <v>58</v>
      </c>
      <c r="E490" s="305">
        <f t="shared" ref="E490:P490" si="199">SUM(E488:E489)</f>
        <v>0</v>
      </c>
      <c r="F490" s="305">
        <f t="shared" si="199"/>
        <v>0</v>
      </c>
      <c r="G490" s="305">
        <f t="shared" si="199"/>
        <v>0</v>
      </c>
      <c r="H490" s="305">
        <f t="shared" si="199"/>
        <v>13</v>
      </c>
      <c r="I490" s="305">
        <f t="shared" si="199"/>
        <v>0</v>
      </c>
      <c r="J490" s="305">
        <f t="shared" si="199"/>
        <v>8</v>
      </c>
      <c r="K490" s="305">
        <f t="shared" si="199"/>
        <v>0</v>
      </c>
      <c r="L490" s="305">
        <f t="shared" si="199"/>
        <v>33</v>
      </c>
      <c r="M490" s="305">
        <f t="shared" si="199"/>
        <v>0</v>
      </c>
      <c r="N490" s="305">
        <f t="shared" si="199"/>
        <v>4</v>
      </c>
      <c r="O490" s="305">
        <f t="shared" si="199"/>
        <v>0</v>
      </c>
      <c r="P490" s="305">
        <f t="shared" si="199"/>
        <v>0</v>
      </c>
      <c r="Q490" s="203" t="s">
        <v>12</v>
      </c>
      <c r="R490" s="307"/>
    </row>
    <row r="491" spans="2:18" ht="22.5" customHeight="1" thickBot="1" x14ac:dyDescent="0.25">
      <c r="B491" s="305">
        <f t="shared" si="189"/>
        <v>38</v>
      </c>
      <c r="C491" s="305">
        <f t="shared" si="188"/>
        <v>0</v>
      </c>
      <c r="D491" s="305">
        <f t="shared" si="188"/>
        <v>38</v>
      </c>
      <c r="E491" s="305">
        <v>0</v>
      </c>
      <c r="F491" s="305">
        <v>0</v>
      </c>
      <c r="G491" s="305">
        <v>0</v>
      </c>
      <c r="H491" s="305">
        <v>26</v>
      </c>
      <c r="I491" s="305">
        <v>0</v>
      </c>
      <c r="J491" s="305">
        <v>0</v>
      </c>
      <c r="K491" s="305">
        <v>0</v>
      </c>
      <c r="L491" s="305">
        <v>10</v>
      </c>
      <c r="M491" s="305">
        <v>0</v>
      </c>
      <c r="N491" s="305">
        <v>1</v>
      </c>
      <c r="O491" s="305">
        <v>0</v>
      </c>
      <c r="P491" s="305">
        <v>1</v>
      </c>
      <c r="Q491" s="203" t="s">
        <v>146</v>
      </c>
      <c r="R491" s="306"/>
    </row>
    <row r="492" spans="2:18" ht="22.5" customHeight="1" thickBot="1" x14ac:dyDescent="0.25">
      <c r="B492" s="305">
        <f t="shared" si="189"/>
        <v>65</v>
      </c>
      <c r="C492" s="305">
        <f t="shared" si="188"/>
        <v>0</v>
      </c>
      <c r="D492" s="305">
        <f t="shared" si="188"/>
        <v>65</v>
      </c>
      <c r="E492" s="305">
        <v>0</v>
      </c>
      <c r="F492" s="305">
        <v>0</v>
      </c>
      <c r="G492" s="305">
        <v>0</v>
      </c>
      <c r="H492" s="305">
        <v>0</v>
      </c>
      <c r="I492" s="305">
        <v>0</v>
      </c>
      <c r="J492" s="305">
        <v>22</v>
      </c>
      <c r="K492" s="305">
        <v>0</v>
      </c>
      <c r="L492" s="305">
        <v>38</v>
      </c>
      <c r="M492" s="305">
        <v>0</v>
      </c>
      <c r="N492" s="305">
        <v>1</v>
      </c>
      <c r="O492" s="305">
        <v>0</v>
      </c>
      <c r="P492" s="305">
        <v>4</v>
      </c>
      <c r="Q492" s="203" t="s">
        <v>145</v>
      </c>
      <c r="R492" s="306" t="s">
        <v>364</v>
      </c>
    </row>
    <row r="493" spans="2:18" ht="22.5" customHeight="1" thickBot="1" x14ac:dyDescent="0.25">
      <c r="B493" s="305">
        <f>SUM(B491:B492)</f>
        <v>103</v>
      </c>
      <c r="C493" s="305">
        <f t="shared" ref="C493:D524" si="200">O493+M493+K493+I493+G493+E493</f>
        <v>0</v>
      </c>
      <c r="D493" s="305">
        <f t="shared" si="200"/>
        <v>103</v>
      </c>
      <c r="E493" s="305">
        <f t="shared" ref="E493:P493" si="201">SUM(E491:E492)</f>
        <v>0</v>
      </c>
      <c r="F493" s="305">
        <f t="shared" si="201"/>
        <v>0</v>
      </c>
      <c r="G493" s="305">
        <f t="shared" si="201"/>
        <v>0</v>
      </c>
      <c r="H493" s="305">
        <f t="shared" si="201"/>
        <v>26</v>
      </c>
      <c r="I493" s="305">
        <f t="shared" si="201"/>
        <v>0</v>
      </c>
      <c r="J493" s="305">
        <f t="shared" si="201"/>
        <v>22</v>
      </c>
      <c r="K493" s="305">
        <f t="shared" si="201"/>
        <v>0</v>
      </c>
      <c r="L493" s="305">
        <f t="shared" si="201"/>
        <v>48</v>
      </c>
      <c r="M493" s="305">
        <f t="shared" si="201"/>
        <v>0</v>
      </c>
      <c r="N493" s="305">
        <f t="shared" si="201"/>
        <v>2</v>
      </c>
      <c r="O493" s="305">
        <f t="shared" si="201"/>
        <v>0</v>
      </c>
      <c r="P493" s="305">
        <f t="shared" si="201"/>
        <v>5</v>
      </c>
      <c r="Q493" s="203" t="s">
        <v>12</v>
      </c>
      <c r="R493" s="307"/>
    </row>
    <row r="494" spans="2:18" ht="22.5" customHeight="1" thickBot="1" x14ac:dyDescent="0.25">
      <c r="B494" s="305">
        <f t="shared" si="189"/>
        <v>2</v>
      </c>
      <c r="C494" s="305">
        <f t="shared" si="200"/>
        <v>0</v>
      </c>
      <c r="D494" s="305">
        <f t="shared" si="200"/>
        <v>2</v>
      </c>
      <c r="E494" s="305">
        <v>0</v>
      </c>
      <c r="F494" s="305">
        <v>0</v>
      </c>
      <c r="G494" s="305">
        <v>0</v>
      </c>
      <c r="H494" s="305">
        <v>0</v>
      </c>
      <c r="I494" s="305">
        <v>0</v>
      </c>
      <c r="J494" s="305">
        <v>1</v>
      </c>
      <c r="K494" s="305">
        <v>0</v>
      </c>
      <c r="L494" s="305">
        <v>0</v>
      </c>
      <c r="M494" s="305">
        <v>0</v>
      </c>
      <c r="N494" s="305">
        <v>1</v>
      </c>
      <c r="O494" s="305">
        <v>0</v>
      </c>
      <c r="P494" s="305">
        <v>0</v>
      </c>
      <c r="Q494" s="203" t="s">
        <v>146</v>
      </c>
      <c r="R494" s="306"/>
    </row>
    <row r="495" spans="2:18" ht="22.5" customHeight="1" thickBot="1" x14ac:dyDescent="0.25">
      <c r="B495" s="305">
        <f t="shared" si="189"/>
        <v>19</v>
      </c>
      <c r="C495" s="305">
        <f t="shared" si="200"/>
        <v>0</v>
      </c>
      <c r="D495" s="305">
        <f t="shared" si="200"/>
        <v>19</v>
      </c>
      <c r="E495" s="305">
        <v>0</v>
      </c>
      <c r="F495" s="305">
        <v>0</v>
      </c>
      <c r="G495" s="305">
        <v>0</v>
      </c>
      <c r="H495" s="305">
        <v>0</v>
      </c>
      <c r="I495" s="305">
        <v>0</v>
      </c>
      <c r="J495" s="305">
        <v>10</v>
      </c>
      <c r="K495" s="305">
        <v>0</v>
      </c>
      <c r="L495" s="305">
        <v>9</v>
      </c>
      <c r="M495" s="305">
        <v>0</v>
      </c>
      <c r="N495" s="305">
        <v>0</v>
      </c>
      <c r="O495" s="305">
        <v>0</v>
      </c>
      <c r="P495" s="305">
        <v>0</v>
      </c>
      <c r="Q495" s="203" t="s">
        <v>145</v>
      </c>
      <c r="R495" s="306" t="s">
        <v>94</v>
      </c>
    </row>
    <row r="496" spans="2:18" ht="22.5" customHeight="1" thickBot="1" x14ac:dyDescent="0.25">
      <c r="B496" s="305">
        <f>SUM(B494:B495)</f>
        <v>21</v>
      </c>
      <c r="C496" s="305">
        <f t="shared" si="200"/>
        <v>0</v>
      </c>
      <c r="D496" s="305">
        <f t="shared" si="200"/>
        <v>21</v>
      </c>
      <c r="E496" s="305">
        <f t="shared" ref="E496:P496" si="202">SUM(E494:E495)</f>
        <v>0</v>
      </c>
      <c r="F496" s="305">
        <f t="shared" si="202"/>
        <v>0</v>
      </c>
      <c r="G496" s="305">
        <f t="shared" si="202"/>
        <v>0</v>
      </c>
      <c r="H496" s="305">
        <f t="shared" si="202"/>
        <v>0</v>
      </c>
      <c r="I496" s="305">
        <f t="shared" si="202"/>
        <v>0</v>
      </c>
      <c r="J496" s="305">
        <f t="shared" si="202"/>
        <v>11</v>
      </c>
      <c r="K496" s="305">
        <f t="shared" si="202"/>
        <v>0</v>
      </c>
      <c r="L496" s="305">
        <f t="shared" si="202"/>
        <v>9</v>
      </c>
      <c r="M496" s="305">
        <f t="shared" si="202"/>
        <v>0</v>
      </c>
      <c r="N496" s="305">
        <f t="shared" si="202"/>
        <v>1</v>
      </c>
      <c r="O496" s="305">
        <f t="shared" si="202"/>
        <v>0</v>
      </c>
      <c r="P496" s="305">
        <f t="shared" si="202"/>
        <v>0</v>
      </c>
      <c r="Q496" s="203" t="s">
        <v>12</v>
      </c>
      <c r="R496" s="307"/>
    </row>
    <row r="497" spans="2:18" ht="22.5" customHeight="1" thickBot="1" x14ac:dyDescent="0.25">
      <c r="B497" s="305">
        <f t="shared" si="189"/>
        <v>32</v>
      </c>
      <c r="C497" s="305">
        <f t="shared" si="200"/>
        <v>27</v>
      </c>
      <c r="D497" s="305">
        <f t="shared" si="200"/>
        <v>5</v>
      </c>
      <c r="E497" s="305">
        <v>0</v>
      </c>
      <c r="F497" s="305">
        <v>0</v>
      </c>
      <c r="G497" s="305">
        <v>27</v>
      </c>
      <c r="H497" s="305">
        <v>2</v>
      </c>
      <c r="I497" s="305">
        <v>0</v>
      </c>
      <c r="J497" s="305">
        <v>1</v>
      </c>
      <c r="K497" s="305">
        <v>0</v>
      </c>
      <c r="L497" s="305">
        <v>1</v>
      </c>
      <c r="M497" s="305">
        <v>0</v>
      </c>
      <c r="N497" s="305">
        <v>1</v>
      </c>
      <c r="O497" s="305">
        <v>0</v>
      </c>
      <c r="P497" s="305">
        <v>0</v>
      </c>
      <c r="Q497" s="203" t="s">
        <v>146</v>
      </c>
      <c r="R497" s="306"/>
    </row>
    <row r="498" spans="2:18" ht="22.5" customHeight="1" thickBot="1" x14ac:dyDescent="0.25">
      <c r="B498" s="305">
        <f t="shared" si="189"/>
        <v>158</v>
      </c>
      <c r="C498" s="305">
        <f t="shared" si="200"/>
        <v>153</v>
      </c>
      <c r="D498" s="305">
        <f t="shared" si="200"/>
        <v>5</v>
      </c>
      <c r="E498" s="305">
        <v>0</v>
      </c>
      <c r="F498" s="305">
        <v>0</v>
      </c>
      <c r="G498" s="305">
        <v>0</v>
      </c>
      <c r="H498" s="305">
        <v>0</v>
      </c>
      <c r="I498" s="305">
        <v>41</v>
      </c>
      <c r="J498" s="305">
        <v>2</v>
      </c>
      <c r="K498" s="305">
        <v>92</v>
      </c>
      <c r="L498" s="305">
        <v>3</v>
      </c>
      <c r="M498" s="305">
        <v>14</v>
      </c>
      <c r="N498" s="305">
        <v>0</v>
      </c>
      <c r="O498" s="305">
        <v>6</v>
      </c>
      <c r="P498" s="305">
        <v>0</v>
      </c>
      <c r="Q498" s="203" t="s">
        <v>145</v>
      </c>
      <c r="R498" s="306" t="s">
        <v>756</v>
      </c>
    </row>
    <row r="499" spans="2:18" ht="22.5" customHeight="1" thickBot="1" x14ac:dyDescent="0.25">
      <c r="B499" s="305">
        <f>SUM(B497:B498)</f>
        <v>190</v>
      </c>
      <c r="C499" s="305">
        <f t="shared" si="200"/>
        <v>180</v>
      </c>
      <c r="D499" s="305">
        <f t="shared" si="200"/>
        <v>10</v>
      </c>
      <c r="E499" s="305">
        <f t="shared" ref="E499:P499" si="203">SUM(E497:E498)</f>
        <v>0</v>
      </c>
      <c r="F499" s="305">
        <f t="shared" si="203"/>
        <v>0</v>
      </c>
      <c r="G499" s="305">
        <f t="shared" si="203"/>
        <v>27</v>
      </c>
      <c r="H499" s="305">
        <f t="shared" si="203"/>
        <v>2</v>
      </c>
      <c r="I499" s="305">
        <f t="shared" si="203"/>
        <v>41</v>
      </c>
      <c r="J499" s="305">
        <f t="shared" si="203"/>
        <v>3</v>
      </c>
      <c r="K499" s="305">
        <f t="shared" si="203"/>
        <v>92</v>
      </c>
      <c r="L499" s="305">
        <f t="shared" si="203"/>
        <v>4</v>
      </c>
      <c r="M499" s="305">
        <f t="shared" si="203"/>
        <v>14</v>
      </c>
      <c r="N499" s="305">
        <f t="shared" si="203"/>
        <v>1</v>
      </c>
      <c r="O499" s="305">
        <f t="shared" si="203"/>
        <v>6</v>
      </c>
      <c r="P499" s="305">
        <f t="shared" si="203"/>
        <v>0</v>
      </c>
      <c r="Q499" s="203" t="s">
        <v>12</v>
      </c>
      <c r="R499" s="307"/>
    </row>
    <row r="500" spans="2:18" ht="22.5" customHeight="1" thickBot="1" x14ac:dyDescent="0.25">
      <c r="B500" s="305">
        <f t="shared" si="189"/>
        <v>42</v>
      </c>
      <c r="C500" s="305">
        <f t="shared" si="200"/>
        <v>0</v>
      </c>
      <c r="D500" s="305">
        <f t="shared" si="200"/>
        <v>42</v>
      </c>
      <c r="E500" s="305">
        <v>0</v>
      </c>
      <c r="F500" s="305">
        <v>0</v>
      </c>
      <c r="G500" s="305">
        <v>0</v>
      </c>
      <c r="H500" s="305">
        <v>25</v>
      </c>
      <c r="I500" s="305">
        <v>0</v>
      </c>
      <c r="J500" s="305">
        <v>1</v>
      </c>
      <c r="K500" s="305">
        <v>0</v>
      </c>
      <c r="L500" s="305">
        <v>9</v>
      </c>
      <c r="M500" s="305">
        <v>0</v>
      </c>
      <c r="N500" s="305">
        <v>3</v>
      </c>
      <c r="O500" s="305">
        <v>0</v>
      </c>
      <c r="P500" s="305">
        <v>4</v>
      </c>
      <c r="Q500" s="203" t="s">
        <v>146</v>
      </c>
      <c r="R500" s="306"/>
    </row>
    <row r="501" spans="2:18" ht="22.5" customHeight="1" thickBot="1" x14ac:dyDescent="0.25">
      <c r="B501" s="305">
        <f t="shared" si="189"/>
        <v>102</v>
      </c>
      <c r="C501" s="305">
        <f t="shared" si="200"/>
        <v>0</v>
      </c>
      <c r="D501" s="305">
        <f t="shared" si="200"/>
        <v>102</v>
      </c>
      <c r="E501" s="305">
        <v>0</v>
      </c>
      <c r="F501" s="305">
        <v>0</v>
      </c>
      <c r="G501" s="305">
        <v>0</v>
      </c>
      <c r="H501" s="305">
        <v>0</v>
      </c>
      <c r="I501" s="305">
        <v>0</v>
      </c>
      <c r="J501" s="305">
        <v>16</v>
      </c>
      <c r="K501" s="305">
        <v>0</v>
      </c>
      <c r="L501" s="305">
        <v>73</v>
      </c>
      <c r="M501" s="305">
        <v>0</v>
      </c>
      <c r="N501" s="305">
        <v>13</v>
      </c>
      <c r="O501" s="305">
        <v>0</v>
      </c>
      <c r="P501" s="305">
        <v>0</v>
      </c>
      <c r="Q501" s="203" t="s">
        <v>145</v>
      </c>
      <c r="R501" s="306" t="s">
        <v>455</v>
      </c>
    </row>
    <row r="502" spans="2:18" ht="22.5" customHeight="1" thickBot="1" x14ac:dyDescent="0.25">
      <c r="B502" s="305">
        <f>SUM(B500:B501)</f>
        <v>144</v>
      </c>
      <c r="C502" s="305">
        <f t="shared" si="200"/>
        <v>0</v>
      </c>
      <c r="D502" s="305">
        <f t="shared" si="200"/>
        <v>144</v>
      </c>
      <c r="E502" s="305">
        <f t="shared" ref="E502:P502" si="204">SUM(E500:E501)</f>
        <v>0</v>
      </c>
      <c r="F502" s="305">
        <f t="shared" si="204"/>
        <v>0</v>
      </c>
      <c r="G502" s="305">
        <f t="shared" si="204"/>
        <v>0</v>
      </c>
      <c r="H502" s="305">
        <f t="shared" si="204"/>
        <v>25</v>
      </c>
      <c r="I502" s="305">
        <f t="shared" si="204"/>
        <v>0</v>
      </c>
      <c r="J502" s="305">
        <f t="shared" si="204"/>
        <v>17</v>
      </c>
      <c r="K502" s="305">
        <f t="shared" si="204"/>
        <v>0</v>
      </c>
      <c r="L502" s="305">
        <f t="shared" si="204"/>
        <v>82</v>
      </c>
      <c r="M502" s="305">
        <f t="shared" si="204"/>
        <v>0</v>
      </c>
      <c r="N502" s="305">
        <f t="shared" si="204"/>
        <v>16</v>
      </c>
      <c r="O502" s="305">
        <f t="shared" si="204"/>
        <v>0</v>
      </c>
      <c r="P502" s="305">
        <f t="shared" si="204"/>
        <v>4</v>
      </c>
      <c r="Q502" s="203" t="s">
        <v>12</v>
      </c>
      <c r="R502" s="307"/>
    </row>
    <row r="503" spans="2:18" ht="22.5" customHeight="1" thickBot="1" x14ac:dyDescent="0.25">
      <c r="B503" s="305">
        <f t="shared" si="189"/>
        <v>94</v>
      </c>
      <c r="C503" s="305">
        <f t="shared" si="200"/>
        <v>4</v>
      </c>
      <c r="D503" s="305">
        <f t="shared" si="200"/>
        <v>90</v>
      </c>
      <c r="E503" s="305">
        <v>0</v>
      </c>
      <c r="F503" s="305">
        <v>0</v>
      </c>
      <c r="G503" s="305">
        <v>2</v>
      </c>
      <c r="H503" s="305">
        <v>47</v>
      </c>
      <c r="I503" s="305">
        <v>0</v>
      </c>
      <c r="J503" s="305">
        <v>0</v>
      </c>
      <c r="K503" s="305">
        <v>2</v>
      </c>
      <c r="L503" s="305">
        <v>25</v>
      </c>
      <c r="M503" s="305">
        <v>0</v>
      </c>
      <c r="N503" s="305">
        <v>12</v>
      </c>
      <c r="O503" s="305">
        <v>0</v>
      </c>
      <c r="P503" s="305">
        <v>6</v>
      </c>
      <c r="Q503" s="203" t="s">
        <v>146</v>
      </c>
      <c r="R503" s="306"/>
    </row>
    <row r="504" spans="2:18" ht="22.5" customHeight="1" thickBot="1" x14ac:dyDescent="0.25">
      <c r="B504" s="305">
        <f t="shared" si="189"/>
        <v>100</v>
      </c>
      <c r="C504" s="305">
        <f t="shared" si="200"/>
        <v>4</v>
      </c>
      <c r="D504" s="305">
        <f t="shared" si="200"/>
        <v>96</v>
      </c>
      <c r="E504" s="305">
        <v>0</v>
      </c>
      <c r="F504" s="305">
        <v>0</v>
      </c>
      <c r="G504" s="305">
        <v>0</v>
      </c>
      <c r="H504" s="305">
        <v>0</v>
      </c>
      <c r="I504" s="305">
        <v>1</v>
      </c>
      <c r="J504" s="305">
        <v>12</v>
      </c>
      <c r="K504" s="305">
        <v>3</v>
      </c>
      <c r="L504" s="305">
        <v>53</v>
      </c>
      <c r="M504" s="305">
        <v>0</v>
      </c>
      <c r="N504" s="305">
        <v>22</v>
      </c>
      <c r="O504" s="305">
        <v>0</v>
      </c>
      <c r="P504" s="305">
        <v>9</v>
      </c>
      <c r="Q504" s="203" t="s">
        <v>145</v>
      </c>
      <c r="R504" s="306" t="s">
        <v>344</v>
      </c>
    </row>
    <row r="505" spans="2:18" ht="22.5" customHeight="1" thickBot="1" x14ac:dyDescent="0.25">
      <c r="B505" s="305">
        <f>SUM(B503:B504)</f>
        <v>194</v>
      </c>
      <c r="C505" s="305">
        <f t="shared" si="200"/>
        <v>8</v>
      </c>
      <c r="D505" s="305">
        <f t="shared" si="200"/>
        <v>186</v>
      </c>
      <c r="E505" s="305">
        <f t="shared" ref="E505:P505" si="205">SUM(E503:E504)</f>
        <v>0</v>
      </c>
      <c r="F505" s="305">
        <f t="shared" si="205"/>
        <v>0</v>
      </c>
      <c r="G505" s="305">
        <f t="shared" si="205"/>
        <v>2</v>
      </c>
      <c r="H505" s="305">
        <f t="shared" si="205"/>
        <v>47</v>
      </c>
      <c r="I505" s="305">
        <f t="shared" si="205"/>
        <v>1</v>
      </c>
      <c r="J505" s="305">
        <f t="shared" si="205"/>
        <v>12</v>
      </c>
      <c r="K505" s="305">
        <f t="shared" si="205"/>
        <v>5</v>
      </c>
      <c r="L505" s="305">
        <f t="shared" si="205"/>
        <v>78</v>
      </c>
      <c r="M505" s="305">
        <f t="shared" si="205"/>
        <v>0</v>
      </c>
      <c r="N505" s="305">
        <f t="shared" si="205"/>
        <v>34</v>
      </c>
      <c r="O505" s="305">
        <f t="shared" si="205"/>
        <v>0</v>
      </c>
      <c r="P505" s="305">
        <f t="shared" si="205"/>
        <v>15</v>
      </c>
      <c r="Q505" s="203" t="s">
        <v>12</v>
      </c>
      <c r="R505" s="307"/>
    </row>
    <row r="506" spans="2:18" ht="22.5" customHeight="1" thickBot="1" x14ac:dyDescent="0.25">
      <c r="B506" s="305">
        <f t="shared" si="189"/>
        <v>0</v>
      </c>
      <c r="C506" s="305">
        <f t="shared" si="200"/>
        <v>0</v>
      </c>
      <c r="D506" s="305">
        <f t="shared" si="200"/>
        <v>0</v>
      </c>
      <c r="E506" s="305">
        <v>0</v>
      </c>
      <c r="F506" s="305">
        <v>0</v>
      </c>
      <c r="G506" s="305">
        <v>0</v>
      </c>
      <c r="H506" s="305">
        <v>0</v>
      </c>
      <c r="I506" s="305">
        <v>0</v>
      </c>
      <c r="J506" s="305">
        <v>0</v>
      </c>
      <c r="K506" s="305">
        <v>0</v>
      </c>
      <c r="L506" s="305">
        <v>0</v>
      </c>
      <c r="M506" s="305">
        <v>0</v>
      </c>
      <c r="N506" s="305">
        <v>0</v>
      </c>
      <c r="O506" s="305">
        <v>0</v>
      </c>
      <c r="P506" s="305">
        <v>0</v>
      </c>
      <c r="Q506" s="203" t="s">
        <v>146</v>
      </c>
      <c r="R506" s="306"/>
    </row>
    <row r="507" spans="2:18" ht="22.5" customHeight="1" thickBot="1" x14ac:dyDescent="0.25">
      <c r="B507" s="305">
        <f t="shared" si="189"/>
        <v>29</v>
      </c>
      <c r="C507" s="305">
        <f t="shared" si="200"/>
        <v>0</v>
      </c>
      <c r="D507" s="305">
        <f t="shared" si="200"/>
        <v>29</v>
      </c>
      <c r="E507" s="305">
        <v>0</v>
      </c>
      <c r="F507" s="305">
        <v>0</v>
      </c>
      <c r="G507" s="305">
        <v>0</v>
      </c>
      <c r="H507" s="305">
        <v>0</v>
      </c>
      <c r="I507" s="305">
        <v>0</v>
      </c>
      <c r="J507" s="305">
        <v>12</v>
      </c>
      <c r="K507" s="305">
        <v>0</v>
      </c>
      <c r="L507" s="305">
        <v>16</v>
      </c>
      <c r="M507" s="305">
        <v>0</v>
      </c>
      <c r="N507" s="305">
        <v>1</v>
      </c>
      <c r="O507" s="305">
        <v>0</v>
      </c>
      <c r="P507" s="305">
        <v>0</v>
      </c>
      <c r="Q507" s="203" t="s">
        <v>145</v>
      </c>
      <c r="R507" s="306" t="s">
        <v>95</v>
      </c>
    </row>
    <row r="508" spans="2:18" ht="22.5" customHeight="1" thickBot="1" x14ac:dyDescent="0.25">
      <c r="B508" s="305">
        <f>SUM(B506:B507)</f>
        <v>29</v>
      </c>
      <c r="C508" s="305">
        <f t="shared" si="200"/>
        <v>0</v>
      </c>
      <c r="D508" s="305">
        <f t="shared" si="200"/>
        <v>29</v>
      </c>
      <c r="E508" s="305">
        <f t="shared" ref="E508:P508" si="206">SUM(E506:E507)</f>
        <v>0</v>
      </c>
      <c r="F508" s="305">
        <f t="shared" si="206"/>
        <v>0</v>
      </c>
      <c r="G508" s="305">
        <f t="shared" si="206"/>
        <v>0</v>
      </c>
      <c r="H508" s="305">
        <f t="shared" si="206"/>
        <v>0</v>
      </c>
      <c r="I508" s="305">
        <f t="shared" si="206"/>
        <v>0</v>
      </c>
      <c r="J508" s="305">
        <f t="shared" si="206"/>
        <v>12</v>
      </c>
      <c r="K508" s="305">
        <f t="shared" si="206"/>
        <v>0</v>
      </c>
      <c r="L508" s="305">
        <f t="shared" si="206"/>
        <v>16</v>
      </c>
      <c r="M508" s="305">
        <f t="shared" si="206"/>
        <v>0</v>
      </c>
      <c r="N508" s="305">
        <f t="shared" si="206"/>
        <v>1</v>
      </c>
      <c r="O508" s="305">
        <f t="shared" si="206"/>
        <v>0</v>
      </c>
      <c r="P508" s="305">
        <f t="shared" si="206"/>
        <v>0</v>
      </c>
      <c r="Q508" s="203" t="s">
        <v>12</v>
      </c>
      <c r="R508" s="307"/>
    </row>
    <row r="509" spans="2:18" ht="22.5" customHeight="1" thickBot="1" x14ac:dyDescent="0.25">
      <c r="B509" s="305">
        <f t="shared" si="189"/>
        <v>26</v>
      </c>
      <c r="C509" s="305">
        <f t="shared" si="200"/>
        <v>24</v>
      </c>
      <c r="D509" s="305">
        <f t="shared" si="200"/>
        <v>2</v>
      </c>
      <c r="E509" s="305">
        <v>0</v>
      </c>
      <c r="F509" s="305">
        <v>0</v>
      </c>
      <c r="G509" s="305">
        <v>22</v>
      </c>
      <c r="H509" s="305">
        <v>2</v>
      </c>
      <c r="I509" s="305">
        <v>2</v>
      </c>
      <c r="J509" s="305">
        <v>0</v>
      </c>
      <c r="K509" s="305">
        <v>0</v>
      </c>
      <c r="L509" s="305">
        <v>0</v>
      </c>
      <c r="M509" s="305">
        <v>0</v>
      </c>
      <c r="N509" s="305">
        <v>0</v>
      </c>
      <c r="O509" s="305">
        <v>0</v>
      </c>
      <c r="P509" s="305">
        <v>0</v>
      </c>
      <c r="Q509" s="203" t="s">
        <v>146</v>
      </c>
      <c r="R509" s="306"/>
    </row>
    <row r="510" spans="2:18" ht="22.5" customHeight="1" thickBot="1" x14ac:dyDescent="0.25">
      <c r="B510" s="305">
        <f t="shared" si="189"/>
        <v>5</v>
      </c>
      <c r="C510" s="305">
        <f t="shared" si="200"/>
        <v>2</v>
      </c>
      <c r="D510" s="305">
        <f t="shared" si="200"/>
        <v>3</v>
      </c>
      <c r="E510" s="305">
        <v>0</v>
      </c>
      <c r="F510" s="305">
        <v>0</v>
      </c>
      <c r="G510" s="305">
        <v>0</v>
      </c>
      <c r="H510" s="305">
        <v>0</v>
      </c>
      <c r="I510" s="305">
        <v>2</v>
      </c>
      <c r="J510" s="305">
        <v>0</v>
      </c>
      <c r="K510" s="305">
        <v>0</v>
      </c>
      <c r="L510" s="305">
        <v>3</v>
      </c>
      <c r="M510" s="305">
        <v>0</v>
      </c>
      <c r="N510" s="305">
        <v>0</v>
      </c>
      <c r="O510" s="305">
        <v>0</v>
      </c>
      <c r="P510" s="305">
        <v>0</v>
      </c>
      <c r="Q510" s="203" t="s">
        <v>145</v>
      </c>
      <c r="R510" s="306" t="s">
        <v>456</v>
      </c>
    </row>
    <row r="511" spans="2:18" ht="22.5" customHeight="1" thickBot="1" x14ac:dyDescent="0.25">
      <c r="B511" s="305">
        <f>SUM(B509:B510)</f>
        <v>31</v>
      </c>
      <c r="C511" s="305">
        <f t="shared" si="200"/>
        <v>26</v>
      </c>
      <c r="D511" s="305">
        <f t="shared" si="200"/>
        <v>5</v>
      </c>
      <c r="E511" s="305">
        <f t="shared" ref="E511:P511" si="207">SUM(E509:E510)</f>
        <v>0</v>
      </c>
      <c r="F511" s="305">
        <f t="shared" si="207"/>
        <v>0</v>
      </c>
      <c r="G511" s="305">
        <f t="shared" si="207"/>
        <v>22</v>
      </c>
      <c r="H511" s="305">
        <f t="shared" si="207"/>
        <v>2</v>
      </c>
      <c r="I511" s="305">
        <f t="shared" si="207"/>
        <v>4</v>
      </c>
      <c r="J511" s="305">
        <f t="shared" si="207"/>
        <v>0</v>
      </c>
      <c r="K511" s="305">
        <f t="shared" si="207"/>
        <v>0</v>
      </c>
      <c r="L511" s="305">
        <f t="shared" si="207"/>
        <v>3</v>
      </c>
      <c r="M511" s="305">
        <f t="shared" si="207"/>
        <v>0</v>
      </c>
      <c r="N511" s="305">
        <f t="shared" si="207"/>
        <v>0</v>
      </c>
      <c r="O511" s="305">
        <f t="shared" si="207"/>
        <v>0</v>
      </c>
      <c r="P511" s="305">
        <f t="shared" si="207"/>
        <v>0</v>
      </c>
      <c r="Q511" s="203" t="s">
        <v>12</v>
      </c>
      <c r="R511" s="307"/>
    </row>
    <row r="512" spans="2:18" ht="22.5" customHeight="1" thickBot="1" x14ac:dyDescent="0.25">
      <c r="B512" s="305">
        <f t="shared" si="189"/>
        <v>39</v>
      </c>
      <c r="C512" s="305">
        <f t="shared" si="200"/>
        <v>39</v>
      </c>
      <c r="D512" s="305">
        <f t="shared" si="200"/>
        <v>0</v>
      </c>
      <c r="E512" s="305">
        <v>0</v>
      </c>
      <c r="F512" s="305">
        <v>0</v>
      </c>
      <c r="G512" s="305">
        <v>24</v>
      </c>
      <c r="H512" s="305">
        <v>0</v>
      </c>
      <c r="I512" s="305">
        <v>9</v>
      </c>
      <c r="J512" s="305">
        <v>0</v>
      </c>
      <c r="K512" s="305">
        <v>6</v>
      </c>
      <c r="L512" s="305">
        <v>0</v>
      </c>
      <c r="M512" s="305">
        <v>0</v>
      </c>
      <c r="N512" s="305">
        <v>0</v>
      </c>
      <c r="O512" s="305">
        <v>0</v>
      </c>
      <c r="P512" s="305">
        <v>0</v>
      </c>
      <c r="Q512" s="203" t="s">
        <v>146</v>
      </c>
      <c r="R512" s="306"/>
    </row>
    <row r="513" spans="2:18" ht="22.5" customHeight="1" thickBot="1" x14ac:dyDescent="0.25">
      <c r="B513" s="305">
        <f t="shared" si="189"/>
        <v>36</v>
      </c>
      <c r="C513" s="305">
        <f t="shared" si="200"/>
        <v>24</v>
      </c>
      <c r="D513" s="305">
        <f t="shared" si="200"/>
        <v>12</v>
      </c>
      <c r="E513" s="305">
        <v>0</v>
      </c>
      <c r="F513" s="305">
        <v>0</v>
      </c>
      <c r="G513" s="305">
        <v>0</v>
      </c>
      <c r="H513" s="305">
        <v>0</v>
      </c>
      <c r="I513" s="305">
        <v>5</v>
      </c>
      <c r="J513" s="305">
        <v>0</v>
      </c>
      <c r="K513" s="305">
        <v>15</v>
      </c>
      <c r="L513" s="305">
        <v>6</v>
      </c>
      <c r="M513" s="305">
        <v>4</v>
      </c>
      <c r="N513" s="305">
        <v>4</v>
      </c>
      <c r="O513" s="305">
        <v>0</v>
      </c>
      <c r="P513" s="305">
        <v>2</v>
      </c>
      <c r="Q513" s="203" t="s">
        <v>145</v>
      </c>
      <c r="R513" s="306" t="s">
        <v>457</v>
      </c>
    </row>
    <row r="514" spans="2:18" ht="22.5" customHeight="1" thickBot="1" x14ac:dyDescent="0.25">
      <c r="B514" s="305">
        <f>SUM(B512:B513)</f>
        <v>75</v>
      </c>
      <c r="C514" s="305">
        <f t="shared" si="200"/>
        <v>63</v>
      </c>
      <c r="D514" s="305">
        <f t="shared" si="200"/>
        <v>12</v>
      </c>
      <c r="E514" s="305">
        <f t="shared" ref="E514:P514" si="208">SUM(E512:E513)</f>
        <v>0</v>
      </c>
      <c r="F514" s="305">
        <f t="shared" si="208"/>
        <v>0</v>
      </c>
      <c r="G514" s="305">
        <f t="shared" si="208"/>
        <v>24</v>
      </c>
      <c r="H514" s="305">
        <f t="shared" si="208"/>
        <v>0</v>
      </c>
      <c r="I514" s="305">
        <f t="shared" si="208"/>
        <v>14</v>
      </c>
      <c r="J514" s="305">
        <f t="shared" si="208"/>
        <v>0</v>
      </c>
      <c r="K514" s="305">
        <f t="shared" si="208"/>
        <v>21</v>
      </c>
      <c r="L514" s="305">
        <f t="shared" si="208"/>
        <v>6</v>
      </c>
      <c r="M514" s="305">
        <f t="shared" si="208"/>
        <v>4</v>
      </c>
      <c r="N514" s="305">
        <f t="shared" si="208"/>
        <v>4</v>
      </c>
      <c r="O514" s="305">
        <f t="shared" si="208"/>
        <v>0</v>
      </c>
      <c r="P514" s="305">
        <f t="shared" si="208"/>
        <v>2</v>
      </c>
      <c r="Q514" s="203" t="s">
        <v>12</v>
      </c>
      <c r="R514" s="307"/>
    </row>
    <row r="515" spans="2:18" ht="22.5" customHeight="1" thickBot="1" x14ac:dyDescent="0.25">
      <c r="B515" s="305">
        <f t="shared" si="189"/>
        <v>63</v>
      </c>
      <c r="C515" s="305">
        <f t="shared" si="200"/>
        <v>61</v>
      </c>
      <c r="D515" s="305">
        <f t="shared" si="200"/>
        <v>2</v>
      </c>
      <c r="E515" s="305">
        <v>0</v>
      </c>
      <c r="F515" s="305">
        <v>0</v>
      </c>
      <c r="G515" s="305">
        <v>32</v>
      </c>
      <c r="H515" s="305">
        <v>2</v>
      </c>
      <c r="I515" s="305">
        <v>17</v>
      </c>
      <c r="J515" s="305">
        <v>0</v>
      </c>
      <c r="K515" s="305">
        <v>12</v>
      </c>
      <c r="L515" s="305">
        <v>0</v>
      </c>
      <c r="M515" s="305">
        <v>0</v>
      </c>
      <c r="N515" s="305">
        <v>0</v>
      </c>
      <c r="O515" s="305">
        <v>0</v>
      </c>
      <c r="P515" s="305">
        <v>0</v>
      </c>
      <c r="Q515" s="203" t="s">
        <v>146</v>
      </c>
      <c r="R515" s="306"/>
    </row>
    <row r="516" spans="2:18" ht="22.5" customHeight="1" thickBot="1" x14ac:dyDescent="0.25">
      <c r="B516" s="305">
        <f t="shared" si="189"/>
        <v>74</v>
      </c>
      <c r="C516" s="305">
        <f t="shared" si="200"/>
        <v>49</v>
      </c>
      <c r="D516" s="305">
        <f t="shared" si="200"/>
        <v>25</v>
      </c>
      <c r="E516" s="305">
        <v>0</v>
      </c>
      <c r="F516" s="305">
        <v>0</v>
      </c>
      <c r="G516" s="305">
        <v>0</v>
      </c>
      <c r="H516" s="305">
        <v>0</v>
      </c>
      <c r="I516" s="305">
        <v>6</v>
      </c>
      <c r="J516" s="305">
        <v>2</v>
      </c>
      <c r="K516" s="305">
        <v>37</v>
      </c>
      <c r="L516" s="305">
        <v>15</v>
      </c>
      <c r="M516" s="305">
        <v>6</v>
      </c>
      <c r="N516" s="305">
        <v>7</v>
      </c>
      <c r="O516" s="305">
        <v>0</v>
      </c>
      <c r="P516" s="305">
        <v>1</v>
      </c>
      <c r="Q516" s="203" t="s">
        <v>145</v>
      </c>
      <c r="R516" s="306" t="s">
        <v>458</v>
      </c>
    </row>
    <row r="517" spans="2:18" ht="22.5" customHeight="1" thickBot="1" x14ac:dyDescent="0.25">
      <c r="B517" s="305">
        <f>SUM(B515:B516)</f>
        <v>137</v>
      </c>
      <c r="C517" s="305">
        <f t="shared" si="200"/>
        <v>110</v>
      </c>
      <c r="D517" s="305">
        <f t="shared" si="200"/>
        <v>27</v>
      </c>
      <c r="E517" s="305">
        <f t="shared" ref="E517:P517" si="209">SUM(E515:E516)</f>
        <v>0</v>
      </c>
      <c r="F517" s="305">
        <f t="shared" si="209"/>
        <v>0</v>
      </c>
      <c r="G517" s="305">
        <f t="shared" si="209"/>
        <v>32</v>
      </c>
      <c r="H517" s="305">
        <f t="shared" si="209"/>
        <v>2</v>
      </c>
      <c r="I517" s="305">
        <f t="shared" si="209"/>
        <v>23</v>
      </c>
      <c r="J517" s="305">
        <f t="shared" si="209"/>
        <v>2</v>
      </c>
      <c r="K517" s="305">
        <f t="shared" si="209"/>
        <v>49</v>
      </c>
      <c r="L517" s="305">
        <f t="shared" si="209"/>
        <v>15</v>
      </c>
      <c r="M517" s="305">
        <f t="shared" si="209"/>
        <v>6</v>
      </c>
      <c r="N517" s="305">
        <f t="shared" si="209"/>
        <v>7</v>
      </c>
      <c r="O517" s="305">
        <f t="shared" si="209"/>
        <v>0</v>
      </c>
      <c r="P517" s="305">
        <f t="shared" si="209"/>
        <v>1</v>
      </c>
      <c r="Q517" s="203" t="s">
        <v>12</v>
      </c>
      <c r="R517" s="307"/>
    </row>
    <row r="518" spans="2:18" ht="22.5" customHeight="1" thickBot="1" x14ac:dyDescent="0.25">
      <c r="B518" s="305">
        <f t="shared" si="189"/>
        <v>19</v>
      </c>
      <c r="C518" s="305">
        <f t="shared" si="200"/>
        <v>19</v>
      </c>
      <c r="D518" s="305">
        <f t="shared" si="200"/>
        <v>0</v>
      </c>
      <c r="E518" s="305">
        <v>0</v>
      </c>
      <c r="F518" s="305">
        <v>0</v>
      </c>
      <c r="G518" s="305">
        <v>18</v>
      </c>
      <c r="H518" s="305">
        <v>0</v>
      </c>
      <c r="I518" s="305">
        <v>1</v>
      </c>
      <c r="J518" s="305">
        <v>0</v>
      </c>
      <c r="K518" s="305">
        <v>0</v>
      </c>
      <c r="L518" s="305">
        <v>0</v>
      </c>
      <c r="M518" s="305">
        <v>0</v>
      </c>
      <c r="N518" s="305">
        <v>0</v>
      </c>
      <c r="O518" s="305">
        <v>0</v>
      </c>
      <c r="P518" s="305">
        <v>0</v>
      </c>
      <c r="Q518" s="203" t="s">
        <v>146</v>
      </c>
      <c r="R518" s="306"/>
    </row>
    <row r="519" spans="2:18" ht="22.5" customHeight="1" thickBot="1" x14ac:dyDescent="0.25">
      <c r="B519" s="305">
        <f t="shared" si="189"/>
        <v>4</v>
      </c>
      <c r="C519" s="305">
        <f t="shared" si="200"/>
        <v>4</v>
      </c>
      <c r="D519" s="305">
        <f t="shared" si="200"/>
        <v>0</v>
      </c>
      <c r="E519" s="305">
        <v>0</v>
      </c>
      <c r="F519" s="305">
        <v>0</v>
      </c>
      <c r="G519" s="305">
        <v>0</v>
      </c>
      <c r="H519" s="305">
        <v>0</v>
      </c>
      <c r="I519" s="305">
        <v>4</v>
      </c>
      <c r="J519" s="305">
        <v>0</v>
      </c>
      <c r="K519" s="305">
        <v>0</v>
      </c>
      <c r="L519" s="305">
        <v>0</v>
      </c>
      <c r="M519" s="305">
        <v>0</v>
      </c>
      <c r="N519" s="305">
        <v>0</v>
      </c>
      <c r="O519" s="305">
        <v>0</v>
      </c>
      <c r="P519" s="305">
        <v>0</v>
      </c>
      <c r="Q519" s="203" t="s">
        <v>145</v>
      </c>
      <c r="R519" s="306" t="s">
        <v>459</v>
      </c>
    </row>
    <row r="520" spans="2:18" ht="22.5" customHeight="1" thickBot="1" x14ac:dyDescent="0.25">
      <c r="B520" s="305">
        <f>SUM(B518:B519)</f>
        <v>23</v>
      </c>
      <c r="C520" s="305">
        <f t="shared" si="200"/>
        <v>23</v>
      </c>
      <c r="D520" s="305">
        <f t="shared" si="200"/>
        <v>0</v>
      </c>
      <c r="E520" s="305">
        <f t="shared" ref="E520:P520" si="210">SUM(E518:E519)</f>
        <v>0</v>
      </c>
      <c r="F520" s="305">
        <f t="shared" si="210"/>
        <v>0</v>
      </c>
      <c r="G520" s="305">
        <f t="shared" si="210"/>
        <v>18</v>
      </c>
      <c r="H520" s="305">
        <f t="shared" si="210"/>
        <v>0</v>
      </c>
      <c r="I520" s="305">
        <f t="shared" si="210"/>
        <v>5</v>
      </c>
      <c r="J520" s="305">
        <f t="shared" si="210"/>
        <v>0</v>
      </c>
      <c r="K520" s="305">
        <f t="shared" si="210"/>
        <v>0</v>
      </c>
      <c r="L520" s="305">
        <f t="shared" si="210"/>
        <v>0</v>
      </c>
      <c r="M520" s="305">
        <f t="shared" si="210"/>
        <v>0</v>
      </c>
      <c r="N520" s="305">
        <f t="shared" si="210"/>
        <v>0</v>
      </c>
      <c r="O520" s="305">
        <f t="shared" si="210"/>
        <v>0</v>
      </c>
      <c r="P520" s="305">
        <f t="shared" si="210"/>
        <v>0</v>
      </c>
      <c r="Q520" s="203" t="s">
        <v>12</v>
      </c>
      <c r="R520" s="307"/>
    </row>
    <row r="521" spans="2:18" ht="22.5" customHeight="1" thickBot="1" x14ac:dyDescent="0.25">
      <c r="B521" s="305">
        <f t="shared" si="189"/>
        <v>20</v>
      </c>
      <c r="C521" s="305">
        <f t="shared" si="200"/>
        <v>20</v>
      </c>
      <c r="D521" s="305">
        <f t="shared" si="200"/>
        <v>0</v>
      </c>
      <c r="E521" s="305">
        <v>0</v>
      </c>
      <c r="F521" s="305">
        <v>0</v>
      </c>
      <c r="G521" s="305">
        <v>20</v>
      </c>
      <c r="H521" s="305">
        <v>0</v>
      </c>
      <c r="I521" s="305">
        <v>0</v>
      </c>
      <c r="J521" s="305">
        <v>0</v>
      </c>
      <c r="K521" s="305">
        <v>0</v>
      </c>
      <c r="L521" s="305">
        <v>0</v>
      </c>
      <c r="M521" s="305">
        <v>0</v>
      </c>
      <c r="N521" s="305">
        <v>0</v>
      </c>
      <c r="O521" s="305">
        <v>0</v>
      </c>
      <c r="P521" s="305">
        <v>0</v>
      </c>
      <c r="Q521" s="203" t="s">
        <v>146</v>
      </c>
      <c r="R521" s="306"/>
    </row>
    <row r="522" spans="2:18" ht="22.5" customHeight="1" thickBot="1" x14ac:dyDescent="0.25">
      <c r="B522" s="305">
        <f t="shared" si="189"/>
        <v>2</v>
      </c>
      <c r="C522" s="305">
        <f t="shared" si="200"/>
        <v>1</v>
      </c>
      <c r="D522" s="305">
        <f t="shared" si="200"/>
        <v>1</v>
      </c>
      <c r="E522" s="305">
        <v>0</v>
      </c>
      <c r="F522" s="305">
        <v>0</v>
      </c>
      <c r="G522" s="305">
        <v>0</v>
      </c>
      <c r="H522" s="305">
        <v>0</v>
      </c>
      <c r="I522" s="305">
        <v>1</v>
      </c>
      <c r="J522" s="305">
        <v>0</v>
      </c>
      <c r="K522" s="305">
        <v>0</v>
      </c>
      <c r="L522" s="305">
        <v>1</v>
      </c>
      <c r="M522" s="305">
        <v>0</v>
      </c>
      <c r="N522" s="305">
        <v>0</v>
      </c>
      <c r="O522" s="305">
        <v>0</v>
      </c>
      <c r="P522" s="305">
        <v>0</v>
      </c>
      <c r="Q522" s="203" t="s">
        <v>145</v>
      </c>
      <c r="R522" s="306" t="s">
        <v>460</v>
      </c>
    </row>
    <row r="523" spans="2:18" ht="22.5" customHeight="1" thickBot="1" x14ac:dyDescent="0.25">
      <c r="B523" s="305">
        <f>SUM(B521:B522)</f>
        <v>22</v>
      </c>
      <c r="C523" s="305">
        <f t="shared" si="200"/>
        <v>21</v>
      </c>
      <c r="D523" s="305">
        <f t="shared" si="200"/>
        <v>1</v>
      </c>
      <c r="E523" s="305">
        <f t="shared" ref="E523:P523" si="211">SUM(E521:E522)</f>
        <v>0</v>
      </c>
      <c r="F523" s="305">
        <f t="shared" si="211"/>
        <v>0</v>
      </c>
      <c r="G523" s="305">
        <f t="shared" si="211"/>
        <v>20</v>
      </c>
      <c r="H523" s="305">
        <f t="shared" si="211"/>
        <v>0</v>
      </c>
      <c r="I523" s="305">
        <f t="shared" si="211"/>
        <v>1</v>
      </c>
      <c r="J523" s="305">
        <f t="shared" si="211"/>
        <v>0</v>
      </c>
      <c r="K523" s="305">
        <f t="shared" si="211"/>
        <v>0</v>
      </c>
      <c r="L523" s="305">
        <f t="shared" si="211"/>
        <v>1</v>
      </c>
      <c r="M523" s="305">
        <f t="shared" si="211"/>
        <v>0</v>
      </c>
      <c r="N523" s="305">
        <f t="shared" si="211"/>
        <v>0</v>
      </c>
      <c r="O523" s="305">
        <f t="shared" si="211"/>
        <v>0</v>
      </c>
      <c r="P523" s="305">
        <f t="shared" si="211"/>
        <v>0</v>
      </c>
      <c r="Q523" s="203" t="s">
        <v>12</v>
      </c>
      <c r="R523" s="307"/>
    </row>
    <row r="524" spans="2:18" ht="22.5" customHeight="1" thickBot="1" x14ac:dyDescent="0.25">
      <c r="B524" s="305">
        <f t="shared" si="189"/>
        <v>9</v>
      </c>
      <c r="C524" s="305">
        <f t="shared" si="200"/>
        <v>9</v>
      </c>
      <c r="D524" s="305">
        <f t="shared" si="200"/>
        <v>0</v>
      </c>
      <c r="E524" s="305">
        <v>0</v>
      </c>
      <c r="F524" s="305">
        <v>0</v>
      </c>
      <c r="G524" s="305">
        <v>9</v>
      </c>
      <c r="H524" s="305">
        <v>0</v>
      </c>
      <c r="I524" s="305">
        <v>0</v>
      </c>
      <c r="J524" s="305">
        <v>0</v>
      </c>
      <c r="K524" s="305">
        <v>0</v>
      </c>
      <c r="L524" s="305">
        <v>0</v>
      </c>
      <c r="M524" s="305">
        <v>0</v>
      </c>
      <c r="N524" s="305">
        <v>0</v>
      </c>
      <c r="O524" s="305">
        <v>0</v>
      </c>
      <c r="P524" s="305">
        <v>0</v>
      </c>
      <c r="Q524" s="203" t="s">
        <v>146</v>
      </c>
      <c r="R524" s="306"/>
    </row>
    <row r="525" spans="2:18" ht="22.5" customHeight="1" thickBot="1" x14ac:dyDescent="0.25">
      <c r="B525" s="305">
        <f t="shared" si="189"/>
        <v>15</v>
      </c>
      <c r="C525" s="305">
        <f t="shared" ref="C525:D556" si="212">O525+M525+K525+I525+G525+E525</f>
        <v>12</v>
      </c>
      <c r="D525" s="305">
        <f t="shared" si="212"/>
        <v>3</v>
      </c>
      <c r="E525" s="305">
        <v>0</v>
      </c>
      <c r="F525" s="305">
        <v>0</v>
      </c>
      <c r="G525" s="305">
        <v>0</v>
      </c>
      <c r="H525" s="305">
        <v>0</v>
      </c>
      <c r="I525" s="305">
        <v>4</v>
      </c>
      <c r="J525" s="305">
        <v>1</v>
      </c>
      <c r="K525" s="305">
        <v>8</v>
      </c>
      <c r="L525" s="305">
        <v>2</v>
      </c>
      <c r="M525" s="305">
        <v>0</v>
      </c>
      <c r="N525" s="305">
        <v>0</v>
      </c>
      <c r="O525" s="305">
        <v>0</v>
      </c>
      <c r="P525" s="305">
        <v>0</v>
      </c>
      <c r="Q525" s="203" t="s">
        <v>145</v>
      </c>
      <c r="R525" s="306" t="s">
        <v>461</v>
      </c>
    </row>
    <row r="526" spans="2:18" ht="22.5" customHeight="1" thickBot="1" x14ac:dyDescent="0.25">
      <c r="B526" s="305">
        <f>SUM(B524:B525)</f>
        <v>24</v>
      </c>
      <c r="C526" s="305">
        <f t="shared" si="212"/>
        <v>21</v>
      </c>
      <c r="D526" s="305">
        <f t="shared" si="212"/>
        <v>3</v>
      </c>
      <c r="E526" s="305">
        <f t="shared" ref="E526:P526" si="213">SUM(E524:E525)</f>
        <v>0</v>
      </c>
      <c r="F526" s="305">
        <f t="shared" si="213"/>
        <v>0</v>
      </c>
      <c r="G526" s="305">
        <f t="shared" si="213"/>
        <v>9</v>
      </c>
      <c r="H526" s="305">
        <f t="shared" si="213"/>
        <v>0</v>
      </c>
      <c r="I526" s="305">
        <f t="shared" si="213"/>
        <v>4</v>
      </c>
      <c r="J526" s="305">
        <f t="shared" si="213"/>
        <v>1</v>
      </c>
      <c r="K526" s="305">
        <f t="shared" si="213"/>
        <v>8</v>
      </c>
      <c r="L526" s="305">
        <f t="shared" si="213"/>
        <v>2</v>
      </c>
      <c r="M526" s="305">
        <f t="shared" si="213"/>
        <v>0</v>
      </c>
      <c r="N526" s="305">
        <f t="shared" si="213"/>
        <v>0</v>
      </c>
      <c r="O526" s="305">
        <f t="shared" si="213"/>
        <v>0</v>
      </c>
      <c r="P526" s="305">
        <f t="shared" si="213"/>
        <v>0</v>
      </c>
      <c r="Q526" s="203" t="s">
        <v>12</v>
      </c>
      <c r="R526" s="307"/>
    </row>
    <row r="527" spans="2:18" ht="22.5" customHeight="1" thickBot="1" x14ac:dyDescent="0.25">
      <c r="B527" s="305">
        <f t="shared" ref="B527:B558" si="214">D527+C527</f>
        <v>24</v>
      </c>
      <c r="C527" s="305">
        <f t="shared" si="212"/>
        <v>24</v>
      </c>
      <c r="D527" s="305">
        <f t="shared" si="212"/>
        <v>0</v>
      </c>
      <c r="E527" s="305">
        <v>0</v>
      </c>
      <c r="F527" s="305">
        <v>0</v>
      </c>
      <c r="G527" s="305">
        <v>24</v>
      </c>
      <c r="H527" s="305">
        <v>0</v>
      </c>
      <c r="I527" s="305">
        <v>0</v>
      </c>
      <c r="J527" s="305">
        <v>0</v>
      </c>
      <c r="K527" s="305">
        <v>0</v>
      </c>
      <c r="L527" s="305">
        <v>0</v>
      </c>
      <c r="M527" s="305">
        <v>0</v>
      </c>
      <c r="N527" s="305">
        <v>0</v>
      </c>
      <c r="O527" s="305">
        <v>0</v>
      </c>
      <c r="P527" s="305">
        <v>0</v>
      </c>
      <c r="Q527" s="203" t="s">
        <v>146</v>
      </c>
      <c r="R527" s="306"/>
    </row>
    <row r="528" spans="2:18" ht="22.5" customHeight="1" thickBot="1" x14ac:dyDescent="0.25">
      <c r="B528" s="305">
        <f t="shared" si="214"/>
        <v>11</v>
      </c>
      <c r="C528" s="305">
        <f t="shared" si="212"/>
        <v>7</v>
      </c>
      <c r="D528" s="305">
        <f t="shared" si="212"/>
        <v>4</v>
      </c>
      <c r="E528" s="305">
        <v>0</v>
      </c>
      <c r="F528" s="305">
        <v>0</v>
      </c>
      <c r="G528" s="305">
        <v>0</v>
      </c>
      <c r="H528" s="305">
        <v>0</v>
      </c>
      <c r="I528" s="305">
        <v>2</v>
      </c>
      <c r="J528" s="305">
        <v>1</v>
      </c>
      <c r="K528" s="305">
        <v>5</v>
      </c>
      <c r="L528" s="305">
        <v>3</v>
      </c>
      <c r="M528" s="305">
        <v>0</v>
      </c>
      <c r="N528" s="305">
        <v>0</v>
      </c>
      <c r="O528" s="305">
        <v>0</v>
      </c>
      <c r="P528" s="305">
        <v>0</v>
      </c>
      <c r="Q528" s="203" t="s">
        <v>145</v>
      </c>
      <c r="R528" s="306" t="s">
        <v>462</v>
      </c>
    </row>
    <row r="529" spans="2:18" ht="22.5" customHeight="1" thickBot="1" x14ac:dyDescent="0.25">
      <c r="B529" s="305">
        <f>SUM(B527:B528)</f>
        <v>35</v>
      </c>
      <c r="C529" s="305">
        <f t="shared" si="212"/>
        <v>31</v>
      </c>
      <c r="D529" s="305">
        <f t="shared" si="212"/>
        <v>4</v>
      </c>
      <c r="E529" s="305">
        <f t="shared" ref="E529:P529" si="215">SUM(E527:E528)</f>
        <v>0</v>
      </c>
      <c r="F529" s="305">
        <f t="shared" si="215"/>
        <v>0</v>
      </c>
      <c r="G529" s="305">
        <f t="shared" si="215"/>
        <v>24</v>
      </c>
      <c r="H529" s="305">
        <f t="shared" si="215"/>
        <v>0</v>
      </c>
      <c r="I529" s="305">
        <f t="shared" si="215"/>
        <v>2</v>
      </c>
      <c r="J529" s="305">
        <f t="shared" si="215"/>
        <v>1</v>
      </c>
      <c r="K529" s="305">
        <f t="shared" si="215"/>
        <v>5</v>
      </c>
      <c r="L529" s="305">
        <f t="shared" si="215"/>
        <v>3</v>
      </c>
      <c r="M529" s="305">
        <f t="shared" si="215"/>
        <v>0</v>
      </c>
      <c r="N529" s="305">
        <f t="shared" si="215"/>
        <v>0</v>
      </c>
      <c r="O529" s="305">
        <f t="shared" si="215"/>
        <v>0</v>
      </c>
      <c r="P529" s="305">
        <f t="shared" si="215"/>
        <v>0</v>
      </c>
      <c r="Q529" s="203" t="s">
        <v>12</v>
      </c>
      <c r="R529" s="307"/>
    </row>
    <row r="530" spans="2:18" ht="22.5" customHeight="1" thickBot="1" x14ac:dyDescent="0.25">
      <c r="B530" s="305">
        <f t="shared" si="214"/>
        <v>6</v>
      </c>
      <c r="C530" s="305">
        <f t="shared" si="212"/>
        <v>6</v>
      </c>
      <c r="D530" s="305">
        <f t="shared" si="212"/>
        <v>0</v>
      </c>
      <c r="E530" s="305">
        <v>0</v>
      </c>
      <c r="F530" s="305">
        <v>0</v>
      </c>
      <c r="G530" s="305">
        <v>4</v>
      </c>
      <c r="H530" s="305">
        <v>0</v>
      </c>
      <c r="I530" s="305">
        <v>0</v>
      </c>
      <c r="J530" s="305">
        <v>0</v>
      </c>
      <c r="K530" s="305">
        <v>2</v>
      </c>
      <c r="L530" s="305">
        <v>0</v>
      </c>
      <c r="M530" s="305">
        <v>0</v>
      </c>
      <c r="N530" s="305">
        <v>0</v>
      </c>
      <c r="O530" s="305">
        <v>0</v>
      </c>
      <c r="P530" s="305">
        <v>0</v>
      </c>
      <c r="Q530" s="203" t="s">
        <v>146</v>
      </c>
      <c r="R530" s="306"/>
    </row>
    <row r="531" spans="2:18" ht="22.5" customHeight="1" thickBot="1" x14ac:dyDescent="0.25">
      <c r="B531" s="305">
        <f t="shared" si="214"/>
        <v>44</v>
      </c>
      <c r="C531" s="305">
        <f t="shared" si="212"/>
        <v>38</v>
      </c>
      <c r="D531" s="305">
        <f t="shared" si="212"/>
        <v>6</v>
      </c>
      <c r="E531" s="305">
        <v>0</v>
      </c>
      <c r="F531" s="305">
        <v>0</v>
      </c>
      <c r="G531" s="305">
        <v>0</v>
      </c>
      <c r="H531" s="305">
        <v>0</v>
      </c>
      <c r="I531" s="305">
        <v>16</v>
      </c>
      <c r="J531" s="305">
        <v>3</v>
      </c>
      <c r="K531" s="305">
        <v>22</v>
      </c>
      <c r="L531" s="305">
        <v>3</v>
      </c>
      <c r="M531" s="305">
        <v>0</v>
      </c>
      <c r="N531" s="305">
        <v>0</v>
      </c>
      <c r="O531" s="305">
        <v>0</v>
      </c>
      <c r="P531" s="305">
        <v>0</v>
      </c>
      <c r="Q531" s="203" t="s">
        <v>145</v>
      </c>
      <c r="R531" s="306" t="s">
        <v>96</v>
      </c>
    </row>
    <row r="532" spans="2:18" ht="22.5" customHeight="1" thickBot="1" x14ac:dyDescent="0.25">
      <c r="B532" s="305">
        <f>SUM(B530:B531)</f>
        <v>50</v>
      </c>
      <c r="C532" s="305">
        <f t="shared" si="212"/>
        <v>44</v>
      </c>
      <c r="D532" s="305">
        <f t="shared" si="212"/>
        <v>6</v>
      </c>
      <c r="E532" s="305">
        <f t="shared" ref="E532:P532" si="216">SUM(E530:E531)</f>
        <v>0</v>
      </c>
      <c r="F532" s="305">
        <f t="shared" si="216"/>
        <v>0</v>
      </c>
      <c r="G532" s="305">
        <f t="shared" si="216"/>
        <v>4</v>
      </c>
      <c r="H532" s="305">
        <f t="shared" si="216"/>
        <v>0</v>
      </c>
      <c r="I532" s="305">
        <f t="shared" si="216"/>
        <v>16</v>
      </c>
      <c r="J532" s="305">
        <f t="shared" si="216"/>
        <v>3</v>
      </c>
      <c r="K532" s="305">
        <f t="shared" si="216"/>
        <v>24</v>
      </c>
      <c r="L532" s="305">
        <f t="shared" si="216"/>
        <v>3</v>
      </c>
      <c r="M532" s="305">
        <f t="shared" si="216"/>
        <v>0</v>
      </c>
      <c r="N532" s="305">
        <f t="shared" si="216"/>
        <v>0</v>
      </c>
      <c r="O532" s="305">
        <f t="shared" si="216"/>
        <v>0</v>
      </c>
      <c r="P532" s="305">
        <f t="shared" si="216"/>
        <v>0</v>
      </c>
      <c r="Q532" s="203" t="s">
        <v>12</v>
      </c>
      <c r="R532" s="307"/>
    </row>
    <row r="533" spans="2:18" ht="22.5" customHeight="1" thickBot="1" x14ac:dyDescent="0.25">
      <c r="B533" s="305">
        <f t="shared" si="214"/>
        <v>27</v>
      </c>
      <c r="C533" s="305">
        <f t="shared" si="212"/>
        <v>27</v>
      </c>
      <c r="D533" s="305">
        <f t="shared" si="212"/>
        <v>0</v>
      </c>
      <c r="E533" s="305">
        <v>0</v>
      </c>
      <c r="F533" s="305">
        <v>0</v>
      </c>
      <c r="G533" s="305">
        <v>27</v>
      </c>
      <c r="H533" s="305">
        <v>0</v>
      </c>
      <c r="I533" s="305">
        <v>0</v>
      </c>
      <c r="J533" s="305">
        <v>0</v>
      </c>
      <c r="K533" s="305">
        <v>0</v>
      </c>
      <c r="L533" s="305">
        <v>0</v>
      </c>
      <c r="M533" s="305">
        <v>0</v>
      </c>
      <c r="N533" s="305">
        <v>0</v>
      </c>
      <c r="O533" s="305">
        <v>0</v>
      </c>
      <c r="P533" s="305">
        <v>0</v>
      </c>
      <c r="Q533" s="203" t="s">
        <v>146</v>
      </c>
      <c r="R533" s="306"/>
    </row>
    <row r="534" spans="2:18" ht="22.5" customHeight="1" thickBot="1" x14ac:dyDescent="0.25">
      <c r="B534" s="305">
        <f t="shared" si="214"/>
        <v>10</v>
      </c>
      <c r="C534" s="305">
        <f t="shared" si="212"/>
        <v>9</v>
      </c>
      <c r="D534" s="305">
        <f t="shared" si="212"/>
        <v>1</v>
      </c>
      <c r="E534" s="305">
        <v>0</v>
      </c>
      <c r="F534" s="305">
        <v>0</v>
      </c>
      <c r="G534" s="305">
        <v>0</v>
      </c>
      <c r="H534" s="305">
        <v>0</v>
      </c>
      <c r="I534" s="305">
        <v>1</v>
      </c>
      <c r="J534" s="305">
        <v>0</v>
      </c>
      <c r="K534" s="305">
        <v>8</v>
      </c>
      <c r="L534" s="305">
        <v>1</v>
      </c>
      <c r="M534" s="305">
        <v>0</v>
      </c>
      <c r="N534" s="305">
        <v>0</v>
      </c>
      <c r="O534" s="305">
        <v>0</v>
      </c>
      <c r="P534" s="305">
        <v>0</v>
      </c>
      <c r="Q534" s="203" t="s">
        <v>145</v>
      </c>
      <c r="R534" s="306" t="s">
        <v>463</v>
      </c>
    </row>
    <row r="535" spans="2:18" ht="22.5" customHeight="1" thickBot="1" x14ac:dyDescent="0.25">
      <c r="B535" s="305">
        <f>SUM(B533:B534)</f>
        <v>37</v>
      </c>
      <c r="C535" s="305">
        <f t="shared" si="212"/>
        <v>36</v>
      </c>
      <c r="D535" s="305">
        <f t="shared" si="212"/>
        <v>1</v>
      </c>
      <c r="E535" s="305">
        <f t="shared" ref="E535:P535" si="217">SUM(E533:E534)</f>
        <v>0</v>
      </c>
      <c r="F535" s="305">
        <f t="shared" si="217"/>
        <v>0</v>
      </c>
      <c r="G535" s="305">
        <f t="shared" si="217"/>
        <v>27</v>
      </c>
      <c r="H535" s="305">
        <f t="shared" si="217"/>
        <v>0</v>
      </c>
      <c r="I535" s="305">
        <f t="shared" si="217"/>
        <v>1</v>
      </c>
      <c r="J535" s="305">
        <f t="shared" si="217"/>
        <v>0</v>
      </c>
      <c r="K535" s="305">
        <f t="shared" si="217"/>
        <v>8</v>
      </c>
      <c r="L535" s="305">
        <f t="shared" si="217"/>
        <v>1</v>
      </c>
      <c r="M535" s="305">
        <f t="shared" si="217"/>
        <v>0</v>
      </c>
      <c r="N535" s="305">
        <f t="shared" si="217"/>
        <v>0</v>
      </c>
      <c r="O535" s="305">
        <f t="shared" si="217"/>
        <v>0</v>
      </c>
      <c r="P535" s="305">
        <f t="shared" si="217"/>
        <v>0</v>
      </c>
      <c r="Q535" s="203" t="s">
        <v>12</v>
      </c>
      <c r="R535" s="307"/>
    </row>
    <row r="536" spans="2:18" ht="22.5" customHeight="1" thickBot="1" x14ac:dyDescent="0.25">
      <c r="B536" s="305">
        <f t="shared" si="214"/>
        <v>1</v>
      </c>
      <c r="C536" s="305">
        <f t="shared" si="212"/>
        <v>1</v>
      </c>
      <c r="D536" s="305">
        <f t="shared" si="212"/>
        <v>0</v>
      </c>
      <c r="E536" s="305">
        <v>0</v>
      </c>
      <c r="F536" s="305">
        <v>0</v>
      </c>
      <c r="G536" s="305">
        <v>1</v>
      </c>
      <c r="H536" s="305">
        <v>0</v>
      </c>
      <c r="I536" s="305">
        <v>0</v>
      </c>
      <c r="J536" s="305">
        <v>0</v>
      </c>
      <c r="K536" s="305">
        <v>0</v>
      </c>
      <c r="L536" s="305">
        <v>0</v>
      </c>
      <c r="M536" s="305">
        <v>0</v>
      </c>
      <c r="N536" s="305">
        <v>0</v>
      </c>
      <c r="O536" s="305">
        <v>0</v>
      </c>
      <c r="P536" s="305">
        <v>0</v>
      </c>
      <c r="Q536" s="203" t="s">
        <v>146</v>
      </c>
      <c r="R536" s="306"/>
    </row>
    <row r="537" spans="2:18" ht="22.5" customHeight="1" thickBot="1" x14ac:dyDescent="0.25">
      <c r="B537" s="305">
        <f t="shared" si="214"/>
        <v>4</v>
      </c>
      <c r="C537" s="305">
        <f t="shared" si="212"/>
        <v>4</v>
      </c>
      <c r="D537" s="305">
        <f t="shared" si="212"/>
        <v>0</v>
      </c>
      <c r="E537" s="305">
        <v>0</v>
      </c>
      <c r="F537" s="305">
        <v>0</v>
      </c>
      <c r="G537" s="305">
        <v>0</v>
      </c>
      <c r="H537" s="305">
        <v>0</v>
      </c>
      <c r="I537" s="305">
        <v>2</v>
      </c>
      <c r="J537" s="305">
        <v>0</v>
      </c>
      <c r="K537" s="305">
        <v>2</v>
      </c>
      <c r="L537" s="305">
        <v>0</v>
      </c>
      <c r="M537" s="305">
        <v>0</v>
      </c>
      <c r="N537" s="305">
        <v>0</v>
      </c>
      <c r="O537" s="305">
        <v>0</v>
      </c>
      <c r="P537" s="305">
        <v>0</v>
      </c>
      <c r="Q537" s="203" t="s">
        <v>145</v>
      </c>
      <c r="R537" s="306" t="s">
        <v>766</v>
      </c>
    </row>
    <row r="538" spans="2:18" ht="22.5" customHeight="1" thickBot="1" x14ac:dyDescent="0.25">
      <c r="B538" s="305">
        <f>SUM(B536:B537)</f>
        <v>5</v>
      </c>
      <c r="C538" s="305">
        <f t="shared" si="212"/>
        <v>5</v>
      </c>
      <c r="D538" s="305">
        <f t="shared" si="212"/>
        <v>0</v>
      </c>
      <c r="E538" s="305">
        <f t="shared" ref="E538:P538" si="218">SUM(E536:E537)</f>
        <v>0</v>
      </c>
      <c r="F538" s="305">
        <f t="shared" si="218"/>
        <v>0</v>
      </c>
      <c r="G538" s="305">
        <f t="shared" si="218"/>
        <v>1</v>
      </c>
      <c r="H538" s="305">
        <f t="shared" si="218"/>
        <v>0</v>
      </c>
      <c r="I538" s="305">
        <f t="shared" si="218"/>
        <v>2</v>
      </c>
      <c r="J538" s="305">
        <f t="shared" si="218"/>
        <v>0</v>
      </c>
      <c r="K538" s="305">
        <f t="shared" si="218"/>
        <v>2</v>
      </c>
      <c r="L538" s="305">
        <f t="shared" si="218"/>
        <v>0</v>
      </c>
      <c r="M538" s="305">
        <f t="shared" si="218"/>
        <v>0</v>
      </c>
      <c r="N538" s="305">
        <f t="shared" si="218"/>
        <v>0</v>
      </c>
      <c r="O538" s="305">
        <f t="shared" si="218"/>
        <v>0</v>
      </c>
      <c r="P538" s="305">
        <f t="shared" si="218"/>
        <v>0</v>
      </c>
      <c r="Q538" s="203" t="s">
        <v>12</v>
      </c>
      <c r="R538" s="307"/>
    </row>
    <row r="539" spans="2:18" ht="22.5" customHeight="1" thickBot="1" x14ac:dyDescent="0.25">
      <c r="B539" s="305">
        <f t="shared" si="214"/>
        <v>3</v>
      </c>
      <c r="C539" s="305">
        <f t="shared" si="212"/>
        <v>2</v>
      </c>
      <c r="D539" s="305">
        <f t="shared" si="212"/>
        <v>1</v>
      </c>
      <c r="E539" s="305">
        <v>0</v>
      </c>
      <c r="F539" s="305">
        <v>0</v>
      </c>
      <c r="G539" s="305">
        <v>2</v>
      </c>
      <c r="H539" s="305">
        <v>1</v>
      </c>
      <c r="I539" s="305">
        <v>0</v>
      </c>
      <c r="J539" s="305">
        <v>0</v>
      </c>
      <c r="K539" s="305">
        <v>0</v>
      </c>
      <c r="L539" s="305">
        <v>0</v>
      </c>
      <c r="M539" s="305">
        <v>0</v>
      </c>
      <c r="N539" s="305">
        <v>0</v>
      </c>
      <c r="O539" s="305">
        <v>0</v>
      </c>
      <c r="P539" s="305">
        <v>0</v>
      </c>
      <c r="Q539" s="203" t="s">
        <v>146</v>
      </c>
      <c r="R539" s="306"/>
    </row>
    <row r="540" spans="2:18" ht="22.5" customHeight="1" thickBot="1" x14ac:dyDescent="0.25">
      <c r="B540" s="305">
        <f t="shared" si="214"/>
        <v>4</v>
      </c>
      <c r="C540" s="305">
        <f t="shared" si="212"/>
        <v>0</v>
      </c>
      <c r="D540" s="305">
        <f t="shared" si="212"/>
        <v>4</v>
      </c>
      <c r="E540" s="305">
        <v>0</v>
      </c>
      <c r="F540" s="305">
        <v>0</v>
      </c>
      <c r="G540" s="305">
        <v>0</v>
      </c>
      <c r="H540" s="305">
        <v>0</v>
      </c>
      <c r="I540" s="305">
        <v>0</v>
      </c>
      <c r="J540" s="305">
        <v>1</v>
      </c>
      <c r="K540" s="305">
        <v>0</v>
      </c>
      <c r="L540" s="305">
        <v>3</v>
      </c>
      <c r="M540" s="305">
        <v>0</v>
      </c>
      <c r="N540" s="305">
        <v>0</v>
      </c>
      <c r="O540" s="305">
        <v>0</v>
      </c>
      <c r="P540" s="305">
        <v>0</v>
      </c>
      <c r="Q540" s="203" t="s">
        <v>145</v>
      </c>
      <c r="R540" s="306" t="s">
        <v>767</v>
      </c>
    </row>
    <row r="541" spans="2:18" ht="22.5" customHeight="1" thickBot="1" x14ac:dyDescent="0.25">
      <c r="B541" s="305">
        <f>SUM(B539:B540)</f>
        <v>7</v>
      </c>
      <c r="C541" s="305">
        <f t="shared" si="212"/>
        <v>2</v>
      </c>
      <c r="D541" s="305">
        <f t="shared" si="212"/>
        <v>5</v>
      </c>
      <c r="E541" s="305">
        <f t="shared" ref="E541:P541" si="219">SUM(E539:E540)</f>
        <v>0</v>
      </c>
      <c r="F541" s="305">
        <f t="shared" si="219"/>
        <v>0</v>
      </c>
      <c r="G541" s="305">
        <f t="shared" si="219"/>
        <v>2</v>
      </c>
      <c r="H541" s="305">
        <f t="shared" si="219"/>
        <v>1</v>
      </c>
      <c r="I541" s="305">
        <f t="shared" si="219"/>
        <v>0</v>
      </c>
      <c r="J541" s="305">
        <f t="shared" si="219"/>
        <v>1</v>
      </c>
      <c r="K541" s="305">
        <f t="shared" si="219"/>
        <v>0</v>
      </c>
      <c r="L541" s="305">
        <f t="shared" si="219"/>
        <v>3</v>
      </c>
      <c r="M541" s="305">
        <f t="shared" si="219"/>
        <v>0</v>
      </c>
      <c r="N541" s="305">
        <f t="shared" si="219"/>
        <v>0</v>
      </c>
      <c r="O541" s="305">
        <f t="shared" si="219"/>
        <v>0</v>
      </c>
      <c r="P541" s="305">
        <f t="shared" si="219"/>
        <v>0</v>
      </c>
      <c r="Q541" s="203" t="s">
        <v>12</v>
      </c>
      <c r="R541" s="307"/>
    </row>
    <row r="542" spans="2:18" ht="22.5" customHeight="1" thickBot="1" x14ac:dyDescent="0.25">
      <c r="B542" s="305">
        <f t="shared" si="214"/>
        <v>18</v>
      </c>
      <c r="C542" s="305">
        <f t="shared" si="212"/>
        <v>18</v>
      </c>
      <c r="D542" s="305">
        <f t="shared" si="212"/>
        <v>0</v>
      </c>
      <c r="E542" s="305">
        <v>0</v>
      </c>
      <c r="F542" s="305">
        <v>0</v>
      </c>
      <c r="G542" s="305">
        <v>18</v>
      </c>
      <c r="H542" s="305">
        <v>0</v>
      </c>
      <c r="I542" s="305">
        <v>0</v>
      </c>
      <c r="J542" s="305">
        <v>0</v>
      </c>
      <c r="K542" s="305">
        <v>0</v>
      </c>
      <c r="L542" s="305">
        <v>0</v>
      </c>
      <c r="M542" s="305">
        <v>0</v>
      </c>
      <c r="N542" s="305">
        <v>0</v>
      </c>
      <c r="O542" s="305">
        <v>0</v>
      </c>
      <c r="P542" s="305">
        <v>0</v>
      </c>
      <c r="Q542" s="203" t="s">
        <v>146</v>
      </c>
      <c r="R542" s="306"/>
    </row>
    <row r="543" spans="2:18" ht="22.5" customHeight="1" thickBot="1" x14ac:dyDescent="0.25">
      <c r="B543" s="305">
        <f t="shared" si="214"/>
        <v>23</v>
      </c>
      <c r="C543" s="305">
        <f t="shared" si="212"/>
        <v>16</v>
      </c>
      <c r="D543" s="305">
        <f t="shared" si="212"/>
        <v>7</v>
      </c>
      <c r="E543" s="305">
        <v>0</v>
      </c>
      <c r="F543" s="305">
        <v>0</v>
      </c>
      <c r="G543" s="305">
        <v>0</v>
      </c>
      <c r="H543" s="305">
        <v>0</v>
      </c>
      <c r="I543" s="305">
        <v>9</v>
      </c>
      <c r="J543" s="305">
        <v>0</v>
      </c>
      <c r="K543" s="305">
        <v>7</v>
      </c>
      <c r="L543" s="305">
        <v>7</v>
      </c>
      <c r="M543" s="305">
        <v>0</v>
      </c>
      <c r="N543" s="305">
        <v>0</v>
      </c>
      <c r="O543" s="305">
        <v>0</v>
      </c>
      <c r="P543" s="305">
        <v>0</v>
      </c>
      <c r="Q543" s="203" t="s">
        <v>145</v>
      </c>
      <c r="R543" s="306" t="s">
        <v>465</v>
      </c>
    </row>
    <row r="544" spans="2:18" ht="22.5" customHeight="1" thickBot="1" x14ac:dyDescent="0.25">
      <c r="B544" s="305">
        <f>SUM(B542:B543)</f>
        <v>41</v>
      </c>
      <c r="C544" s="305">
        <f t="shared" si="212"/>
        <v>34</v>
      </c>
      <c r="D544" s="305">
        <f t="shared" si="212"/>
        <v>7</v>
      </c>
      <c r="E544" s="305">
        <f t="shared" ref="E544:P544" si="220">SUM(E542:E543)</f>
        <v>0</v>
      </c>
      <c r="F544" s="305">
        <f t="shared" si="220"/>
        <v>0</v>
      </c>
      <c r="G544" s="305">
        <f t="shared" si="220"/>
        <v>18</v>
      </c>
      <c r="H544" s="305">
        <f t="shared" si="220"/>
        <v>0</v>
      </c>
      <c r="I544" s="305">
        <f t="shared" si="220"/>
        <v>9</v>
      </c>
      <c r="J544" s="305">
        <f t="shared" si="220"/>
        <v>0</v>
      </c>
      <c r="K544" s="305">
        <f t="shared" si="220"/>
        <v>7</v>
      </c>
      <c r="L544" s="305">
        <f t="shared" si="220"/>
        <v>7</v>
      </c>
      <c r="M544" s="305">
        <f t="shared" si="220"/>
        <v>0</v>
      </c>
      <c r="N544" s="305">
        <f t="shared" si="220"/>
        <v>0</v>
      </c>
      <c r="O544" s="305">
        <f t="shared" si="220"/>
        <v>0</v>
      </c>
      <c r="P544" s="305">
        <f t="shared" si="220"/>
        <v>0</v>
      </c>
      <c r="Q544" s="203" t="s">
        <v>12</v>
      </c>
      <c r="R544" s="307"/>
    </row>
    <row r="545" spans="2:18" ht="22.5" customHeight="1" thickBot="1" x14ac:dyDescent="0.25">
      <c r="B545" s="305">
        <f t="shared" si="214"/>
        <v>15</v>
      </c>
      <c r="C545" s="305">
        <f t="shared" si="212"/>
        <v>15</v>
      </c>
      <c r="D545" s="305">
        <f t="shared" si="212"/>
        <v>0</v>
      </c>
      <c r="E545" s="305">
        <v>0</v>
      </c>
      <c r="F545" s="305">
        <v>0</v>
      </c>
      <c r="G545" s="305">
        <v>15</v>
      </c>
      <c r="H545" s="305">
        <v>0</v>
      </c>
      <c r="I545" s="305">
        <v>0</v>
      </c>
      <c r="J545" s="305">
        <v>0</v>
      </c>
      <c r="K545" s="305">
        <v>0</v>
      </c>
      <c r="L545" s="305">
        <v>0</v>
      </c>
      <c r="M545" s="305">
        <v>0</v>
      </c>
      <c r="N545" s="305">
        <v>0</v>
      </c>
      <c r="O545" s="305">
        <v>0</v>
      </c>
      <c r="P545" s="305">
        <v>0</v>
      </c>
      <c r="Q545" s="203" t="s">
        <v>146</v>
      </c>
      <c r="R545" s="306"/>
    </row>
    <row r="546" spans="2:18" ht="22.5" customHeight="1" thickBot="1" x14ac:dyDescent="0.25">
      <c r="B546" s="305">
        <f t="shared" si="214"/>
        <v>5</v>
      </c>
      <c r="C546" s="305">
        <f t="shared" si="212"/>
        <v>4</v>
      </c>
      <c r="D546" s="305">
        <f t="shared" si="212"/>
        <v>1</v>
      </c>
      <c r="E546" s="305">
        <v>0</v>
      </c>
      <c r="F546" s="305">
        <v>0</v>
      </c>
      <c r="G546" s="305">
        <v>0</v>
      </c>
      <c r="H546" s="305">
        <v>0</v>
      </c>
      <c r="I546" s="305">
        <v>1</v>
      </c>
      <c r="J546" s="305">
        <v>0</v>
      </c>
      <c r="K546" s="305">
        <v>3</v>
      </c>
      <c r="L546" s="305">
        <v>1</v>
      </c>
      <c r="M546" s="305">
        <v>0</v>
      </c>
      <c r="N546" s="305">
        <v>0</v>
      </c>
      <c r="O546" s="305">
        <v>0</v>
      </c>
      <c r="P546" s="305">
        <v>0</v>
      </c>
      <c r="Q546" s="203" t="s">
        <v>145</v>
      </c>
      <c r="R546" s="306" t="s">
        <v>464</v>
      </c>
    </row>
    <row r="547" spans="2:18" ht="22.5" customHeight="1" thickBot="1" x14ac:dyDescent="0.25">
      <c r="B547" s="305">
        <f>SUM(B545:B546)</f>
        <v>20</v>
      </c>
      <c r="C547" s="305">
        <f t="shared" si="212"/>
        <v>19</v>
      </c>
      <c r="D547" s="305">
        <f t="shared" si="212"/>
        <v>1</v>
      </c>
      <c r="E547" s="305">
        <f t="shared" ref="E547:P547" si="221">SUM(E545:E546)</f>
        <v>0</v>
      </c>
      <c r="F547" s="305">
        <f t="shared" si="221"/>
        <v>0</v>
      </c>
      <c r="G547" s="305">
        <f t="shared" si="221"/>
        <v>15</v>
      </c>
      <c r="H547" s="305">
        <f t="shared" si="221"/>
        <v>0</v>
      </c>
      <c r="I547" s="305">
        <f t="shared" si="221"/>
        <v>1</v>
      </c>
      <c r="J547" s="305">
        <f t="shared" si="221"/>
        <v>0</v>
      </c>
      <c r="K547" s="305">
        <f t="shared" si="221"/>
        <v>3</v>
      </c>
      <c r="L547" s="305">
        <f t="shared" si="221"/>
        <v>1</v>
      </c>
      <c r="M547" s="305">
        <f t="shared" si="221"/>
        <v>0</v>
      </c>
      <c r="N547" s="305">
        <f t="shared" si="221"/>
        <v>0</v>
      </c>
      <c r="O547" s="305">
        <f t="shared" si="221"/>
        <v>0</v>
      </c>
      <c r="P547" s="305">
        <f t="shared" si="221"/>
        <v>0</v>
      </c>
      <c r="Q547" s="203" t="s">
        <v>12</v>
      </c>
      <c r="R547" s="307"/>
    </row>
    <row r="548" spans="2:18" ht="22.5" customHeight="1" thickBot="1" x14ac:dyDescent="0.25">
      <c r="B548" s="305">
        <f t="shared" si="214"/>
        <v>6</v>
      </c>
      <c r="C548" s="305">
        <f t="shared" si="212"/>
        <v>3</v>
      </c>
      <c r="D548" s="305">
        <f t="shared" si="212"/>
        <v>3</v>
      </c>
      <c r="E548" s="305">
        <v>0</v>
      </c>
      <c r="F548" s="305">
        <v>0</v>
      </c>
      <c r="G548" s="305">
        <v>3</v>
      </c>
      <c r="H548" s="305">
        <v>2</v>
      </c>
      <c r="I548" s="305">
        <v>0</v>
      </c>
      <c r="J548" s="305">
        <v>1</v>
      </c>
      <c r="K548" s="305">
        <v>0</v>
      </c>
      <c r="L548" s="305">
        <v>0</v>
      </c>
      <c r="M548" s="305">
        <v>0</v>
      </c>
      <c r="N548" s="305">
        <v>0</v>
      </c>
      <c r="O548" s="305">
        <v>0</v>
      </c>
      <c r="P548" s="305">
        <v>0</v>
      </c>
      <c r="Q548" s="203" t="s">
        <v>146</v>
      </c>
      <c r="R548" s="306"/>
    </row>
    <row r="549" spans="2:18" ht="22.5" customHeight="1" thickBot="1" x14ac:dyDescent="0.25">
      <c r="B549" s="305">
        <f t="shared" si="214"/>
        <v>19</v>
      </c>
      <c r="C549" s="305">
        <f t="shared" si="212"/>
        <v>7</v>
      </c>
      <c r="D549" s="305">
        <f t="shared" si="212"/>
        <v>12</v>
      </c>
      <c r="E549" s="305">
        <v>0</v>
      </c>
      <c r="F549" s="305">
        <v>0</v>
      </c>
      <c r="G549" s="305">
        <v>0</v>
      </c>
      <c r="H549" s="305">
        <v>0</v>
      </c>
      <c r="I549" s="305">
        <v>4</v>
      </c>
      <c r="J549" s="305">
        <v>7</v>
      </c>
      <c r="K549" s="305">
        <v>3</v>
      </c>
      <c r="L549" s="305">
        <v>5</v>
      </c>
      <c r="M549" s="305">
        <v>0</v>
      </c>
      <c r="N549" s="305">
        <v>0</v>
      </c>
      <c r="O549" s="305">
        <v>0</v>
      </c>
      <c r="P549" s="305">
        <v>0</v>
      </c>
      <c r="Q549" s="203" t="s">
        <v>145</v>
      </c>
      <c r="R549" s="306" t="s">
        <v>270</v>
      </c>
    </row>
    <row r="550" spans="2:18" ht="22.5" customHeight="1" thickBot="1" x14ac:dyDescent="0.25">
      <c r="B550" s="305">
        <f>SUM(B548:B549)</f>
        <v>25</v>
      </c>
      <c r="C550" s="305">
        <f t="shared" si="212"/>
        <v>10</v>
      </c>
      <c r="D550" s="305">
        <f t="shared" si="212"/>
        <v>15</v>
      </c>
      <c r="E550" s="305">
        <f t="shared" ref="E550:P550" si="222">SUM(E548:E549)</f>
        <v>0</v>
      </c>
      <c r="F550" s="305">
        <f t="shared" si="222"/>
        <v>0</v>
      </c>
      <c r="G550" s="305">
        <f t="shared" si="222"/>
        <v>3</v>
      </c>
      <c r="H550" s="305">
        <f t="shared" si="222"/>
        <v>2</v>
      </c>
      <c r="I550" s="305">
        <f t="shared" si="222"/>
        <v>4</v>
      </c>
      <c r="J550" s="305">
        <f t="shared" si="222"/>
        <v>8</v>
      </c>
      <c r="K550" s="305">
        <f t="shared" si="222"/>
        <v>3</v>
      </c>
      <c r="L550" s="305">
        <f t="shared" si="222"/>
        <v>5</v>
      </c>
      <c r="M550" s="305">
        <f t="shared" si="222"/>
        <v>0</v>
      </c>
      <c r="N550" s="305">
        <f t="shared" si="222"/>
        <v>0</v>
      </c>
      <c r="O550" s="305">
        <f t="shared" si="222"/>
        <v>0</v>
      </c>
      <c r="P550" s="305">
        <f t="shared" si="222"/>
        <v>0</v>
      </c>
      <c r="Q550" s="203" t="s">
        <v>12</v>
      </c>
      <c r="R550" s="307"/>
    </row>
    <row r="551" spans="2:18" ht="22.5" customHeight="1" thickBot="1" x14ac:dyDescent="0.25">
      <c r="B551" s="305">
        <f t="shared" si="214"/>
        <v>4</v>
      </c>
      <c r="C551" s="305">
        <f t="shared" si="212"/>
        <v>0</v>
      </c>
      <c r="D551" s="305">
        <f t="shared" si="212"/>
        <v>4</v>
      </c>
      <c r="E551" s="305">
        <v>0</v>
      </c>
      <c r="F551" s="305">
        <v>0</v>
      </c>
      <c r="G551" s="305">
        <v>0</v>
      </c>
      <c r="H551" s="305">
        <v>4</v>
      </c>
      <c r="I551" s="305">
        <v>0</v>
      </c>
      <c r="J551" s="305">
        <v>0</v>
      </c>
      <c r="K551" s="305">
        <v>0</v>
      </c>
      <c r="L551" s="305">
        <v>0</v>
      </c>
      <c r="M551" s="305">
        <v>0</v>
      </c>
      <c r="N551" s="305">
        <v>0</v>
      </c>
      <c r="O551" s="305">
        <v>0</v>
      </c>
      <c r="P551" s="305">
        <v>0</v>
      </c>
      <c r="Q551" s="203" t="s">
        <v>146</v>
      </c>
      <c r="R551" s="306"/>
    </row>
    <row r="552" spans="2:18" ht="22.5" customHeight="1" thickBot="1" x14ac:dyDescent="0.25">
      <c r="B552" s="305">
        <f t="shared" si="214"/>
        <v>4</v>
      </c>
      <c r="C552" s="305">
        <f t="shared" si="212"/>
        <v>0</v>
      </c>
      <c r="D552" s="305">
        <f t="shared" si="212"/>
        <v>4</v>
      </c>
      <c r="E552" s="305">
        <v>0</v>
      </c>
      <c r="F552" s="305">
        <v>0</v>
      </c>
      <c r="G552" s="305">
        <v>0</v>
      </c>
      <c r="H552" s="305">
        <v>0</v>
      </c>
      <c r="I552" s="305">
        <v>0</v>
      </c>
      <c r="J552" s="305">
        <v>3</v>
      </c>
      <c r="K552" s="305">
        <v>0</v>
      </c>
      <c r="L552" s="305">
        <v>1</v>
      </c>
      <c r="M552" s="305">
        <v>0</v>
      </c>
      <c r="N552" s="305">
        <v>0</v>
      </c>
      <c r="O552" s="305">
        <v>0</v>
      </c>
      <c r="P552" s="305">
        <v>0</v>
      </c>
      <c r="Q552" s="203" t="s">
        <v>145</v>
      </c>
      <c r="R552" s="306" t="s">
        <v>768</v>
      </c>
    </row>
    <row r="553" spans="2:18" ht="22.5" customHeight="1" thickBot="1" x14ac:dyDescent="0.25">
      <c r="B553" s="305">
        <f>SUM(B551:B552)</f>
        <v>8</v>
      </c>
      <c r="C553" s="305">
        <f t="shared" si="212"/>
        <v>0</v>
      </c>
      <c r="D553" s="305">
        <f t="shared" si="212"/>
        <v>8</v>
      </c>
      <c r="E553" s="305">
        <f t="shared" ref="E553:P553" si="223">SUM(E551:E552)</f>
        <v>0</v>
      </c>
      <c r="F553" s="305">
        <f t="shared" si="223"/>
        <v>0</v>
      </c>
      <c r="G553" s="305">
        <f t="shared" si="223"/>
        <v>0</v>
      </c>
      <c r="H553" s="305">
        <f t="shared" si="223"/>
        <v>4</v>
      </c>
      <c r="I553" s="305">
        <f t="shared" si="223"/>
        <v>0</v>
      </c>
      <c r="J553" s="305">
        <f t="shared" si="223"/>
        <v>3</v>
      </c>
      <c r="K553" s="305">
        <f t="shared" si="223"/>
        <v>0</v>
      </c>
      <c r="L553" s="305">
        <f t="shared" si="223"/>
        <v>1</v>
      </c>
      <c r="M553" s="305">
        <f t="shared" si="223"/>
        <v>0</v>
      </c>
      <c r="N553" s="305">
        <f t="shared" si="223"/>
        <v>0</v>
      </c>
      <c r="O553" s="305">
        <f t="shared" si="223"/>
        <v>0</v>
      </c>
      <c r="P553" s="305">
        <f t="shared" si="223"/>
        <v>0</v>
      </c>
      <c r="Q553" s="203" t="s">
        <v>12</v>
      </c>
      <c r="R553" s="307"/>
    </row>
    <row r="554" spans="2:18" ht="22.5" customHeight="1" thickBot="1" x14ac:dyDescent="0.25">
      <c r="B554" s="305">
        <f t="shared" si="214"/>
        <v>0</v>
      </c>
      <c r="C554" s="305">
        <f t="shared" si="212"/>
        <v>0</v>
      </c>
      <c r="D554" s="305">
        <f t="shared" si="212"/>
        <v>0</v>
      </c>
      <c r="E554" s="305">
        <v>0</v>
      </c>
      <c r="F554" s="305">
        <v>0</v>
      </c>
      <c r="G554" s="305">
        <v>0</v>
      </c>
      <c r="H554" s="305">
        <v>0</v>
      </c>
      <c r="I554" s="305">
        <v>0</v>
      </c>
      <c r="J554" s="305">
        <v>0</v>
      </c>
      <c r="K554" s="305">
        <v>0</v>
      </c>
      <c r="L554" s="305">
        <v>0</v>
      </c>
      <c r="M554" s="305">
        <v>0</v>
      </c>
      <c r="N554" s="305">
        <v>0</v>
      </c>
      <c r="O554" s="305">
        <v>0</v>
      </c>
      <c r="P554" s="305">
        <v>0</v>
      </c>
      <c r="Q554" s="203" t="s">
        <v>146</v>
      </c>
      <c r="R554" s="306"/>
    </row>
    <row r="555" spans="2:18" ht="22.5" customHeight="1" thickBot="1" x14ac:dyDescent="0.25">
      <c r="B555" s="305">
        <f t="shared" si="214"/>
        <v>14</v>
      </c>
      <c r="C555" s="305">
        <f t="shared" si="212"/>
        <v>0</v>
      </c>
      <c r="D555" s="305">
        <f t="shared" si="212"/>
        <v>14</v>
      </c>
      <c r="E555" s="305">
        <v>0</v>
      </c>
      <c r="F555" s="305">
        <v>0</v>
      </c>
      <c r="G555" s="305">
        <v>0</v>
      </c>
      <c r="H555" s="305">
        <v>0</v>
      </c>
      <c r="I555" s="305">
        <v>0</v>
      </c>
      <c r="J555" s="305">
        <v>3</v>
      </c>
      <c r="K555" s="305">
        <v>0</v>
      </c>
      <c r="L555" s="305">
        <v>10</v>
      </c>
      <c r="M555" s="305">
        <v>0</v>
      </c>
      <c r="N555" s="305">
        <v>1</v>
      </c>
      <c r="O555" s="305">
        <v>0</v>
      </c>
      <c r="P555" s="305">
        <v>0</v>
      </c>
      <c r="Q555" s="203" t="s">
        <v>145</v>
      </c>
      <c r="R555" s="306" t="s">
        <v>97</v>
      </c>
    </row>
    <row r="556" spans="2:18" ht="22.5" customHeight="1" thickBot="1" x14ac:dyDescent="0.25">
      <c r="B556" s="305">
        <f>SUM(B554:B555)</f>
        <v>14</v>
      </c>
      <c r="C556" s="305">
        <f t="shared" si="212"/>
        <v>0</v>
      </c>
      <c r="D556" s="305">
        <f t="shared" si="212"/>
        <v>14</v>
      </c>
      <c r="E556" s="305">
        <f t="shared" ref="E556:P556" si="224">SUM(E554:E555)</f>
        <v>0</v>
      </c>
      <c r="F556" s="305">
        <f t="shared" si="224"/>
        <v>0</v>
      </c>
      <c r="G556" s="305">
        <f t="shared" si="224"/>
        <v>0</v>
      </c>
      <c r="H556" s="305">
        <f t="shared" si="224"/>
        <v>0</v>
      </c>
      <c r="I556" s="305">
        <f t="shared" si="224"/>
        <v>0</v>
      </c>
      <c r="J556" s="305">
        <f t="shared" si="224"/>
        <v>3</v>
      </c>
      <c r="K556" s="305">
        <f t="shared" si="224"/>
        <v>0</v>
      </c>
      <c r="L556" s="305">
        <f t="shared" si="224"/>
        <v>10</v>
      </c>
      <c r="M556" s="305">
        <f t="shared" si="224"/>
        <v>0</v>
      </c>
      <c r="N556" s="305">
        <f t="shared" si="224"/>
        <v>1</v>
      </c>
      <c r="O556" s="305">
        <f t="shared" si="224"/>
        <v>0</v>
      </c>
      <c r="P556" s="305">
        <f t="shared" si="224"/>
        <v>0</v>
      </c>
      <c r="Q556" s="203" t="s">
        <v>12</v>
      </c>
      <c r="R556" s="307"/>
    </row>
    <row r="557" spans="2:18" ht="22.5" customHeight="1" thickBot="1" x14ac:dyDescent="0.25">
      <c r="B557" s="305">
        <f t="shared" si="214"/>
        <v>0</v>
      </c>
      <c r="C557" s="305">
        <f t="shared" ref="C557:D559" si="225">O557+M557+K557+I557+G557+E557</f>
        <v>0</v>
      </c>
      <c r="D557" s="305">
        <f t="shared" si="225"/>
        <v>0</v>
      </c>
      <c r="E557" s="305">
        <v>0</v>
      </c>
      <c r="F557" s="305">
        <v>0</v>
      </c>
      <c r="G557" s="305">
        <v>0</v>
      </c>
      <c r="H557" s="305">
        <v>0</v>
      </c>
      <c r="I557" s="305">
        <v>0</v>
      </c>
      <c r="J557" s="305">
        <v>0</v>
      </c>
      <c r="K557" s="305">
        <v>0</v>
      </c>
      <c r="L557" s="305">
        <v>0</v>
      </c>
      <c r="M557" s="305">
        <v>0</v>
      </c>
      <c r="N557" s="305">
        <v>0</v>
      </c>
      <c r="O557" s="305">
        <v>0</v>
      </c>
      <c r="P557" s="305">
        <v>0</v>
      </c>
      <c r="Q557" s="203" t="s">
        <v>146</v>
      </c>
      <c r="R557" s="306"/>
    </row>
    <row r="558" spans="2:18" ht="22.5" customHeight="1" thickBot="1" x14ac:dyDescent="0.25">
      <c r="B558" s="305">
        <f t="shared" si="214"/>
        <v>9</v>
      </c>
      <c r="C558" s="305">
        <f t="shared" si="225"/>
        <v>2</v>
      </c>
      <c r="D558" s="305">
        <f t="shared" si="225"/>
        <v>7</v>
      </c>
      <c r="E558" s="305">
        <v>0</v>
      </c>
      <c r="F558" s="305">
        <v>0</v>
      </c>
      <c r="G558" s="305">
        <v>0</v>
      </c>
      <c r="H558" s="305">
        <v>0</v>
      </c>
      <c r="I558" s="305">
        <v>0</v>
      </c>
      <c r="J558" s="305">
        <v>2</v>
      </c>
      <c r="K558" s="305">
        <v>2</v>
      </c>
      <c r="L558" s="305">
        <v>3</v>
      </c>
      <c r="M558" s="305">
        <v>0</v>
      </c>
      <c r="N558" s="305">
        <v>1</v>
      </c>
      <c r="O558" s="305">
        <v>0</v>
      </c>
      <c r="P558" s="305">
        <v>1</v>
      </c>
      <c r="Q558" s="203" t="s">
        <v>145</v>
      </c>
      <c r="R558" s="306" t="s">
        <v>468</v>
      </c>
    </row>
    <row r="559" spans="2:18" ht="22.5" customHeight="1" thickBot="1" x14ac:dyDescent="0.25">
      <c r="B559" s="305">
        <f>SUM(B557:B558)</f>
        <v>9</v>
      </c>
      <c r="C559" s="305">
        <f t="shared" si="225"/>
        <v>2</v>
      </c>
      <c r="D559" s="305">
        <f t="shared" si="225"/>
        <v>7</v>
      </c>
      <c r="E559" s="305">
        <f t="shared" ref="E559:P559" si="226">SUM(E557:E558)</f>
        <v>0</v>
      </c>
      <c r="F559" s="305">
        <f t="shared" si="226"/>
        <v>0</v>
      </c>
      <c r="G559" s="305">
        <f t="shared" si="226"/>
        <v>0</v>
      </c>
      <c r="H559" s="305">
        <f t="shared" si="226"/>
        <v>0</v>
      </c>
      <c r="I559" s="305">
        <f t="shared" si="226"/>
        <v>0</v>
      </c>
      <c r="J559" s="305">
        <f t="shared" si="226"/>
        <v>2</v>
      </c>
      <c r="K559" s="305">
        <f t="shared" si="226"/>
        <v>2</v>
      </c>
      <c r="L559" s="305">
        <f t="shared" si="226"/>
        <v>3</v>
      </c>
      <c r="M559" s="305">
        <f t="shared" si="226"/>
        <v>0</v>
      </c>
      <c r="N559" s="305">
        <f t="shared" si="226"/>
        <v>1</v>
      </c>
      <c r="O559" s="305">
        <f t="shared" si="226"/>
        <v>0</v>
      </c>
      <c r="P559" s="305">
        <f t="shared" si="226"/>
        <v>1</v>
      </c>
      <c r="Q559" s="203" t="s">
        <v>12</v>
      </c>
      <c r="R559" s="307"/>
    </row>
    <row r="560" spans="2:18" ht="22.5" customHeight="1" thickBot="1" x14ac:dyDescent="0.25">
      <c r="B560" s="305">
        <f t="shared" ref="B560:P562" si="227">B557+B554+B551+B548+B545+B542+B539+B536+B533+B530+B527+B524+B521+B518+B515+B512+B509+B506+B503+B500+B497+B494+B491+B488+B485+B482+B479+B476+B473+B470+B467+B464+B461</f>
        <v>890</v>
      </c>
      <c r="C560" s="305">
        <f t="shared" si="227"/>
        <v>300</v>
      </c>
      <c r="D560" s="305">
        <f t="shared" si="227"/>
        <v>590</v>
      </c>
      <c r="E560" s="305">
        <f t="shared" si="227"/>
        <v>0</v>
      </c>
      <c r="F560" s="305">
        <f t="shared" si="227"/>
        <v>0</v>
      </c>
      <c r="G560" s="305">
        <f t="shared" si="227"/>
        <v>249</v>
      </c>
      <c r="H560" s="305">
        <f t="shared" si="227"/>
        <v>326</v>
      </c>
      <c r="I560" s="305">
        <f t="shared" si="227"/>
        <v>29</v>
      </c>
      <c r="J560" s="305">
        <f t="shared" si="227"/>
        <v>44</v>
      </c>
      <c r="K560" s="305">
        <f t="shared" si="227"/>
        <v>22</v>
      </c>
      <c r="L560" s="305">
        <f t="shared" si="227"/>
        <v>145</v>
      </c>
      <c r="M560" s="305">
        <f t="shared" si="227"/>
        <v>0</v>
      </c>
      <c r="N560" s="305">
        <f t="shared" si="227"/>
        <v>49</v>
      </c>
      <c r="O560" s="305">
        <f t="shared" si="227"/>
        <v>0</v>
      </c>
      <c r="P560" s="305">
        <f>P557+P554+P551+P548+P545+P542+P539+P536+P533+P530+P527+P524+P521+P518+P515+P512+P509+P506+P503+P500+P497+P494+P491+P488+P485+P482+P479+P476+P473+P470+P467+P464+P461</f>
        <v>26</v>
      </c>
      <c r="Q560" s="203" t="s">
        <v>146</v>
      </c>
      <c r="R560" s="280"/>
    </row>
    <row r="561" spans="2:18" ht="22.5" customHeight="1" thickBot="1" x14ac:dyDescent="0.25">
      <c r="B561" s="305">
        <f t="shared" si="227"/>
        <v>1094</v>
      </c>
      <c r="C561" s="305">
        <f t="shared" si="227"/>
        <v>342</v>
      </c>
      <c r="D561" s="305">
        <f t="shared" si="227"/>
        <v>752</v>
      </c>
      <c r="E561" s="305">
        <f t="shared" si="227"/>
        <v>0</v>
      </c>
      <c r="F561" s="305">
        <f t="shared" si="227"/>
        <v>0</v>
      </c>
      <c r="G561" s="305">
        <f t="shared" si="227"/>
        <v>0</v>
      </c>
      <c r="H561" s="305">
        <f t="shared" si="227"/>
        <v>0</v>
      </c>
      <c r="I561" s="305">
        <f t="shared" si="227"/>
        <v>100</v>
      </c>
      <c r="J561" s="305">
        <f t="shared" si="227"/>
        <v>141</v>
      </c>
      <c r="K561" s="305">
        <f t="shared" si="227"/>
        <v>212</v>
      </c>
      <c r="L561" s="305">
        <f t="shared" si="227"/>
        <v>487</v>
      </c>
      <c r="M561" s="305">
        <f t="shared" si="227"/>
        <v>24</v>
      </c>
      <c r="N561" s="305">
        <f t="shared" si="227"/>
        <v>94</v>
      </c>
      <c r="O561" s="305">
        <f t="shared" si="227"/>
        <v>6</v>
      </c>
      <c r="P561" s="305">
        <f t="shared" si="227"/>
        <v>30</v>
      </c>
      <c r="Q561" s="203" t="s">
        <v>145</v>
      </c>
      <c r="R561" s="281" t="s">
        <v>188</v>
      </c>
    </row>
    <row r="562" spans="2:18" ht="22.5" customHeight="1" thickBot="1" x14ac:dyDescent="0.25">
      <c r="B562" s="305">
        <f t="shared" si="227"/>
        <v>1984</v>
      </c>
      <c r="C562" s="305">
        <f t="shared" si="227"/>
        <v>642</v>
      </c>
      <c r="D562" s="305">
        <f t="shared" si="227"/>
        <v>1342</v>
      </c>
      <c r="E562" s="305">
        <f t="shared" si="227"/>
        <v>0</v>
      </c>
      <c r="F562" s="305">
        <f t="shared" si="227"/>
        <v>0</v>
      </c>
      <c r="G562" s="305">
        <f t="shared" si="227"/>
        <v>249</v>
      </c>
      <c r="H562" s="305">
        <f t="shared" si="227"/>
        <v>326</v>
      </c>
      <c r="I562" s="305">
        <f t="shared" si="227"/>
        <v>129</v>
      </c>
      <c r="J562" s="305">
        <f t="shared" si="227"/>
        <v>185</v>
      </c>
      <c r="K562" s="305">
        <f t="shared" si="227"/>
        <v>234</v>
      </c>
      <c r="L562" s="305">
        <f t="shared" si="227"/>
        <v>632</v>
      </c>
      <c r="M562" s="305">
        <f t="shared" si="227"/>
        <v>24</v>
      </c>
      <c r="N562" s="305">
        <f t="shared" si="227"/>
        <v>143</v>
      </c>
      <c r="O562" s="305">
        <f t="shared" si="227"/>
        <v>6</v>
      </c>
      <c r="P562" s="305">
        <f t="shared" si="227"/>
        <v>56</v>
      </c>
      <c r="Q562" s="203" t="s">
        <v>12</v>
      </c>
      <c r="R562" s="282"/>
    </row>
    <row r="563" spans="2:18" ht="22.5" customHeight="1" thickBot="1" x14ac:dyDescent="0.25">
      <c r="B563" s="319"/>
      <c r="C563" s="319"/>
      <c r="D563" s="319"/>
      <c r="E563" s="319"/>
      <c r="F563" s="319"/>
      <c r="G563" s="319"/>
      <c r="H563" s="319"/>
      <c r="I563" s="319"/>
      <c r="J563" s="319"/>
      <c r="K563" s="319"/>
      <c r="L563" s="319"/>
      <c r="M563" s="319"/>
      <c r="N563" s="319"/>
      <c r="O563" s="319"/>
      <c r="P563" s="319"/>
      <c r="Q563" s="320"/>
      <c r="R563" s="320"/>
    </row>
    <row r="564" spans="2:18" ht="22.5" customHeight="1" thickBot="1" x14ac:dyDescent="0.25">
      <c r="B564" s="477" t="s">
        <v>4</v>
      </c>
      <c r="C564" s="477"/>
      <c r="D564" s="477"/>
      <c r="E564" s="477" t="s">
        <v>735</v>
      </c>
      <c r="F564" s="477"/>
      <c r="G564" s="477" t="s">
        <v>736</v>
      </c>
      <c r="H564" s="477"/>
      <c r="I564" s="477" t="s">
        <v>737</v>
      </c>
      <c r="J564" s="477"/>
      <c r="K564" s="477" t="s">
        <v>738</v>
      </c>
      <c r="L564" s="477"/>
      <c r="M564" s="477" t="s">
        <v>739</v>
      </c>
      <c r="N564" s="477"/>
      <c r="O564" s="477" t="s">
        <v>740</v>
      </c>
      <c r="P564" s="477"/>
      <c r="Q564" s="575" t="s">
        <v>741</v>
      </c>
      <c r="R564" s="304" t="s">
        <v>144</v>
      </c>
    </row>
    <row r="565" spans="2:18" ht="22.5" customHeight="1" thickBot="1" x14ac:dyDescent="0.25">
      <c r="B565" s="204" t="s">
        <v>227</v>
      </c>
      <c r="C565" s="204" t="s">
        <v>10</v>
      </c>
      <c r="D565" s="204" t="s">
        <v>9</v>
      </c>
      <c r="E565" s="204" t="s">
        <v>10</v>
      </c>
      <c r="F565" s="204" t="s">
        <v>9</v>
      </c>
      <c r="G565" s="204" t="s">
        <v>10</v>
      </c>
      <c r="H565" s="204" t="s">
        <v>9</v>
      </c>
      <c r="I565" s="204" t="s">
        <v>10</v>
      </c>
      <c r="J565" s="204" t="s">
        <v>9</v>
      </c>
      <c r="K565" s="204" t="s">
        <v>10</v>
      </c>
      <c r="L565" s="204" t="s">
        <v>9</v>
      </c>
      <c r="M565" s="204" t="s">
        <v>10</v>
      </c>
      <c r="N565" s="204" t="s">
        <v>9</v>
      </c>
      <c r="O565" s="204" t="s">
        <v>10</v>
      </c>
      <c r="P565" s="204" t="s">
        <v>9</v>
      </c>
      <c r="Q565" s="481"/>
      <c r="R565" s="282" t="s">
        <v>100</v>
      </c>
    </row>
    <row r="566" spans="2:18" ht="22.5" customHeight="1" thickBot="1" x14ac:dyDescent="0.25">
      <c r="B566" s="322">
        <f>SUM(C566:D566)</f>
        <v>62</v>
      </c>
      <c r="C566" s="322">
        <f>O566+M566+K566+I566+G566+E566</f>
        <v>0</v>
      </c>
      <c r="D566" s="322">
        <f>P566+N566+L566+J566+H566+F566</f>
        <v>62</v>
      </c>
      <c r="E566" s="322">
        <v>0</v>
      </c>
      <c r="F566" s="322">
        <v>0</v>
      </c>
      <c r="G566" s="322">
        <v>0</v>
      </c>
      <c r="H566" s="322">
        <v>20</v>
      </c>
      <c r="I566" s="322">
        <v>0</v>
      </c>
      <c r="J566" s="322">
        <v>11</v>
      </c>
      <c r="K566" s="322">
        <v>0</v>
      </c>
      <c r="L566" s="322">
        <v>26</v>
      </c>
      <c r="M566" s="322">
        <v>0</v>
      </c>
      <c r="N566" s="322">
        <v>3</v>
      </c>
      <c r="O566" s="322">
        <v>0</v>
      </c>
      <c r="P566" s="322">
        <v>2</v>
      </c>
      <c r="Q566" s="203" t="s">
        <v>146</v>
      </c>
      <c r="R566" s="306"/>
    </row>
    <row r="567" spans="2:18" ht="22.5" customHeight="1" thickBot="1" x14ac:dyDescent="0.25">
      <c r="B567" s="322">
        <f t="shared" ref="B567:B627" si="228">SUM(C567:D567)</f>
        <v>58</v>
      </c>
      <c r="C567" s="322">
        <f>O567+M567+K567+I567+G567+E567</f>
        <v>0</v>
      </c>
      <c r="D567" s="322">
        <f>P567+N567+L567+J567+H567+F567</f>
        <v>58</v>
      </c>
      <c r="E567" s="322">
        <v>0</v>
      </c>
      <c r="F567" s="322">
        <v>0</v>
      </c>
      <c r="G567" s="322">
        <v>0</v>
      </c>
      <c r="H567" s="322">
        <v>16</v>
      </c>
      <c r="I567" s="322">
        <v>0</v>
      </c>
      <c r="J567" s="322">
        <v>9</v>
      </c>
      <c r="K567" s="322">
        <v>0</v>
      </c>
      <c r="L567" s="322">
        <v>32</v>
      </c>
      <c r="M567" s="322">
        <v>0</v>
      </c>
      <c r="N567" s="322">
        <v>1</v>
      </c>
      <c r="O567" s="322">
        <v>0</v>
      </c>
      <c r="P567" s="322">
        <v>0</v>
      </c>
      <c r="Q567" s="203" t="s">
        <v>145</v>
      </c>
      <c r="R567" s="306" t="s">
        <v>469</v>
      </c>
    </row>
    <row r="568" spans="2:18" ht="22.5" customHeight="1" thickBot="1" x14ac:dyDescent="0.25">
      <c r="B568" s="322">
        <f t="shared" ref="B568:P568" si="229">SUM(B566:B567)</f>
        <v>120</v>
      </c>
      <c r="C568" s="322">
        <f t="shared" si="229"/>
        <v>0</v>
      </c>
      <c r="D568" s="322">
        <f t="shared" si="229"/>
        <v>120</v>
      </c>
      <c r="E568" s="322">
        <f t="shared" si="229"/>
        <v>0</v>
      </c>
      <c r="F568" s="322">
        <f t="shared" si="229"/>
        <v>0</v>
      </c>
      <c r="G568" s="322">
        <f t="shared" si="229"/>
        <v>0</v>
      </c>
      <c r="H568" s="322">
        <f t="shared" si="229"/>
        <v>36</v>
      </c>
      <c r="I568" s="322">
        <f t="shared" si="229"/>
        <v>0</v>
      </c>
      <c r="J568" s="322">
        <f t="shared" si="229"/>
        <v>20</v>
      </c>
      <c r="K568" s="322">
        <f t="shared" si="229"/>
        <v>0</v>
      </c>
      <c r="L568" s="322">
        <f t="shared" si="229"/>
        <v>58</v>
      </c>
      <c r="M568" s="322">
        <f t="shared" si="229"/>
        <v>0</v>
      </c>
      <c r="N568" s="322">
        <f t="shared" si="229"/>
        <v>4</v>
      </c>
      <c r="O568" s="322">
        <f t="shared" si="229"/>
        <v>0</v>
      </c>
      <c r="P568" s="322">
        <f t="shared" si="229"/>
        <v>2</v>
      </c>
      <c r="Q568" s="203" t="s">
        <v>12</v>
      </c>
      <c r="R568" s="307"/>
    </row>
    <row r="569" spans="2:18" ht="22.5" customHeight="1" thickBot="1" x14ac:dyDescent="0.25">
      <c r="B569" s="322">
        <f t="shared" si="228"/>
        <v>210</v>
      </c>
      <c r="C569" s="322">
        <f>O569+M569+K569+I569+G569+E569</f>
        <v>0</v>
      </c>
      <c r="D569" s="322">
        <f>P569+N569+L569+J569+H569+F569</f>
        <v>210</v>
      </c>
      <c r="E569" s="322">
        <v>0</v>
      </c>
      <c r="F569" s="322">
        <v>2</v>
      </c>
      <c r="G569" s="322">
        <v>0</v>
      </c>
      <c r="H569" s="322">
        <v>93</v>
      </c>
      <c r="I569" s="322">
        <v>0</v>
      </c>
      <c r="J569" s="322">
        <v>10</v>
      </c>
      <c r="K569" s="322">
        <v>0</v>
      </c>
      <c r="L569" s="322">
        <v>55</v>
      </c>
      <c r="M569" s="322">
        <v>0</v>
      </c>
      <c r="N569" s="322">
        <v>32</v>
      </c>
      <c r="O569" s="322">
        <v>0</v>
      </c>
      <c r="P569" s="322">
        <v>18</v>
      </c>
      <c r="Q569" s="203" t="s">
        <v>146</v>
      </c>
      <c r="R569" s="306"/>
    </row>
    <row r="570" spans="2:18" ht="22.5" customHeight="1" thickBot="1" x14ac:dyDescent="0.25">
      <c r="B570" s="322">
        <f t="shared" si="228"/>
        <v>7</v>
      </c>
      <c r="C570" s="322">
        <f>O570+M570+K570+I570+G570+E570</f>
        <v>0</v>
      </c>
      <c r="D570" s="322">
        <f>P570+N570+L570+J570+H570+F570</f>
        <v>7</v>
      </c>
      <c r="E570" s="322">
        <v>0</v>
      </c>
      <c r="F570" s="322">
        <v>0</v>
      </c>
      <c r="G570" s="322">
        <v>0</v>
      </c>
      <c r="H570" s="322">
        <v>1</v>
      </c>
      <c r="I570" s="322">
        <v>0</v>
      </c>
      <c r="J570" s="322">
        <v>1</v>
      </c>
      <c r="K570" s="322">
        <v>0</v>
      </c>
      <c r="L570" s="322">
        <v>4</v>
      </c>
      <c r="M570" s="322">
        <v>0</v>
      </c>
      <c r="N570" s="322">
        <v>1</v>
      </c>
      <c r="O570" s="322">
        <v>0</v>
      </c>
      <c r="P570" s="322">
        <v>0</v>
      </c>
      <c r="Q570" s="203" t="s">
        <v>145</v>
      </c>
      <c r="R570" s="306" t="s">
        <v>453</v>
      </c>
    </row>
    <row r="571" spans="2:18" ht="22.5" customHeight="1" thickBot="1" x14ac:dyDescent="0.25">
      <c r="B571" s="322">
        <f t="shared" ref="B571:P571" si="230">SUM(B569:B570)</f>
        <v>217</v>
      </c>
      <c r="C571" s="322">
        <f t="shared" si="230"/>
        <v>0</v>
      </c>
      <c r="D571" s="322">
        <f t="shared" si="230"/>
        <v>217</v>
      </c>
      <c r="E571" s="322">
        <f t="shared" si="230"/>
        <v>0</v>
      </c>
      <c r="F571" s="322">
        <f t="shared" si="230"/>
        <v>2</v>
      </c>
      <c r="G571" s="322">
        <f t="shared" si="230"/>
        <v>0</v>
      </c>
      <c r="H571" s="322">
        <f t="shared" si="230"/>
        <v>94</v>
      </c>
      <c r="I571" s="322">
        <f t="shared" si="230"/>
        <v>0</v>
      </c>
      <c r="J571" s="322">
        <f t="shared" si="230"/>
        <v>11</v>
      </c>
      <c r="K571" s="322">
        <f t="shared" si="230"/>
        <v>0</v>
      </c>
      <c r="L571" s="322">
        <f t="shared" si="230"/>
        <v>59</v>
      </c>
      <c r="M571" s="322">
        <f t="shared" si="230"/>
        <v>0</v>
      </c>
      <c r="N571" s="322">
        <f t="shared" si="230"/>
        <v>33</v>
      </c>
      <c r="O571" s="322">
        <f t="shared" si="230"/>
        <v>0</v>
      </c>
      <c r="P571" s="322">
        <f t="shared" si="230"/>
        <v>18</v>
      </c>
      <c r="Q571" s="203" t="s">
        <v>12</v>
      </c>
      <c r="R571" s="307"/>
    </row>
    <row r="572" spans="2:18" ht="22.5" customHeight="1" thickBot="1" x14ac:dyDescent="0.25">
      <c r="B572" s="322">
        <f t="shared" si="228"/>
        <v>133</v>
      </c>
      <c r="C572" s="322">
        <f>O572+M572+K572+I572+G572+E572</f>
        <v>1</v>
      </c>
      <c r="D572" s="322">
        <f>P572+N572+L572+J572+H572+F572</f>
        <v>132</v>
      </c>
      <c r="E572" s="322">
        <v>0</v>
      </c>
      <c r="F572" s="322">
        <v>7</v>
      </c>
      <c r="G572" s="322">
        <v>0</v>
      </c>
      <c r="H572" s="322">
        <v>41</v>
      </c>
      <c r="I572" s="322">
        <v>1</v>
      </c>
      <c r="J572" s="322">
        <v>4</v>
      </c>
      <c r="K572" s="322">
        <v>0</v>
      </c>
      <c r="L572" s="322">
        <v>51</v>
      </c>
      <c r="M572" s="322">
        <v>0</v>
      </c>
      <c r="N572" s="322">
        <v>19</v>
      </c>
      <c r="O572" s="322">
        <v>0</v>
      </c>
      <c r="P572" s="322">
        <v>10</v>
      </c>
      <c r="Q572" s="203" t="s">
        <v>146</v>
      </c>
      <c r="R572" s="306"/>
    </row>
    <row r="573" spans="2:18" ht="22.5" customHeight="1" thickBot="1" x14ac:dyDescent="0.25">
      <c r="B573" s="322">
        <f t="shared" si="228"/>
        <v>39</v>
      </c>
      <c r="C573" s="322">
        <f>O573+M573+K573+I573+G573+E573</f>
        <v>0</v>
      </c>
      <c r="D573" s="322">
        <f>P573+N573+L573+J573+H573+F573</f>
        <v>39</v>
      </c>
      <c r="E573" s="322">
        <v>0</v>
      </c>
      <c r="F573" s="322">
        <v>0</v>
      </c>
      <c r="G573" s="322">
        <v>0</v>
      </c>
      <c r="H573" s="322">
        <v>1</v>
      </c>
      <c r="I573" s="322">
        <v>0</v>
      </c>
      <c r="J573" s="322">
        <v>7</v>
      </c>
      <c r="K573" s="322">
        <v>0</v>
      </c>
      <c r="L573" s="322">
        <v>22</v>
      </c>
      <c r="M573" s="322">
        <v>0</v>
      </c>
      <c r="N573" s="322">
        <v>9</v>
      </c>
      <c r="O573" s="322">
        <v>0</v>
      </c>
      <c r="P573" s="322">
        <v>0</v>
      </c>
      <c r="Q573" s="203" t="s">
        <v>145</v>
      </c>
      <c r="R573" s="306" t="s">
        <v>470</v>
      </c>
    </row>
    <row r="574" spans="2:18" ht="22.5" customHeight="1" thickBot="1" x14ac:dyDescent="0.25">
      <c r="B574" s="322">
        <f>SUM(B572:B573)</f>
        <v>172</v>
      </c>
      <c r="C574" s="322">
        <f>SUM(C572:C573)</f>
        <v>1</v>
      </c>
      <c r="D574" s="322">
        <f>SUM(D572:D573)</f>
        <v>171</v>
      </c>
      <c r="E574" s="322">
        <f>SUM(E572:E573)</f>
        <v>0</v>
      </c>
      <c r="F574" s="322">
        <v>7</v>
      </c>
      <c r="G574" s="322">
        <f t="shared" ref="G574:P574" si="231">SUM(G572:G573)</f>
        <v>0</v>
      </c>
      <c r="H574" s="322">
        <f t="shared" si="231"/>
        <v>42</v>
      </c>
      <c r="I574" s="322">
        <f t="shared" si="231"/>
        <v>1</v>
      </c>
      <c r="J574" s="322">
        <f t="shared" si="231"/>
        <v>11</v>
      </c>
      <c r="K574" s="322">
        <f t="shared" si="231"/>
        <v>0</v>
      </c>
      <c r="L574" s="322">
        <f t="shared" si="231"/>
        <v>73</v>
      </c>
      <c r="M574" s="322">
        <f t="shared" si="231"/>
        <v>0</v>
      </c>
      <c r="N574" s="322">
        <f t="shared" si="231"/>
        <v>28</v>
      </c>
      <c r="O574" s="322">
        <f t="shared" si="231"/>
        <v>0</v>
      </c>
      <c r="P574" s="322">
        <f t="shared" si="231"/>
        <v>10</v>
      </c>
      <c r="Q574" s="203" t="s">
        <v>12</v>
      </c>
      <c r="R574" s="307"/>
    </row>
    <row r="575" spans="2:18" ht="22.5" customHeight="1" thickBot="1" x14ac:dyDescent="0.25">
      <c r="B575" s="322">
        <f t="shared" si="228"/>
        <v>172</v>
      </c>
      <c r="C575" s="322">
        <f>O575+M575+K575+I575+G575+E575</f>
        <v>85</v>
      </c>
      <c r="D575" s="322">
        <f>P575+N575+L575+J575+H575+F575</f>
        <v>87</v>
      </c>
      <c r="E575" s="322">
        <v>10</v>
      </c>
      <c r="F575" s="322">
        <v>50</v>
      </c>
      <c r="G575" s="322">
        <v>63</v>
      </c>
      <c r="H575" s="322">
        <v>0</v>
      </c>
      <c r="I575" s="322">
        <v>10</v>
      </c>
      <c r="J575" s="322">
        <v>0</v>
      </c>
      <c r="K575" s="322">
        <v>2</v>
      </c>
      <c r="L575" s="322">
        <v>29</v>
      </c>
      <c r="M575" s="322">
        <v>0</v>
      </c>
      <c r="N575" s="322">
        <v>5</v>
      </c>
      <c r="O575" s="322">
        <v>0</v>
      </c>
      <c r="P575" s="322">
        <v>3</v>
      </c>
      <c r="Q575" s="203" t="s">
        <v>146</v>
      </c>
      <c r="R575" s="306"/>
    </row>
    <row r="576" spans="2:18" ht="22.5" customHeight="1" thickBot="1" x14ac:dyDescent="0.25">
      <c r="B576" s="322">
        <f t="shared" si="228"/>
        <v>209</v>
      </c>
      <c r="C576" s="322">
        <f>O576+M576+K576+I576+G576+E576</f>
        <v>88</v>
      </c>
      <c r="D576" s="322">
        <f>P576+N576+L576+J576+H576+F576</f>
        <v>121</v>
      </c>
      <c r="E576" s="322">
        <v>11</v>
      </c>
      <c r="F576" s="322">
        <v>16</v>
      </c>
      <c r="G576" s="322">
        <v>4</v>
      </c>
      <c r="H576" s="322">
        <v>0</v>
      </c>
      <c r="I576" s="322">
        <v>28</v>
      </c>
      <c r="J576" s="322">
        <v>25</v>
      </c>
      <c r="K576" s="322">
        <v>34</v>
      </c>
      <c r="L576" s="322">
        <v>63</v>
      </c>
      <c r="M576" s="322">
        <v>9</v>
      </c>
      <c r="N576" s="322">
        <v>12</v>
      </c>
      <c r="O576" s="322">
        <v>2</v>
      </c>
      <c r="P576" s="322">
        <v>5</v>
      </c>
      <c r="Q576" s="203" t="s">
        <v>145</v>
      </c>
      <c r="R576" s="306" t="s">
        <v>402</v>
      </c>
    </row>
    <row r="577" spans="2:18" ht="22.5" customHeight="1" thickBot="1" x14ac:dyDescent="0.25">
      <c r="B577" s="322">
        <f t="shared" ref="B577:P577" si="232">SUM(B575:B576)</f>
        <v>381</v>
      </c>
      <c r="C577" s="322">
        <f t="shared" si="232"/>
        <v>173</v>
      </c>
      <c r="D577" s="322">
        <f t="shared" si="232"/>
        <v>208</v>
      </c>
      <c r="E577" s="322">
        <f t="shared" si="232"/>
        <v>21</v>
      </c>
      <c r="F577" s="322">
        <f t="shared" si="232"/>
        <v>66</v>
      </c>
      <c r="G577" s="322">
        <f t="shared" si="232"/>
        <v>67</v>
      </c>
      <c r="H577" s="322">
        <f t="shared" si="232"/>
        <v>0</v>
      </c>
      <c r="I577" s="322">
        <f t="shared" si="232"/>
        <v>38</v>
      </c>
      <c r="J577" s="322">
        <f t="shared" si="232"/>
        <v>25</v>
      </c>
      <c r="K577" s="322">
        <f t="shared" si="232"/>
        <v>36</v>
      </c>
      <c r="L577" s="322">
        <f t="shared" si="232"/>
        <v>92</v>
      </c>
      <c r="M577" s="322">
        <f t="shared" si="232"/>
        <v>9</v>
      </c>
      <c r="N577" s="322">
        <f t="shared" si="232"/>
        <v>17</v>
      </c>
      <c r="O577" s="322">
        <f t="shared" si="232"/>
        <v>2</v>
      </c>
      <c r="P577" s="322">
        <f t="shared" si="232"/>
        <v>8</v>
      </c>
      <c r="Q577" s="203" t="s">
        <v>12</v>
      </c>
      <c r="R577" s="307"/>
    </row>
    <row r="578" spans="2:18" ht="22.5" customHeight="1" thickBot="1" x14ac:dyDescent="0.25">
      <c r="B578" s="322">
        <f t="shared" si="228"/>
        <v>43</v>
      </c>
      <c r="C578" s="322">
        <f>O578+M578+K578+I578+G578+E578</f>
        <v>0</v>
      </c>
      <c r="D578" s="322">
        <f>P578+N578+L578+J578+H578+F578</f>
        <v>43</v>
      </c>
      <c r="E578" s="322">
        <v>0</v>
      </c>
      <c r="F578" s="322">
        <v>0</v>
      </c>
      <c r="G578" s="322">
        <v>0</v>
      </c>
      <c r="H578" s="322">
        <v>8</v>
      </c>
      <c r="I578" s="322">
        <v>0</v>
      </c>
      <c r="J578" s="322">
        <v>2</v>
      </c>
      <c r="K578" s="322">
        <v>0</v>
      </c>
      <c r="L578" s="322">
        <v>12</v>
      </c>
      <c r="M578" s="322">
        <v>0</v>
      </c>
      <c r="N578" s="322">
        <v>9</v>
      </c>
      <c r="O578" s="322">
        <v>0</v>
      </c>
      <c r="P578" s="322">
        <v>12</v>
      </c>
      <c r="Q578" s="203" t="s">
        <v>146</v>
      </c>
      <c r="R578" s="306"/>
    </row>
    <row r="579" spans="2:18" ht="22.5" customHeight="1" thickBot="1" x14ac:dyDescent="0.25">
      <c r="B579" s="322">
        <f t="shared" si="228"/>
        <v>49</v>
      </c>
      <c r="C579" s="322">
        <f>O579+M579+K579+I579+G579+E579</f>
        <v>0</v>
      </c>
      <c r="D579" s="322">
        <f>P579+N579+L579+J579+H579+F579</f>
        <v>49</v>
      </c>
      <c r="E579" s="322">
        <v>0</v>
      </c>
      <c r="F579" s="322">
        <v>0</v>
      </c>
      <c r="G579" s="322">
        <v>0</v>
      </c>
      <c r="H579" s="322">
        <v>11.999999999999998</v>
      </c>
      <c r="I579" s="322">
        <v>0</v>
      </c>
      <c r="J579" s="322">
        <v>0</v>
      </c>
      <c r="K579" s="322">
        <v>0</v>
      </c>
      <c r="L579" s="322">
        <v>30</v>
      </c>
      <c r="M579" s="322">
        <v>0</v>
      </c>
      <c r="N579" s="322">
        <v>5</v>
      </c>
      <c r="O579" s="322">
        <v>0</v>
      </c>
      <c r="P579" s="322">
        <v>2</v>
      </c>
      <c r="Q579" s="203" t="s">
        <v>145</v>
      </c>
      <c r="R579" s="306" t="s">
        <v>472</v>
      </c>
    </row>
    <row r="580" spans="2:18" ht="22.5" customHeight="1" thickBot="1" x14ac:dyDescent="0.25">
      <c r="B580" s="322">
        <f t="shared" ref="B580:P580" si="233">SUM(B578:B579)</f>
        <v>92</v>
      </c>
      <c r="C580" s="322">
        <f t="shared" si="233"/>
        <v>0</v>
      </c>
      <c r="D580" s="322">
        <f t="shared" si="233"/>
        <v>92</v>
      </c>
      <c r="E580" s="322">
        <f t="shared" si="233"/>
        <v>0</v>
      </c>
      <c r="F580" s="322">
        <f t="shared" si="233"/>
        <v>0</v>
      </c>
      <c r="G580" s="322">
        <f t="shared" si="233"/>
        <v>0</v>
      </c>
      <c r="H580" s="322">
        <f t="shared" si="233"/>
        <v>20</v>
      </c>
      <c r="I580" s="322">
        <f t="shared" si="233"/>
        <v>0</v>
      </c>
      <c r="J580" s="322">
        <f t="shared" si="233"/>
        <v>2</v>
      </c>
      <c r="K580" s="322">
        <f t="shared" si="233"/>
        <v>0</v>
      </c>
      <c r="L580" s="322">
        <f t="shared" si="233"/>
        <v>42</v>
      </c>
      <c r="M580" s="322">
        <f t="shared" si="233"/>
        <v>0</v>
      </c>
      <c r="N580" s="322">
        <f t="shared" si="233"/>
        <v>14</v>
      </c>
      <c r="O580" s="322">
        <f t="shared" si="233"/>
        <v>0</v>
      </c>
      <c r="P580" s="322">
        <f t="shared" si="233"/>
        <v>14</v>
      </c>
      <c r="Q580" s="203" t="s">
        <v>12</v>
      </c>
      <c r="R580" s="307"/>
    </row>
    <row r="581" spans="2:18" ht="22.5" customHeight="1" thickBot="1" x14ac:dyDescent="0.25">
      <c r="B581" s="322">
        <f t="shared" si="228"/>
        <v>35</v>
      </c>
      <c r="C581" s="322">
        <f>O581+M581+K581+I581+G581+E581</f>
        <v>5</v>
      </c>
      <c r="D581" s="322">
        <f>P581+N581+L581+J581+H581+F581</f>
        <v>30</v>
      </c>
      <c r="E581" s="322">
        <v>0</v>
      </c>
      <c r="F581" s="322">
        <v>0</v>
      </c>
      <c r="G581" s="322">
        <v>5</v>
      </c>
      <c r="H581" s="322">
        <v>22</v>
      </c>
      <c r="I581" s="322">
        <v>0</v>
      </c>
      <c r="J581" s="322">
        <v>0</v>
      </c>
      <c r="K581" s="322">
        <v>0</v>
      </c>
      <c r="L581" s="322">
        <v>6</v>
      </c>
      <c r="M581" s="322">
        <v>0</v>
      </c>
      <c r="N581" s="322">
        <v>1</v>
      </c>
      <c r="O581" s="322">
        <v>0</v>
      </c>
      <c r="P581" s="322">
        <v>1</v>
      </c>
      <c r="Q581" s="203" t="s">
        <v>146</v>
      </c>
      <c r="R581" s="306"/>
    </row>
    <row r="582" spans="2:18" ht="22.5" customHeight="1" thickBot="1" x14ac:dyDescent="0.25">
      <c r="B582" s="322">
        <f t="shared" si="228"/>
        <v>71</v>
      </c>
      <c r="C582" s="322">
        <f>O582+M582+K582+I582+G582+E582</f>
        <v>21</v>
      </c>
      <c r="D582" s="322">
        <f>P582+N582+L582+J582+H582+F582</f>
        <v>50</v>
      </c>
      <c r="E582" s="322">
        <v>0</v>
      </c>
      <c r="F582" s="322">
        <v>0</v>
      </c>
      <c r="G582" s="322">
        <v>0</v>
      </c>
      <c r="H582" s="322">
        <v>0</v>
      </c>
      <c r="I582" s="322">
        <v>0</v>
      </c>
      <c r="J582" s="322">
        <v>0</v>
      </c>
      <c r="K582" s="322">
        <v>15</v>
      </c>
      <c r="L582" s="322">
        <v>44</v>
      </c>
      <c r="M582" s="322">
        <v>6</v>
      </c>
      <c r="N582" s="322">
        <v>6</v>
      </c>
      <c r="O582" s="322">
        <v>0</v>
      </c>
      <c r="P582" s="322">
        <v>0</v>
      </c>
      <c r="Q582" s="203" t="s">
        <v>145</v>
      </c>
      <c r="R582" s="306" t="s">
        <v>417</v>
      </c>
    </row>
    <row r="583" spans="2:18" ht="22.5" customHeight="1" thickBot="1" x14ac:dyDescent="0.25">
      <c r="B583" s="322">
        <f t="shared" ref="B583:P583" si="234">SUM(B581:B582)</f>
        <v>106</v>
      </c>
      <c r="C583" s="322">
        <f t="shared" si="234"/>
        <v>26</v>
      </c>
      <c r="D583" s="322">
        <f t="shared" si="234"/>
        <v>80</v>
      </c>
      <c r="E583" s="322">
        <f t="shared" si="234"/>
        <v>0</v>
      </c>
      <c r="F583" s="322">
        <f t="shared" si="234"/>
        <v>0</v>
      </c>
      <c r="G583" s="322">
        <f t="shared" si="234"/>
        <v>5</v>
      </c>
      <c r="H583" s="322">
        <f t="shared" si="234"/>
        <v>22</v>
      </c>
      <c r="I583" s="322">
        <f t="shared" si="234"/>
        <v>0</v>
      </c>
      <c r="J583" s="322">
        <f t="shared" si="234"/>
        <v>0</v>
      </c>
      <c r="K583" s="322">
        <f t="shared" si="234"/>
        <v>15</v>
      </c>
      <c r="L583" s="322">
        <f t="shared" si="234"/>
        <v>50</v>
      </c>
      <c r="M583" s="322">
        <f t="shared" si="234"/>
        <v>6</v>
      </c>
      <c r="N583" s="322">
        <f t="shared" si="234"/>
        <v>7</v>
      </c>
      <c r="O583" s="322">
        <f t="shared" si="234"/>
        <v>0</v>
      </c>
      <c r="P583" s="322">
        <f t="shared" si="234"/>
        <v>1</v>
      </c>
      <c r="Q583" s="203" t="s">
        <v>12</v>
      </c>
      <c r="R583" s="307"/>
    </row>
    <row r="584" spans="2:18" ht="22.5" customHeight="1" thickBot="1" x14ac:dyDescent="0.25">
      <c r="B584" s="322">
        <f t="shared" si="228"/>
        <v>8</v>
      </c>
      <c r="C584" s="322">
        <f>O584+M584+K584+I584+G584+E584</f>
        <v>0</v>
      </c>
      <c r="D584" s="322">
        <f>P584+N584+L584+J584+H584+F584</f>
        <v>8</v>
      </c>
      <c r="E584" s="322">
        <v>0</v>
      </c>
      <c r="F584" s="322">
        <v>0</v>
      </c>
      <c r="G584" s="322">
        <v>0</v>
      </c>
      <c r="H584" s="322">
        <v>2</v>
      </c>
      <c r="I584" s="322">
        <v>0</v>
      </c>
      <c r="J584" s="322">
        <v>0</v>
      </c>
      <c r="K584" s="322">
        <v>0</v>
      </c>
      <c r="L584" s="322">
        <v>3</v>
      </c>
      <c r="M584" s="322">
        <v>0</v>
      </c>
      <c r="N584" s="322">
        <v>1</v>
      </c>
      <c r="O584" s="322">
        <v>0</v>
      </c>
      <c r="P584" s="322">
        <v>2</v>
      </c>
      <c r="Q584" s="203" t="s">
        <v>146</v>
      </c>
      <c r="R584" s="306"/>
    </row>
    <row r="585" spans="2:18" ht="22.5" customHeight="1" thickBot="1" x14ac:dyDescent="0.25">
      <c r="B585" s="322">
        <f t="shared" si="228"/>
        <v>42</v>
      </c>
      <c r="C585" s="322">
        <f>O585+M585+K585+I585+G585+E585</f>
        <v>0</v>
      </c>
      <c r="D585" s="322">
        <f>P585+N585+L585+J585+H585+F585</f>
        <v>42</v>
      </c>
      <c r="E585" s="322">
        <v>0</v>
      </c>
      <c r="F585" s="322">
        <v>0</v>
      </c>
      <c r="G585" s="322">
        <v>0</v>
      </c>
      <c r="H585" s="322">
        <v>1</v>
      </c>
      <c r="I585" s="322">
        <v>0</v>
      </c>
      <c r="J585" s="322">
        <v>1</v>
      </c>
      <c r="K585" s="322">
        <v>0</v>
      </c>
      <c r="L585" s="322">
        <v>37</v>
      </c>
      <c r="M585" s="322">
        <v>0</v>
      </c>
      <c r="N585" s="322">
        <v>3</v>
      </c>
      <c r="O585" s="322">
        <v>0</v>
      </c>
      <c r="P585" s="322">
        <v>0</v>
      </c>
      <c r="Q585" s="203" t="s">
        <v>145</v>
      </c>
      <c r="R585" s="306" t="s">
        <v>454</v>
      </c>
    </row>
    <row r="586" spans="2:18" ht="22.5" customHeight="1" thickBot="1" x14ac:dyDescent="0.25">
      <c r="B586" s="322">
        <f t="shared" ref="B586:P586" si="235">SUM(B584:B585)</f>
        <v>50</v>
      </c>
      <c r="C586" s="322">
        <f t="shared" si="235"/>
        <v>0</v>
      </c>
      <c r="D586" s="322">
        <f t="shared" si="235"/>
        <v>50</v>
      </c>
      <c r="E586" s="322">
        <f t="shared" si="235"/>
        <v>0</v>
      </c>
      <c r="F586" s="322">
        <f t="shared" si="235"/>
        <v>0</v>
      </c>
      <c r="G586" s="322">
        <f t="shared" si="235"/>
        <v>0</v>
      </c>
      <c r="H586" s="322">
        <f t="shared" si="235"/>
        <v>3</v>
      </c>
      <c r="I586" s="322">
        <f t="shared" si="235"/>
        <v>0</v>
      </c>
      <c r="J586" s="322">
        <f t="shared" si="235"/>
        <v>1</v>
      </c>
      <c r="K586" s="322">
        <f t="shared" si="235"/>
        <v>0</v>
      </c>
      <c r="L586" s="322">
        <f t="shared" si="235"/>
        <v>40</v>
      </c>
      <c r="M586" s="322">
        <f t="shared" si="235"/>
        <v>0</v>
      </c>
      <c r="N586" s="322">
        <f t="shared" si="235"/>
        <v>4</v>
      </c>
      <c r="O586" s="322">
        <f t="shared" si="235"/>
        <v>0</v>
      </c>
      <c r="P586" s="322">
        <f t="shared" si="235"/>
        <v>2</v>
      </c>
      <c r="Q586" s="203" t="s">
        <v>12</v>
      </c>
      <c r="R586" s="307"/>
    </row>
    <row r="587" spans="2:18" ht="22.5" customHeight="1" thickBot="1" x14ac:dyDescent="0.25">
      <c r="B587" s="322">
        <f t="shared" si="228"/>
        <v>9</v>
      </c>
      <c r="C587" s="322">
        <f>O587+M587+K587+I587+G587+E587</f>
        <v>1</v>
      </c>
      <c r="D587" s="322">
        <f>P587+N587+L587+J587+H587+F587</f>
        <v>8</v>
      </c>
      <c r="E587" s="322">
        <v>0</v>
      </c>
      <c r="F587" s="322">
        <v>4</v>
      </c>
      <c r="G587" s="322">
        <v>1</v>
      </c>
      <c r="H587" s="322">
        <v>0</v>
      </c>
      <c r="I587" s="322">
        <v>0</v>
      </c>
      <c r="J587" s="322">
        <v>1</v>
      </c>
      <c r="K587" s="322">
        <v>0</v>
      </c>
      <c r="L587" s="322">
        <v>2</v>
      </c>
      <c r="M587" s="322">
        <v>0</v>
      </c>
      <c r="N587" s="322">
        <v>1</v>
      </c>
      <c r="O587" s="322">
        <v>0</v>
      </c>
      <c r="P587" s="322">
        <v>0</v>
      </c>
      <c r="Q587" s="203" t="s">
        <v>146</v>
      </c>
      <c r="R587" s="306"/>
    </row>
    <row r="588" spans="2:18" ht="22.5" customHeight="1" thickBot="1" x14ac:dyDescent="0.25">
      <c r="B588" s="322">
        <f t="shared" si="228"/>
        <v>42</v>
      </c>
      <c r="C588" s="322">
        <f>O588+M588+K588+I588+G588+E588</f>
        <v>4</v>
      </c>
      <c r="D588" s="322">
        <f>P588+N588+L588+J588+H588+F588</f>
        <v>38</v>
      </c>
      <c r="E588" s="322">
        <v>0</v>
      </c>
      <c r="F588" s="322">
        <v>0</v>
      </c>
      <c r="G588" s="322">
        <v>0</v>
      </c>
      <c r="H588" s="322">
        <v>8</v>
      </c>
      <c r="I588" s="322">
        <v>1</v>
      </c>
      <c r="J588" s="322">
        <v>1</v>
      </c>
      <c r="K588" s="322">
        <v>0</v>
      </c>
      <c r="L588" s="322">
        <v>23</v>
      </c>
      <c r="M588" s="322">
        <v>1</v>
      </c>
      <c r="N588" s="322">
        <v>1</v>
      </c>
      <c r="O588" s="322">
        <v>2</v>
      </c>
      <c r="P588" s="322">
        <v>5</v>
      </c>
      <c r="Q588" s="203" t="s">
        <v>145</v>
      </c>
      <c r="R588" s="306" t="s">
        <v>367</v>
      </c>
    </row>
    <row r="589" spans="2:18" ht="22.5" customHeight="1" thickBot="1" x14ac:dyDescent="0.25">
      <c r="B589" s="322">
        <f t="shared" ref="B589:P589" si="236">SUM(B587:B588)</f>
        <v>51</v>
      </c>
      <c r="C589" s="322">
        <f t="shared" si="236"/>
        <v>5</v>
      </c>
      <c r="D589" s="322">
        <f t="shared" si="236"/>
        <v>46</v>
      </c>
      <c r="E589" s="322">
        <f t="shared" si="236"/>
        <v>0</v>
      </c>
      <c r="F589" s="322">
        <f t="shared" si="236"/>
        <v>4</v>
      </c>
      <c r="G589" s="322">
        <f t="shared" si="236"/>
        <v>1</v>
      </c>
      <c r="H589" s="322">
        <f t="shared" si="236"/>
        <v>8</v>
      </c>
      <c r="I589" s="322">
        <f t="shared" si="236"/>
        <v>1</v>
      </c>
      <c r="J589" s="322">
        <f t="shared" si="236"/>
        <v>2</v>
      </c>
      <c r="K589" s="322">
        <f t="shared" si="236"/>
        <v>0</v>
      </c>
      <c r="L589" s="322">
        <f t="shared" si="236"/>
        <v>25</v>
      </c>
      <c r="M589" s="322">
        <f t="shared" si="236"/>
        <v>1</v>
      </c>
      <c r="N589" s="322">
        <f t="shared" si="236"/>
        <v>2</v>
      </c>
      <c r="O589" s="322">
        <f t="shared" si="236"/>
        <v>2</v>
      </c>
      <c r="P589" s="322">
        <f t="shared" si="236"/>
        <v>5</v>
      </c>
      <c r="Q589" s="203" t="s">
        <v>12</v>
      </c>
      <c r="R589" s="307"/>
    </row>
    <row r="590" spans="2:18" ht="22.5" customHeight="1" thickBot="1" x14ac:dyDescent="0.25">
      <c r="B590" s="322">
        <f t="shared" si="228"/>
        <v>4</v>
      </c>
      <c r="C590" s="322">
        <f>O590+M590+K590+I590+G590+E590</f>
        <v>0</v>
      </c>
      <c r="D590" s="322">
        <f>P590+N590+L590+J590+H590+F590</f>
        <v>4</v>
      </c>
      <c r="E590" s="322">
        <v>0</v>
      </c>
      <c r="F590" s="322">
        <v>0</v>
      </c>
      <c r="G590" s="322">
        <v>0</v>
      </c>
      <c r="H590" s="322">
        <v>2</v>
      </c>
      <c r="I590" s="322">
        <v>0</v>
      </c>
      <c r="J590" s="322">
        <v>1</v>
      </c>
      <c r="K590" s="322">
        <v>0</v>
      </c>
      <c r="L590" s="322">
        <v>0</v>
      </c>
      <c r="M590" s="322">
        <v>0</v>
      </c>
      <c r="N590" s="322">
        <v>1</v>
      </c>
      <c r="O590" s="322">
        <v>0</v>
      </c>
      <c r="P590" s="322">
        <v>0</v>
      </c>
      <c r="Q590" s="203" t="s">
        <v>146</v>
      </c>
      <c r="R590" s="306"/>
    </row>
    <row r="591" spans="2:18" ht="22.5" customHeight="1" thickBot="1" x14ac:dyDescent="0.25">
      <c r="B591" s="322">
        <f t="shared" si="228"/>
        <v>27</v>
      </c>
      <c r="C591" s="322">
        <f>O591+M591+K591+I591+G591+E591</f>
        <v>0</v>
      </c>
      <c r="D591" s="322">
        <f>P591+N591+L591+J591+H591+F591</f>
        <v>27</v>
      </c>
      <c r="E591" s="322">
        <v>0</v>
      </c>
      <c r="F591" s="322">
        <v>0</v>
      </c>
      <c r="G591" s="322">
        <v>0</v>
      </c>
      <c r="H591" s="322">
        <v>0</v>
      </c>
      <c r="I591" s="322">
        <v>0</v>
      </c>
      <c r="J591" s="322">
        <v>6</v>
      </c>
      <c r="K591" s="322">
        <v>0</v>
      </c>
      <c r="L591" s="322">
        <v>18</v>
      </c>
      <c r="M591" s="322">
        <v>0</v>
      </c>
      <c r="N591" s="322">
        <v>3</v>
      </c>
      <c r="O591" s="322">
        <v>0</v>
      </c>
      <c r="P591" s="322">
        <v>0</v>
      </c>
      <c r="Q591" s="203" t="s">
        <v>145</v>
      </c>
      <c r="R591" s="306" t="s">
        <v>473</v>
      </c>
    </row>
    <row r="592" spans="2:18" ht="22.5" customHeight="1" thickBot="1" x14ac:dyDescent="0.25">
      <c r="B592" s="322">
        <f t="shared" ref="B592:P592" si="237">SUM(B590:B591)</f>
        <v>31</v>
      </c>
      <c r="C592" s="322">
        <f t="shared" si="237"/>
        <v>0</v>
      </c>
      <c r="D592" s="322">
        <f t="shared" si="237"/>
        <v>31</v>
      </c>
      <c r="E592" s="322">
        <f t="shared" si="237"/>
        <v>0</v>
      </c>
      <c r="F592" s="322">
        <f t="shared" si="237"/>
        <v>0</v>
      </c>
      <c r="G592" s="322">
        <f t="shared" si="237"/>
        <v>0</v>
      </c>
      <c r="H592" s="322">
        <f t="shared" si="237"/>
        <v>2</v>
      </c>
      <c r="I592" s="322">
        <f t="shared" si="237"/>
        <v>0</v>
      </c>
      <c r="J592" s="322">
        <f t="shared" si="237"/>
        <v>7</v>
      </c>
      <c r="K592" s="322">
        <f t="shared" si="237"/>
        <v>0</v>
      </c>
      <c r="L592" s="322">
        <f t="shared" si="237"/>
        <v>18</v>
      </c>
      <c r="M592" s="322">
        <f t="shared" si="237"/>
        <v>0</v>
      </c>
      <c r="N592" s="322">
        <f t="shared" si="237"/>
        <v>4</v>
      </c>
      <c r="O592" s="322">
        <f t="shared" si="237"/>
        <v>0</v>
      </c>
      <c r="P592" s="322">
        <f t="shared" si="237"/>
        <v>0</v>
      </c>
      <c r="Q592" s="203" t="s">
        <v>12</v>
      </c>
      <c r="R592" s="307"/>
    </row>
    <row r="593" spans="2:18" ht="22.5" customHeight="1" thickBot="1" x14ac:dyDescent="0.25">
      <c r="B593" s="322">
        <f t="shared" si="228"/>
        <v>5</v>
      </c>
      <c r="C593" s="322">
        <f>O593+M593+K593+I593+G593+E593</f>
        <v>0</v>
      </c>
      <c r="D593" s="322">
        <f>P593+N593+L593+J593+H593+F593</f>
        <v>5</v>
      </c>
      <c r="E593" s="322">
        <v>0</v>
      </c>
      <c r="F593" s="322">
        <v>0</v>
      </c>
      <c r="G593" s="322">
        <v>0</v>
      </c>
      <c r="H593" s="322">
        <v>3</v>
      </c>
      <c r="I593" s="322">
        <v>0</v>
      </c>
      <c r="J593" s="322">
        <v>0</v>
      </c>
      <c r="K593" s="322">
        <v>0</v>
      </c>
      <c r="L593" s="322">
        <v>1</v>
      </c>
      <c r="M593" s="322">
        <v>0</v>
      </c>
      <c r="N593" s="322">
        <v>0</v>
      </c>
      <c r="O593" s="322">
        <v>0</v>
      </c>
      <c r="P593" s="322">
        <v>1</v>
      </c>
      <c r="Q593" s="203" t="s">
        <v>146</v>
      </c>
      <c r="R593" s="306"/>
    </row>
    <row r="594" spans="2:18" ht="22.5" customHeight="1" thickBot="1" x14ac:dyDescent="0.25">
      <c r="B594" s="322">
        <f t="shared" si="228"/>
        <v>25</v>
      </c>
      <c r="C594" s="322">
        <f>O594+M594+K594+I594+G594+E594</f>
        <v>0</v>
      </c>
      <c r="D594" s="322">
        <f>P594+N594+L594+J594+H594+F594</f>
        <v>25</v>
      </c>
      <c r="E594" s="322">
        <v>0</v>
      </c>
      <c r="F594" s="322">
        <v>0</v>
      </c>
      <c r="G594" s="322">
        <v>0</v>
      </c>
      <c r="H594" s="322">
        <v>0</v>
      </c>
      <c r="I594" s="322">
        <v>0</v>
      </c>
      <c r="J594" s="322">
        <v>0</v>
      </c>
      <c r="K594" s="322">
        <v>0</v>
      </c>
      <c r="L594" s="322">
        <v>18</v>
      </c>
      <c r="M594" s="322">
        <v>0</v>
      </c>
      <c r="N594" s="322">
        <v>5</v>
      </c>
      <c r="O594" s="322">
        <v>0</v>
      </c>
      <c r="P594" s="322">
        <v>2</v>
      </c>
      <c r="Q594" s="203" t="s">
        <v>145</v>
      </c>
      <c r="R594" s="306" t="s">
        <v>769</v>
      </c>
    </row>
    <row r="595" spans="2:18" ht="22.5" customHeight="1" thickBot="1" x14ac:dyDescent="0.25">
      <c r="B595" s="322">
        <f t="shared" ref="B595:P595" si="238">SUM(B593:B594)</f>
        <v>30</v>
      </c>
      <c r="C595" s="322">
        <f t="shared" si="238"/>
        <v>0</v>
      </c>
      <c r="D595" s="322">
        <f t="shared" si="238"/>
        <v>30</v>
      </c>
      <c r="E595" s="322">
        <f t="shared" si="238"/>
        <v>0</v>
      </c>
      <c r="F595" s="322">
        <f t="shared" si="238"/>
        <v>0</v>
      </c>
      <c r="G595" s="322">
        <f t="shared" si="238"/>
        <v>0</v>
      </c>
      <c r="H595" s="322">
        <f t="shared" si="238"/>
        <v>3</v>
      </c>
      <c r="I595" s="322">
        <f t="shared" si="238"/>
        <v>0</v>
      </c>
      <c r="J595" s="322">
        <f t="shared" si="238"/>
        <v>0</v>
      </c>
      <c r="K595" s="322">
        <f t="shared" si="238"/>
        <v>0</v>
      </c>
      <c r="L595" s="322">
        <f t="shared" si="238"/>
        <v>19</v>
      </c>
      <c r="M595" s="322">
        <f t="shared" si="238"/>
        <v>0</v>
      </c>
      <c r="N595" s="322">
        <f t="shared" si="238"/>
        <v>5</v>
      </c>
      <c r="O595" s="322">
        <f t="shared" si="238"/>
        <v>0</v>
      </c>
      <c r="P595" s="322">
        <f t="shared" si="238"/>
        <v>3</v>
      </c>
      <c r="Q595" s="203" t="s">
        <v>12</v>
      </c>
      <c r="R595" s="307"/>
    </row>
    <row r="596" spans="2:18" ht="22.5" customHeight="1" thickBot="1" x14ac:dyDescent="0.25">
      <c r="B596" s="322">
        <f t="shared" si="228"/>
        <v>8</v>
      </c>
      <c r="C596" s="322">
        <f>O596+M596+K596+I596+G596+E596</f>
        <v>0</v>
      </c>
      <c r="D596" s="322">
        <f>P596+N596+L596+J596+H596+F596</f>
        <v>8</v>
      </c>
      <c r="E596" s="322">
        <v>0</v>
      </c>
      <c r="F596" s="322">
        <v>0</v>
      </c>
      <c r="G596" s="322">
        <v>0</v>
      </c>
      <c r="H596" s="322">
        <v>3</v>
      </c>
      <c r="I596" s="322">
        <v>0</v>
      </c>
      <c r="J596" s="322">
        <v>0</v>
      </c>
      <c r="K596" s="322">
        <v>0</v>
      </c>
      <c r="L596" s="322">
        <v>2</v>
      </c>
      <c r="M596" s="322">
        <v>0</v>
      </c>
      <c r="N596" s="322">
        <v>1</v>
      </c>
      <c r="O596" s="322">
        <v>0</v>
      </c>
      <c r="P596" s="322">
        <v>2</v>
      </c>
      <c r="Q596" s="203" t="s">
        <v>146</v>
      </c>
      <c r="R596" s="306"/>
    </row>
    <row r="597" spans="2:18" ht="22.5" customHeight="1" thickBot="1" x14ac:dyDescent="0.25">
      <c r="B597" s="322">
        <f t="shared" si="228"/>
        <v>11</v>
      </c>
      <c r="C597" s="322">
        <f>O597+M597+K597+I597+G597+E597</f>
        <v>0</v>
      </c>
      <c r="D597" s="322">
        <f>P597+N597+L597+J597+H597+F597</f>
        <v>11</v>
      </c>
      <c r="E597" s="322">
        <v>0</v>
      </c>
      <c r="F597" s="322">
        <v>0</v>
      </c>
      <c r="G597" s="322">
        <v>0</v>
      </c>
      <c r="H597" s="322">
        <v>0</v>
      </c>
      <c r="I597" s="322">
        <v>0</v>
      </c>
      <c r="J597" s="322">
        <v>0</v>
      </c>
      <c r="K597" s="322">
        <v>0</v>
      </c>
      <c r="L597" s="322">
        <v>5</v>
      </c>
      <c r="M597" s="322">
        <v>0</v>
      </c>
      <c r="N597" s="322">
        <v>6</v>
      </c>
      <c r="O597" s="322">
        <v>0</v>
      </c>
      <c r="P597" s="322">
        <v>0</v>
      </c>
      <c r="Q597" s="203" t="s">
        <v>145</v>
      </c>
      <c r="R597" s="306" t="s">
        <v>347</v>
      </c>
    </row>
    <row r="598" spans="2:18" ht="22.5" customHeight="1" thickBot="1" x14ac:dyDescent="0.25">
      <c r="B598" s="322">
        <f t="shared" ref="B598:P598" si="239">SUM(B596:B597)</f>
        <v>19</v>
      </c>
      <c r="C598" s="322">
        <f t="shared" si="239"/>
        <v>0</v>
      </c>
      <c r="D598" s="322">
        <f t="shared" si="239"/>
        <v>19</v>
      </c>
      <c r="E598" s="322">
        <f t="shared" si="239"/>
        <v>0</v>
      </c>
      <c r="F598" s="322">
        <f t="shared" si="239"/>
        <v>0</v>
      </c>
      <c r="G598" s="322">
        <f t="shared" si="239"/>
        <v>0</v>
      </c>
      <c r="H598" s="322">
        <f t="shared" si="239"/>
        <v>3</v>
      </c>
      <c r="I598" s="322">
        <f t="shared" si="239"/>
        <v>0</v>
      </c>
      <c r="J598" s="322">
        <f t="shared" si="239"/>
        <v>0</v>
      </c>
      <c r="K598" s="322">
        <f t="shared" si="239"/>
        <v>0</v>
      </c>
      <c r="L598" s="322">
        <f t="shared" si="239"/>
        <v>7</v>
      </c>
      <c r="M598" s="322">
        <f t="shared" si="239"/>
        <v>0</v>
      </c>
      <c r="N598" s="322">
        <f t="shared" si="239"/>
        <v>7</v>
      </c>
      <c r="O598" s="322">
        <f t="shared" si="239"/>
        <v>0</v>
      </c>
      <c r="P598" s="322">
        <f t="shared" si="239"/>
        <v>2</v>
      </c>
      <c r="Q598" s="203" t="s">
        <v>12</v>
      </c>
      <c r="R598" s="307"/>
    </row>
    <row r="599" spans="2:18" ht="22.5" customHeight="1" thickBot="1" x14ac:dyDescent="0.25">
      <c r="B599" s="322">
        <f t="shared" si="228"/>
        <v>4</v>
      </c>
      <c r="C599" s="322">
        <f>O599+M599+K599+I599+G599+E599</f>
        <v>0</v>
      </c>
      <c r="D599" s="322">
        <f>P599+N599+L599+J599+H599+F599</f>
        <v>4</v>
      </c>
      <c r="E599" s="322">
        <v>0</v>
      </c>
      <c r="F599" s="322">
        <v>0</v>
      </c>
      <c r="G599" s="322">
        <v>0</v>
      </c>
      <c r="H599" s="322">
        <v>2</v>
      </c>
      <c r="I599" s="322">
        <v>0</v>
      </c>
      <c r="J599" s="322">
        <v>1</v>
      </c>
      <c r="K599" s="322">
        <v>0</v>
      </c>
      <c r="L599" s="322">
        <v>0</v>
      </c>
      <c r="M599" s="322">
        <v>0</v>
      </c>
      <c r="N599" s="322">
        <v>1</v>
      </c>
      <c r="O599" s="322">
        <v>0</v>
      </c>
      <c r="P599" s="322">
        <v>0</v>
      </c>
      <c r="Q599" s="203" t="s">
        <v>146</v>
      </c>
      <c r="R599" s="306"/>
    </row>
    <row r="600" spans="2:18" ht="22.5" customHeight="1" thickBot="1" x14ac:dyDescent="0.25">
      <c r="B600" s="322">
        <f t="shared" si="228"/>
        <v>6</v>
      </c>
      <c r="C600" s="322">
        <f>O600+M600+K600+I600+G600+E600</f>
        <v>0</v>
      </c>
      <c r="D600" s="322">
        <f>P600+N600+L600+J600+H600+F600</f>
        <v>6</v>
      </c>
      <c r="E600" s="322">
        <v>0</v>
      </c>
      <c r="F600" s="322">
        <v>0</v>
      </c>
      <c r="G600" s="322">
        <v>0</v>
      </c>
      <c r="H600" s="322">
        <v>0</v>
      </c>
      <c r="I600" s="322">
        <v>0</v>
      </c>
      <c r="J600" s="322">
        <v>2</v>
      </c>
      <c r="K600" s="322">
        <v>0</v>
      </c>
      <c r="L600" s="322">
        <v>4</v>
      </c>
      <c r="M600" s="322">
        <v>0</v>
      </c>
      <c r="N600" s="322">
        <v>0</v>
      </c>
      <c r="O600" s="322">
        <v>0</v>
      </c>
      <c r="P600" s="322">
        <v>0</v>
      </c>
      <c r="Q600" s="203" t="s">
        <v>145</v>
      </c>
      <c r="R600" s="306" t="s">
        <v>99</v>
      </c>
    </row>
    <row r="601" spans="2:18" ht="22.5" customHeight="1" thickBot="1" x14ac:dyDescent="0.25">
      <c r="B601" s="322">
        <f t="shared" ref="B601:P601" si="240">SUM(B599:B600)</f>
        <v>10</v>
      </c>
      <c r="C601" s="322">
        <f t="shared" si="240"/>
        <v>0</v>
      </c>
      <c r="D601" s="322">
        <f t="shared" si="240"/>
        <v>10</v>
      </c>
      <c r="E601" s="322">
        <f t="shared" si="240"/>
        <v>0</v>
      </c>
      <c r="F601" s="322">
        <f t="shared" si="240"/>
        <v>0</v>
      </c>
      <c r="G601" s="322">
        <f t="shared" si="240"/>
        <v>0</v>
      </c>
      <c r="H601" s="322">
        <f t="shared" si="240"/>
        <v>2</v>
      </c>
      <c r="I601" s="322">
        <f t="shared" si="240"/>
        <v>0</v>
      </c>
      <c r="J601" s="322">
        <f t="shared" si="240"/>
        <v>3</v>
      </c>
      <c r="K601" s="322">
        <f t="shared" si="240"/>
        <v>0</v>
      </c>
      <c r="L601" s="322">
        <f t="shared" si="240"/>
        <v>4</v>
      </c>
      <c r="M601" s="322">
        <f t="shared" si="240"/>
        <v>0</v>
      </c>
      <c r="N601" s="322">
        <f t="shared" si="240"/>
        <v>1</v>
      </c>
      <c r="O601" s="322">
        <f t="shared" si="240"/>
        <v>0</v>
      </c>
      <c r="P601" s="322">
        <f t="shared" si="240"/>
        <v>0</v>
      </c>
      <c r="Q601" s="203" t="s">
        <v>12</v>
      </c>
      <c r="R601" s="307"/>
    </row>
    <row r="602" spans="2:18" ht="22.5" customHeight="1" thickBot="1" x14ac:dyDescent="0.25">
      <c r="B602" s="322">
        <f t="shared" si="228"/>
        <v>54</v>
      </c>
      <c r="C602" s="322">
        <f>O602+M602+K602+I602+G602+E602</f>
        <v>53</v>
      </c>
      <c r="D602" s="322">
        <f>P602+N602+L602+J602+H602+F602</f>
        <v>1</v>
      </c>
      <c r="E602" s="322">
        <v>0</v>
      </c>
      <c r="F602" s="322">
        <v>0</v>
      </c>
      <c r="G602" s="322">
        <v>15</v>
      </c>
      <c r="H602" s="322">
        <v>0</v>
      </c>
      <c r="I602" s="322">
        <v>22</v>
      </c>
      <c r="J602" s="322">
        <v>0</v>
      </c>
      <c r="K602" s="322">
        <v>16</v>
      </c>
      <c r="L602" s="322">
        <v>1</v>
      </c>
      <c r="M602" s="322">
        <v>0</v>
      </c>
      <c r="N602" s="322">
        <v>0</v>
      </c>
      <c r="O602" s="322">
        <v>0</v>
      </c>
      <c r="P602" s="322">
        <v>0</v>
      </c>
      <c r="Q602" s="203" t="s">
        <v>146</v>
      </c>
      <c r="R602" s="306"/>
    </row>
    <row r="603" spans="2:18" ht="22.5" customHeight="1" thickBot="1" x14ac:dyDescent="0.25">
      <c r="B603" s="322">
        <f t="shared" si="228"/>
        <v>33</v>
      </c>
      <c r="C603" s="322">
        <f>O603+M603+K603+I603+G603+E603</f>
        <v>20</v>
      </c>
      <c r="D603" s="322">
        <f>P603+N603+L603+J603+H603+F603</f>
        <v>13</v>
      </c>
      <c r="E603" s="322">
        <v>0</v>
      </c>
      <c r="F603" s="322">
        <v>0</v>
      </c>
      <c r="G603" s="322">
        <v>0</v>
      </c>
      <c r="H603" s="322">
        <v>0</v>
      </c>
      <c r="I603" s="322">
        <v>6</v>
      </c>
      <c r="J603" s="322">
        <v>2</v>
      </c>
      <c r="K603" s="322">
        <v>5</v>
      </c>
      <c r="L603" s="322">
        <v>3</v>
      </c>
      <c r="M603" s="322">
        <v>6</v>
      </c>
      <c r="N603" s="322">
        <v>8</v>
      </c>
      <c r="O603" s="322">
        <v>3</v>
      </c>
      <c r="P603" s="322">
        <v>0</v>
      </c>
      <c r="Q603" s="203" t="s">
        <v>145</v>
      </c>
      <c r="R603" s="306" t="s">
        <v>656</v>
      </c>
    </row>
    <row r="604" spans="2:18" ht="22.5" customHeight="1" thickBot="1" x14ac:dyDescent="0.25">
      <c r="B604" s="322">
        <f t="shared" ref="B604:P604" si="241">SUM(B602:B603)</f>
        <v>87</v>
      </c>
      <c r="C604" s="322">
        <f t="shared" si="241"/>
        <v>73</v>
      </c>
      <c r="D604" s="322">
        <f t="shared" si="241"/>
        <v>14</v>
      </c>
      <c r="E604" s="322">
        <f t="shared" si="241"/>
        <v>0</v>
      </c>
      <c r="F604" s="322">
        <f t="shared" si="241"/>
        <v>0</v>
      </c>
      <c r="G604" s="322">
        <f t="shared" si="241"/>
        <v>15</v>
      </c>
      <c r="H604" s="322">
        <f t="shared" si="241"/>
        <v>0</v>
      </c>
      <c r="I604" s="322">
        <f t="shared" si="241"/>
        <v>28</v>
      </c>
      <c r="J604" s="322">
        <f t="shared" si="241"/>
        <v>2</v>
      </c>
      <c r="K604" s="322">
        <f t="shared" si="241"/>
        <v>21</v>
      </c>
      <c r="L604" s="322">
        <f t="shared" si="241"/>
        <v>4</v>
      </c>
      <c r="M604" s="322">
        <f t="shared" si="241"/>
        <v>6</v>
      </c>
      <c r="N604" s="322">
        <f t="shared" si="241"/>
        <v>8</v>
      </c>
      <c r="O604" s="322">
        <f t="shared" si="241"/>
        <v>3</v>
      </c>
      <c r="P604" s="322">
        <f t="shared" si="241"/>
        <v>0</v>
      </c>
      <c r="Q604" s="203" t="s">
        <v>12</v>
      </c>
      <c r="R604" s="307"/>
    </row>
    <row r="605" spans="2:18" ht="22.5" customHeight="1" thickBot="1" x14ac:dyDescent="0.25">
      <c r="B605" s="322">
        <f t="shared" si="228"/>
        <v>45</v>
      </c>
      <c r="C605" s="322">
        <f>O605+M605+K605+I605+G605+E605</f>
        <v>45</v>
      </c>
      <c r="D605" s="322">
        <f>P605+N605+L605+J605+H605+F605</f>
        <v>0</v>
      </c>
      <c r="E605" s="322">
        <v>0</v>
      </c>
      <c r="F605" s="322">
        <v>0</v>
      </c>
      <c r="G605" s="322">
        <v>28</v>
      </c>
      <c r="H605" s="322">
        <v>0</v>
      </c>
      <c r="I605" s="322">
        <v>6</v>
      </c>
      <c r="J605" s="322">
        <v>0</v>
      </c>
      <c r="K605" s="322">
        <v>9</v>
      </c>
      <c r="L605" s="322">
        <v>0</v>
      </c>
      <c r="M605" s="322">
        <v>2</v>
      </c>
      <c r="N605" s="322">
        <v>0</v>
      </c>
      <c r="O605" s="322">
        <v>0</v>
      </c>
      <c r="P605" s="322">
        <v>0</v>
      </c>
      <c r="Q605" s="203" t="s">
        <v>146</v>
      </c>
      <c r="R605" s="306"/>
    </row>
    <row r="606" spans="2:18" ht="22.5" customHeight="1" thickBot="1" x14ac:dyDescent="0.25">
      <c r="B606" s="322">
        <f t="shared" si="228"/>
        <v>37</v>
      </c>
      <c r="C606" s="322">
        <f>O606+M606+K606+I606+G606+E606</f>
        <v>31</v>
      </c>
      <c r="D606" s="322">
        <f>P606+N606+L606+J606+H606+F606</f>
        <v>6</v>
      </c>
      <c r="E606" s="322">
        <v>0</v>
      </c>
      <c r="F606" s="322">
        <v>0</v>
      </c>
      <c r="G606" s="322">
        <v>0</v>
      </c>
      <c r="H606" s="322">
        <v>1</v>
      </c>
      <c r="I606" s="322">
        <v>3</v>
      </c>
      <c r="J606" s="322">
        <v>1</v>
      </c>
      <c r="K606" s="322">
        <v>12</v>
      </c>
      <c r="L606" s="322">
        <v>3</v>
      </c>
      <c r="M606" s="322">
        <v>15</v>
      </c>
      <c r="N606" s="322">
        <v>1</v>
      </c>
      <c r="O606" s="322">
        <v>1</v>
      </c>
      <c r="P606" s="322">
        <v>0</v>
      </c>
      <c r="Q606" s="203" t="s">
        <v>145</v>
      </c>
      <c r="R606" s="306" t="s">
        <v>475</v>
      </c>
    </row>
    <row r="607" spans="2:18" ht="22.5" customHeight="1" thickBot="1" x14ac:dyDescent="0.25">
      <c r="B607" s="322">
        <f t="shared" ref="B607:P607" si="242">SUM(B605:B606)</f>
        <v>82</v>
      </c>
      <c r="C607" s="322">
        <f t="shared" si="242"/>
        <v>76</v>
      </c>
      <c r="D607" s="322">
        <f t="shared" si="242"/>
        <v>6</v>
      </c>
      <c r="E607" s="322">
        <f t="shared" si="242"/>
        <v>0</v>
      </c>
      <c r="F607" s="322">
        <f t="shared" si="242"/>
        <v>0</v>
      </c>
      <c r="G607" s="322">
        <f t="shared" si="242"/>
        <v>28</v>
      </c>
      <c r="H607" s="322">
        <f t="shared" si="242"/>
        <v>1</v>
      </c>
      <c r="I607" s="322">
        <f t="shared" si="242"/>
        <v>9</v>
      </c>
      <c r="J607" s="322">
        <f t="shared" si="242"/>
        <v>1</v>
      </c>
      <c r="K607" s="322">
        <f t="shared" si="242"/>
        <v>21</v>
      </c>
      <c r="L607" s="322">
        <f t="shared" si="242"/>
        <v>3</v>
      </c>
      <c r="M607" s="322">
        <f t="shared" si="242"/>
        <v>17</v>
      </c>
      <c r="N607" s="322">
        <f t="shared" si="242"/>
        <v>1</v>
      </c>
      <c r="O607" s="322">
        <f t="shared" si="242"/>
        <v>1</v>
      </c>
      <c r="P607" s="322">
        <f t="shared" si="242"/>
        <v>0</v>
      </c>
      <c r="Q607" s="203" t="s">
        <v>12</v>
      </c>
      <c r="R607" s="307"/>
    </row>
    <row r="608" spans="2:18" ht="22.5" customHeight="1" thickBot="1" x14ac:dyDescent="0.25">
      <c r="B608" s="322">
        <f t="shared" si="228"/>
        <v>38</v>
      </c>
      <c r="C608" s="322">
        <f>O608+M608+K608+I608+G608+E608</f>
        <v>38</v>
      </c>
      <c r="D608" s="322">
        <f>P608+N608+L608+J608+H608+F608</f>
        <v>0</v>
      </c>
      <c r="E608" s="322">
        <v>0</v>
      </c>
      <c r="F608" s="322">
        <v>0</v>
      </c>
      <c r="G608" s="322">
        <v>37</v>
      </c>
      <c r="H608" s="322">
        <v>0</v>
      </c>
      <c r="I608" s="322">
        <v>1</v>
      </c>
      <c r="J608" s="322">
        <v>0</v>
      </c>
      <c r="K608" s="322">
        <v>0</v>
      </c>
      <c r="L608" s="322">
        <v>0</v>
      </c>
      <c r="M608" s="322">
        <v>0</v>
      </c>
      <c r="N608" s="322">
        <v>0</v>
      </c>
      <c r="O608" s="322">
        <v>0</v>
      </c>
      <c r="P608" s="322">
        <v>0</v>
      </c>
      <c r="Q608" s="203" t="s">
        <v>146</v>
      </c>
      <c r="R608" s="306"/>
    </row>
    <row r="609" spans="2:18" ht="22.5" customHeight="1" thickBot="1" x14ac:dyDescent="0.25">
      <c r="B609" s="322">
        <f t="shared" si="228"/>
        <v>38</v>
      </c>
      <c r="C609" s="322">
        <f>O609+M609+K609+I609+G609+E609</f>
        <v>32</v>
      </c>
      <c r="D609" s="322">
        <f>P609+N609+L609+J609+H609+F609</f>
        <v>6</v>
      </c>
      <c r="E609" s="322">
        <v>0</v>
      </c>
      <c r="F609" s="322">
        <v>0</v>
      </c>
      <c r="G609" s="322">
        <v>0</v>
      </c>
      <c r="H609" s="322">
        <v>0</v>
      </c>
      <c r="I609" s="322">
        <v>15</v>
      </c>
      <c r="J609" s="322">
        <v>1</v>
      </c>
      <c r="K609" s="322">
        <v>14</v>
      </c>
      <c r="L609" s="322">
        <v>5</v>
      </c>
      <c r="M609" s="322">
        <v>3</v>
      </c>
      <c r="N609" s="322">
        <v>0</v>
      </c>
      <c r="O609" s="322">
        <v>0</v>
      </c>
      <c r="P609" s="322">
        <v>0</v>
      </c>
      <c r="Q609" s="203" t="s">
        <v>145</v>
      </c>
      <c r="R609" s="306" t="s">
        <v>481</v>
      </c>
    </row>
    <row r="610" spans="2:18" ht="22.5" customHeight="1" thickBot="1" x14ac:dyDescent="0.25">
      <c r="B610" s="322">
        <f t="shared" ref="B610:P610" si="243">SUM(B608:B609)</f>
        <v>76</v>
      </c>
      <c r="C610" s="322">
        <f t="shared" si="243"/>
        <v>70</v>
      </c>
      <c r="D610" s="322">
        <f t="shared" si="243"/>
        <v>6</v>
      </c>
      <c r="E610" s="322">
        <f t="shared" si="243"/>
        <v>0</v>
      </c>
      <c r="F610" s="322">
        <f t="shared" si="243"/>
        <v>0</v>
      </c>
      <c r="G610" s="322">
        <f t="shared" si="243"/>
        <v>37</v>
      </c>
      <c r="H610" s="322">
        <f t="shared" si="243"/>
        <v>0</v>
      </c>
      <c r="I610" s="322">
        <f t="shared" si="243"/>
        <v>16</v>
      </c>
      <c r="J610" s="322">
        <f t="shared" si="243"/>
        <v>1</v>
      </c>
      <c r="K610" s="322">
        <f t="shared" si="243"/>
        <v>14</v>
      </c>
      <c r="L610" s="322">
        <f t="shared" si="243"/>
        <v>5</v>
      </c>
      <c r="M610" s="322">
        <f t="shared" si="243"/>
        <v>3</v>
      </c>
      <c r="N610" s="322">
        <f t="shared" si="243"/>
        <v>0</v>
      </c>
      <c r="O610" s="322">
        <f t="shared" si="243"/>
        <v>0</v>
      </c>
      <c r="P610" s="322">
        <f t="shared" si="243"/>
        <v>0</v>
      </c>
      <c r="Q610" s="203" t="s">
        <v>12</v>
      </c>
      <c r="R610" s="307"/>
    </row>
    <row r="611" spans="2:18" ht="22.5" customHeight="1" thickBot="1" x14ac:dyDescent="0.25">
      <c r="B611" s="322">
        <f t="shared" si="228"/>
        <v>14</v>
      </c>
      <c r="C611" s="322">
        <f>O611+M611+K611+I611+G611+E611</f>
        <v>14</v>
      </c>
      <c r="D611" s="322">
        <f>P611+N611+L611+J611+H611+F611</f>
        <v>0</v>
      </c>
      <c r="E611" s="322">
        <v>2</v>
      </c>
      <c r="F611" s="322">
        <v>0</v>
      </c>
      <c r="G611" s="322">
        <v>10</v>
      </c>
      <c r="H611" s="322">
        <v>0</v>
      </c>
      <c r="I611" s="322">
        <v>1</v>
      </c>
      <c r="J611" s="322">
        <v>0</v>
      </c>
      <c r="K611" s="322">
        <v>1</v>
      </c>
      <c r="L611" s="322">
        <v>0</v>
      </c>
      <c r="M611" s="322">
        <v>0</v>
      </c>
      <c r="N611" s="322">
        <v>0</v>
      </c>
      <c r="O611" s="322">
        <v>0</v>
      </c>
      <c r="P611" s="322">
        <v>0</v>
      </c>
      <c r="Q611" s="203" t="s">
        <v>146</v>
      </c>
      <c r="R611" s="306"/>
    </row>
    <row r="612" spans="2:18" ht="22.5" customHeight="1" thickBot="1" x14ac:dyDescent="0.25">
      <c r="B612" s="322">
        <f t="shared" si="228"/>
        <v>17</v>
      </c>
      <c r="C612" s="322">
        <f>O612+M612+K612+I612+G612+E612</f>
        <v>11</v>
      </c>
      <c r="D612" s="322">
        <f>P612+N612+L612+J612+H612+F612</f>
        <v>6</v>
      </c>
      <c r="E612" s="322">
        <v>0</v>
      </c>
      <c r="F612" s="322">
        <v>0</v>
      </c>
      <c r="G612" s="322">
        <v>0</v>
      </c>
      <c r="H612" s="322">
        <v>0</v>
      </c>
      <c r="I612" s="322">
        <v>6</v>
      </c>
      <c r="J612" s="322">
        <v>0</v>
      </c>
      <c r="K612" s="322">
        <v>5</v>
      </c>
      <c r="L612" s="322">
        <v>6</v>
      </c>
      <c r="M612" s="322">
        <v>0</v>
      </c>
      <c r="N612" s="322">
        <v>0</v>
      </c>
      <c r="O612" s="322">
        <v>0</v>
      </c>
      <c r="P612" s="322">
        <v>0</v>
      </c>
      <c r="Q612" s="203" t="s">
        <v>145</v>
      </c>
      <c r="R612" s="306" t="s">
        <v>478</v>
      </c>
    </row>
    <row r="613" spans="2:18" ht="22.5" customHeight="1" thickBot="1" x14ac:dyDescent="0.25">
      <c r="B613" s="322">
        <f t="shared" ref="B613:P613" si="244">SUM(B611:B612)</f>
        <v>31</v>
      </c>
      <c r="C613" s="322">
        <f t="shared" si="244"/>
        <v>25</v>
      </c>
      <c r="D613" s="322">
        <f t="shared" si="244"/>
        <v>6</v>
      </c>
      <c r="E613" s="322">
        <f t="shared" si="244"/>
        <v>2</v>
      </c>
      <c r="F613" s="322">
        <f t="shared" si="244"/>
        <v>0</v>
      </c>
      <c r="G613" s="322">
        <f t="shared" si="244"/>
        <v>10</v>
      </c>
      <c r="H613" s="322">
        <f t="shared" si="244"/>
        <v>0</v>
      </c>
      <c r="I613" s="322">
        <f t="shared" si="244"/>
        <v>7</v>
      </c>
      <c r="J613" s="322">
        <f t="shared" si="244"/>
        <v>0</v>
      </c>
      <c r="K613" s="322">
        <f t="shared" si="244"/>
        <v>6</v>
      </c>
      <c r="L613" s="322">
        <f t="shared" si="244"/>
        <v>6</v>
      </c>
      <c r="M613" s="322">
        <f t="shared" si="244"/>
        <v>0</v>
      </c>
      <c r="N613" s="322">
        <f t="shared" si="244"/>
        <v>0</v>
      </c>
      <c r="O613" s="322">
        <f t="shared" si="244"/>
        <v>0</v>
      </c>
      <c r="P613" s="322">
        <f t="shared" si="244"/>
        <v>0</v>
      </c>
      <c r="Q613" s="203" t="s">
        <v>12</v>
      </c>
      <c r="R613" s="307"/>
    </row>
    <row r="614" spans="2:18" ht="22.5" customHeight="1" thickBot="1" x14ac:dyDescent="0.25">
      <c r="B614" s="322">
        <f t="shared" si="228"/>
        <v>57</v>
      </c>
      <c r="C614" s="322">
        <f>O614+M614+K614+I614+G614+E614</f>
        <v>57</v>
      </c>
      <c r="D614" s="322">
        <f>P614+N614+L614+J614+H614+F614</f>
        <v>0</v>
      </c>
      <c r="E614" s="322">
        <v>0</v>
      </c>
      <c r="F614" s="322">
        <v>0</v>
      </c>
      <c r="G614" s="322">
        <v>47</v>
      </c>
      <c r="H614" s="322">
        <v>0</v>
      </c>
      <c r="I614" s="322">
        <v>3</v>
      </c>
      <c r="J614" s="322">
        <v>0</v>
      </c>
      <c r="K614" s="322">
        <v>7</v>
      </c>
      <c r="L614" s="322">
        <v>0</v>
      </c>
      <c r="M614" s="322">
        <v>0</v>
      </c>
      <c r="N614" s="322">
        <v>0</v>
      </c>
      <c r="O614" s="322">
        <v>0</v>
      </c>
      <c r="P614" s="322">
        <v>0</v>
      </c>
      <c r="Q614" s="203" t="s">
        <v>146</v>
      </c>
      <c r="R614" s="306"/>
    </row>
    <row r="615" spans="2:18" ht="22.5" customHeight="1" thickBot="1" x14ac:dyDescent="0.25">
      <c r="B615" s="322">
        <f t="shared" si="228"/>
        <v>72</v>
      </c>
      <c r="C615" s="322">
        <f>O615+M615+K615+I615+G615+E615</f>
        <v>48</v>
      </c>
      <c r="D615" s="322">
        <f>P615+N615+L615+J615+H615+F615</f>
        <v>24</v>
      </c>
      <c r="E615" s="322">
        <v>0</v>
      </c>
      <c r="F615" s="322">
        <v>0</v>
      </c>
      <c r="G615" s="322">
        <v>0</v>
      </c>
      <c r="H615" s="322">
        <v>0</v>
      </c>
      <c r="I615" s="322">
        <v>27</v>
      </c>
      <c r="J615" s="322">
        <v>7</v>
      </c>
      <c r="K615" s="322">
        <v>21</v>
      </c>
      <c r="L615" s="322">
        <v>14</v>
      </c>
      <c r="M615" s="322">
        <v>0</v>
      </c>
      <c r="N615" s="322">
        <v>1</v>
      </c>
      <c r="O615" s="322">
        <v>0</v>
      </c>
      <c r="P615" s="322">
        <v>2</v>
      </c>
      <c r="Q615" s="203" t="s">
        <v>145</v>
      </c>
      <c r="R615" s="306" t="s">
        <v>479</v>
      </c>
    </row>
    <row r="616" spans="2:18" ht="22.5" customHeight="1" thickBot="1" x14ac:dyDescent="0.25">
      <c r="B616" s="322">
        <f t="shared" ref="B616:P616" si="245">SUM(B614:B615)</f>
        <v>129</v>
      </c>
      <c r="C616" s="322">
        <f t="shared" si="245"/>
        <v>105</v>
      </c>
      <c r="D616" s="322">
        <f t="shared" si="245"/>
        <v>24</v>
      </c>
      <c r="E616" s="322">
        <f t="shared" si="245"/>
        <v>0</v>
      </c>
      <c r="F616" s="322">
        <f t="shared" si="245"/>
        <v>0</v>
      </c>
      <c r="G616" s="322">
        <f t="shared" si="245"/>
        <v>47</v>
      </c>
      <c r="H616" s="322">
        <f t="shared" si="245"/>
        <v>0</v>
      </c>
      <c r="I616" s="322">
        <f t="shared" si="245"/>
        <v>30</v>
      </c>
      <c r="J616" s="322">
        <f t="shared" si="245"/>
        <v>7</v>
      </c>
      <c r="K616" s="322">
        <f t="shared" si="245"/>
        <v>28</v>
      </c>
      <c r="L616" s="322">
        <f t="shared" si="245"/>
        <v>14</v>
      </c>
      <c r="M616" s="322">
        <f t="shared" si="245"/>
        <v>0</v>
      </c>
      <c r="N616" s="322">
        <f t="shared" si="245"/>
        <v>1</v>
      </c>
      <c r="O616" s="322">
        <f t="shared" si="245"/>
        <v>0</v>
      </c>
      <c r="P616" s="322">
        <f t="shared" si="245"/>
        <v>2</v>
      </c>
      <c r="Q616" s="203" t="s">
        <v>12</v>
      </c>
      <c r="R616" s="307"/>
    </row>
    <row r="617" spans="2:18" ht="22.5" customHeight="1" thickBot="1" x14ac:dyDescent="0.25">
      <c r="B617" s="322">
        <f t="shared" si="228"/>
        <v>3</v>
      </c>
      <c r="C617" s="322">
        <f>O617+M617+K617+I617+G617+E617</f>
        <v>0</v>
      </c>
      <c r="D617" s="322">
        <f>P617+N617+L617+J617+H617+F617</f>
        <v>3</v>
      </c>
      <c r="E617" s="322">
        <v>0</v>
      </c>
      <c r="F617" s="322">
        <v>0</v>
      </c>
      <c r="G617" s="322">
        <v>0</v>
      </c>
      <c r="H617" s="322">
        <v>0</v>
      </c>
      <c r="I617" s="322">
        <v>0</v>
      </c>
      <c r="J617" s="322">
        <v>0</v>
      </c>
      <c r="K617" s="322">
        <v>0</v>
      </c>
      <c r="L617" s="322">
        <v>3</v>
      </c>
      <c r="M617" s="322">
        <v>0</v>
      </c>
      <c r="N617" s="322">
        <v>0</v>
      </c>
      <c r="O617" s="322">
        <v>0</v>
      </c>
      <c r="P617" s="322">
        <v>0</v>
      </c>
      <c r="Q617" s="203" t="s">
        <v>146</v>
      </c>
      <c r="R617" s="306"/>
    </row>
    <row r="618" spans="2:18" ht="22.5" customHeight="1" thickBot="1" x14ac:dyDescent="0.25">
      <c r="B618" s="322">
        <f t="shared" si="228"/>
        <v>8</v>
      </c>
      <c r="C618" s="322">
        <f>O618+M618+K618+I618+G618+E618</f>
        <v>0</v>
      </c>
      <c r="D618" s="322">
        <f>P618+N618+L618+J618+H618+F618</f>
        <v>8</v>
      </c>
      <c r="E618" s="322">
        <v>0</v>
      </c>
      <c r="F618" s="322">
        <v>0</v>
      </c>
      <c r="G618" s="322">
        <v>0</v>
      </c>
      <c r="H618" s="322">
        <v>0</v>
      </c>
      <c r="I618" s="322">
        <v>0</v>
      </c>
      <c r="J618" s="322">
        <v>0</v>
      </c>
      <c r="K618" s="322">
        <v>0</v>
      </c>
      <c r="L618" s="322">
        <v>5</v>
      </c>
      <c r="M618" s="322">
        <v>0</v>
      </c>
      <c r="N618" s="322">
        <v>3</v>
      </c>
      <c r="O618" s="322">
        <v>0</v>
      </c>
      <c r="P618" s="322">
        <v>0</v>
      </c>
      <c r="Q618" s="203" t="s">
        <v>145</v>
      </c>
      <c r="R618" s="306" t="s">
        <v>496</v>
      </c>
    </row>
    <row r="619" spans="2:18" ht="22.5" customHeight="1" thickBot="1" x14ac:dyDescent="0.25">
      <c r="B619" s="322">
        <f t="shared" ref="B619:P619" si="246">SUM(B617:B618)</f>
        <v>11</v>
      </c>
      <c r="C619" s="322">
        <f t="shared" si="246"/>
        <v>0</v>
      </c>
      <c r="D619" s="322">
        <f t="shared" si="246"/>
        <v>11</v>
      </c>
      <c r="E619" s="322">
        <f t="shared" si="246"/>
        <v>0</v>
      </c>
      <c r="F619" s="322">
        <f t="shared" si="246"/>
        <v>0</v>
      </c>
      <c r="G619" s="322">
        <f t="shared" si="246"/>
        <v>0</v>
      </c>
      <c r="H619" s="322">
        <f t="shared" si="246"/>
        <v>0</v>
      </c>
      <c r="I619" s="322">
        <f t="shared" si="246"/>
        <v>0</v>
      </c>
      <c r="J619" s="322">
        <f t="shared" si="246"/>
        <v>0</v>
      </c>
      <c r="K619" s="322">
        <f t="shared" si="246"/>
        <v>0</v>
      </c>
      <c r="L619" s="322">
        <f t="shared" si="246"/>
        <v>8</v>
      </c>
      <c r="M619" s="322">
        <f t="shared" si="246"/>
        <v>0</v>
      </c>
      <c r="N619" s="322">
        <f t="shared" si="246"/>
        <v>3</v>
      </c>
      <c r="O619" s="322">
        <f t="shared" si="246"/>
        <v>0</v>
      </c>
      <c r="P619" s="322">
        <f t="shared" si="246"/>
        <v>0</v>
      </c>
      <c r="Q619" s="203" t="s">
        <v>12</v>
      </c>
      <c r="R619" s="307"/>
    </row>
    <row r="620" spans="2:18" ht="22.5" customHeight="1" thickBot="1" x14ac:dyDescent="0.25">
      <c r="B620" s="322">
        <f t="shared" si="228"/>
        <v>0</v>
      </c>
      <c r="C620" s="322">
        <f>O620+M620+K620+I620+G620+E620</f>
        <v>0</v>
      </c>
      <c r="D620" s="322">
        <f>P620+N620+L620+J620+H620+F620</f>
        <v>0</v>
      </c>
      <c r="E620" s="322">
        <v>0</v>
      </c>
      <c r="F620" s="322">
        <v>0</v>
      </c>
      <c r="G620" s="322">
        <v>0</v>
      </c>
      <c r="H620" s="322">
        <v>0</v>
      </c>
      <c r="I620" s="322">
        <v>0</v>
      </c>
      <c r="J620" s="322">
        <v>0</v>
      </c>
      <c r="K620" s="322">
        <v>0</v>
      </c>
      <c r="L620" s="322">
        <v>0</v>
      </c>
      <c r="M620" s="322">
        <v>0</v>
      </c>
      <c r="N620" s="322">
        <v>0</v>
      </c>
      <c r="O620" s="322">
        <v>0</v>
      </c>
      <c r="P620" s="322">
        <v>0</v>
      </c>
      <c r="Q620" s="203" t="s">
        <v>146</v>
      </c>
      <c r="R620" s="306"/>
    </row>
    <row r="621" spans="2:18" ht="22.5" customHeight="1" thickBot="1" x14ac:dyDescent="0.25">
      <c r="B621" s="322">
        <f t="shared" si="228"/>
        <v>53</v>
      </c>
      <c r="C621" s="322">
        <f>O621+M621+K621+I621+G621+E621</f>
        <v>0</v>
      </c>
      <c r="D621" s="322">
        <f>P621+N621+L621+J621+H621+F621</f>
        <v>53</v>
      </c>
      <c r="E621" s="322">
        <v>0</v>
      </c>
      <c r="F621" s="322">
        <v>23</v>
      </c>
      <c r="G621" s="322">
        <v>0</v>
      </c>
      <c r="H621" s="322">
        <v>2.9999999999999996</v>
      </c>
      <c r="I621" s="322">
        <v>0</v>
      </c>
      <c r="J621" s="322">
        <v>15</v>
      </c>
      <c r="K621" s="322">
        <v>0</v>
      </c>
      <c r="L621" s="322">
        <v>5</v>
      </c>
      <c r="M621" s="322">
        <v>0</v>
      </c>
      <c r="N621" s="322">
        <v>5</v>
      </c>
      <c r="O621" s="322">
        <v>0</v>
      </c>
      <c r="P621" s="322">
        <v>2</v>
      </c>
      <c r="Q621" s="203" t="s">
        <v>145</v>
      </c>
      <c r="R621" s="306" t="s">
        <v>424</v>
      </c>
    </row>
    <row r="622" spans="2:18" ht="22.5" customHeight="1" thickBot="1" x14ac:dyDescent="0.25">
      <c r="B622" s="322">
        <f t="shared" ref="B622:P622" si="247">SUM(B620:B621)</f>
        <v>53</v>
      </c>
      <c r="C622" s="322">
        <f t="shared" si="247"/>
        <v>0</v>
      </c>
      <c r="D622" s="322">
        <f t="shared" si="247"/>
        <v>53</v>
      </c>
      <c r="E622" s="322">
        <f t="shared" si="247"/>
        <v>0</v>
      </c>
      <c r="F622" s="322">
        <f t="shared" si="247"/>
        <v>23</v>
      </c>
      <c r="G622" s="322">
        <f t="shared" si="247"/>
        <v>0</v>
      </c>
      <c r="H622" s="322">
        <f t="shared" si="247"/>
        <v>2.9999999999999996</v>
      </c>
      <c r="I622" s="322">
        <f t="shared" si="247"/>
        <v>0</v>
      </c>
      <c r="J622" s="322">
        <f t="shared" si="247"/>
        <v>15</v>
      </c>
      <c r="K622" s="322">
        <f t="shared" si="247"/>
        <v>0</v>
      </c>
      <c r="L622" s="322">
        <f t="shared" si="247"/>
        <v>5</v>
      </c>
      <c r="M622" s="322">
        <f t="shared" si="247"/>
        <v>0</v>
      </c>
      <c r="N622" s="322">
        <f t="shared" si="247"/>
        <v>5</v>
      </c>
      <c r="O622" s="322">
        <f t="shared" si="247"/>
        <v>0</v>
      </c>
      <c r="P622" s="322">
        <f t="shared" si="247"/>
        <v>2</v>
      </c>
      <c r="Q622" s="203" t="s">
        <v>12</v>
      </c>
      <c r="R622" s="307"/>
    </row>
    <row r="623" spans="2:18" ht="22.5" customHeight="1" thickBot="1" x14ac:dyDescent="0.25">
      <c r="B623" s="322">
        <f t="shared" si="228"/>
        <v>0</v>
      </c>
      <c r="C623" s="322">
        <f>O623+M623+K623+I623+G623+E623</f>
        <v>0</v>
      </c>
      <c r="D623" s="322">
        <f>P623+N623+L623+J623+H623+F623</f>
        <v>0</v>
      </c>
      <c r="E623" s="322">
        <v>0</v>
      </c>
      <c r="F623" s="322">
        <v>0</v>
      </c>
      <c r="G623" s="322">
        <v>0</v>
      </c>
      <c r="H623" s="322">
        <v>0</v>
      </c>
      <c r="I623" s="322">
        <v>0</v>
      </c>
      <c r="J623" s="322">
        <v>0</v>
      </c>
      <c r="K623" s="322">
        <v>0</v>
      </c>
      <c r="L623" s="322">
        <v>0</v>
      </c>
      <c r="M623" s="322">
        <v>0</v>
      </c>
      <c r="N623" s="322">
        <v>0</v>
      </c>
      <c r="O623" s="322">
        <v>0</v>
      </c>
      <c r="P623" s="322">
        <v>0</v>
      </c>
      <c r="Q623" s="203" t="s">
        <v>146</v>
      </c>
      <c r="R623" s="306"/>
    </row>
    <row r="624" spans="2:18" ht="22.5" customHeight="1" thickBot="1" x14ac:dyDescent="0.25">
      <c r="B624" s="322">
        <f t="shared" si="228"/>
        <v>1</v>
      </c>
      <c r="C624" s="322">
        <f>O624+M624+K624+I624+G624+E624</f>
        <v>0</v>
      </c>
      <c r="D624" s="322">
        <f>P624+N624+L624+J624+H624+F624</f>
        <v>1</v>
      </c>
      <c r="E624" s="322">
        <v>0</v>
      </c>
      <c r="F624" s="322">
        <v>0</v>
      </c>
      <c r="G624" s="322">
        <v>0</v>
      </c>
      <c r="H624" s="322">
        <v>0</v>
      </c>
      <c r="I624" s="322">
        <v>0</v>
      </c>
      <c r="J624" s="322">
        <v>0</v>
      </c>
      <c r="K624" s="322">
        <v>0</v>
      </c>
      <c r="L624" s="322">
        <v>1</v>
      </c>
      <c r="M624" s="322">
        <v>0</v>
      </c>
      <c r="N624" s="322">
        <v>0</v>
      </c>
      <c r="O624" s="322">
        <v>0</v>
      </c>
      <c r="P624" s="322">
        <v>0</v>
      </c>
      <c r="Q624" s="203" t="s">
        <v>145</v>
      </c>
      <c r="R624" s="306" t="s">
        <v>255</v>
      </c>
    </row>
    <row r="625" spans="2:18" ht="22.5" customHeight="1" thickBot="1" x14ac:dyDescent="0.25">
      <c r="B625" s="322">
        <f t="shared" ref="B625:P625" si="248">SUM(B623:B624)</f>
        <v>1</v>
      </c>
      <c r="C625" s="322">
        <f t="shared" si="248"/>
        <v>0</v>
      </c>
      <c r="D625" s="322">
        <f t="shared" si="248"/>
        <v>1</v>
      </c>
      <c r="E625" s="322">
        <f t="shared" si="248"/>
        <v>0</v>
      </c>
      <c r="F625" s="322">
        <f t="shared" si="248"/>
        <v>0</v>
      </c>
      <c r="G625" s="322">
        <f t="shared" si="248"/>
        <v>0</v>
      </c>
      <c r="H625" s="322">
        <f t="shared" si="248"/>
        <v>0</v>
      </c>
      <c r="I625" s="322">
        <f t="shared" si="248"/>
        <v>0</v>
      </c>
      <c r="J625" s="322">
        <f t="shared" si="248"/>
        <v>0</v>
      </c>
      <c r="K625" s="322">
        <f t="shared" si="248"/>
        <v>0</v>
      </c>
      <c r="L625" s="322">
        <f t="shared" si="248"/>
        <v>1</v>
      </c>
      <c r="M625" s="322">
        <f t="shared" si="248"/>
        <v>0</v>
      </c>
      <c r="N625" s="322">
        <f t="shared" si="248"/>
        <v>0</v>
      </c>
      <c r="O625" s="322">
        <f t="shared" si="248"/>
        <v>0</v>
      </c>
      <c r="P625" s="322">
        <f t="shared" si="248"/>
        <v>0</v>
      </c>
      <c r="Q625" s="203" t="s">
        <v>12</v>
      </c>
      <c r="R625" s="307"/>
    </row>
    <row r="626" spans="2:18" ht="22.5" customHeight="1" thickBot="1" x14ac:dyDescent="0.25">
      <c r="B626" s="322">
        <f t="shared" si="228"/>
        <v>0</v>
      </c>
      <c r="C626" s="322">
        <f>O626+M626+K626+I626+G626+E626</f>
        <v>0</v>
      </c>
      <c r="D626" s="322">
        <f>P626+N626+L626+J626+H626+F626</f>
        <v>0</v>
      </c>
      <c r="E626" s="322">
        <v>0</v>
      </c>
      <c r="F626" s="322">
        <v>0</v>
      </c>
      <c r="G626" s="322">
        <v>0</v>
      </c>
      <c r="H626" s="322">
        <v>0</v>
      </c>
      <c r="I626" s="322">
        <v>0</v>
      </c>
      <c r="J626" s="322">
        <v>0</v>
      </c>
      <c r="K626" s="322">
        <v>0</v>
      </c>
      <c r="L626" s="322">
        <v>0</v>
      </c>
      <c r="M626" s="322">
        <v>0</v>
      </c>
      <c r="N626" s="322">
        <v>0</v>
      </c>
      <c r="O626" s="322">
        <v>0</v>
      </c>
      <c r="P626" s="322">
        <v>0</v>
      </c>
      <c r="Q626" s="203" t="s">
        <v>146</v>
      </c>
      <c r="R626" s="306"/>
    </row>
    <row r="627" spans="2:18" ht="22.5" customHeight="1" thickBot="1" x14ac:dyDescent="0.25">
      <c r="B627" s="322">
        <f t="shared" si="228"/>
        <v>12</v>
      </c>
      <c r="C627" s="322">
        <f>O627+M627+K627+I627+G627+E627</f>
        <v>0</v>
      </c>
      <c r="D627" s="322">
        <f>P627+N627+L627+J627+H627+F627</f>
        <v>12</v>
      </c>
      <c r="E627" s="322">
        <v>0</v>
      </c>
      <c r="F627" s="322">
        <v>0</v>
      </c>
      <c r="G627" s="322">
        <v>0</v>
      </c>
      <c r="H627" s="322">
        <v>4</v>
      </c>
      <c r="I627" s="322">
        <v>0</v>
      </c>
      <c r="J627" s="322">
        <v>0</v>
      </c>
      <c r="K627" s="322">
        <v>0</v>
      </c>
      <c r="L627" s="322">
        <v>8</v>
      </c>
      <c r="M627" s="322">
        <v>0</v>
      </c>
      <c r="N627" s="322">
        <v>0</v>
      </c>
      <c r="O627" s="322">
        <v>0</v>
      </c>
      <c r="P627" s="322">
        <v>0</v>
      </c>
      <c r="Q627" s="203" t="s">
        <v>145</v>
      </c>
      <c r="R627" s="306" t="s">
        <v>101</v>
      </c>
    </row>
    <row r="628" spans="2:18" ht="22.5" customHeight="1" thickBot="1" x14ac:dyDescent="0.25">
      <c r="B628" s="322">
        <f t="shared" ref="B628:P628" si="249">SUM(B626:B627)</f>
        <v>12</v>
      </c>
      <c r="C628" s="322">
        <f t="shared" si="249"/>
        <v>0</v>
      </c>
      <c r="D628" s="322">
        <f t="shared" si="249"/>
        <v>12</v>
      </c>
      <c r="E628" s="322">
        <f t="shared" si="249"/>
        <v>0</v>
      </c>
      <c r="F628" s="322">
        <f t="shared" si="249"/>
        <v>0</v>
      </c>
      <c r="G628" s="322">
        <f t="shared" si="249"/>
        <v>0</v>
      </c>
      <c r="H628" s="322">
        <f t="shared" si="249"/>
        <v>4</v>
      </c>
      <c r="I628" s="322">
        <f t="shared" si="249"/>
        <v>0</v>
      </c>
      <c r="J628" s="322">
        <f t="shared" si="249"/>
        <v>0</v>
      </c>
      <c r="K628" s="322">
        <f t="shared" si="249"/>
        <v>0</v>
      </c>
      <c r="L628" s="322">
        <f t="shared" si="249"/>
        <v>8</v>
      </c>
      <c r="M628" s="322">
        <f t="shared" si="249"/>
        <v>0</v>
      </c>
      <c r="N628" s="322">
        <f t="shared" si="249"/>
        <v>0</v>
      </c>
      <c r="O628" s="322">
        <f t="shared" si="249"/>
        <v>0</v>
      </c>
      <c r="P628" s="322">
        <f t="shared" si="249"/>
        <v>0</v>
      </c>
      <c r="Q628" s="203" t="s">
        <v>12</v>
      </c>
      <c r="R628" s="307"/>
    </row>
    <row r="629" spans="2:18" ht="22.5" customHeight="1" thickBot="1" x14ac:dyDescent="0.25">
      <c r="B629" s="322">
        <f t="shared" ref="B629:P631" si="250">B566+B569+B572+B575+B578+B581+B584+B587+B590+B593+B596+B599+B602+B605+B608+B611+B614+B617+B620+B623+B626</f>
        <v>904</v>
      </c>
      <c r="C629" s="322">
        <f t="shared" si="250"/>
        <v>299</v>
      </c>
      <c r="D629" s="322">
        <f t="shared" si="250"/>
        <v>605</v>
      </c>
      <c r="E629" s="322">
        <f t="shared" si="250"/>
        <v>12</v>
      </c>
      <c r="F629" s="322">
        <f t="shared" si="250"/>
        <v>63</v>
      </c>
      <c r="G629" s="322">
        <f t="shared" si="250"/>
        <v>206</v>
      </c>
      <c r="H629" s="322">
        <f t="shared" si="250"/>
        <v>196</v>
      </c>
      <c r="I629" s="322">
        <f t="shared" si="250"/>
        <v>44</v>
      </c>
      <c r="J629" s="322">
        <f t="shared" si="250"/>
        <v>30</v>
      </c>
      <c r="K629" s="322">
        <f t="shared" si="250"/>
        <v>35</v>
      </c>
      <c r="L629" s="322">
        <f t="shared" si="250"/>
        <v>191</v>
      </c>
      <c r="M629" s="322">
        <f t="shared" si="250"/>
        <v>2</v>
      </c>
      <c r="N629" s="322">
        <f t="shared" si="250"/>
        <v>74</v>
      </c>
      <c r="O629" s="322">
        <f t="shared" si="250"/>
        <v>0</v>
      </c>
      <c r="P629" s="322">
        <f t="shared" si="250"/>
        <v>51</v>
      </c>
      <c r="Q629" s="203" t="s">
        <v>146</v>
      </c>
      <c r="R629" s="280"/>
    </row>
    <row r="630" spans="2:18" ht="22.5" customHeight="1" thickBot="1" x14ac:dyDescent="0.25">
      <c r="B630" s="322">
        <f t="shared" si="250"/>
        <v>857</v>
      </c>
      <c r="C630" s="322">
        <f t="shared" si="250"/>
        <v>255</v>
      </c>
      <c r="D630" s="322">
        <f t="shared" si="250"/>
        <v>602</v>
      </c>
      <c r="E630" s="322">
        <f t="shared" si="250"/>
        <v>11</v>
      </c>
      <c r="F630" s="322">
        <f t="shared" si="250"/>
        <v>39</v>
      </c>
      <c r="G630" s="322">
        <f t="shared" si="250"/>
        <v>4</v>
      </c>
      <c r="H630" s="322">
        <f t="shared" si="250"/>
        <v>47</v>
      </c>
      <c r="I630" s="322">
        <f t="shared" si="250"/>
        <v>86</v>
      </c>
      <c r="J630" s="322">
        <f t="shared" si="250"/>
        <v>78</v>
      </c>
      <c r="K630" s="322">
        <f t="shared" si="250"/>
        <v>106</v>
      </c>
      <c r="L630" s="322">
        <f t="shared" si="250"/>
        <v>350</v>
      </c>
      <c r="M630" s="322">
        <f t="shared" si="250"/>
        <v>40</v>
      </c>
      <c r="N630" s="322">
        <f t="shared" si="250"/>
        <v>70</v>
      </c>
      <c r="O630" s="322">
        <f t="shared" si="250"/>
        <v>8</v>
      </c>
      <c r="P630" s="322">
        <f t="shared" si="250"/>
        <v>18</v>
      </c>
      <c r="Q630" s="203" t="s">
        <v>145</v>
      </c>
      <c r="R630" s="281" t="s">
        <v>188</v>
      </c>
    </row>
    <row r="631" spans="2:18" ht="22.5" customHeight="1" thickBot="1" x14ac:dyDescent="0.25">
      <c r="B631" s="322">
        <f t="shared" si="250"/>
        <v>1761</v>
      </c>
      <c r="C631" s="322">
        <f t="shared" si="250"/>
        <v>554</v>
      </c>
      <c r="D631" s="322">
        <f t="shared" si="250"/>
        <v>1207</v>
      </c>
      <c r="E631" s="322">
        <f t="shared" si="250"/>
        <v>23</v>
      </c>
      <c r="F631" s="322">
        <f t="shared" si="250"/>
        <v>102</v>
      </c>
      <c r="G631" s="322">
        <f t="shared" si="250"/>
        <v>210</v>
      </c>
      <c r="H631" s="322">
        <f t="shared" si="250"/>
        <v>243</v>
      </c>
      <c r="I631" s="322">
        <f t="shared" si="250"/>
        <v>130</v>
      </c>
      <c r="J631" s="322">
        <f t="shared" si="250"/>
        <v>108</v>
      </c>
      <c r="K631" s="322">
        <f t="shared" si="250"/>
        <v>141</v>
      </c>
      <c r="L631" s="322">
        <f t="shared" si="250"/>
        <v>541</v>
      </c>
      <c r="M631" s="322">
        <f t="shared" si="250"/>
        <v>42</v>
      </c>
      <c r="N631" s="322">
        <f t="shared" si="250"/>
        <v>144</v>
      </c>
      <c r="O631" s="322">
        <f t="shared" si="250"/>
        <v>8</v>
      </c>
      <c r="P631" s="322">
        <f t="shared" si="250"/>
        <v>69</v>
      </c>
      <c r="Q631" s="203" t="s">
        <v>12</v>
      </c>
      <c r="R631" s="282"/>
    </row>
    <row r="632" spans="2:18" ht="22.5" customHeight="1" thickBot="1" x14ac:dyDescent="0.25">
      <c r="B632" s="319"/>
      <c r="C632" s="319"/>
      <c r="D632" s="319"/>
      <c r="E632" s="319"/>
      <c r="F632" s="319"/>
      <c r="G632" s="319"/>
      <c r="H632" s="319"/>
      <c r="I632" s="319"/>
      <c r="J632" s="319"/>
      <c r="K632" s="319"/>
      <c r="L632" s="319"/>
      <c r="M632" s="319"/>
      <c r="N632" s="319"/>
      <c r="O632" s="319"/>
      <c r="P632" s="319"/>
      <c r="Q632" s="320"/>
      <c r="R632" s="320"/>
    </row>
    <row r="633" spans="2:18" ht="22.5" customHeight="1" thickBot="1" x14ac:dyDescent="0.25">
      <c r="B633" s="477" t="s">
        <v>4</v>
      </c>
      <c r="C633" s="477"/>
      <c r="D633" s="477"/>
      <c r="E633" s="477" t="s">
        <v>735</v>
      </c>
      <c r="F633" s="477"/>
      <c r="G633" s="477" t="s">
        <v>736</v>
      </c>
      <c r="H633" s="477"/>
      <c r="I633" s="477" t="s">
        <v>737</v>
      </c>
      <c r="J633" s="477"/>
      <c r="K633" s="477" t="s">
        <v>738</v>
      </c>
      <c r="L633" s="477"/>
      <c r="M633" s="477" t="s">
        <v>739</v>
      </c>
      <c r="N633" s="477"/>
      <c r="O633" s="477" t="s">
        <v>740</v>
      </c>
      <c r="P633" s="477"/>
      <c r="Q633" s="575" t="s">
        <v>741</v>
      </c>
      <c r="R633" s="304" t="s">
        <v>144</v>
      </c>
    </row>
    <row r="634" spans="2:18" ht="22.5" customHeight="1" thickBot="1" x14ac:dyDescent="0.25">
      <c r="B634" s="204" t="s">
        <v>227</v>
      </c>
      <c r="C634" s="204" t="s">
        <v>10</v>
      </c>
      <c r="D634" s="204" t="s">
        <v>9</v>
      </c>
      <c r="E634" s="204" t="s">
        <v>10</v>
      </c>
      <c r="F634" s="204" t="s">
        <v>9</v>
      </c>
      <c r="G634" s="204" t="s">
        <v>10</v>
      </c>
      <c r="H634" s="204" t="s">
        <v>9</v>
      </c>
      <c r="I634" s="204" t="s">
        <v>10</v>
      </c>
      <c r="J634" s="204" t="s">
        <v>9</v>
      </c>
      <c r="K634" s="204" t="s">
        <v>10</v>
      </c>
      <c r="L634" s="204" t="s">
        <v>9</v>
      </c>
      <c r="M634" s="204" t="s">
        <v>10</v>
      </c>
      <c r="N634" s="204" t="s">
        <v>9</v>
      </c>
      <c r="O634" s="204" t="s">
        <v>10</v>
      </c>
      <c r="P634" s="204" t="s">
        <v>9</v>
      </c>
      <c r="Q634" s="481"/>
      <c r="R634" s="282" t="s">
        <v>76</v>
      </c>
    </row>
    <row r="635" spans="2:18" ht="22.5" customHeight="1" thickBot="1" x14ac:dyDescent="0.25">
      <c r="B635" s="305">
        <f>SUM(C635:D635)</f>
        <v>309</v>
      </c>
      <c r="C635" s="305">
        <f t="shared" ref="C635:D639" si="251">O635+M635+K635+I635+G635+E635</f>
        <v>171</v>
      </c>
      <c r="D635" s="305">
        <f t="shared" si="251"/>
        <v>138</v>
      </c>
      <c r="E635" s="305">
        <v>0</v>
      </c>
      <c r="F635" s="305">
        <v>3</v>
      </c>
      <c r="G635" s="305">
        <v>118</v>
      </c>
      <c r="H635" s="305">
        <v>26</v>
      </c>
      <c r="I635" s="305">
        <v>22</v>
      </c>
      <c r="J635" s="305">
        <v>22</v>
      </c>
      <c r="K635" s="305">
        <v>23</v>
      </c>
      <c r="L635" s="305">
        <v>52</v>
      </c>
      <c r="M635" s="305">
        <v>5</v>
      </c>
      <c r="N635" s="305">
        <v>25</v>
      </c>
      <c r="O635" s="305">
        <v>3</v>
      </c>
      <c r="P635" s="305">
        <v>10</v>
      </c>
      <c r="Q635" s="203" t="s">
        <v>146</v>
      </c>
      <c r="R635" s="306"/>
    </row>
    <row r="636" spans="2:18" ht="22.5" customHeight="1" thickBot="1" x14ac:dyDescent="0.25">
      <c r="B636" s="305">
        <f t="shared" ref="B636:B654" si="252">SUM(C636:D636)</f>
        <v>321</v>
      </c>
      <c r="C636" s="305">
        <f t="shared" si="251"/>
        <v>76</v>
      </c>
      <c r="D636" s="305">
        <f t="shared" si="251"/>
        <v>245</v>
      </c>
      <c r="E636" s="305">
        <v>0</v>
      </c>
      <c r="F636" s="305">
        <v>27</v>
      </c>
      <c r="G636" s="305">
        <v>0</v>
      </c>
      <c r="H636" s="305">
        <v>17</v>
      </c>
      <c r="I636" s="305">
        <v>22</v>
      </c>
      <c r="J636" s="305">
        <v>14</v>
      </c>
      <c r="K636" s="305">
        <v>35</v>
      </c>
      <c r="L636" s="305">
        <v>157</v>
      </c>
      <c r="M636" s="305">
        <v>11</v>
      </c>
      <c r="N636" s="305">
        <v>14</v>
      </c>
      <c r="O636" s="305">
        <v>8</v>
      </c>
      <c r="P636" s="305">
        <v>16</v>
      </c>
      <c r="Q636" s="203" t="s">
        <v>145</v>
      </c>
      <c r="R636" s="306" t="s">
        <v>658</v>
      </c>
    </row>
    <row r="637" spans="2:18" ht="22.5" customHeight="1" thickBot="1" x14ac:dyDescent="0.25">
      <c r="B637" s="305">
        <f t="shared" si="252"/>
        <v>630</v>
      </c>
      <c r="C637" s="305">
        <f t="shared" si="251"/>
        <v>247</v>
      </c>
      <c r="D637" s="305">
        <f t="shared" si="251"/>
        <v>383</v>
      </c>
      <c r="E637" s="305">
        <f t="shared" ref="E637:P637" si="253">SUM(E635:E636)</f>
        <v>0</v>
      </c>
      <c r="F637" s="305">
        <f t="shared" si="253"/>
        <v>30</v>
      </c>
      <c r="G637" s="305">
        <f t="shared" si="253"/>
        <v>118</v>
      </c>
      <c r="H637" s="305">
        <f t="shared" si="253"/>
        <v>43</v>
      </c>
      <c r="I637" s="305">
        <f t="shared" si="253"/>
        <v>44</v>
      </c>
      <c r="J637" s="305">
        <f t="shared" si="253"/>
        <v>36</v>
      </c>
      <c r="K637" s="305">
        <f t="shared" si="253"/>
        <v>58</v>
      </c>
      <c r="L637" s="305">
        <f t="shared" si="253"/>
        <v>209</v>
      </c>
      <c r="M637" s="305">
        <f t="shared" si="253"/>
        <v>16</v>
      </c>
      <c r="N637" s="305">
        <f t="shared" si="253"/>
        <v>39</v>
      </c>
      <c r="O637" s="305">
        <f t="shared" si="253"/>
        <v>11</v>
      </c>
      <c r="P637" s="305">
        <f t="shared" si="253"/>
        <v>26</v>
      </c>
      <c r="Q637" s="203" t="s">
        <v>12</v>
      </c>
      <c r="R637" s="307"/>
    </row>
    <row r="638" spans="2:18" ht="22.5" customHeight="1" thickBot="1" x14ac:dyDescent="0.25">
      <c r="B638" s="305">
        <f t="shared" si="252"/>
        <v>182</v>
      </c>
      <c r="C638" s="305">
        <f t="shared" si="251"/>
        <v>99</v>
      </c>
      <c r="D638" s="305">
        <f t="shared" si="251"/>
        <v>83</v>
      </c>
      <c r="E638" s="305">
        <v>0</v>
      </c>
      <c r="F638" s="305">
        <v>0</v>
      </c>
      <c r="G638" s="305">
        <v>56</v>
      </c>
      <c r="H638" s="305">
        <v>10</v>
      </c>
      <c r="I638" s="305">
        <v>18</v>
      </c>
      <c r="J638" s="305">
        <v>14</v>
      </c>
      <c r="K638" s="305">
        <v>23</v>
      </c>
      <c r="L638" s="305">
        <v>49</v>
      </c>
      <c r="M638" s="305">
        <v>2</v>
      </c>
      <c r="N638" s="305">
        <v>7</v>
      </c>
      <c r="O638" s="305">
        <v>0</v>
      </c>
      <c r="P638" s="305">
        <v>3</v>
      </c>
      <c r="Q638" s="203" t="s">
        <v>146</v>
      </c>
      <c r="R638" s="306"/>
    </row>
    <row r="639" spans="2:18" ht="22.5" customHeight="1" thickBot="1" x14ac:dyDescent="0.25">
      <c r="B639" s="305">
        <f t="shared" si="252"/>
        <v>135</v>
      </c>
      <c r="C639" s="305">
        <f t="shared" si="251"/>
        <v>65</v>
      </c>
      <c r="D639" s="305">
        <f t="shared" si="251"/>
        <v>70</v>
      </c>
      <c r="E639" s="305">
        <v>0</v>
      </c>
      <c r="F639" s="305">
        <v>0</v>
      </c>
      <c r="G639" s="305">
        <v>0</v>
      </c>
      <c r="H639" s="305">
        <v>0</v>
      </c>
      <c r="I639" s="305">
        <v>11</v>
      </c>
      <c r="J639" s="305">
        <v>6</v>
      </c>
      <c r="K639" s="305">
        <v>46</v>
      </c>
      <c r="L639" s="305">
        <v>53</v>
      </c>
      <c r="M639" s="305">
        <v>6</v>
      </c>
      <c r="N639" s="305">
        <v>8</v>
      </c>
      <c r="O639" s="305">
        <v>2</v>
      </c>
      <c r="P639" s="305">
        <v>3</v>
      </c>
      <c r="Q639" s="203" t="s">
        <v>145</v>
      </c>
      <c r="R639" s="306" t="s">
        <v>367</v>
      </c>
    </row>
    <row r="640" spans="2:18" ht="22.5" customHeight="1" thickBot="1" x14ac:dyDescent="0.25">
      <c r="B640" s="305">
        <f t="shared" ref="B640:P640" si="254">SUM(B638:B639)</f>
        <v>317</v>
      </c>
      <c r="C640" s="305">
        <f t="shared" si="254"/>
        <v>164</v>
      </c>
      <c r="D640" s="305">
        <f t="shared" si="254"/>
        <v>153</v>
      </c>
      <c r="E640" s="305">
        <f t="shared" si="254"/>
        <v>0</v>
      </c>
      <c r="F640" s="305">
        <f t="shared" si="254"/>
        <v>0</v>
      </c>
      <c r="G640" s="305">
        <f t="shared" si="254"/>
        <v>56</v>
      </c>
      <c r="H640" s="305">
        <f t="shared" si="254"/>
        <v>10</v>
      </c>
      <c r="I640" s="305">
        <f t="shared" si="254"/>
        <v>29</v>
      </c>
      <c r="J640" s="305">
        <f t="shared" si="254"/>
        <v>20</v>
      </c>
      <c r="K640" s="305">
        <f t="shared" si="254"/>
        <v>69</v>
      </c>
      <c r="L640" s="305">
        <f t="shared" si="254"/>
        <v>102</v>
      </c>
      <c r="M640" s="305">
        <f t="shared" si="254"/>
        <v>8</v>
      </c>
      <c r="N640" s="305">
        <f t="shared" si="254"/>
        <v>15</v>
      </c>
      <c r="O640" s="305">
        <f t="shared" si="254"/>
        <v>2</v>
      </c>
      <c r="P640" s="305">
        <f t="shared" si="254"/>
        <v>6</v>
      </c>
      <c r="Q640" s="203" t="s">
        <v>12</v>
      </c>
      <c r="R640" s="307"/>
    </row>
    <row r="641" spans="2:18" ht="22.5" customHeight="1" thickBot="1" x14ac:dyDescent="0.25">
      <c r="B641" s="305">
        <f t="shared" si="252"/>
        <v>136</v>
      </c>
      <c r="C641" s="305">
        <f>O641+M641+K641+I641+G641+E641</f>
        <v>95</v>
      </c>
      <c r="D641" s="305">
        <f>P641+N641+L641+J641+H641+F641</f>
        <v>41</v>
      </c>
      <c r="E641" s="305">
        <v>0</v>
      </c>
      <c r="F641" s="305">
        <v>0</v>
      </c>
      <c r="G641" s="305">
        <v>64</v>
      </c>
      <c r="H641" s="305">
        <v>13</v>
      </c>
      <c r="I641" s="305">
        <v>18</v>
      </c>
      <c r="J641" s="305">
        <v>5</v>
      </c>
      <c r="K641" s="305">
        <v>13</v>
      </c>
      <c r="L641" s="305">
        <v>16</v>
      </c>
      <c r="M641" s="305">
        <v>0</v>
      </c>
      <c r="N641" s="305">
        <v>4</v>
      </c>
      <c r="O641" s="305">
        <v>0</v>
      </c>
      <c r="P641" s="305">
        <v>3</v>
      </c>
      <c r="Q641" s="203" t="s">
        <v>146</v>
      </c>
      <c r="R641" s="306"/>
    </row>
    <row r="642" spans="2:18" ht="22.5" customHeight="1" thickBot="1" x14ac:dyDescent="0.25">
      <c r="B642" s="305">
        <f t="shared" si="252"/>
        <v>113</v>
      </c>
      <c r="C642" s="305">
        <f>O642+M642+K642+I642+G642+E642</f>
        <v>52</v>
      </c>
      <c r="D642" s="305">
        <f>P642+N642+L642+J642+H642+F642</f>
        <v>61</v>
      </c>
      <c r="E642" s="305">
        <v>0</v>
      </c>
      <c r="F642" s="305">
        <v>0</v>
      </c>
      <c r="G642" s="305">
        <v>0</v>
      </c>
      <c r="H642" s="305">
        <v>0</v>
      </c>
      <c r="I642" s="305">
        <v>11</v>
      </c>
      <c r="J642" s="305">
        <v>5</v>
      </c>
      <c r="K642" s="305">
        <v>35</v>
      </c>
      <c r="L642" s="305">
        <v>43</v>
      </c>
      <c r="M642" s="305">
        <v>6</v>
      </c>
      <c r="N642" s="305">
        <v>4</v>
      </c>
      <c r="O642" s="305">
        <v>0</v>
      </c>
      <c r="P642" s="305">
        <v>9</v>
      </c>
      <c r="Q642" s="203" t="s">
        <v>145</v>
      </c>
      <c r="R642" s="306" t="s">
        <v>417</v>
      </c>
    </row>
    <row r="643" spans="2:18" ht="22.5" customHeight="1" thickBot="1" x14ac:dyDescent="0.25">
      <c r="B643" s="305">
        <f t="shared" ref="B643:P643" si="255">SUM(B641:B642)</f>
        <v>249</v>
      </c>
      <c r="C643" s="305">
        <f t="shared" si="255"/>
        <v>147</v>
      </c>
      <c r="D643" s="305">
        <f t="shared" si="255"/>
        <v>102</v>
      </c>
      <c r="E643" s="305">
        <f t="shared" si="255"/>
        <v>0</v>
      </c>
      <c r="F643" s="305">
        <f t="shared" si="255"/>
        <v>0</v>
      </c>
      <c r="G643" s="305">
        <f t="shared" si="255"/>
        <v>64</v>
      </c>
      <c r="H643" s="305">
        <f t="shared" si="255"/>
        <v>13</v>
      </c>
      <c r="I643" s="305">
        <f t="shared" si="255"/>
        <v>29</v>
      </c>
      <c r="J643" s="305">
        <f t="shared" si="255"/>
        <v>10</v>
      </c>
      <c r="K643" s="305">
        <f t="shared" si="255"/>
        <v>48</v>
      </c>
      <c r="L643" s="305">
        <f t="shared" si="255"/>
        <v>59</v>
      </c>
      <c r="M643" s="305">
        <f t="shared" si="255"/>
        <v>6</v>
      </c>
      <c r="N643" s="305">
        <f t="shared" si="255"/>
        <v>8</v>
      </c>
      <c r="O643" s="305">
        <f t="shared" si="255"/>
        <v>0</v>
      </c>
      <c r="P643" s="305">
        <f t="shared" si="255"/>
        <v>12</v>
      </c>
      <c r="Q643" s="203" t="s">
        <v>12</v>
      </c>
      <c r="R643" s="307"/>
    </row>
    <row r="644" spans="2:18" ht="22.5" customHeight="1" thickBot="1" x14ac:dyDescent="0.25">
      <c r="B644" s="305">
        <f t="shared" si="252"/>
        <v>15</v>
      </c>
      <c r="C644" s="305">
        <f>O644+M644+K644+I644+G644+E644</f>
        <v>9</v>
      </c>
      <c r="D644" s="305">
        <f>P644+N644+L644+J644+H644+F644</f>
        <v>6</v>
      </c>
      <c r="E644" s="305">
        <v>0</v>
      </c>
      <c r="F644" s="305">
        <v>0</v>
      </c>
      <c r="G644" s="305">
        <v>9</v>
      </c>
      <c r="H644" s="305">
        <v>4</v>
      </c>
      <c r="I644" s="305">
        <v>0</v>
      </c>
      <c r="J644" s="305">
        <v>0</v>
      </c>
      <c r="K644" s="305">
        <v>0</v>
      </c>
      <c r="L644" s="305">
        <v>1</v>
      </c>
      <c r="M644" s="305">
        <v>0</v>
      </c>
      <c r="N644" s="305">
        <v>0</v>
      </c>
      <c r="O644" s="305">
        <v>0</v>
      </c>
      <c r="P644" s="305">
        <v>1</v>
      </c>
      <c r="Q644" s="203" t="s">
        <v>146</v>
      </c>
      <c r="R644" s="306"/>
    </row>
    <row r="645" spans="2:18" ht="22.5" customHeight="1" thickBot="1" x14ac:dyDescent="0.25">
      <c r="B645" s="305">
        <f t="shared" si="252"/>
        <v>41</v>
      </c>
      <c r="C645" s="305">
        <f>O645+M645+K645+I645+G645+E645</f>
        <v>15</v>
      </c>
      <c r="D645" s="305">
        <f>P645+N645+L645+J645+H645+F645</f>
        <v>26</v>
      </c>
      <c r="E645" s="305">
        <v>0</v>
      </c>
      <c r="F645" s="305">
        <v>0</v>
      </c>
      <c r="G645" s="305">
        <v>0</v>
      </c>
      <c r="H645" s="305">
        <v>0</v>
      </c>
      <c r="I645" s="305">
        <v>0</v>
      </c>
      <c r="J645" s="305">
        <v>0</v>
      </c>
      <c r="K645" s="305">
        <v>11</v>
      </c>
      <c r="L645" s="305">
        <v>15</v>
      </c>
      <c r="M645" s="305">
        <v>4</v>
      </c>
      <c r="N645" s="305">
        <v>5</v>
      </c>
      <c r="O645" s="305">
        <v>0</v>
      </c>
      <c r="P645" s="305">
        <v>6</v>
      </c>
      <c r="Q645" s="203" t="s">
        <v>145</v>
      </c>
      <c r="R645" s="306" t="s">
        <v>499</v>
      </c>
    </row>
    <row r="646" spans="2:18" ht="22.5" customHeight="1" thickBot="1" x14ac:dyDescent="0.25">
      <c r="B646" s="305">
        <f t="shared" ref="B646:P646" si="256">SUM(B644:B645)</f>
        <v>56</v>
      </c>
      <c r="C646" s="305">
        <f t="shared" si="256"/>
        <v>24</v>
      </c>
      <c r="D646" s="305">
        <f t="shared" si="256"/>
        <v>32</v>
      </c>
      <c r="E646" s="305">
        <f t="shared" si="256"/>
        <v>0</v>
      </c>
      <c r="F646" s="305">
        <f t="shared" si="256"/>
        <v>0</v>
      </c>
      <c r="G646" s="305">
        <f t="shared" si="256"/>
        <v>9</v>
      </c>
      <c r="H646" s="305">
        <f t="shared" si="256"/>
        <v>4</v>
      </c>
      <c r="I646" s="305">
        <f t="shared" si="256"/>
        <v>0</v>
      </c>
      <c r="J646" s="305">
        <f t="shared" si="256"/>
        <v>0</v>
      </c>
      <c r="K646" s="305">
        <f t="shared" si="256"/>
        <v>11</v>
      </c>
      <c r="L646" s="305">
        <f t="shared" si="256"/>
        <v>16</v>
      </c>
      <c r="M646" s="305">
        <f t="shared" si="256"/>
        <v>4</v>
      </c>
      <c r="N646" s="305">
        <f t="shared" si="256"/>
        <v>5</v>
      </c>
      <c r="O646" s="305">
        <f t="shared" si="256"/>
        <v>0</v>
      </c>
      <c r="P646" s="305">
        <f t="shared" si="256"/>
        <v>7</v>
      </c>
      <c r="Q646" s="203" t="s">
        <v>12</v>
      </c>
      <c r="R646" s="307"/>
    </row>
    <row r="647" spans="2:18" ht="22.5" customHeight="1" thickBot="1" x14ac:dyDescent="0.25">
      <c r="B647" s="305">
        <f t="shared" si="252"/>
        <v>84</v>
      </c>
      <c r="C647" s="305">
        <f>O647+M647+K647+I647+G647+E647</f>
        <v>58</v>
      </c>
      <c r="D647" s="305">
        <f>P647+N647+L647+J647+H647+F647</f>
        <v>26</v>
      </c>
      <c r="E647" s="305">
        <v>0</v>
      </c>
      <c r="F647" s="305">
        <v>0</v>
      </c>
      <c r="G647" s="305">
        <v>40</v>
      </c>
      <c r="H647" s="305">
        <v>6</v>
      </c>
      <c r="I647" s="305">
        <v>12</v>
      </c>
      <c r="J647" s="305">
        <v>4</v>
      </c>
      <c r="K647" s="305">
        <v>6</v>
      </c>
      <c r="L647" s="305">
        <v>16</v>
      </c>
      <c r="M647" s="305">
        <v>0</v>
      </c>
      <c r="N647" s="305">
        <v>0</v>
      </c>
      <c r="O647" s="305">
        <v>0</v>
      </c>
      <c r="P647" s="305">
        <v>0</v>
      </c>
      <c r="Q647" s="203" t="s">
        <v>146</v>
      </c>
      <c r="R647" s="306"/>
    </row>
    <row r="648" spans="2:18" ht="22.5" customHeight="1" thickBot="1" x14ac:dyDescent="0.25">
      <c r="B648" s="305">
        <f t="shared" si="252"/>
        <v>71</v>
      </c>
      <c r="C648" s="305">
        <f>O648+M648+K648+I648+G648+E648</f>
        <v>30</v>
      </c>
      <c r="D648" s="305">
        <f>P648+N648+L648+J648+H648+F648</f>
        <v>41</v>
      </c>
      <c r="E648" s="305">
        <v>0</v>
      </c>
      <c r="F648" s="305">
        <v>0</v>
      </c>
      <c r="G648" s="305">
        <v>0</v>
      </c>
      <c r="H648" s="305">
        <v>17</v>
      </c>
      <c r="I648" s="305">
        <v>11</v>
      </c>
      <c r="J648" s="305">
        <v>3</v>
      </c>
      <c r="K648" s="305">
        <v>19</v>
      </c>
      <c r="L648" s="305">
        <v>18</v>
      </c>
      <c r="M648" s="305">
        <v>0</v>
      </c>
      <c r="N648" s="305">
        <v>1</v>
      </c>
      <c r="O648" s="305">
        <v>0</v>
      </c>
      <c r="P648" s="305">
        <v>2</v>
      </c>
      <c r="Q648" s="203" t="s">
        <v>145</v>
      </c>
      <c r="R648" s="306" t="s">
        <v>659</v>
      </c>
    </row>
    <row r="649" spans="2:18" ht="22.5" customHeight="1" thickBot="1" x14ac:dyDescent="0.25">
      <c r="B649" s="305">
        <f t="shared" ref="B649:P649" si="257">SUM(B647:B648)</f>
        <v>155</v>
      </c>
      <c r="C649" s="305">
        <f t="shared" si="257"/>
        <v>88</v>
      </c>
      <c r="D649" s="305">
        <f t="shared" si="257"/>
        <v>67</v>
      </c>
      <c r="E649" s="305">
        <f t="shared" si="257"/>
        <v>0</v>
      </c>
      <c r="F649" s="305">
        <f t="shared" si="257"/>
        <v>0</v>
      </c>
      <c r="G649" s="305">
        <f t="shared" si="257"/>
        <v>40</v>
      </c>
      <c r="H649" s="305">
        <f t="shared" si="257"/>
        <v>23</v>
      </c>
      <c r="I649" s="305">
        <f t="shared" si="257"/>
        <v>23</v>
      </c>
      <c r="J649" s="305">
        <f t="shared" si="257"/>
        <v>7</v>
      </c>
      <c r="K649" s="305">
        <f t="shared" si="257"/>
        <v>25</v>
      </c>
      <c r="L649" s="305">
        <f t="shared" si="257"/>
        <v>34</v>
      </c>
      <c r="M649" s="305">
        <f t="shared" si="257"/>
        <v>0</v>
      </c>
      <c r="N649" s="305">
        <f t="shared" si="257"/>
        <v>1</v>
      </c>
      <c r="O649" s="305">
        <f t="shared" si="257"/>
        <v>0</v>
      </c>
      <c r="P649" s="305">
        <f t="shared" si="257"/>
        <v>2</v>
      </c>
      <c r="Q649" s="203" t="s">
        <v>12</v>
      </c>
      <c r="R649" s="307"/>
    </row>
    <row r="650" spans="2:18" ht="22.5" customHeight="1" thickBot="1" x14ac:dyDescent="0.25">
      <c r="B650" s="305">
        <f t="shared" si="252"/>
        <v>43</v>
      </c>
      <c r="C650" s="305">
        <f>O650+M650+K650+I650+G650+E650</f>
        <v>32</v>
      </c>
      <c r="D650" s="305">
        <f>P650+N650+L650+J650+H650+F650</f>
        <v>11</v>
      </c>
      <c r="E650" s="305">
        <v>7</v>
      </c>
      <c r="F650" s="305">
        <v>0</v>
      </c>
      <c r="G650" s="305">
        <v>18</v>
      </c>
      <c r="H650" s="305">
        <v>5</v>
      </c>
      <c r="I650" s="305">
        <v>4</v>
      </c>
      <c r="J650" s="305">
        <v>1</v>
      </c>
      <c r="K650" s="305">
        <v>3</v>
      </c>
      <c r="L650" s="305">
        <v>4</v>
      </c>
      <c r="M650" s="305">
        <v>0</v>
      </c>
      <c r="N650" s="305">
        <v>1</v>
      </c>
      <c r="O650" s="305">
        <v>0</v>
      </c>
      <c r="P650" s="305">
        <v>0</v>
      </c>
      <c r="Q650" s="203" t="s">
        <v>146</v>
      </c>
      <c r="R650" s="306"/>
    </row>
    <row r="651" spans="2:18" ht="22.5" customHeight="1" thickBot="1" x14ac:dyDescent="0.25">
      <c r="B651" s="305">
        <f t="shared" si="252"/>
        <v>54</v>
      </c>
      <c r="C651" s="305">
        <f>O651+M651+K651+I651+G651+E651</f>
        <v>34</v>
      </c>
      <c r="D651" s="305">
        <f>P651+N651+L651+J651+H651+F651</f>
        <v>20</v>
      </c>
      <c r="E651" s="305">
        <v>11</v>
      </c>
      <c r="F651" s="305">
        <v>0</v>
      </c>
      <c r="G651" s="305">
        <v>0</v>
      </c>
      <c r="H651" s="305">
        <v>0</v>
      </c>
      <c r="I651" s="305">
        <v>5</v>
      </c>
      <c r="J651" s="305">
        <v>0</v>
      </c>
      <c r="K651" s="305">
        <v>12</v>
      </c>
      <c r="L651" s="305">
        <v>18</v>
      </c>
      <c r="M651" s="305">
        <v>6</v>
      </c>
      <c r="N651" s="305">
        <v>2</v>
      </c>
      <c r="O651" s="305">
        <v>0</v>
      </c>
      <c r="P651" s="305">
        <v>0</v>
      </c>
      <c r="Q651" s="203" t="s">
        <v>145</v>
      </c>
      <c r="R651" s="306" t="s">
        <v>103</v>
      </c>
    </row>
    <row r="652" spans="2:18" ht="22.5" customHeight="1" thickBot="1" x14ac:dyDescent="0.25">
      <c r="B652" s="305">
        <f t="shared" ref="B652:P652" si="258">SUM(B650:B651)</f>
        <v>97</v>
      </c>
      <c r="C652" s="305">
        <f t="shared" si="258"/>
        <v>66</v>
      </c>
      <c r="D652" s="305">
        <f t="shared" si="258"/>
        <v>31</v>
      </c>
      <c r="E652" s="305">
        <f t="shared" si="258"/>
        <v>18</v>
      </c>
      <c r="F652" s="305">
        <f t="shared" si="258"/>
        <v>0</v>
      </c>
      <c r="G652" s="305">
        <f t="shared" si="258"/>
        <v>18</v>
      </c>
      <c r="H652" s="305">
        <f t="shared" si="258"/>
        <v>5</v>
      </c>
      <c r="I652" s="305">
        <f t="shared" si="258"/>
        <v>9</v>
      </c>
      <c r="J652" s="305">
        <f t="shared" si="258"/>
        <v>1</v>
      </c>
      <c r="K652" s="305">
        <f t="shared" si="258"/>
        <v>15</v>
      </c>
      <c r="L652" s="305">
        <f t="shared" si="258"/>
        <v>22</v>
      </c>
      <c r="M652" s="305">
        <f t="shared" si="258"/>
        <v>6</v>
      </c>
      <c r="N652" s="305">
        <f t="shared" si="258"/>
        <v>3</v>
      </c>
      <c r="O652" s="305">
        <f t="shared" si="258"/>
        <v>0</v>
      </c>
      <c r="P652" s="305">
        <f t="shared" si="258"/>
        <v>0</v>
      </c>
      <c r="Q652" s="203" t="s">
        <v>12</v>
      </c>
      <c r="R652" s="307"/>
    </row>
    <row r="653" spans="2:18" ht="22.5" customHeight="1" thickBot="1" x14ac:dyDescent="0.25">
      <c r="B653" s="305">
        <f t="shared" si="252"/>
        <v>16</v>
      </c>
      <c r="C653" s="305">
        <f>O653+M653+K653+I653+G653+E653</f>
        <v>0</v>
      </c>
      <c r="D653" s="305">
        <f>P653+N653+L653+J653+H653+F653</f>
        <v>16</v>
      </c>
      <c r="E653" s="305">
        <v>0</v>
      </c>
      <c r="F653" s="305">
        <v>0</v>
      </c>
      <c r="G653" s="305">
        <v>0</v>
      </c>
      <c r="H653" s="305">
        <v>3</v>
      </c>
      <c r="I653" s="305">
        <v>0</v>
      </c>
      <c r="J653" s="305">
        <v>3</v>
      </c>
      <c r="K653" s="305">
        <v>0</v>
      </c>
      <c r="L653" s="305">
        <v>6</v>
      </c>
      <c r="M653" s="305">
        <v>0</v>
      </c>
      <c r="N653" s="305">
        <v>2</v>
      </c>
      <c r="O653" s="305">
        <v>0</v>
      </c>
      <c r="P653" s="305">
        <v>2</v>
      </c>
      <c r="Q653" s="203" t="s">
        <v>146</v>
      </c>
      <c r="R653" s="306"/>
    </row>
    <row r="654" spans="2:18" ht="22.5" customHeight="1" thickBot="1" x14ac:dyDescent="0.25">
      <c r="B654" s="305">
        <f t="shared" si="252"/>
        <v>8</v>
      </c>
      <c r="C654" s="305">
        <f>O654+M654+K654+I654+G654+E654</f>
        <v>0</v>
      </c>
      <c r="D654" s="305">
        <f>P654+N654+L654+J654+H654+F654</f>
        <v>8</v>
      </c>
      <c r="E654" s="305">
        <v>0</v>
      </c>
      <c r="F654" s="305">
        <v>0</v>
      </c>
      <c r="G654" s="305">
        <v>0</v>
      </c>
      <c r="H654" s="305">
        <v>0</v>
      </c>
      <c r="I654" s="305">
        <v>0</v>
      </c>
      <c r="J654" s="305">
        <v>0</v>
      </c>
      <c r="K654" s="305">
        <v>0</v>
      </c>
      <c r="L654" s="305">
        <v>5</v>
      </c>
      <c r="M654" s="305">
        <v>0</v>
      </c>
      <c r="N654" s="305">
        <v>0</v>
      </c>
      <c r="O654" s="305">
        <v>0</v>
      </c>
      <c r="P654" s="305">
        <v>3</v>
      </c>
      <c r="Q654" s="203" t="s">
        <v>145</v>
      </c>
      <c r="R654" s="306" t="s">
        <v>680</v>
      </c>
    </row>
    <row r="655" spans="2:18" ht="22.5" customHeight="1" thickBot="1" x14ac:dyDescent="0.25">
      <c r="B655" s="305">
        <f t="shared" ref="B655:P655" si="259">SUM(B653:B654)</f>
        <v>24</v>
      </c>
      <c r="C655" s="305">
        <f t="shared" si="259"/>
        <v>0</v>
      </c>
      <c r="D655" s="305">
        <f t="shared" si="259"/>
        <v>24</v>
      </c>
      <c r="E655" s="305">
        <f t="shared" si="259"/>
        <v>0</v>
      </c>
      <c r="F655" s="305">
        <f t="shared" si="259"/>
        <v>0</v>
      </c>
      <c r="G655" s="305">
        <f t="shared" si="259"/>
        <v>0</v>
      </c>
      <c r="H655" s="305">
        <f t="shared" si="259"/>
        <v>3</v>
      </c>
      <c r="I655" s="305">
        <f t="shared" si="259"/>
        <v>0</v>
      </c>
      <c r="J655" s="305">
        <f t="shared" si="259"/>
        <v>3</v>
      </c>
      <c r="K655" s="305">
        <f t="shared" si="259"/>
        <v>0</v>
      </c>
      <c r="L655" s="305">
        <f t="shared" si="259"/>
        <v>11</v>
      </c>
      <c r="M655" s="305">
        <f t="shared" si="259"/>
        <v>0</v>
      </c>
      <c r="N655" s="305">
        <f t="shared" si="259"/>
        <v>2</v>
      </c>
      <c r="O655" s="305">
        <f t="shared" si="259"/>
        <v>0</v>
      </c>
      <c r="P655" s="305">
        <f t="shared" si="259"/>
        <v>5</v>
      </c>
      <c r="Q655" s="203" t="s">
        <v>12</v>
      </c>
      <c r="R655" s="307"/>
    </row>
    <row r="656" spans="2:18" ht="22.5" customHeight="1" thickBot="1" x14ac:dyDescent="0.25">
      <c r="B656" s="305">
        <f t="shared" ref="B656:P658" si="260">B653+B650+B647+B644+B641+B638+B635</f>
        <v>785</v>
      </c>
      <c r="C656" s="305">
        <f t="shared" si="260"/>
        <v>464</v>
      </c>
      <c r="D656" s="305">
        <f t="shared" si="260"/>
        <v>321</v>
      </c>
      <c r="E656" s="305">
        <f t="shared" si="260"/>
        <v>7</v>
      </c>
      <c r="F656" s="305">
        <f t="shared" si="260"/>
        <v>3</v>
      </c>
      <c r="G656" s="305">
        <f t="shared" si="260"/>
        <v>305</v>
      </c>
      <c r="H656" s="305">
        <f t="shared" si="260"/>
        <v>67</v>
      </c>
      <c r="I656" s="305">
        <f t="shared" si="260"/>
        <v>74</v>
      </c>
      <c r="J656" s="305">
        <f t="shared" si="260"/>
        <v>49</v>
      </c>
      <c r="K656" s="305">
        <f t="shared" si="260"/>
        <v>68</v>
      </c>
      <c r="L656" s="305">
        <f t="shared" si="260"/>
        <v>144</v>
      </c>
      <c r="M656" s="305">
        <f t="shared" si="260"/>
        <v>7</v>
      </c>
      <c r="N656" s="305">
        <f t="shared" si="260"/>
        <v>39</v>
      </c>
      <c r="O656" s="305">
        <f t="shared" si="260"/>
        <v>3</v>
      </c>
      <c r="P656" s="305">
        <f t="shared" si="260"/>
        <v>19</v>
      </c>
      <c r="Q656" s="203" t="s">
        <v>146</v>
      </c>
      <c r="R656" s="280"/>
    </row>
    <row r="657" spans="2:18" ht="22.5" customHeight="1" thickBot="1" x14ac:dyDescent="0.25">
      <c r="B657" s="305">
        <f t="shared" si="260"/>
        <v>743</v>
      </c>
      <c r="C657" s="305">
        <f t="shared" si="260"/>
        <v>272</v>
      </c>
      <c r="D657" s="305">
        <f t="shared" si="260"/>
        <v>471</v>
      </c>
      <c r="E657" s="305">
        <f t="shared" si="260"/>
        <v>11</v>
      </c>
      <c r="F657" s="305">
        <f t="shared" si="260"/>
        <v>27</v>
      </c>
      <c r="G657" s="305">
        <f t="shared" si="260"/>
        <v>0</v>
      </c>
      <c r="H657" s="305">
        <f t="shared" si="260"/>
        <v>34</v>
      </c>
      <c r="I657" s="305">
        <f t="shared" si="260"/>
        <v>60</v>
      </c>
      <c r="J657" s="305">
        <f t="shared" si="260"/>
        <v>28</v>
      </c>
      <c r="K657" s="305">
        <f t="shared" si="260"/>
        <v>158</v>
      </c>
      <c r="L657" s="305">
        <f t="shared" si="260"/>
        <v>309</v>
      </c>
      <c r="M657" s="305">
        <f t="shared" si="260"/>
        <v>33</v>
      </c>
      <c r="N657" s="305">
        <f t="shared" si="260"/>
        <v>34</v>
      </c>
      <c r="O657" s="305">
        <f t="shared" si="260"/>
        <v>10</v>
      </c>
      <c r="P657" s="305">
        <f t="shared" si="260"/>
        <v>39</v>
      </c>
      <c r="Q657" s="203" t="s">
        <v>145</v>
      </c>
      <c r="R657" s="281" t="s">
        <v>188</v>
      </c>
    </row>
    <row r="658" spans="2:18" ht="22.5" customHeight="1" thickBot="1" x14ac:dyDescent="0.25">
      <c r="B658" s="305">
        <f t="shared" si="260"/>
        <v>1528</v>
      </c>
      <c r="C658" s="305">
        <f t="shared" si="260"/>
        <v>736</v>
      </c>
      <c r="D658" s="305">
        <f t="shared" si="260"/>
        <v>792</v>
      </c>
      <c r="E658" s="305">
        <f t="shared" si="260"/>
        <v>18</v>
      </c>
      <c r="F658" s="305">
        <f t="shared" si="260"/>
        <v>30</v>
      </c>
      <c r="G658" s="305">
        <f t="shared" si="260"/>
        <v>305</v>
      </c>
      <c r="H658" s="305">
        <f t="shared" si="260"/>
        <v>101</v>
      </c>
      <c r="I658" s="305">
        <f t="shared" si="260"/>
        <v>134</v>
      </c>
      <c r="J658" s="305">
        <f t="shared" si="260"/>
        <v>77</v>
      </c>
      <c r="K658" s="305">
        <f t="shared" si="260"/>
        <v>226</v>
      </c>
      <c r="L658" s="305">
        <f t="shared" si="260"/>
        <v>453</v>
      </c>
      <c r="M658" s="305">
        <f t="shared" si="260"/>
        <v>40</v>
      </c>
      <c r="N658" s="305">
        <f t="shared" si="260"/>
        <v>73</v>
      </c>
      <c r="O658" s="305">
        <f t="shared" si="260"/>
        <v>13</v>
      </c>
      <c r="P658" s="305">
        <f t="shared" si="260"/>
        <v>58</v>
      </c>
      <c r="Q658" s="203" t="s">
        <v>12</v>
      </c>
      <c r="R658" s="282"/>
    </row>
    <row r="659" spans="2:18" ht="22.5" customHeight="1" thickBot="1" x14ac:dyDescent="0.25">
      <c r="B659" s="319"/>
      <c r="C659" s="319"/>
      <c r="D659" s="319"/>
      <c r="E659" s="319"/>
      <c r="F659" s="319"/>
      <c r="G659" s="319"/>
      <c r="H659" s="319"/>
      <c r="I659" s="319"/>
      <c r="J659" s="319"/>
      <c r="K659" s="319"/>
      <c r="L659" s="319"/>
      <c r="M659" s="319"/>
      <c r="N659" s="319"/>
      <c r="O659" s="319"/>
      <c r="P659" s="319"/>
      <c r="Q659" s="320"/>
      <c r="R659" s="320"/>
    </row>
    <row r="660" spans="2:18" ht="22.5" customHeight="1" thickBot="1" x14ac:dyDescent="0.25">
      <c r="B660" s="477" t="s">
        <v>4</v>
      </c>
      <c r="C660" s="477"/>
      <c r="D660" s="477"/>
      <c r="E660" s="477" t="s">
        <v>735</v>
      </c>
      <c r="F660" s="477"/>
      <c r="G660" s="477" t="s">
        <v>736</v>
      </c>
      <c r="H660" s="477"/>
      <c r="I660" s="477" t="s">
        <v>737</v>
      </c>
      <c r="J660" s="477"/>
      <c r="K660" s="477" t="s">
        <v>738</v>
      </c>
      <c r="L660" s="477"/>
      <c r="M660" s="477" t="s">
        <v>739</v>
      </c>
      <c r="N660" s="477"/>
      <c r="O660" s="477" t="s">
        <v>740</v>
      </c>
      <c r="P660" s="477"/>
      <c r="Q660" s="575" t="s">
        <v>741</v>
      </c>
      <c r="R660" s="304" t="s">
        <v>144</v>
      </c>
    </row>
    <row r="661" spans="2:18" ht="22.5" customHeight="1" thickBot="1" x14ac:dyDescent="0.25">
      <c r="B661" s="204" t="s">
        <v>227</v>
      </c>
      <c r="C661" s="204" t="s">
        <v>10</v>
      </c>
      <c r="D661" s="204" t="s">
        <v>9</v>
      </c>
      <c r="E661" s="204" t="s">
        <v>10</v>
      </c>
      <c r="F661" s="204" t="s">
        <v>9</v>
      </c>
      <c r="G661" s="204" t="s">
        <v>10</v>
      </c>
      <c r="H661" s="204" t="s">
        <v>9</v>
      </c>
      <c r="I661" s="204" t="s">
        <v>10</v>
      </c>
      <c r="J661" s="204" t="s">
        <v>9</v>
      </c>
      <c r="K661" s="204" t="s">
        <v>10</v>
      </c>
      <c r="L661" s="204" t="s">
        <v>9</v>
      </c>
      <c r="M661" s="204" t="s">
        <v>10</v>
      </c>
      <c r="N661" s="204" t="s">
        <v>9</v>
      </c>
      <c r="O661" s="204" t="s">
        <v>10</v>
      </c>
      <c r="P661" s="204" t="s">
        <v>9</v>
      </c>
      <c r="Q661" s="481"/>
      <c r="R661" s="282" t="s">
        <v>77</v>
      </c>
    </row>
    <row r="662" spans="2:18" ht="22.5" customHeight="1" thickBot="1" x14ac:dyDescent="0.25">
      <c r="B662" s="305">
        <f>SUM(C662:D662)</f>
        <v>150</v>
      </c>
      <c r="C662" s="305">
        <f t="shared" ref="C662:D666" si="261">O662+M662+K662+I662+G662+E662</f>
        <v>1</v>
      </c>
      <c r="D662" s="305">
        <f t="shared" si="261"/>
        <v>149</v>
      </c>
      <c r="E662" s="305">
        <v>0</v>
      </c>
      <c r="F662" s="305">
        <v>0</v>
      </c>
      <c r="G662" s="305">
        <v>0</v>
      </c>
      <c r="H662" s="305">
        <v>62</v>
      </c>
      <c r="I662" s="305">
        <v>0</v>
      </c>
      <c r="J662" s="305">
        <v>41</v>
      </c>
      <c r="K662" s="305">
        <v>1</v>
      </c>
      <c r="L662" s="305">
        <v>30</v>
      </c>
      <c r="M662" s="305">
        <v>0</v>
      </c>
      <c r="N662" s="305">
        <v>13</v>
      </c>
      <c r="O662" s="305">
        <v>0</v>
      </c>
      <c r="P662" s="305">
        <v>3</v>
      </c>
      <c r="Q662" s="203" t="s">
        <v>146</v>
      </c>
      <c r="R662" s="306"/>
    </row>
    <row r="663" spans="2:18" ht="22.5" customHeight="1" thickBot="1" x14ac:dyDescent="0.25">
      <c r="B663" s="305">
        <f t="shared" ref="B663:B693" si="262">SUM(C663:D663)</f>
        <v>9</v>
      </c>
      <c r="C663" s="305">
        <f t="shared" si="261"/>
        <v>0</v>
      </c>
      <c r="D663" s="305">
        <f t="shared" si="261"/>
        <v>9</v>
      </c>
      <c r="E663" s="305">
        <v>0</v>
      </c>
      <c r="F663" s="305">
        <v>0</v>
      </c>
      <c r="G663" s="305">
        <v>0</v>
      </c>
      <c r="H663" s="305">
        <v>0</v>
      </c>
      <c r="I663" s="305">
        <v>0</v>
      </c>
      <c r="J663" s="305">
        <v>0</v>
      </c>
      <c r="K663" s="305">
        <v>0</v>
      </c>
      <c r="L663" s="305">
        <v>9</v>
      </c>
      <c r="M663" s="305">
        <v>0</v>
      </c>
      <c r="N663" s="305">
        <v>0</v>
      </c>
      <c r="O663" s="305">
        <v>0</v>
      </c>
      <c r="P663" s="305">
        <v>0</v>
      </c>
      <c r="Q663" s="203" t="s">
        <v>145</v>
      </c>
      <c r="R663" s="306" t="s">
        <v>274</v>
      </c>
    </row>
    <row r="664" spans="2:18" ht="22.5" customHeight="1" thickBot="1" x14ac:dyDescent="0.25">
      <c r="B664" s="305">
        <f t="shared" si="262"/>
        <v>159</v>
      </c>
      <c r="C664" s="305">
        <f t="shared" si="261"/>
        <v>1</v>
      </c>
      <c r="D664" s="305">
        <f t="shared" si="261"/>
        <v>158</v>
      </c>
      <c r="E664" s="305">
        <f t="shared" ref="E664:P664" si="263">SUM(E662:E663)</f>
        <v>0</v>
      </c>
      <c r="F664" s="305">
        <f t="shared" si="263"/>
        <v>0</v>
      </c>
      <c r="G664" s="305">
        <f t="shared" si="263"/>
        <v>0</v>
      </c>
      <c r="H664" s="305">
        <f t="shared" si="263"/>
        <v>62</v>
      </c>
      <c r="I664" s="305">
        <f t="shared" si="263"/>
        <v>0</v>
      </c>
      <c r="J664" s="305">
        <f t="shared" si="263"/>
        <v>41</v>
      </c>
      <c r="K664" s="305">
        <f t="shared" si="263"/>
        <v>1</v>
      </c>
      <c r="L664" s="305">
        <f t="shared" si="263"/>
        <v>39</v>
      </c>
      <c r="M664" s="305">
        <f t="shared" si="263"/>
        <v>0</v>
      </c>
      <c r="N664" s="305">
        <f t="shared" si="263"/>
        <v>13</v>
      </c>
      <c r="O664" s="305">
        <f t="shared" si="263"/>
        <v>0</v>
      </c>
      <c r="P664" s="305">
        <f t="shared" si="263"/>
        <v>3</v>
      </c>
      <c r="Q664" s="203" t="s">
        <v>12</v>
      </c>
      <c r="R664" s="307"/>
    </row>
    <row r="665" spans="2:18" ht="22.5" customHeight="1" thickBot="1" x14ac:dyDescent="0.25">
      <c r="B665" s="305">
        <f t="shared" si="262"/>
        <v>82</v>
      </c>
      <c r="C665" s="305">
        <f t="shared" si="261"/>
        <v>51</v>
      </c>
      <c r="D665" s="305">
        <f t="shared" si="261"/>
        <v>31</v>
      </c>
      <c r="E665" s="305">
        <v>0</v>
      </c>
      <c r="F665" s="305">
        <v>0</v>
      </c>
      <c r="G665" s="305">
        <v>31</v>
      </c>
      <c r="H665" s="305">
        <v>11</v>
      </c>
      <c r="I665" s="305">
        <v>12</v>
      </c>
      <c r="J665" s="305">
        <v>2</v>
      </c>
      <c r="K665" s="305">
        <v>7</v>
      </c>
      <c r="L665" s="305">
        <v>14</v>
      </c>
      <c r="M665" s="305">
        <v>1</v>
      </c>
      <c r="N665" s="305">
        <v>4</v>
      </c>
      <c r="O665" s="305">
        <v>0</v>
      </c>
      <c r="P665" s="305">
        <v>0</v>
      </c>
      <c r="Q665" s="203" t="s">
        <v>146</v>
      </c>
      <c r="R665" s="306"/>
    </row>
    <row r="666" spans="2:18" ht="22.5" customHeight="1" thickBot="1" x14ac:dyDescent="0.25">
      <c r="B666" s="305">
        <f t="shared" si="262"/>
        <v>128</v>
      </c>
      <c r="C666" s="305">
        <f t="shared" si="261"/>
        <v>55</v>
      </c>
      <c r="D666" s="305">
        <f t="shared" si="261"/>
        <v>73</v>
      </c>
      <c r="E666" s="305">
        <v>1</v>
      </c>
      <c r="F666" s="305">
        <v>0</v>
      </c>
      <c r="G666" s="305">
        <v>0</v>
      </c>
      <c r="H666" s="305">
        <v>0</v>
      </c>
      <c r="I666" s="305">
        <v>0</v>
      </c>
      <c r="J666" s="305">
        <v>0</v>
      </c>
      <c r="K666" s="305">
        <v>44</v>
      </c>
      <c r="L666" s="305">
        <v>60</v>
      </c>
      <c r="M666" s="305">
        <v>8</v>
      </c>
      <c r="N666" s="305">
        <v>8</v>
      </c>
      <c r="O666" s="305">
        <v>2</v>
      </c>
      <c r="P666" s="305">
        <v>5</v>
      </c>
      <c r="Q666" s="203" t="s">
        <v>145</v>
      </c>
      <c r="R666" s="306" t="s">
        <v>496</v>
      </c>
    </row>
    <row r="667" spans="2:18" ht="22.5" customHeight="1" thickBot="1" x14ac:dyDescent="0.25">
      <c r="B667" s="305">
        <f t="shared" ref="B667:P667" si="264">SUM(B665:B666)</f>
        <v>210</v>
      </c>
      <c r="C667" s="305">
        <f t="shared" si="264"/>
        <v>106</v>
      </c>
      <c r="D667" s="305">
        <f t="shared" si="264"/>
        <v>104</v>
      </c>
      <c r="E667" s="305">
        <f t="shared" si="264"/>
        <v>1</v>
      </c>
      <c r="F667" s="305">
        <f t="shared" si="264"/>
        <v>0</v>
      </c>
      <c r="G667" s="305">
        <f t="shared" si="264"/>
        <v>31</v>
      </c>
      <c r="H667" s="305">
        <f t="shared" si="264"/>
        <v>11</v>
      </c>
      <c r="I667" s="305">
        <f t="shared" si="264"/>
        <v>12</v>
      </c>
      <c r="J667" s="305">
        <f t="shared" si="264"/>
        <v>2</v>
      </c>
      <c r="K667" s="305">
        <f t="shared" si="264"/>
        <v>51</v>
      </c>
      <c r="L667" s="305">
        <f t="shared" si="264"/>
        <v>74</v>
      </c>
      <c r="M667" s="305">
        <f t="shared" si="264"/>
        <v>9</v>
      </c>
      <c r="N667" s="305">
        <f t="shared" si="264"/>
        <v>12</v>
      </c>
      <c r="O667" s="305">
        <f t="shared" si="264"/>
        <v>2</v>
      </c>
      <c r="P667" s="305">
        <f t="shared" si="264"/>
        <v>5</v>
      </c>
      <c r="Q667" s="203" t="s">
        <v>12</v>
      </c>
      <c r="R667" s="307"/>
    </row>
    <row r="668" spans="2:18" ht="22.5" customHeight="1" thickBot="1" x14ac:dyDescent="0.25">
      <c r="B668" s="305">
        <f t="shared" si="262"/>
        <v>119</v>
      </c>
      <c r="C668" s="305">
        <f>O668+M668+K668+I668+G668+E668</f>
        <v>66</v>
      </c>
      <c r="D668" s="305">
        <f>P668+N668+L668+J668+H668+F668</f>
        <v>53</v>
      </c>
      <c r="E668" s="305">
        <v>0</v>
      </c>
      <c r="F668" s="305">
        <v>0</v>
      </c>
      <c r="G668" s="305">
        <v>50</v>
      </c>
      <c r="H668" s="305">
        <v>30</v>
      </c>
      <c r="I668" s="305">
        <v>13</v>
      </c>
      <c r="J668" s="305">
        <v>3</v>
      </c>
      <c r="K668" s="305">
        <v>3</v>
      </c>
      <c r="L668" s="305">
        <v>13</v>
      </c>
      <c r="M668" s="305">
        <v>0</v>
      </c>
      <c r="N668" s="305">
        <v>4</v>
      </c>
      <c r="O668" s="305">
        <v>0</v>
      </c>
      <c r="P668" s="305">
        <v>3</v>
      </c>
      <c r="Q668" s="203" t="s">
        <v>146</v>
      </c>
      <c r="R668" s="306"/>
    </row>
    <row r="669" spans="2:18" ht="22.5" customHeight="1" thickBot="1" x14ac:dyDescent="0.25">
      <c r="B669" s="305">
        <f t="shared" si="262"/>
        <v>259</v>
      </c>
      <c r="C669" s="305">
        <f>O669+M669+K669+I669+G669+E669</f>
        <v>60</v>
      </c>
      <c r="D669" s="305">
        <f>P669+N669+L669+J669+H669+F669</f>
        <v>199</v>
      </c>
      <c r="E669" s="305">
        <v>0</v>
      </c>
      <c r="F669" s="305">
        <v>0</v>
      </c>
      <c r="G669" s="305">
        <v>0</v>
      </c>
      <c r="H669" s="305">
        <v>0</v>
      </c>
      <c r="I669" s="305">
        <v>0</v>
      </c>
      <c r="J669" s="305">
        <v>0</v>
      </c>
      <c r="K669" s="305">
        <v>42</v>
      </c>
      <c r="L669" s="305">
        <v>87</v>
      </c>
      <c r="M669" s="305">
        <v>12</v>
      </c>
      <c r="N669" s="305">
        <v>65</v>
      </c>
      <c r="O669" s="305">
        <v>6</v>
      </c>
      <c r="P669" s="305">
        <v>47</v>
      </c>
      <c r="Q669" s="203" t="s">
        <v>145</v>
      </c>
      <c r="R669" s="306" t="s">
        <v>367</v>
      </c>
    </row>
    <row r="670" spans="2:18" ht="22.5" customHeight="1" thickBot="1" x14ac:dyDescent="0.25">
      <c r="B670" s="305">
        <f t="shared" ref="B670:P670" si="265">SUM(B668:B669)</f>
        <v>378</v>
      </c>
      <c r="C670" s="305">
        <f t="shared" si="265"/>
        <v>126</v>
      </c>
      <c r="D670" s="305">
        <f t="shared" si="265"/>
        <v>252</v>
      </c>
      <c r="E670" s="305">
        <f t="shared" si="265"/>
        <v>0</v>
      </c>
      <c r="F670" s="305">
        <f t="shared" si="265"/>
        <v>0</v>
      </c>
      <c r="G670" s="305">
        <f t="shared" si="265"/>
        <v>50</v>
      </c>
      <c r="H670" s="305">
        <f t="shared" si="265"/>
        <v>30</v>
      </c>
      <c r="I670" s="305">
        <f t="shared" si="265"/>
        <v>13</v>
      </c>
      <c r="J670" s="305">
        <f t="shared" si="265"/>
        <v>3</v>
      </c>
      <c r="K670" s="305">
        <f t="shared" si="265"/>
        <v>45</v>
      </c>
      <c r="L670" s="305">
        <f t="shared" si="265"/>
        <v>100</v>
      </c>
      <c r="M670" s="305">
        <f t="shared" si="265"/>
        <v>12</v>
      </c>
      <c r="N670" s="305">
        <f t="shared" si="265"/>
        <v>69</v>
      </c>
      <c r="O670" s="305">
        <f t="shared" si="265"/>
        <v>6</v>
      </c>
      <c r="P670" s="305">
        <f t="shared" si="265"/>
        <v>50</v>
      </c>
      <c r="Q670" s="203" t="s">
        <v>12</v>
      </c>
      <c r="R670" s="307"/>
    </row>
    <row r="671" spans="2:18" ht="22.5" customHeight="1" thickBot="1" x14ac:dyDescent="0.25">
      <c r="B671" s="305">
        <f t="shared" si="262"/>
        <v>55</v>
      </c>
      <c r="C671" s="305">
        <f>O671+M671+K671+I671+G671+E671</f>
        <v>9</v>
      </c>
      <c r="D671" s="305">
        <f>P671+N671+L671+J671+H671+F671</f>
        <v>46</v>
      </c>
      <c r="E671" s="305">
        <v>0</v>
      </c>
      <c r="F671" s="305">
        <v>0</v>
      </c>
      <c r="G671" s="305">
        <v>9</v>
      </c>
      <c r="H671" s="305">
        <v>33</v>
      </c>
      <c r="I671" s="305">
        <v>0</v>
      </c>
      <c r="J671" s="305">
        <v>3</v>
      </c>
      <c r="K671" s="305">
        <v>0</v>
      </c>
      <c r="L671" s="305">
        <v>8</v>
      </c>
      <c r="M671" s="305">
        <v>0</v>
      </c>
      <c r="N671" s="305">
        <v>2</v>
      </c>
      <c r="O671" s="305">
        <v>0</v>
      </c>
      <c r="P671" s="305">
        <v>0</v>
      </c>
      <c r="Q671" s="203" t="s">
        <v>146</v>
      </c>
      <c r="R671" s="306"/>
    </row>
    <row r="672" spans="2:18" ht="22.5" customHeight="1" thickBot="1" x14ac:dyDescent="0.25">
      <c r="B672" s="305">
        <f t="shared" si="262"/>
        <v>98</v>
      </c>
      <c r="C672" s="305">
        <f>O672+M672+K672+I672+G672+E672</f>
        <v>14</v>
      </c>
      <c r="D672" s="305">
        <f>P672+N672+L672+J672+H672+F672</f>
        <v>84</v>
      </c>
      <c r="E672" s="305">
        <v>0</v>
      </c>
      <c r="F672" s="305">
        <v>0</v>
      </c>
      <c r="G672" s="305">
        <v>0</v>
      </c>
      <c r="H672" s="305">
        <v>0</v>
      </c>
      <c r="I672" s="305">
        <v>0</v>
      </c>
      <c r="J672" s="305">
        <v>0</v>
      </c>
      <c r="K672" s="305">
        <v>10</v>
      </c>
      <c r="L672" s="305">
        <v>48</v>
      </c>
      <c r="M672" s="305">
        <v>4</v>
      </c>
      <c r="N672" s="305">
        <v>36</v>
      </c>
      <c r="O672" s="305">
        <v>0</v>
      </c>
      <c r="P672" s="305">
        <v>0</v>
      </c>
      <c r="Q672" s="203" t="s">
        <v>145</v>
      </c>
      <c r="R672" s="306" t="s">
        <v>497</v>
      </c>
    </row>
    <row r="673" spans="2:18" ht="22.5" customHeight="1" thickBot="1" x14ac:dyDescent="0.25">
      <c r="B673" s="305">
        <f t="shared" ref="B673:P673" si="266">SUM(B671:B672)</f>
        <v>153</v>
      </c>
      <c r="C673" s="305">
        <f t="shared" si="266"/>
        <v>23</v>
      </c>
      <c r="D673" s="305">
        <f t="shared" si="266"/>
        <v>130</v>
      </c>
      <c r="E673" s="305">
        <f t="shared" si="266"/>
        <v>0</v>
      </c>
      <c r="F673" s="305">
        <f t="shared" si="266"/>
        <v>0</v>
      </c>
      <c r="G673" s="305">
        <f t="shared" si="266"/>
        <v>9</v>
      </c>
      <c r="H673" s="305">
        <f t="shared" si="266"/>
        <v>33</v>
      </c>
      <c r="I673" s="305">
        <f t="shared" si="266"/>
        <v>0</v>
      </c>
      <c r="J673" s="305">
        <f t="shared" si="266"/>
        <v>3</v>
      </c>
      <c r="K673" s="305">
        <f t="shared" si="266"/>
        <v>10</v>
      </c>
      <c r="L673" s="305">
        <f t="shared" si="266"/>
        <v>56</v>
      </c>
      <c r="M673" s="305">
        <f t="shared" si="266"/>
        <v>4</v>
      </c>
      <c r="N673" s="305">
        <f t="shared" si="266"/>
        <v>38</v>
      </c>
      <c r="O673" s="305">
        <f t="shared" si="266"/>
        <v>0</v>
      </c>
      <c r="P673" s="305">
        <f t="shared" si="266"/>
        <v>0</v>
      </c>
      <c r="Q673" s="203" t="s">
        <v>12</v>
      </c>
      <c r="R673" s="307"/>
    </row>
    <row r="674" spans="2:18" ht="22.5" customHeight="1" thickBot="1" x14ac:dyDescent="0.25">
      <c r="B674" s="305">
        <f t="shared" si="262"/>
        <v>49</v>
      </c>
      <c r="C674" s="305">
        <f>O674+M674+K674+I674+G674+E674</f>
        <v>22</v>
      </c>
      <c r="D674" s="305">
        <f>P674+N674+L674+J674+H674+F674</f>
        <v>27</v>
      </c>
      <c r="E674" s="305">
        <v>0</v>
      </c>
      <c r="F674" s="305">
        <v>0</v>
      </c>
      <c r="G674" s="305">
        <v>22</v>
      </c>
      <c r="H674" s="305">
        <v>23</v>
      </c>
      <c r="I674" s="305">
        <v>0</v>
      </c>
      <c r="J674" s="305">
        <v>2</v>
      </c>
      <c r="K674" s="305">
        <v>0</v>
      </c>
      <c r="L674" s="305">
        <v>2</v>
      </c>
      <c r="M674" s="305">
        <v>0</v>
      </c>
      <c r="N674" s="305">
        <v>0</v>
      </c>
      <c r="O674" s="305">
        <v>0</v>
      </c>
      <c r="P674" s="305">
        <v>0</v>
      </c>
      <c r="Q674" s="203" t="s">
        <v>146</v>
      </c>
      <c r="R674" s="306"/>
    </row>
    <row r="675" spans="2:18" ht="22.5" customHeight="1" thickBot="1" x14ac:dyDescent="0.25">
      <c r="B675" s="305">
        <f t="shared" si="262"/>
        <v>44</v>
      </c>
      <c r="C675" s="305">
        <f>O675+M675+K675+I675+G675+E675</f>
        <v>3</v>
      </c>
      <c r="D675" s="305">
        <f>P675+N675+L675+J675+H675+F675</f>
        <v>41</v>
      </c>
      <c r="E675" s="305">
        <v>0</v>
      </c>
      <c r="F675" s="305">
        <v>0</v>
      </c>
      <c r="G675" s="305">
        <v>0</v>
      </c>
      <c r="H675" s="305">
        <v>0</v>
      </c>
      <c r="I675" s="305">
        <v>0</v>
      </c>
      <c r="J675" s="305">
        <v>0</v>
      </c>
      <c r="K675" s="305">
        <v>3</v>
      </c>
      <c r="L675" s="305">
        <v>32</v>
      </c>
      <c r="M675" s="305">
        <v>0</v>
      </c>
      <c r="N675" s="305">
        <v>2</v>
      </c>
      <c r="O675" s="305">
        <v>0</v>
      </c>
      <c r="P675" s="305">
        <v>7</v>
      </c>
      <c r="Q675" s="203" t="s">
        <v>145</v>
      </c>
      <c r="R675" s="306" t="s">
        <v>498</v>
      </c>
    </row>
    <row r="676" spans="2:18" ht="22.5" customHeight="1" thickBot="1" x14ac:dyDescent="0.25">
      <c r="B676" s="305">
        <f t="shared" ref="B676:P676" si="267">SUM(B674:B675)</f>
        <v>93</v>
      </c>
      <c r="C676" s="305">
        <f t="shared" si="267"/>
        <v>25</v>
      </c>
      <c r="D676" s="305">
        <f t="shared" si="267"/>
        <v>68</v>
      </c>
      <c r="E676" s="305">
        <f t="shared" si="267"/>
        <v>0</v>
      </c>
      <c r="F676" s="305">
        <f t="shared" si="267"/>
        <v>0</v>
      </c>
      <c r="G676" s="305">
        <f t="shared" si="267"/>
        <v>22</v>
      </c>
      <c r="H676" s="305">
        <f t="shared" si="267"/>
        <v>23</v>
      </c>
      <c r="I676" s="305">
        <f t="shared" si="267"/>
        <v>0</v>
      </c>
      <c r="J676" s="305">
        <f t="shared" si="267"/>
        <v>2</v>
      </c>
      <c r="K676" s="305">
        <f t="shared" si="267"/>
        <v>3</v>
      </c>
      <c r="L676" s="305">
        <f t="shared" si="267"/>
        <v>34</v>
      </c>
      <c r="M676" s="305">
        <f t="shared" si="267"/>
        <v>0</v>
      </c>
      <c r="N676" s="305">
        <f t="shared" si="267"/>
        <v>2</v>
      </c>
      <c r="O676" s="305">
        <f t="shared" si="267"/>
        <v>0</v>
      </c>
      <c r="P676" s="305">
        <f t="shared" si="267"/>
        <v>7</v>
      </c>
      <c r="Q676" s="203" t="s">
        <v>12</v>
      </c>
      <c r="R676" s="307"/>
    </row>
    <row r="677" spans="2:18" ht="22.5" customHeight="1" thickBot="1" x14ac:dyDescent="0.25">
      <c r="B677" s="305">
        <f t="shared" si="262"/>
        <v>73</v>
      </c>
      <c r="C677" s="305">
        <f>O677+M677+K677+I677+G677+E677</f>
        <v>31</v>
      </c>
      <c r="D677" s="305">
        <f>P677+N677+L677+J677+H677+F677</f>
        <v>42</v>
      </c>
      <c r="E677" s="305">
        <v>0</v>
      </c>
      <c r="F677" s="305">
        <v>0</v>
      </c>
      <c r="G677" s="305">
        <v>24</v>
      </c>
      <c r="H677" s="305">
        <v>21</v>
      </c>
      <c r="I677" s="305">
        <v>6</v>
      </c>
      <c r="J677" s="305">
        <v>15</v>
      </c>
      <c r="K677" s="305">
        <v>1</v>
      </c>
      <c r="L677" s="305">
        <v>6</v>
      </c>
      <c r="M677" s="305">
        <v>0</v>
      </c>
      <c r="N677" s="305">
        <v>0</v>
      </c>
      <c r="O677" s="305">
        <v>0</v>
      </c>
      <c r="P677" s="305">
        <v>0</v>
      </c>
      <c r="Q677" s="203" t="s">
        <v>146</v>
      </c>
      <c r="R677" s="306"/>
    </row>
    <row r="678" spans="2:18" ht="22.5" customHeight="1" thickBot="1" x14ac:dyDescent="0.25">
      <c r="B678" s="305">
        <f t="shared" si="262"/>
        <v>78</v>
      </c>
      <c r="C678" s="305">
        <f>O678+M678+K678+I678+G678+E678</f>
        <v>21</v>
      </c>
      <c r="D678" s="305">
        <f>P678+N678+L678+J678+H678+F678</f>
        <v>57</v>
      </c>
      <c r="E678" s="305">
        <v>0</v>
      </c>
      <c r="F678" s="305">
        <v>0</v>
      </c>
      <c r="G678" s="305">
        <v>0</v>
      </c>
      <c r="H678" s="305">
        <v>0</v>
      </c>
      <c r="I678" s="305">
        <v>0</v>
      </c>
      <c r="J678" s="305">
        <v>0</v>
      </c>
      <c r="K678" s="305">
        <v>18</v>
      </c>
      <c r="L678" s="305">
        <v>53</v>
      </c>
      <c r="M678" s="305">
        <v>3</v>
      </c>
      <c r="N678" s="305">
        <v>4</v>
      </c>
      <c r="O678" s="305">
        <v>0</v>
      </c>
      <c r="P678" s="305">
        <v>0</v>
      </c>
      <c r="Q678" s="203" t="s">
        <v>145</v>
      </c>
      <c r="R678" s="306" t="s">
        <v>499</v>
      </c>
    </row>
    <row r="679" spans="2:18" ht="22.5" customHeight="1" thickBot="1" x14ac:dyDescent="0.25">
      <c r="B679" s="305">
        <f t="shared" ref="B679:P679" si="268">SUM(B677:B678)</f>
        <v>151</v>
      </c>
      <c r="C679" s="305">
        <f t="shared" si="268"/>
        <v>52</v>
      </c>
      <c r="D679" s="305">
        <f t="shared" si="268"/>
        <v>99</v>
      </c>
      <c r="E679" s="305">
        <f t="shared" si="268"/>
        <v>0</v>
      </c>
      <c r="F679" s="305">
        <f t="shared" si="268"/>
        <v>0</v>
      </c>
      <c r="G679" s="305">
        <f t="shared" si="268"/>
        <v>24</v>
      </c>
      <c r="H679" s="305">
        <f t="shared" si="268"/>
        <v>21</v>
      </c>
      <c r="I679" s="305">
        <f t="shared" si="268"/>
        <v>6</v>
      </c>
      <c r="J679" s="305">
        <f t="shared" si="268"/>
        <v>15</v>
      </c>
      <c r="K679" s="305">
        <f t="shared" si="268"/>
        <v>19</v>
      </c>
      <c r="L679" s="305">
        <f t="shared" si="268"/>
        <v>59</v>
      </c>
      <c r="M679" s="305">
        <f t="shared" si="268"/>
        <v>3</v>
      </c>
      <c r="N679" s="305">
        <f t="shared" si="268"/>
        <v>4</v>
      </c>
      <c r="O679" s="305">
        <f t="shared" si="268"/>
        <v>0</v>
      </c>
      <c r="P679" s="305">
        <f t="shared" si="268"/>
        <v>0</v>
      </c>
      <c r="Q679" s="203" t="s">
        <v>12</v>
      </c>
      <c r="R679" s="307"/>
    </row>
    <row r="680" spans="2:18" ht="22.5" customHeight="1" thickBot="1" x14ac:dyDescent="0.25">
      <c r="B680" s="305">
        <f t="shared" si="262"/>
        <v>32</v>
      </c>
      <c r="C680" s="305">
        <f>O680+M680+K680+I680+G680+E680</f>
        <v>17</v>
      </c>
      <c r="D680" s="305">
        <f>P680+N680+L680+J680+H680+F680</f>
        <v>15</v>
      </c>
      <c r="E680" s="305">
        <v>0</v>
      </c>
      <c r="F680" s="305">
        <v>0</v>
      </c>
      <c r="G680" s="305">
        <v>17</v>
      </c>
      <c r="H680" s="305">
        <v>10</v>
      </c>
      <c r="I680" s="305">
        <v>0</v>
      </c>
      <c r="J680" s="305">
        <v>5</v>
      </c>
      <c r="K680" s="305">
        <v>0</v>
      </c>
      <c r="L680" s="305">
        <v>0</v>
      </c>
      <c r="M680" s="305">
        <v>0</v>
      </c>
      <c r="N680" s="305">
        <v>0</v>
      </c>
      <c r="O680" s="305">
        <v>0</v>
      </c>
      <c r="P680" s="305">
        <v>0</v>
      </c>
      <c r="Q680" s="203" t="s">
        <v>146</v>
      </c>
      <c r="R680" s="306"/>
    </row>
    <row r="681" spans="2:18" ht="22.5" customHeight="1" thickBot="1" x14ac:dyDescent="0.25">
      <c r="B681" s="305">
        <f t="shared" si="262"/>
        <v>16</v>
      </c>
      <c r="C681" s="305">
        <f>O681+M681+K681+I681+G681+E681</f>
        <v>8</v>
      </c>
      <c r="D681" s="305">
        <f>P681+N681+L681+J681+H681+F681</f>
        <v>8</v>
      </c>
      <c r="E681" s="305">
        <v>0</v>
      </c>
      <c r="F681" s="305">
        <v>0</v>
      </c>
      <c r="G681" s="305">
        <v>0</v>
      </c>
      <c r="H681" s="305">
        <v>0</v>
      </c>
      <c r="I681" s="305">
        <v>0</v>
      </c>
      <c r="J681" s="305">
        <v>0</v>
      </c>
      <c r="K681" s="305">
        <v>8</v>
      </c>
      <c r="L681" s="305">
        <v>5</v>
      </c>
      <c r="M681" s="305">
        <v>0</v>
      </c>
      <c r="N681" s="305">
        <v>0</v>
      </c>
      <c r="O681" s="305">
        <v>0</v>
      </c>
      <c r="P681" s="305">
        <v>3</v>
      </c>
      <c r="Q681" s="203" t="s">
        <v>145</v>
      </c>
      <c r="R681" s="306" t="s">
        <v>500</v>
      </c>
    </row>
    <row r="682" spans="2:18" ht="22.5" customHeight="1" thickBot="1" x14ac:dyDescent="0.25">
      <c r="B682" s="305">
        <f t="shared" ref="B682:P682" si="269">SUM(B680:B681)</f>
        <v>48</v>
      </c>
      <c r="C682" s="305">
        <f t="shared" si="269"/>
        <v>25</v>
      </c>
      <c r="D682" s="305">
        <f t="shared" si="269"/>
        <v>23</v>
      </c>
      <c r="E682" s="305">
        <f t="shared" si="269"/>
        <v>0</v>
      </c>
      <c r="F682" s="305">
        <f t="shared" si="269"/>
        <v>0</v>
      </c>
      <c r="G682" s="305">
        <f t="shared" si="269"/>
        <v>17</v>
      </c>
      <c r="H682" s="305">
        <f t="shared" si="269"/>
        <v>10</v>
      </c>
      <c r="I682" s="305">
        <f t="shared" si="269"/>
        <v>0</v>
      </c>
      <c r="J682" s="305">
        <f t="shared" si="269"/>
        <v>5</v>
      </c>
      <c r="K682" s="305">
        <f t="shared" si="269"/>
        <v>8</v>
      </c>
      <c r="L682" s="305">
        <f t="shared" si="269"/>
        <v>5</v>
      </c>
      <c r="M682" s="305">
        <f t="shared" si="269"/>
        <v>0</v>
      </c>
      <c r="N682" s="305">
        <f t="shared" si="269"/>
        <v>0</v>
      </c>
      <c r="O682" s="305">
        <f t="shared" si="269"/>
        <v>0</v>
      </c>
      <c r="P682" s="305">
        <f t="shared" si="269"/>
        <v>3</v>
      </c>
      <c r="Q682" s="203" t="s">
        <v>12</v>
      </c>
      <c r="R682" s="307"/>
    </row>
    <row r="683" spans="2:18" ht="22.5" customHeight="1" thickBot="1" x14ac:dyDescent="0.25">
      <c r="B683" s="305">
        <f t="shared" si="262"/>
        <v>31</v>
      </c>
      <c r="C683" s="305">
        <f>O683+M683+K683+I683+G683+E683</f>
        <v>20</v>
      </c>
      <c r="D683" s="305">
        <f>P683+N683+L683+J683+H683+F683</f>
        <v>11</v>
      </c>
      <c r="E683" s="305">
        <v>0</v>
      </c>
      <c r="F683" s="305">
        <v>0</v>
      </c>
      <c r="G683" s="305">
        <v>17</v>
      </c>
      <c r="H683" s="305">
        <v>6</v>
      </c>
      <c r="I683" s="305">
        <v>3</v>
      </c>
      <c r="J683" s="305">
        <v>3</v>
      </c>
      <c r="K683" s="305">
        <v>0</v>
      </c>
      <c r="L683" s="305">
        <v>2</v>
      </c>
      <c r="M683" s="305">
        <v>0</v>
      </c>
      <c r="N683" s="305">
        <v>0</v>
      </c>
      <c r="O683" s="305">
        <v>0</v>
      </c>
      <c r="P683" s="305">
        <v>0</v>
      </c>
      <c r="Q683" s="203" t="s">
        <v>146</v>
      </c>
      <c r="R683" s="306"/>
    </row>
    <row r="684" spans="2:18" ht="22.5" customHeight="1" thickBot="1" x14ac:dyDescent="0.25">
      <c r="B684" s="305">
        <f t="shared" si="262"/>
        <v>12</v>
      </c>
      <c r="C684" s="305">
        <f>O684+M684+K684+I684+G684+E684</f>
        <v>3</v>
      </c>
      <c r="D684" s="305">
        <f>P684+N684+L684+J684+H684+F684</f>
        <v>9</v>
      </c>
      <c r="E684" s="305">
        <v>0</v>
      </c>
      <c r="F684" s="305">
        <v>0</v>
      </c>
      <c r="G684" s="305">
        <v>0</v>
      </c>
      <c r="H684" s="305">
        <v>0</v>
      </c>
      <c r="I684" s="305">
        <v>0</v>
      </c>
      <c r="J684" s="305">
        <v>0</v>
      </c>
      <c r="K684" s="305">
        <v>3</v>
      </c>
      <c r="L684" s="305">
        <v>7</v>
      </c>
      <c r="M684" s="305">
        <v>0</v>
      </c>
      <c r="N684" s="305">
        <v>2</v>
      </c>
      <c r="O684" s="305">
        <v>0</v>
      </c>
      <c r="P684" s="305">
        <v>0</v>
      </c>
      <c r="Q684" s="203" t="s">
        <v>145</v>
      </c>
      <c r="R684" s="306" t="s">
        <v>722</v>
      </c>
    </row>
    <row r="685" spans="2:18" ht="22.5" customHeight="1" thickBot="1" x14ac:dyDescent="0.25">
      <c r="B685" s="305">
        <f t="shared" ref="B685:P685" si="270">SUM(B683:B684)</f>
        <v>43</v>
      </c>
      <c r="C685" s="305">
        <f t="shared" si="270"/>
        <v>23</v>
      </c>
      <c r="D685" s="305">
        <f t="shared" si="270"/>
        <v>20</v>
      </c>
      <c r="E685" s="305">
        <f t="shared" si="270"/>
        <v>0</v>
      </c>
      <c r="F685" s="305">
        <f t="shared" si="270"/>
        <v>0</v>
      </c>
      <c r="G685" s="305">
        <f t="shared" si="270"/>
        <v>17</v>
      </c>
      <c r="H685" s="305">
        <f t="shared" si="270"/>
        <v>6</v>
      </c>
      <c r="I685" s="305">
        <f t="shared" si="270"/>
        <v>3</v>
      </c>
      <c r="J685" s="305">
        <f t="shared" si="270"/>
        <v>3</v>
      </c>
      <c r="K685" s="305">
        <f t="shared" si="270"/>
        <v>3</v>
      </c>
      <c r="L685" s="305">
        <f t="shared" si="270"/>
        <v>9</v>
      </c>
      <c r="M685" s="305">
        <f t="shared" si="270"/>
        <v>0</v>
      </c>
      <c r="N685" s="305">
        <f t="shared" si="270"/>
        <v>2</v>
      </c>
      <c r="O685" s="305">
        <f t="shared" si="270"/>
        <v>0</v>
      </c>
      <c r="P685" s="305">
        <f t="shared" si="270"/>
        <v>0</v>
      </c>
      <c r="Q685" s="203" t="s">
        <v>12</v>
      </c>
      <c r="R685" s="307"/>
    </row>
    <row r="686" spans="2:18" ht="22.5" customHeight="1" thickBot="1" x14ac:dyDescent="0.25">
      <c r="B686" s="305">
        <f t="shared" si="262"/>
        <v>10</v>
      </c>
      <c r="C686" s="305">
        <f>O686+M686+K686+I686+G686+E686</f>
        <v>10</v>
      </c>
      <c r="D686" s="305">
        <f>P686+N686+L686+J686+H686+F686</f>
        <v>0</v>
      </c>
      <c r="E686" s="305">
        <v>0</v>
      </c>
      <c r="F686" s="305">
        <v>0</v>
      </c>
      <c r="G686" s="305">
        <v>10</v>
      </c>
      <c r="H686" s="305">
        <v>0</v>
      </c>
      <c r="I686" s="305">
        <v>0</v>
      </c>
      <c r="J686" s="305">
        <v>0</v>
      </c>
      <c r="K686" s="305">
        <v>0</v>
      </c>
      <c r="L686" s="305">
        <v>0</v>
      </c>
      <c r="M686" s="305">
        <v>0</v>
      </c>
      <c r="N686" s="305">
        <v>0</v>
      </c>
      <c r="O686" s="305">
        <v>0</v>
      </c>
      <c r="P686" s="305">
        <v>0</v>
      </c>
      <c r="Q686" s="203" t="s">
        <v>146</v>
      </c>
      <c r="R686" s="306"/>
    </row>
    <row r="687" spans="2:18" ht="22.5" customHeight="1" thickBot="1" x14ac:dyDescent="0.25">
      <c r="B687" s="305">
        <f t="shared" si="262"/>
        <v>2</v>
      </c>
      <c r="C687" s="305">
        <f>O687+M687+K687+I687+G687+E687</f>
        <v>0</v>
      </c>
      <c r="D687" s="305">
        <f>P687+N687+L687+J687+H687+F687</f>
        <v>2</v>
      </c>
      <c r="E687" s="305">
        <v>0</v>
      </c>
      <c r="F687" s="305">
        <v>0</v>
      </c>
      <c r="G687" s="305">
        <v>0</v>
      </c>
      <c r="H687" s="305">
        <v>0</v>
      </c>
      <c r="I687" s="305">
        <v>0</v>
      </c>
      <c r="J687" s="305">
        <v>0</v>
      </c>
      <c r="K687" s="305">
        <v>0</v>
      </c>
      <c r="L687" s="305">
        <v>2</v>
      </c>
      <c r="M687" s="305">
        <v>0</v>
      </c>
      <c r="N687" s="305">
        <v>0</v>
      </c>
      <c r="O687" s="305">
        <v>0</v>
      </c>
      <c r="P687" s="305">
        <v>0</v>
      </c>
      <c r="Q687" s="203" t="s">
        <v>145</v>
      </c>
      <c r="R687" s="306" t="s">
        <v>104</v>
      </c>
    </row>
    <row r="688" spans="2:18" ht="22.5" customHeight="1" thickBot="1" x14ac:dyDescent="0.25">
      <c r="B688" s="305">
        <f t="shared" ref="B688:P688" si="271">SUM(B686:B687)</f>
        <v>12</v>
      </c>
      <c r="C688" s="305">
        <f t="shared" si="271"/>
        <v>10</v>
      </c>
      <c r="D688" s="305">
        <f t="shared" si="271"/>
        <v>2</v>
      </c>
      <c r="E688" s="305">
        <f t="shared" si="271"/>
        <v>0</v>
      </c>
      <c r="F688" s="305">
        <f t="shared" si="271"/>
        <v>0</v>
      </c>
      <c r="G688" s="305">
        <f t="shared" si="271"/>
        <v>10</v>
      </c>
      <c r="H688" s="305">
        <f t="shared" si="271"/>
        <v>0</v>
      </c>
      <c r="I688" s="305">
        <f t="shared" si="271"/>
        <v>0</v>
      </c>
      <c r="J688" s="305">
        <f t="shared" si="271"/>
        <v>0</v>
      </c>
      <c r="K688" s="305">
        <f t="shared" si="271"/>
        <v>0</v>
      </c>
      <c r="L688" s="305">
        <f t="shared" si="271"/>
        <v>2</v>
      </c>
      <c r="M688" s="305">
        <f t="shared" si="271"/>
        <v>0</v>
      </c>
      <c r="N688" s="305">
        <f t="shared" si="271"/>
        <v>0</v>
      </c>
      <c r="O688" s="305">
        <f t="shared" si="271"/>
        <v>0</v>
      </c>
      <c r="P688" s="305">
        <f t="shared" si="271"/>
        <v>0</v>
      </c>
      <c r="Q688" s="203" t="s">
        <v>12</v>
      </c>
      <c r="R688" s="307"/>
    </row>
    <row r="689" spans="2:18" ht="22.5" customHeight="1" thickBot="1" x14ac:dyDescent="0.25">
      <c r="B689" s="305">
        <f t="shared" si="262"/>
        <v>140</v>
      </c>
      <c r="C689" s="305">
        <f>O689+M689+K689+I689+G689+E689</f>
        <v>140</v>
      </c>
      <c r="D689" s="305">
        <f>P689+N689+L689+J689+H689+F689</f>
        <v>0</v>
      </c>
      <c r="E689" s="305">
        <v>6</v>
      </c>
      <c r="F689" s="305">
        <v>0</v>
      </c>
      <c r="G689" s="305">
        <v>80</v>
      </c>
      <c r="H689" s="305">
        <v>0</v>
      </c>
      <c r="I689" s="305">
        <v>43</v>
      </c>
      <c r="J689" s="305">
        <v>0</v>
      </c>
      <c r="K689" s="305">
        <v>10</v>
      </c>
      <c r="L689" s="305">
        <v>0</v>
      </c>
      <c r="M689" s="305">
        <v>1</v>
      </c>
      <c r="N689" s="305">
        <v>0</v>
      </c>
      <c r="O689" s="305">
        <v>0</v>
      </c>
      <c r="P689" s="305">
        <v>0</v>
      </c>
      <c r="Q689" s="203" t="s">
        <v>146</v>
      </c>
      <c r="R689" s="306"/>
    </row>
    <row r="690" spans="2:18" ht="22.5" customHeight="1" thickBot="1" x14ac:dyDescent="0.25">
      <c r="B690" s="305">
        <f t="shared" si="262"/>
        <v>12</v>
      </c>
      <c r="C690" s="305">
        <f>O690+M690+K690+I690+G690+E690</f>
        <v>12</v>
      </c>
      <c r="D690" s="305">
        <f>P690+N690+L690+J690+H690+F690</f>
        <v>0</v>
      </c>
      <c r="E690" s="305">
        <v>0</v>
      </c>
      <c r="F690" s="305">
        <v>0</v>
      </c>
      <c r="G690" s="305">
        <v>0</v>
      </c>
      <c r="H690" s="305">
        <v>0</v>
      </c>
      <c r="I690" s="305">
        <v>0</v>
      </c>
      <c r="J690" s="305">
        <v>0</v>
      </c>
      <c r="K690" s="305">
        <v>10</v>
      </c>
      <c r="L690" s="305">
        <v>0</v>
      </c>
      <c r="M690" s="305">
        <v>2</v>
      </c>
      <c r="N690" s="305">
        <v>0</v>
      </c>
      <c r="O690" s="305">
        <v>0</v>
      </c>
      <c r="P690" s="305">
        <v>0</v>
      </c>
      <c r="Q690" s="203" t="s">
        <v>145</v>
      </c>
      <c r="R690" s="306" t="s">
        <v>770</v>
      </c>
    </row>
    <row r="691" spans="2:18" ht="22.5" customHeight="1" thickBot="1" x14ac:dyDescent="0.25">
      <c r="B691" s="305">
        <f t="shared" ref="B691:P691" si="272">SUM(B689:B690)</f>
        <v>152</v>
      </c>
      <c r="C691" s="305">
        <f t="shared" si="272"/>
        <v>152</v>
      </c>
      <c r="D691" s="305">
        <f t="shared" si="272"/>
        <v>0</v>
      </c>
      <c r="E691" s="305">
        <f t="shared" si="272"/>
        <v>6</v>
      </c>
      <c r="F691" s="305">
        <f t="shared" si="272"/>
        <v>0</v>
      </c>
      <c r="G691" s="305">
        <f t="shared" si="272"/>
        <v>80</v>
      </c>
      <c r="H691" s="305">
        <f t="shared" si="272"/>
        <v>0</v>
      </c>
      <c r="I691" s="305">
        <f t="shared" si="272"/>
        <v>43</v>
      </c>
      <c r="J691" s="305">
        <f t="shared" si="272"/>
        <v>0</v>
      </c>
      <c r="K691" s="305">
        <f t="shared" si="272"/>
        <v>20</v>
      </c>
      <c r="L691" s="305">
        <f t="shared" si="272"/>
        <v>0</v>
      </c>
      <c r="M691" s="305">
        <f t="shared" si="272"/>
        <v>3</v>
      </c>
      <c r="N691" s="305">
        <f t="shared" si="272"/>
        <v>0</v>
      </c>
      <c r="O691" s="305">
        <f t="shared" si="272"/>
        <v>0</v>
      </c>
      <c r="P691" s="305">
        <f t="shared" si="272"/>
        <v>0</v>
      </c>
      <c r="Q691" s="203" t="s">
        <v>12</v>
      </c>
      <c r="R691" s="307"/>
    </row>
    <row r="692" spans="2:18" ht="22.5" customHeight="1" thickBot="1" x14ac:dyDescent="0.25">
      <c r="B692" s="305">
        <f t="shared" si="262"/>
        <v>10</v>
      </c>
      <c r="C692" s="305">
        <f>O692+M692+K692+I692+G692+E692</f>
        <v>1</v>
      </c>
      <c r="D692" s="305">
        <f>P692+N692+L692+J692+H692+F692</f>
        <v>9</v>
      </c>
      <c r="E692" s="305">
        <v>0</v>
      </c>
      <c r="F692" s="305">
        <v>3</v>
      </c>
      <c r="G692" s="305">
        <v>0</v>
      </c>
      <c r="H692" s="305">
        <v>4</v>
      </c>
      <c r="I692" s="305">
        <v>1</v>
      </c>
      <c r="J692" s="305">
        <v>2</v>
      </c>
      <c r="K692" s="305">
        <v>0</v>
      </c>
      <c r="L692" s="305">
        <v>0</v>
      </c>
      <c r="M692" s="305">
        <v>0</v>
      </c>
      <c r="N692" s="305">
        <v>0</v>
      </c>
      <c r="O692" s="305">
        <v>0</v>
      </c>
      <c r="P692" s="305">
        <v>0</v>
      </c>
      <c r="Q692" s="203" t="s">
        <v>146</v>
      </c>
      <c r="R692" s="306"/>
    </row>
    <row r="693" spans="2:18" ht="22.5" customHeight="1" thickBot="1" x14ac:dyDescent="0.25">
      <c r="B693" s="305">
        <f t="shared" si="262"/>
        <v>68</v>
      </c>
      <c r="C693" s="305">
        <f>O693+M693+K693+I693+G693+E693</f>
        <v>26</v>
      </c>
      <c r="D693" s="305">
        <f>P693+N693+L693+J693+H693+F693</f>
        <v>42</v>
      </c>
      <c r="E693" s="305">
        <v>2</v>
      </c>
      <c r="F693" s="305">
        <v>2</v>
      </c>
      <c r="G693" s="305">
        <v>0</v>
      </c>
      <c r="H693" s="305">
        <v>0</v>
      </c>
      <c r="I693" s="305">
        <v>11</v>
      </c>
      <c r="J693" s="305">
        <v>33</v>
      </c>
      <c r="K693" s="305">
        <v>13</v>
      </c>
      <c r="L693" s="305">
        <v>7</v>
      </c>
      <c r="M693" s="305">
        <v>0</v>
      </c>
      <c r="N693" s="305">
        <v>0</v>
      </c>
      <c r="O693" s="305">
        <v>0</v>
      </c>
      <c r="P693" s="305">
        <v>0</v>
      </c>
      <c r="Q693" s="203" t="s">
        <v>145</v>
      </c>
      <c r="R693" s="306" t="s">
        <v>771</v>
      </c>
    </row>
    <row r="694" spans="2:18" ht="22.5" customHeight="1" thickBot="1" x14ac:dyDescent="0.25">
      <c r="B694" s="305">
        <f t="shared" ref="B694:P694" si="273">SUM(B692:B693)</f>
        <v>78</v>
      </c>
      <c r="C694" s="305">
        <f t="shared" si="273"/>
        <v>27</v>
      </c>
      <c r="D694" s="305">
        <f t="shared" si="273"/>
        <v>51</v>
      </c>
      <c r="E694" s="305">
        <f t="shared" si="273"/>
        <v>2</v>
      </c>
      <c r="F694" s="305">
        <f t="shared" si="273"/>
        <v>5</v>
      </c>
      <c r="G694" s="305">
        <f t="shared" si="273"/>
        <v>0</v>
      </c>
      <c r="H694" s="305">
        <f t="shared" si="273"/>
        <v>4</v>
      </c>
      <c r="I694" s="305">
        <f t="shared" si="273"/>
        <v>12</v>
      </c>
      <c r="J694" s="305">
        <f t="shared" si="273"/>
        <v>35</v>
      </c>
      <c r="K694" s="305">
        <f t="shared" si="273"/>
        <v>13</v>
      </c>
      <c r="L694" s="305">
        <f t="shared" si="273"/>
        <v>7</v>
      </c>
      <c r="M694" s="305">
        <f t="shared" si="273"/>
        <v>0</v>
      </c>
      <c r="N694" s="305">
        <f t="shared" si="273"/>
        <v>0</v>
      </c>
      <c r="O694" s="305">
        <f t="shared" si="273"/>
        <v>0</v>
      </c>
      <c r="P694" s="305">
        <f t="shared" si="273"/>
        <v>0</v>
      </c>
      <c r="Q694" s="203" t="s">
        <v>12</v>
      </c>
      <c r="R694" s="307"/>
    </row>
    <row r="695" spans="2:18" ht="22.5" customHeight="1" thickBot="1" x14ac:dyDescent="0.25">
      <c r="B695" s="305">
        <f t="shared" ref="B695:P697" si="274">B692+B689+B686+B683+B680+B677+B674+B671+B668+B665+B662</f>
        <v>751</v>
      </c>
      <c r="C695" s="305">
        <f t="shared" si="274"/>
        <v>368</v>
      </c>
      <c r="D695" s="305">
        <f t="shared" si="274"/>
        <v>383</v>
      </c>
      <c r="E695" s="305">
        <f t="shared" si="274"/>
        <v>6</v>
      </c>
      <c r="F695" s="305">
        <f t="shared" si="274"/>
        <v>3</v>
      </c>
      <c r="G695" s="305">
        <f t="shared" si="274"/>
        <v>260</v>
      </c>
      <c r="H695" s="305">
        <f t="shared" si="274"/>
        <v>200</v>
      </c>
      <c r="I695" s="305">
        <f t="shared" si="274"/>
        <v>78</v>
      </c>
      <c r="J695" s="305">
        <f t="shared" si="274"/>
        <v>76</v>
      </c>
      <c r="K695" s="305">
        <f t="shared" si="274"/>
        <v>22</v>
      </c>
      <c r="L695" s="305">
        <f t="shared" si="274"/>
        <v>75</v>
      </c>
      <c r="M695" s="305">
        <f t="shared" si="274"/>
        <v>2</v>
      </c>
      <c r="N695" s="305">
        <f t="shared" si="274"/>
        <v>23</v>
      </c>
      <c r="O695" s="305">
        <f t="shared" si="274"/>
        <v>0</v>
      </c>
      <c r="P695" s="305">
        <f t="shared" si="274"/>
        <v>6</v>
      </c>
      <c r="Q695" s="203" t="s">
        <v>146</v>
      </c>
      <c r="R695" s="280"/>
    </row>
    <row r="696" spans="2:18" ht="22.5" customHeight="1" thickBot="1" x14ac:dyDescent="0.25">
      <c r="B696" s="305">
        <f t="shared" si="274"/>
        <v>726</v>
      </c>
      <c r="C696" s="305">
        <f t="shared" si="274"/>
        <v>202</v>
      </c>
      <c r="D696" s="305">
        <f t="shared" si="274"/>
        <v>524</v>
      </c>
      <c r="E696" s="305">
        <f t="shared" si="274"/>
        <v>3</v>
      </c>
      <c r="F696" s="305">
        <f t="shared" si="274"/>
        <v>2</v>
      </c>
      <c r="G696" s="305">
        <f t="shared" si="274"/>
        <v>0</v>
      </c>
      <c r="H696" s="305">
        <f t="shared" si="274"/>
        <v>0</v>
      </c>
      <c r="I696" s="305">
        <f t="shared" si="274"/>
        <v>11</v>
      </c>
      <c r="J696" s="305">
        <f t="shared" si="274"/>
        <v>33</v>
      </c>
      <c r="K696" s="305">
        <f t="shared" si="274"/>
        <v>151</v>
      </c>
      <c r="L696" s="305">
        <f t="shared" si="274"/>
        <v>310</v>
      </c>
      <c r="M696" s="305">
        <f t="shared" si="274"/>
        <v>29</v>
      </c>
      <c r="N696" s="305">
        <f t="shared" si="274"/>
        <v>117</v>
      </c>
      <c r="O696" s="305">
        <f t="shared" si="274"/>
        <v>8</v>
      </c>
      <c r="P696" s="305">
        <f t="shared" si="274"/>
        <v>62</v>
      </c>
      <c r="Q696" s="203" t="s">
        <v>145</v>
      </c>
      <c r="R696" s="281" t="s">
        <v>188</v>
      </c>
    </row>
    <row r="697" spans="2:18" ht="22.5" customHeight="1" thickBot="1" x14ac:dyDescent="0.25">
      <c r="B697" s="305">
        <f t="shared" si="274"/>
        <v>1477</v>
      </c>
      <c r="C697" s="305">
        <f t="shared" si="274"/>
        <v>570</v>
      </c>
      <c r="D697" s="305">
        <f t="shared" si="274"/>
        <v>907</v>
      </c>
      <c r="E697" s="305">
        <f t="shared" si="274"/>
        <v>9</v>
      </c>
      <c r="F697" s="305">
        <f t="shared" si="274"/>
        <v>5</v>
      </c>
      <c r="G697" s="305">
        <f t="shared" si="274"/>
        <v>260</v>
      </c>
      <c r="H697" s="305">
        <f t="shared" si="274"/>
        <v>200</v>
      </c>
      <c r="I697" s="305">
        <f t="shared" si="274"/>
        <v>89</v>
      </c>
      <c r="J697" s="305">
        <f t="shared" si="274"/>
        <v>109</v>
      </c>
      <c r="K697" s="305">
        <f t="shared" si="274"/>
        <v>173</v>
      </c>
      <c r="L697" s="305">
        <f t="shared" si="274"/>
        <v>385</v>
      </c>
      <c r="M697" s="305">
        <f t="shared" si="274"/>
        <v>31</v>
      </c>
      <c r="N697" s="305">
        <f t="shared" si="274"/>
        <v>140</v>
      </c>
      <c r="O697" s="305">
        <f t="shared" si="274"/>
        <v>8</v>
      </c>
      <c r="P697" s="305">
        <f t="shared" si="274"/>
        <v>68</v>
      </c>
      <c r="Q697" s="203" t="s">
        <v>12</v>
      </c>
      <c r="R697" s="282"/>
    </row>
    <row r="698" spans="2:18" ht="22.5" customHeight="1" thickBot="1" x14ac:dyDescent="0.25">
      <c r="B698" s="319"/>
      <c r="C698" s="319"/>
      <c r="D698" s="319"/>
      <c r="E698" s="319"/>
      <c r="F698" s="319"/>
      <c r="G698" s="319"/>
      <c r="H698" s="319"/>
      <c r="I698" s="319"/>
      <c r="J698" s="319"/>
      <c r="K698" s="319"/>
      <c r="L698" s="319"/>
      <c r="M698" s="319"/>
      <c r="N698" s="319"/>
      <c r="O698" s="319"/>
      <c r="P698" s="319"/>
      <c r="Q698" s="320"/>
      <c r="R698" s="320"/>
    </row>
    <row r="699" spans="2:18" ht="22.5" customHeight="1" thickBot="1" x14ac:dyDescent="0.25">
      <c r="B699" s="477" t="s">
        <v>4</v>
      </c>
      <c r="C699" s="477"/>
      <c r="D699" s="477"/>
      <c r="E699" s="477" t="s">
        <v>735</v>
      </c>
      <c r="F699" s="477"/>
      <c r="G699" s="477" t="s">
        <v>736</v>
      </c>
      <c r="H699" s="477"/>
      <c r="I699" s="477" t="s">
        <v>737</v>
      </c>
      <c r="J699" s="477"/>
      <c r="K699" s="477" t="s">
        <v>738</v>
      </c>
      <c r="L699" s="477"/>
      <c r="M699" s="477" t="s">
        <v>739</v>
      </c>
      <c r="N699" s="477"/>
      <c r="O699" s="477" t="s">
        <v>740</v>
      </c>
      <c r="P699" s="477"/>
      <c r="Q699" s="575" t="s">
        <v>741</v>
      </c>
      <c r="R699" s="304" t="s">
        <v>144</v>
      </c>
    </row>
    <row r="700" spans="2:18" ht="22.5" customHeight="1" thickBot="1" x14ac:dyDescent="0.25">
      <c r="B700" s="204" t="s">
        <v>227</v>
      </c>
      <c r="C700" s="204" t="s">
        <v>10</v>
      </c>
      <c r="D700" s="204" t="s">
        <v>9</v>
      </c>
      <c r="E700" s="204" t="s">
        <v>10</v>
      </c>
      <c r="F700" s="204" t="s">
        <v>9</v>
      </c>
      <c r="G700" s="204" t="s">
        <v>10</v>
      </c>
      <c r="H700" s="204" t="s">
        <v>9</v>
      </c>
      <c r="I700" s="204" t="s">
        <v>10</v>
      </c>
      <c r="J700" s="204" t="s">
        <v>9</v>
      </c>
      <c r="K700" s="204" t="s">
        <v>10</v>
      </c>
      <c r="L700" s="204" t="s">
        <v>9</v>
      </c>
      <c r="M700" s="204" t="s">
        <v>10</v>
      </c>
      <c r="N700" s="204" t="s">
        <v>9</v>
      </c>
      <c r="O700" s="204" t="s">
        <v>10</v>
      </c>
      <c r="P700" s="204" t="s">
        <v>9</v>
      </c>
      <c r="Q700" s="481"/>
      <c r="R700" s="282" t="s">
        <v>148</v>
      </c>
    </row>
    <row r="701" spans="2:18" ht="22.5" customHeight="1" thickBot="1" x14ac:dyDescent="0.25">
      <c r="B701" s="305">
        <f>SUM(C701:D701)</f>
        <v>167</v>
      </c>
      <c r="C701" s="305">
        <f>O701+M701+K701+I701+G701+E701</f>
        <v>1</v>
      </c>
      <c r="D701" s="305">
        <f>P701+N701+L701+J701+H701+F701</f>
        <v>166</v>
      </c>
      <c r="E701" s="305">
        <v>0</v>
      </c>
      <c r="F701" s="305">
        <v>0</v>
      </c>
      <c r="G701" s="305">
        <v>0</v>
      </c>
      <c r="H701" s="305">
        <v>0</v>
      </c>
      <c r="I701" s="305">
        <v>0</v>
      </c>
      <c r="J701" s="305">
        <v>7</v>
      </c>
      <c r="K701" s="305">
        <v>0</v>
      </c>
      <c r="L701" s="305">
        <v>152</v>
      </c>
      <c r="M701" s="305">
        <v>1</v>
      </c>
      <c r="N701" s="305">
        <v>4</v>
      </c>
      <c r="O701" s="305">
        <v>0</v>
      </c>
      <c r="P701" s="305">
        <v>3</v>
      </c>
      <c r="Q701" s="203" t="s">
        <v>146</v>
      </c>
      <c r="R701" s="306"/>
    </row>
    <row r="702" spans="2:18" ht="22.5" customHeight="1" thickBot="1" x14ac:dyDescent="0.25">
      <c r="B702" s="305">
        <f t="shared" ref="B702:B711" si="275">SUM(C702:D702)</f>
        <v>39</v>
      </c>
      <c r="C702" s="305">
        <f>O702+M702+K702+I702+G702+E702</f>
        <v>7</v>
      </c>
      <c r="D702" s="305">
        <f>P702+N702+L702+J702+H702+F702</f>
        <v>32</v>
      </c>
      <c r="E702" s="305">
        <v>0</v>
      </c>
      <c r="F702" s="305">
        <v>0</v>
      </c>
      <c r="G702" s="305">
        <v>0</v>
      </c>
      <c r="H702" s="305">
        <v>0</v>
      </c>
      <c r="I702" s="305">
        <v>0</v>
      </c>
      <c r="J702" s="305">
        <v>0</v>
      </c>
      <c r="K702" s="305">
        <v>6</v>
      </c>
      <c r="L702" s="305">
        <v>23</v>
      </c>
      <c r="M702" s="305">
        <v>1</v>
      </c>
      <c r="N702" s="305">
        <v>5</v>
      </c>
      <c r="O702" s="305">
        <v>0</v>
      </c>
      <c r="P702" s="305">
        <v>4</v>
      </c>
      <c r="Q702" s="203" t="s">
        <v>145</v>
      </c>
      <c r="R702" s="306" t="s">
        <v>602</v>
      </c>
    </row>
    <row r="703" spans="2:18" ht="22.5" customHeight="1" thickBot="1" x14ac:dyDescent="0.25">
      <c r="B703" s="305">
        <f t="shared" ref="B703:P703" si="276">SUM(B701:B702)</f>
        <v>206</v>
      </c>
      <c r="C703" s="305">
        <f t="shared" si="276"/>
        <v>8</v>
      </c>
      <c r="D703" s="305">
        <f t="shared" si="276"/>
        <v>198</v>
      </c>
      <c r="E703" s="305">
        <f t="shared" si="276"/>
        <v>0</v>
      </c>
      <c r="F703" s="305">
        <f t="shared" si="276"/>
        <v>0</v>
      </c>
      <c r="G703" s="305">
        <f t="shared" si="276"/>
        <v>0</v>
      </c>
      <c r="H703" s="305">
        <f t="shared" si="276"/>
        <v>0</v>
      </c>
      <c r="I703" s="305">
        <f t="shared" si="276"/>
        <v>0</v>
      </c>
      <c r="J703" s="305">
        <f t="shared" si="276"/>
        <v>7</v>
      </c>
      <c r="K703" s="305">
        <f t="shared" si="276"/>
        <v>6</v>
      </c>
      <c r="L703" s="305">
        <f t="shared" si="276"/>
        <v>175</v>
      </c>
      <c r="M703" s="305">
        <f t="shared" si="276"/>
        <v>2</v>
      </c>
      <c r="N703" s="305">
        <f t="shared" si="276"/>
        <v>9</v>
      </c>
      <c r="O703" s="305">
        <f t="shared" si="276"/>
        <v>0</v>
      </c>
      <c r="P703" s="305">
        <f t="shared" si="276"/>
        <v>7</v>
      </c>
      <c r="Q703" s="203" t="s">
        <v>12</v>
      </c>
      <c r="R703" s="307"/>
    </row>
    <row r="704" spans="2:18" ht="22.5" customHeight="1" thickBot="1" x14ac:dyDescent="0.25">
      <c r="B704" s="305">
        <f t="shared" si="275"/>
        <v>8</v>
      </c>
      <c r="C704" s="305">
        <f>O704+M704+K704+I704+G704+E704</f>
        <v>0</v>
      </c>
      <c r="D704" s="305">
        <f>P704+N704+L704+J704+H704+F704</f>
        <v>8</v>
      </c>
      <c r="E704" s="305">
        <v>0</v>
      </c>
      <c r="F704" s="305">
        <v>0</v>
      </c>
      <c r="G704" s="305">
        <v>0</v>
      </c>
      <c r="H704" s="305">
        <v>0</v>
      </c>
      <c r="I704" s="305">
        <v>0</v>
      </c>
      <c r="J704" s="305">
        <v>0</v>
      </c>
      <c r="K704" s="305">
        <v>0</v>
      </c>
      <c r="L704" s="305">
        <v>0</v>
      </c>
      <c r="M704" s="305">
        <v>0</v>
      </c>
      <c r="N704" s="305">
        <v>2</v>
      </c>
      <c r="O704" s="305">
        <v>0</v>
      </c>
      <c r="P704" s="305">
        <v>6</v>
      </c>
      <c r="Q704" s="203" t="s">
        <v>146</v>
      </c>
      <c r="R704" s="306"/>
    </row>
    <row r="705" spans="1:19" ht="22.5" customHeight="1" thickBot="1" x14ac:dyDescent="0.25">
      <c r="B705" s="305">
        <f t="shared" si="275"/>
        <v>20</v>
      </c>
      <c r="C705" s="305">
        <f>O705+M705+K705+I705+G705+E705</f>
        <v>0</v>
      </c>
      <c r="D705" s="305">
        <f>P705+N705+L705+J705+H705+F705</f>
        <v>20</v>
      </c>
      <c r="E705" s="305">
        <v>0</v>
      </c>
      <c r="F705" s="305">
        <v>0</v>
      </c>
      <c r="G705" s="305">
        <v>0</v>
      </c>
      <c r="H705" s="305">
        <v>0</v>
      </c>
      <c r="I705" s="305">
        <v>0</v>
      </c>
      <c r="J705" s="305">
        <v>19</v>
      </c>
      <c r="K705" s="305">
        <v>0</v>
      </c>
      <c r="L705" s="305">
        <v>0</v>
      </c>
      <c r="M705" s="305">
        <v>0</v>
      </c>
      <c r="N705" s="305">
        <v>0</v>
      </c>
      <c r="O705" s="305">
        <v>0</v>
      </c>
      <c r="P705" s="305">
        <v>1</v>
      </c>
      <c r="Q705" s="203" t="s">
        <v>145</v>
      </c>
      <c r="R705" s="306" t="s">
        <v>603</v>
      </c>
    </row>
    <row r="706" spans="1:19" ht="22.5" customHeight="1" thickBot="1" x14ac:dyDescent="0.25">
      <c r="B706" s="305">
        <f t="shared" ref="B706" si="277">SUM(B704:B705)</f>
        <v>28</v>
      </c>
      <c r="C706" s="305">
        <f t="shared" ref="C706:P706" si="278">SUM(C704:C705)</f>
        <v>0</v>
      </c>
      <c r="D706" s="305">
        <f t="shared" si="278"/>
        <v>28</v>
      </c>
      <c r="E706" s="305">
        <f t="shared" si="278"/>
        <v>0</v>
      </c>
      <c r="F706" s="305">
        <f t="shared" si="278"/>
        <v>0</v>
      </c>
      <c r="G706" s="305">
        <f t="shared" si="278"/>
        <v>0</v>
      </c>
      <c r="H706" s="305">
        <f t="shared" si="278"/>
        <v>0</v>
      </c>
      <c r="I706" s="305">
        <f t="shared" si="278"/>
        <v>0</v>
      </c>
      <c r="J706" s="305">
        <f t="shared" si="278"/>
        <v>19</v>
      </c>
      <c r="K706" s="305">
        <f t="shared" si="278"/>
        <v>0</v>
      </c>
      <c r="L706" s="305">
        <f t="shared" si="278"/>
        <v>0</v>
      </c>
      <c r="M706" s="305">
        <f t="shared" si="278"/>
        <v>0</v>
      </c>
      <c r="N706" s="305">
        <f t="shared" si="278"/>
        <v>2</v>
      </c>
      <c r="O706" s="305">
        <f t="shared" si="278"/>
        <v>0</v>
      </c>
      <c r="P706" s="305">
        <f t="shared" si="278"/>
        <v>7</v>
      </c>
      <c r="Q706" s="203" t="s">
        <v>12</v>
      </c>
      <c r="R706" s="307"/>
    </row>
    <row r="707" spans="1:19" ht="22.5" customHeight="1" thickBot="1" x14ac:dyDescent="0.25">
      <c r="B707" s="305">
        <f t="shared" si="275"/>
        <v>60</v>
      </c>
      <c r="C707" s="305">
        <f>O707+M707+K707+I707+G707+E707</f>
        <v>47</v>
      </c>
      <c r="D707" s="305">
        <f>P707+N707+L707+J707+H707+F707</f>
        <v>13</v>
      </c>
      <c r="E707" s="305">
        <v>0</v>
      </c>
      <c r="F707" s="305">
        <v>0</v>
      </c>
      <c r="G707" s="305">
        <v>6</v>
      </c>
      <c r="H707" s="305">
        <v>13</v>
      </c>
      <c r="I707" s="305">
        <v>26</v>
      </c>
      <c r="J707" s="305">
        <v>0</v>
      </c>
      <c r="K707" s="305">
        <v>14</v>
      </c>
      <c r="L707" s="305">
        <v>0</v>
      </c>
      <c r="M707" s="305">
        <v>0</v>
      </c>
      <c r="N707" s="305">
        <v>0</v>
      </c>
      <c r="O707" s="305">
        <v>1</v>
      </c>
      <c r="P707" s="305">
        <v>0</v>
      </c>
      <c r="Q707" s="203" t="s">
        <v>146</v>
      </c>
      <c r="R707" s="306"/>
    </row>
    <row r="708" spans="1:19" ht="22.5" customHeight="1" thickBot="1" x14ac:dyDescent="0.25">
      <c r="B708" s="305">
        <f t="shared" si="275"/>
        <v>53</v>
      </c>
      <c r="C708" s="305">
        <f>O708+M708+K708+I708+G708+E708</f>
        <v>47</v>
      </c>
      <c r="D708" s="305">
        <f>P708+N708+L708+J708+H708+F708</f>
        <v>6</v>
      </c>
      <c r="E708" s="305">
        <v>4</v>
      </c>
      <c r="F708" s="305">
        <v>5</v>
      </c>
      <c r="G708" s="305">
        <v>13</v>
      </c>
      <c r="H708" s="305">
        <v>0</v>
      </c>
      <c r="I708" s="305">
        <v>11</v>
      </c>
      <c r="J708" s="305">
        <v>0</v>
      </c>
      <c r="K708" s="305">
        <v>14</v>
      </c>
      <c r="L708" s="305">
        <v>0</v>
      </c>
      <c r="M708" s="305">
        <v>0</v>
      </c>
      <c r="N708" s="305">
        <v>1</v>
      </c>
      <c r="O708" s="305">
        <v>5</v>
      </c>
      <c r="P708" s="305">
        <v>0</v>
      </c>
      <c r="Q708" s="203" t="s">
        <v>145</v>
      </c>
      <c r="R708" s="306" t="s">
        <v>563</v>
      </c>
    </row>
    <row r="709" spans="1:19" ht="22.5" customHeight="1" thickBot="1" x14ac:dyDescent="0.25">
      <c r="B709" s="305">
        <f t="shared" ref="B709" si="279">SUM(B707:B708)</f>
        <v>113</v>
      </c>
      <c r="C709" s="305">
        <f t="shared" ref="C709:P709" si="280">SUM(C707:C708)</f>
        <v>94</v>
      </c>
      <c r="D709" s="305">
        <f t="shared" si="280"/>
        <v>19</v>
      </c>
      <c r="E709" s="305">
        <f t="shared" si="280"/>
        <v>4</v>
      </c>
      <c r="F709" s="305">
        <f t="shared" si="280"/>
        <v>5</v>
      </c>
      <c r="G709" s="305">
        <f t="shared" si="280"/>
        <v>19</v>
      </c>
      <c r="H709" s="305">
        <f t="shared" si="280"/>
        <v>13</v>
      </c>
      <c r="I709" s="305">
        <f t="shared" si="280"/>
        <v>37</v>
      </c>
      <c r="J709" s="305">
        <f t="shared" si="280"/>
        <v>0</v>
      </c>
      <c r="K709" s="305">
        <f t="shared" si="280"/>
        <v>28</v>
      </c>
      <c r="L709" s="305">
        <f t="shared" si="280"/>
        <v>0</v>
      </c>
      <c r="M709" s="305">
        <f t="shared" si="280"/>
        <v>0</v>
      </c>
      <c r="N709" s="305">
        <f t="shared" si="280"/>
        <v>1</v>
      </c>
      <c r="O709" s="305">
        <f t="shared" si="280"/>
        <v>6</v>
      </c>
      <c r="P709" s="305">
        <f t="shared" si="280"/>
        <v>0</v>
      </c>
      <c r="Q709" s="203" t="s">
        <v>12</v>
      </c>
      <c r="R709" s="307"/>
    </row>
    <row r="710" spans="1:19" ht="22.5" customHeight="1" thickBot="1" x14ac:dyDescent="0.25">
      <c r="B710" s="305">
        <f t="shared" si="275"/>
        <v>119</v>
      </c>
      <c r="C710" s="305">
        <f>O710+M710+K710+I710+G710+E710</f>
        <v>74</v>
      </c>
      <c r="D710" s="305">
        <f>P710+N710+L710+J710+H710+F710</f>
        <v>45</v>
      </c>
      <c r="E710" s="305">
        <v>0</v>
      </c>
      <c r="F710" s="305">
        <v>0</v>
      </c>
      <c r="G710" s="305">
        <v>56</v>
      </c>
      <c r="H710" s="305">
        <v>45</v>
      </c>
      <c r="I710" s="305">
        <v>3</v>
      </c>
      <c r="J710" s="305">
        <v>0</v>
      </c>
      <c r="K710" s="305">
        <v>15</v>
      </c>
      <c r="L710" s="305">
        <v>0</v>
      </c>
      <c r="M710" s="305">
        <v>0</v>
      </c>
      <c r="N710" s="305">
        <v>0</v>
      </c>
      <c r="O710" s="305">
        <v>0</v>
      </c>
      <c r="P710" s="305">
        <v>0</v>
      </c>
      <c r="Q710" s="203" t="s">
        <v>146</v>
      </c>
      <c r="R710" s="306"/>
    </row>
    <row r="711" spans="1:19" ht="22.5" customHeight="1" thickBot="1" x14ac:dyDescent="0.25">
      <c r="B711" s="305">
        <f t="shared" si="275"/>
        <v>13</v>
      </c>
      <c r="C711" s="305">
        <f>O711+M711+K711+I711+G711+E711</f>
        <v>13</v>
      </c>
      <c r="D711" s="305">
        <f>P711+N711+L711+J711+H711+F711</f>
        <v>0</v>
      </c>
      <c r="E711" s="305">
        <v>0</v>
      </c>
      <c r="F711" s="305">
        <v>0</v>
      </c>
      <c r="G711" s="305">
        <v>0</v>
      </c>
      <c r="H711" s="305">
        <v>0</v>
      </c>
      <c r="I711" s="305">
        <v>2</v>
      </c>
      <c r="J711" s="305">
        <v>0</v>
      </c>
      <c r="K711" s="305">
        <v>8</v>
      </c>
      <c r="L711" s="305">
        <v>0</v>
      </c>
      <c r="M711" s="305">
        <v>3</v>
      </c>
      <c r="N711" s="305">
        <v>0</v>
      </c>
      <c r="O711" s="305">
        <v>0</v>
      </c>
      <c r="P711" s="305">
        <v>0</v>
      </c>
      <c r="Q711" s="203" t="s">
        <v>145</v>
      </c>
      <c r="R711" s="306" t="s">
        <v>564</v>
      </c>
    </row>
    <row r="712" spans="1:19" ht="22.5" customHeight="1" thickBot="1" x14ac:dyDescent="0.25">
      <c r="B712" s="305">
        <f t="shared" ref="B712" si="281">SUM(B710:B711)</f>
        <v>132</v>
      </c>
      <c r="C712" s="305">
        <f t="shared" ref="C712:P712" si="282">SUM(C710:C711)</f>
        <v>87</v>
      </c>
      <c r="D712" s="305">
        <f t="shared" si="282"/>
        <v>45</v>
      </c>
      <c r="E712" s="305">
        <f t="shared" si="282"/>
        <v>0</v>
      </c>
      <c r="F712" s="305">
        <f t="shared" si="282"/>
        <v>0</v>
      </c>
      <c r="G712" s="305">
        <f t="shared" si="282"/>
        <v>56</v>
      </c>
      <c r="H712" s="305">
        <f t="shared" si="282"/>
        <v>45</v>
      </c>
      <c r="I712" s="305">
        <f t="shared" si="282"/>
        <v>5</v>
      </c>
      <c r="J712" s="305">
        <f t="shared" si="282"/>
        <v>0</v>
      </c>
      <c r="K712" s="305">
        <f t="shared" si="282"/>
        <v>23</v>
      </c>
      <c r="L712" s="305">
        <f t="shared" si="282"/>
        <v>0</v>
      </c>
      <c r="M712" s="305">
        <f t="shared" si="282"/>
        <v>3</v>
      </c>
      <c r="N712" s="305">
        <f t="shared" si="282"/>
        <v>0</v>
      </c>
      <c r="O712" s="305">
        <f t="shared" si="282"/>
        <v>0</v>
      </c>
      <c r="P712" s="305">
        <f t="shared" si="282"/>
        <v>0</v>
      </c>
      <c r="Q712" s="203" t="s">
        <v>12</v>
      </c>
      <c r="R712" s="307"/>
    </row>
    <row r="713" spans="1:19" ht="22.5" customHeight="1" thickBot="1" x14ac:dyDescent="0.25">
      <c r="B713" s="323">
        <f t="shared" ref="B713:P715" si="283">B701+B704+B707+B710</f>
        <v>354</v>
      </c>
      <c r="C713" s="323">
        <f t="shared" si="283"/>
        <v>122</v>
      </c>
      <c r="D713" s="323">
        <f t="shared" si="283"/>
        <v>232</v>
      </c>
      <c r="E713" s="323">
        <f t="shared" si="283"/>
        <v>0</v>
      </c>
      <c r="F713" s="323">
        <f t="shared" si="283"/>
        <v>0</v>
      </c>
      <c r="G713" s="323">
        <f t="shared" si="283"/>
        <v>62</v>
      </c>
      <c r="H713" s="323">
        <f t="shared" si="283"/>
        <v>58</v>
      </c>
      <c r="I713" s="323">
        <f t="shared" si="283"/>
        <v>29</v>
      </c>
      <c r="J713" s="323">
        <f t="shared" si="283"/>
        <v>7</v>
      </c>
      <c r="K713" s="323">
        <f t="shared" si="283"/>
        <v>29</v>
      </c>
      <c r="L713" s="323">
        <f t="shared" si="283"/>
        <v>152</v>
      </c>
      <c r="M713" s="323">
        <f t="shared" si="283"/>
        <v>1</v>
      </c>
      <c r="N713" s="323">
        <f t="shared" si="283"/>
        <v>6</v>
      </c>
      <c r="O713" s="323">
        <f t="shared" si="283"/>
        <v>1</v>
      </c>
      <c r="P713" s="323">
        <f t="shared" si="283"/>
        <v>9</v>
      </c>
      <c r="Q713" s="308" t="s">
        <v>146</v>
      </c>
      <c r="R713" s="576" t="s">
        <v>188</v>
      </c>
    </row>
    <row r="714" spans="1:19" ht="22.5" customHeight="1" thickBot="1" x14ac:dyDescent="0.25">
      <c r="B714" s="324">
        <f t="shared" si="283"/>
        <v>125</v>
      </c>
      <c r="C714" s="310">
        <f t="shared" si="283"/>
        <v>67</v>
      </c>
      <c r="D714" s="310">
        <f t="shared" si="283"/>
        <v>58</v>
      </c>
      <c r="E714" s="310">
        <f t="shared" si="283"/>
        <v>4</v>
      </c>
      <c r="F714" s="310">
        <f t="shared" si="283"/>
        <v>5</v>
      </c>
      <c r="G714" s="310">
        <f t="shared" si="283"/>
        <v>13</v>
      </c>
      <c r="H714" s="310">
        <f t="shared" si="283"/>
        <v>0</v>
      </c>
      <c r="I714" s="310">
        <f t="shared" si="283"/>
        <v>13</v>
      </c>
      <c r="J714" s="310">
        <f t="shared" si="283"/>
        <v>19</v>
      </c>
      <c r="K714" s="310">
        <f t="shared" si="283"/>
        <v>28</v>
      </c>
      <c r="L714" s="310">
        <f t="shared" si="283"/>
        <v>23</v>
      </c>
      <c r="M714" s="310">
        <f t="shared" si="283"/>
        <v>4</v>
      </c>
      <c r="N714" s="310">
        <f t="shared" si="283"/>
        <v>6</v>
      </c>
      <c r="O714" s="310">
        <f t="shared" si="283"/>
        <v>5</v>
      </c>
      <c r="P714" s="310">
        <f t="shared" si="283"/>
        <v>5</v>
      </c>
      <c r="Q714" s="311" t="s">
        <v>145</v>
      </c>
      <c r="R714" s="577"/>
    </row>
    <row r="715" spans="1:19" ht="22.5" customHeight="1" thickBot="1" x14ac:dyDescent="0.25">
      <c r="B715" s="325">
        <f t="shared" si="283"/>
        <v>479</v>
      </c>
      <c r="C715" s="326">
        <f t="shared" si="283"/>
        <v>189</v>
      </c>
      <c r="D715" s="326">
        <f t="shared" si="283"/>
        <v>290</v>
      </c>
      <c r="E715" s="326">
        <f t="shared" si="283"/>
        <v>4</v>
      </c>
      <c r="F715" s="326">
        <f t="shared" si="283"/>
        <v>5</v>
      </c>
      <c r="G715" s="326">
        <f t="shared" si="283"/>
        <v>75</v>
      </c>
      <c r="H715" s="326">
        <f t="shared" si="283"/>
        <v>58</v>
      </c>
      <c r="I715" s="326">
        <f t="shared" si="283"/>
        <v>42</v>
      </c>
      <c r="J715" s="326">
        <f t="shared" si="283"/>
        <v>26</v>
      </c>
      <c r="K715" s="326">
        <f t="shared" si="283"/>
        <v>57</v>
      </c>
      <c r="L715" s="326">
        <f t="shared" si="283"/>
        <v>175</v>
      </c>
      <c r="M715" s="326">
        <f t="shared" si="283"/>
        <v>5</v>
      </c>
      <c r="N715" s="326">
        <f t="shared" si="283"/>
        <v>12</v>
      </c>
      <c r="O715" s="326">
        <f t="shared" si="283"/>
        <v>6</v>
      </c>
      <c r="P715" s="326">
        <f t="shared" si="283"/>
        <v>14</v>
      </c>
      <c r="Q715" s="314" t="s">
        <v>12</v>
      </c>
      <c r="R715" s="578"/>
    </row>
    <row r="716" spans="1:19" ht="22.5" customHeight="1" thickBot="1" x14ac:dyDescent="0.25">
      <c r="A716" s="96"/>
      <c r="B716" s="316"/>
      <c r="C716" s="316"/>
      <c r="D716" s="316"/>
      <c r="E716" s="316"/>
      <c r="F716" s="316"/>
      <c r="G716" s="316"/>
      <c r="H716" s="316"/>
      <c r="I716" s="316"/>
      <c r="J716" s="316"/>
      <c r="K716" s="316"/>
      <c r="L716" s="316"/>
      <c r="M716" s="316"/>
      <c r="N716" s="316"/>
      <c r="O716" s="316"/>
      <c r="P716" s="316"/>
      <c r="Q716" s="317"/>
      <c r="R716" s="318"/>
      <c r="S716" s="138"/>
    </row>
    <row r="717" spans="1:19" ht="22.5" customHeight="1" thickBot="1" x14ac:dyDescent="0.25">
      <c r="B717" s="477" t="s">
        <v>4</v>
      </c>
      <c r="C717" s="477"/>
      <c r="D717" s="477"/>
      <c r="E717" s="477" t="s">
        <v>735</v>
      </c>
      <c r="F717" s="477"/>
      <c r="G717" s="477" t="s">
        <v>736</v>
      </c>
      <c r="H717" s="477"/>
      <c r="I717" s="477" t="s">
        <v>737</v>
      </c>
      <c r="J717" s="477"/>
      <c r="K717" s="477" t="s">
        <v>738</v>
      </c>
      <c r="L717" s="477"/>
      <c r="M717" s="477" t="s">
        <v>739</v>
      </c>
      <c r="N717" s="477"/>
      <c r="O717" s="477" t="s">
        <v>740</v>
      </c>
      <c r="P717" s="477"/>
      <c r="Q717" s="575" t="s">
        <v>741</v>
      </c>
      <c r="R717" s="304" t="s">
        <v>144</v>
      </c>
    </row>
    <row r="718" spans="1:19" ht="22.5" customHeight="1" thickBot="1" x14ac:dyDescent="0.25">
      <c r="B718" s="204" t="s">
        <v>227</v>
      </c>
      <c r="C718" s="204" t="s">
        <v>10</v>
      </c>
      <c r="D718" s="204" t="s">
        <v>9</v>
      </c>
      <c r="E718" s="204" t="s">
        <v>10</v>
      </c>
      <c r="F718" s="204" t="s">
        <v>9</v>
      </c>
      <c r="G718" s="204" t="s">
        <v>10</v>
      </c>
      <c r="H718" s="204" t="s">
        <v>9</v>
      </c>
      <c r="I718" s="204" t="s">
        <v>10</v>
      </c>
      <c r="J718" s="204" t="s">
        <v>9</v>
      </c>
      <c r="K718" s="204" t="s">
        <v>10</v>
      </c>
      <c r="L718" s="204" t="s">
        <v>9</v>
      </c>
      <c r="M718" s="204" t="s">
        <v>10</v>
      </c>
      <c r="N718" s="204" t="s">
        <v>9</v>
      </c>
      <c r="O718" s="204" t="s">
        <v>10</v>
      </c>
      <c r="P718" s="204" t="s">
        <v>9</v>
      </c>
      <c r="Q718" s="481"/>
      <c r="R718" s="282" t="s">
        <v>106</v>
      </c>
    </row>
    <row r="719" spans="1:19" ht="22.5" customHeight="1" thickBot="1" x14ac:dyDescent="0.25">
      <c r="B719" s="305">
        <f>SUM(C719:D719)</f>
        <v>197</v>
      </c>
      <c r="C719" s="305">
        <f t="shared" ref="C719:D723" si="284">O719+M719+K719+I719+G719+E719</f>
        <v>0</v>
      </c>
      <c r="D719" s="305">
        <f t="shared" si="284"/>
        <v>197</v>
      </c>
      <c r="E719" s="305">
        <v>0</v>
      </c>
      <c r="F719" s="305">
        <v>0</v>
      </c>
      <c r="G719" s="305">
        <v>0</v>
      </c>
      <c r="H719" s="305">
        <v>45</v>
      </c>
      <c r="I719" s="305">
        <v>0</v>
      </c>
      <c r="J719" s="305">
        <v>27</v>
      </c>
      <c r="K719" s="305">
        <v>0</v>
      </c>
      <c r="L719" s="305">
        <v>98</v>
      </c>
      <c r="M719" s="305">
        <v>0</v>
      </c>
      <c r="N719" s="305">
        <v>23</v>
      </c>
      <c r="O719" s="305">
        <v>0</v>
      </c>
      <c r="P719" s="305">
        <v>4</v>
      </c>
      <c r="Q719" s="203" t="s">
        <v>146</v>
      </c>
      <c r="R719" s="306"/>
    </row>
    <row r="720" spans="1:19" ht="22.5" customHeight="1" thickBot="1" x14ac:dyDescent="0.25">
      <c r="B720" s="305">
        <f t="shared" ref="B720:B759" si="285">SUM(C720:D720)</f>
        <v>167</v>
      </c>
      <c r="C720" s="305">
        <f t="shared" si="284"/>
        <v>0</v>
      </c>
      <c r="D720" s="305">
        <f t="shared" si="284"/>
        <v>167</v>
      </c>
      <c r="E720" s="305">
        <v>0</v>
      </c>
      <c r="F720" s="305">
        <v>11</v>
      </c>
      <c r="G720" s="305">
        <v>0</v>
      </c>
      <c r="H720" s="305">
        <v>9</v>
      </c>
      <c r="I720" s="305">
        <v>0</v>
      </c>
      <c r="J720" s="305">
        <v>18</v>
      </c>
      <c r="K720" s="305">
        <v>0</v>
      </c>
      <c r="L720" s="305">
        <v>119</v>
      </c>
      <c r="M720" s="305">
        <v>0</v>
      </c>
      <c r="N720" s="305">
        <v>10</v>
      </c>
      <c r="O720" s="305">
        <v>0</v>
      </c>
      <c r="P720" s="305">
        <v>0</v>
      </c>
      <c r="Q720" s="203" t="s">
        <v>145</v>
      </c>
      <c r="R720" s="306" t="s">
        <v>279</v>
      </c>
    </row>
    <row r="721" spans="2:18" ht="22.5" customHeight="1" thickBot="1" x14ac:dyDescent="0.25">
      <c r="B721" s="305">
        <f t="shared" si="285"/>
        <v>364</v>
      </c>
      <c r="C721" s="305">
        <f t="shared" si="284"/>
        <v>0</v>
      </c>
      <c r="D721" s="305">
        <f t="shared" si="284"/>
        <v>364</v>
      </c>
      <c r="E721" s="305">
        <f t="shared" ref="E721:P721" si="286">SUM(E719:E720)</f>
        <v>0</v>
      </c>
      <c r="F721" s="305">
        <f t="shared" si="286"/>
        <v>11</v>
      </c>
      <c r="G721" s="305">
        <f t="shared" si="286"/>
        <v>0</v>
      </c>
      <c r="H721" s="305">
        <f t="shared" si="286"/>
        <v>54</v>
      </c>
      <c r="I721" s="305">
        <f t="shared" si="286"/>
        <v>0</v>
      </c>
      <c r="J721" s="305">
        <f t="shared" si="286"/>
        <v>45</v>
      </c>
      <c r="K721" s="305">
        <f t="shared" si="286"/>
        <v>0</v>
      </c>
      <c r="L721" s="305">
        <f t="shared" si="286"/>
        <v>217</v>
      </c>
      <c r="M721" s="305">
        <f t="shared" si="286"/>
        <v>0</v>
      </c>
      <c r="N721" s="305">
        <f t="shared" si="286"/>
        <v>33</v>
      </c>
      <c r="O721" s="305">
        <f t="shared" si="286"/>
        <v>0</v>
      </c>
      <c r="P721" s="305">
        <f t="shared" si="286"/>
        <v>4</v>
      </c>
      <c r="Q721" s="203" t="s">
        <v>12</v>
      </c>
      <c r="R721" s="307"/>
    </row>
    <row r="722" spans="2:18" ht="22.5" customHeight="1" thickBot="1" x14ac:dyDescent="0.25">
      <c r="B722" s="305">
        <f t="shared" si="285"/>
        <v>23</v>
      </c>
      <c r="C722" s="305">
        <f t="shared" si="284"/>
        <v>5</v>
      </c>
      <c r="D722" s="305">
        <f t="shared" si="284"/>
        <v>18</v>
      </c>
      <c r="E722" s="305">
        <v>0</v>
      </c>
      <c r="F722" s="305">
        <v>0</v>
      </c>
      <c r="G722" s="305">
        <v>5</v>
      </c>
      <c r="H722" s="305">
        <v>13</v>
      </c>
      <c r="I722" s="305">
        <v>0</v>
      </c>
      <c r="J722" s="305">
        <v>0</v>
      </c>
      <c r="K722" s="305">
        <v>0</v>
      </c>
      <c r="L722" s="305">
        <v>5</v>
      </c>
      <c r="M722" s="305">
        <v>0</v>
      </c>
      <c r="N722" s="305">
        <v>0</v>
      </c>
      <c r="O722" s="305">
        <v>0</v>
      </c>
      <c r="P722" s="305">
        <v>0</v>
      </c>
      <c r="Q722" s="203" t="s">
        <v>146</v>
      </c>
      <c r="R722" s="306"/>
    </row>
    <row r="723" spans="2:18" ht="22.5" customHeight="1" thickBot="1" x14ac:dyDescent="0.25">
      <c r="B723" s="305">
        <f t="shared" si="285"/>
        <v>10</v>
      </c>
      <c r="C723" s="305">
        <f t="shared" si="284"/>
        <v>0</v>
      </c>
      <c r="D723" s="305">
        <f t="shared" si="284"/>
        <v>10</v>
      </c>
      <c r="E723" s="305">
        <v>0</v>
      </c>
      <c r="F723" s="305">
        <v>0</v>
      </c>
      <c r="G723" s="305">
        <v>0</v>
      </c>
      <c r="H723" s="305">
        <v>0</v>
      </c>
      <c r="I723" s="305">
        <v>0</v>
      </c>
      <c r="J723" s="305">
        <v>0</v>
      </c>
      <c r="K723" s="305">
        <v>0</v>
      </c>
      <c r="L723" s="305">
        <v>0</v>
      </c>
      <c r="M723" s="305">
        <v>0</v>
      </c>
      <c r="N723" s="305">
        <v>10</v>
      </c>
      <c r="O723" s="305">
        <v>0</v>
      </c>
      <c r="P723" s="305">
        <v>0</v>
      </c>
      <c r="Q723" s="203" t="s">
        <v>145</v>
      </c>
      <c r="R723" s="306" t="s">
        <v>451</v>
      </c>
    </row>
    <row r="724" spans="2:18" ht="22.5" customHeight="1" thickBot="1" x14ac:dyDescent="0.25">
      <c r="B724" s="305">
        <f t="shared" ref="B724:P724" si="287">SUM(B722:B723)</f>
        <v>33</v>
      </c>
      <c r="C724" s="305">
        <f t="shared" si="287"/>
        <v>5</v>
      </c>
      <c r="D724" s="305">
        <f t="shared" si="287"/>
        <v>28</v>
      </c>
      <c r="E724" s="305">
        <f t="shared" si="287"/>
        <v>0</v>
      </c>
      <c r="F724" s="305">
        <f t="shared" si="287"/>
        <v>0</v>
      </c>
      <c r="G724" s="305">
        <f t="shared" si="287"/>
        <v>5</v>
      </c>
      <c r="H724" s="305">
        <f t="shared" si="287"/>
        <v>13</v>
      </c>
      <c r="I724" s="305">
        <f t="shared" si="287"/>
        <v>0</v>
      </c>
      <c r="J724" s="305">
        <f t="shared" si="287"/>
        <v>0</v>
      </c>
      <c r="K724" s="305">
        <f t="shared" si="287"/>
        <v>0</v>
      </c>
      <c r="L724" s="305">
        <f t="shared" si="287"/>
        <v>5</v>
      </c>
      <c r="M724" s="305">
        <f t="shared" si="287"/>
        <v>0</v>
      </c>
      <c r="N724" s="305">
        <f t="shared" si="287"/>
        <v>10</v>
      </c>
      <c r="O724" s="305">
        <f t="shared" si="287"/>
        <v>0</v>
      </c>
      <c r="P724" s="305">
        <f t="shared" si="287"/>
        <v>0</v>
      </c>
      <c r="Q724" s="203" t="s">
        <v>12</v>
      </c>
      <c r="R724" s="307"/>
    </row>
    <row r="725" spans="2:18" ht="22.5" customHeight="1" thickBot="1" x14ac:dyDescent="0.25">
      <c r="B725" s="305">
        <f t="shared" si="285"/>
        <v>17</v>
      </c>
      <c r="C725" s="305">
        <f>O725+M725+K725+I725+G725+E725</f>
        <v>0</v>
      </c>
      <c r="D725" s="305">
        <f>P725+N725+L725+J725+H725+F725</f>
        <v>17</v>
      </c>
      <c r="E725" s="305">
        <v>0</v>
      </c>
      <c r="F725" s="305">
        <v>0</v>
      </c>
      <c r="G725" s="305">
        <v>0</v>
      </c>
      <c r="H725" s="305">
        <v>11</v>
      </c>
      <c r="I725" s="305">
        <v>0</v>
      </c>
      <c r="J725" s="305">
        <v>0</v>
      </c>
      <c r="K725" s="305">
        <v>0</v>
      </c>
      <c r="L725" s="305">
        <v>0</v>
      </c>
      <c r="M725" s="305">
        <v>0</v>
      </c>
      <c r="N725" s="305">
        <v>6</v>
      </c>
      <c r="O725" s="305">
        <v>0</v>
      </c>
      <c r="P725" s="305">
        <v>0</v>
      </c>
      <c r="Q725" s="203" t="s">
        <v>146</v>
      </c>
      <c r="R725" s="306"/>
    </row>
    <row r="726" spans="2:18" ht="22.5" customHeight="1" thickBot="1" x14ac:dyDescent="0.25">
      <c r="B726" s="305">
        <f t="shared" si="285"/>
        <v>39</v>
      </c>
      <c r="C726" s="305">
        <f>O726+M726+K726+I726+G726+E726</f>
        <v>0</v>
      </c>
      <c r="D726" s="305">
        <f>P726+N726+L726+J726+H726+F726</f>
        <v>39</v>
      </c>
      <c r="E726" s="305">
        <v>0</v>
      </c>
      <c r="F726" s="305">
        <v>0</v>
      </c>
      <c r="G726" s="305">
        <v>0</v>
      </c>
      <c r="H726" s="305">
        <v>0</v>
      </c>
      <c r="I726" s="305">
        <v>0</v>
      </c>
      <c r="J726" s="305">
        <v>0</v>
      </c>
      <c r="K726" s="305">
        <v>0</v>
      </c>
      <c r="L726" s="305">
        <v>34</v>
      </c>
      <c r="M726" s="305">
        <v>0</v>
      </c>
      <c r="N726" s="305">
        <v>5</v>
      </c>
      <c r="O726" s="305">
        <v>0</v>
      </c>
      <c r="P726" s="305">
        <v>0</v>
      </c>
      <c r="Q726" s="203" t="s">
        <v>145</v>
      </c>
      <c r="R726" s="306" t="s">
        <v>454</v>
      </c>
    </row>
    <row r="727" spans="2:18" ht="22.5" customHeight="1" thickBot="1" x14ac:dyDescent="0.25">
      <c r="B727" s="305">
        <f t="shared" ref="B727:P727" si="288">SUM(B725:B726)</f>
        <v>56</v>
      </c>
      <c r="C727" s="305">
        <f t="shared" si="288"/>
        <v>0</v>
      </c>
      <c r="D727" s="305">
        <f t="shared" si="288"/>
        <v>56</v>
      </c>
      <c r="E727" s="305">
        <f t="shared" si="288"/>
        <v>0</v>
      </c>
      <c r="F727" s="305">
        <f t="shared" si="288"/>
        <v>0</v>
      </c>
      <c r="G727" s="305">
        <f t="shared" si="288"/>
        <v>0</v>
      </c>
      <c r="H727" s="305">
        <f t="shared" si="288"/>
        <v>11</v>
      </c>
      <c r="I727" s="305">
        <f t="shared" si="288"/>
        <v>0</v>
      </c>
      <c r="J727" s="305">
        <f t="shared" si="288"/>
        <v>0</v>
      </c>
      <c r="K727" s="305">
        <f t="shared" si="288"/>
        <v>0</v>
      </c>
      <c r="L727" s="305">
        <f t="shared" si="288"/>
        <v>34</v>
      </c>
      <c r="M727" s="305">
        <f t="shared" si="288"/>
        <v>0</v>
      </c>
      <c r="N727" s="305">
        <f t="shared" si="288"/>
        <v>11</v>
      </c>
      <c r="O727" s="305">
        <f t="shared" si="288"/>
        <v>0</v>
      </c>
      <c r="P727" s="305">
        <f t="shared" si="288"/>
        <v>0</v>
      </c>
      <c r="Q727" s="203" t="s">
        <v>12</v>
      </c>
      <c r="R727" s="307"/>
    </row>
    <row r="728" spans="2:18" ht="22.5" customHeight="1" thickBot="1" x14ac:dyDescent="0.25">
      <c r="B728" s="305">
        <f t="shared" si="285"/>
        <v>56</v>
      </c>
      <c r="C728" s="305">
        <f>O728+M728+K728+I728+G728+E728</f>
        <v>0</v>
      </c>
      <c r="D728" s="305">
        <f>P728+N728+L728+J728+H728+F728</f>
        <v>56</v>
      </c>
      <c r="E728" s="305">
        <v>0</v>
      </c>
      <c r="F728" s="305">
        <v>0</v>
      </c>
      <c r="G728" s="305">
        <v>0</v>
      </c>
      <c r="H728" s="305">
        <v>47</v>
      </c>
      <c r="I728" s="305">
        <v>0</v>
      </c>
      <c r="J728" s="305">
        <v>0</v>
      </c>
      <c r="K728" s="305">
        <v>0</v>
      </c>
      <c r="L728" s="305">
        <v>9</v>
      </c>
      <c r="M728" s="305">
        <v>0</v>
      </c>
      <c r="N728" s="305">
        <v>0</v>
      </c>
      <c r="O728" s="305">
        <v>0</v>
      </c>
      <c r="P728" s="305">
        <v>0</v>
      </c>
      <c r="Q728" s="203" t="s">
        <v>146</v>
      </c>
      <c r="R728" s="306"/>
    </row>
    <row r="729" spans="2:18" ht="22.5" customHeight="1" thickBot="1" x14ac:dyDescent="0.25">
      <c r="B729" s="305">
        <f t="shared" si="285"/>
        <v>95</v>
      </c>
      <c r="C729" s="305">
        <f>O729+M729+K729+I729+G729+E729</f>
        <v>0</v>
      </c>
      <c r="D729" s="305">
        <f>P729+N729+L729+J729+H729+F729</f>
        <v>95</v>
      </c>
      <c r="E729" s="305">
        <v>0</v>
      </c>
      <c r="F729" s="305">
        <v>0</v>
      </c>
      <c r="G729" s="305">
        <v>0</v>
      </c>
      <c r="H729" s="305">
        <v>0</v>
      </c>
      <c r="I729" s="305">
        <v>0</v>
      </c>
      <c r="J729" s="305">
        <v>9</v>
      </c>
      <c r="K729" s="305">
        <v>0</v>
      </c>
      <c r="L729" s="305">
        <v>21</v>
      </c>
      <c r="M729" s="305">
        <v>0</v>
      </c>
      <c r="N729" s="305">
        <v>40</v>
      </c>
      <c r="O729" s="305">
        <v>0</v>
      </c>
      <c r="P729" s="305">
        <v>25</v>
      </c>
      <c r="Q729" s="203" t="s">
        <v>145</v>
      </c>
      <c r="R729" s="306" t="s">
        <v>344</v>
      </c>
    </row>
    <row r="730" spans="2:18" ht="22.5" customHeight="1" thickBot="1" x14ac:dyDescent="0.25">
      <c r="B730" s="305">
        <f t="shared" ref="B730:P730" si="289">SUM(B728:B729)</f>
        <v>151</v>
      </c>
      <c r="C730" s="305">
        <f t="shared" si="289"/>
        <v>0</v>
      </c>
      <c r="D730" s="305">
        <f t="shared" si="289"/>
        <v>151</v>
      </c>
      <c r="E730" s="305">
        <f t="shared" si="289"/>
        <v>0</v>
      </c>
      <c r="F730" s="305">
        <f t="shared" si="289"/>
        <v>0</v>
      </c>
      <c r="G730" s="305">
        <f t="shared" si="289"/>
        <v>0</v>
      </c>
      <c r="H730" s="305">
        <f t="shared" si="289"/>
        <v>47</v>
      </c>
      <c r="I730" s="305">
        <f t="shared" si="289"/>
        <v>0</v>
      </c>
      <c r="J730" s="305">
        <f t="shared" si="289"/>
        <v>9</v>
      </c>
      <c r="K730" s="305">
        <f t="shared" si="289"/>
        <v>0</v>
      </c>
      <c r="L730" s="305">
        <f t="shared" si="289"/>
        <v>30</v>
      </c>
      <c r="M730" s="305">
        <f t="shared" si="289"/>
        <v>0</v>
      </c>
      <c r="N730" s="305">
        <f t="shared" si="289"/>
        <v>40</v>
      </c>
      <c r="O730" s="305">
        <f t="shared" si="289"/>
        <v>0</v>
      </c>
      <c r="P730" s="305">
        <f t="shared" si="289"/>
        <v>25</v>
      </c>
      <c r="Q730" s="203" t="s">
        <v>12</v>
      </c>
      <c r="R730" s="307"/>
    </row>
    <row r="731" spans="2:18" ht="22.5" customHeight="1" thickBot="1" x14ac:dyDescent="0.25">
      <c r="B731" s="305">
        <f t="shared" si="285"/>
        <v>22</v>
      </c>
      <c r="C731" s="305">
        <f>O731+M731+K731+I731+G731+E731</f>
        <v>0</v>
      </c>
      <c r="D731" s="305">
        <f>P731+N731+L731+J731+H731+F731</f>
        <v>22</v>
      </c>
      <c r="E731" s="305">
        <v>0</v>
      </c>
      <c r="F731" s="305">
        <v>2</v>
      </c>
      <c r="G731" s="305">
        <v>0</v>
      </c>
      <c r="H731" s="305">
        <v>6</v>
      </c>
      <c r="I731" s="305">
        <v>0</v>
      </c>
      <c r="J731" s="305">
        <v>3</v>
      </c>
      <c r="K731" s="305">
        <v>0</v>
      </c>
      <c r="L731" s="305">
        <v>5</v>
      </c>
      <c r="M731" s="305">
        <v>0</v>
      </c>
      <c r="N731" s="305">
        <v>6</v>
      </c>
      <c r="O731" s="305">
        <v>0</v>
      </c>
      <c r="P731" s="305">
        <v>0</v>
      </c>
      <c r="Q731" s="203" t="s">
        <v>146</v>
      </c>
      <c r="R731" s="306"/>
    </row>
    <row r="732" spans="2:18" ht="22.5" customHeight="1" thickBot="1" x14ac:dyDescent="0.25">
      <c r="B732" s="305">
        <f t="shared" si="285"/>
        <v>41</v>
      </c>
      <c r="C732" s="305">
        <f>O732+M732+K732+I732+G732+E732</f>
        <v>0</v>
      </c>
      <c r="D732" s="305">
        <f>P732+N732+L732+J732+H732+F732</f>
        <v>41</v>
      </c>
      <c r="E732" s="305">
        <v>0</v>
      </c>
      <c r="F732" s="305">
        <v>0</v>
      </c>
      <c r="G732" s="305">
        <v>0</v>
      </c>
      <c r="H732" s="305">
        <v>0</v>
      </c>
      <c r="I732" s="305">
        <v>0</v>
      </c>
      <c r="J732" s="305">
        <v>13</v>
      </c>
      <c r="K732" s="305">
        <v>0</v>
      </c>
      <c r="L732" s="305">
        <v>28</v>
      </c>
      <c r="M732" s="305">
        <v>0</v>
      </c>
      <c r="N732" s="305">
        <v>0</v>
      </c>
      <c r="O732" s="305">
        <v>0</v>
      </c>
      <c r="P732" s="305">
        <v>0</v>
      </c>
      <c r="Q732" s="203" t="s">
        <v>145</v>
      </c>
      <c r="R732" s="306" t="s">
        <v>105</v>
      </c>
    </row>
    <row r="733" spans="2:18" ht="22.5" customHeight="1" thickBot="1" x14ac:dyDescent="0.25">
      <c r="B733" s="305">
        <f t="shared" ref="B733:P733" si="290">SUM(B731:B732)</f>
        <v>63</v>
      </c>
      <c r="C733" s="305">
        <f t="shared" si="290"/>
        <v>0</v>
      </c>
      <c r="D733" s="305">
        <f t="shared" si="290"/>
        <v>63</v>
      </c>
      <c r="E733" s="305">
        <f t="shared" si="290"/>
        <v>0</v>
      </c>
      <c r="F733" s="305">
        <f t="shared" si="290"/>
        <v>2</v>
      </c>
      <c r="G733" s="305">
        <f t="shared" si="290"/>
        <v>0</v>
      </c>
      <c r="H733" s="305">
        <f t="shared" si="290"/>
        <v>6</v>
      </c>
      <c r="I733" s="305">
        <f t="shared" si="290"/>
        <v>0</v>
      </c>
      <c r="J733" s="305">
        <f t="shared" si="290"/>
        <v>16</v>
      </c>
      <c r="K733" s="305">
        <f t="shared" si="290"/>
        <v>0</v>
      </c>
      <c r="L733" s="305">
        <f t="shared" si="290"/>
        <v>33</v>
      </c>
      <c r="M733" s="305">
        <f t="shared" si="290"/>
        <v>0</v>
      </c>
      <c r="N733" s="305">
        <f t="shared" si="290"/>
        <v>6</v>
      </c>
      <c r="O733" s="305">
        <f t="shared" si="290"/>
        <v>0</v>
      </c>
      <c r="P733" s="305">
        <f t="shared" si="290"/>
        <v>0</v>
      </c>
      <c r="Q733" s="203" t="s">
        <v>12</v>
      </c>
      <c r="R733" s="307"/>
    </row>
    <row r="734" spans="2:18" ht="22.5" customHeight="1" thickBot="1" x14ac:dyDescent="0.25">
      <c r="B734" s="305">
        <f t="shared" si="285"/>
        <v>28</v>
      </c>
      <c r="C734" s="305">
        <f>O734+M734+K734+I734+G734+E734</f>
        <v>0</v>
      </c>
      <c r="D734" s="305">
        <f>P734+N734+L734+J734+H734+F734</f>
        <v>28</v>
      </c>
      <c r="E734" s="305">
        <v>0</v>
      </c>
      <c r="F734" s="305">
        <v>0</v>
      </c>
      <c r="G734" s="305">
        <v>0</v>
      </c>
      <c r="H734" s="305">
        <v>17</v>
      </c>
      <c r="I734" s="305">
        <v>0</v>
      </c>
      <c r="J734" s="305">
        <v>2</v>
      </c>
      <c r="K734" s="305">
        <v>0</v>
      </c>
      <c r="L734" s="305">
        <v>9</v>
      </c>
      <c r="M734" s="305">
        <v>0</v>
      </c>
      <c r="N734" s="305">
        <v>0</v>
      </c>
      <c r="O734" s="305">
        <v>0</v>
      </c>
      <c r="P734" s="305">
        <v>0</v>
      </c>
      <c r="Q734" s="203" t="s">
        <v>146</v>
      </c>
      <c r="R734" s="306"/>
    </row>
    <row r="735" spans="2:18" ht="22.5" customHeight="1" thickBot="1" x14ac:dyDescent="0.25">
      <c r="B735" s="305">
        <f t="shared" si="285"/>
        <v>35</v>
      </c>
      <c r="C735" s="305">
        <f>O735+M735+K735+I735+G735+E735</f>
        <v>0</v>
      </c>
      <c r="D735" s="305">
        <f>P735+N735+L735+J735+H735+F735</f>
        <v>35</v>
      </c>
      <c r="E735" s="305">
        <v>0</v>
      </c>
      <c r="F735" s="305">
        <v>0</v>
      </c>
      <c r="G735" s="305">
        <v>0</v>
      </c>
      <c r="H735" s="305">
        <v>0</v>
      </c>
      <c r="I735" s="305">
        <v>0</v>
      </c>
      <c r="J735" s="305">
        <v>2</v>
      </c>
      <c r="K735" s="305">
        <v>0</v>
      </c>
      <c r="L735" s="305">
        <v>21</v>
      </c>
      <c r="M735" s="305">
        <v>0</v>
      </c>
      <c r="N735" s="305">
        <v>10</v>
      </c>
      <c r="O735" s="305">
        <v>0</v>
      </c>
      <c r="P735" s="305">
        <v>2</v>
      </c>
      <c r="Q735" s="203" t="s">
        <v>145</v>
      </c>
      <c r="R735" s="306" t="s">
        <v>367</v>
      </c>
    </row>
    <row r="736" spans="2:18" ht="22.5" customHeight="1" thickBot="1" x14ac:dyDescent="0.25">
      <c r="B736" s="305">
        <f t="shared" ref="B736:P736" si="291">SUM(B734:B735)</f>
        <v>63</v>
      </c>
      <c r="C736" s="305">
        <f t="shared" si="291"/>
        <v>0</v>
      </c>
      <c r="D736" s="305">
        <f t="shared" si="291"/>
        <v>63</v>
      </c>
      <c r="E736" s="305">
        <f t="shared" si="291"/>
        <v>0</v>
      </c>
      <c r="F736" s="305">
        <f t="shared" si="291"/>
        <v>0</v>
      </c>
      <c r="G736" s="305">
        <f t="shared" si="291"/>
        <v>0</v>
      </c>
      <c r="H736" s="305">
        <f t="shared" si="291"/>
        <v>17</v>
      </c>
      <c r="I736" s="305">
        <f t="shared" si="291"/>
        <v>0</v>
      </c>
      <c r="J736" s="305">
        <f t="shared" si="291"/>
        <v>4</v>
      </c>
      <c r="K736" s="305">
        <f t="shared" si="291"/>
        <v>0</v>
      </c>
      <c r="L736" s="305">
        <f t="shared" si="291"/>
        <v>30</v>
      </c>
      <c r="M736" s="305">
        <f t="shared" si="291"/>
        <v>0</v>
      </c>
      <c r="N736" s="305">
        <f t="shared" si="291"/>
        <v>10</v>
      </c>
      <c r="O736" s="305">
        <f t="shared" si="291"/>
        <v>0</v>
      </c>
      <c r="P736" s="305">
        <f t="shared" si="291"/>
        <v>2</v>
      </c>
      <c r="Q736" s="203" t="s">
        <v>12</v>
      </c>
      <c r="R736" s="307"/>
    </row>
    <row r="737" spans="2:18" ht="22.5" customHeight="1" thickBot="1" x14ac:dyDescent="0.25">
      <c r="B737" s="305">
        <f t="shared" si="285"/>
        <v>41</v>
      </c>
      <c r="C737" s="305">
        <f>O737+M737+K737+I737+G737+E737</f>
        <v>2</v>
      </c>
      <c r="D737" s="305">
        <f>P737+N737+L737+J737+H737+F737</f>
        <v>39</v>
      </c>
      <c r="E737" s="305">
        <v>0</v>
      </c>
      <c r="F737" s="305">
        <v>0</v>
      </c>
      <c r="G737" s="305">
        <v>2</v>
      </c>
      <c r="H737" s="305">
        <v>29</v>
      </c>
      <c r="I737" s="305">
        <v>0</v>
      </c>
      <c r="J737" s="305">
        <v>1</v>
      </c>
      <c r="K737" s="305">
        <v>0</v>
      </c>
      <c r="L737" s="305">
        <v>9</v>
      </c>
      <c r="M737" s="305">
        <v>0</v>
      </c>
      <c r="N737" s="305">
        <v>0</v>
      </c>
      <c r="O737" s="305">
        <v>0</v>
      </c>
      <c r="P737" s="305">
        <v>0</v>
      </c>
      <c r="Q737" s="203" t="s">
        <v>146</v>
      </c>
      <c r="R737" s="306"/>
    </row>
    <row r="738" spans="2:18" ht="22.5" customHeight="1" thickBot="1" x14ac:dyDescent="0.25">
      <c r="B738" s="305">
        <f t="shared" si="285"/>
        <v>5</v>
      </c>
      <c r="C738" s="305">
        <f>O738+M738+K738+I738+G738+E738</f>
        <v>0</v>
      </c>
      <c r="D738" s="305">
        <f>P738+N738+L738+J738+H738+F738</f>
        <v>5</v>
      </c>
      <c r="E738" s="305">
        <v>0</v>
      </c>
      <c r="F738" s="305">
        <v>0</v>
      </c>
      <c r="G738" s="305">
        <v>0</v>
      </c>
      <c r="H738" s="305">
        <v>0</v>
      </c>
      <c r="I738" s="305">
        <v>0</v>
      </c>
      <c r="J738" s="305">
        <v>0</v>
      </c>
      <c r="K738" s="305">
        <v>0</v>
      </c>
      <c r="L738" s="305">
        <v>0</v>
      </c>
      <c r="M738" s="305">
        <v>0</v>
      </c>
      <c r="N738" s="305">
        <v>5</v>
      </c>
      <c r="O738" s="305">
        <v>0</v>
      </c>
      <c r="P738" s="305">
        <v>0</v>
      </c>
      <c r="Q738" s="203" t="s">
        <v>145</v>
      </c>
      <c r="R738" s="306" t="s">
        <v>347</v>
      </c>
    </row>
    <row r="739" spans="2:18" ht="22.5" customHeight="1" thickBot="1" x14ac:dyDescent="0.25">
      <c r="B739" s="305">
        <f t="shared" ref="B739:P739" si="292">SUM(B737:B738)</f>
        <v>46</v>
      </c>
      <c r="C739" s="305">
        <f t="shared" si="292"/>
        <v>2</v>
      </c>
      <c r="D739" s="305">
        <f t="shared" si="292"/>
        <v>44</v>
      </c>
      <c r="E739" s="305">
        <f t="shared" si="292"/>
        <v>0</v>
      </c>
      <c r="F739" s="305">
        <f t="shared" si="292"/>
        <v>0</v>
      </c>
      <c r="G739" s="305">
        <f t="shared" si="292"/>
        <v>2</v>
      </c>
      <c r="H739" s="305">
        <f t="shared" si="292"/>
        <v>29</v>
      </c>
      <c r="I739" s="305">
        <f t="shared" si="292"/>
        <v>0</v>
      </c>
      <c r="J739" s="305">
        <f t="shared" si="292"/>
        <v>1</v>
      </c>
      <c r="K739" s="305">
        <f t="shared" si="292"/>
        <v>0</v>
      </c>
      <c r="L739" s="305">
        <f t="shared" si="292"/>
        <v>9</v>
      </c>
      <c r="M739" s="305">
        <f t="shared" si="292"/>
        <v>0</v>
      </c>
      <c r="N739" s="305">
        <f t="shared" si="292"/>
        <v>5</v>
      </c>
      <c r="O739" s="305">
        <f t="shared" si="292"/>
        <v>0</v>
      </c>
      <c r="P739" s="305">
        <f t="shared" si="292"/>
        <v>0</v>
      </c>
      <c r="Q739" s="203" t="s">
        <v>12</v>
      </c>
      <c r="R739" s="307"/>
    </row>
    <row r="740" spans="2:18" ht="22.5" customHeight="1" thickBot="1" x14ac:dyDescent="0.25">
      <c r="B740" s="305">
        <f t="shared" si="285"/>
        <v>22</v>
      </c>
      <c r="C740" s="305">
        <f>O740+M740+K740+I740+G740+E740</f>
        <v>1</v>
      </c>
      <c r="D740" s="305">
        <f>P740+N740+L740+J740+H740+F740</f>
        <v>21</v>
      </c>
      <c r="E740" s="305">
        <v>1</v>
      </c>
      <c r="F740" s="305">
        <v>1</v>
      </c>
      <c r="G740" s="305">
        <v>0</v>
      </c>
      <c r="H740" s="305">
        <v>11</v>
      </c>
      <c r="I740" s="305">
        <v>0</v>
      </c>
      <c r="J740" s="305">
        <v>4</v>
      </c>
      <c r="K740" s="305">
        <v>0</v>
      </c>
      <c r="L740" s="305">
        <v>5</v>
      </c>
      <c r="M740" s="305">
        <v>0</v>
      </c>
      <c r="N740" s="305">
        <v>0</v>
      </c>
      <c r="O740" s="305">
        <v>0</v>
      </c>
      <c r="P740" s="305">
        <v>0</v>
      </c>
      <c r="Q740" s="203" t="s">
        <v>146</v>
      </c>
      <c r="R740" s="306"/>
    </row>
    <row r="741" spans="2:18" ht="22.5" customHeight="1" thickBot="1" x14ac:dyDescent="0.25">
      <c r="B741" s="305">
        <f t="shared" si="285"/>
        <v>51</v>
      </c>
      <c r="C741" s="305">
        <f>O741+M741+K741+I741+G741+E741</f>
        <v>16</v>
      </c>
      <c r="D741" s="305">
        <f>P741+N741+L741+J741+H741+F741</f>
        <v>35</v>
      </c>
      <c r="E741" s="305">
        <v>8</v>
      </c>
      <c r="F741" s="305">
        <v>6</v>
      </c>
      <c r="G741" s="305">
        <v>0</v>
      </c>
      <c r="H741" s="305">
        <v>8</v>
      </c>
      <c r="I741" s="305">
        <v>6</v>
      </c>
      <c r="J741" s="305">
        <v>11</v>
      </c>
      <c r="K741" s="305">
        <v>2</v>
      </c>
      <c r="L741" s="305">
        <v>10</v>
      </c>
      <c r="M741" s="305">
        <v>0</v>
      </c>
      <c r="N741" s="305">
        <v>0</v>
      </c>
      <c r="O741" s="305">
        <v>0</v>
      </c>
      <c r="P741" s="305">
        <v>0</v>
      </c>
      <c r="Q741" s="203" t="s">
        <v>145</v>
      </c>
      <c r="R741" s="306" t="s">
        <v>280</v>
      </c>
    </row>
    <row r="742" spans="2:18" ht="22.5" customHeight="1" thickBot="1" x14ac:dyDescent="0.25">
      <c r="B742" s="305">
        <f t="shared" ref="B742:P742" si="293">SUM(B740:B741)</f>
        <v>73</v>
      </c>
      <c r="C742" s="305">
        <f t="shared" si="293"/>
        <v>17</v>
      </c>
      <c r="D742" s="305">
        <f t="shared" si="293"/>
        <v>56</v>
      </c>
      <c r="E742" s="305">
        <f t="shared" si="293"/>
        <v>9</v>
      </c>
      <c r="F742" s="305">
        <f t="shared" si="293"/>
        <v>7</v>
      </c>
      <c r="G742" s="305">
        <f t="shared" si="293"/>
        <v>0</v>
      </c>
      <c r="H742" s="305">
        <f t="shared" si="293"/>
        <v>19</v>
      </c>
      <c r="I742" s="305">
        <f t="shared" si="293"/>
        <v>6</v>
      </c>
      <c r="J742" s="305">
        <f t="shared" si="293"/>
        <v>15</v>
      </c>
      <c r="K742" s="305">
        <f t="shared" si="293"/>
        <v>2</v>
      </c>
      <c r="L742" s="305">
        <f t="shared" si="293"/>
        <v>15</v>
      </c>
      <c r="M742" s="305">
        <f t="shared" si="293"/>
        <v>0</v>
      </c>
      <c r="N742" s="305">
        <f t="shared" si="293"/>
        <v>0</v>
      </c>
      <c r="O742" s="305">
        <f t="shared" si="293"/>
        <v>0</v>
      </c>
      <c r="P742" s="305">
        <f t="shared" si="293"/>
        <v>0</v>
      </c>
      <c r="Q742" s="203" t="s">
        <v>12</v>
      </c>
      <c r="R742" s="307"/>
    </row>
    <row r="743" spans="2:18" ht="22.5" customHeight="1" thickBot="1" x14ac:dyDescent="0.25">
      <c r="B743" s="305">
        <f t="shared" si="285"/>
        <v>45</v>
      </c>
      <c r="C743" s="305">
        <f>O743+M743+K743+I743+G743+E743</f>
        <v>45</v>
      </c>
      <c r="D743" s="305">
        <f>P743+N743+L743+J743+H743+F743</f>
        <v>0</v>
      </c>
      <c r="E743" s="305">
        <v>0</v>
      </c>
      <c r="F743" s="305">
        <v>0</v>
      </c>
      <c r="G743" s="305">
        <v>13</v>
      </c>
      <c r="H743" s="305">
        <v>0</v>
      </c>
      <c r="I743" s="305">
        <v>8</v>
      </c>
      <c r="J743" s="305">
        <v>0</v>
      </c>
      <c r="K743" s="305">
        <v>24</v>
      </c>
      <c r="L743" s="305">
        <v>0</v>
      </c>
      <c r="M743" s="305">
        <v>0</v>
      </c>
      <c r="N743" s="305">
        <v>0</v>
      </c>
      <c r="O743" s="305">
        <v>0</v>
      </c>
      <c r="P743" s="305">
        <v>0</v>
      </c>
      <c r="Q743" s="203" t="s">
        <v>146</v>
      </c>
      <c r="R743" s="306"/>
    </row>
    <row r="744" spans="2:18" ht="22.5" customHeight="1" thickBot="1" x14ac:dyDescent="0.25">
      <c r="B744" s="305">
        <f t="shared" si="285"/>
        <v>77</v>
      </c>
      <c r="C744" s="305">
        <f>O744+M744+K744+I744+G744+E744</f>
        <v>28</v>
      </c>
      <c r="D744" s="305">
        <f>P744+N744+L744+J744+H744+F744</f>
        <v>49</v>
      </c>
      <c r="E744" s="305">
        <v>0</v>
      </c>
      <c r="F744" s="305">
        <v>0</v>
      </c>
      <c r="G744" s="305">
        <v>0</v>
      </c>
      <c r="H744" s="305">
        <v>0</v>
      </c>
      <c r="I744" s="305">
        <v>11</v>
      </c>
      <c r="J744" s="305">
        <v>0</v>
      </c>
      <c r="K744" s="305">
        <v>17</v>
      </c>
      <c r="L744" s="305">
        <v>44</v>
      </c>
      <c r="M744" s="305">
        <v>0</v>
      </c>
      <c r="N744" s="305">
        <v>5</v>
      </c>
      <c r="O744" s="305">
        <v>0</v>
      </c>
      <c r="P744" s="305">
        <v>0</v>
      </c>
      <c r="Q744" s="203" t="s">
        <v>145</v>
      </c>
      <c r="R744" s="306" t="s">
        <v>772</v>
      </c>
    </row>
    <row r="745" spans="2:18" ht="22.5" customHeight="1" thickBot="1" x14ac:dyDescent="0.25">
      <c r="B745" s="305">
        <f t="shared" ref="B745:P745" si="294">SUM(B743:B744)</f>
        <v>122</v>
      </c>
      <c r="C745" s="305">
        <f t="shared" si="294"/>
        <v>73</v>
      </c>
      <c r="D745" s="305">
        <f t="shared" si="294"/>
        <v>49</v>
      </c>
      <c r="E745" s="305">
        <f t="shared" si="294"/>
        <v>0</v>
      </c>
      <c r="F745" s="305">
        <f t="shared" si="294"/>
        <v>0</v>
      </c>
      <c r="G745" s="305">
        <f t="shared" si="294"/>
        <v>13</v>
      </c>
      <c r="H745" s="305">
        <f t="shared" si="294"/>
        <v>0</v>
      </c>
      <c r="I745" s="305">
        <f t="shared" si="294"/>
        <v>19</v>
      </c>
      <c r="J745" s="305">
        <f t="shared" si="294"/>
        <v>0</v>
      </c>
      <c r="K745" s="305">
        <f t="shared" si="294"/>
        <v>41</v>
      </c>
      <c r="L745" s="305">
        <f t="shared" si="294"/>
        <v>44</v>
      </c>
      <c r="M745" s="305">
        <f t="shared" si="294"/>
        <v>0</v>
      </c>
      <c r="N745" s="305">
        <f t="shared" si="294"/>
        <v>5</v>
      </c>
      <c r="O745" s="305">
        <f t="shared" si="294"/>
        <v>0</v>
      </c>
      <c r="P745" s="305">
        <f t="shared" si="294"/>
        <v>0</v>
      </c>
      <c r="Q745" s="203" t="s">
        <v>12</v>
      </c>
      <c r="R745" s="307"/>
    </row>
    <row r="746" spans="2:18" ht="22.5" customHeight="1" thickBot="1" x14ac:dyDescent="0.25">
      <c r="B746" s="305">
        <f t="shared" si="285"/>
        <v>0</v>
      </c>
      <c r="C746" s="305">
        <f>O746+M746+K746+I746+G746+E746</f>
        <v>0</v>
      </c>
      <c r="D746" s="305">
        <f>P746+N746+L746+J746+H746+F746</f>
        <v>0</v>
      </c>
      <c r="E746" s="305">
        <v>0</v>
      </c>
      <c r="F746" s="305">
        <v>0</v>
      </c>
      <c r="G746" s="305">
        <v>0</v>
      </c>
      <c r="H746" s="305">
        <v>0</v>
      </c>
      <c r="I746" s="305">
        <v>0</v>
      </c>
      <c r="J746" s="305">
        <v>0</v>
      </c>
      <c r="K746" s="305">
        <v>0</v>
      </c>
      <c r="L746" s="305">
        <v>0</v>
      </c>
      <c r="M746" s="305">
        <v>0</v>
      </c>
      <c r="N746" s="305">
        <v>0</v>
      </c>
      <c r="O746" s="305">
        <v>0</v>
      </c>
      <c r="P746" s="305">
        <v>0</v>
      </c>
      <c r="Q746" s="203" t="s">
        <v>146</v>
      </c>
      <c r="R746" s="306"/>
    </row>
    <row r="747" spans="2:18" ht="22.5" customHeight="1" thickBot="1" x14ac:dyDescent="0.25">
      <c r="B747" s="305">
        <f t="shared" si="285"/>
        <v>2</v>
      </c>
      <c r="C747" s="305">
        <f>O747+M747+K747+I747+G747+E747</f>
        <v>2</v>
      </c>
      <c r="D747" s="305">
        <f>P747+N747+L747+J747+H747+F747</f>
        <v>0</v>
      </c>
      <c r="E747" s="305">
        <v>0</v>
      </c>
      <c r="F747" s="305">
        <v>0</v>
      </c>
      <c r="G747" s="305">
        <v>0</v>
      </c>
      <c r="H747" s="305">
        <v>0</v>
      </c>
      <c r="I747" s="305">
        <v>0</v>
      </c>
      <c r="J747" s="305">
        <v>0</v>
      </c>
      <c r="K747" s="305">
        <v>2</v>
      </c>
      <c r="L747" s="305">
        <v>0</v>
      </c>
      <c r="M747" s="305">
        <v>0</v>
      </c>
      <c r="N747" s="305">
        <v>0</v>
      </c>
      <c r="O747" s="305">
        <v>0</v>
      </c>
      <c r="P747" s="305">
        <v>0</v>
      </c>
      <c r="Q747" s="203" t="s">
        <v>145</v>
      </c>
      <c r="R747" s="306" t="s">
        <v>107</v>
      </c>
    </row>
    <row r="748" spans="2:18" ht="22.5" customHeight="1" thickBot="1" x14ac:dyDescent="0.25">
      <c r="B748" s="305">
        <f t="shared" ref="B748:P748" si="295">SUM(B746:B747)</f>
        <v>2</v>
      </c>
      <c r="C748" s="305">
        <f t="shared" si="295"/>
        <v>2</v>
      </c>
      <c r="D748" s="305">
        <f t="shared" si="295"/>
        <v>0</v>
      </c>
      <c r="E748" s="305">
        <f t="shared" si="295"/>
        <v>0</v>
      </c>
      <c r="F748" s="305">
        <f t="shared" si="295"/>
        <v>0</v>
      </c>
      <c r="G748" s="305">
        <f t="shared" si="295"/>
        <v>0</v>
      </c>
      <c r="H748" s="305">
        <f t="shared" si="295"/>
        <v>0</v>
      </c>
      <c r="I748" s="305">
        <f t="shared" si="295"/>
        <v>0</v>
      </c>
      <c r="J748" s="305">
        <f t="shared" si="295"/>
        <v>0</v>
      </c>
      <c r="K748" s="305">
        <f t="shared" si="295"/>
        <v>2</v>
      </c>
      <c r="L748" s="305">
        <f t="shared" si="295"/>
        <v>0</v>
      </c>
      <c r="M748" s="305">
        <f t="shared" si="295"/>
        <v>0</v>
      </c>
      <c r="N748" s="305">
        <f t="shared" si="295"/>
        <v>0</v>
      </c>
      <c r="O748" s="305">
        <f t="shared" si="295"/>
        <v>0</v>
      </c>
      <c r="P748" s="305">
        <f t="shared" si="295"/>
        <v>0</v>
      </c>
      <c r="Q748" s="203" t="s">
        <v>12</v>
      </c>
      <c r="R748" s="307"/>
    </row>
    <row r="749" spans="2:18" ht="22.5" customHeight="1" thickBot="1" x14ac:dyDescent="0.25">
      <c r="B749" s="305">
        <f t="shared" si="285"/>
        <v>0</v>
      </c>
      <c r="C749" s="305">
        <f>O749+M749+K749+I749+G749+E749</f>
        <v>0</v>
      </c>
      <c r="D749" s="305">
        <f>P749+N749+L749+J749+H749+F749</f>
        <v>0</v>
      </c>
      <c r="E749" s="305">
        <v>0</v>
      </c>
      <c r="F749" s="305">
        <v>0</v>
      </c>
      <c r="G749" s="305">
        <v>0</v>
      </c>
      <c r="H749" s="305">
        <v>0</v>
      </c>
      <c r="I749" s="305">
        <v>0</v>
      </c>
      <c r="J749" s="305">
        <v>0</v>
      </c>
      <c r="K749" s="305">
        <v>0</v>
      </c>
      <c r="L749" s="305">
        <v>0</v>
      </c>
      <c r="M749" s="305">
        <v>0</v>
      </c>
      <c r="N749" s="305">
        <v>0</v>
      </c>
      <c r="O749" s="305">
        <v>0</v>
      </c>
      <c r="P749" s="305">
        <v>0</v>
      </c>
      <c r="Q749" s="203" t="s">
        <v>146</v>
      </c>
      <c r="R749" s="306"/>
    </row>
    <row r="750" spans="2:18" ht="22.5" customHeight="1" thickBot="1" x14ac:dyDescent="0.25">
      <c r="B750" s="305">
        <f t="shared" si="285"/>
        <v>16</v>
      </c>
      <c r="C750" s="305">
        <f>O750+M750+K750+I750+G750+E750</f>
        <v>12</v>
      </c>
      <c r="D750" s="305">
        <f>P750+N750+L750+J750+H750+F750</f>
        <v>4</v>
      </c>
      <c r="E750" s="305">
        <v>0</v>
      </c>
      <c r="F750" s="305">
        <v>0</v>
      </c>
      <c r="G750" s="305">
        <v>0</v>
      </c>
      <c r="H750" s="305">
        <v>0</v>
      </c>
      <c r="I750" s="305">
        <v>2</v>
      </c>
      <c r="J750" s="305">
        <v>4</v>
      </c>
      <c r="K750" s="305">
        <v>10</v>
      </c>
      <c r="L750" s="305">
        <v>0</v>
      </c>
      <c r="M750" s="305">
        <v>0</v>
      </c>
      <c r="N750" s="305">
        <v>0</v>
      </c>
      <c r="O750" s="305">
        <v>0</v>
      </c>
      <c r="P750" s="305">
        <v>0</v>
      </c>
      <c r="Q750" s="203" t="s">
        <v>145</v>
      </c>
      <c r="R750" s="306" t="s">
        <v>510</v>
      </c>
    </row>
    <row r="751" spans="2:18" ht="22.5" customHeight="1" thickBot="1" x14ac:dyDescent="0.25">
      <c r="B751" s="305">
        <f t="shared" ref="B751:P751" si="296">SUM(B749:B750)</f>
        <v>16</v>
      </c>
      <c r="C751" s="305">
        <f t="shared" si="296"/>
        <v>12</v>
      </c>
      <c r="D751" s="305">
        <f t="shared" si="296"/>
        <v>4</v>
      </c>
      <c r="E751" s="305">
        <f t="shared" si="296"/>
        <v>0</v>
      </c>
      <c r="F751" s="305">
        <f t="shared" si="296"/>
        <v>0</v>
      </c>
      <c r="G751" s="305">
        <f t="shared" si="296"/>
        <v>0</v>
      </c>
      <c r="H751" s="305">
        <f t="shared" si="296"/>
        <v>0</v>
      </c>
      <c r="I751" s="305">
        <f t="shared" si="296"/>
        <v>2</v>
      </c>
      <c r="J751" s="305">
        <f t="shared" si="296"/>
        <v>4</v>
      </c>
      <c r="K751" s="305">
        <f t="shared" si="296"/>
        <v>10</v>
      </c>
      <c r="L751" s="305">
        <f t="shared" si="296"/>
        <v>0</v>
      </c>
      <c r="M751" s="305">
        <f t="shared" si="296"/>
        <v>0</v>
      </c>
      <c r="N751" s="305">
        <f t="shared" si="296"/>
        <v>0</v>
      </c>
      <c r="O751" s="305">
        <f t="shared" si="296"/>
        <v>0</v>
      </c>
      <c r="P751" s="305">
        <f t="shared" si="296"/>
        <v>0</v>
      </c>
      <c r="Q751" s="203" t="s">
        <v>12</v>
      </c>
      <c r="R751" s="307"/>
    </row>
    <row r="752" spans="2:18" ht="22.5" customHeight="1" thickBot="1" x14ac:dyDescent="0.25">
      <c r="B752" s="305">
        <f t="shared" si="285"/>
        <v>58</v>
      </c>
      <c r="C752" s="305">
        <f>O752+M752+K752+I752+G752+E752</f>
        <v>58</v>
      </c>
      <c r="D752" s="305">
        <f>P752+N752+L752+J752+H752+F752</f>
        <v>0</v>
      </c>
      <c r="E752" s="305">
        <v>0</v>
      </c>
      <c r="F752" s="305">
        <v>0</v>
      </c>
      <c r="G752" s="305">
        <v>12</v>
      </c>
      <c r="H752" s="305">
        <v>0</v>
      </c>
      <c r="I752" s="305">
        <v>10</v>
      </c>
      <c r="J752" s="305">
        <v>0</v>
      </c>
      <c r="K752" s="305">
        <v>36</v>
      </c>
      <c r="L752" s="305">
        <v>0</v>
      </c>
      <c r="M752" s="305">
        <v>0</v>
      </c>
      <c r="N752" s="305">
        <v>0</v>
      </c>
      <c r="O752" s="305">
        <v>0</v>
      </c>
      <c r="P752" s="305">
        <v>0</v>
      </c>
      <c r="Q752" s="203" t="s">
        <v>146</v>
      </c>
      <c r="R752" s="306"/>
    </row>
    <row r="753" spans="2:18" ht="22.5" customHeight="1" thickBot="1" x14ac:dyDescent="0.25">
      <c r="B753" s="305">
        <f t="shared" si="285"/>
        <v>74</v>
      </c>
      <c r="C753" s="305">
        <f>O753+M753+K753+I753+G753+E753</f>
        <v>57</v>
      </c>
      <c r="D753" s="305">
        <f>P753+N753+L753+J753+H753+F753</f>
        <v>17</v>
      </c>
      <c r="E753" s="305">
        <v>0</v>
      </c>
      <c r="F753" s="305">
        <v>0</v>
      </c>
      <c r="G753" s="305">
        <v>0</v>
      </c>
      <c r="H753" s="305">
        <v>0</v>
      </c>
      <c r="I753" s="305">
        <v>7</v>
      </c>
      <c r="J753" s="305">
        <v>0</v>
      </c>
      <c r="K753" s="305">
        <v>46</v>
      </c>
      <c r="L753" s="305">
        <v>10</v>
      </c>
      <c r="M753" s="305">
        <v>4</v>
      </c>
      <c r="N753" s="305">
        <v>5</v>
      </c>
      <c r="O753" s="305">
        <v>0</v>
      </c>
      <c r="P753" s="305">
        <v>2</v>
      </c>
      <c r="Q753" s="203" t="s">
        <v>145</v>
      </c>
      <c r="R753" s="306" t="s">
        <v>511</v>
      </c>
    </row>
    <row r="754" spans="2:18" ht="22.5" customHeight="1" thickBot="1" x14ac:dyDescent="0.25">
      <c r="B754" s="305">
        <f t="shared" ref="B754:P754" si="297">SUM(B752:B753)</f>
        <v>132</v>
      </c>
      <c r="C754" s="305">
        <f t="shared" si="297"/>
        <v>115</v>
      </c>
      <c r="D754" s="305">
        <f t="shared" si="297"/>
        <v>17</v>
      </c>
      <c r="E754" s="305">
        <f t="shared" si="297"/>
        <v>0</v>
      </c>
      <c r="F754" s="305">
        <f t="shared" si="297"/>
        <v>0</v>
      </c>
      <c r="G754" s="305">
        <f t="shared" si="297"/>
        <v>12</v>
      </c>
      <c r="H754" s="305">
        <f t="shared" si="297"/>
        <v>0</v>
      </c>
      <c r="I754" s="305">
        <f t="shared" si="297"/>
        <v>17</v>
      </c>
      <c r="J754" s="305">
        <f t="shared" si="297"/>
        <v>0</v>
      </c>
      <c r="K754" s="305">
        <f t="shared" si="297"/>
        <v>82</v>
      </c>
      <c r="L754" s="305">
        <f t="shared" si="297"/>
        <v>10</v>
      </c>
      <c r="M754" s="305">
        <f t="shared" si="297"/>
        <v>4</v>
      </c>
      <c r="N754" s="305">
        <f t="shared" si="297"/>
        <v>5</v>
      </c>
      <c r="O754" s="305">
        <f t="shared" si="297"/>
        <v>0</v>
      </c>
      <c r="P754" s="305">
        <f t="shared" si="297"/>
        <v>2</v>
      </c>
      <c r="Q754" s="203" t="s">
        <v>12</v>
      </c>
      <c r="R754" s="307"/>
    </row>
    <row r="755" spans="2:18" ht="22.5" customHeight="1" thickBot="1" x14ac:dyDescent="0.25">
      <c r="B755" s="305">
        <f t="shared" si="285"/>
        <v>31</v>
      </c>
      <c r="C755" s="305">
        <f>O755+M755+K755+I755+G755+E755</f>
        <v>31</v>
      </c>
      <c r="D755" s="305">
        <f>P755+N755+L755+J755+H755+F755</f>
        <v>0</v>
      </c>
      <c r="E755" s="305">
        <v>0</v>
      </c>
      <c r="F755" s="305">
        <v>0</v>
      </c>
      <c r="G755" s="305">
        <v>29</v>
      </c>
      <c r="H755" s="305">
        <v>0</v>
      </c>
      <c r="I755" s="305">
        <v>2</v>
      </c>
      <c r="J755" s="305">
        <v>0</v>
      </c>
      <c r="K755" s="305">
        <v>0</v>
      </c>
      <c r="L755" s="305">
        <v>0</v>
      </c>
      <c r="M755" s="305">
        <v>0</v>
      </c>
      <c r="N755" s="305">
        <v>0</v>
      </c>
      <c r="O755" s="305">
        <v>0</v>
      </c>
      <c r="P755" s="305">
        <v>0</v>
      </c>
      <c r="Q755" s="203" t="s">
        <v>146</v>
      </c>
      <c r="R755" s="306"/>
    </row>
    <row r="756" spans="2:18" ht="22.5" customHeight="1" thickBot="1" x14ac:dyDescent="0.25">
      <c r="B756" s="305">
        <f t="shared" si="285"/>
        <v>81</v>
      </c>
      <c r="C756" s="305">
        <f>O756+M756+K756+I756+G756+E756</f>
        <v>61</v>
      </c>
      <c r="D756" s="305">
        <f>P756+N756+L756+J756+H756+F756</f>
        <v>20</v>
      </c>
      <c r="E756" s="305">
        <v>2</v>
      </c>
      <c r="F756" s="305">
        <v>0</v>
      </c>
      <c r="G756" s="305">
        <v>25</v>
      </c>
      <c r="H756" s="305">
        <v>0</v>
      </c>
      <c r="I756" s="305">
        <v>15</v>
      </c>
      <c r="J756" s="305">
        <v>0</v>
      </c>
      <c r="K756" s="305">
        <v>14</v>
      </c>
      <c r="L756" s="305">
        <v>20</v>
      </c>
      <c r="M756" s="305">
        <v>4</v>
      </c>
      <c r="N756" s="305">
        <v>0</v>
      </c>
      <c r="O756" s="305">
        <v>1</v>
      </c>
      <c r="P756" s="305">
        <v>0</v>
      </c>
      <c r="Q756" s="203" t="s">
        <v>145</v>
      </c>
      <c r="R756" s="306" t="s">
        <v>512</v>
      </c>
    </row>
    <row r="757" spans="2:18" ht="22.5" customHeight="1" thickBot="1" x14ac:dyDescent="0.25">
      <c r="B757" s="305">
        <f t="shared" ref="B757:P757" si="298">SUM(B755:B756)</f>
        <v>112</v>
      </c>
      <c r="C757" s="305">
        <f t="shared" si="298"/>
        <v>92</v>
      </c>
      <c r="D757" s="305">
        <f t="shared" si="298"/>
        <v>20</v>
      </c>
      <c r="E757" s="305">
        <f t="shared" si="298"/>
        <v>2</v>
      </c>
      <c r="F757" s="305">
        <f t="shared" si="298"/>
        <v>0</v>
      </c>
      <c r="G757" s="305">
        <f t="shared" si="298"/>
        <v>54</v>
      </c>
      <c r="H757" s="305">
        <f t="shared" si="298"/>
        <v>0</v>
      </c>
      <c r="I757" s="305">
        <f t="shared" si="298"/>
        <v>17</v>
      </c>
      <c r="J757" s="305">
        <f t="shared" si="298"/>
        <v>0</v>
      </c>
      <c r="K757" s="305">
        <f t="shared" si="298"/>
        <v>14</v>
      </c>
      <c r="L757" s="305">
        <f t="shared" si="298"/>
        <v>20</v>
      </c>
      <c r="M757" s="305">
        <f t="shared" si="298"/>
        <v>4</v>
      </c>
      <c r="N757" s="305">
        <f t="shared" si="298"/>
        <v>0</v>
      </c>
      <c r="O757" s="305">
        <f t="shared" si="298"/>
        <v>1</v>
      </c>
      <c r="P757" s="305">
        <f t="shared" si="298"/>
        <v>0</v>
      </c>
      <c r="Q757" s="203" t="s">
        <v>12</v>
      </c>
      <c r="R757" s="307"/>
    </row>
    <row r="758" spans="2:18" ht="22.5" customHeight="1" thickBot="1" x14ac:dyDescent="0.25">
      <c r="B758" s="305">
        <f t="shared" si="285"/>
        <v>14</v>
      </c>
      <c r="C758" s="305">
        <f>O758+M758+K758+I758+G758+E758</f>
        <v>0</v>
      </c>
      <c r="D758" s="305">
        <f>P758+N758+L758+J758+H758+F758</f>
        <v>14</v>
      </c>
      <c r="E758" s="305">
        <v>0</v>
      </c>
      <c r="F758" s="305">
        <v>2</v>
      </c>
      <c r="G758" s="305">
        <v>0</v>
      </c>
      <c r="H758" s="305">
        <v>9</v>
      </c>
      <c r="I758" s="305">
        <v>0</v>
      </c>
      <c r="J758" s="305">
        <v>3</v>
      </c>
      <c r="K758" s="305">
        <v>0</v>
      </c>
      <c r="L758" s="305">
        <v>0</v>
      </c>
      <c r="M758" s="305">
        <v>0</v>
      </c>
      <c r="N758" s="305">
        <v>0</v>
      </c>
      <c r="O758" s="305">
        <v>0</v>
      </c>
      <c r="P758" s="305">
        <v>0</v>
      </c>
      <c r="Q758" s="203" t="s">
        <v>146</v>
      </c>
      <c r="R758" s="306"/>
    </row>
    <row r="759" spans="2:18" ht="22.5" customHeight="1" thickBot="1" x14ac:dyDescent="0.25">
      <c r="B759" s="305">
        <f t="shared" si="285"/>
        <v>226</v>
      </c>
      <c r="C759" s="305">
        <f>O759+M759+K759+I759+G759+E759</f>
        <v>94</v>
      </c>
      <c r="D759" s="305">
        <f>P759+N759+L759+J759+H759+F759</f>
        <v>132</v>
      </c>
      <c r="E759" s="305">
        <v>0</v>
      </c>
      <c r="F759" s="305">
        <v>0</v>
      </c>
      <c r="G759" s="305">
        <v>27</v>
      </c>
      <c r="H759" s="305">
        <v>81</v>
      </c>
      <c r="I759" s="305">
        <v>1</v>
      </c>
      <c r="J759" s="305">
        <v>48</v>
      </c>
      <c r="K759" s="305">
        <v>48</v>
      </c>
      <c r="L759" s="305">
        <v>3</v>
      </c>
      <c r="M759" s="305">
        <v>17</v>
      </c>
      <c r="N759" s="305">
        <v>0</v>
      </c>
      <c r="O759" s="305">
        <v>1</v>
      </c>
      <c r="P759" s="305">
        <v>0</v>
      </c>
      <c r="Q759" s="203" t="s">
        <v>145</v>
      </c>
      <c r="R759" s="306" t="s">
        <v>513</v>
      </c>
    </row>
    <row r="760" spans="2:18" ht="22.5" customHeight="1" thickBot="1" x14ac:dyDescent="0.25">
      <c r="B760" s="323">
        <f t="shared" ref="B760:P760" si="299">SUM(B758:B759)</f>
        <v>240</v>
      </c>
      <c r="C760" s="323">
        <f t="shared" si="299"/>
        <v>94</v>
      </c>
      <c r="D760" s="323">
        <f t="shared" si="299"/>
        <v>146</v>
      </c>
      <c r="E760" s="323">
        <f t="shared" si="299"/>
        <v>0</v>
      </c>
      <c r="F760" s="323">
        <f t="shared" si="299"/>
        <v>2</v>
      </c>
      <c r="G760" s="323">
        <f t="shared" si="299"/>
        <v>27</v>
      </c>
      <c r="H760" s="323">
        <f t="shared" si="299"/>
        <v>90</v>
      </c>
      <c r="I760" s="323">
        <f t="shared" si="299"/>
        <v>1</v>
      </c>
      <c r="J760" s="323">
        <f t="shared" si="299"/>
        <v>51</v>
      </c>
      <c r="K760" s="323">
        <f t="shared" si="299"/>
        <v>48</v>
      </c>
      <c r="L760" s="323">
        <f t="shared" si="299"/>
        <v>3</v>
      </c>
      <c r="M760" s="323">
        <f t="shared" si="299"/>
        <v>17</v>
      </c>
      <c r="N760" s="323">
        <f t="shared" si="299"/>
        <v>0</v>
      </c>
      <c r="O760" s="323">
        <f t="shared" si="299"/>
        <v>1</v>
      </c>
      <c r="P760" s="323">
        <f t="shared" si="299"/>
        <v>0</v>
      </c>
      <c r="Q760" s="308" t="s">
        <v>12</v>
      </c>
      <c r="R760" s="309"/>
    </row>
    <row r="761" spans="2:18" ht="22.5" customHeight="1" thickBot="1" x14ac:dyDescent="0.25">
      <c r="B761" s="310">
        <f t="shared" ref="B761:P763" si="300">B758+B755+B752+B749+B746+B743+B740+B737+B734+B731+B728+B725+B722+B719</f>
        <v>554</v>
      </c>
      <c r="C761" s="310">
        <f t="shared" si="300"/>
        <v>142</v>
      </c>
      <c r="D761" s="310">
        <f t="shared" si="300"/>
        <v>412</v>
      </c>
      <c r="E761" s="310">
        <f t="shared" si="300"/>
        <v>1</v>
      </c>
      <c r="F761" s="310">
        <f t="shared" si="300"/>
        <v>5</v>
      </c>
      <c r="G761" s="310">
        <f t="shared" si="300"/>
        <v>61</v>
      </c>
      <c r="H761" s="310">
        <f t="shared" si="300"/>
        <v>188</v>
      </c>
      <c r="I761" s="310">
        <f t="shared" si="300"/>
        <v>20</v>
      </c>
      <c r="J761" s="310">
        <f t="shared" si="300"/>
        <v>40</v>
      </c>
      <c r="K761" s="310">
        <f t="shared" si="300"/>
        <v>60</v>
      </c>
      <c r="L761" s="310">
        <f t="shared" si="300"/>
        <v>140</v>
      </c>
      <c r="M761" s="310">
        <f t="shared" si="300"/>
        <v>0</v>
      </c>
      <c r="N761" s="310">
        <f t="shared" si="300"/>
        <v>35</v>
      </c>
      <c r="O761" s="310">
        <f t="shared" si="300"/>
        <v>0</v>
      </c>
      <c r="P761" s="310">
        <f>P758+P755+P752+P749+P746+P743+P740+P737+P734+P731+P728+P725+P722+P719</f>
        <v>4</v>
      </c>
      <c r="Q761" s="311" t="s">
        <v>146</v>
      </c>
      <c r="R761" s="312"/>
    </row>
    <row r="762" spans="2:18" ht="22.5" customHeight="1" thickBot="1" x14ac:dyDescent="0.25">
      <c r="B762" s="310">
        <f t="shared" si="300"/>
        <v>919</v>
      </c>
      <c r="C762" s="310">
        <f t="shared" si="300"/>
        <v>270</v>
      </c>
      <c r="D762" s="310">
        <f t="shared" si="300"/>
        <v>649</v>
      </c>
      <c r="E762" s="310">
        <f t="shared" si="300"/>
        <v>10</v>
      </c>
      <c r="F762" s="310">
        <f t="shared" si="300"/>
        <v>17</v>
      </c>
      <c r="G762" s="310">
        <f t="shared" si="300"/>
        <v>52</v>
      </c>
      <c r="H762" s="310">
        <f t="shared" si="300"/>
        <v>98</v>
      </c>
      <c r="I762" s="310">
        <f t="shared" si="300"/>
        <v>42</v>
      </c>
      <c r="J762" s="310">
        <f t="shared" si="300"/>
        <v>105</v>
      </c>
      <c r="K762" s="310">
        <f t="shared" si="300"/>
        <v>139</v>
      </c>
      <c r="L762" s="310">
        <f t="shared" si="300"/>
        <v>310</v>
      </c>
      <c r="M762" s="310">
        <f t="shared" si="300"/>
        <v>25</v>
      </c>
      <c r="N762" s="310">
        <f t="shared" si="300"/>
        <v>90</v>
      </c>
      <c r="O762" s="310">
        <f t="shared" si="300"/>
        <v>2</v>
      </c>
      <c r="P762" s="310">
        <f t="shared" si="300"/>
        <v>29</v>
      </c>
      <c r="Q762" s="203" t="s">
        <v>145</v>
      </c>
      <c r="R762" s="313" t="s">
        <v>188</v>
      </c>
    </row>
    <row r="763" spans="2:18" ht="22.5" customHeight="1" thickBot="1" x14ac:dyDescent="0.25">
      <c r="B763" s="310">
        <f t="shared" si="300"/>
        <v>1473</v>
      </c>
      <c r="C763" s="310">
        <f t="shared" si="300"/>
        <v>412</v>
      </c>
      <c r="D763" s="310">
        <f t="shared" si="300"/>
        <v>1061</v>
      </c>
      <c r="E763" s="310">
        <f t="shared" si="300"/>
        <v>11</v>
      </c>
      <c r="F763" s="310">
        <f t="shared" si="300"/>
        <v>22</v>
      </c>
      <c r="G763" s="310">
        <f t="shared" si="300"/>
        <v>113</v>
      </c>
      <c r="H763" s="310">
        <f t="shared" si="300"/>
        <v>286</v>
      </c>
      <c r="I763" s="310">
        <f t="shared" si="300"/>
        <v>62</v>
      </c>
      <c r="J763" s="310">
        <f t="shared" si="300"/>
        <v>145</v>
      </c>
      <c r="K763" s="310">
        <f t="shared" si="300"/>
        <v>199</v>
      </c>
      <c r="L763" s="310">
        <f t="shared" si="300"/>
        <v>450</v>
      </c>
      <c r="M763" s="310">
        <f t="shared" si="300"/>
        <v>25</v>
      </c>
      <c r="N763" s="310">
        <f t="shared" si="300"/>
        <v>125</v>
      </c>
      <c r="O763" s="310">
        <f t="shared" si="300"/>
        <v>2</v>
      </c>
      <c r="P763" s="310">
        <f t="shared" si="300"/>
        <v>33</v>
      </c>
      <c r="Q763" s="314" t="s">
        <v>12</v>
      </c>
      <c r="R763" s="315"/>
    </row>
    <row r="764" spans="2:18" ht="22.5" customHeight="1" thickBot="1" x14ac:dyDescent="0.25">
      <c r="B764" s="316"/>
      <c r="C764" s="316"/>
      <c r="D764" s="316"/>
      <c r="E764" s="316"/>
      <c r="F764" s="316"/>
      <c r="G764" s="316"/>
      <c r="H764" s="316"/>
      <c r="I764" s="316"/>
      <c r="J764" s="316"/>
      <c r="K764" s="316"/>
      <c r="L764" s="316"/>
      <c r="M764" s="316"/>
      <c r="N764" s="316"/>
      <c r="O764" s="316"/>
      <c r="P764" s="316"/>
      <c r="Q764" s="317"/>
      <c r="R764" s="318"/>
    </row>
    <row r="765" spans="2:18" ht="22.5" customHeight="1" thickBot="1" x14ac:dyDescent="0.25">
      <c r="B765" s="477" t="s">
        <v>4</v>
      </c>
      <c r="C765" s="477"/>
      <c r="D765" s="477"/>
      <c r="E765" s="477" t="s">
        <v>735</v>
      </c>
      <c r="F765" s="477"/>
      <c r="G765" s="477" t="s">
        <v>736</v>
      </c>
      <c r="H765" s="477"/>
      <c r="I765" s="477" t="s">
        <v>737</v>
      </c>
      <c r="J765" s="477"/>
      <c r="K765" s="477" t="s">
        <v>738</v>
      </c>
      <c r="L765" s="477"/>
      <c r="M765" s="477" t="s">
        <v>739</v>
      </c>
      <c r="N765" s="477"/>
      <c r="O765" s="477" t="s">
        <v>740</v>
      </c>
      <c r="P765" s="477"/>
      <c r="Q765" s="575" t="s">
        <v>741</v>
      </c>
      <c r="R765" s="304" t="s">
        <v>144</v>
      </c>
    </row>
    <row r="766" spans="2:18" ht="22.5" customHeight="1" thickBot="1" x14ac:dyDescent="0.25">
      <c r="B766" s="204" t="s">
        <v>227</v>
      </c>
      <c r="C766" s="204" t="s">
        <v>10</v>
      </c>
      <c r="D766" s="204" t="s">
        <v>9</v>
      </c>
      <c r="E766" s="204" t="s">
        <v>10</v>
      </c>
      <c r="F766" s="204" t="s">
        <v>9</v>
      </c>
      <c r="G766" s="204" t="s">
        <v>10</v>
      </c>
      <c r="H766" s="204" t="s">
        <v>9</v>
      </c>
      <c r="I766" s="204" t="s">
        <v>10</v>
      </c>
      <c r="J766" s="204" t="s">
        <v>9</v>
      </c>
      <c r="K766" s="204" t="s">
        <v>10</v>
      </c>
      <c r="L766" s="204" t="s">
        <v>9</v>
      </c>
      <c r="M766" s="204" t="s">
        <v>10</v>
      </c>
      <c r="N766" s="204" t="s">
        <v>9</v>
      </c>
      <c r="O766" s="204" t="s">
        <v>10</v>
      </c>
      <c r="P766" s="204" t="s">
        <v>9</v>
      </c>
      <c r="Q766" s="481"/>
      <c r="R766" s="282" t="s">
        <v>109</v>
      </c>
    </row>
    <row r="767" spans="2:18" ht="22.5" customHeight="1" thickBot="1" x14ac:dyDescent="0.25">
      <c r="B767" s="305">
        <f>SUM(C767:D767)</f>
        <v>0</v>
      </c>
      <c r="C767" s="305">
        <f t="shared" ref="C767:D793" si="301">O767+M767+K767+I767+G767+E767</f>
        <v>0</v>
      </c>
      <c r="D767" s="305">
        <f t="shared" si="301"/>
        <v>0</v>
      </c>
      <c r="E767" s="305">
        <v>0</v>
      </c>
      <c r="F767" s="305">
        <v>0</v>
      </c>
      <c r="G767" s="305">
        <v>0</v>
      </c>
      <c r="H767" s="305">
        <v>0</v>
      </c>
      <c r="I767" s="305">
        <v>0</v>
      </c>
      <c r="J767" s="305">
        <v>0</v>
      </c>
      <c r="K767" s="305">
        <v>0</v>
      </c>
      <c r="L767" s="305">
        <v>0</v>
      </c>
      <c r="M767" s="305">
        <v>0</v>
      </c>
      <c r="N767" s="305">
        <v>0</v>
      </c>
      <c r="O767" s="305">
        <v>0</v>
      </c>
      <c r="P767" s="305">
        <v>0</v>
      </c>
      <c r="Q767" s="203" t="s">
        <v>146</v>
      </c>
      <c r="R767" s="306"/>
    </row>
    <row r="768" spans="2:18" ht="22.5" customHeight="1" thickBot="1" x14ac:dyDescent="0.25">
      <c r="B768" s="305">
        <f t="shared" ref="B768:B793" si="302">SUM(C768:D768)</f>
        <v>15</v>
      </c>
      <c r="C768" s="305">
        <f t="shared" si="301"/>
        <v>0</v>
      </c>
      <c r="D768" s="305">
        <f t="shared" si="301"/>
        <v>15</v>
      </c>
      <c r="E768" s="305">
        <v>0</v>
      </c>
      <c r="F768" s="305">
        <v>0</v>
      </c>
      <c r="G768" s="305">
        <v>0</v>
      </c>
      <c r="H768" s="305">
        <v>0</v>
      </c>
      <c r="I768" s="305">
        <v>0</v>
      </c>
      <c r="J768" s="305">
        <v>0</v>
      </c>
      <c r="K768" s="305">
        <v>0</v>
      </c>
      <c r="L768" s="305">
        <v>12</v>
      </c>
      <c r="M768" s="305">
        <v>0</v>
      </c>
      <c r="N768" s="305">
        <v>3</v>
      </c>
      <c r="O768" s="305">
        <v>0</v>
      </c>
      <c r="P768" s="305">
        <v>0</v>
      </c>
      <c r="Q768" s="203" t="s">
        <v>145</v>
      </c>
      <c r="R768" s="306" t="s">
        <v>454</v>
      </c>
    </row>
    <row r="769" spans="2:18" ht="22.5" customHeight="1" thickBot="1" x14ac:dyDescent="0.25">
      <c r="B769" s="305">
        <f t="shared" si="302"/>
        <v>15</v>
      </c>
      <c r="C769" s="305">
        <f t="shared" si="301"/>
        <v>0</v>
      </c>
      <c r="D769" s="305">
        <f t="shared" si="301"/>
        <v>15</v>
      </c>
      <c r="E769" s="305">
        <f t="shared" ref="E769:P769" si="303">SUM(E767:E768)</f>
        <v>0</v>
      </c>
      <c r="F769" s="305">
        <f t="shared" si="303"/>
        <v>0</v>
      </c>
      <c r="G769" s="305">
        <f t="shared" si="303"/>
        <v>0</v>
      </c>
      <c r="H769" s="305">
        <f t="shared" si="303"/>
        <v>0</v>
      </c>
      <c r="I769" s="305">
        <f t="shared" si="303"/>
        <v>0</v>
      </c>
      <c r="J769" s="305">
        <f t="shared" si="303"/>
        <v>0</v>
      </c>
      <c r="K769" s="305">
        <f t="shared" si="303"/>
        <v>0</v>
      </c>
      <c r="L769" s="305">
        <f t="shared" si="303"/>
        <v>12</v>
      </c>
      <c r="M769" s="305">
        <f t="shared" si="303"/>
        <v>0</v>
      </c>
      <c r="N769" s="305">
        <f t="shared" si="303"/>
        <v>3</v>
      </c>
      <c r="O769" s="305">
        <f t="shared" si="303"/>
        <v>0</v>
      </c>
      <c r="P769" s="305">
        <f t="shared" si="303"/>
        <v>0</v>
      </c>
      <c r="Q769" s="203" t="s">
        <v>12</v>
      </c>
      <c r="R769" s="307"/>
    </row>
    <row r="770" spans="2:18" ht="22.5" customHeight="1" thickBot="1" x14ac:dyDescent="0.25">
      <c r="B770" s="305">
        <f t="shared" si="302"/>
        <v>105</v>
      </c>
      <c r="C770" s="305">
        <f t="shared" si="301"/>
        <v>62</v>
      </c>
      <c r="D770" s="305">
        <f t="shared" si="301"/>
        <v>43</v>
      </c>
      <c r="E770" s="305">
        <v>0</v>
      </c>
      <c r="F770" s="305">
        <v>0</v>
      </c>
      <c r="G770" s="305">
        <v>62</v>
      </c>
      <c r="H770" s="305">
        <v>36</v>
      </c>
      <c r="I770" s="305">
        <v>0</v>
      </c>
      <c r="J770" s="305">
        <v>7</v>
      </c>
      <c r="K770" s="305">
        <v>0</v>
      </c>
      <c r="L770" s="305">
        <v>0</v>
      </c>
      <c r="M770" s="305">
        <v>0</v>
      </c>
      <c r="N770" s="305">
        <v>0</v>
      </c>
      <c r="O770" s="305">
        <v>0</v>
      </c>
      <c r="P770" s="305">
        <v>0</v>
      </c>
      <c r="Q770" s="203" t="s">
        <v>146</v>
      </c>
      <c r="R770" s="306"/>
    </row>
    <row r="771" spans="2:18" ht="22.5" customHeight="1" thickBot="1" x14ac:dyDescent="0.25">
      <c r="B771" s="305">
        <f t="shared" si="302"/>
        <v>104</v>
      </c>
      <c r="C771" s="305">
        <f t="shared" si="301"/>
        <v>8</v>
      </c>
      <c r="D771" s="305">
        <f t="shared" si="301"/>
        <v>96</v>
      </c>
      <c r="E771" s="305">
        <v>0</v>
      </c>
      <c r="F771" s="305">
        <v>0</v>
      </c>
      <c r="G771" s="305">
        <v>0</v>
      </c>
      <c r="H771" s="305">
        <v>3</v>
      </c>
      <c r="I771" s="305">
        <v>3</v>
      </c>
      <c r="J771" s="305">
        <v>65</v>
      </c>
      <c r="K771" s="305">
        <v>5</v>
      </c>
      <c r="L771" s="305">
        <v>22</v>
      </c>
      <c r="M771" s="305">
        <v>0</v>
      </c>
      <c r="N771" s="305">
        <v>4</v>
      </c>
      <c r="O771" s="305">
        <v>0</v>
      </c>
      <c r="P771" s="305">
        <v>2</v>
      </c>
      <c r="Q771" s="203" t="s">
        <v>145</v>
      </c>
      <c r="R771" s="306" t="s">
        <v>514</v>
      </c>
    </row>
    <row r="772" spans="2:18" ht="22.5" customHeight="1" thickBot="1" x14ac:dyDescent="0.25">
      <c r="B772" s="305">
        <f t="shared" si="302"/>
        <v>209</v>
      </c>
      <c r="C772" s="305">
        <f t="shared" si="301"/>
        <v>70</v>
      </c>
      <c r="D772" s="305">
        <f t="shared" si="301"/>
        <v>139</v>
      </c>
      <c r="E772" s="305">
        <f t="shared" ref="E772:P772" si="304">SUM(E770:E771)</f>
        <v>0</v>
      </c>
      <c r="F772" s="305">
        <f t="shared" si="304"/>
        <v>0</v>
      </c>
      <c r="G772" s="305">
        <f t="shared" si="304"/>
        <v>62</v>
      </c>
      <c r="H772" s="305">
        <f t="shared" si="304"/>
        <v>39</v>
      </c>
      <c r="I772" s="305">
        <f t="shared" si="304"/>
        <v>3</v>
      </c>
      <c r="J772" s="305">
        <f t="shared" si="304"/>
        <v>72</v>
      </c>
      <c r="K772" s="305">
        <f t="shared" si="304"/>
        <v>5</v>
      </c>
      <c r="L772" s="305">
        <f t="shared" si="304"/>
        <v>22</v>
      </c>
      <c r="M772" s="305">
        <f t="shared" si="304"/>
        <v>0</v>
      </c>
      <c r="N772" s="305">
        <f t="shared" si="304"/>
        <v>4</v>
      </c>
      <c r="O772" s="305">
        <f t="shared" si="304"/>
        <v>0</v>
      </c>
      <c r="P772" s="305">
        <f t="shared" si="304"/>
        <v>2</v>
      </c>
      <c r="Q772" s="203" t="s">
        <v>12</v>
      </c>
      <c r="R772" s="307"/>
    </row>
    <row r="773" spans="2:18" ht="22.5" customHeight="1" thickBot="1" x14ac:dyDescent="0.25">
      <c r="B773" s="305">
        <f t="shared" si="302"/>
        <v>138</v>
      </c>
      <c r="C773" s="305">
        <f t="shared" si="301"/>
        <v>138</v>
      </c>
      <c r="D773" s="305">
        <f t="shared" si="301"/>
        <v>0</v>
      </c>
      <c r="E773" s="305">
        <v>0</v>
      </c>
      <c r="F773" s="305">
        <v>0</v>
      </c>
      <c r="G773" s="305">
        <v>124</v>
      </c>
      <c r="H773" s="305">
        <v>0</v>
      </c>
      <c r="I773" s="305">
        <v>11</v>
      </c>
      <c r="J773" s="305">
        <v>0</v>
      </c>
      <c r="K773" s="305">
        <v>3</v>
      </c>
      <c r="L773" s="305">
        <v>0</v>
      </c>
      <c r="M773" s="305">
        <v>0</v>
      </c>
      <c r="N773" s="305">
        <v>0</v>
      </c>
      <c r="O773" s="305">
        <v>0</v>
      </c>
      <c r="P773" s="305">
        <v>0</v>
      </c>
      <c r="Q773" s="203" t="s">
        <v>146</v>
      </c>
      <c r="R773" s="306"/>
    </row>
    <row r="774" spans="2:18" ht="22.5" customHeight="1" thickBot="1" x14ac:dyDescent="0.25">
      <c r="B774" s="305">
        <f t="shared" si="302"/>
        <v>159</v>
      </c>
      <c r="C774" s="305">
        <f t="shared" si="301"/>
        <v>117</v>
      </c>
      <c r="D774" s="305">
        <f t="shared" si="301"/>
        <v>42</v>
      </c>
      <c r="E774" s="305">
        <v>0</v>
      </c>
      <c r="F774" s="305">
        <v>0</v>
      </c>
      <c r="G774" s="305">
        <v>0</v>
      </c>
      <c r="H774" s="305">
        <v>0</v>
      </c>
      <c r="I774" s="305">
        <v>41</v>
      </c>
      <c r="J774" s="305">
        <v>11</v>
      </c>
      <c r="K774" s="305">
        <v>73</v>
      </c>
      <c r="L774" s="305">
        <v>31</v>
      </c>
      <c r="M774" s="305">
        <v>0</v>
      </c>
      <c r="N774" s="305">
        <v>0</v>
      </c>
      <c r="O774" s="305">
        <v>3</v>
      </c>
      <c r="P774" s="305">
        <v>0</v>
      </c>
      <c r="Q774" s="203" t="s">
        <v>145</v>
      </c>
      <c r="R774" s="306" t="s">
        <v>515</v>
      </c>
    </row>
    <row r="775" spans="2:18" ht="22.5" customHeight="1" thickBot="1" x14ac:dyDescent="0.25">
      <c r="B775" s="305">
        <f t="shared" si="302"/>
        <v>297</v>
      </c>
      <c r="C775" s="305">
        <f t="shared" si="301"/>
        <v>255</v>
      </c>
      <c r="D775" s="305">
        <f t="shared" si="301"/>
        <v>42</v>
      </c>
      <c r="E775" s="305">
        <f t="shared" ref="E775:P775" si="305">SUM(E773:E774)</f>
        <v>0</v>
      </c>
      <c r="F775" s="305">
        <f t="shared" si="305"/>
        <v>0</v>
      </c>
      <c r="G775" s="305">
        <f t="shared" si="305"/>
        <v>124</v>
      </c>
      <c r="H775" s="305">
        <f t="shared" si="305"/>
        <v>0</v>
      </c>
      <c r="I775" s="305">
        <f t="shared" si="305"/>
        <v>52</v>
      </c>
      <c r="J775" s="305">
        <f t="shared" si="305"/>
        <v>11</v>
      </c>
      <c r="K775" s="305">
        <f t="shared" si="305"/>
        <v>76</v>
      </c>
      <c r="L775" s="305">
        <f t="shared" si="305"/>
        <v>31</v>
      </c>
      <c r="M775" s="305">
        <f t="shared" si="305"/>
        <v>0</v>
      </c>
      <c r="N775" s="305">
        <f t="shared" si="305"/>
        <v>0</v>
      </c>
      <c r="O775" s="305">
        <f t="shared" si="305"/>
        <v>3</v>
      </c>
      <c r="P775" s="305">
        <f t="shared" si="305"/>
        <v>0</v>
      </c>
      <c r="Q775" s="203" t="s">
        <v>12</v>
      </c>
      <c r="R775" s="307"/>
    </row>
    <row r="776" spans="2:18" ht="22.5" customHeight="1" thickBot="1" x14ac:dyDescent="0.25">
      <c r="B776" s="305">
        <f t="shared" si="302"/>
        <v>63</v>
      </c>
      <c r="C776" s="305">
        <f t="shared" si="301"/>
        <v>63</v>
      </c>
      <c r="D776" s="305">
        <f t="shared" si="301"/>
        <v>0</v>
      </c>
      <c r="E776" s="305">
        <v>0</v>
      </c>
      <c r="F776" s="305">
        <v>0</v>
      </c>
      <c r="G776" s="305">
        <v>44</v>
      </c>
      <c r="H776" s="305">
        <v>0</v>
      </c>
      <c r="I776" s="305">
        <v>10</v>
      </c>
      <c r="J776" s="305">
        <v>0</v>
      </c>
      <c r="K776" s="305">
        <v>0</v>
      </c>
      <c r="L776" s="305">
        <v>0</v>
      </c>
      <c r="M776" s="305">
        <v>9</v>
      </c>
      <c r="N776" s="305">
        <v>0</v>
      </c>
      <c r="O776" s="305">
        <v>0</v>
      </c>
      <c r="P776" s="305">
        <v>0</v>
      </c>
      <c r="Q776" s="203" t="s">
        <v>146</v>
      </c>
      <c r="R776" s="306"/>
    </row>
    <row r="777" spans="2:18" ht="22.5" customHeight="1" thickBot="1" x14ac:dyDescent="0.25">
      <c r="B777" s="305">
        <f t="shared" si="302"/>
        <v>117</v>
      </c>
      <c r="C777" s="305">
        <f t="shared" si="301"/>
        <v>110</v>
      </c>
      <c r="D777" s="305">
        <f t="shared" si="301"/>
        <v>7</v>
      </c>
      <c r="E777" s="305">
        <v>1</v>
      </c>
      <c r="F777" s="305">
        <v>7</v>
      </c>
      <c r="G777" s="305">
        <v>0</v>
      </c>
      <c r="H777" s="305">
        <v>0</v>
      </c>
      <c r="I777" s="305">
        <v>40</v>
      </c>
      <c r="J777" s="305">
        <v>0</v>
      </c>
      <c r="K777" s="305">
        <v>60</v>
      </c>
      <c r="L777" s="305">
        <v>0</v>
      </c>
      <c r="M777" s="305">
        <v>9</v>
      </c>
      <c r="N777" s="305">
        <v>0</v>
      </c>
      <c r="O777" s="305">
        <v>0</v>
      </c>
      <c r="P777" s="305">
        <v>0</v>
      </c>
      <c r="Q777" s="203" t="s">
        <v>145</v>
      </c>
      <c r="R777" s="306" t="s">
        <v>773</v>
      </c>
    </row>
    <row r="778" spans="2:18" ht="22.5" customHeight="1" thickBot="1" x14ac:dyDescent="0.25">
      <c r="B778" s="305">
        <f t="shared" si="302"/>
        <v>180</v>
      </c>
      <c r="C778" s="305">
        <f t="shared" si="301"/>
        <v>173</v>
      </c>
      <c r="D778" s="305">
        <f t="shared" si="301"/>
        <v>7</v>
      </c>
      <c r="E778" s="305">
        <f t="shared" ref="E778:P778" si="306">SUM(E776:E777)</f>
        <v>1</v>
      </c>
      <c r="F778" s="305">
        <f t="shared" si="306"/>
        <v>7</v>
      </c>
      <c r="G778" s="305">
        <f t="shared" si="306"/>
        <v>44</v>
      </c>
      <c r="H778" s="305">
        <f t="shared" si="306"/>
        <v>0</v>
      </c>
      <c r="I778" s="305">
        <f t="shared" si="306"/>
        <v>50</v>
      </c>
      <c r="J778" s="305">
        <f t="shared" si="306"/>
        <v>0</v>
      </c>
      <c r="K778" s="305">
        <f t="shared" si="306"/>
        <v>60</v>
      </c>
      <c r="L778" s="305">
        <f t="shared" si="306"/>
        <v>0</v>
      </c>
      <c r="M778" s="305">
        <f t="shared" si="306"/>
        <v>18</v>
      </c>
      <c r="N778" s="305">
        <f t="shared" si="306"/>
        <v>0</v>
      </c>
      <c r="O778" s="305">
        <f t="shared" si="306"/>
        <v>0</v>
      </c>
      <c r="P778" s="305">
        <f t="shared" si="306"/>
        <v>0</v>
      </c>
      <c r="Q778" s="203" t="s">
        <v>12</v>
      </c>
      <c r="R778" s="307"/>
    </row>
    <row r="779" spans="2:18" ht="22.5" customHeight="1" thickBot="1" x14ac:dyDescent="0.25">
      <c r="B779" s="305">
        <f t="shared" si="302"/>
        <v>18</v>
      </c>
      <c r="C779" s="305">
        <f t="shared" si="301"/>
        <v>0</v>
      </c>
      <c r="D779" s="305">
        <f t="shared" si="301"/>
        <v>18</v>
      </c>
      <c r="E779" s="305">
        <v>0</v>
      </c>
      <c r="F779" s="305">
        <v>0</v>
      </c>
      <c r="G779" s="305">
        <v>0</v>
      </c>
      <c r="H779" s="305">
        <v>0</v>
      </c>
      <c r="I779" s="305">
        <v>0</v>
      </c>
      <c r="J779" s="305">
        <v>5</v>
      </c>
      <c r="K779" s="305">
        <v>0</v>
      </c>
      <c r="L779" s="305">
        <v>0</v>
      </c>
      <c r="M779" s="305">
        <v>0</v>
      </c>
      <c r="N779" s="305">
        <v>13</v>
      </c>
      <c r="O779" s="305">
        <v>0</v>
      </c>
      <c r="P779" s="305">
        <v>0</v>
      </c>
      <c r="Q779" s="203" t="s">
        <v>146</v>
      </c>
      <c r="R779" s="306"/>
    </row>
    <row r="780" spans="2:18" ht="22.5" customHeight="1" thickBot="1" x14ac:dyDescent="0.25">
      <c r="B780" s="305">
        <f t="shared" si="302"/>
        <v>38</v>
      </c>
      <c r="C780" s="305">
        <f t="shared" si="301"/>
        <v>0</v>
      </c>
      <c r="D780" s="305">
        <f t="shared" si="301"/>
        <v>38</v>
      </c>
      <c r="E780" s="305">
        <v>0</v>
      </c>
      <c r="F780" s="305">
        <v>0</v>
      </c>
      <c r="G780" s="305">
        <v>0</v>
      </c>
      <c r="H780" s="305">
        <v>0</v>
      </c>
      <c r="I780" s="305">
        <v>0</v>
      </c>
      <c r="J780" s="305">
        <v>31</v>
      </c>
      <c r="K780" s="305">
        <v>0</v>
      </c>
      <c r="L780" s="305">
        <v>4</v>
      </c>
      <c r="M780" s="305">
        <v>0</v>
      </c>
      <c r="N780" s="305">
        <v>2</v>
      </c>
      <c r="O780" s="305">
        <v>0</v>
      </c>
      <c r="P780" s="305">
        <v>1</v>
      </c>
      <c r="Q780" s="203" t="s">
        <v>145</v>
      </c>
      <c r="R780" s="306" t="s">
        <v>108</v>
      </c>
    </row>
    <row r="781" spans="2:18" ht="22.5" customHeight="1" thickBot="1" x14ac:dyDescent="0.25">
      <c r="B781" s="305">
        <f t="shared" si="302"/>
        <v>56</v>
      </c>
      <c r="C781" s="305">
        <f t="shared" si="301"/>
        <v>0</v>
      </c>
      <c r="D781" s="305">
        <f t="shared" si="301"/>
        <v>56</v>
      </c>
      <c r="E781" s="305">
        <f t="shared" ref="E781:P781" si="307">SUM(E779:E780)</f>
        <v>0</v>
      </c>
      <c r="F781" s="305">
        <f t="shared" si="307"/>
        <v>0</v>
      </c>
      <c r="G781" s="305">
        <f t="shared" si="307"/>
        <v>0</v>
      </c>
      <c r="H781" s="305">
        <f t="shared" si="307"/>
        <v>0</v>
      </c>
      <c r="I781" s="305">
        <f t="shared" si="307"/>
        <v>0</v>
      </c>
      <c r="J781" s="305">
        <f t="shared" si="307"/>
        <v>36</v>
      </c>
      <c r="K781" s="305">
        <f t="shared" si="307"/>
        <v>0</v>
      </c>
      <c r="L781" s="305">
        <f t="shared" si="307"/>
        <v>4</v>
      </c>
      <c r="M781" s="305">
        <f t="shared" si="307"/>
        <v>0</v>
      </c>
      <c r="N781" s="305">
        <f t="shared" si="307"/>
        <v>15</v>
      </c>
      <c r="O781" s="305">
        <f t="shared" si="307"/>
        <v>0</v>
      </c>
      <c r="P781" s="305">
        <f t="shared" si="307"/>
        <v>1</v>
      </c>
      <c r="Q781" s="203" t="s">
        <v>12</v>
      </c>
      <c r="R781" s="307"/>
    </row>
    <row r="782" spans="2:18" ht="22.5" customHeight="1" thickBot="1" x14ac:dyDescent="0.25">
      <c r="B782" s="305">
        <f t="shared" si="302"/>
        <v>41</v>
      </c>
      <c r="C782" s="305">
        <f t="shared" si="301"/>
        <v>32</v>
      </c>
      <c r="D782" s="305">
        <f t="shared" si="301"/>
        <v>9</v>
      </c>
      <c r="E782" s="305">
        <v>0</v>
      </c>
      <c r="F782" s="305">
        <v>0</v>
      </c>
      <c r="G782" s="305">
        <v>27</v>
      </c>
      <c r="H782" s="305">
        <v>4</v>
      </c>
      <c r="I782" s="305">
        <v>1</v>
      </c>
      <c r="J782" s="305">
        <v>2</v>
      </c>
      <c r="K782" s="305">
        <v>4</v>
      </c>
      <c r="L782" s="305">
        <v>3</v>
      </c>
      <c r="M782" s="305">
        <v>0</v>
      </c>
      <c r="N782" s="305">
        <v>0</v>
      </c>
      <c r="O782" s="305">
        <v>0</v>
      </c>
      <c r="P782" s="305">
        <v>0</v>
      </c>
      <c r="Q782" s="203" t="s">
        <v>146</v>
      </c>
      <c r="R782" s="306"/>
    </row>
    <row r="783" spans="2:18" ht="22.5" customHeight="1" thickBot="1" x14ac:dyDescent="0.25">
      <c r="B783" s="305">
        <f t="shared" si="302"/>
        <v>36</v>
      </c>
      <c r="C783" s="305">
        <f t="shared" si="301"/>
        <v>3</v>
      </c>
      <c r="D783" s="305">
        <f t="shared" si="301"/>
        <v>33</v>
      </c>
      <c r="E783" s="305">
        <v>0</v>
      </c>
      <c r="F783" s="305">
        <v>0</v>
      </c>
      <c r="G783" s="305">
        <v>0</v>
      </c>
      <c r="H783" s="305">
        <v>0</v>
      </c>
      <c r="I783" s="305">
        <v>3</v>
      </c>
      <c r="J783" s="305">
        <v>20</v>
      </c>
      <c r="K783" s="305">
        <v>0</v>
      </c>
      <c r="L783" s="305">
        <v>13</v>
      </c>
      <c r="M783" s="305">
        <v>0</v>
      </c>
      <c r="N783" s="305">
        <v>0</v>
      </c>
      <c r="O783" s="305">
        <v>0</v>
      </c>
      <c r="P783" s="305">
        <v>0</v>
      </c>
      <c r="Q783" s="203" t="s">
        <v>145</v>
      </c>
      <c r="R783" s="306" t="s">
        <v>280</v>
      </c>
    </row>
    <row r="784" spans="2:18" ht="22.5" customHeight="1" thickBot="1" x14ac:dyDescent="0.25">
      <c r="B784" s="305">
        <f t="shared" si="302"/>
        <v>77</v>
      </c>
      <c r="C784" s="305">
        <f t="shared" si="301"/>
        <v>35</v>
      </c>
      <c r="D784" s="305">
        <f t="shared" si="301"/>
        <v>42</v>
      </c>
      <c r="E784" s="305">
        <f t="shared" ref="E784:P784" si="308">SUM(E782:E783)</f>
        <v>0</v>
      </c>
      <c r="F784" s="305">
        <f t="shared" si="308"/>
        <v>0</v>
      </c>
      <c r="G784" s="305">
        <f t="shared" si="308"/>
        <v>27</v>
      </c>
      <c r="H784" s="305">
        <f t="shared" si="308"/>
        <v>4</v>
      </c>
      <c r="I784" s="305">
        <f t="shared" si="308"/>
        <v>4</v>
      </c>
      <c r="J784" s="305">
        <f t="shared" si="308"/>
        <v>22</v>
      </c>
      <c r="K784" s="305">
        <f t="shared" si="308"/>
        <v>4</v>
      </c>
      <c r="L784" s="305">
        <f t="shared" si="308"/>
        <v>16</v>
      </c>
      <c r="M784" s="305">
        <f t="shared" si="308"/>
        <v>0</v>
      </c>
      <c r="N784" s="305">
        <f t="shared" si="308"/>
        <v>0</v>
      </c>
      <c r="O784" s="305">
        <f t="shared" si="308"/>
        <v>0</v>
      </c>
      <c r="P784" s="305">
        <f t="shared" si="308"/>
        <v>0</v>
      </c>
      <c r="Q784" s="203" t="s">
        <v>12</v>
      </c>
      <c r="R784" s="307"/>
    </row>
    <row r="785" spans="2:18" ht="22.5" customHeight="1" thickBot="1" x14ac:dyDescent="0.25">
      <c r="B785" s="305">
        <f t="shared" si="302"/>
        <v>166</v>
      </c>
      <c r="C785" s="305">
        <f t="shared" si="301"/>
        <v>0</v>
      </c>
      <c r="D785" s="305">
        <f t="shared" si="301"/>
        <v>166</v>
      </c>
      <c r="E785" s="305">
        <v>0</v>
      </c>
      <c r="F785" s="305">
        <v>0</v>
      </c>
      <c r="G785" s="305">
        <v>0</v>
      </c>
      <c r="H785" s="305">
        <v>79</v>
      </c>
      <c r="I785" s="305">
        <v>0</v>
      </c>
      <c r="J785" s="305">
        <v>51</v>
      </c>
      <c r="K785" s="305">
        <v>0</v>
      </c>
      <c r="L785" s="305">
        <v>32</v>
      </c>
      <c r="M785" s="305">
        <v>0</v>
      </c>
      <c r="N785" s="305">
        <v>0</v>
      </c>
      <c r="O785" s="305">
        <v>0</v>
      </c>
      <c r="P785" s="305">
        <v>4</v>
      </c>
      <c r="Q785" s="203" t="s">
        <v>146</v>
      </c>
      <c r="R785" s="306"/>
    </row>
    <row r="786" spans="2:18" ht="22.5" customHeight="1" thickBot="1" x14ac:dyDescent="0.25">
      <c r="B786" s="305">
        <f t="shared" si="302"/>
        <v>147</v>
      </c>
      <c r="C786" s="305">
        <f t="shared" si="301"/>
        <v>0</v>
      </c>
      <c r="D786" s="305">
        <f t="shared" si="301"/>
        <v>147</v>
      </c>
      <c r="E786" s="305">
        <v>0</v>
      </c>
      <c r="F786" s="305">
        <v>0</v>
      </c>
      <c r="G786" s="305">
        <v>0</v>
      </c>
      <c r="H786" s="305">
        <v>3</v>
      </c>
      <c r="I786" s="305">
        <v>0</v>
      </c>
      <c r="J786" s="305">
        <v>14</v>
      </c>
      <c r="K786" s="305">
        <v>0</v>
      </c>
      <c r="L786" s="305">
        <v>129</v>
      </c>
      <c r="M786" s="305">
        <v>0</v>
      </c>
      <c r="N786" s="305">
        <v>1</v>
      </c>
      <c r="O786" s="305">
        <v>0</v>
      </c>
      <c r="P786" s="305">
        <v>0</v>
      </c>
      <c r="Q786" s="203" t="s">
        <v>145</v>
      </c>
      <c r="R786" s="306" t="s">
        <v>666</v>
      </c>
    </row>
    <row r="787" spans="2:18" ht="22.5" customHeight="1" thickBot="1" x14ac:dyDescent="0.25">
      <c r="B787" s="305">
        <f t="shared" si="302"/>
        <v>313</v>
      </c>
      <c r="C787" s="305">
        <f t="shared" si="301"/>
        <v>0</v>
      </c>
      <c r="D787" s="305">
        <f t="shared" si="301"/>
        <v>313</v>
      </c>
      <c r="E787" s="305">
        <f t="shared" ref="E787:P787" si="309">SUM(E785:E786)</f>
        <v>0</v>
      </c>
      <c r="F787" s="305">
        <f t="shared" si="309"/>
        <v>0</v>
      </c>
      <c r="G787" s="305">
        <f t="shared" si="309"/>
        <v>0</v>
      </c>
      <c r="H787" s="305">
        <f t="shared" si="309"/>
        <v>82</v>
      </c>
      <c r="I787" s="305">
        <f t="shared" si="309"/>
        <v>0</v>
      </c>
      <c r="J787" s="305">
        <f t="shared" si="309"/>
        <v>65</v>
      </c>
      <c r="K787" s="305">
        <f t="shared" si="309"/>
        <v>0</v>
      </c>
      <c r="L787" s="305">
        <f t="shared" si="309"/>
        <v>161</v>
      </c>
      <c r="M787" s="305">
        <f t="shared" si="309"/>
        <v>0</v>
      </c>
      <c r="N787" s="305">
        <f t="shared" si="309"/>
        <v>1</v>
      </c>
      <c r="O787" s="305">
        <f t="shared" si="309"/>
        <v>0</v>
      </c>
      <c r="P787" s="305">
        <f t="shared" si="309"/>
        <v>4</v>
      </c>
      <c r="Q787" s="203" t="s">
        <v>12</v>
      </c>
      <c r="R787" s="307"/>
    </row>
    <row r="788" spans="2:18" ht="22.5" customHeight="1" thickBot="1" x14ac:dyDescent="0.25">
      <c r="B788" s="305">
        <f t="shared" si="302"/>
        <v>0</v>
      </c>
      <c r="C788" s="305">
        <f t="shared" si="301"/>
        <v>0</v>
      </c>
      <c r="D788" s="305">
        <f t="shared" si="301"/>
        <v>0</v>
      </c>
      <c r="E788" s="305">
        <v>0</v>
      </c>
      <c r="F788" s="305">
        <v>0</v>
      </c>
      <c r="G788" s="305">
        <v>0</v>
      </c>
      <c r="H788" s="305">
        <v>0</v>
      </c>
      <c r="I788" s="305">
        <v>0</v>
      </c>
      <c r="J788" s="305">
        <v>0</v>
      </c>
      <c r="K788" s="305">
        <v>0</v>
      </c>
      <c r="L788" s="305">
        <v>0</v>
      </c>
      <c r="M788" s="305">
        <v>0</v>
      </c>
      <c r="N788" s="305">
        <v>0</v>
      </c>
      <c r="O788" s="305">
        <v>0</v>
      </c>
      <c r="P788" s="305">
        <v>0</v>
      </c>
      <c r="Q788" s="203" t="s">
        <v>146</v>
      </c>
      <c r="R788" s="306"/>
    </row>
    <row r="789" spans="2:18" ht="22.5" customHeight="1" thickBot="1" x14ac:dyDescent="0.25">
      <c r="B789" s="305">
        <f t="shared" si="302"/>
        <v>140</v>
      </c>
      <c r="C789" s="305">
        <f t="shared" si="301"/>
        <v>64</v>
      </c>
      <c r="D789" s="305">
        <f t="shared" si="301"/>
        <v>76</v>
      </c>
      <c r="E789" s="305">
        <v>3</v>
      </c>
      <c r="F789" s="305">
        <v>10</v>
      </c>
      <c r="G789" s="305">
        <v>0</v>
      </c>
      <c r="H789" s="305">
        <v>0</v>
      </c>
      <c r="I789" s="305">
        <v>30</v>
      </c>
      <c r="J789" s="305">
        <v>22</v>
      </c>
      <c r="K789" s="305">
        <v>31</v>
      </c>
      <c r="L789" s="305">
        <v>40</v>
      </c>
      <c r="M789" s="305">
        <v>0</v>
      </c>
      <c r="N789" s="305">
        <v>3</v>
      </c>
      <c r="O789" s="305">
        <v>0</v>
      </c>
      <c r="P789" s="305">
        <v>1</v>
      </c>
      <c r="Q789" s="203" t="s">
        <v>145</v>
      </c>
      <c r="R789" s="306" t="s">
        <v>455</v>
      </c>
    </row>
    <row r="790" spans="2:18" ht="22.5" customHeight="1" thickBot="1" x14ac:dyDescent="0.25">
      <c r="B790" s="323">
        <f t="shared" si="302"/>
        <v>140</v>
      </c>
      <c r="C790" s="323">
        <f t="shared" si="301"/>
        <v>64</v>
      </c>
      <c r="D790" s="323">
        <f t="shared" si="301"/>
        <v>76</v>
      </c>
      <c r="E790" s="323">
        <f t="shared" ref="E790:P790" si="310">SUM(E788:E789)</f>
        <v>3</v>
      </c>
      <c r="F790" s="323">
        <f t="shared" si="310"/>
        <v>10</v>
      </c>
      <c r="G790" s="323">
        <f t="shared" si="310"/>
        <v>0</v>
      </c>
      <c r="H790" s="323">
        <f t="shared" si="310"/>
        <v>0</v>
      </c>
      <c r="I790" s="323">
        <f t="shared" si="310"/>
        <v>30</v>
      </c>
      <c r="J790" s="323">
        <f t="shared" si="310"/>
        <v>22</v>
      </c>
      <c r="K790" s="323">
        <f t="shared" si="310"/>
        <v>31</v>
      </c>
      <c r="L790" s="323">
        <f t="shared" si="310"/>
        <v>40</v>
      </c>
      <c r="M790" s="323">
        <f t="shared" si="310"/>
        <v>0</v>
      </c>
      <c r="N790" s="323">
        <f t="shared" si="310"/>
        <v>3</v>
      </c>
      <c r="O790" s="323">
        <f t="shared" si="310"/>
        <v>0</v>
      </c>
      <c r="P790" s="323">
        <f t="shared" si="310"/>
        <v>1</v>
      </c>
      <c r="Q790" s="308" t="s">
        <v>12</v>
      </c>
      <c r="R790" s="309"/>
    </row>
    <row r="791" spans="2:18" ht="22.5" customHeight="1" thickBot="1" x14ac:dyDescent="0.25">
      <c r="B791" s="324">
        <f t="shared" si="302"/>
        <v>531</v>
      </c>
      <c r="C791" s="310">
        <f t="shared" si="301"/>
        <v>295</v>
      </c>
      <c r="D791" s="310">
        <f t="shared" si="301"/>
        <v>236</v>
      </c>
      <c r="E791" s="310">
        <f t="shared" ref="E791:P793" si="311">E788+E785+E782+E779+E776+E773+E770+E767</f>
        <v>0</v>
      </c>
      <c r="F791" s="310">
        <f t="shared" si="311"/>
        <v>0</v>
      </c>
      <c r="G791" s="310">
        <f t="shared" si="311"/>
        <v>257</v>
      </c>
      <c r="H791" s="310">
        <f t="shared" si="311"/>
        <v>119</v>
      </c>
      <c r="I791" s="310">
        <f t="shared" si="311"/>
        <v>22</v>
      </c>
      <c r="J791" s="310">
        <f t="shared" si="311"/>
        <v>65</v>
      </c>
      <c r="K791" s="310">
        <f t="shared" si="311"/>
        <v>7</v>
      </c>
      <c r="L791" s="310">
        <f t="shared" si="311"/>
        <v>35</v>
      </c>
      <c r="M791" s="310">
        <f t="shared" si="311"/>
        <v>9</v>
      </c>
      <c r="N791" s="310">
        <f t="shared" si="311"/>
        <v>13</v>
      </c>
      <c r="O791" s="310">
        <f t="shared" si="311"/>
        <v>0</v>
      </c>
      <c r="P791" s="310">
        <f t="shared" si="311"/>
        <v>4</v>
      </c>
      <c r="Q791" s="311" t="s">
        <v>146</v>
      </c>
      <c r="R791" s="312"/>
    </row>
    <row r="792" spans="2:18" ht="22.5" customHeight="1" thickBot="1" x14ac:dyDescent="0.25">
      <c r="B792" s="327">
        <f t="shared" si="302"/>
        <v>756</v>
      </c>
      <c r="C792" s="305">
        <f t="shared" si="301"/>
        <v>302</v>
      </c>
      <c r="D792" s="305">
        <f t="shared" si="301"/>
        <v>454</v>
      </c>
      <c r="E792" s="305">
        <f t="shared" si="311"/>
        <v>4</v>
      </c>
      <c r="F792" s="305">
        <f t="shared" si="311"/>
        <v>17</v>
      </c>
      <c r="G792" s="305">
        <f t="shared" si="311"/>
        <v>0</v>
      </c>
      <c r="H792" s="305">
        <f t="shared" si="311"/>
        <v>6</v>
      </c>
      <c r="I792" s="305">
        <f t="shared" si="311"/>
        <v>117</v>
      </c>
      <c r="J792" s="305">
        <f t="shared" si="311"/>
        <v>163</v>
      </c>
      <c r="K792" s="305">
        <f t="shared" si="311"/>
        <v>169</v>
      </c>
      <c r="L792" s="305">
        <f t="shared" si="311"/>
        <v>251</v>
      </c>
      <c r="M792" s="305">
        <f t="shared" si="311"/>
        <v>9</v>
      </c>
      <c r="N792" s="305">
        <f t="shared" si="311"/>
        <v>13</v>
      </c>
      <c r="O792" s="305">
        <f t="shared" si="311"/>
        <v>3</v>
      </c>
      <c r="P792" s="305">
        <f t="shared" si="311"/>
        <v>4</v>
      </c>
      <c r="Q792" s="203" t="s">
        <v>145</v>
      </c>
      <c r="R792" s="313" t="s">
        <v>188</v>
      </c>
    </row>
    <row r="793" spans="2:18" ht="22.5" customHeight="1" thickBot="1" x14ac:dyDescent="0.25">
      <c r="B793" s="325">
        <f t="shared" si="302"/>
        <v>1287</v>
      </c>
      <c r="C793" s="326">
        <f t="shared" si="301"/>
        <v>597</v>
      </c>
      <c r="D793" s="326">
        <f t="shared" si="301"/>
        <v>690</v>
      </c>
      <c r="E793" s="326">
        <f t="shared" si="311"/>
        <v>4</v>
      </c>
      <c r="F793" s="326">
        <f t="shared" si="311"/>
        <v>17</v>
      </c>
      <c r="G793" s="326">
        <f t="shared" si="311"/>
        <v>257</v>
      </c>
      <c r="H793" s="326">
        <f t="shared" si="311"/>
        <v>125</v>
      </c>
      <c r="I793" s="326">
        <f t="shared" si="311"/>
        <v>139</v>
      </c>
      <c r="J793" s="326">
        <f t="shared" si="311"/>
        <v>228</v>
      </c>
      <c r="K793" s="326">
        <f t="shared" si="311"/>
        <v>176</v>
      </c>
      <c r="L793" s="326">
        <f t="shared" si="311"/>
        <v>286</v>
      </c>
      <c r="M793" s="326">
        <f t="shared" si="311"/>
        <v>18</v>
      </c>
      <c r="N793" s="326">
        <f t="shared" si="311"/>
        <v>26</v>
      </c>
      <c r="O793" s="326">
        <f t="shared" si="311"/>
        <v>3</v>
      </c>
      <c r="P793" s="326">
        <f t="shared" si="311"/>
        <v>8</v>
      </c>
      <c r="Q793" s="314" t="s">
        <v>12</v>
      </c>
      <c r="R793" s="315"/>
    </row>
    <row r="794" spans="2:18" ht="22.5" customHeight="1" thickBot="1" x14ac:dyDescent="0.25">
      <c r="B794" s="316"/>
      <c r="C794" s="316"/>
      <c r="D794" s="316"/>
      <c r="E794" s="316"/>
      <c r="F794" s="316"/>
      <c r="G794" s="316"/>
      <c r="H794" s="316"/>
      <c r="I794" s="316"/>
      <c r="J794" s="316"/>
      <c r="K794" s="316"/>
      <c r="L794" s="316"/>
      <c r="M794" s="316"/>
      <c r="N794" s="316"/>
      <c r="O794" s="316"/>
      <c r="P794" s="316"/>
      <c r="Q794" s="317"/>
      <c r="R794" s="318"/>
    </row>
    <row r="795" spans="2:18" ht="22.5" customHeight="1" thickBot="1" x14ac:dyDescent="0.25">
      <c r="B795" s="582" t="s">
        <v>4</v>
      </c>
      <c r="C795" s="579"/>
      <c r="D795" s="579"/>
      <c r="E795" s="579" t="s">
        <v>735</v>
      </c>
      <c r="F795" s="579"/>
      <c r="G795" s="579" t="s">
        <v>736</v>
      </c>
      <c r="H795" s="579"/>
      <c r="I795" s="579" t="s">
        <v>737</v>
      </c>
      <c r="J795" s="579"/>
      <c r="K795" s="579" t="s">
        <v>738</v>
      </c>
      <c r="L795" s="579"/>
      <c r="M795" s="579" t="s">
        <v>739</v>
      </c>
      <c r="N795" s="579"/>
      <c r="O795" s="579" t="s">
        <v>740</v>
      </c>
      <c r="P795" s="579"/>
      <c r="Q795" s="580" t="s">
        <v>741</v>
      </c>
      <c r="R795" s="328" t="s">
        <v>144</v>
      </c>
    </row>
    <row r="796" spans="2:18" ht="22.5" customHeight="1" thickBot="1" x14ac:dyDescent="0.25">
      <c r="B796" s="329" t="s">
        <v>227</v>
      </c>
      <c r="C796" s="330" t="s">
        <v>10</v>
      </c>
      <c r="D796" s="330" t="s">
        <v>9</v>
      </c>
      <c r="E796" s="330" t="s">
        <v>10</v>
      </c>
      <c r="F796" s="330" t="s">
        <v>9</v>
      </c>
      <c r="G796" s="330" t="s">
        <v>10</v>
      </c>
      <c r="H796" s="330" t="s">
        <v>9</v>
      </c>
      <c r="I796" s="330" t="s">
        <v>10</v>
      </c>
      <c r="J796" s="330" t="s">
        <v>9</v>
      </c>
      <c r="K796" s="330" t="s">
        <v>10</v>
      </c>
      <c r="L796" s="330" t="s">
        <v>9</v>
      </c>
      <c r="M796" s="330" t="s">
        <v>10</v>
      </c>
      <c r="N796" s="330" t="s">
        <v>9</v>
      </c>
      <c r="O796" s="330" t="s">
        <v>10</v>
      </c>
      <c r="P796" s="330" t="s">
        <v>9</v>
      </c>
      <c r="Q796" s="581"/>
      <c r="R796" s="315" t="s">
        <v>111</v>
      </c>
    </row>
    <row r="797" spans="2:18" ht="22.5" customHeight="1" thickBot="1" x14ac:dyDescent="0.25">
      <c r="B797" s="331">
        <f>SUM(C797:D797)</f>
        <v>54</v>
      </c>
      <c r="C797" s="331">
        <f>O797+M797+K797+I797+G797+E797</f>
        <v>6</v>
      </c>
      <c r="D797" s="331">
        <f>P797+N797+L797+J797+H797+F797</f>
        <v>48</v>
      </c>
      <c r="E797" s="331">
        <v>0</v>
      </c>
      <c r="F797" s="331">
        <v>0</v>
      </c>
      <c r="G797" s="331">
        <v>4</v>
      </c>
      <c r="H797" s="331">
        <v>42</v>
      </c>
      <c r="I797" s="331">
        <v>2</v>
      </c>
      <c r="J797" s="331">
        <v>6</v>
      </c>
      <c r="K797" s="331">
        <v>0</v>
      </c>
      <c r="L797" s="331">
        <v>0</v>
      </c>
      <c r="M797" s="331">
        <v>0</v>
      </c>
      <c r="N797" s="331">
        <v>0</v>
      </c>
      <c r="O797" s="331">
        <v>0</v>
      </c>
      <c r="P797" s="331">
        <v>0</v>
      </c>
      <c r="Q797" s="205" t="s">
        <v>146</v>
      </c>
      <c r="R797" s="306"/>
    </row>
    <row r="798" spans="2:18" ht="22.5" customHeight="1" thickBot="1" x14ac:dyDescent="0.25">
      <c r="B798" s="305">
        <f t="shared" ref="B798:B837" si="312">SUM(C798:D798)</f>
        <v>66</v>
      </c>
      <c r="C798" s="305">
        <f>O798+M798+K798+I798+G798+E798</f>
        <v>7</v>
      </c>
      <c r="D798" s="305">
        <f>P798+N798+L798+J798+H798+F798</f>
        <v>59</v>
      </c>
      <c r="E798" s="305">
        <v>0</v>
      </c>
      <c r="F798" s="305">
        <v>0</v>
      </c>
      <c r="G798" s="305">
        <v>0</v>
      </c>
      <c r="H798" s="305">
        <v>0</v>
      </c>
      <c r="I798" s="305">
        <v>7</v>
      </c>
      <c r="J798" s="305">
        <v>25</v>
      </c>
      <c r="K798" s="305">
        <v>0</v>
      </c>
      <c r="L798" s="305">
        <v>23</v>
      </c>
      <c r="M798" s="305">
        <v>0</v>
      </c>
      <c r="N798" s="305">
        <v>11</v>
      </c>
      <c r="O798" s="305">
        <v>0</v>
      </c>
      <c r="P798" s="305">
        <v>0</v>
      </c>
      <c r="Q798" s="203" t="s">
        <v>145</v>
      </c>
      <c r="R798" s="306" t="s">
        <v>367</v>
      </c>
    </row>
    <row r="799" spans="2:18" ht="22.5" customHeight="1" thickBot="1" x14ac:dyDescent="0.25">
      <c r="B799" s="305">
        <f t="shared" ref="B799:P799" si="313">SUM(B797:B798)</f>
        <v>120</v>
      </c>
      <c r="C799" s="305">
        <f t="shared" si="313"/>
        <v>13</v>
      </c>
      <c r="D799" s="305">
        <f t="shared" si="313"/>
        <v>107</v>
      </c>
      <c r="E799" s="305">
        <f t="shared" si="313"/>
        <v>0</v>
      </c>
      <c r="F799" s="305">
        <f t="shared" si="313"/>
        <v>0</v>
      </c>
      <c r="G799" s="305">
        <f t="shared" si="313"/>
        <v>4</v>
      </c>
      <c r="H799" s="305">
        <f t="shared" si="313"/>
        <v>42</v>
      </c>
      <c r="I799" s="305">
        <f t="shared" si="313"/>
        <v>9</v>
      </c>
      <c r="J799" s="305">
        <f t="shared" si="313"/>
        <v>31</v>
      </c>
      <c r="K799" s="305">
        <f t="shared" si="313"/>
        <v>0</v>
      </c>
      <c r="L799" s="305">
        <f t="shared" si="313"/>
        <v>23</v>
      </c>
      <c r="M799" s="305">
        <f t="shared" si="313"/>
        <v>0</v>
      </c>
      <c r="N799" s="305">
        <f t="shared" si="313"/>
        <v>11</v>
      </c>
      <c r="O799" s="305">
        <f t="shared" si="313"/>
        <v>0</v>
      </c>
      <c r="P799" s="305">
        <f t="shared" si="313"/>
        <v>0</v>
      </c>
      <c r="Q799" s="203" t="s">
        <v>12</v>
      </c>
      <c r="R799" s="307"/>
    </row>
    <row r="800" spans="2:18" ht="22.5" customHeight="1" thickBot="1" x14ac:dyDescent="0.25">
      <c r="B800" s="305">
        <f t="shared" si="312"/>
        <v>26</v>
      </c>
      <c r="C800" s="305">
        <f>O800+M800+K800+I800+G800+E800</f>
        <v>4</v>
      </c>
      <c r="D800" s="305">
        <f>P800+N800+L800+J800+H800+F800</f>
        <v>22</v>
      </c>
      <c r="E800" s="305">
        <v>0</v>
      </c>
      <c r="F800" s="305">
        <v>0</v>
      </c>
      <c r="G800" s="305">
        <v>2</v>
      </c>
      <c r="H800" s="305">
        <v>13</v>
      </c>
      <c r="I800" s="305">
        <v>2</v>
      </c>
      <c r="J800" s="305">
        <v>6</v>
      </c>
      <c r="K800" s="305">
        <v>0</v>
      </c>
      <c r="L800" s="305">
        <v>3</v>
      </c>
      <c r="M800" s="305">
        <v>0</v>
      </c>
      <c r="N800" s="305">
        <v>0</v>
      </c>
      <c r="O800" s="305">
        <v>0</v>
      </c>
      <c r="P800" s="305">
        <v>0</v>
      </c>
      <c r="Q800" s="203" t="s">
        <v>146</v>
      </c>
      <c r="R800" s="306"/>
    </row>
    <row r="801" spans="2:18" ht="22.5" customHeight="1" thickBot="1" x14ac:dyDescent="0.25">
      <c r="B801" s="305">
        <f t="shared" si="312"/>
        <v>30</v>
      </c>
      <c r="C801" s="305">
        <f>O801+M801+K801+I801+G801+E801</f>
        <v>9</v>
      </c>
      <c r="D801" s="305">
        <f>P801+N801+L801+J801+H801+F801</f>
        <v>21</v>
      </c>
      <c r="E801" s="305">
        <v>0</v>
      </c>
      <c r="F801" s="305">
        <v>0</v>
      </c>
      <c r="G801" s="305">
        <v>0</v>
      </c>
      <c r="H801" s="305">
        <v>0</v>
      </c>
      <c r="I801" s="305">
        <v>2</v>
      </c>
      <c r="J801" s="305">
        <v>11</v>
      </c>
      <c r="K801" s="305">
        <v>5</v>
      </c>
      <c r="L801" s="305">
        <v>7</v>
      </c>
      <c r="M801" s="305">
        <v>2</v>
      </c>
      <c r="N801" s="305">
        <v>3</v>
      </c>
      <c r="O801" s="305">
        <v>0</v>
      </c>
      <c r="P801" s="305">
        <v>0</v>
      </c>
      <c r="Q801" s="203" t="s">
        <v>145</v>
      </c>
      <c r="R801" s="306" t="s">
        <v>347</v>
      </c>
    </row>
    <row r="802" spans="2:18" ht="22.5" customHeight="1" thickBot="1" x14ac:dyDescent="0.25">
      <c r="B802" s="305">
        <f t="shared" ref="B802:P802" si="314">SUM(B800:B801)</f>
        <v>56</v>
      </c>
      <c r="C802" s="305">
        <f t="shared" si="314"/>
        <v>13</v>
      </c>
      <c r="D802" s="305">
        <f t="shared" si="314"/>
        <v>43</v>
      </c>
      <c r="E802" s="305">
        <f t="shared" si="314"/>
        <v>0</v>
      </c>
      <c r="F802" s="305">
        <f t="shared" si="314"/>
        <v>0</v>
      </c>
      <c r="G802" s="305">
        <f t="shared" si="314"/>
        <v>2</v>
      </c>
      <c r="H802" s="305">
        <f t="shared" si="314"/>
        <v>13</v>
      </c>
      <c r="I802" s="305">
        <f t="shared" si="314"/>
        <v>4</v>
      </c>
      <c r="J802" s="305">
        <f t="shared" si="314"/>
        <v>17</v>
      </c>
      <c r="K802" s="305">
        <f t="shared" si="314"/>
        <v>5</v>
      </c>
      <c r="L802" s="305">
        <f t="shared" si="314"/>
        <v>10</v>
      </c>
      <c r="M802" s="305">
        <f t="shared" si="314"/>
        <v>2</v>
      </c>
      <c r="N802" s="305">
        <f t="shared" si="314"/>
        <v>3</v>
      </c>
      <c r="O802" s="305">
        <f t="shared" si="314"/>
        <v>0</v>
      </c>
      <c r="P802" s="305">
        <f t="shared" si="314"/>
        <v>0</v>
      </c>
      <c r="Q802" s="203" t="s">
        <v>12</v>
      </c>
      <c r="R802" s="307"/>
    </row>
    <row r="803" spans="2:18" ht="22.5" customHeight="1" thickBot="1" x14ac:dyDescent="0.25">
      <c r="B803" s="305">
        <f t="shared" si="312"/>
        <v>7</v>
      </c>
      <c r="C803" s="305">
        <f>O803+M803+K803+I803+G803+E803</f>
        <v>0</v>
      </c>
      <c r="D803" s="305">
        <f>P803+N803+L803+J803+H803+F803</f>
        <v>7</v>
      </c>
      <c r="E803" s="305">
        <v>0</v>
      </c>
      <c r="F803" s="305">
        <v>0</v>
      </c>
      <c r="G803" s="305">
        <v>0</v>
      </c>
      <c r="H803" s="305">
        <v>5</v>
      </c>
      <c r="I803" s="305">
        <v>0</v>
      </c>
      <c r="J803" s="305">
        <v>0</v>
      </c>
      <c r="K803" s="305">
        <v>0</v>
      </c>
      <c r="L803" s="305">
        <v>2</v>
      </c>
      <c r="M803" s="305">
        <v>0</v>
      </c>
      <c r="N803" s="305">
        <v>0</v>
      </c>
      <c r="O803" s="305">
        <v>0</v>
      </c>
      <c r="P803" s="305">
        <v>0</v>
      </c>
      <c r="Q803" s="203" t="s">
        <v>146</v>
      </c>
      <c r="R803" s="306"/>
    </row>
    <row r="804" spans="2:18" ht="22.5" customHeight="1" thickBot="1" x14ac:dyDescent="0.25">
      <c r="B804" s="305">
        <f t="shared" si="312"/>
        <v>18</v>
      </c>
      <c r="C804" s="305">
        <f>O804+M804+K804+I804+G804+E804</f>
        <v>0</v>
      </c>
      <c r="D804" s="305">
        <f>P804+N804+L804+J804+H804+F804</f>
        <v>18</v>
      </c>
      <c r="E804" s="305">
        <v>0</v>
      </c>
      <c r="F804" s="305">
        <v>0</v>
      </c>
      <c r="G804" s="305">
        <v>0</v>
      </c>
      <c r="H804" s="305">
        <v>0</v>
      </c>
      <c r="I804" s="305">
        <v>0</v>
      </c>
      <c r="J804" s="305">
        <v>5</v>
      </c>
      <c r="K804" s="305">
        <v>0</v>
      </c>
      <c r="L804" s="305">
        <v>4</v>
      </c>
      <c r="M804" s="305">
        <v>0</v>
      </c>
      <c r="N804" s="305">
        <v>5</v>
      </c>
      <c r="O804" s="305">
        <v>0</v>
      </c>
      <c r="P804" s="305">
        <v>4</v>
      </c>
      <c r="Q804" s="203" t="s">
        <v>145</v>
      </c>
      <c r="R804" s="306" t="s">
        <v>454</v>
      </c>
    </row>
    <row r="805" spans="2:18" ht="22.5" customHeight="1" thickBot="1" x14ac:dyDescent="0.25">
      <c r="B805" s="305">
        <f t="shared" ref="B805:P805" si="315">SUM(B803:B804)</f>
        <v>25</v>
      </c>
      <c r="C805" s="305">
        <f t="shared" si="315"/>
        <v>0</v>
      </c>
      <c r="D805" s="305">
        <f t="shared" si="315"/>
        <v>25</v>
      </c>
      <c r="E805" s="305">
        <f t="shared" si="315"/>
        <v>0</v>
      </c>
      <c r="F805" s="305">
        <f t="shared" si="315"/>
        <v>0</v>
      </c>
      <c r="G805" s="305">
        <f t="shared" si="315"/>
        <v>0</v>
      </c>
      <c r="H805" s="305">
        <f t="shared" si="315"/>
        <v>5</v>
      </c>
      <c r="I805" s="305">
        <f t="shared" si="315"/>
        <v>0</v>
      </c>
      <c r="J805" s="305">
        <f t="shared" si="315"/>
        <v>5</v>
      </c>
      <c r="K805" s="305">
        <f t="shared" si="315"/>
        <v>0</v>
      </c>
      <c r="L805" s="305">
        <f t="shared" si="315"/>
        <v>6</v>
      </c>
      <c r="M805" s="305">
        <f t="shared" si="315"/>
        <v>0</v>
      </c>
      <c r="N805" s="305">
        <f t="shared" si="315"/>
        <v>5</v>
      </c>
      <c r="O805" s="305">
        <f t="shared" si="315"/>
        <v>0</v>
      </c>
      <c r="P805" s="305">
        <f t="shared" si="315"/>
        <v>4</v>
      </c>
      <c r="Q805" s="203" t="s">
        <v>12</v>
      </c>
      <c r="R805" s="307"/>
    </row>
    <row r="806" spans="2:18" ht="22.5" customHeight="1" thickBot="1" x14ac:dyDescent="0.25">
      <c r="B806" s="305">
        <f t="shared" si="312"/>
        <v>6</v>
      </c>
      <c r="C806" s="305">
        <f>O806+M806+K806+I806+G806+E806</f>
        <v>0</v>
      </c>
      <c r="D806" s="305">
        <f>P806+N806+L806+J806+H806+F806</f>
        <v>6</v>
      </c>
      <c r="E806" s="305">
        <v>0</v>
      </c>
      <c r="F806" s="305">
        <v>0</v>
      </c>
      <c r="G806" s="305">
        <v>0</v>
      </c>
      <c r="H806" s="305">
        <v>0</v>
      </c>
      <c r="I806" s="305">
        <v>0</v>
      </c>
      <c r="J806" s="305">
        <v>4</v>
      </c>
      <c r="K806" s="305">
        <v>0</v>
      </c>
      <c r="L806" s="305">
        <v>2</v>
      </c>
      <c r="M806" s="305">
        <v>0</v>
      </c>
      <c r="N806" s="305">
        <v>0</v>
      </c>
      <c r="O806" s="305">
        <v>0</v>
      </c>
      <c r="P806" s="305">
        <v>0</v>
      </c>
      <c r="Q806" s="203" t="s">
        <v>146</v>
      </c>
      <c r="R806" s="306"/>
    </row>
    <row r="807" spans="2:18" ht="22.5" customHeight="1" thickBot="1" x14ac:dyDescent="0.25">
      <c r="B807" s="305">
        <f t="shared" si="312"/>
        <v>26</v>
      </c>
      <c r="C807" s="305">
        <f>O807+M807+K807+I807+G807+E807</f>
        <v>0</v>
      </c>
      <c r="D807" s="305">
        <f>P807+N807+L807+J807+H807+F807</f>
        <v>26</v>
      </c>
      <c r="E807" s="305">
        <v>0</v>
      </c>
      <c r="F807" s="305">
        <v>0</v>
      </c>
      <c r="G807" s="305">
        <v>0</v>
      </c>
      <c r="H807" s="305">
        <v>0</v>
      </c>
      <c r="I807" s="305">
        <v>0</v>
      </c>
      <c r="J807" s="305">
        <v>11</v>
      </c>
      <c r="K807" s="305">
        <v>0</v>
      </c>
      <c r="L807" s="305">
        <v>13</v>
      </c>
      <c r="M807" s="305">
        <v>0</v>
      </c>
      <c r="N807" s="305">
        <v>2</v>
      </c>
      <c r="O807" s="305">
        <v>0</v>
      </c>
      <c r="P807" s="305">
        <v>0</v>
      </c>
      <c r="Q807" s="203" t="s">
        <v>145</v>
      </c>
      <c r="R807" s="306" t="s">
        <v>110</v>
      </c>
    </row>
    <row r="808" spans="2:18" ht="22.5" customHeight="1" thickBot="1" x14ac:dyDescent="0.25">
      <c r="B808" s="305">
        <f t="shared" ref="B808:P808" si="316">SUM(B806:B807)</f>
        <v>32</v>
      </c>
      <c r="C808" s="305">
        <f t="shared" si="316"/>
        <v>0</v>
      </c>
      <c r="D808" s="305">
        <f t="shared" si="316"/>
        <v>32</v>
      </c>
      <c r="E808" s="305">
        <f t="shared" si="316"/>
        <v>0</v>
      </c>
      <c r="F808" s="305">
        <f t="shared" si="316"/>
        <v>0</v>
      </c>
      <c r="G808" s="305">
        <f t="shared" si="316"/>
        <v>0</v>
      </c>
      <c r="H808" s="305">
        <f t="shared" si="316"/>
        <v>0</v>
      </c>
      <c r="I808" s="305">
        <f t="shared" si="316"/>
        <v>0</v>
      </c>
      <c r="J808" s="305">
        <f t="shared" si="316"/>
        <v>15</v>
      </c>
      <c r="K808" s="305">
        <f t="shared" si="316"/>
        <v>0</v>
      </c>
      <c r="L808" s="305">
        <f t="shared" si="316"/>
        <v>15</v>
      </c>
      <c r="M808" s="305">
        <f t="shared" si="316"/>
        <v>0</v>
      </c>
      <c r="N808" s="305">
        <f t="shared" si="316"/>
        <v>2</v>
      </c>
      <c r="O808" s="305">
        <f t="shared" si="316"/>
        <v>0</v>
      </c>
      <c r="P808" s="305">
        <f t="shared" si="316"/>
        <v>0</v>
      </c>
      <c r="Q808" s="203" t="s">
        <v>12</v>
      </c>
      <c r="R808" s="307"/>
    </row>
    <row r="809" spans="2:18" ht="22.5" customHeight="1" thickBot="1" x14ac:dyDescent="0.25">
      <c r="B809" s="305">
        <f t="shared" si="312"/>
        <v>1</v>
      </c>
      <c r="C809" s="305">
        <f>O809+M809+K809+I809+G809+E809</f>
        <v>1</v>
      </c>
      <c r="D809" s="305">
        <f>P809+N809+L809+J809+H809+F809</f>
        <v>0</v>
      </c>
      <c r="E809" s="305">
        <v>0</v>
      </c>
      <c r="F809" s="305">
        <v>0</v>
      </c>
      <c r="G809" s="305">
        <v>0</v>
      </c>
      <c r="H809" s="305">
        <v>0</v>
      </c>
      <c r="I809" s="305">
        <v>0</v>
      </c>
      <c r="J809" s="305">
        <v>0</v>
      </c>
      <c r="K809" s="305">
        <v>1</v>
      </c>
      <c r="L809" s="305">
        <v>0</v>
      </c>
      <c r="M809" s="305">
        <v>0</v>
      </c>
      <c r="N809" s="305">
        <v>0</v>
      </c>
      <c r="O809" s="305">
        <v>0</v>
      </c>
      <c r="P809" s="305">
        <v>0</v>
      </c>
      <c r="Q809" s="203" t="s">
        <v>146</v>
      </c>
      <c r="R809" s="306"/>
    </row>
    <row r="810" spans="2:18" ht="22.5" customHeight="1" thickBot="1" x14ac:dyDescent="0.25">
      <c r="B810" s="305">
        <f t="shared" si="312"/>
        <v>29</v>
      </c>
      <c r="C810" s="305">
        <f>O810+M810+K810+I810+G810+E810</f>
        <v>20</v>
      </c>
      <c r="D810" s="305">
        <f>P810+N810+L810+J810+H810+F810</f>
        <v>9</v>
      </c>
      <c r="E810" s="305">
        <v>0</v>
      </c>
      <c r="F810" s="305">
        <v>0</v>
      </c>
      <c r="G810" s="305">
        <v>0</v>
      </c>
      <c r="H810" s="305">
        <v>0</v>
      </c>
      <c r="I810" s="305">
        <v>10</v>
      </c>
      <c r="J810" s="305">
        <v>0</v>
      </c>
      <c r="K810" s="305">
        <v>10</v>
      </c>
      <c r="L810" s="305">
        <v>9</v>
      </c>
      <c r="M810" s="305">
        <v>0</v>
      </c>
      <c r="N810" s="305">
        <v>0</v>
      </c>
      <c r="O810" s="305">
        <v>0</v>
      </c>
      <c r="P810" s="305">
        <v>0</v>
      </c>
      <c r="Q810" s="203" t="s">
        <v>145</v>
      </c>
      <c r="R810" s="306" t="s">
        <v>503</v>
      </c>
    </row>
    <row r="811" spans="2:18" ht="22.5" customHeight="1" thickBot="1" x14ac:dyDescent="0.25">
      <c r="B811" s="305">
        <f t="shared" ref="B811:P811" si="317">SUM(B809:B810)</f>
        <v>30</v>
      </c>
      <c r="C811" s="305">
        <f t="shared" si="317"/>
        <v>21</v>
      </c>
      <c r="D811" s="305">
        <f t="shared" si="317"/>
        <v>9</v>
      </c>
      <c r="E811" s="305">
        <f t="shared" si="317"/>
        <v>0</v>
      </c>
      <c r="F811" s="305">
        <f t="shared" si="317"/>
        <v>0</v>
      </c>
      <c r="G811" s="305">
        <f t="shared" si="317"/>
        <v>0</v>
      </c>
      <c r="H811" s="305">
        <f t="shared" si="317"/>
        <v>0</v>
      </c>
      <c r="I811" s="305">
        <f t="shared" si="317"/>
        <v>10</v>
      </c>
      <c r="J811" s="305">
        <f t="shared" si="317"/>
        <v>0</v>
      </c>
      <c r="K811" s="305">
        <f t="shared" si="317"/>
        <v>11</v>
      </c>
      <c r="L811" s="305">
        <f t="shared" si="317"/>
        <v>9</v>
      </c>
      <c r="M811" s="305">
        <f t="shared" si="317"/>
        <v>0</v>
      </c>
      <c r="N811" s="305">
        <f t="shared" si="317"/>
        <v>0</v>
      </c>
      <c r="O811" s="305">
        <f t="shared" si="317"/>
        <v>0</v>
      </c>
      <c r="P811" s="305">
        <f t="shared" si="317"/>
        <v>0</v>
      </c>
      <c r="Q811" s="203" t="s">
        <v>12</v>
      </c>
      <c r="R811" s="307"/>
    </row>
    <row r="812" spans="2:18" ht="22.5" customHeight="1" thickBot="1" x14ac:dyDescent="0.25">
      <c r="B812" s="305">
        <f t="shared" si="312"/>
        <v>21</v>
      </c>
      <c r="C812" s="305">
        <f>O812+M812+K812+I812+G812+E812</f>
        <v>21</v>
      </c>
      <c r="D812" s="305">
        <f>P812+N812+L812+J812+H812+F812</f>
        <v>0</v>
      </c>
      <c r="E812" s="305">
        <v>0</v>
      </c>
      <c r="F812" s="305">
        <v>0</v>
      </c>
      <c r="G812" s="305">
        <v>19</v>
      </c>
      <c r="H812" s="305">
        <v>0</v>
      </c>
      <c r="I812" s="305">
        <v>2</v>
      </c>
      <c r="J812" s="305">
        <v>0</v>
      </c>
      <c r="K812" s="305">
        <v>0</v>
      </c>
      <c r="L812" s="305">
        <v>0</v>
      </c>
      <c r="M812" s="305">
        <v>0</v>
      </c>
      <c r="N812" s="305">
        <v>0</v>
      </c>
      <c r="O812" s="305">
        <v>0</v>
      </c>
      <c r="P812" s="305">
        <v>0</v>
      </c>
      <c r="Q812" s="203" t="s">
        <v>146</v>
      </c>
      <c r="R812" s="306"/>
    </row>
    <row r="813" spans="2:18" ht="22.5" customHeight="1" thickBot="1" x14ac:dyDescent="0.25">
      <c r="B813" s="305">
        <f t="shared" si="312"/>
        <v>55</v>
      </c>
      <c r="C813" s="305">
        <f>O813+M813+K813+I813+G813+E813</f>
        <v>41</v>
      </c>
      <c r="D813" s="305">
        <f>P813+N813+L813+J813+H813+F813</f>
        <v>14</v>
      </c>
      <c r="E813" s="305">
        <v>0</v>
      </c>
      <c r="F813" s="305">
        <v>0</v>
      </c>
      <c r="G813" s="305">
        <v>0</v>
      </c>
      <c r="H813" s="305">
        <v>0</v>
      </c>
      <c r="I813" s="305">
        <v>27</v>
      </c>
      <c r="J813" s="305">
        <v>0</v>
      </c>
      <c r="K813" s="305">
        <v>14</v>
      </c>
      <c r="L813" s="305">
        <v>14</v>
      </c>
      <c r="M813" s="305">
        <v>0</v>
      </c>
      <c r="N813" s="305">
        <v>0</v>
      </c>
      <c r="O813" s="305">
        <v>0</v>
      </c>
      <c r="P813" s="305">
        <v>0</v>
      </c>
      <c r="Q813" s="203" t="s">
        <v>145</v>
      </c>
      <c r="R813" s="306" t="s">
        <v>504</v>
      </c>
    </row>
    <row r="814" spans="2:18" ht="22.5" customHeight="1" thickBot="1" x14ac:dyDescent="0.25">
      <c r="B814" s="305">
        <f t="shared" ref="B814:P814" si="318">SUM(B812:B813)</f>
        <v>76</v>
      </c>
      <c r="C814" s="305">
        <f t="shared" si="318"/>
        <v>62</v>
      </c>
      <c r="D814" s="305">
        <f t="shared" si="318"/>
        <v>14</v>
      </c>
      <c r="E814" s="305">
        <f t="shared" si="318"/>
        <v>0</v>
      </c>
      <c r="F814" s="305">
        <f t="shared" si="318"/>
        <v>0</v>
      </c>
      <c r="G814" s="305">
        <f t="shared" si="318"/>
        <v>19</v>
      </c>
      <c r="H814" s="305">
        <f t="shared" si="318"/>
        <v>0</v>
      </c>
      <c r="I814" s="305">
        <f t="shared" si="318"/>
        <v>29</v>
      </c>
      <c r="J814" s="305">
        <f t="shared" si="318"/>
        <v>0</v>
      </c>
      <c r="K814" s="305">
        <f t="shared" si="318"/>
        <v>14</v>
      </c>
      <c r="L814" s="305">
        <f t="shared" si="318"/>
        <v>14</v>
      </c>
      <c r="M814" s="305">
        <f t="shared" si="318"/>
        <v>0</v>
      </c>
      <c r="N814" s="305">
        <f t="shared" si="318"/>
        <v>0</v>
      </c>
      <c r="O814" s="305">
        <f t="shared" si="318"/>
        <v>0</v>
      </c>
      <c r="P814" s="305">
        <f t="shared" si="318"/>
        <v>0</v>
      </c>
      <c r="Q814" s="203" t="s">
        <v>12</v>
      </c>
      <c r="R814" s="307"/>
    </row>
    <row r="815" spans="2:18" ht="22.5" customHeight="1" thickBot="1" x14ac:dyDescent="0.25">
      <c r="B815" s="305">
        <f t="shared" si="312"/>
        <v>1</v>
      </c>
      <c r="C815" s="305">
        <f>O815+M815+K815+I815+G815+E815</f>
        <v>1</v>
      </c>
      <c r="D815" s="305">
        <f>P815+N815+L815+J815+H815+F815</f>
        <v>0</v>
      </c>
      <c r="E815" s="305">
        <v>0</v>
      </c>
      <c r="F815" s="305">
        <v>0</v>
      </c>
      <c r="G815" s="305">
        <v>0</v>
      </c>
      <c r="H815" s="305">
        <v>0</v>
      </c>
      <c r="I815" s="305">
        <v>0</v>
      </c>
      <c r="J815" s="305">
        <v>0</v>
      </c>
      <c r="K815" s="305">
        <v>1</v>
      </c>
      <c r="L815" s="305">
        <v>0</v>
      </c>
      <c r="M815" s="305">
        <v>0</v>
      </c>
      <c r="N815" s="305">
        <v>0</v>
      </c>
      <c r="O815" s="305">
        <v>0</v>
      </c>
      <c r="P815" s="305">
        <v>0</v>
      </c>
      <c r="Q815" s="203" t="s">
        <v>146</v>
      </c>
      <c r="R815" s="306"/>
    </row>
    <row r="816" spans="2:18" ht="22.5" customHeight="1" thickBot="1" x14ac:dyDescent="0.25">
      <c r="B816" s="305">
        <f t="shared" si="312"/>
        <v>0</v>
      </c>
      <c r="C816" s="305">
        <f>O816+M816+K816+I816+G816+E816</f>
        <v>0</v>
      </c>
      <c r="D816" s="305">
        <f>P816+N816+L816+J816+H816+F816</f>
        <v>0</v>
      </c>
      <c r="E816" s="305">
        <v>0</v>
      </c>
      <c r="F816" s="305">
        <v>0</v>
      </c>
      <c r="G816" s="305">
        <v>0</v>
      </c>
      <c r="H816" s="305">
        <v>0</v>
      </c>
      <c r="I816" s="305">
        <v>0</v>
      </c>
      <c r="J816" s="305">
        <v>0</v>
      </c>
      <c r="K816" s="305">
        <v>0</v>
      </c>
      <c r="L816" s="305">
        <v>0</v>
      </c>
      <c r="M816" s="305">
        <v>0</v>
      </c>
      <c r="N816" s="305">
        <v>0</v>
      </c>
      <c r="O816" s="305">
        <v>0</v>
      </c>
      <c r="P816" s="305">
        <v>0</v>
      </c>
      <c r="Q816" s="203" t="s">
        <v>145</v>
      </c>
      <c r="R816" s="306" t="s">
        <v>112</v>
      </c>
    </row>
    <row r="817" spans="2:18" ht="22.5" customHeight="1" thickBot="1" x14ac:dyDescent="0.25">
      <c r="B817" s="305">
        <f t="shared" ref="B817:P817" si="319">SUM(B815:B816)</f>
        <v>1</v>
      </c>
      <c r="C817" s="305">
        <f t="shared" si="319"/>
        <v>1</v>
      </c>
      <c r="D817" s="305">
        <f t="shared" si="319"/>
        <v>0</v>
      </c>
      <c r="E817" s="305">
        <f t="shared" si="319"/>
        <v>0</v>
      </c>
      <c r="F817" s="305">
        <f t="shared" si="319"/>
        <v>0</v>
      </c>
      <c r="G817" s="305">
        <f t="shared" si="319"/>
        <v>0</v>
      </c>
      <c r="H817" s="305">
        <f t="shared" si="319"/>
        <v>0</v>
      </c>
      <c r="I817" s="305">
        <f t="shared" si="319"/>
        <v>0</v>
      </c>
      <c r="J817" s="305">
        <f t="shared" si="319"/>
        <v>0</v>
      </c>
      <c r="K817" s="305">
        <f t="shared" si="319"/>
        <v>1</v>
      </c>
      <c r="L817" s="305">
        <f t="shared" si="319"/>
        <v>0</v>
      </c>
      <c r="M817" s="305">
        <f t="shared" si="319"/>
        <v>0</v>
      </c>
      <c r="N817" s="305">
        <f t="shared" si="319"/>
        <v>0</v>
      </c>
      <c r="O817" s="305">
        <f t="shared" si="319"/>
        <v>0</v>
      </c>
      <c r="P817" s="305">
        <f t="shared" si="319"/>
        <v>0</v>
      </c>
      <c r="Q817" s="203" t="s">
        <v>12</v>
      </c>
      <c r="R817" s="307"/>
    </row>
    <row r="818" spans="2:18" ht="22.5" customHeight="1" thickBot="1" x14ac:dyDescent="0.25">
      <c r="B818" s="305">
        <f t="shared" si="312"/>
        <v>1</v>
      </c>
      <c r="C818" s="305">
        <f>O818+M818+K818+I818+G818+E818</f>
        <v>1</v>
      </c>
      <c r="D818" s="305">
        <f>P818+N818+L818+J818+H818+F818</f>
        <v>0</v>
      </c>
      <c r="E818" s="305">
        <v>0</v>
      </c>
      <c r="F818" s="305">
        <v>0</v>
      </c>
      <c r="G818" s="305">
        <v>0</v>
      </c>
      <c r="H818" s="305">
        <v>0</v>
      </c>
      <c r="I818" s="305">
        <v>0</v>
      </c>
      <c r="J818" s="305">
        <v>0</v>
      </c>
      <c r="K818" s="305">
        <v>1</v>
      </c>
      <c r="L818" s="305">
        <v>0</v>
      </c>
      <c r="M818" s="305">
        <v>0</v>
      </c>
      <c r="N818" s="305">
        <v>0</v>
      </c>
      <c r="O818" s="305">
        <v>0</v>
      </c>
      <c r="P818" s="305">
        <v>0</v>
      </c>
      <c r="Q818" s="203" t="s">
        <v>146</v>
      </c>
      <c r="R818" s="306"/>
    </row>
    <row r="819" spans="2:18" ht="22.5" customHeight="1" thickBot="1" x14ac:dyDescent="0.25">
      <c r="B819" s="305">
        <f t="shared" si="312"/>
        <v>0</v>
      </c>
      <c r="C819" s="305">
        <f>O819+M819+K819+I819+G819+E819</f>
        <v>0</v>
      </c>
      <c r="D819" s="305">
        <f>P819+N819+L819+J819+H819+F819</f>
        <v>0</v>
      </c>
      <c r="E819" s="305">
        <v>0</v>
      </c>
      <c r="F819" s="305">
        <v>0</v>
      </c>
      <c r="G819" s="305">
        <v>0</v>
      </c>
      <c r="H819" s="305">
        <v>0</v>
      </c>
      <c r="I819" s="305">
        <v>0</v>
      </c>
      <c r="J819" s="305">
        <v>0</v>
      </c>
      <c r="K819" s="305">
        <v>0</v>
      </c>
      <c r="L819" s="305">
        <v>0</v>
      </c>
      <c r="M819" s="305">
        <v>0</v>
      </c>
      <c r="N819" s="305">
        <v>0</v>
      </c>
      <c r="O819" s="305">
        <v>0</v>
      </c>
      <c r="P819" s="305">
        <v>0</v>
      </c>
      <c r="Q819" s="203" t="s">
        <v>145</v>
      </c>
      <c r="R819" s="306" t="s">
        <v>113</v>
      </c>
    </row>
    <row r="820" spans="2:18" ht="22.5" customHeight="1" thickBot="1" x14ac:dyDescent="0.25">
      <c r="B820" s="305">
        <f t="shared" ref="B820:P820" si="320">SUM(B818:B819)</f>
        <v>1</v>
      </c>
      <c r="C820" s="305">
        <f t="shared" si="320"/>
        <v>1</v>
      </c>
      <c r="D820" s="305">
        <f t="shared" si="320"/>
        <v>0</v>
      </c>
      <c r="E820" s="305">
        <f t="shared" si="320"/>
        <v>0</v>
      </c>
      <c r="F820" s="305">
        <f t="shared" si="320"/>
        <v>0</v>
      </c>
      <c r="G820" s="305">
        <f t="shared" si="320"/>
        <v>0</v>
      </c>
      <c r="H820" s="305">
        <f t="shared" si="320"/>
        <v>0</v>
      </c>
      <c r="I820" s="305">
        <f t="shared" si="320"/>
        <v>0</v>
      </c>
      <c r="J820" s="305">
        <f t="shared" si="320"/>
        <v>0</v>
      </c>
      <c r="K820" s="305">
        <f t="shared" si="320"/>
        <v>1</v>
      </c>
      <c r="L820" s="305">
        <f t="shared" si="320"/>
        <v>0</v>
      </c>
      <c r="M820" s="305">
        <f t="shared" si="320"/>
        <v>0</v>
      </c>
      <c r="N820" s="305">
        <f t="shared" si="320"/>
        <v>0</v>
      </c>
      <c r="O820" s="305">
        <f t="shared" si="320"/>
        <v>0</v>
      </c>
      <c r="P820" s="305">
        <f t="shared" si="320"/>
        <v>0</v>
      </c>
      <c r="Q820" s="203" t="s">
        <v>12</v>
      </c>
      <c r="R820" s="307"/>
    </row>
    <row r="821" spans="2:18" ht="22.5" customHeight="1" thickBot="1" x14ac:dyDescent="0.25">
      <c r="B821" s="305">
        <f t="shared" si="312"/>
        <v>27</v>
      </c>
      <c r="C821" s="305">
        <f>O821+M821+K821+I821+G821+E821</f>
        <v>0</v>
      </c>
      <c r="D821" s="305">
        <f>P821+N821+L821+J821+H821+F821</f>
        <v>27</v>
      </c>
      <c r="E821" s="305">
        <v>0</v>
      </c>
      <c r="F821" s="305">
        <v>0</v>
      </c>
      <c r="G821" s="305">
        <v>0</v>
      </c>
      <c r="H821" s="305">
        <v>5</v>
      </c>
      <c r="I821" s="305">
        <v>0</v>
      </c>
      <c r="J821" s="305">
        <v>19</v>
      </c>
      <c r="K821" s="305">
        <v>0</v>
      </c>
      <c r="L821" s="305">
        <v>2</v>
      </c>
      <c r="M821" s="305">
        <v>0</v>
      </c>
      <c r="N821" s="305">
        <v>1</v>
      </c>
      <c r="O821" s="305">
        <v>0</v>
      </c>
      <c r="P821" s="305">
        <v>0</v>
      </c>
      <c r="Q821" s="203" t="s">
        <v>146</v>
      </c>
      <c r="R821" s="306"/>
    </row>
    <row r="822" spans="2:18" ht="22.5" customHeight="1" thickBot="1" x14ac:dyDescent="0.25">
      <c r="B822" s="305">
        <f t="shared" si="312"/>
        <v>86</v>
      </c>
      <c r="C822" s="305">
        <f>O822+M822+K822+I822+G822+E822</f>
        <v>0</v>
      </c>
      <c r="D822" s="305">
        <f>P822+N822+L822+J822+H822+F822</f>
        <v>86</v>
      </c>
      <c r="E822" s="305">
        <v>0</v>
      </c>
      <c r="F822" s="305">
        <v>10</v>
      </c>
      <c r="G822" s="305">
        <v>0</v>
      </c>
      <c r="H822" s="305">
        <v>5</v>
      </c>
      <c r="I822" s="305">
        <v>0</v>
      </c>
      <c r="J822" s="305">
        <v>18</v>
      </c>
      <c r="K822" s="305">
        <v>0</v>
      </c>
      <c r="L822" s="305">
        <v>51</v>
      </c>
      <c r="M822" s="305">
        <v>0</v>
      </c>
      <c r="N822" s="305">
        <v>2</v>
      </c>
      <c r="O822" s="305">
        <v>0</v>
      </c>
      <c r="P822" s="305">
        <v>0</v>
      </c>
      <c r="Q822" s="203" t="s">
        <v>145</v>
      </c>
      <c r="R822" s="306" t="s">
        <v>505</v>
      </c>
    </row>
    <row r="823" spans="2:18" ht="22.5" customHeight="1" thickBot="1" x14ac:dyDescent="0.25">
      <c r="B823" s="305">
        <f t="shared" ref="B823:P823" si="321">SUM(B821:B822)</f>
        <v>113</v>
      </c>
      <c r="C823" s="305">
        <f t="shared" si="321"/>
        <v>0</v>
      </c>
      <c r="D823" s="305">
        <f t="shared" si="321"/>
        <v>113</v>
      </c>
      <c r="E823" s="305">
        <f t="shared" si="321"/>
        <v>0</v>
      </c>
      <c r="F823" s="305">
        <f t="shared" si="321"/>
        <v>10</v>
      </c>
      <c r="G823" s="305">
        <f t="shared" si="321"/>
        <v>0</v>
      </c>
      <c r="H823" s="305">
        <f t="shared" si="321"/>
        <v>10</v>
      </c>
      <c r="I823" s="305">
        <f t="shared" si="321"/>
        <v>0</v>
      </c>
      <c r="J823" s="305">
        <f t="shared" si="321"/>
        <v>37</v>
      </c>
      <c r="K823" s="305">
        <f t="shared" si="321"/>
        <v>0</v>
      </c>
      <c r="L823" s="305">
        <f t="shared" si="321"/>
        <v>53</v>
      </c>
      <c r="M823" s="305">
        <f t="shared" si="321"/>
        <v>0</v>
      </c>
      <c r="N823" s="305">
        <f t="shared" si="321"/>
        <v>3</v>
      </c>
      <c r="O823" s="305">
        <f t="shared" si="321"/>
        <v>0</v>
      </c>
      <c r="P823" s="305">
        <f t="shared" si="321"/>
        <v>0</v>
      </c>
      <c r="Q823" s="203" t="s">
        <v>12</v>
      </c>
      <c r="R823" s="307"/>
    </row>
    <row r="824" spans="2:18" ht="22.5" customHeight="1" thickBot="1" x14ac:dyDescent="0.25">
      <c r="B824" s="305">
        <f t="shared" si="312"/>
        <v>100</v>
      </c>
      <c r="C824" s="305">
        <f>O824+M824+K824+I824+G824+E824</f>
        <v>100</v>
      </c>
      <c r="D824" s="305">
        <f>P824+N824+L824+J824+H824+F824</f>
        <v>0</v>
      </c>
      <c r="E824" s="305">
        <v>2</v>
      </c>
      <c r="F824" s="305">
        <v>0</v>
      </c>
      <c r="G824" s="305">
        <v>67</v>
      </c>
      <c r="H824" s="305">
        <v>0</v>
      </c>
      <c r="I824" s="305">
        <v>30</v>
      </c>
      <c r="J824" s="305">
        <v>0</v>
      </c>
      <c r="K824" s="305">
        <v>1</v>
      </c>
      <c r="L824" s="305">
        <v>0</v>
      </c>
      <c r="M824" s="305">
        <v>0</v>
      </c>
      <c r="N824" s="305">
        <v>0</v>
      </c>
      <c r="O824" s="305">
        <v>0</v>
      </c>
      <c r="P824" s="305">
        <v>0</v>
      </c>
      <c r="Q824" s="203" t="s">
        <v>146</v>
      </c>
      <c r="R824" s="306"/>
    </row>
    <row r="825" spans="2:18" ht="22.5" customHeight="1" thickBot="1" x14ac:dyDescent="0.25">
      <c r="B825" s="305">
        <f t="shared" si="312"/>
        <v>45</v>
      </c>
      <c r="C825" s="305">
        <f>O825+M825+K825+I825+G825+E825</f>
        <v>33</v>
      </c>
      <c r="D825" s="305">
        <f>P825+N825+L825+J825+H825+F825</f>
        <v>12</v>
      </c>
      <c r="E825" s="305">
        <v>0</v>
      </c>
      <c r="F825" s="305">
        <v>0</v>
      </c>
      <c r="G825" s="305">
        <v>0</v>
      </c>
      <c r="H825" s="305">
        <v>0</v>
      </c>
      <c r="I825" s="305">
        <v>20</v>
      </c>
      <c r="J825" s="305">
        <v>2</v>
      </c>
      <c r="K825" s="305">
        <v>12</v>
      </c>
      <c r="L825" s="305">
        <v>9</v>
      </c>
      <c r="M825" s="305">
        <v>1</v>
      </c>
      <c r="N825" s="305">
        <v>1</v>
      </c>
      <c r="O825" s="305">
        <v>0</v>
      </c>
      <c r="P825" s="305">
        <v>0</v>
      </c>
      <c r="Q825" s="203" t="s">
        <v>145</v>
      </c>
      <c r="R825" s="306" t="s">
        <v>506</v>
      </c>
    </row>
    <row r="826" spans="2:18" ht="22.5" customHeight="1" thickBot="1" x14ac:dyDescent="0.25">
      <c r="B826" s="305">
        <f t="shared" ref="B826:P826" si="322">SUM(B824:B825)</f>
        <v>145</v>
      </c>
      <c r="C826" s="305">
        <f t="shared" si="322"/>
        <v>133</v>
      </c>
      <c r="D826" s="305">
        <f t="shared" si="322"/>
        <v>12</v>
      </c>
      <c r="E826" s="305">
        <f t="shared" si="322"/>
        <v>2</v>
      </c>
      <c r="F826" s="305">
        <f t="shared" si="322"/>
        <v>0</v>
      </c>
      <c r="G826" s="305">
        <f t="shared" si="322"/>
        <v>67</v>
      </c>
      <c r="H826" s="305">
        <f t="shared" si="322"/>
        <v>0</v>
      </c>
      <c r="I826" s="305">
        <f t="shared" si="322"/>
        <v>50</v>
      </c>
      <c r="J826" s="305">
        <f t="shared" si="322"/>
        <v>2</v>
      </c>
      <c r="K826" s="305">
        <f t="shared" si="322"/>
        <v>13</v>
      </c>
      <c r="L826" s="305">
        <f t="shared" si="322"/>
        <v>9</v>
      </c>
      <c r="M826" s="305">
        <f t="shared" si="322"/>
        <v>1</v>
      </c>
      <c r="N826" s="305">
        <f t="shared" si="322"/>
        <v>1</v>
      </c>
      <c r="O826" s="305">
        <f t="shared" si="322"/>
        <v>0</v>
      </c>
      <c r="P826" s="305">
        <f t="shared" si="322"/>
        <v>0</v>
      </c>
      <c r="Q826" s="203" t="s">
        <v>12</v>
      </c>
      <c r="R826" s="307"/>
    </row>
    <row r="827" spans="2:18" ht="22.5" customHeight="1" thickBot="1" x14ac:dyDescent="0.25">
      <c r="B827" s="305">
        <f t="shared" si="312"/>
        <v>2</v>
      </c>
      <c r="C827" s="305">
        <f>O827+M827+K827+I827+G827+E827</f>
        <v>0</v>
      </c>
      <c r="D827" s="305">
        <f>P827+N827+L827+J827+H827+F827</f>
        <v>2</v>
      </c>
      <c r="E827" s="305">
        <v>0</v>
      </c>
      <c r="F827" s="305">
        <v>0</v>
      </c>
      <c r="G827" s="305">
        <v>0</v>
      </c>
      <c r="H827" s="305">
        <v>0</v>
      </c>
      <c r="I827" s="305">
        <v>0</v>
      </c>
      <c r="J827" s="305">
        <v>0</v>
      </c>
      <c r="K827" s="305">
        <v>0</v>
      </c>
      <c r="L827" s="305">
        <v>2</v>
      </c>
      <c r="M827" s="305">
        <v>0</v>
      </c>
      <c r="N827" s="305">
        <v>0</v>
      </c>
      <c r="O827" s="305">
        <v>0</v>
      </c>
      <c r="P827" s="305">
        <v>0</v>
      </c>
      <c r="Q827" s="203" t="s">
        <v>146</v>
      </c>
      <c r="R827" s="306"/>
    </row>
    <row r="828" spans="2:18" ht="22.5" customHeight="1" thickBot="1" x14ac:dyDescent="0.25">
      <c r="B828" s="305">
        <f t="shared" si="312"/>
        <v>0</v>
      </c>
      <c r="C828" s="305">
        <f>O828+M828+K828+I828+G828+E828</f>
        <v>0</v>
      </c>
      <c r="D828" s="305">
        <f>P828+N828+L828+J828+H828+F828</f>
        <v>0</v>
      </c>
      <c r="E828" s="305">
        <v>0</v>
      </c>
      <c r="F828" s="305">
        <v>0</v>
      </c>
      <c r="G828" s="305">
        <v>0</v>
      </c>
      <c r="H828" s="305">
        <v>0</v>
      </c>
      <c r="I828" s="305">
        <v>0</v>
      </c>
      <c r="J828" s="305">
        <v>0</v>
      </c>
      <c r="K828" s="305">
        <v>0</v>
      </c>
      <c r="L828" s="305">
        <v>0</v>
      </c>
      <c r="M828" s="305">
        <v>0</v>
      </c>
      <c r="N828" s="305">
        <v>0</v>
      </c>
      <c r="O828" s="305">
        <v>0</v>
      </c>
      <c r="P828" s="305">
        <v>0</v>
      </c>
      <c r="Q828" s="203" t="s">
        <v>145</v>
      </c>
      <c r="R828" s="306" t="s">
        <v>507</v>
      </c>
    </row>
    <row r="829" spans="2:18" ht="22.5" customHeight="1" thickBot="1" x14ac:dyDescent="0.25">
      <c r="B829" s="305">
        <f t="shared" ref="B829:P829" si="323">SUM(B827:B828)</f>
        <v>2</v>
      </c>
      <c r="C829" s="305">
        <f t="shared" si="323"/>
        <v>0</v>
      </c>
      <c r="D829" s="305">
        <f t="shared" si="323"/>
        <v>2</v>
      </c>
      <c r="E829" s="305">
        <f t="shared" si="323"/>
        <v>0</v>
      </c>
      <c r="F829" s="305">
        <f t="shared" si="323"/>
        <v>0</v>
      </c>
      <c r="G829" s="305">
        <f t="shared" si="323"/>
        <v>0</v>
      </c>
      <c r="H829" s="305">
        <f t="shared" si="323"/>
        <v>0</v>
      </c>
      <c r="I829" s="305">
        <f t="shared" si="323"/>
        <v>0</v>
      </c>
      <c r="J829" s="305">
        <f t="shared" si="323"/>
        <v>0</v>
      </c>
      <c r="K829" s="305">
        <f t="shared" si="323"/>
        <v>0</v>
      </c>
      <c r="L829" s="305">
        <f t="shared" si="323"/>
        <v>2</v>
      </c>
      <c r="M829" s="305">
        <f t="shared" si="323"/>
        <v>0</v>
      </c>
      <c r="N829" s="305">
        <f t="shared" si="323"/>
        <v>0</v>
      </c>
      <c r="O829" s="305">
        <f t="shared" si="323"/>
        <v>0</v>
      </c>
      <c r="P829" s="305">
        <f t="shared" si="323"/>
        <v>0</v>
      </c>
      <c r="Q829" s="203" t="s">
        <v>12</v>
      </c>
      <c r="R829" s="307"/>
    </row>
    <row r="830" spans="2:18" ht="22.5" customHeight="1" thickBot="1" x14ac:dyDescent="0.25">
      <c r="B830" s="305">
        <f t="shared" si="312"/>
        <v>2</v>
      </c>
      <c r="C830" s="305">
        <f>O830+M830+K830+I830+G830+E830</f>
        <v>2</v>
      </c>
      <c r="D830" s="305">
        <f>P830+N830+L830+J830+H830+F830</f>
        <v>0</v>
      </c>
      <c r="E830" s="305">
        <v>0</v>
      </c>
      <c r="F830" s="305">
        <v>0</v>
      </c>
      <c r="G830" s="305">
        <v>2</v>
      </c>
      <c r="H830" s="305">
        <v>0</v>
      </c>
      <c r="I830" s="305">
        <v>0</v>
      </c>
      <c r="J830" s="305">
        <v>0</v>
      </c>
      <c r="K830" s="305">
        <v>0</v>
      </c>
      <c r="L830" s="305">
        <v>0</v>
      </c>
      <c r="M830" s="305">
        <v>0</v>
      </c>
      <c r="N830" s="305">
        <v>0</v>
      </c>
      <c r="O830" s="305">
        <v>0</v>
      </c>
      <c r="P830" s="305">
        <v>0</v>
      </c>
      <c r="Q830" s="203" t="s">
        <v>146</v>
      </c>
      <c r="R830" s="306"/>
    </row>
    <row r="831" spans="2:18" ht="22.5" customHeight="1" thickBot="1" x14ac:dyDescent="0.25">
      <c r="B831" s="305">
        <f t="shared" si="312"/>
        <v>11</v>
      </c>
      <c r="C831" s="305">
        <f>O831+M831+K831+I831+G831+E831</f>
        <v>11</v>
      </c>
      <c r="D831" s="305">
        <f>P831+N831+L831+J831+H831+F831</f>
        <v>0</v>
      </c>
      <c r="E831" s="305">
        <v>5</v>
      </c>
      <c r="F831" s="305">
        <v>0</v>
      </c>
      <c r="G831" s="305">
        <v>0</v>
      </c>
      <c r="H831" s="305">
        <v>0</v>
      </c>
      <c r="I831" s="305">
        <v>5</v>
      </c>
      <c r="J831" s="305">
        <v>0</v>
      </c>
      <c r="K831" s="305">
        <v>1</v>
      </c>
      <c r="L831" s="305">
        <v>0</v>
      </c>
      <c r="M831" s="305">
        <v>0</v>
      </c>
      <c r="N831" s="305">
        <v>0</v>
      </c>
      <c r="O831" s="305">
        <v>0</v>
      </c>
      <c r="P831" s="305">
        <v>0</v>
      </c>
      <c r="Q831" s="203" t="s">
        <v>145</v>
      </c>
      <c r="R831" s="306" t="s">
        <v>276</v>
      </c>
    </row>
    <row r="832" spans="2:18" ht="22.5" customHeight="1" thickBot="1" x14ac:dyDescent="0.25">
      <c r="B832" s="305">
        <f t="shared" ref="B832:P832" si="324">SUM(B830:B831)</f>
        <v>13</v>
      </c>
      <c r="C832" s="305">
        <f t="shared" si="324"/>
        <v>13</v>
      </c>
      <c r="D832" s="305">
        <f t="shared" si="324"/>
        <v>0</v>
      </c>
      <c r="E832" s="305">
        <f t="shared" si="324"/>
        <v>5</v>
      </c>
      <c r="F832" s="305">
        <f t="shared" si="324"/>
        <v>0</v>
      </c>
      <c r="G832" s="305">
        <f t="shared" si="324"/>
        <v>2</v>
      </c>
      <c r="H832" s="305">
        <f t="shared" si="324"/>
        <v>0</v>
      </c>
      <c r="I832" s="305">
        <f t="shared" si="324"/>
        <v>5</v>
      </c>
      <c r="J832" s="305">
        <f t="shared" si="324"/>
        <v>0</v>
      </c>
      <c r="K832" s="305">
        <f t="shared" si="324"/>
        <v>1</v>
      </c>
      <c r="L832" s="305">
        <f t="shared" si="324"/>
        <v>0</v>
      </c>
      <c r="M832" s="305">
        <f t="shared" si="324"/>
        <v>0</v>
      </c>
      <c r="N832" s="305">
        <f t="shared" si="324"/>
        <v>0</v>
      </c>
      <c r="O832" s="305">
        <f t="shared" si="324"/>
        <v>0</v>
      </c>
      <c r="P832" s="305">
        <f t="shared" si="324"/>
        <v>0</v>
      </c>
      <c r="Q832" s="203" t="s">
        <v>12</v>
      </c>
      <c r="R832" s="307"/>
    </row>
    <row r="833" spans="2:18" ht="22.5" customHeight="1" thickBot="1" x14ac:dyDescent="0.25">
      <c r="B833" s="305">
        <f t="shared" si="312"/>
        <v>3</v>
      </c>
      <c r="C833" s="305">
        <f>O833+M833+K833+I833+G833+E833</f>
        <v>0</v>
      </c>
      <c r="D833" s="305">
        <f>P833+N833+L833+J833+H833+F833</f>
        <v>3</v>
      </c>
      <c r="E833" s="305">
        <v>0</v>
      </c>
      <c r="F833" s="305">
        <v>1</v>
      </c>
      <c r="G833" s="305">
        <v>0</v>
      </c>
      <c r="H833" s="305">
        <v>2</v>
      </c>
      <c r="I833" s="305">
        <v>0</v>
      </c>
      <c r="J833" s="305">
        <v>0</v>
      </c>
      <c r="K833" s="305">
        <v>0</v>
      </c>
      <c r="L833" s="305">
        <v>0</v>
      </c>
      <c r="M833" s="305">
        <v>0</v>
      </c>
      <c r="N833" s="305">
        <v>0</v>
      </c>
      <c r="O833" s="305">
        <v>0</v>
      </c>
      <c r="P833" s="305">
        <v>0</v>
      </c>
      <c r="Q833" s="203" t="s">
        <v>146</v>
      </c>
      <c r="R833" s="306"/>
    </row>
    <row r="834" spans="2:18" ht="22.5" customHeight="1" thickBot="1" x14ac:dyDescent="0.25">
      <c r="B834" s="305">
        <f t="shared" si="312"/>
        <v>16</v>
      </c>
      <c r="C834" s="305">
        <f>O834+M834+K834+I834+G834+E834</f>
        <v>0</v>
      </c>
      <c r="D834" s="305">
        <f>P834+N834+L834+J834+H834+F834</f>
        <v>16</v>
      </c>
      <c r="E834" s="305">
        <v>0</v>
      </c>
      <c r="F834" s="305">
        <v>4</v>
      </c>
      <c r="G834" s="305">
        <v>0</v>
      </c>
      <c r="H834" s="305">
        <v>0</v>
      </c>
      <c r="I834" s="305">
        <v>0</v>
      </c>
      <c r="J834" s="305">
        <v>9</v>
      </c>
      <c r="K834" s="305">
        <v>0</v>
      </c>
      <c r="L834" s="305">
        <v>3</v>
      </c>
      <c r="M834" s="305">
        <v>0</v>
      </c>
      <c r="N834" s="305">
        <v>0</v>
      </c>
      <c r="O834" s="305">
        <v>0</v>
      </c>
      <c r="P834" s="305">
        <v>0</v>
      </c>
      <c r="Q834" s="203" t="s">
        <v>145</v>
      </c>
      <c r="R834" s="306" t="s">
        <v>774</v>
      </c>
    </row>
    <row r="835" spans="2:18" ht="22.5" customHeight="1" thickBot="1" x14ac:dyDescent="0.25">
      <c r="B835" s="305">
        <f t="shared" ref="B835:P835" si="325">SUM(B833:B834)</f>
        <v>19</v>
      </c>
      <c r="C835" s="305">
        <f t="shared" si="325"/>
        <v>0</v>
      </c>
      <c r="D835" s="305">
        <f t="shared" si="325"/>
        <v>19</v>
      </c>
      <c r="E835" s="305">
        <f t="shared" si="325"/>
        <v>0</v>
      </c>
      <c r="F835" s="305">
        <f t="shared" si="325"/>
        <v>5</v>
      </c>
      <c r="G835" s="305">
        <f t="shared" si="325"/>
        <v>0</v>
      </c>
      <c r="H835" s="305">
        <f t="shared" si="325"/>
        <v>2</v>
      </c>
      <c r="I835" s="305">
        <f t="shared" si="325"/>
        <v>0</v>
      </c>
      <c r="J835" s="305">
        <f t="shared" si="325"/>
        <v>9</v>
      </c>
      <c r="K835" s="305">
        <f t="shared" si="325"/>
        <v>0</v>
      </c>
      <c r="L835" s="305">
        <f t="shared" si="325"/>
        <v>3</v>
      </c>
      <c r="M835" s="305">
        <f t="shared" si="325"/>
        <v>0</v>
      </c>
      <c r="N835" s="305">
        <f t="shared" si="325"/>
        <v>0</v>
      </c>
      <c r="O835" s="305">
        <f t="shared" si="325"/>
        <v>0</v>
      </c>
      <c r="P835" s="305">
        <f t="shared" si="325"/>
        <v>0</v>
      </c>
      <c r="Q835" s="203" t="s">
        <v>12</v>
      </c>
      <c r="R835" s="307"/>
    </row>
    <row r="836" spans="2:18" ht="22.5" customHeight="1" thickBot="1" x14ac:dyDescent="0.25">
      <c r="B836" s="305">
        <f t="shared" si="312"/>
        <v>12</v>
      </c>
      <c r="C836" s="305">
        <f>O836+M836+K836+I836+G836+E836</f>
        <v>12</v>
      </c>
      <c r="D836" s="305">
        <f>P836+N836+L836+J836+H836+F836</f>
        <v>0</v>
      </c>
      <c r="E836" s="305">
        <v>1</v>
      </c>
      <c r="F836" s="305">
        <v>0</v>
      </c>
      <c r="G836" s="305">
        <v>11</v>
      </c>
      <c r="H836" s="305">
        <v>0</v>
      </c>
      <c r="I836" s="305">
        <v>0</v>
      </c>
      <c r="J836" s="305">
        <v>0</v>
      </c>
      <c r="K836" s="305">
        <v>0</v>
      </c>
      <c r="L836" s="305">
        <v>0</v>
      </c>
      <c r="M836" s="305">
        <v>0</v>
      </c>
      <c r="N836" s="305">
        <v>0</v>
      </c>
      <c r="O836" s="305">
        <v>0</v>
      </c>
      <c r="P836" s="305">
        <v>0</v>
      </c>
      <c r="Q836" s="203" t="s">
        <v>146</v>
      </c>
      <c r="R836" s="306"/>
    </row>
    <row r="837" spans="2:18" ht="22.5" customHeight="1" thickBot="1" x14ac:dyDescent="0.25">
      <c r="B837" s="305">
        <f t="shared" si="312"/>
        <v>3</v>
      </c>
      <c r="C837" s="305">
        <f>O837+M837+K837+I837+G837+E837</f>
        <v>3</v>
      </c>
      <c r="D837" s="305">
        <f>P837+N837+L837+J837+H837+F837</f>
        <v>0</v>
      </c>
      <c r="E837" s="305">
        <v>0</v>
      </c>
      <c r="F837" s="305">
        <v>0</v>
      </c>
      <c r="G837" s="305">
        <v>0</v>
      </c>
      <c r="H837" s="305">
        <v>0</v>
      </c>
      <c r="I837" s="305">
        <v>1</v>
      </c>
      <c r="J837" s="305">
        <v>0</v>
      </c>
      <c r="K837" s="305">
        <v>2</v>
      </c>
      <c r="L837" s="305">
        <v>0</v>
      </c>
      <c r="M837" s="305">
        <v>0</v>
      </c>
      <c r="N837" s="305">
        <v>0</v>
      </c>
      <c r="O837" s="305">
        <v>0</v>
      </c>
      <c r="P837" s="305">
        <v>0</v>
      </c>
      <c r="Q837" s="203" t="s">
        <v>145</v>
      </c>
      <c r="R837" s="306" t="s">
        <v>278</v>
      </c>
    </row>
    <row r="838" spans="2:18" ht="22.5" customHeight="1" thickBot="1" x14ac:dyDescent="0.25">
      <c r="B838" s="305">
        <f t="shared" ref="B838:P838" si="326">SUM(B836:B837)</f>
        <v>15</v>
      </c>
      <c r="C838" s="305">
        <f t="shared" si="326"/>
        <v>15</v>
      </c>
      <c r="D838" s="305">
        <f t="shared" si="326"/>
        <v>0</v>
      </c>
      <c r="E838" s="305">
        <f t="shared" si="326"/>
        <v>1</v>
      </c>
      <c r="F838" s="305">
        <f t="shared" si="326"/>
        <v>0</v>
      </c>
      <c r="G838" s="305">
        <f t="shared" si="326"/>
        <v>11</v>
      </c>
      <c r="H838" s="305">
        <f t="shared" si="326"/>
        <v>0</v>
      </c>
      <c r="I838" s="305">
        <f t="shared" si="326"/>
        <v>1</v>
      </c>
      <c r="J838" s="305">
        <f t="shared" si="326"/>
        <v>0</v>
      </c>
      <c r="K838" s="305">
        <f t="shared" si="326"/>
        <v>2</v>
      </c>
      <c r="L838" s="305">
        <f t="shared" si="326"/>
        <v>0</v>
      </c>
      <c r="M838" s="305">
        <f t="shared" si="326"/>
        <v>0</v>
      </c>
      <c r="N838" s="305">
        <f t="shared" si="326"/>
        <v>0</v>
      </c>
      <c r="O838" s="305">
        <f t="shared" si="326"/>
        <v>0</v>
      </c>
      <c r="P838" s="305">
        <f t="shared" si="326"/>
        <v>0</v>
      </c>
      <c r="Q838" s="203" t="s">
        <v>12</v>
      </c>
      <c r="R838" s="307"/>
    </row>
    <row r="839" spans="2:18" ht="22.5" customHeight="1" thickBot="1" x14ac:dyDescent="0.25">
      <c r="B839" s="305">
        <f t="shared" ref="B839:P841" si="327">B836+B833+B830+B827+B824+B821+B818+B815+B809+B812+B806+B803+B800+B797</f>
        <v>263</v>
      </c>
      <c r="C839" s="305">
        <f t="shared" si="327"/>
        <v>148</v>
      </c>
      <c r="D839" s="305">
        <f t="shared" si="327"/>
        <v>115</v>
      </c>
      <c r="E839" s="305">
        <f t="shared" si="327"/>
        <v>3</v>
      </c>
      <c r="F839" s="305">
        <f t="shared" si="327"/>
        <v>1</v>
      </c>
      <c r="G839" s="305">
        <f t="shared" si="327"/>
        <v>105</v>
      </c>
      <c r="H839" s="305">
        <f t="shared" si="327"/>
        <v>67</v>
      </c>
      <c r="I839" s="305">
        <f t="shared" si="327"/>
        <v>36</v>
      </c>
      <c r="J839" s="305">
        <f t="shared" si="327"/>
        <v>35</v>
      </c>
      <c r="K839" s="305">
        <f t="shared" si="327"/>
        <v>4</v>
      </c>
      <c r="L839" s="305">
        <f t="shared" si="327"/>
        <v>11</v>
      </c>
      <c r="M839" s="305">
        <f t="shared" si="327"/>
        <v>0</v>
      </c>
      <c r="N839" s="305">
        <f t="shared" si="327"/>
        <v>1</v>
      </c>
      <c r="O839" s="305">
        <f t="shared" si="327"/>
        <v>0</v>
      </c>
      <c r="P839" s="305">
        <f t="shared" si="327"/>
        <v>0</v>
      </c>
      <c r="Q839" s="203" t="s">
        <v>146</v>
      </c>
      <c r="R839" s="280"/>
    </row>
    <row r="840" spans="2:18" ht="22.5" customHeight="1" thickBot="1" x14ac:dyDescent="0.25">
      <c r="B840" s="305">
        <f t="shared" si="327"/>
        <v>385</v>
      </c>
      <c r="C840" s="305">
        <f t="shared" si="327"/>
        <v>124</v>
      </c>
      <c r="D840" s="305">
        <f t="shared" si="327"/>
        <v>261</v>
      </c>
      <c r="E840" s="305">
        <f t="shared" si="327"/>
        <v>5</v>
      </c>
      <c r="F840" s="305">
        <f t="shared" si="327"/>
        <v>14</v>
      </c>
      <c r="G840" s="305">
        <f t="shared" si="327"/>
        <v>0</v>
      </c>
      <c r="H840" s="305">
        <f t="shared" si="327"/>
        <v>5</v>
      </c>
      <c r="I840" s="305">
        <f t="shared" si="327"/>
        <v>72</v>
      </c>
      <c r="J840" s="305">
        <f t="shared" si="327"/>
        <v>81</v>
      </c>
      <c r="K840" s="305">
        <f t="shared" si="327"/>
        <v>44</v>
      </c>
      <c r="L840" s="305">
        <f t="shared" si="327"/>
        <v>133</v>
      </c>
      <c r="M840" s="305">
        <f t="shared" si="327"/>
        <v>3</v>
      </c>
      <c r="N840" s="305">
        <f t="shared" si="327"/>
        <v>24</v>
      </c>
      <c r="O840" s="305">
        <f t="shared" si="327"/>
        <v>0</v>
      </c>
      <c r="P840" s="305">
        <f t="shared" si="327"/>
        <v>4</v>
      </c>
      <c r="Q840" s="203" t="s">
        <v>145</v>
      </c>
      <c r="R840" s="281" t="s">
        <v>188</v>
      </c>
    </row>
    <row r="841" spans="2:18" ht="22.5" customHeight="1" thickBot="1" x14ac:dyDescent="0.25">
      <c r="B841" s="305">
        <f t="shared" si="327"/>
        <v>648</v>
      </c>
      <c r="C841" s="305">
        <f t="shared" si="327"/>
        <v>272</v>
      </c>
      <c r="D841" s="305">
        <f t="shared" si="327"/>
        <v>376</v>
      </c>
      <c r="E841" s="305">
        <f t="shared" si="327"/>
        <v>8</v>
      </c>
      <c r="F841" s="305">
        <f t="shared" si="327"/>
        <v>15</v>
      </c>
      <c r="G841" s="305">
        <f t="shared" si="327"/>
        <v>105</v>
      </c>
      <c r="H841" s="305">
        <f t="shared" si="327"/>
        <v>72</v>
      </c>
      <c r="I841" s="305">
        <f t="shared" si="327"/>
        <v>108</v>
      </c>
      <c r="J841" s="305">
        <f t="shared" si="327"/>
        <v>116</v>
      </c>
      <c r="K841" s="305">
        <f t="shared" si="327"/>
        <v>48</v>
      </c>
      <c r="L841" s="305">
        <f t="shared" si="327"/>
        <v>144</v>
      </c>
      <c r="M841" s="305">
        <f t="shared" si="327"/>
        <v>3</v>
      </c>
      <c r="N841" s="305">
        <f t="shared" si="327"/>
        <v>25</v>
      </c>
      <c r="O841" s="305">
        <f t="shared" si="327"/>
        <v>0</v>
      </c>
      <c r="P841" s="305">
        <f t="shared" si="327"/>
        <v>4</v>
      </c>
      <c r="Q841" s="203" t="s">
        <v>12</v>
      </c>
      <c r="R841" s="282"/>
    </row>
    <row r="842" spans="2:18" ht="22.5" customHeight="1" thickBot="1" x14ac:dyDescent="0.25">
      <c r="B842" s="319"/>
      <c r="C842" s="319"/>
      <c r="D842" s="319"/>
      <c r="E842" s="319"/>
      <c r="F842" s="319"/>
      <c r="G842" s="319"/>
      <c r="H842" s="319"/>
      <c r="I842" s="319"/>
      <c r="J842" s="319"/>
      <c r="K842" s="319"/>
      <c r="L842" s="319"/>
      <c r="M842" s="319"/>
      <c r="N842" s="319"/>
      <c r="O842" s="319"/>
      <c r="P842" s="319"/>
      <c r="Q842" s="320"/>
      <c r="R842" s="320"/>
    </row>
    <row r="843" spans="2:18" ht="22.5" customHeight="1" thickBot="1" x14ac:dyDescent="0.25">
      <c r="B843" s="477" t="s">
        <v>4</v>
      </c>
      <c r="C843" s="477"/>
      <c r="D843" s="477"/>
      <c r="E843" s="477" t="s">
        <v>735</v>
      </c>
      <c r="F843" s="477"/>
      <c r="G843" s="477" t="s">
        <v>736</v>
      </c>
      <c r="H843" s="477"/>
      <c r="I843" s="477" t="s">
        <v>737</v>
      </c>
      <c r="J843" s="477"/>
      <c r="K843" s="477" t="s">
        <v>738</v>
      </c>
      <c r="L843" s="477"/>
      <c r="M843" s="477" t="s">
        <v>739</v>
      </c>
      <c r="N843" s="477"/>
      <c r="O843" s="477" t="s">
        <v>740</v>
      </c>
      <c r="P843" s="477"/>
      <c r="Q843" s="575" t="s">
        <v>741</v>
      </c>
      <c r="R843" s="304" t="s">
        <v>144</v>
      </c>
    </row>
    <row r="844" spans="2:18" ht="22.5" customHeight="1" thickBot="1" x14ac:dyDescent="0.25">
      <c r="B844" s="204" t="s">
        <v>227</v>
      </c>
      <c r="C844" s="204" t="s">
        <v>10</v>
      </c>
      <c r="D844" s="204" t="s">
        <v>9</v>
      </c>
      <c r="E844" s="204" t="s">
        <v>10</v>
      </c>
      <c r="F844" s="204" t="s">
        <v>9</v>
      </c>
      <c r="G844" s="204" t="s">
        <v>10</v>
      </c>
      <c r="H844" s="204" t="s">
        <v>9</v>
      </c>
      <c r="I844" s="204" t="s">
        <v>10</v>
      </c>
      <c r="J844" s="204" t="s">
        <v>9</v>
      </c>
      <c r="K844" s="204" t="s">
        <v>10</v>
      </c>
      <c r="L844" s="204" t="s">
        <v>9</v>
      </c>
      <c r="M844" s="204" t="s">
        <v>10</v>
      </c>
      <c r="N844" s="204" t="s">
        <v>9</v>
      </c>
      <c r="O844" s="204" t="s">
        <v>10</v>
      </c>
      <c r="P844" s="204" t="s">
        <v>9</v>
      </c>
      <c r="Q844" s="481"/>
      <c r="R844" s="282" t="s">
        <v>115</v>
      </c>
    </row>
    <row r="845" spans="2:18" ht="22.5" customHeight="1" thickBot="1" x14ac:dyDescent="0.25">
      <c r="B845" s="305">
        <f>SUM(C845:D845)</f>
        <v>16</v>
      </c>
      <c r="C845" s="305">
        <f>O845+M845+K845+I845+G845+E845</f>
        <v>0</v>
      </c>
      <c r="D845" s="305">
        <f>P845+N845+L845+J845+H845+F845</f>
        <v>16</v>
      </c>
      <c r="E845" s="305">
        <v>0</v>
      </c>
      <c r="F845" s="305">
        <v>0</v>
      </c>
      <c r="G845" s="305">
        <v>0</v>
      </c>
      <c r="H845" s="305">
        <v>15</v>
      </c>
      <c r="I845" s="305">
        <v>0</v>
      </c>
      <c r="J845" s="305">
        <v>0</v>
      </c>
      <c r="K845" s="305">
        <v>0</v>
      </c>
      <c r="L845" s="305">
        <v>0</v>
      </c>
      <c r="M845" s="305">
        <v>0</v>
      </c>
      <c r="N845" s="305">
        <v>0</v>
      </c>
      <c r="O845" s="305">
        <v>0</v>
      </c>
      <c r="P845" s="305">
        <v>1</v>
      </c>
      <c r="Q845" s="203" t="s">
        <v>146</v>
      </c>
      <c r="R845" s="306"/>
    </row>
    <row r="846" spans="2:18" ht="22.5" customHeight="1" thickBot="1" x14ac:dyDescent="0.25">
      <c r="B846" s="305">
        <f t="shared" ref="B846:B867" si="328">SUM(C846:D846)</f>
        <v>10</v>
      </c>
      <c r="C846" s="305">
        <f>O846+M846+K846+I846+G846+E846</f>
        <v>0</v>
      </c>
      <c r="D846" s="305">
        <f>P846+N846+L846+J846+H846+F846</f>
        <v>10</v>
      </c>
      <c r="E846" s="305">
        <v>0</v>
      </c>
      <c r="F846" s="305">
        <v>0</v>
      </c>
      <c r="G846" s="305">
        <v>0</v>
      </c>
      <c r="H846" s="305">
        <v>0</v>
      </c>
      <c r="I846" s="305">
        <v>0</v>
      </c>
      <c r="J846" s="305">
        <v>5</v>
      </c>
      <c r="K846" s="305">
        <v>0</v>
      </c>
      <c r="L846" s="305">
        <v>3</v>
      </c>
      <c r="M846" s="305">
        <v>0</v>
      </c>
      <c r="N846" s="305">
        <v>2</v>
      </c>
      <c r="O846" s="305">
        <v>0</v>
      </c>
      <c r="P846" s="305">
        <v>0</v>
      </c>
      <c r="Q846" s="203" t="s">
        <v>145</v>
      </c>
      <c r="R846" s="306" t="s">
        <v>367</v>
      </c>
    </row>
    <row r="847" spans="2:18" ht="22.5" customHeight="1" thickBot="1" x14ac:dyDescent="0.25">
      <c r="B847" s="305">
        <f t="shared" ref="B847:P847" si="329">SUM(B845:B846)</f>
        <v>26</v>
      </c>
      <c r="C847" s="305">
        <f t="shared" si="329"/>
        <v>0</v>
      </c>
      <c r="D847" s="305">
        <f t="shared" si="329"/>
        <v>26</v>
      </c>
      <c r="E847" s="305">
        <f t="shared" si="329"/>
        <v>0</v>
      </c>
      <c r="F847" s="305">
        <f t="shared" si="329"/>
        <v>0</v>
      </c>
      <c r="G847" s="305">
        <f t="shared" si="329"/>
        <v>0</v>
      </c>
      <c r="H847" s="305">
        <f t="shared" si="329"/>
        <v>15</v>
      </c>
      <c r="I847" s="305">
        <f t="shared" si="329"/>
        <v>0</v>
      </c>
      <c r="J847" s="305">
        <f t="shared" si="329"/>
        <v>5</v>
      </c>
      <c r="K847" s="305">
        <f t="shared" si="329"/>
        <v>0</v>
      </c>
      <c r="L847" s="305">
        <f t="shared" si="329"/>
        <v>3</v>
      </c>
      <c r="M847" s="305">
        <f t="shared" si="329"/>
        <v>0</v>
      </c>
      <c r="N847" s="305">
        <f t="shared" si="329"/>
        <v>2</v>
      </c>
      <c r="O847" s="305">
        <f t="shared" si="329"/>
        <v>0</v>
      </c>
      <c r="P847" s="305">
        <f t="shared" si="329"/>
        <v>1</v>
      </c>
      <c r="Q847" s="203" t="s">
        <v>12</v>
      </c>
      <c r="R847" s="307"/>
    </row>
    <row r="848" spans="2:18" ht="22.5" customHeight="1" thickBot="1" x14ac:dyDescent="0.25">
      <c r="B848" s="305">
        <f t="shared" si="328"/>
        <v>7</v>
      </c>
      <c r="C848" s="305">
        <f>O848+M848+K848+I848+G848+E848</f>
        <v>7</v>
      </c>
      <c r="D848" s="305">
        <f>P848+N848+L848+J848+H848+F848</f>
        <v>0</v>
      </c>
      <c r="E848" s="305">
        <v>0</v>
      </c>
      <c r="F848" s="305">
        <v>0</v>
      </c>
      <c r="G848" s="305">
        <v>5</v>
      </c>
      <c r="H848" s="305">
        <v>0</v>
      </c>
      <c r="I848" s="305">
        <v>2</v>
      </c>
      <c r="J848" s="305">
        <v>0</v>
      </c>
      <c r="K848" s="305">
        <v>0</v>
      </c>
      <c r="L848" s="305">
        <v>0</v>
      </c>
      <c r="M848" s="305">
        <v>0</v>
      </c>
      <c r="N848" s="305">
        <v>0</v>
      </c>
      <c r="O848" s="305">
        <v>0</v>
      </c>
      <c r="P848" s="305">
        <v>0</v>
      </c>
      <c r="Q848" s="203" t="s">
        <v>146</v>
      </c>
      <c r="R848" s="306"/>
    </row>
    <row r="849" spans="2:18" ht="22.5" customHeight="1" thickBot="1" x14ac:dyDescent="0.25">
      <c r="B849" s="305">
        <f t="shared" si="328"/>
        <v>25</v>
      </c>
      <c r="C849" s="305">
        <f>O849+M849+K849+I849+G849+E849</f>
        <v>1</v>
      </c>
      <c r="D849" s="305">
        <f>P849+N849+L849+J849+H849+F849</f>
        <v>24</v>
      </c>
      <c r="E849" s="305">
        <v>0</v>
      </c>
      <c r="F849" s="305">
        <v>0</v>
      </c>
      <c r="G849" s="305">
        <v>0</v>
      </c>
      <c r="H849" s="305">
        <v>0</v>
      </c>
      <c r="I849" s="305">
        <v>0</v>
      </c>
      <c r="J849" s="305">
        <v>0</v>
      </c>
      <c r="K849" s="305">
        <v>1</v>
      </c>
      <c r="L849" s="305">
        <v>8</v>
      </c>
      <c r="M849" s="305">
        <v>0</v>
      </c>
      <c r="N849" s="305">
        <v>6</v>
      </c>
      <c r="O849" s="305">
        <v>0</v>
      </c>
      <c r="P849" s="305">
        <v>10</v>
      </c>
      <c r="Q849" s="203" t="s">
        <v>145</v>
      </c>
      <c r="R849" s="306" t="s">
        <v>347</v>
      </c>
    </row>
    <row r="850" spans="2:18" ht="22.5" customHeight="1" thickBot="1" x14ac:dyDescent="0.25">
      <c r="B850" s="305">
        <f t="shared" ref="B850:P850" si="330">SUM(B848:B849)</f>
        <v>32</v>
      </c>
      <c r="C850" s="305">
        <f t="shared" si="330"/>
        <v>8</v>
      </c>
      <c r="D850" s="305">
        <f t="shared" si="330"/>
        <v>24</v>
      </c>
      <c r="E850" s="305">
        <f t="shared" si="330"/>
        <v>0</v>
      </c>
      <c r="F850" s="305">
        <f t="shared" si="330"/>
        <v>0</v>
      </c>
      <c r="G850" s="305">
        <f t="shared" si="330"/>
        <v>5</v>
      </c>
      <c r="H850" s="305">
        <f t="shared" si="330"/>
        <v>0</v>
      </c>
      <c r="I850" s="305">
        <f t="shared" si="330"/>
        <v>2</v>
      </c>
      <c r="J850" s="305">
        <f t="shared" si="330"/>
        <v>0</v>
      </c>
      <c r="K850" s="305">
        <f t="shared" si="330"/>
        <v>1</v>
      </c>
      <c r="L850" s="305">
        <f t="shared" si="330"/>
        <v>8</v>
      </c>
      <c r="M850" s="305">
        <f t="shared" si="330"/>
        <v>0</v>
      </c>
      <c r="N850" s="305">
        <f t="shared" si="330"/>
        <v>6</v>
      </c>
      <c r="O850" s="305">
        <f t="shared" si="330"/>
        <v>0</v>
      </c>
      <c r="P850" s="305">
        <f t="shared" si="330"/>
        <v>10</v>
      </c>
      <c r="Q850" s="203" t="s">
        <v>12</v>
      </c>
      <c r="R850" s="307"/>
    </row>
    <row r="851" spans="2:18" ht="22.5" customHeight="1" thickBot="1" x14ac:dyDescent="0.25">
      <c r="B851" s="305">
        <f t="shared" si="328"/>
        <v>216</v>
      </c>
      <c r="C851" s="305">
        <f>O851+M851+K851+I851+G851+E851</f>
        <v>216</v>
      </c>
      <c r="D851" s="305">
        <f>P851+N851+L851+J851+H851+F851</f>
        <v>0</v>
      </c>
      <c r="E851" s="305">
        <v>0</v>
      </c>
      <c r="F851" s="305">
        <v>0</v>
      </c>
      <c r="G851" s="305">
        <v>166</v>
      </c>
      <c r="H851" s="305">
        <v>0</v>
      </c>
      <c r="I851" s="305">
        <v>28</v>
      </c>
      <c r="J851" s="305">
        <v>0</v>
      </c>
      <c r="K851" s="305">
        <v>21</v>
      </c>
      <c r="L851" s="305">
        <v>0</v>
      </c>
      <c r="M851" s="305">
        <v>1</v>
      </c>
      <c r="N851" s="305">
        <v>0</v>
      </c>
      <c r="O851" s="305">
        <v>0</v>
      </c>
      <c r="P851" s="305">
        <v>0</v>
      </c>
      <c r="Q851" s="203" t="s">
        <v>146</v>
      </c>
      <c r="R851" s="306"/>
    </row>
    <row r="852" spans="2:18" ht="22.5" customHeight="1" thickBot="1" x14ac:dyDescent="0.25">
      <c r="B852" s="305">
        <f t="shared" si="328"/>
        <v>89</v>
      </c>
      <c r="C852" s="305">
        <f>O852+M852+K852+I852+G852+E852</f>
        <v>51</v>
      </c>
      <c r="D852" s="305">
        <f>P852+N852+L852+J852+H852+F852</f>
        <v>38</v>
      </c>
      <c r="E852" s="305">
        <v>0</v>
      </c>
      <c r="F852" s="305">
        <v>0</v>
      </c>
      <c r="G852" s="305">
        <v>0</v>
      </c>
      <c r="H852" s="305">
        <v>0</v>
      </c>
      <c r="I852" s="305">
        <v>7</v>
      </c>
      <c r="J852" s="305">
        <v>3</v>
      </c>
      <c r="K852" s="305">
        <v>39</v>
      </c>
      <c r="L852" s="305">
        <v>22</v>
      </c>
      <c r="M852" s="305">
        <v>5</v>
      </c>
      <c r="N852" s="305">
        <v>13</v>
      </c>
      <c r="O852" s="305">
        <v>0</v>
      </c>
      <c r="P852" s="305">
        <v>0</v>
      </c>
      <c r="Q852" s="203" t="s">
        <v>145</v>
      </c>
      <c r="R852" s="306" t="s">
        <v>518</v>
      </c>
    </row>
    <row r="853" spans="2:18" ht="22.5" customHeight="1" thickBot="1" x14ac:dyDescent="0.25">
      <c r="B853" s="305">
        <f t="shared" ref="B853:P853" si="331">SUM(B851:B852)</f>
        <v>305</v>
      </c>
      <c r="C853" s="305">
        <f t="shared" si="331"/>
        <v>267</v>
      </c>
      <c r="D853" s="305">
        <f t="shared" si="331"/>
        <v>38</v>
      </c>
      <c r="E853" s="305">
        <f t="shared" si="331"/>
        <v>0</v>
      </c>
      <c r="F853" s="305">
        <f t="shared" si="331"/>
        <v>0</v>
      </c>
      <c r="G853" s="305">
        <f t="shared" si="331"/>
        <v>166</v>
      </c>
      <c r="H853" s="305">
        <f t="shared" si="331"/>
        <v>0</v>
      </c>
      <c r="I853" s="305">
        <f t="shared" si="331"/>
        <v>35</v>
      </c>
      <c r="J853" s="305">
        <f t="shared" si="331"/>
        <v>3</v>
      </c>
      <c r="K853" s="305">
        <f t="shared" si="331"/>
        <v>60</v>
      </c>
      <c r="L853" s="305">
        <f t="shared" si="331"/>
        <v>22</v>
      </c>
      <c r="M853" s="305">
        <f t="shared" si="331"/>
        <v>6</v>
      </c>
      <c r="N853" s="305">
        <f t="shared" si="331"/>
        <v>13</v>
      </c>
      <c r="O853" s="305">
        <f t="shared" si="331"/>
        <v>0</v>
      </c>
      <c r="P853" s="305">
        <f t="shared" si="331"/>
        <v>0</v>
      </c>
      <c r="Q853" s="203" t="s">
        <v>12</v>
      </c>
      <c r="R853" s="307"/>
    </row>
    <row r="854" spans="2:18" ht="22.5" customHeight="1" thickBot="1" x14ac:dyDescent="0.25">
      <c r="B854" s="305">
        <f t="shared" si="328"/>
        <v>119</v>
      </c>
      <c r="C854" s="305">
        <f>O854+M854+K854+I854+G854+E854</f>
        <v>0</v>
      </c>
      <c r="D854" s="305">
        <f>P854+N854+L854+J854+H854+F854</f>
        <v>119</v>
      </c>
      <c r="E854" s="305">
        <v>0</v>
      </c>
      <c r="F854" s="305">
        <v>1</v>
      </c>
      <c r="G854" s="305">
        <v>0</v>
      </c>
      <c r="H854" s="305">
        <v>75</v>
      </c>
      <c r="I854" s="305">
        <v>0</v>
      </c>
      <c r="J854" s="305">
        <v>21</v>
      </c>
      <c r="K854" s="305">
        <v>0</v>
      </c>
      <c r="L854" s="305">
        <v>20</v>
      </c>
      <c r="M854" s="305">
        <v>0</v>
      </c>
      <c r="N854" s="305">
        <v>1</v>
      </c>
      <c r="O854" s="305">
        <v>0</v>
      </c>
      <c r="P854" s="305">
        <v>1</v>
      </c>
      <c r="Q854" s="203" t="s">
        <v>146</v>
      </c>
      <c r="R854" s="306"/>
    </row>
    <row r="855" spans="2:18" ht="22.5" customHeight="1" thickBot="1" x14ac:dyDescent="0.25">
      <c r="B855" s="305">
        <f t="shared" si="328"/>
        <v>73</v>
      </c>
      <c r="C855" s="305">
        <f>O855+M855+K855+I855+G855+E855</f>
        <v>0</v>
      </c>
      <c r="D855" s="305">
        <f>P855+N855+L855+J855+H855+F855</f>
        <v>73</v>
      </c>
      <c r="E855" s="305">
        <v>0</v>
      </c>
      <c r="F855" s="305">
        <v>12</v>
      </c>
      <c r="G855" s="305">
        <v>0</v>
      </c>
      <c r="H855" s="305">
        <v>0</v>
      </c>
      <c r="I855" s="305">
        <v>0</v>
      </c>
      <c r="J855" s="305">
        <v>10</v>
      </c>
      <c r="K855" s="305">
        <v>0</v>
      </c>
      <c r="L855" s="305">
        <v>49</v>
      </c>
      <c r="M855" s="305">
        <v>0</v>
      </c>
      <c r="N855" s="305">
        <v>2</v>
      </c>
      <c r="O855" s="305">
        <v>0</v>
      </c>
      <c r="P855" s="305">
        <v>0</v>
      </c>
      <c r="Q855" s="203" t="s">
        <v>145</v>
      </c>
      <c r="R855" s="306" t="s">
        <v>256</v>
      </c>
    </row>
    <row r="856" spans="2:18" ht="22.5" customHeight="1" thickBot="1" x14ac:dyDescent="0.25">
      <c r="B856" s="305">
        <f t="shared" ref="B856:P856" si="332">SUM(B854:B855)</f>
        <v>192</v>
      </c>
      <c r="C856" s="305">
        <f t="shared" si="332"/>
        <v>0</v>
      </c>
      <c r="D856" s="305">
        <f t="shared" si="332"/>
        <v>192</v>
      </c>
      <c r="E856" s="305">
        <f t="shared" si="332"/>
        <v>0</v>
      </c>
      <c r="F856" s="305">
        <f t="shared" si="332"/>
        <v>13</v>
      </c>
      <c r="G856" s="305">
        <f t="shared" si="332"/>
        <v>0</v>
      </c>
      <c r="H856" s="305">
        <f t="shared" si="332"/>
        <v>75</v>
      </c>
      <c r="I856" s="305">
        <f t="shared" si="332"/>
        <v>0</v>
      </c>
      <c r="J856" s="305">
        <f t="shared" si="332"/>
        <v>31</v>
      </c>
      <c r="K856" s="305">
        <f t="shared" si="332"/>
        <v>0</v>
      </c>
      <c r="L856" s="305">
        <f t="shared" si="332"/>
        <v>69</v>
      </c>
      <c r="M856" s="305">
        <f t="shared" si="332"/>
        <v>0</v>
      </c>
      <c r="N856" s="305">
        <f t="shared" si="332"/>
        <v>3</v>
      </c>
      <c r="O856" s="305">
        <f t="shared" si="332"/>
        <v>0</v>
      </c>
      <c r="P856" s="305">
        <f t="shared" si="332"/>
        <v>1</v>
      </c>
      <c r="Q856" s="203" t="s">
        <v>12</v>
      </c>
      <c r="R856" s="307"/>
    </row>
    <row r="857" spans="2:18" ht="22.5" customHeight="1" thickBot="1" x14ac:dyDescent="0.25">
      <c r="B857" s="305">
        <f t="shared" si="328"/>
        <v>20</v>
      </c>
      <c r="C857" s="305">
        <f>O857+M857+K857+I857+G857+E857</f>
        <v>9</v>
      </c>
      <c r="D857" s="305">
        <f>P857+N857+L857+J857+H857+F857</f>
        <v>11</v>
      </c>
      <c r="E857" s="305">
        <v>4</v>
      </c>
      <c r="F857" s="305">
        <v>1</v>
      </c>
      <c r="G857" s="305">
        <v>5</v>
      </c>
      <c r="H857" s="305">
        <v>10</v>
      </c>
      <c r="I857" s="305">
        <v>0</v>
      </c>
      <c r="J857" s="305">
        <v>0</v>
      </c>
      <c r="K857" s="305">
        <v>0</v>
      </c>
      <c r="L857" s="305">
        <v>0</v>
      </c>
      <c r="M857" s="305">
        <v>0</v>
      </c>
      <c r="N857" s="305">
        <v>0</v>
      </c>
      <c r="O857" s="305">
        <v>0</v>
      </c>
      <c r="P857" s="305">
        <v>0</v>
      </c>
      <c r="Q857" s="203" t="s">
        <v>146</v>
      </c>
      <c r="R857" s="306"/>
    </row>
    <row r="858" spans="2:18" ht="22.5" customHeight="1" thickBot="1" x14ac:dyDescent="0.25">
      <c r="B858" s="305">
        <f t="shared" si="328"/>
        <v>30</v>
      </c>
      <c r="C858" s="305">
        <f>O858+M858+K858+I858+G858+E858</f>
        <v>7</v>
      </c>
      <c r="D858" s="305">
        <f>P858+N858+L858+J858+H858+F858</f>
        <v>23</v>
      </c>
      <c r="E858" s="305">
        <v>3</v>
      </c>
      <c r="F858" s="305">
        <v>9</v>
      </c>
      <c r="G858" s="305">
        <v>0</v>
      </c>
      <c r="H858" s="305">
        <v>0</v>
      </c>
      <c r="I858" s="305">
        <v>2</v>
      </c>
      <c r="J858" s="305">
        <v>8</v>
      </c>
      <c r="K858" s="305">
        <v>2</v>
      </c>
      <c r="L858" s="305">
        <v>6</v>
      </c>
      <c r="M858" s="305">
        <v>0</v>
      </c>
      <c r="N858" s="305">
        <v>0</v>
      </c>
      <c r="O858" s="305">
        <v>0</v>
      </c>
      <c r="P858" s="305">
        <v>0</v>
      </c>
      <c r="Q858" s="203" t="s">
        <v>145</v>
      </c>
      <c r="R858" s="306" t="s">
        <v>280</v>
      </c>
    </row>
    <row r="859" spans="2:18" ht="22.5" customHeight="1" thickBot="1" x14ac:dyDescent="0.25">
      <c r="B859" s="305">
        <f t="shared" ref="B859:P859" si="333">SUM(B857:B858)</f>
        <v>50</v>
      </c>
      <c r="C859" s="305">
        <f t="shared" si="333"/>
        <v>16</v>
      </c>
      <c r="D859" s="305">
        <f t="shared" si="333"/>
        <v>34</v>
      </c>
      <c r="E859" s="305">
        <f t="shared" si="333"/>
        <v>7</v>
      </c>
      <c r="F859" s="305">
        <f t="shared" si="333"/>
        <v>10</v>
      </c>
      <c r="G859" s="305">
        <f t="shared" si="333"/>
        <v>5</v>
      </c>
      <c r="H859" s="305">
        <f t="shared" si="333"/>
        <v>10</v>
      </c>
      <c r="I859" s="305">
        <f t="shared" si="333"/>
        <v>2</v>
      </c>
      <c r="J859" s="305">
        <f t="shared" si="333"/>
        <v>8</v>
      </c>
      <c r="K859" s="305">
        <f t="shared" si="333"/>
        <v>2</v>
      </c>
      <c r="L859" s="305">
        <f t="shared" si="333"/>
        <v>6</v>
      </c>
      <c r="M859" s="305">
        <f t="shared" si="333"/>
        <v>0</v>
      </c>
      <c r="N859" s="305">
        <f t="shared" si="333"/>
        <v>0</v>
      </c>
      <c r="O859" s="305">
        <f t="shared" si="333"/>
        <v>0</v>
      </c>
      <c r="P859" s="305">
        <f t="shared" si="333"/>
        <v>0</v>
      </c>
      <c r="Q859" s="203" t="s">
        <v>12</v>
      </c>
      <c r="R859" s="307"/>
    </row>
    <row r="860" spans="2:18" ht="22.5" customHeight="1" thickBot="1" x14ac:dyDescent="0.25">
      <c r="B860" s="305">
        <f t="shared" si="328"/>
        <v>10</v>
      </c>
      <c r="C860" s="305">
        <f>O860+M860+K860+I860+G860+E860</f>
        <v>0</v>
      </c>
      <c r="D860" s="305">
        <f>P860+N860+L860+J860+H860+F860</f>
        <v>10</v>
      </c>
      <c r="E860" s="305">
        <v>0</v>
      </c>
      <c r="F860" s="305">
        <v>0</v>
      </c>
      <c r="G860" s="305">
        <v>0</v>
      </c>
      <c r="H860" s="305">
        <v>10</v>
      </c>
      <c r="I860" s="305">
        <v>0</v>
      </c>
      <c r="J860" s="305">
        <v>0</v>
      </c>
      <c r="K860" s="305">
        <v>0</v>
      </c>
      <c r="L860" s="305">
        <v>0</v>
      </c>
      <c r="M860" s="305">
        <v>0</v>
      </c>
      <c r="N860" s="305">
        <v>0</v>
      </c>
      <c r="O860" s="305">
        <v>0</v>
      </c>
      <c r="P860" s="305">
        <v>0</v>
      </c>
      <c r="Q860" s="203" t="s">
        <v>146</v>
      </c>
      <c r="R860" s="306"/>
    </row>
    <row r="861" spans="2:18" ht="22.5" customHeight="1" thickBot="1" x14ac:dyDescent="0.25">
      <c r="B861" s="305">
        <f t="shared" si="328"/>
        <v>3</v>
      </c>
      <c r="C861" s="305">
        <f>O861+M861+K861+I861+G861+E861</f>
        <v>0</v>
      </c>
      <c r="D861" s="305">
        <f>P861+N861+L861+J861+H861+F861</f>
        <v>3</v>
      </c>
      <c r="E861" s="305">
        <v>0</v>
      </c>
      <c r="F861" s="305">
        <v>0</v>
      </c>
      <c r="G861" s="305">
        <v>0</v>
      </c>
      <c r="H861" s="305">
        <v>0</v>
      </c>
      <c r="I861" s="305">
        <v>0</v>
      </c>
      <c r="J861" s="305">
        <v>3</v>
      </c>
      <c r="K861" s="305">
        <v>0</v>
      </c>
      <c r="L861" s="305">
        <v>0</v>
      </c>
      <c r="M861" s="305">
        <v>0</v>
      </c>
      <c r="N861" s="305">
        <v>0</v>
      </c>
      <c r="O861" s="305">
        <v>0</v>
      </c>
      <c r="P861" s="305">
        <v>0</v>
      </c>
      <c r="Q861" s="203" t="s">
        <v>145</v>
      </c>
      <c r="R861" s="306" t="s">
        <v>344</v>
      </c>
    </row>
    <row r="862" spans="2:18" ht="22.5" customHeight="1" thickBot="1" x14ac:dyDescent="0.25">
      <c r="B862" s="305">
        <f t="shared" ref="B862:P862" si="334">SUM(B860:B861)</f>
        <v>13</v>
      </c>
      <c r="C862" s="305">
        <f t="shared" si="334"/>
        <v>0</v>
      </c>
      <c r="D862" s="305">
        <f t="shared" si="334"/>
        <v>13</v>
      </c>
      <c r="E862" s="305">
        <f t="shared" si="334"/>
        <v>0</v>
      </c>
      <c r="F862" s="305">
        <f t="shared" si="334"/>
        <v>0</v>
      </c>
      <c r="G862" s="305">
        <f t="shared" si="334"/>
        <v>0</v>
      </c>
      <c r="H862" s="305">
        <f t="shared" si="334"/>
        <v>10</v>
      </c>
      <c r="I862" s="305">
        <f t="shared" si="334"/>
        <v>0</v>
      </c>
      <c r="J862" s="305">
        <f t="shared" si="334"/>
        <v>3</v>
      </c>
      <c r="K862" s="305">
        <f t="shared" si="334"/>
        <v>0</v>
      </c>
      <c r="L862" s="305">
        <f t="shared" si="334"/>
        <v>0</v>
      </c>
      <c r="M862" s="305">
        <f t="shared" si="334"/>
        <v>0</v>
      </c>
      <c r="N862" s="305">
        <f t="shared" si="334"/>
        <v>0</v>
      </c>
      <c r="O862" s="305">
        <f t="shared" si="334"/>
        <v>0</v>
      </c>
      <c r="P862" s="305">
        <f t="shared" si="334"/>
        <v>0</v>
      </c>
      <c r="Q862" s="203" t="s">
        <v>12</v>
      </c>
      <c r="R862" s="307"/>
    </row>
    <row r="863" spans="2:18" ht="22.5" customHeight="1" thickBot="1" x14ac:dyDescent="0.25">
      <c r="B863" s="305">
        <f t="shared" si="328"/>
        <v>1</v>
      </c>
      <c r="C863" s="305">
        <f>O863+M863+K863+I863+G863+E863</f>
        <v>1</v>
      </c>
      <c r="D863" s="305">
        <f>P863+N863+L863+J863+H863+F863</f>
        <v>0</v>
      </c>
      <c r="E863" s="305">
        <v>0</v>
      </c>
      <c r="F863" s="305">
        <v>0</v>
      </c>
      <c r="G863" s="305">
        <v>0</v>
      </c>
      <c r="H863" s="305">
        <v>0</v>
      </c>
      <c r="I863" s="305">
        <v>0</v>
      </c>
      <c r="J863" s="305">
        <v>0</v>
      </c>
      <c r="K863" s="305">
        <v>1</v>
      </c>
      <c r="L863" s="305">
        <v>0</v>
      </c>
      <c r="M863" s="305">
        <v>0</v>
      </c>
      <c r="N863" s="305">
        <v>0</v>
      </c>
      <c r="O863" s="305">
        <v>0</v>
      </c>
      <c r="P863" s="305">
        <v>0</v>
      </c>
      <c r="Q863" s="203" t="s">
        <v>146</v>
      </c>
      <c r="R863" s="306"/>
    </row>
    <row r="864" spans="2:18" ht="22.5" customHeight="1" thickBot="1" x14ac:dyDescent="0.25">
      <c r="B864" s="305">
        <f t="shared" si="328"/>
        <v>0</v>
      </c>
      <c r="C864" s="305">
        <f>O864+M864+K864+I864+G864+E864</f>
        <v>0</v>
      </c>
      <c r="D864" s="305">
        <f>P864+N864+L864+J864+H864+F864</f>
        <v>0</v>
      </c>
      <c r="E864" s="305">
        <v>0</v>
      </c>
      <c r="F864" s="305">
        <v>0</v>
      </c>
      <c r="G864" s="305">
        <v>0</v>
      </c>
      <c r="H864" s="305">
        <v>0</v>
      </c>
      <c r="I864" s="305">
        <v>0</v>
      </c>
      <c r="J864" s="305">
        <v>0</v>
      </c>
      <c r="K864" s="305">
        <v>0</v>
      </c>
      <c r="L864" s="305">
        <v>0</v>
      </c>
      <c r="M864" s="305">
        <v>0</v>
      </c>
      <c r="N864" s="305">
        <v>0</v>
      </c>
      <c r="O864" s="305">
        <v>0</v>
      </c>
      <c r="P864" s="305">
        <v>0</v>
      </c>
      <c r="Q864" s="203" t="s">
        <v>145</v>
      </c>
      <c r="R864" s="306" t="s">
        <v>282</v>
      </c>
    </row>
    <row r="865" spans="2:18" ht="22.5" customHeight="1" thickBot="1" x14ac:dyDescent="0.25">
      <c r="B865" s="305">
        <f t="shared" ref="B865:P865" si="335">SUM(B863:B864)</f>
        <v>1</v>
      </c>
      <c r="C865" s="305">
        <f t="shared" si="335"/>
        <v>1</v>
      </c>
      <c r="D865" s="305">
        <f t="shared" si="335"/>
        <v>0</v>
      </c>
      <c r="E865" s="305">
        <f t="shared" si="335"/>
        <v>0</v>
      </c>
      <c r="F865" s="305">
        <f t="shared" si="335"/>
        <v>0</v>
      </c>
      <c r="G865" s="305">
        <f t="shared" si="335"/>
        <v>0</v>
      </c>
      <c r="H865" s="305">
        <f t="shared" si="335"/>
        <v>0</v>
      </c>
      <c r="I865" s="305">
        <f t="shared" si="335"/>
        <v>0</v>
      </c>
      <c r="J865" s="305">
        <f t="shared" si="335"/>
        <v>0</v>
      </c>
      <c r="K865" s="305">
        <f t="shared" si="335"/>
        <v>1</v>
      </c>
      <c r="L865" s="305">
        <f t="shared" si="335"/>
        <v>0</v>
      </c>
      <c r="M865" s="305">
        <f t="shared" si="335"/>
        <v>0</v>
      </c>
      <c r="N865" s="305">
        <f t="shared" si="335"/>
        <v>0</v>
      </c>
      <c r="O865" s="305">
        <f t="shared" si="335"/>
        <v>0</v>
      </c>
      <c r="P865" s="305">
        <f t="shared" si="335"/>
        <v>0</v>
      </c>
      <c r="Q865" s="203" t="s">
        <v>12</v>
      </c>
      <c r="R865" s="307"/>
    </row>
    <row r="866" spans="2:18" ht="22.5" customHeight="1" thickBot="1" x14ac:dyDescent="0.25">
      <c r="B866" s="305">
        <f t="shared" si="328"/>
        <v>38</v>
      </c>
      <c r="C866" s="305">
        <f>O866+M866+K866+I866+G866+E866</f>
        <v>38</v>
      </c>
      <c r="D866" s="305">
        <f>P866+N866+L866+J866+H866+F866</f>
        <v>0</v>
      </c>
      <c r="E866" s="305">
        <v>1</v>
      </c>
      <c r="F866" s="305">
        <v>0</v>
      </c>
      <c r="G866" s="305">
        <v>35</v>
      </c>
      <c r="H866" s="305">
        <v>0</v>
      </c>
      <c r="I866" s="305">
        <v>1</v>
      </c>
      <c r="J866" s="305">
        <v>0</v>
      </c>
      <c r="K866" s="305">
        <v>1</v>
      </c>
      <c r="L866" s="305">
        <v>0</v>
      </c>
      <c r="M866" s="305">
        <v>0</v>
      </c>
      <c r="N866" s="305">
        <v>0</v>
      </c>
      <c r="O866" s="305">
        <v>0</v>
      </c>
      <c r="P866" s="305">
        <v>0</v>
      </c>
      <c r="Q866" s="203" t="s">
        <v>146</v>
      </c>
      <c r="R866" s="306"/>
    </row>
    <row r="867" spans="2:18" ht="22.5" customHeight="1" thickBot="1" x14ac:dyDescent="0.25">
      <c r="B867" s="305">
        <f t="shared" si="328"/>
        <v>33</v>
      </c>
      <c r="C867" s="305">
        <f>O867+M867+K867+I867+G867+E867</f>
        <v>28</v>
      </c>
      <c r="D867" s="305">
        <f>P867+N867+L867+J867+H867+F867</f>
        <v>5</v>
      </c>
      <c r="E867" s="305">
        <v>0</v>
      </c>
      <c r="F867" s="305">
        <v>0</v>
      </c>
      <c r="G867" s="305">
        <v>0</v>
      </c>
      <c r="H867" s="305">
        <v>0</v>
      </c>
      <c r="I867" s="305">
        <v>10</v>
      </c>
      <c r="J867" s="305">
        <v>0</v>
      </c>
      <c r="K867" s="305">
        <v>11</v>
      </c>
      <c r="L867" s="305">
        <v>5</v>
      </c>
      <c r="M867" s="305">
        <v>1</v>
      </c>
      <c r="N867" s="305">
        <v>0</v>
      </c>
      <c r="O867" s="305">
        <v>6</v>
      </c>
      <c r="P867" s="305">
        <v>0</v>
      </c>
      <c r="Q867" s="203" t="s">
        <v>145</v>
      </c>
      <c r="R867" s="306" t="s">
        <v>517</v>
      </c>
    </row>
    <row r="868" spans="2:18" ht="22.5" customHeight="1" thickBot="1" x14ac:dyDescent="0.25">
      <c r="B868" s="305">
        <f t="shared" ref="B868:P868" si="336">SUM(B866:B867)</f>
        <v>71</v>
      </c>
      <c r="C868" s="305">
        <f t="shared" si="336"/>
        <v>66</v>
      </c>
      <c r="D868" s="305">
        <f t="shared" si="336"/>
        <v>5</v>
      </c>
      <c r="E868" s="305">
        <f t="shared" si="336"/>
        <v>1</v>
      </c>
      <c r="F868" s="305">
        <f t="shared" si="336"/>
        <v>0</v>
      </c>
      <c r="G868" s="305">
        <f t="shared" si="336"/>
        <v>35</v>
      </c>
      <c r="H868" s="305">
        <f t="shared" si="336"/>
        <v>0</v>
      </c>
      <c r="I868" s="305">
        <f t="shared" si="336"/>
        <v>11</v>
      </c>
      <c r="J868" s="305">
        <f t="shared" si="336"/>
        <v>0</v>
      </c>
      <c r="K868" s="305">
        <f t="shared" si="336"/>
        <v>12</v>
      </c>
      <c r="L868" s="305">
        <f t="shared" si="336"/>
        <v>5</v>
      </c>
      <c r="M868" s="305">
        <f t="shared" si="336"/>
        <v>1</v>
      </c>
      <c r="N868" s="305">
        <f t="shared" si="336"/>
        <v>0</v>
      </c>
      <c r="O868" s="305">
        <f t="shared" si="336"/>
        <v>6</v>
      </c>
      <c r="P868" s="305">
        <f t="shared" si="336"/>
        <v>0</v>
      </c>
      <c r="Q868" s="203" t="s">
        <v>12</v>
      </c>
      <c r="R868" s="307"/>
    </row>
    <row r="869" spans="2:18" ht="22.5" customHeight="1" thickBot="1" x14ac:dyDescent="0.25">
      <c r="B869" s="305">
        <f t="shared" ref="B869:P871" si="337">B866+B863+B860+B857+B854+B851+B848+B845</f>
        <v>427</v>
      </c>
      <c r="C869" s="305">
        <f t="shared" si="337"/>
        <v>271</v>
      </c>
      <c r="D869" s="305">
        <f t="shared" si="337"/>
        <v>156</v>
      </c>
      <c r="E869" s="305">
        <f t="shared" si="337"/>
        <v>5</v>
      </c>
      <c r="F869" s="305">
        <f t="shared" si="337"/>
        <v>2</v>
      </c>
      <c r="G869" s="305">
        <f t="shared" si="337"/>
        <v>211</v>
      </c>
      <c r="H869" s="305">
        <f t="shared" si="337"/>
        <v>110</v>
      </c>
      <c r="I869" s="305">
        <f t="shared" si="337"/>
        <v>31</v>
      </c>
      <c r="J869" s="305">
        <f t="shared" si="337"/>
        <v>21</v>
      </c>
      <c r="K869" s="305">
        <f t="shared" si="337"/>
        <v>23</v>
      </c>
      <c r="L869" s="305">
        <f t="shared" si="337"/>
        <v>20</v>
      </c>
      <c r="M869" s="305">
        <f t="shared" si="337"/>
        <v>1</v>
      </c>
      <c r="N869" s="305">
        <f t="shared" si="337"/>
        <v>1</v>
      </c>
      <c r="O869" s="305">
        <f t="shared" si="337"/>
        <v>0</v>
      </c>
      <c r="P869" s="305">
        <f>P866+P863+P860+P857+P854+P851+P848+P845</f>
        <v>2</v>
      </c>
      <c r="Q869" s="203" t="s">
        <v>146</v>
      </c>
      <c r="R869" s="280"/>
    </row>
    <row r="870" spans="2:18" ht="22.5" customHeight="1" thickBot="1" x14ac:dyDescent="0.25">
      <c r="B870" s="305">
        <f t="shared" si="337"/>
        <v>263</v>
      </c>
      <c r="C870" s="305">
        <f t="shared" si="337"/>
        <v>87</v>
      </c>
      <c r="D870" s="305">
        <f t="shared" si="337"/>
        <v>176</v>
      </c>
      <c r="E870" s="305">
        <f t="shared" si="337"/>
        <v>3</v>
      </c>
      <c r="F870" s="305">
        <f t="shared" si="337"/>
        <v>21</v>
      </c>
      <c r="G870" s="305">
        <f t="shared" si="337"/>
        <v>0</v>
      </c>
      <c r="H870" s="305">
        <f t="shared" si="337"/>
        <v>0</v>
      </c>
      <c r="I870" s="305">
        <f t="shared" si="337"/>
        <v>19</v>
      </c>
      <c r="J870" s="305">
        <f t="shared" si="337"/>
        <v>29</v>
      </c>
      <c r="K870" s="305">
        <f t="shared" si="337"/>
        <v>53</v>
      </c>
      <c r="L870" s="305">
        <f t="shared" si="337"/>
        <v>93</v>
      </c>
      <c r="M870" s="305">
        <f t="shared" si="337"/>
        <v>6</v>
      </c>
      <c r="N870" s="305">
        <f t="shared" si="337"/>
        <v>23</v>
      </c>
      <c r="O870" s="305">
        <f t="shared" si="337"/>
        <v>6</v>
      </c>
      <c r="P870" s="305">
        <f t="shared" si="337"/>
        <v>10</v>
      </c>
      <c r="Q870" s="203" t="s">
        <v>145</v>
      </c>
      <c r="R870" s="281" t="s">
        <v>188</v>
      </c>
    </row>
    <row r="871" spans="2:18" ht="22.5" customHeight="1" thickBot="1" x14ac:dyDescent="0.25">
      <c r="B871" s="305">
        <f t="shared" si="337"/>
        <v>690</v>
      </c>
      <c r="C871" s="305">
        <f t="shared" si="337"/>
        <v>358</v>
      </c>
      <c r="D871" s="305">
        <f t="shared" si="337"/>
        <v>332</v>
      </c>
      <c r="E871" s="305">
        <f t="shared" si="337"/>
        <v>8</v>
      </c>
      <c r="F871" s="305">
        <f t="shared" si="337"/>
        <v>23</v>
      </c>
      <c r="G871" s="305">
        <f t="shared" si="337"/>
        <v>211</v>
      </c>
      <c r="H871" s="305">
        <f t="shared" si="337"/>
        <v>110</v>
      </c>
      <c r="I871" s="305">
        <f t="shared" si="337"/>
        <v>50</v>
      </c>
      <c r="J871" s="305">
        <f t="shared" si="337"/>
        <v>50</v>
      </c>
      <c r="K871" s="305">
        <f t="shared" si="337"/>
        <v>76</v>
      </c>
      <c r="L871" s="305">
        <f t="shared" si="337"/>
        <v>113</v>
      </c>
      <c r="M871" s="305">
        <f t="shared" si="337"/>
        <v>7</v>
      </c>
      <c r="N871" s="305">
        <f t="shared" si="337"/>
        <v>24</v>
      </c>
      <c r="O871" s="305">
        <f t="shared" si="337"/>
        <v>6</v>
      </c>
      <c r="P871" s="305">
        <f t="shared" si="337"/>
        <v>12</v>
      </c>
      <c r="Q871" s="203" t="s">
        <v>12</v>
      </c>
      <c r="R871" s="282"/>
    </row>
    <row r="872" spans="2:18" ht="22.5" customHeight="1" thickBot="1" x14ac:dyDescent="0.25">
      <c r="B872" s="319"/>
      <c r="C872" s="319"/>
      <c r="D872" s="319"/>
      <c r="E872" s="319"/>
      <c r="F872" s="319"/>
      <c r="G872" s="319"/>
      <c r="H872" s="319"/>
      <c r="I872" s="319"/>
      <c r="J872" s="319"/>
      <c r="K872" s="319"/>
      <c r="L872" s="319"/>
      <c r="M872" s="319"/>
      <c r="N872" s="319"/>
      <c r="O872" s="319"/>
      <c r="P872" s="319"/>
      <c r="Q872" s="320"/>
      <c r="R872" s="320"/>
    </row>
    <row r="873" spans="2:18" ht="22.5" customHeight="1" thickBot="1" x14ac:dyDescent="0.25">
      <c r="B873" s="477" t="s">
        <v>4</v>
      </c>
      <c r="C873" s="477"/>
      <c r="D873" s="477"/>
      <c r="E873" s="477" t="s">
        <v>735</v>
      </c>
      <c r="F873" s="477"/>
      <c r="G873" s="477" t="s">
        <v>736</v>
      </c>
      <c r="H873" s="477"/>
      <c r="I873" s="477" t="s">
        <v>737</v>
      </c>
      <c r="J873" s="477"/>
      <c r="K873" s="477" t="s">
        <v>738</v>
      </c>
      <c r="L873" s="477"/>
      <c r="M873" s="477" t="s">
        <v>739</v>
      </c>
      <c r="N873" s="477"/>
      <c r="O873" s="477" t="s">
        <v>740</v>
      </c>
      <c r="P873" s="477"/>
      <c r="Q873" s="575" t="s">
        <v>741</v>
      </c>
      <c r="R873" s="304" t="s">
        <v>144</v>
      </c>
    </row>
    <row r="874" spans="2:18" ht="22.5" customHeight="1" thickBot="1" x14ac:dyDescent="0.25">
      <c r="B874" s="204" t="s">
        <v>227</v>
      </c>
      <c r="C874" s="204" t="s">
        <v>10</v>
      </c>
      <c r="D874" s="204" t="s">
        <v>9</v>
      </c>
      <c r="E874" s="204" t="s">
        <v>10</v>
      </c>
      <c r="F874" s="204" t="s">
        <v>9</v>
      </c>
      <c r="G874" s="204" t="s">
        <v>10</v>
      </c>
      <c r="H874" s="204" t="s">
        <v>9</v>
      </c>
      <c r="I874" s="204" t="s">
        <v>10</v>
      </c>
      <c r="J874" s="204" t="s">
        <v>9</v>
      </c>
      <c r="K874" s="204" t="s">
        <v>10</v>
      </c>
      <c r="L874" s="204" t="s">
        <v>9</v>
      </c>
      <c r="M874" s="204" t="s">
        <v>10</v>
      </c>
      <c r="N874" s="204" t="s">
        <v>9</v>
      </c>
      <c r="O874" s="204" t="s">
        <v>10</v>
      </c>
      <c r="P874" s="204" t="s">
        <v>9</v>
      </c>
      <c r="Q874" s="481"/>
      <c r="R874" s="282" t="s">
        <v>117</v>
      </c>
    </row>
    <row r="875" spans="2:18" ht="22.5" customHeight="1" thickBot="1" x14ac:dyDescent="0.25">
      <c r="B875" s="305">
        <f>SUM(C875:D875)</f>
        <v>61</v>
      </c>
      <c r="C875" s="305">
        <f t="shared" ref="C875:D879" si="338">O875+M875+K875+I875+G875+E875</f>
        <v>0</v>
      </c>
      <c r="D875" s="305">
        <f t="shared" si="338"/>
        <v>61</v>
      </c>
      <c r="E875" s="305">
        <v>0</v>
      </c>
      <c r="F875" s="305">
        <v>0</v>
      </c>
      <c r="G875" s="305">
        <v>0</v>
      </c>
      <c r="H875" s="305">
        <v>24</v>
      </c>
      <c r="I875" s="305">
        <v>0</v>
      </c>
      <c r="J875" s="305">
        <v>22</v>
      </c>
      <c r="K875" s="305">
        <v>0</v>
      </c>
      <c r="L875" s="305">
        <v>15</v>
      </c>
      <c r="M875" s="305">
        <v>0</v>
      </c>
      <c r="N875" s="305">
        <v>0</v>
      </c>
      <c r="O875" s="305">
        <v>0</v>
      </c>
      <c r="P875" s="305">
        <v>0</v>
      </c>
      <c r="Q875" s="203" t="s">
        <v>146</v>
      </c>
      <c r="R875" s="306"/>
    </row>
    <row r="876" spans="2:18" ht="22.5" customHeight="1" thickBot="1" x14ac:dyDescent="0.25">
      <c r="B876" s="305">
        <f t="shared" ref="B876:B903" si="339">SUM(C876:D876)</f>
        <v>82</v>
      </c>
      <c r="C876" s="305">
        <f t="shared" si="338"/>
        <v>0</v>
      </c>
      <c r="D876" s="305">
        <f t="shared" si="338"/>
        <v>82</v>
      </c>
      <c r="E876" s="305">
        <v>0</v>
      </c>
      <c r="F876" s="305">
        <v>4</v>
      </c>
      <c r="G876" s="305">
        <v>0</v>
      </c>
      <c r="H876" s="305">
        <v>3</v>
      </c>
      <c r="I876" s="305">
        <v>0</v>
      </c>
      <c r="J876" s="305">
        <v>3</v>
      </c>
      <c r="K876" s="305">
        <v>0</v>
      </c>
      <c r="L876" s="305">
        <v>72</v>
      </c>
      <c r="M876" s="305">
        <v>0</v>
      </c>
      <c r="N876" s="305">
        <v>0</v>
      </c>
      <c r="O876" s="305">
        <v>0</v>
      </c>
      <c r="P876" s="305">
        <v>0</v>
      </c>
      <c r="Q876" s="203" t="s">
        <v>145</v>
      </c>
      <c r="R876" s="306" t="s">
        <v>520</v>
      </c>
    </row>
    <row r="877" spans="2:18" ht="22.5" customHeight="1" thickBot="1" x14ac:dyDescent="0.25">
      <c r="B877" s="305">
        <f t="shared" si="339"/>
        <v>143</v>
      </c>
      <c r="C877" s="305">
        <f t="shared" si="338"/>
        <v>0</v>
      </c>
      <c r="D877" s="305">
        <f t="shared" si="338"/>
        <v>143</v>
      </c>
      <c r="E877" s="305">
        <f t="shared" ref="E877:P877" si="340">SUM(E875:E876)</f>
        <v>0</v>
      </c>
      <c r="F877" s="305">
        <f t="shared" si="340"/>
        <v>4</v>
      </c>
      <c r="G877" s="305">
        <f t="shared" si="340"/>
        <v>0</v>
      </c>
      <c r="H877" s="305">
        <f t="shared" si="340"/>
        <v>27</v>
      </c>
      <c r="I877" s="305">
        <f t="shared" si="340"/>
        <v>0</v>
      </c>
      <c r="J877" s="305">
        <f t="shared" si="340"/>
        <v>25</v>
      </c>
      <c r="K877" s="305">
        <f t="shared" si="340"/>
        <v>0</v>
      </c>
      <c r="L877" s="305">
        <f t="shared" si="340"/>
        <v>87</v>
      </c>
      <c r="M877" s="305">
        <f t="shared" si="340"/>
        <v>0</v>
      </c>
      <c r="N877" s="305">
        <f t="shared" si="340"/>
        <v>0</v>
      </c>
      <c r="O877" s="305">
        <f t="shared" si="340"/>
        <v>0</v>
      </c>
      <c r="P877" s="305">
        <f t="shared" si="340"/>
        <v>0</v>
      </c>
      <c r="Q877" s="203" t="s">
        <v>12</v>
      </c>
      <c r="R877" s="307"/>
    </row>
    <row r="878" spans="2:18" ht="22.5" customHeight="1" thickBot="1" x14ac:dyDescent="0.25">
      <c r="B878" s="305">
        <f t="shared" si="339"/>
        <v>34</v>
      </c>
      <c r="C878" s="305">
        <f t="shared" si="338"/>
        <v>14</v>
      </c>
      <c r="D878" s="305">
        <f t="shared" si="338"/>
        <v>20</v>
      </c>
      <c r="E878" s="305">
        <v>0</v>
      </c>
      <c r="F878" s="305">
        <v>0</v>
      </c>
      <c r="G878" s="305">
        <v>14</v>
      </c>
      <c r="H878" s="305">
        <v>16</v>
      </c>
      <c r="I878" s="305">
        <v>0</v>
      </c>
      <c r="J878" s="305">
        <v>0</v>
      </c>
      <c r="K878" s="305">
        <v>0</v>
      </c>
      <c r="L878" s="305">
        <v>2</v>
      </c>
      <c r="M878" s="305">
        <v>0</v>
      </c>
      <c r="N878" s="305">
        <v>2</v>
      </c>
      <c r="O878" s="305">
        <v>0</v>
      </c>
      <c r="P878" s="305">
        <v>0</v>
      </c>
      <c r="Q878" s="203" t="s">
        <v>146</v>
      </c>
      <c r="R878" s="306"/>
    </row>
    <row r="879" spans="2:18" ht="22.5" customHeight="1" thickBot="1" x14ac:dyDescent="0.25">
      <c r="B879" s="305">
        <f t="shared" si="339"/>
        <v>9</v>
      </c>
      <c r="C879" s="305">
        <f t="shared" si="338"/>
        <v>0</v>
      </c>
      <c r="D879" s="305">
        <f t="shared" si="338"/>
        <v>9</v>
      </c>
      <c r="E879" s="305">
        <v>0</v>
      </c>
      <c r="F879" s="305">
        <v>0</v>
      </c>
      <c r="G879" s="305">
        <v>0</v>
      </c>
      <c r="H879" s="305">
        <v>0</v>
      </c>
      <c r="I879" s="305">
        <v>0</v>
      </c>
      <c r="J879" s="305">
        <v>3</v>
      </c>
      <c r="K879" s="305">
        <v>0</v>
      </c>
      <c r="L879" s="305">
        <v>6</v>
      </c>
      <c r="M879" s="305">
        <v>0</v>
      </c>
      <c r="N879" s="305">
        <v>0</v>
      </c>
      <c r="O879" s="305">
        <v>0</v>
      </c>
      <c r="P879" s="305">
        <v>0</v>
      </c>
      <c r="Q879" s="203" t="s">
        <v>145</v>
      </c>
      <c r="R879" s="306" t="s">
        <v>367</v>
      </c>
    </row>
    <row r="880" spans="2:18" ht="22.5" customHeight="1" thickBot="1" x14ac:dyDescent="0.25">
      <c r="B880" s="305">
        <f t="shared" ref="B880:P880" si="341">SUM(B878:B879)</f>
        <v>43</v>
      </c>
      <c r="C880" s="305">
        <f t="shared" si="341"/>
        <v>14</v>
      </c>
      <c r="D880" s="305">
        <f t="shared" si="341"/>
        <v>29</v>
      </c>
      <c r="E880" s="305">
        <f t="shared" si="341"/>
        <v>0</v>
      </c>
      <c r="F880" s="305">
        <f t="shared" si="341"/>
        <v>0</v>
      </c>
      <c r="G880" s="305">
        <f t="shared" si="341"/>
        <v>14</v>
      </c>
      <c r="H880" s="305">
        <f t="shared" si="341"/>
        <v>16</v>
      </c>
      <c r="I880" s="305">
        <f t="shared" si="341"/>
        <v>0</v>
      </c>
      <c r="J880" s="305">
        <f t="shared" si="341"/>
        <v>3</v>
      </c>
      <c r="K880" s="305">
        <f t="shared" si="341"/>
        <v>0</v>
      </c>
      <c r="L880" s="305">
        <f t="shared" si="341"/>
        <v>8</v>
      </c>
      <c r="M880" s="305">
        <f t="shared" si="341"/>
        <v>0</v>
      </c>
      <c r="N880" s="305">
        <f t="shared" si="341"/>
        <v>2</v>
      </c>
      <c r="O880" s="305">
        <f t="shared" si="341"/>
        <v>0</v>
      </c>
      <c r="P880" s="305">
        <f t="shared" si="341"/>
        <v>0</v>
      </c>
      <c r="Q880" s="203" t="s">
        <v>12</v>
      </c>
      <c r="R880" s="307"/>
    </row>
    <row r="881" spans="2:18" ht="22.5" customHeight="1" thickBot="1" x14ac:dyDescent="0.25">
      <c r="B881" s="305">
        <f t="shared" si="339"/>
        <v>17</v>
      </c>
      <c r="C881" s="305">
        <f>O881+M881+K881+I881+G881+E881</f>
        <v>0</v>
      </c>
      <c r="D881" s="305">
        <f>P881+N881+L881+J881+H881+F881</f>
        <v>17</v>
      </c>
      <c r="E881" s="305">
        <v>0</v>
      </c>
      <c r="F881" s="305">
        <v>0</v>
      </c>
      <c r="G881" s="305">
        <v>0</v>
      </c>
      <c r="H881" s="305">
        <v>10</v>
      </c>
      <c r="I881" s="305">
        <v>0</v>
      </c>
      <c r="J881" s="305">
        <v>0</v>
      </c>
      <c r="K881" s="305">
        <v>0</v>
      </c>
      <c r="L881" s="305">
        <v>2</v>
      </c>
      <c r="M881" s="305">
        <v>0</v>
      </c>
      <c r="N881" s="305">
        <v>3</v>
      </c>
      <c r="O881" s="305">
        <v>0</v>
      </c>
      <c r="P881" s="305">
        <v>2</v>
      </c>
      <c r="Q881" s="203" t="s">
        <v>146</v>
      </c>
      <c r="R881" s="306"/>
    </row>
    <row r="882" spans="2:18" ht="22.5" customHeight="1" thickBot="1" x14ac:dyDescent="0.25">
      <c r="B882" s="305">
        <f t="shared" si="339"/>
        <v>54</v>
      </c>
      <c r="C882" s="305">
        <f>O882+M882+K882+I882+G882+E882</f>
        <v>0</v>
      </c>
      <c r="D882" s="305">
        <f>P882+N882+L882+J882+H882+F882</f>
        <v>54</v>
      </c>
      <c r="E882" s="305">
        <v>0</v>
      </c>
      <c r="F882" s="305">
        <v>0</v>
      </c>
      <c r="G882" s="305">
        <v>0</v>
      </c>
      <c r="H882" s="305">
        <v>0</v>
      </c>
      <c r="I882" s="305">
        <v>0</v>
      </c>
      <c r="J882" s="305">
        <v>5</v>
      </c>
      <c r="K882" s="305">
        <v>0</v>
      </c>
      <c r="L882" s="305">
        <v>17</v>
      </c>
      <c r="M882" s="305">
        <v>0</v>
      </c>
      <c r="N882" s="305">
        <v>15</v>
      </c>
      <c r="O882" s="305">
        <v>0</v>
      </c>
      <c r="P882" s="305">
        <v>17</v>
      </c>
      <c r="Q882" s="203" t="s">
        <v>145</v>
      </c>
      <c r="R882" s="306" t="s">
        <v>454</v>
      </c>
    </row>
    <row r="883" spans="2:18" ht="22.5" customHeight="1" thickBot="1" x14ac:dyDescent="0.25">
      <c r="B883" s="305">
        <f t="shared" ref="B883:P883" si="342">SUM(B881:B882)</f>
        <v>71</v>
      </c>
      <c r="C883" s="305">
        <f t="shared" si="342"/>
        <v>0</v>
      </c>
      <c r="D883" s="305">
        <f t="shared" si="342"/>
        <v>71</v>
      </c>
      <c r="E883" s="305">
        <f t="shared" si="342"/>
        <v>0</v>
      </c>
      <c r="F883" s="305">
        <f t="shared" si="342"/>
        <v>0</v>
      </c>
      <c r="G883" s="305">
        <f t="shared" si="342"/>
        <v>0</v>
      </c>
      <c r="H883" s="305">
        <f t="shared" si="342"/>
        <v>10</v>
      </c>
      <c r="I883" s="305">
        <f t="shared" si="342"/>
        <v>0</v>
      </c>
      <c r="J883" s="305">
        <f t="shared" si="342"/>
        <v>5</v>
      </c>
      <c r="K883" s="305">
        <f t="shared" si="342"/>
        <v>0</v>
      </c>
      <c r="L883" s="305">
        <f t="shared" si="342"/>
        <v>19</v>
      </c>
      <c r="M883" s="305">
        <f t="shared" si="342"/>
        <v>0</v>
      </c>
      <c r="N883" s="305">
        <f t="shared" si="342"/>
        <v>18</v>
      </c>
      <c r="O883" s="305">
        <f t="shared" si="342"/>
        <v>0</v>
      </c>
      <c r="P883" s="305">
        <f t="shared" si="342"/>
        <v>19</v>
      </c>
      <c r="Q883" s="203" t="s">
        <v>12</v>
      </c>
      <c r="R883" s="307"/>
    </row>
    <row r="884" spans="2:18" ht="22.5" customHeight="1" thickBot="1" x14ac:dyDescent="0.25">
      <c r="B884" s="305">
        <f t="shared" si="339"/>
        <v>0</v>
      </c>
      <c r="C884" s="305">
        <f>O884+M884+K884+I884+G884+E884</f>
        <v>0</v>
      </c>
      <c r="D884" s="305">
        <f>P884+N884+L884+J884+H884+F884</f>
        <v>0</v>
      </c>
      <c r="E884" s="305">
        <v>0</v>
      </c>
      <c r="F884" s="305">
        <v>0</v>
      </c>
      <c r="G884" s="305">
        <v>0</v>
      </c>
      <c r="H884" s="305">
        <v>0</v>
      </c>
      <c r="I884" s="305">
        <v>0</v>
      </c>
      <c r="J884" s="305">
        <v>0</v>
      </c>
      <c r="K884" s="305">
        <v>0</v>
      </c>
      <c r="L884" s="305">
        <v>0</v>
      </c>
      <c r="M884" s="305">
        <v>0</v>
      </c>
      <c r="N884" s="305">
        <v>0</v>
      </c>
      <c r="O884" s="305">
        <v>0</v>
      </c>
      <c r="P884" s="305">
        <v>0</v>
      </c>
      <c r="Q884" s="203" t="s">
        <v>146</v>
      </c>
      <c r="R884" s="306"/>
    </row>
    <row r="885" spans="2:18" ht="22.5" customHeight="1" thickBot="1" x14ac:dyDescent="0.25">
      <c r="B885" s="305">
        <f t="shared" si="339"/>
        <v>7</v>
      </c>
      <c r="C885" s="305">
        <f>O885+M885+K885+I885+G885+E885</f>
        <v>3</v>
      </c>
      <c r="D885" s="305">
        <f>P885+N885+L885+J885+H885+F885</f>
        <v>4</v>
      </c>
      <c r="E885" s="305">
        <v>0</v>
      </c>
      <c r="F885" s="305">
        <v>1</v>
      </c>
      <c r="G885" s="305">
        <v>0</v>
      </c>
      <c r="H885" s="305">
        <v>0</v>
      </c>
      <c r="I885" s="305">
        <v>0</v>
      </c>
      <c r="J885" s="305">
        <v>0</v>
      </c>
      <c r="K885" s="305">
        <v>3</v>
      </c>
      <c r="L885" s="305">
        <v>1</v>
      </c>
      <c r="M885" s="305">
        <v>0</v>
      </c>
      <c r="N885" s="305">
        <v>2</v>
      </c>
      <c r="O885" s="305">
        <v>0</v>
      </c>
      <c r="P885" s="305">
        <v>0</v>
      </c>
      <c r="Q885" s="203" t="s">
        <v>145</v>
      </c>
      <c r="R885" s="306" t="s">
        <v>347</v>
      </c>
    </row>
    <row r="886" spans="2:18" ht="22.5" customHeight="1" thickBot="1" x14ac:dyDescent="0.25">
      <c r="B886" s="305">
        <f t="shared" ref="B886:P886" si="343">SUM(B884:B885)</f>
        <v>7</v>
      </c>
      <c r="C886" s="305">
        <f t="shared" si="343"/>
        <v>3</v>
      </c>
      <c r="D886" s="305">
        <f t="shared" si="343"/>
        <v>4</v>
      </c>
      <c r="E886" s="305">
        <f t="shared" si="343"/>
        <v>0</v>
      </c>
      <c r="F886" s="305">
        <f t="shared" si="343"/>
        <v>1</v>
      </c>
      <c r="G886" s="305">
        <f t="shared" si="343"/>
        <v>0</v>
      </c>
      <c r="H886" s="305">
        <f t="shared" si="343"/>
        <v>0</v>
      </c>
      <c r="I886" s="305">
        <f t="shared" si="343"/>
        <v>0</v>
      </c>
      <c r="J886" s="305">
        <f t="shared" si="343"/>
        <v>0</v>
      </c>
      <c r="K886" s="305">
        <f t="shared" si="343"/>
        <v>3</v>
      </c>
      <c r="L886" s="305">
        <f t="shared" si="343"/>
        <v>1</v>
      </c>
      <c r="M886" s="305">
        <f t="shared" si="343"/>
        <v>0</v>
      </c>
      <c r="N886" s="305">
        <f t="shared" si="343"/>
        <v>2</v>
      </c>
      <c r="O886" s="305">
        <f t="shared" si="343"/>
        <v>0</v>
      </c>
      <c r="P886" s="305">
        <f t="shared" si="343"/>
        <v>0</v>
      </c>
      <c r="Q886" s="203" t="s">
        <v>12</v>
      </c>
      <c r="R886" s="307"/>
    </row>
    <row r="887" spans="2:18" ht="22.5" customHeight="1" thickBot="1" x14ac:dyDescent="0.25">
      <c r="B887" s="305">
        <f t="shared" si="339"/>
        <v>2</v>
      </c>
      <c r="C887" s="305">
        <f>O887+M887+K887+I887+G887+E887</f>
        <v>0</v>
      </c>
      <c r="D887" s="305">
        <f>P887+N887+L887+J887+H887+F887</f>
        <v>2</v>
      </c>
      <c r="E887" s="305">
        <v>0</v>
      </c>
      <c r="F887" s="305">
        <v>0</v>
      </c>
      <c r="G887" s="305">
        <v>0</v>
      </c>
      <c r="H887" s="305">
        <v>0</v>
      </c>
      <c r="I887" s="305">
        <v>0</v>
      </c>
      <c r="J887" s="305">
        <v>0</v>
      </c>
      <c r="K887" s="305">
        <v>0</v>
      </c>
      <c r="L887" s="305">
        <v>2</v>
      </c>
      <c r="M887" s="305">
        <v>0</v>
      </c>
      <c r="N887" s="305">
        <v>0</v>
      </c>
      <c r="O887" s="305">
        <v>0</v>
      </c>
      <c r="P887" s="305">
        <v>0</v>
      </c>
      <c r="Q887" s="203" t="s">
        <v>146</v>
      </c>
      <c r="R887" s="306"/>
    </row>
    <row r="888" spans="2:18" ht="22.5" customHeight="1" thickBot="1" x14ac:dyDescent="0.25">
      <c r="B888" s="305">
        <f t="shared" si="339"/>
        <v>53</v>
      </c>
      <c r="C888" s="305">
        <f>O888+M888+K888+I888+G888+E888</f>
        <v>0</v>
      </c>
      <c r="D888" s="305">
        <f>P888+N888+L888+J888+H888+F888</f>
        <v>53</v>
      </c>
      <c r="E888" s="305">
        <v>0</v>
      </c>
      <c r="F888" s="305">
        <v>0</v>
      </c>
      <c r="G888" s="305">
        <v>0</v>
      </c>
      <c r="H888" s="305">
        <v>0</v>
      </c>
      <c r="I888" s="305">
        <v>0</v>
      </c>
      <c r="J888" s="305">
        <v>24</v>
      </c>
      <c r="K888" s="305">
        <v>0</v>
      </c>
      <c r="L888" s="305">
        <v>20</v>
      </c>
      <c r="M888" s="305">
        <v>0</v>
      </c>
      <c r="N888" s="305">
        <v>9</v>
      </c>
      <c r="O888" s="305">
        <v>0</v>
      </c>
      <c r="P888" s="305">
        <v>0</v>
      </c>
      <c r="Q888" s="203" t="s">
        <v>145</v>
      </c>
      <c r="R888" s="306" t="s">
        <v>116</v>
      </c>
    </row>
    <row r="889" spans="2:18" ht="22.5" customHeight="1" thickBot="1" x14ac:dyDescent="0.25">
      <c r="B889" s="305">
        <f t="shared" ref="B889:P889" si="344">SUM(B887:B888)</f>
        <v>55</v>
      </c>
      <c r="C889" s="305">
        <f t="shared" si="344"/>
        <v>0</v>
      </c>
      <c r="D889" s="305">
        <f t="shared" si="344"/>
        <v>55</v>
      </c>
      <c r="E889" s="305">
        <f t="shared" si="344"/>
        <v>0</v>
      </c>
      <c r="F889" s="305">
        <f t="shared" si="344"/>
        <v>0</v>
      </c>
      <c r="G889" s="305">
        <f t="shared" si="344"/>
        <v>0</v>
      </c>
      <c r="H889" s="305">
        <f t="shared" si="344"/>
        <v>0</v>
      </c>
      <c r="I889" s="305">
        <f t="shared" si="344"/>
        <v>0</v>
      </c>
      <c r="J889" s="305">
        <f t="shared" si="344"/>
        <v>24</v>
      </c>
      <c r="K889" s="305">
        <f t="shared" si="344"/>
        <v>0</v>
      </c>
      <c r="L889" s="305">
        <f t="shared" si="344"/>
        <v>22</v>
      </c>
      <c r="M889" s="305">
        <f t="shared" si="344"/>
        <v>0</v>
      </c>
      <c r="N889" s="305">
        <f t="shared" si="344"/>
        <v>9</v>
      </c>
      <c r="O889" s="305">
        <f t="shared" si="344"/>
        <v>0</v>
      </c>
      <c r="P889" s="305">
        <f t="shared" si="344"/>
        <v>0</v>
      </c>
      <c r="Q889" s="203" t="s">
        <v>12</v>
      </c>
      <c r="R889" s="307"/>
    </row>
    <row r="890" spans="2:18" ht="22.5" customHeight="1" thickBot="1" x14ac:dyDescent="0.25">
      <c r="B890" s="305">
        <f t="shared" si="339"/>
        <v>13</v>
      </c>
      <c r="C890" s="305">
        <f>O890+M890+K890+I890+G890+E890</f>
        <v>13</v>
      </c>
      <c r="D890" s="305">
        <f>P890+N890+L890+J890+H890+F890</f>
        <v>0</v>
      </c>
      <c r="E890" s="305">
        <v>0</v>
      </c>
      <c r="F890" s="305">
        <v>0</v>
      </c>
      <c r="G890" s="305">
        <v>13</v>
      </c>
      <c r="H890" s="305">
        <v>0</v>
      </c>
      <c r="I890" s="305">
        <v>0</v>
      </c>
      <c r="J890" s="305">
        <v>0</v>
      </c>
      <c r="K890" s="305">
        <v>0</v>
      </c>
      <c r="L890" s="305">
        <v>0</v>
      </c>
      <c r="M890" s="305">
        <v>0</v>
      </c>
      <c r="N890" s="305">
        <v>0</v>
      </c>
      <c r="O890" s="305">
        <v>0</v>
      </c>
      <c r="P890" s="305">
        <v>0</v>
      </c>
      <c r="Q890" s="203" t="s">
        <v>146</v>
      </c>
      <c r="R890" s="306"/>
    </row>
    <row r="891" spans="2:18" ht="22.5" customHeight="1" thickBot="1" x14ac:dyDescent="0.25">
      <c r="B891" s="305">
        <f t="shared" si="339"/>
        <v>45</v>
      </c>
      <c r="C891" s="305">
        <f>O891+M891+K891+I891+G891+E891</f>
        <v>35</v>
      </c>
      <c r="D891" s="305">
        <f>P891+N891+L891+J891+H891+F891</f>
        <v>10</v>
      </c>
      <c r="E891" s="305">
        <v>0</v>
      </c>
      <c r="F891" s="305">
        <v>0</v>
      </c>
      <c r="G891" s="305">
        <v>0</v>
      </c>
      <c r="H891" s="305">
        <v>0</v>
      </c>
      <c r="I891" s="305">
        <v>23</v>
      </c>
      <c r="J891" s="305">
        <v>0</v>
      </c>
      <c r="K891" s="305">
        <v>11</v>
      </c>
      <c r="L891" s="305">
        <v>10</v>
      </c>
      <c r="M891" s="305">
        <v>1</v>
      </c>
      <c r="N891" s="305">
        <v>0</v>
      </c>
      <c r="O891" s="305">
        <v>0</v>
      </c>
      <c r="P891" s="305">
        <v>0</v>
      </c>
      <c r="Q891" s="203" t="s">
        <v>145</v>
      </c>
      <c r="R891" s="306" t="s">
        <v>521</v>
      </c>
    </row>
    <row r="892" spans="2:18" ht="22.5" customHeight="1" thickBot="1" x14ac:dyDescent="0.25">
      <c r="B892" s="305">
        <f t="shared" ref="B892:P892" si="345">SUM(B890:B891)</f>
        <v>58</v>
      </c>
      <c r="C892" s="305">
        <f t="shared" si="345"/>
        <v>48</v>
      </c>
      <c r="D892" s="305">
        <f t="shared" si="345"/>
        <v>10</v>
      </c>
      <c r="E892" s="305">
        <f t="shared" si="345"/>
        <v>0</v>
      </c>
      <c r="F892" s="305">
        <f t="shared" si="345"/>
        <v>0</v>
      </c>
      <c r="G892" s="305">
        <f t="shared" si="345"/>
        <v>13</v>
      </c>
      <c r="H892" s="305">
        <f t="shared" si="345"/>
        <v>0</v>
      </c>
      <c r="I892" s="305">
        <f t="shared" si="345"/>
        <v>23</v>
      </c>
      <c r="J892" s="305">
        <f t="shared" si="345"/>
        <v>0</v>
      </c>
      <c r="K892" s="305">
        <f t="shared" si="345"/>
        <v>11</v>
      </c>
      <c r="L892" s="305">
        <f t="shared" si="345"/>
        <v>10</v>
      </c>
      <c r="M892" s="305">
        <f t="shared" si="345"/>
        <v>1</v>
      </c>
      <c r="N892" s="305">
        <f t="shared" si="345"/>
        <v>0</v>
      </c>
      <c r="O892" s="305">
        <f t="shared" si="345"/>
        <v>0</v>
      </c>
      <c r="P892" s="305">
        <f t="shared" si="345"/>
        <v>0</v>
      </c>
      <c r="Q892" s="203" t="s">
        <v>12</v>
      </c>
      <c r="R892" s="307"/>
    </row>
    <row r="893" spans="2:18" ht="22.5" customHeight="1" thickBot="1" x14ac:dyDescent="0.25">
      <c r="B893" s="305">
        <f t="shared" si="339"/>
        <v>0</v>
      </c>
      <c r="C893" s="305">
        <f>O893+M893+K893+I893+G893+E893</f>
        <v>0</v>
      </c>
      <c r="D893" s="305">
        <f>P893+N893+L893+J893+H893+F893</f>
        <v>0</v>
      </c>
      <c r="E893" s="305">
        <v>0</v>
      </c>
      <c r="F893" s="305">
        <v>0</v>
      </c>
      <c r="G893" s="305">
        <v>0</v>
      </c>
      <c r="H893" s="305">
        <v>0</v>
      </c>
      <c r="I893" s="305">
        <v>0</v>
      </c>
      <c r="J893" s="305">
        <v>0</v>
      </c>
      <c r="K893" s="305">
        <v>0</v>
      </c>
      <c r="L893" s="305">
        <v>0</v>
      </c>
      <c r="M893" s="305">
        <v>0</v>
      </c>
      <c r="N893" s="305">
        <v>0</v>
      </c>
      <c r="O893" s="305">
        <v>0</v>
      </c>
      <c r="P893" s="305">
        <v>0</v>
      </c>
      <c r="Q893" s="203" t="s">
        <v>146</v>
      </c>
      <c r="R893" s="306"/>
    </row>
    <row r="894" spans="2:18" ht="22.5" customHeight="1" thickBot="1" x14ac:dyDescent="0.25">
      <c r="B894" s="305">
        <f t="shared" si="339"/>
        <v>1</v>
      </c>
      <c r="C894" s="305">
        <f>O894+M894+K894+I894+G894+E894</f>
        <v>1</v>
      </c>
      <c r="D894" s="305">
        <f>P894+N894+L894+J894+H894+F894</f>
        <v>0</v>
      </c>
      <c r="E894" s="305">
        <v>0</v>
      </c>
      <c r="F894" s="305">
        <v>0</v>
      </c>
      <c r="G894" s="305">
        <v>0</v>
      </c>
      <c r="H894" s="305">
        <v>0</v>
      </c>
      <c r="I894" s="305">
        <v>1</v>
      </c>
      <c r="J894" s="305">
        <v>0</v>
      </c>
      <c r="K894" s="305">
        <v>0</v>
      </c>
      <c r="L894" s="305">
        <v>0</v>
      </c>
      <c r="M894" s="305">
        <v>0</v>
      </c>
      <c r="N894" s="305">
        <v>0</v>
      </c>
      <c r="O894" s="305">
        <v>0</v>
      </c>
      <c r="P894" s="305">
        <v>0</v>
      </c>
      <c r="Q894" s="203" t="s">
        <v>145</v>
      </c>
      <c r="R894" s="306" t="s">
        <v>118</v>
      </c>
    </row>
    <row r="895" spans="2:18" ht="22.5" customHeight="1" thickBot="1" x14ac:dyDescent="0.25">
      <c r="B895" s="305">
        <f t="shared" ref="B895:P895" si="346">SUM(B893:B894)</f>
        <v>1</v>
      </c>
      <c r="C895" s="305">
        <f t="shared" si="346"/>
        <v>1</v>
      </c>
      <c r="D895" s="305">
        <f t="shared" si="346"/>
        <v>0</v>
      </c>
      <c r="E895" s="305">
        <f t="shared" si="346"/>
        <v>0</v>
      </c>
      <c r="F895" s="305">
        <f t="shared" si="346"/>
        <v>0</v>
      </c>
      <c r="G895" s="305">
        <f t="shared" si="346"/>
        <v>0</v>
      </c>
      <c r="H895" s="305">
        <f t="shared" si="346"/>
        <v>0</v>
      </c>
      <c r="I895" s="305">
        <f t="shared" si="346"/>
        <v>1</v>
      </c>
      <c r="J895" s="305">
        <f t="shared" si="346"/>
        <v>0</v>
      </c>
      <c r="K895" s="305">
        <f t="shared" si="346"/>
        <v>0</v>
      </c>
      <c r="L895" s="305">
        <f t="shared" si="346"/>
        <v>0</v>
      </c>
      <c r="M895" s="305">
        <f t="shared" si="346"/>
        <v>0</v>
      </c>
      <c r="N895" s="305">
        <f t="shared" si="346"/>
        <v>0</v>
      </c>
      <c r="O895" s="305">
        <f t="shared" si="346"/>
        <v>0</v>
      </c>
      <c r="P895" s="305">
        <f t="shared" si="346"/>
        <v>0</v>
      </c>
      <c r="Q895" s="203" t="s">
        <v>12</v>
      </c>
      <c r="R895" s="307"/>
    </row>
    <row r="896" spans="2:18" ht="22.5" customHeight="1" thickBot="1" x14ac:dyDescent="0.25">
      <c r="B896" s="305">
        <f t="shared" si="339"/>
        <v>20</v>
      </c>
      <c r="C896" s="305">
        <f>O896+M896+K896+I896+G896+E896</f>
        <v>20</v>
      </c>
      <c r="D896" s="305">
        <f>P896+N896+L896+J896+H896+F896</f>
        <v>0</v>
      </c>
      <c r="E896" s="305">
        <v>0</v>
      </c>
      <c r="F896" s="305">
        <v>0</v>
      </c>
      <c r="G896" s="305">
        <v>14</v>
      </c>
      <c r="H896" s="305">
        <v>0</v>
      </c>
      <c r="I896" s="305">
        <v>6</v>
      </c>
      <c r="J896" s="305">
        <v>0</v>
      </c>
      <c r="K896" s="305">
        <v>0</v>
      </c>
      <c r="L896" s="305">
        <v>0</v>
      </c>
      <c r="M896" s="305">
        <v>0</v>
      </c>
      <c r="N896" s="305">
        <v>0</v>
      </c>
      <c r="O896" s="305">
        <v>0</v>
      </c>
      <c r="P896" s="305">
        <v>0</v>
      </c>
      <c r="Q896" s="203" t="s">
        <v>146</v>
      </c>
      <c r="R896" s="306"/>
    </row>
    <row r="897" spans="2:18" ht="22.5" customHeight="1" thickBot="1" x14ac:dyDescent="0.25">
      <c r="B897" s="305">
        <f t="shared" si="339"/>
        <v>23</v>
      </c>
      <c r="C897" s="305">
        <f>O897+M897+K897+I897+G897+E897</f>
        <v>19</v>
      </c>
      <c r="D897" s="305">
        <f>P897+N897+L897+J897+H897+F897</f>
        <v>4</v>
      </c>
      <c r="E897" s="305">
        <v>0</v>
      </c>
      <c r="F897" s="305">
        <v>0</v>
      </c>
      <c r="G897" s="305">
        <v>0</v>
      </c>
      <c r="H897" s="305">
        <v>0</v>
      </c>
      <c r="I897" s="305">
        <v>9</v>
      </c>
      <c r="J897" s="305">
        <v>0</v>
      </c>
      <c r="K897" s="305">
        <v>10</v>
      </c>
      <c r="L897" s="305">
        <v>4</v>
      </c>
      <c r="M897" s="305">
        <v>0</v>
      </c>
      <c r="N897" s="305">
        <v>0</v>
      </c>
      <c r="O897" s="305">
        <v>0</v>
      </c>
      <c r="P897" s="305">
        <v>0</v>
      </c>
      <c r="Q897" s="203" t="s">
        <v>145</v>
      </c>
      <c r="R897" s="306" t="s">
        <v>522</v>
      </c>
    </row>
    <row r="898" spans="2:18" ht="22.5" customHeight="1" thickBot="1" x14ac:dyDescent="0.25">
      <c r="B898" s="305">
        <f t="shared" ref="B898:P898" si="347">SUM(B896:B897)</f>
        <v>43</v>
      </c>
      <c r="C898" s="305">
        <f t="shared" si="347"/>
        <v>39</v>
      </c>
      <c r="D898" s="305">
        <f t="shared" si="347"/>
        <v>4</v>
      </c>
      <c r="E898" s="305">
        <f t="shared" si="347"/>
        <v>0</v>
      </c>
      <c r="F898" s="305">
        <f t="shared" si="347"/>
        <v>0</v>
      </c>
      <c r="G898" s="305">
        <f t="shared" si="347"/>
        <v>14</v>
      </c>
      <c r="H898" s="305">
        <f t="shared" si="347"/>
        <v>0</v>
      </c>
      <c r="I898" s="305">
        <f t="shared" si="347"/>
        <v>15</v>
      </c>
      <c r="J898" s="305">
        <f t="shared" si="347"/>
        <v>0</v>
      </c>
      <c r="K898" s="305">
        <f t="shared" si="347"/>
        <v>10</v>
      </c>
      <c r="L898" s="305">
        <f t="shared" si="347"/>
        <v>4</v>
      </c>
      <c r="M898" s="305">
        <f t="shared" si="347"/>
        <v>0</v>
      </c>
      <c r="N898" s="305">
        <f t="shared" si="347"/>
        <v>0</v>
      </c>
      <c r="O898" s="305">
        <f t="shared" si="347"/>
        <v>0</v>
      </c>
      <c r="P898" s="305">
        <f t="shared" si="347"/>
        <v>0</v>
      </c>
      <c r="Q898" s="203" t="s">
        <v>12</v>
      </c>
      <c r="R898" s="307"/>
    </row>
    <row r="899" spans="2:18" ht="22.5" customHeight="1" thickBot="1" x14ac:dyDescent="0.25">
      <c r="B899" s="305">
        <f t="shared" si="339"/>
        <v>14</v>
      </c>
      <c r="C899" s="305">
        <f>O899+M899+K899+I899+G899+E899</f>
        <v>14</v>
      </c>
      <c r="D899" s="305">
        <f>P899+N899+L899+J899+H899+F899</f>
        <v>0</v>
      </c>
      <c r="E899" s="305">
        <v>0</v>
      </c>
      <c r="F899" s="305">
        <v>0</v>
      </c>
      <c r="G899" s="305">
        <v>9</v>
      </c>
      <c r="H899" s="305">
        <v>0</v>
      </c>
      <c r="I899" s="305">
        <v>5</v>
      </c>
      <c r="J899" s="305">
        <v>0</v>
      </c>
      <c r="K899" s="305">
        <v>0</v>
      </c>
      <c r="L899" s="305">
        <v>0</v>
      </c>
      <c r="M899" s="305">
        <v>0</v>
      </c>
      <c r="N899" s="305">
        <v>0</v>
      </c>
      <c r="O899" s="305">
        <v>0</v>
      </c>
      <c r="P899" s="305">
        <v>0</v>
      </c>
      <c r="Q899" s="203" t="s">
        <v>146</v>
      </c>
      <c r="R899" s="306"/>
    </row>
    <row r="900" spans="2:18" ht="22.5" customHeight="1" thickBot="1" x14ac:dyDescent="0.25">
      <c r="B900" s="305">
        <f t="shared" si="339"/>
        <v>35</v>
      </c>
      <c r="C900" s="305">
        <f>O900+M900+K900+I900+G900+E900</f>
        <v>31</v>
      </c>
      <c r="D900" s="305">
        <f>P900+N900+L900+J900+H900+F900</f>
        <v>4</v>
      </c>
      <c r="E900" s="305">
        <v>0</v>
      </c>
      <c r="F900" s="305">
        <v>0</v>
      </c>
      <c r="G900" s="305">
        <v>0</v>
      </c>
      <c r="H900" s="305">
        <v>0</v>
      </c>
      <c r="I900" s="305">
        <v>7</v>
      </c>
      <c r="J900" s="305">
        <v>0</v>
      </c>
      <c r="K900" s="305">
        <v>21</v>
      </c>
      <c r="L900" s="305">
        <v>2</v>
      </c>
      <c r="M900" s="305">
        <v>1</v>
      </c>
      <c r="N900" s="305">
        <v>2</v>
      </c>
      <c r="O900" s="305">
        <v>2</v>
      </c>
      <c r="P900" s="305">
        <v>0</v>
      </c>
      <c r="Q900" s="203" t="s">
        <v>145</v>
      </c>
      <c r="R900" s="306" t="s">
        <v>523</v>
      </c>
    </row>
    <row r="901" spans="2:18" ht="22.5" customHeight="1" thickBot="1" x14ac:dyDescent="0.25">
      <c r="B901" s="305">
        <f t="shared" ref="B901:P901" si="348">SUM(B899:B900)</f>
        <v>49</v>
      </c>
      <c r="C901" s="305">
        <f t="shared" si="348"/>
        <v>45</v>
      </c>
      <c r="D901" s="305">
        <f t="shared" si="348"/>
        <v>4</v>
      </c>
      <c r="E901" s="305">
        <f t="shared" si="348"/>
        <v>0</v>
      </c>
      <c r="F901" s="305">
        <f t="shared" si="348"/>
        <v>0</v>
      </c>
      <c r="G901" s="305">
        <f t="shared" si="348"/>
        <v>9</v>
      </c>
      <c r="H901" s="305">
        <f t="shared" si="348"/>
        <v>0</v>
      </c>
      <c r="I901" s="305">
        <f t="shared" si="348"/>
        <v>12</v>
      </c>
      <c r="J901" s="305">
        <f t="shared" si="348"/>
        <v>0</v>
      </c>
      <c r="K901" s="305">
        <f t="shared" si="348"/>
        <v>21</v>
      </c>
      <c r="L901" s="305">
        <f t="shared" si="348"/>
        <v>2</v>
      </c>
      <c r="M901" s="305">
        <f t="shared" si="348"/>
        <v>1</v>
      </c>
      <c r="N901" s="305">
        <f t="shared" si="348"/>
        <v>2</v>
      </c>
      <c r="O901" s="305">
        <f t="shared" si="348"/>
        <v>2</v>
      </c>
      <c r="P901" s="305">
        <f t="shared" si="348"/>
        <v>0</v>
      </c>
      <c r="Q901" s="203" t="s">
        <v>12</v>
      </c>
      <c r="R901" s="307"/>
    </row>
    <row r="902" spans="2:18" ht="22.5" customHeight="1" thickBot="1" x14ac:dyDescent="0.25">
      <c r="B902" s="305">
        <f t="shared" si="339"/>
        <v>30</v>
      </c>
      <c r="C902" s="305">
        <f>O902+M902+K902+I902+G902+E902</f>
        <v>30</v>
      </c>
      <c r="D902" s="305">
        <f>P902+N902+L902+J902+H902+F902</f>
        <v>0</v>
      </c>
      <c r="E902" s="305">
        <v>0</v>
      </c>
      <c r="F902" s="305">
        <v>0</v>
      </c>
      <c r="G902" s="305">
        <v>21</v>
      </c>
      <c r="H902" s="305">
        <v>0</v>
      </c>
      <c r="I902" s="305">
        <v>9</v>
      </c>
      <c r="J902" s="305">
        <v>0</v>
      </c>
      <c r="K902" s="305">
        <v>0</v>
      </c>
      <c r="L902" s="305">
        <v>0</v>
      </c>
      <c r="M902" s="305">
        <v>0</v>
      </c>
      <c r="N902" s="305">
        <v>0</v>
      </c>
      <c r="O902" s="305">
        <v>0</v>
      </c>
      <c r="P902" s="305">
        <v>0</v>
      </c>
      <c r="Q902" s="203" t="s">
        <v>146</v>
      </c>
      <c r="R902" s="306"/>
    </row>
    <row r="903" spans="2:18" ht="22.5" customHeight="1" thickBot="1" x14ac:dyDescent="0.25">
      <c r="B903" s="305">
        <f t="shared" si="339"/>
        <v>37</v>
      </c>
      <c r="C903" s="305">
        <f>O903+M903+K903+I903+G903+E903</f>
        <v>26</v>
      </c>
      <c r="D903" s="305">
        <f>P903+N903+L903+J903+H903+F903</f>
        <v>11</v>
      </c>
      <c r="E903" s="305">
        <v>1</v>
      </c>
      <c r="F903" s="305">
        <v>0</v>
      </c>
      <c r="G903" s="305">
        <v>0</v>
      </c>
      <c r="H903" s="305">
        <v>0</v>
      </c>
      <c r="I903" s="305">
        <v>10</v>
      </c>
      <c r="J903" s="305">
        <v>0</v>
      </c>
      <c r="K903" s="305">
        <v>15</v>
      </c>
      <c r="L903" s="305">
        <v>11</v>
      </c>
      <c r="M903" s="305">
        <v>0</v>
      </c>
      <c r="N903" s="305">
        <v>0</v>
      </c>
      <c r="O903" s="305">
        <v>0</v>
      </c>
      <c r="P903" s="305">
        <v>0</v>
      </c>
      <c r="Q903" s="203" t="s">
        <v>145</v>
      </c>
      <c r="R903" s="306" t="s">
        <v>668</v>
      </c>
    </row>
    <row r="904" spans="2:18" ht="22.5" customHeight="1" thickBot="1" x14ac:dyDescent="0.25">
      <c r="B904" s="305">
        <f t="shared" ref="B904:P904" si="349">SUM(B902:B903)</f>
        <v>67</v>
      </c>
      <c r="C904" s="305">
        <f t="shared" si="349"/>
        <v>56</v>
      </c>
      <c r="D904" s="305">
        <f t="shared" si="349"/>
        <v>11</v>
      </c>
      <c r="E904" s="305">
        <f t="shared" si="349"/>
        <v>1</v>
      </c>
      <c r="F904" s="305">
        <f t="shared" si="349"/>
        <v>0</v>
      </c>
      <c r="G904" s="305">
        <f t="shared" si="349"/>
        <v>21</v>
      </c>
      <c r="H904" s="305">
        <f t="shared" si="349"/>
        <v>0</v>
      </c>
      <c r="I904" s="305">
        <f t="shared" si="349"/>
        <v>19</v>
      </c>
      <c r="J904" s="305">
        <f t="shared" si="349"/>
        <v>0</v>
      </c>
      <c r="K904" s="305">
        <f t="shared" si="349"/>
        <v>15</v>
      </c>
      <c r="L904" s="305">
        <f t="shared" si="349"/>
        <v>11</v>
      </c>
      <c r="M904" s="305">
        <f t="shared" si="349"/>
        <v>0</v>
      </c>
      <c r="N904" s="305">
        <f t="shared" si="349"/>
        <v>0</v>
      </c>
      <c r="O904" s="305">
        <f t="shared" si="349"/>
        <v>0</v>
      </c>
      <c r="P904" s="305">
        <f t="shared" si="349"/>
        <v>0</v>
      </c>
      <c r="Q904" s="203" t="s">
        <v>12</v>
      </c>
      <c r="R904" s="307"/>
    </row>
    <row r="905" spans="2:18" ht="22.5" customHeight="1" thickBot="1" x14ac:dyDescent="0.25">
      <c r="B905" s="305">
        <f t="shared" ref="B905:P907" si="350">B902+B899+B896+B893+B890+B887+B884+B881+B878+B875</f>
        <v>191</v>
      </c>
      <c r="C905" s="305">
        <f t="shared" si="350"/>
        <v>91</v>
      </c>
      <c r="D905" s="305">
        <f t="shared" si="350"/>
        <v>100</v>
      </c>
      <c r="E905" s="305">
        <f t="shared" si="350"/>
        <v>0</v>
      </c>
      <c r="F905" s="305">
        <f t="shared" si="350"/>
        <v>0</v>
      </c>
      <c r="G905" s="305">
        <f t="shared" si="350"/>
        <v>71</v>
      </c>
      <c r="H905" s="305">
        <f t="shared" si="350"/>
        <v>50</v>
      </c>
      <c r="I905" s="305">
        <f t="shared" si="350"/>
        <v>20</v>
      </c>
      <c r="J905" s="305">
        <f t="shared" si="350"/>
        <v>22</v>
      </c>
      <c r="K905" s="305">
        <f t="shared" si="350"/>
        <v>0</v>
      </c>
      <c r="L905" s="305">
        <f t="shared" si="350"/>
        <v>21</v>
      </c>
      <c r="M905" s="305">
        <f t="shared" si="350"/>
        <v>0</v>
      </c>
      <c r="N905" s="305">
        <f t="shared" si="350"/>
        <v>5</v>
      </c>
      <c r="O905" s="305">
        <f t="shared" si="350"/>
        <v>0</v>
      </c>
      <c r="P905" s="305">
        <f t="shared" si="350"/>
        <v>2</v>
      </c>
      <c r="Q905" s="203" t="s">
        <v>146</v>
      </c>
      <c r="R905" s="280"/>
    </row>
    <row r="906" spans="2:18" ht="22.5" customHeight="1" thickBot="1" x14ac:dyDescent="0.25">
      <c r="B906" s="305">
        <f t="shared" si="350"/>
        <v>346</v>
      </c>
      <c r="C906" s="305">
        <f t="shared" si="350"/>
        <v>115</v>
      </c>
      <c r="D906" s="305">
        <f t="shared" si="350"/>
        <v>231</v>
      </c>
      <c r="E906" s="305">
        <f t="shared" si="350"/>
        <v>1</v>
      </c>
      <c r="F906" s="305">
        <f t="shared" si="350"/>
        <v>5</v>
      </c>
      <c r="G906" s="305">
        <f t="shared" si="350"/>
        <v>0</v>
      </c>
      <c r="H906" s="305">
        <f t="shared" si="350"/>
        <v>3</v>
      </c>
      <c r="I906" s="305">
        <f t="shared" si="350"/>
        <v>50</v>
      </c>
      <c r="J906" s="305">
        <f t="shared" si="350"/>
        <v>35</v>
      </c>
      <c r="K906" s="305">
        <f t="shared" si="350"/>
        <v>60</v>
      </c>
      <c r="L906" s="305">
        <f t="shared" si="350"/>
        <v>143</v>
      </c>
      <c r="M906" s="305">
        <f t="shared" si="350"/>
        <v>2</v>
      </c>
      <c r="N906" s="305">
        <f t="shared" si="350"/>
        <v>28</v>
      </c>
      <c r="O906" s="305">
        <f t="shared" si="350"/>
        <v>2</v>
      </c>
      <c r="P906" s="305">
        <f t="shared" si="350"/>
        <v>17</v>
      </c>
      <c r="Q906" s="203" t="s">
        <v>145</v>
      </c>
      <c r="R906" s="281" t="s">
        <v>188</v>
      </c>
    </row>
    <row r="907" spans="2:18" ht="22.5" customHeight="1" thickBot="1" x14ac:dyDescent="0.25">
      <c r="B907" s="305">
        <f t="shared" si="350"/>
        <v>537</v>
      </c>
      <c r="C907" s="305">
        <f t="shared" si="350"/>
        <v>206</v>
      </c>
      <c r="D907" s="305">
        <f t="shared" si="350"/>
        <v>331</v>
      </c>
      <c r="E907" s="305">
        <f t="shared" si="350"/>
        <v>1</v>
      </c>
      <c r="F907" s="305">
        <f t="shared" si="350"/>
        <v>5</v>
      </c>
      <c r="G907" s="305">
        <f t="shared" si="350"/>
        <v>71</v>
      </c>
      <c r="H907" s="305">
        <f t="shared" si="350"/>
        <v>53</v>
      </c>
      <c r="I907" s="305">
        <f t="shared" si="350"/>
        <v>70</v>
      </c>
      <c r="J907" s="305">
        <f t="shared" si="350"/>
        <v>57</v>
      </c>
      <c r="K907" s="305">
        <f t="shared" si="350"/>
        <v>60</v>
      </c>
      <c r="L907" s="305">
        <f t="shared" si="350"/>
        <v>164</v>
      </c>
      <c r="M907" s="305">
        <f t="shared" si="350"/>
        <v>2</v>
      </c>
      <c r="N907" s="305">
        <f t="shared" si="350"/>
        <v>33</v>
      </c>
      <c r="O907" s="305">
        <f t="shared" si="350"/>
        <v>2</v>
      </c>
      <c r="P907" s="305">
        <f t="shared" si="350"/>
        <v>19</v>
      </c>
      <c r="Q907" s="203" t="s">
        <v>12</v>
      </c>
      <c r="R907" s="282"/>
    </row>
    <row r="908" spans="2:18" ht="22.5" customHeight="1" thickBot="1" x14ac:dyDescent="0.25">
      <c r="B908" s="319"/>
      <c r="C908" s="319"/>
      <c r="D908" s="319"/>
      <c r="E908" s="319"/>
      <c r="F908" s="319"/>
      <c r="G908" s="319"/>
      <c r="H908" s="319"/>
      <c r="I908" s="319"/>
      <c r="J908" s="319"/>
      <c r="K908" s="319"/>
      <c r="L908" s="319"/>
      <c r="M908" s="319"/>
      <c r="N908" s="319"/>
      <c r="O908" s="319"/>
      <c r="P908" s="319"/>
      <c r="Q908" s="320"/>
      <c r="R908" s="320"/>
    </row>
    <row r="909" spans="2:18" ht="22.5" customHeight="1" thickBot="1" x14ac:dyDescent="0.25">
      <c r="B909" s="477" t="s">
        <v>4</v>
      </c>
      <c r="C909" s="477"/>
      <c r="D909" s="477"/>
      <c r="E909" s="477" t="s">
        <v>735</v>
      </c>
      <c r="F909" s="477"/>
      <c r="G909" s="477" t="s">
        <v>736</v>
      </c>
      <c r="H909" s="477"/>
      <c r="I909" s="477" t="s">
        <v>737</v>
      </c>
      <c r="J909" s="477"/>
      <c r="K909" s="477" t="s">
        <v>738</v>
      </c>
      <c r="L909" s="477"/>
      <c r="M909" s="477" t="s">
        <v>739</v>
      </c>
      <c r="N909" s="477"/>
      <c r="O909" s="477" t="s">
        <v>740</v>
      </c>
      <c r="P909" s="477"/>
      <c r="Q909" s="575" t="s">
        <v>741</v>
      </c>
      <c r="R909" s="304" t="s">
        <v>144</v>
      </c>
    </row>
    <row r="910" spans="2:18" ht="22.5" customHeight="1" thickBot="1" x14ac:dyDescent="0.25">
      <c r="B910" s="204" t="s">
        <v>227</v>
      </c>
      <c r="C910" s="204" t="s">
        <v>10</v>
      </c>
      <c r="D910" s="204" t="s">
        <v>9</v>
      </c>
      <c r="E910" s="204" t="s">
        <v>10</v>
      </c>
      <c r="F910" s="204" t="s">
        <v>9</v>
      </c>
      <c r="G910" s="204" t="s">
        <v>10</v>
      </c>
      <c r="H910" s="204" t="s">
        <v>9</v>
      </c>
      <c r="I910" s="204" t="s">
        <v>10</v>
      </c>
      <c r="J910" s="204" t="s">
        <v>9</v>
      </c>
      <c r="K910" s="204" t="s">
        <v>10</v>
      </c>
      <c r="L910" s="204" t="s">
        <v>9</v>
      </c>
      <c r="M910" s="204" t="s">
        <v>10</v>
      </c>
      <c r="N910" s="204" t="s">
        <v>9</v>
      </c>
      <c r="O910" s="204" t="s">
        <v>10</v>
      </c>
      <c r="P910" s="204" t="s">
        <v>9</v>
      </c>
      <c r="Q910" s="481"/>
      <c r="R910" s="282" t="s">
        <v>119</v>
      </c>
    </row>
    <row r="911" spans="2:18" ht="22.5" customHeight="1" thickBot="1" x14ac:dyDescent="0.25">
      <c r="B911" s="305">
        <f>SUM(C911:D911)</f>
        <v>20</v>
      </c>
      <c r="C911" s="305">
        <f t="shared" ref="C911:D915" si="351">O911+M911+K911+I911+G911+E911</f>
        <v>19</v>
      </c>
      <c r="D911" s="305">
        <f t="shared" si="351"/>
        <v>1</v>
      </c>
      <c r="E911" s="305">
        <v>0</v>
      </c>
      <c r="F911" s="305">
        <v>1</v>
      </c>
      <c r="G911" s="305">
        <v>18</v>
      </c>
      <c r="H911" s="305">
        <v>0</v>
      </c>
      <c r="I911" s="305">
        <v>0</v>
      </c>
      <c r="J911" s="305">
        <v>0</v>
      </c>
      <c r="K911" s="305">
        <v>1</v>
      </c>
      <c r="L911" s="305">
        <v>0</v>
      </c>
      <c r="M911" s="305">
        <v>0</v>
      </c>
      <c r="N911" s="305">
        <v>0</v>
      </c>
      <c r="O911" s="305">
        <v>0</v>
      </c>
      <c r="P911" s="305">
        <v>0</v>
      </c>
      <c r="Q911" s="203" t="s">
        <v>146</v>
      </c>
      <c r="R911" s="306"/>
    </row>
    <row r="912" spans="2:18" ht="22.5" customHeight="1" thickBot="1" x14ac:dyDescent="0.25">
      <c r="B912" s="305">
        <f t="shared" ref="B912:B921" si="352">SUM(C912:D912)</f>
        <v>50</v>
      </c>
      <c r="C912" s="305">
        <f t="shared" si="351"/>
        <v>29</v>
      </c>
      <c r="D912" s="305">
        <f t="shared" si="351"/>
        <v>21</v>
      </c>
      <c r="E912" s="305">
        <v>0</v>
      </c>
      <c r="F912" s="305">
        <v>0</v>
      </c>
      <c r="G912" s="305">
        <v>0</v>
      </c>
      <c r="H912" s="305">
        <v>0</v>
      </c>
      <c r="I912" s="305">
        <v>14</v>
      </c>
      <c r="J912" s="305">
        <v>0</v>
      </c>
      <c r="K912" s="305">
        <v>15</v>
      </c>
      <c r="L912" s="305">
        <v>16</v>
      </c>
      <c r="M912" s="305">
        <v>0</v>
      </c>
      <c r="N912" s="305">
        <v>0</v>
      </c>
      <c r="O912" s="305">
        <v>0</v>
      </c>
      <c r="P912" s="305">
        <v>5</v>
      </c>
      <c r="Q912" s="203" t="s">
        <v>145</v>
      </c>
      <c r="R912" s="306" t="s">
        <v>775</v>
      </c>
    </row>
    <row r="913" spans="2:18" ht="22.5" customHeight="1" thickBot="1" x14ac:dyDescent="0.25">
      <c r="B913" s="305">
        <f t="shared" si="352"/>
        <v>70</v>
      </c>
      <c r="C913" s="305">
        <f t="shared" si="351"/>
        <v>48</v>
      </c>
      <c r="D913" s="305">
        <f t="shared" si="351"/>
        <v>22</v>
      </c>
      <c r="E913" s="305">
        <f t="shared" ref="E913:P913" si="353">SUM(E911:E912)</f>
        <v>0</v>
      </c>
      <c r="F913" s="305">
        <f t="shared" si="353"/>
        <v>1</v>
      </c>
      <c r="G913" s="305">
        <f t="shared" si="353"/>
        <v>18</v>
      </c>
      <c r="H913" s="305">
        <f t="shared" si="353"/>
        <v>0</v>
      </c>
      <c r="I913" s="305">
        <f t="shared" si="353"/>
        <v>14</v>
      </c>
      <c r="J913" s="305">
        <f t="shared" si="353"/>
        <v>0</v>
      </c>
      <c r="K913" s="305">
        <f t="shared" si="353"/>
        <v>16</v>
      </c>
      <c r="L913" s="305">
        <f t="shared" si="353"/>
        <v>16</v>
      </c>
      <c r="M913" s="305">
        <f t="shared" si="353"/>
        <v>0</v>
      </c>
      <c r="N913" s="305">
        <f t="shared" si="353"/>
        <v>0</v>
      </c>
      <c r="O913" s="305">
        <f t="shared" si="353"/>
        <v>0</v>
      </c>
      <c r="P913" s="305">
        <f t="shared" si="353"/>
        <v>5</v>
      </c>
      <c r="Q913" s="203" t="s">
        <v>12</v>
      </c>
      <c r="R913" s="307"/>
    </row>
    <row r="914" spans="2:18" ht="22.5" customHeight="1" thickBot="1" x14ac:dyDescent="0.25">
      <c r="B914" s="305">
        <f t="shared" si="352"/>
        <v>67</v>
      </c>
      <c r="C914" s="305">
        <f t="shared" si="351"/>
        <v>67</v>
      </c>
      <c r="D914" s="305">
        <f t="shared" si="351"/>
        <v>0</v>
      </c>
      <c r="E914" s="305">
        <v>0</v>
      </c>
      <c r="F914" s="305">
        <v>0</v>
      </c>
      <c r="G914" s="305">
        <v>67</v>
      </c>
      <c r="H914" s="305">
        <v>0</v>
      </c>
      <c r="I914" s="305">
        <v>0</v>
      </c>
      <c r="J914" s="305">
        <v>0</v>
      </c>
      <c r="K914" s="305">
        <v>0</v>
      </c>
      <c r="L914" s="305">
        <v>0</v>
      </c>
      <c r="M914" s="305">
        <v>0</v>
      </c>
      <c r="N914" s="305">
        <v>0</v>
      </c>
      <c r="O914" s="305">
        <v>0</v>
      </c>
      <c r="P914" s="305">
        <v>0</v>
      </c>
      <c r="Q914" s="203" t="s">
        <v>146</v>
      </c>
      <c r="R914" s="306"/>
    </row>
    <row r="915" spans="2:18" ht="22.5" customHeight="1" thickBot="1" x14ac:dyDescent="0.25">
      <c r="B915" s="305">
        <f t="shared" si="352"/>
        <v>58</v>
      </c>
      <c r="C915" s="305">
        <f t="shared" si="351"/>
        <v>15</v>
      </c>
      <c r="D915" s="305">
        <f t="shared" si="351"/>
        <v>43</v>
      </c>
      <c r="E915" s="305">
        <v>0</v>
      </c>
      <c r="F915" s="305">
        <v>0</v>
      </c>
      <c r="G915" s="305">
        <v>0</v>
      </c>
      <c r="H915" s="305">
        <v>0</v>
      </c>
      <c r="I915" s="305">
        <v>13</v>
      </c>
      <c r="J915" s="305">
        <v>30</v>
      </c>
      <c r="K915" s="305">
        <v>2</v>
      </c>
      <c r="L915" s="305">
        <v>13</v>
      </c>
      <c r="M915" s="305">
        <v>0</v>
      </c>
      <c r="N915" s="305">
        <v>0</v>
      </c>
      <c r="O915" s="305">
        <v>0</v>
      </c>
      <c r="P915" s="305">
        <v>0</v>
      </c>
      <c r="Q915" s="203" t="s">
        <v>145</v>
      </c>
      <c r="R915" s="306" t="s">
        <v>526</v>
      </c>
    </row>
    <row r="916" spans="2:18" ht="22.5" customHeight="1" thickBot="1" x14ac:dyDescent="0.25">
      <c r="B916" s="305">
        <f t="shared" ref="B916:P916" si="354">SUM(B914:B915)</f>
        <v>125</v>
      </c>
      <c r="C916" s="305">
        <f t="shared" si="354"/>
        <v>82</v>
      </c>
      <c r="D916" s="305">
        <f t="shared" si="354"/>
        <v>43</v>
      </c>
      <c r="E916" s="305">
        <f t="shared" si="354"/>
        <v>0</v>
      </c>
      <c r="F916" s="305">
        <f t="shared" si="354"/>
        <v>0</v>
      </c>
      <c r="G916" s="305">
        <f t="shared" si="354"/>
        <v>67</v>
      </c>
      <c r="H916" s="305">
        <f t="shared" si="354"/>
        <v>0</v>
      </c>
      <c r="I916" s="305">
        <f t="shared" si="354"/>
        <v>13</v>
      </c>
      <c r="J916" s="305">
        <f t="shared" si="354"/>
        <v>30</v>
      </c>
      <c r="K916" s="305">
        <f t="shared" si="354"/>
        <v>2</v>
      </c>
      <c r="L916" s="305">
        <f t="shared" si="354"/>
        <v>13</v>
      </c>
      <c r="M916" s="305">
        <f t="shared" si="354"/>
        <v>0</v>
      </c>
      <c r="N916" s="305">
        <f t="shared" si="354"/>
        <v>0</v>
      </c>
      <c r="O916" s="305">
        <f t="shared" si="354"/>
        <v>0</v>
      </c>
      <c r="P916" s="305">
        <f t="shared" si="354"/>
        <v>0</v>
      </c>
      <c r="Q916" s="203" t="s">
        <v>12</v>
      </c>
      <c r="R916" s="307"/>
    </row>
    <row r="917" spans="2:18" ht="22.5" customHeight="1" thickBot="1" x14ac:dyDescent="0.25">
      <c r="B917" s="305">
        <f t="shared" si="352"/>
        <v>10</v>
      </c>
      <c r="C917" s="305">
        <f>O917+M917+K917+I917+G917+E917</f>
        <v>10</v>
      </c>
      <c r="D917" s="305">
        <f>P917+N917+L917+J917+H917+F917</f>
        <v>0</v>
      </c>
      <c r="E917" s="305">
        <v>0</v>
      </c>
      <c r="F917" s="305">
        <v>0</v>
      </c>
      <c r="G917" s="305">
        <v>10</v>
      </c>
      <c r="H917" s="305">
        <v>0</v>
      </c>
      <c r="I917" s="305">
        <v>0</v>
      </c>
      <c r="J917" s="305">
        <v>0</v>
      </c>
      <c r="K917" s="305">
        <v>0</v>
      </c>
      <c r="L917" s="305">
        <v>0</v>
      </c>
      <c r="M917" s="305">
        <v>0</v>
      </c>
      <c r="N917" s="305">
        <v>0</v>
      </c>
      <c r="O917" s="305">
        <v>0</v>
      </c>
      <c r="P917" s="305">
        <v>0</v>
      </c>
      <c r="Q917" s="203" t="s">
        <v>146</v>
      </c>
      <c r="R917" s="306"/>
    </row>
    <row r="918" spans="2:18" ht="22.5" customHeight="1" thickBot="1" x14ac:dyDescent="0.25">
      <c r="B918" s="305">
        <f t="shared" si="352"/>
        <v>14</v>
      </c>
      <c r="C918" s="305">
        <f>O918+M918+K918+I918+G918+E918</f>
        <v>8</v>
      </c>
      <c r="D918" s="305">
        <f>P918+N918+L918+J918+H918+F918</f>
        <v>6</v>
      </c>
      <c r="E918" s="305">
        <v>4</v>
      </c>
      <c r="F918" s="305">
        <v>0</v>
      </c>
      <c r="G918" s="305">
        <v>0</v>
      </c>
      <c r="H918" s="305">
        <v>0</v>
      </c>
      <c r="I918" s="305">
        <v>4</v>
      </c>
      <c r="J918" s="305">
        <v>6</v>
      </c>
      <c r="K918" s="305">
        <v>0</v>
      </c>
      <c r="L918" s="305">
        <v>0</v>
      </c>
      <c r="M918" s="305">
        <v>0</v>
      </c>
      <c r="N918" s="305">
        <v>0</v>
      </c>
      <c r="O918" s="305">
        <v>0</v>
      </c>
      <c r="P918" s="305">
        <v>0</v>
      </c>
      <c r="Q918" s="203" t="s">
        <v>145</v>
      </c>
      <c r="R918" s="306" t="s">
        <v>776</v>
      </c>
    </row>
    <row r="919" spans="2:18" ht="22.5" customHeight="1" thickBot="1" x14ac:dyDescent="0.25">
      <c r="B919" s="305">
        <f t="shared" ref="B919:P919" si="355">SUM(B917:B918)</f>
        <v>24</v>
      </c>
      <c r="C919" s="305">
        <f t="shared" si="355"/>
        <v>18</v>
      </c>
      <c r="D919" s="305">
        <f t="shared" si="355"/>
        <v>6</v>
      </c>
      <c r="E919" s="305">
        <f t="shared" si="355"/>
        <v>4</v>
      </c>
      <c r="F919" s="305">
        <f t="shared" si="355"/>
        <v>0</v>
      </c>
      <c r="G919" s="305">
        <f t="shared" si="355"/>
        <v>10</v>
      </c>
      <c r="H919" s="305">
        <f t="shared" si="355"/>
        <v>0</v>
      </c>
      <c r="I919" s="305">
        <f t="shared" si="355"/>
        <v>4</v>
      </c>
      <c r="J919" s="305">
        <f t="shared" si="355"/>
        <v>6</v>
      </c>
      <c r="K919" s="305">
        <f t="shared" si="355"/>
        <v>0</v>
      </c>
      <c r="L919" s="305">
        <f t="shared" si="355"/>
        <v>0</v>
      </c>
      <c r="M919" s="305">
        <f t="shared" si="355"/>
        <v>0</v>
      </c>
      <c r="N919" s="305">
        <f t="shared" si="355"/>
        <v>0</v>
      </c>
      <c r="O919" s="305">
        <f t="shared" si="355"/>
        <v>0</v>
      </c>
      <c r="P919" s="305">
        <f t="shared" si="355"/>
        <v>0</v>
      </c>
      <c r="Q919" s="203" t="s">
        <v>12</v>
      </c>
      <c r="R919" s="307"/>
    </row>
    <row r="920" spans="2:18" ht="22.5" customHeight="1" thickBot="1" x14ac:dyDescent="0.25">
      <c r="B920" s="305">
        <f t="shared" si="352"/>
        <v>152</v>
      </c>
      <c r="C920" s="305">
        <f>O920+M920+K920+I920+G920+E920</f>
        <v>0</v>
      </c>
      <c r="D920" s="305">
        <f>P920+N920+L920+J920+H920+F920</f>
        <v>152</v>
      </c>
      <c r="E920" s="305">
        <v>0</v>
      </c>
      <c r="F920" s="305">
        <v>0</v>
      </c>
      <c r="G920" s="305">
        <v>0</v>
      </c>
      <c r="H920" s="305">
        <v>134</v>
      </c>
      <c r="I920" s="305">
        <v>0</v>
      </c>
      <c r="J920" s="305">
        <v>3</v>
      </c>
      <c r="K920" s="305">
        <v>0</v>
      </c>
      <c r="L920" s="305">
        <v>11</v>
      </c>
      <c r="M920" s="305">
        <v>0</v>
      </c>
      <c r="N920" s="305">
        <v>3</v>
      </c>
      <c r="O920" s="305">
        <v>0</v>
      </c>
      <c r="P920" s="305">
        <v>1</v>
      </c>
      <c r="Q920" s="203" t="s">
        <v>146</v>
      </c>
      <c r="R920" s="306"/>
    </row>
    <row r="921" spans="2:18" ht="22.5" customHeight="1" thickBot="1" x14ac:dyDescent="0.25">
      <c r="B921" s="305">
        <f t="shared" si="352"/>
        <v>86</v>
      </c>
      <c r="C921" s="305">
        <f>O921+M921+K921+I921+G921+E921</f>
        <v>0</v>
      </c>
      <c r="D921" s="305">
        <f>P921+N921+L921+J921+H921+F921</f>
        <v>86</v>
      </c>
      <c r="E921" s="305">
        <v>0</v>
      </c>
      <c r="F921" s="305">
        <v>0</v>
      </c>
      <c r="G921" s="305">
        <v>0</v>
      </c>
      <c r="H921" s="305">
        <v>0</v>
      </c>
      <c r="I921" s="305">
        <v>0</v>
      </c>
      <c r="J921" s="305">
        <v>55</v>
      </c>
      <c r="K921" s="305">
        <v>0</v>
      </c>
      <c r="L921" s="305">
        <v>26</v>
      </c>
      <c r="M921" s="305">
        <v>0</v>
      </c>
      <c r="N921" s="305">
        <v>5</v>
      </c>
      <c r="O921" s="305">
        <v>0</v>
      </c>
      <c r="P921" s="305">
        <v>0</v>
      </c>
      <c r="Q921" s="203" t="s">
        <v>145</v>
      </c>
      <c r="R921" s="306" t="s">
        <v>209</v>
      </c>
    </row>
    <row r="922" spans="2:18" ht="22.5" customHeight="1" thickBot="1" x14ac:dyDescent="0.25">
      <c r="B922" s="305">
        <f t="shared" ref="B922:P922" si="356">SUM(B920:B921)</f>
        <v>238</v>
      </c>
      <c r="C922" s="305">
        <f t="shared" si="356"/>
        <v>0</v>
      </c>
      <c r="D922" s="305">
        <f t="shared" si="356"/>
        <v>238</v>
      </c>
      <c r="E922" s="305">
        <f t="shared" si="356"/>
        <v>0</v>
      </c>
      <c r="F922" s="305">
        <f t="shared" si="356"/>
        <v>0</v>
      </c>
      <c r="G922" s="305">
        <f t="shared" si="356"/>
        <v>0</v>
      </c>
      <c r="H922" s="305">
        <f t="shared" si="356"/>
        <v>134</v>
      </c>
      <c r="I922" s="305">
        <f t="shared" si="356"/>
        <v>0</v>
      </c>
      <c r="J922" s="305">
        <f t="shared" si="356"/>
        <v>58</v>
      </c>
      <c r="K922" s="305">
        <f t="shared" si="356"/>
        <v>0</v>
      </c>
      <c r="L922" s="305">
        <f t="shared" si="356"/>
        <v>37</v>
      </c>
      <c r="M922" s="305">
        <f t="shared" si="356"/>
        <v>0</v>
      </c>
      <c r="N922" s="305">
        <f t="shared" si="356"/>
        <v>8</v>
      </c>
      <c r="O922" s="305">
        <f t="shared" si="356"/>
        <v>0</v>
      </c>
      <c r="P922" s="305">
        <f t="shared" si="356"/>
        <v>1</v>
      </c>
      <c r="Q922" s="203" t="s">
        <v>12</v>
      </c>
      <c r="R922" s="307"/>
    </row>
    <row r="923" spans="2:18" ht="22.5" customHeight="1" thickBot="1" x14ac:dyDescent="0.25">
      <c r="B923" s="305">
        <f t="shared" ref="B923:P925" si="357">B920+B917+B914+B911</f>
        <v>249</v>
      </c>
      <c r="C923" s="305">
        <f t="shared" si="357"/>
        <v>96</v>
      </c>
      <c r="D923" s="305">
        <f t="shared" si="357"/>
        <v>153</v>
      </c>
      <c r="E923" s="305">
        <f t="shared" si="357"/>
        <v>0</v>
      </c>
      <c r="F923" s="305">
        <f t="shared" si="357"/>
        <v>1</v>
      </c>
      <c r="G923" s="305">
        <f t="shared" si="357"/>
        <v>95</v>
      </c>
      <c r="H923" s="305">
        <f t="shared" si="357"/>
        <v>134</v>
      </c>
      <c r="I923" s="305">
        <f t="shared" si="357"/>
        <v>0</v>
      </c>
      <c r="J923" s="305">
        <f t="shared" si="357"/>
        <v>3</v>
      </c>
      <c r="K923" s="305">
        <f t="shared" si="357"/>
        <v>1</v>
      </c>
      <c r="L923" s="305">
        <f t="shared" si="357"/>
        <v>11</v>
      </c>
      <c r="M923" s="305">
        <f t="shared" si="357"/>
        <v>0</v>
      </c>
      <c r="N923" s="305">
        <f t="shared" si="357"/>
        <v>3</v>
      </c>
      <c r="O923" s="305">
        <f t="shared" si="357"/>
        <v>0</v>
      </c>
      <c r="P923" s="305">
        <f t="shared" si="357"/>
        <v>1</v>
      </c>
      <c r="Q923" s="203" t="s">
        <v>146</v>
      </c>
      <c r="R923" s="280"/>
    </row>
    <row r="924" spans="2:18" ht="22.5" customHeight="1" thickBot="1" x14ac:dyDescent="0.25">
      <c r="B924" s="305">
        <f t="shared" si="357"/>
        <v>208</v>
      </c>
      <c r="C924" s="305">
        <f t="shared" si="357"/>
        <v>52</v>
      </c>
      <c r="D924" s="305">
        <f t="shared" si="357"/>
        <v>156</v>
      </c>
      <c r="E924" s="305">
        <f t="shared" si="357"/>
        <v>4</v>
      </c>
      <c r="F924" s="305">
        <f t="shared" si="357"/>
        <v>0</v>
      </c>
      <c r="G924" s="305">
        <f t="shared" si="357"/>
        <v>0</v>
      </c>
      <c r="H924" s="305">
        <f t="shared" si="357"/>
        <v>0</v>
      </c>
      <c r="I924" s="305">
        <f t="shared" si="357"/>
        <v>31</v>
      </c>
      <c r="J924" s="305">
        <f t="shared" si="357"/>
        <v>91</v>
      </c>
      <c r="K924" s="305">
        <f t="shared" si="357"/>
        <v>17</v>
      </c>
      <c r="L924" s="305">
        <f t="shared" si="357"/>
        <v>55</v>
      </c>
      <c r="M924" s="305">
        <f t="shared" si="357"/>
        <v>0</v>
      </c>
      <c r="N924" s="305">
        <f t="shared" si="357"/>
        <v>5</v>
      </c>
      <c r="O924" s="305">
        <f t="shared" si="357"/>
        <v>0</v>
      </c>
      <c r="P924" s="305">
        <f t="shared" si="357"/>
        <v>5</v>
      </c>
      <c r="Q924" s="203" t="s">
        <v>145</v>
      </c>
      <c r="R924" s="281" t="s">
        <v>188</v>
      </c>
    </row>
    <row r="925" spans="2:18" ht="22.5" customHeight="1" thickBot="1" x14ac:dyDescent="0.25">
      <c r="B925" s="305">
        <f t="shared" si="357"/>
        <v>457</v>
      </c>
      <c r="C925" s="305">
        <f t="shared" si="357"/>
        <v>148</v>
      </c>
      <c r="D925" s="305">
        <f t="shared" si="357"/>
        <v>309</v>
      </c>
      <c r="E925" s="305">
        <f t="shared" si="357"/>
        <v>4</v>
      </c>
      <c r="F925" s="305">
        <f t="shared" si="357"/>
        <v>1</v>
      </c>
      <c r="G925" s="305">
        <f t="shared" si="357"/>
        <v>95</v>
      </c>
      <c r="H925" s="305">
        <f t="shared" si="357"/>
        <v>134</v>
      </c>
      <c r="I925" s="305">
        <f t="shared" si="357"/>
        <v>31</v>
      </c>
      <c r="J925" s="305">
        <f t="shared" si="357"/>
        <v>94</v>
      </c>
      <c r="K925" s="305">
        <f t="shared" si="357"/>
        <v>18</v>
      </c>
      <c r="L925" s="305">
        <f t="shared" si="357"/>
        <v>66</v>
      </c>
      <c r="M925" s="305">
        <f t="shared" si="357"/>
        <v>0</v>
      </c>
      <c r="N925" s="305">
        <f t="shared" si="357"/>
        <v>8</v>
      </c>
      <c r="O925" s="305">
        <f t="shared" si="357"/>
        <v>0</v>
      </c>
      <c r="P925" s="305">
        <f t="shared" si="357"/>
        <v>6</v>
      </c>
      <c r="Q925" s="203" t="s">
        <v>12</v>
      </c>
      <c r="R925" s="282"/>
    </row>
    <row r="926" spans="2:18" ht="22.5" customHeight="1" thickBot="1" x14ac:dyDescent="0.25">
      <c r="B926" s="319"/>
      <c r="C926" s="319"/>
      <c r="D926" s="319"/>
      <c r="E926" s="319"/>
      <c r="F926" s="319"/>
      <c r="G926" s="319"/>
      <c r="H926" s="319"/>
      <c r="I926" s="319"/>
      <c r="J926" s="319"/>
      <c r="K926" s="319"/>
      <c r="L926" s="319"/>
      <c r="M926" s="319"/>
      <c r="N926" s="319"/>
      <c r="O926" s="319"/>
      <c r="P926" s="319"/>
      <c r="Q926" s="320"/>
      <c r="R926" s="320"/>
    </row>
    <row r="927" spans="2:18" ht="22.5" customHeight="1" thickBot="1" x14ac:dyDescent="0.25">
      <c r="B927" s="477" t="s">
        <v>4</v>
      </c>
      <c r="C927" s="477"/>
      <c r="D927" s="477"/>
      <c r="E927" s="477" t="s">
        <v>735</v>
      </c>
      <c r="F927" s="477"/>
      <c r="G927" s="477" t="s">
        <v>736</v>
      </c>
      <c r="H927" s="477"/>
      <c r="I927" s="477" t="s">
        <v>737</v>
      </c>
      <c r="J927" s="477"/>
      <c r="K927" s="477" t="s">
        <v>738</v>
      </c>
      <c r="L927" s="477"/>
      <c r="M927" s="477" t="s">
        <v>739</v>
      </c>
      <c r="N927" s="477"/>
      <c r="O927" s="477" t="s">
        <v>740</v>
      </c>
      <c r="P927" s="477"/>
      <c r="Q927" s="575" t="s">
        <v>741</v>
      </c>
      <c r="R927" s="304" t="s">
        <v>144</v>
      </c>
    </row>
    <row r="928" spans="2:18" ht="22.5" customHeight="1" thickBot="1" x14ac:dyDescent="0.25">
      <c r="B928" s="204" t="s">
        <v>227</v>
      </c>
      <c r="C928" s="204" t="s">
        <v>10</v>
      </c>
      <c r="D928" s="204" t="s">
        <v>9</v>
      </c>
      <c r="E928" s="204" t="s">
        <v>10</v>
      </c>
      <c r="F928" s="204" t="s">
        <v>9</v>
      </c>
      <c r="G928" s="204" t="s">
        <v>10</v>
      </c>
      <c r="H928" s="204" t="s">
        <v>9</v>
      </c>
      <c r="I928" s="204" t="s">
        <v>10</v>
      </c>
      <c r="J928" s="204" t="s">
        <v>9</v>
      </c>
      <c r="K928" s="204" t="s">
        <v>10</v>
      </c>
      <c r="L928" s="204" t="s">
        <v>9</v>
      </c>
      <c r="M928" s="204" t="s">
        <v>10</v>
      </c>
      <c r="N928" s="204" t="s">
        <v>9</v>
      </c>
      <c r="O928" s="204" t="s">
        <v>10</v>
      </c>
      <c r="P928" s="204" t="s">
        <v>9</v>
      </c>
      <c r="Q928" s="481"/>
      <c r="R928" s="282" t="s">
        <v>121</v>
      </c>
    </row>
    <row r="929" spans="2:18" ht="22.5" customHeight="1" thickBot="1" x14ac:dyDescent="0.25">
      <c r="B929" s="305">
        <f>SUM(C929:D929)</f>
        <v>166</v>
      </c>
      <c r="C929" s="305">
        <f>O929+M929+K929+I929+G929+E929</f>
        <v>166</v>
      </c>
      <c r="D929" s="305">
        <f>P929+N929+L929+J929+H929+F929</f>
        <v>0</v>
      </c>
      <c r="E929" s="305">
        <v>0</v>
      </c>
      <c r="F929" s="305">
        <v>0</v>
      </c>
      <c r="G929" s="305">
        <v>7</v>
      </c>
      <c r="H929" s="305">
        <v>0</v>
      </c>
      <c r="I929" s="305">
        <v>66</v>
      </c>
      <c r="J929" s="305">
        <v>0</v>
      </c>
      <c r="K929" s="305">
        <v>75</v>
      </c>
      <c r="L929" s="305">
        <v>0</v>
      </c>
      <c r="M929" s="305">
        <v>13</v>
      </c>
      <c r="N929" s="305">
        <v>0</v>
      </c>
      <c r="O929" s="305">
        <v>5</v>
      </c>
      <c r="P929" s="305">
        <v>0</v>
      </c>
      <c r="Q929" s="203" t="s">
        <v>146</v>
      </c>
      <c r="R929" s="306"/>
    </row>
    <row r="930" spans="2:18" ht="22.5" customHeight="1" thickBot="1" x14ac:dyDescent="0.25">
      <c r="B930" s="305">
        <f t="shared" ref="B930:B993" si="358">SUM(C930:D930)</f>
        <v>7</v>
      </c>
      <c r="C930" s="305">
        <f>O930+M930+K930+I930+G930+E930</f>
        <v>2</v>
      </c>
      <c r="D930" s="305">
        <f>P930+N930+L930+J930+H930+F930</f>
        <v>5</v>
      </c>
      <c r="E930" s="305">
        <v>0</v>
      </c>
      <c r="F930" s="305">
        <v>0</v>
      </c>
      <c r="G930" s="305">
        <v>0</v>
      </c>
      <c r="H930" s="305">
        <v>0</v>
      </c>
      <c r="I930" s="305">
        <v>0</v>
      </c>
      <c r="J930" s="305">
        <v>0</v>
      </c>
      <c r="K930" s="305">
        <v>0</v>
      </c>
      <c r="L930" s="305">
        <v>0</v>
      </c>
      <c r="M930" s="305">
        <v>0</v>
      </c>
      <c r="N930" s="305">
        <v>1</v>
      </c>
      <c r="O930" s="305">
        <v>2</v>
      </c>
      <c r="P930" s="305">
        <v>4</v>
      </c>
      <c r="Q930" s="203" t="s">
        <v>145</v>
      </c>
      <c r="R930" s="306" t="s">
        <v>529</v>
      </c>
    </row>
    <row r="931" spans="2:18" ht="22.5" customHeight="1" thickBot="1" x14ac:dyDescent="0.25">
      <c r="B931" s="305">
        <f t="shared" ref="B931:P931" si="359">SUM(B929:B930)</f>
        <v>173</v>
      </c>
      <c r="C931" s="305">
        <f t="shared" si="359"/>
        <v>168</v>
      </c>
      <c r="D931" s="305">
        <f t="shared" si="359"/>
        <v>5</v>
      </c>
      <c r="E931" s="305">
        <f t="shared" si="359"/>
        <v>0</v>
      </c>
      <c r="F931" s="305">
        <f t="shared" si="359"/>
        <v>0</v>
      </c>
      <c r="G931" s="305">
        <f t="shared" si="359"/>
        <v>7</v>
      </c>
      <c r="H931" s="305">
        <f t="shared" si="359"/>
        <v>0</v>
      </c>
      <c r="I931" s="305">
        <f t="shared" si="359"/>
        <v>66</v>
      </c>
      <c r="J931" s="305">
        <f t="shared" si="359"/>
        <v>0</v>
      </c>
      <c r="K931" s="305">
        <f t="shared" si="359"/>
        <v>75</v>
      </c>
      <c r="L931" s="305">
        <f t="shared" si="359"/>
        <v>0</v>
      </c>
      <c r="M931" s="305">
        <f t="shared" si="359"/>
        <v>13</v>
      </c>
      <c r="N931" s="305">
        <f t="shared" si="359"/>
        <v>1</v>
      </c>
      <c r="O931" s="305">
        <f t="shared" si="359"/>
        <v>7</v>
      </c>
      <c r="P931" s="305">
        <f t="shared" si="359"/>
        <v>4</v>
      </c>
      <c r="Q931" s="203" t="s">
        <v>12</v>
      </c>
      <c r="R931" s="307"/>
    </row>
    <row r="932" spans="2:18" ht="22.5" customHeight="1" thickBot="1" x14ac:dyDescent="0.25">
      <c r="B932" s="305">
        <f t="shared" si="358"/>
        <v>243</v>
      </c>
      <c r="C932" s="305">
        <f>O932+M932+K932+I932+G932+E932</f>
        <v>243</v>
      </c>
      <c r="D932" s="305">
        <f>P932+N932+L932+J932+H932+F932</f>
        <v>0</v>
      </c>
      <c r="E932" s="305">
        <v>0</v>
      </c>
      <c r="F932" s="305">
        <v>0</v>
      </c>
      <c r="G932" s="305">
        <v>9</v>
      </c>
      <c r="H932" s="305">
        <v>0</v>
      </c>
      <c r="I932" s="305">
        <v>89</v>
      </c>
      <c r="J932" s="305">
        <v>0</v>
      </c>
      <c r="K932" s="305">
        <v>129</v>
      </c>
      <c r="L932" s="305">
        <v>0</v>
      </c>
      <c r="M932" s="305">
        <v>14</v>
      </c>
      <c r="N932" s="305">
        <v>0</v>
      </c>
      <c r="O932" s="305">
        <v>2</v>
      </c>
      <c r="P932" s="305">
        <v>0</v>
      </c>
      <c r="Q932" s="203" t="s">
        <v>146</v>
      </c>
      <c r="R932" s="306"/>
    </row>
    <row r="933" spans="2:18" ht="22.5" customHeight="1" thickBot="1" x14ac:dyDescent="0.25">
      <c r="B933" s="305">
        <f t="shared" si="358"/>
        <v>2</v>
      </c>
      <c r="C933" s="305">
        <f>O933+M933+K933+I933+G933+E933</f>
        <v>0</v>
      </c>
      <c r="D933" s="305">
        <f>P933+N933+L933+J933+H933+F933</f>
        <v>2</v>
      </c>
      <c r="E933" s="305">
        <v>0</v>
      </c>
      <c r="F933" s="305">
        <v>0</v>
      </c>
      <c r="G933" s="305">
        <v>0</v>
      </c>
      <c r="H933" s="305">
        <v>0</v>
      </c>
      <c r="I933" s="305">
        <v>0</v>
      </c>
      <c r="J933" s="305">
        <v>0</v>
      </c>
      <c r="K933" s="305">
        <v>0</v>
      </c>
      <c r="L933" s="305">
        <v>0</v>
      </c>
      <c r="M933" s="305">
        <v>0</v>
      </c>
      <c r="N933" s="305">
        <v>1</v>
      </c>
      <c r="O933" s="305">
        <v>0</v>
      </c>
      <c r="P933" s="305">
        <v>1</v>
      </c>
      <c r="Q933" s="203" t="s">
        <v>145</v>
      </c>
      <c r="R933" s="306" t="s">
        <v>530</v>
      </c>
    </row>
    <row r="934" spans="2:18" ht="22.5" customHeight="1" thickBot="1" x14ac:dyDescent="0.25">
      <c r="B934" s="305">
        <f t="shared" ref="B934" si="360">SUM(B932:B933)</f>
        <v>245</v>
      </c>
      <c r="C934" s="305">
        <f t="shared" ref="C934:P934" si="361">SUM(C932:C933)</f>
        <v>243</v>
      </c>
      <c r="D934" s="305">
        <f t="shared" si="361"/>
        <v>2</v>
      </c>
      <c r="E934" s="305">
        <f t="shared" si="361"/>
        <v>0</v>
      </c>
      <c r="F934" s="305">
        <f t="shared" si="361"/>
        <v>0</v>
      </c>
      <c r="G934" s="305">
        <f t="shared" si="361"/>
        <v>9</v>
      </c>
      <c r="H934" s="305">
        <f t="shared" si="361"/>
        <v>0</v>
      </c>
      <c r="I934" s="305">
        <f t="shared" si="361"/>
        <v>89</v>
      </c>
      <c r="J934" s="305">
        <f t="shared" si="361"/>
        <v>0</v>
      </c>
      <c r="K934" s="305">
        <f t="shared" si="361"/>
        <v>129</v>
      </c>
      <c r="L934" s="305">
        <f t="shared" si="361"/>
        <v>0</v>
      </c>
      <c r="M934" s="305">
        <f t="shared" si="361"/>
        <v>14</v>
      </c>
      <c r="N934" s="305">
        <f t="shared" si="361"/>
        <v>1</v>
      </c>
      <c r="O934" s="305">
        <f t="shared" si="361"/>
        <v>2</v>
      </c>
      <c r="P934" s="305">
        <f t="shared" si="361"/>
        <v>1</v>
      </c>
      <c r="Q934" s="203" t="s">
        <v>12</v>
      </c>
      <c r="R934" s="307"/>
    </row>
    <row r="935" spans="2:18" ht="22.5" customHeight="1" thickBot="1" x14ac:dyDescent="0.25">
      <c r="B935" s="305">
        <f t="shared" si="358"/>
        <v>78</v>
      </c>
      <c r="C935" s="305">
        <f>O935+M935+K935+I935+G935+E935</f>
        <v>78</v>
      </c>
      <c r="D935" s="305">
        <f>P935+N935+L935+J935+H935+F935</f>
        <v>0</v>
      </c>
      <c r="E935" s="305">
        <v>0</v>
      </c>
      <c r="F935" s="305">
        <v>0</v>
      </c>
      <c r="G935" s="305">
        <v>14</v>
      </c>
      <c r="H935" s="305">
        <v>0</v>
      </c>
      <c r="I935" s="305">
        <v>34</v>
      </c>
      <c r="J935" s="305">
        <v>0</v>
      </c>
      <c r="K935" s="305">
        <v>21</v>
      </c>
      <c r="L935" s="305">
        <v>0</v>
      </c>
      <c r="M935" s="305">
        <v>7</v>
      </c>
      <c r="N935" s="305">
        <v>0</v>
      </c>
      <c r="O935" s="305">
        <v>2</v>
      </c>
      <c r="P935" s="305">
        <v>0</v>
      </c>
      <c r="Q935" s="203" t="s">
        <v>146</v>
      </c>
      <c r="R935" s="306"/>
    </row>
    <row r="936" spans="2:18" ht="22.5" customHeight="1" thickBot="1" x14ac:dyDescent="0.25">
      <c r="B936" s="305">
        <f t="shared" si="358"/>
        <v>4</v>
      </c>
      <c r="C936" s="305">
        <f>O936+M936+K936+I936+G936+E936</f>
        <v>3</v>
      </c>
      <c r="D936" s="305">
        <f>P936+N936+L936+J936+H936+F936</f>
        <v>1</v>
      </c>
      <c r="E936" s="305">
        <v>0</v>
      </c>
      <c r="F936" s="305">
        <v>0</v>
      </c>
      <c r="G936" s="305">
        <v>0</v>
      </c>
      <c r="H936" s="305">
        <v>0</v>
      </c>
      <c r="I936" s="305">
        <v>0</v>
      </c>
      <c r="J936" s="305">
        <v>0</v>
      </c>
      <c r="K936" s="305">
        <v>0</v>
      </c>
      <c r="L936" s="305">
        <v>0</v>
      </c>
      <c r="M936" s="305">
        <v>2</v>
      </c>
      <c r="N936" s="305">
        <v>1</v>
      </c>
      <c r="O936" s="305">
        <v>1</v>
      </c>
      <c r="P936" s="305">
        <v>0</v>
      </c>
      <c r="Q936" s="203" t="s">
        <v>145</v>
      </c>
      <c r="R936" s="306" t="s">
        <v>531</v>
      </c>
    </row>
    <row r="937" spans="2:18" ht="22.5" customHeight="1" thickBot="1" x14ac:dyDescent="0.25">
      <c r="B937" s="305">
        <f t="shared" ref="B937" si="362">SUM(B935:B936)</f>
        <v>82</v>
      </c>
      <c r="C937" s="305">
        <f t="shared" ref="C937:P937" si="363">SUM(C935:C936)</f>
        <v>81</v>
      </c>
      <c r="D937" s="305">
        <f t="shared" si="363"/>
        <v>1</v>
      </c>
      <c r="E937" s="305">
        <f t="shared" si="363"/>
        <v>0</v>
      </c>
      <c r="F937" s="305">
        <f t="shared" si="363"/>
        <v>0</v>
      </c>
      <c r="G937" s="305">
        <f t="shared" si="363"/>
        <v>14</v>
      </c>
      <c r="H937" s="305">
        <f t="shared" si="363"/>
        <v>0</v>
      </c>
      <c r="I937" s="305">
        <f t="shared" si="363"/>
        <v>34</v>
      </c>
      <c r="J937" s="305">
        <f t="shared" si="363"/>
        <v>0</v>
      </c>
      <c r="K937" s="305">
        <f t="shared" si="363"/>
        <v>21</v>
      </c>
      <c r="L937" s="305">
        <f t="shared" si="363"/>
        <v>0</v>
      </c>
      <c r="M937" s="305">
        <f t="shared" si="363"/>
        <v>9</v>
      </c>
      <c r="N937" s="305">
        <f t="shared" si="363"/>
        <v>1</v>
      </c>
      <c r="O937" s="305">
        <f t="shared" si="363"/>
        <v>3</v>
      </c>
      <c r="P937" s="305">
        <f t="shared" si="363"/>
        <v>0</v>
      </c>
      <c r="Q937" s="203" t="s">
        <v>12</v>
      </c>
      <c r="R937" s="307"/>
    </row>
    <row r="938" spans="2:18" ht="22.5" customHeight="1" thickBot="1" x14ac:dyDescent="0.25">
      <c r="B938" s="305">
        <f t="shared" si="358"/>
        <v>59</v>
      </c>
      <c r="C938" s="305">
        <f>O938+M938+K938+I938+G938+E938</f>
        <v>59</v>
      </c>
      <c r="D938" s="305">
        <f>P938+N938+L938+J938+H938+F938</f>
        <v>0</v>
      </c>
      <c r="E938" s="305">
        <v>0</v>
      </c>
      <c r="F938" s="305">
        <v>0</v>
      </c>
      <c r="G938" s="305">
        <v>1</v>
      </c>
      <c r="H938" s="305">
        <v>0</v>
      </c>
      <c r="I938" s="305">
        <v>20</v>
      </c>
      <c r="J938" s="305">
        <v>0</v>
      </c>
      <c r="K938" s="305">
        <v>30</v>
      </c>
      <c r="L938" s="305">
        <v>0</v>
      </c>
      <c r="M938" s="305">
        <v>6</v>
      </c>
      <c r="N938" s="305">
        <v>0</v>
      </c>
      <c r="O938" s="305">
        <v>2</v>
      </c>
      <c r="P938" s="305">
        <v>0</v>
      </c>
      <c r="Q938" s="203" t="s">
        <v>146</v>
      </c>
      <c r="R938" s="306"/>
    </row>
    <row r="939" spans="2:18" ht="22.5" customHeight="1" thickBot="1" x14ac:dyDescent="0.25">
      <c r="B939" s="305">
        <f t="shared" si="358"/>
        <v>2</v>
      </c>
      <c r="C939" s="305">
        <f>O939+M939+K939+I939+G939+E939</f>
        <v>2</v>
      </c>
      <c r="D939" s="305">
        <f>P939+N939+L939+J939+H939+F939</f>
        <v>0</v>
      </c>
      <c r="E939" s="305">
        <v>0</v>
      </c>
      <c r="F939" s="305">
        <v>0</v>
      </c>
      <c r="G939" s="305">
        <v>0</v>
      </c>
      <c r="H939" s="305">
        <v>0</v>
      </c>
      <c r="I939" s="305">
        <v>0</v>
      </c>
      <c r="J939" s="305">
        <v>0</v>
      </c>
      <c r="K939" s="305">
        <v>0</v>
      </c>
      <c r="L939" s="305">
        <v>0</v>
      </c>
      <c r="M939" s="305">
        <v>1</v>
      </c>
      <c r="N939" s="305">
        <v>0</v>
      </c>
      <c r="O939" s="305">
        <v>1</v>
      </c>
      <c r="P939" s="305">
        <v>0</v>
      </c>
      <c r="Q939" s="203" t="s">
        <v>145</v>
      </c>
      <c r="R939" s="306" t="s">
        <v>532</v>
      </c>
    </row>
    <row r="940" spans="2:18" ht="22.5" customHeight="1" thickBot="1" x14ac:dyDescent="0.25">
      <c r="B940" s="305">
        <f t="shared" ref="B940" si="364">SUM(B938:B939)</f>
        <v>61</v>
      </c>
      <c r="C940" s="305">
        <f t="shared" ref="C940:P940" si="365">SUM(C938:C939)</f>
        <v>61</v>
      </c>
      <c r="D940" s="305">
        <f t="shared" si="365"/>
        <v>0</v>
      </c>
      <c r="E940" s="305">
        <f t="shared" si="365"/>
        <v>0</v>
      </c>
      <c r="F940" s="305">
        <f t="shared" si="365"/>
        <v>0</v>
      </c>
      <c r="G940" s="305">
        <f t="shared" si="365"/>
        <v>1</v>
      </c>
      <c r="H940" s="305">
        <f t="shared" si="365"/>
        <v>0</v>
      </c>
      <c r="I940" s="305">
        <f t="shared" si="365"/>
        <v>20</v>
      </c>
      <c r="J940" s="305">
        <f t="shared" si="365"/>
        <v>0</v>
      </c>
      <c r="K940" s="305">
        <f t="shared" si="365"/>
        <v>30</v>
      </c>
      <c r="L940" s="305">
        <f t="shared" si="365"/>
        <v>0</v>
      </c>
      <c r="M940" s="305">
        <f t="shared" si="365"/>
        <v>7</v>
      </c>
      <c r="N940" s="305">
        <f t="shared" si="365"/>
        <v>0</v>
      </c>
      <c r="O940" s="305">
        <f t="shared" si="365"/>
        <v>3</v>
      </c>
      <c r="P940" s="305">
        <f t="shared" si="365"/>
        <v>0</v>
      </c>
      <c r="Q940" s="203" t="s">
        <v>12</v>
      </c>
      <c r="R940" s="307"/>
    </row>
    <row r="941" spans="2:18" ht="22.5" customHeight="1" thickBot="1" x14ac:dyDescent="0.25">
      <c r="B941" s="305">
        <f t="shared" si="358"/>
        <v>70</v>
      </c>
      <c r="C941" s="305">
        <f>O941+M941+K941+I941+G941+E941</f>
        <v>70</v>
      </c>
      <c r="D941" s="305">
        <f>P941+N941+L941+J941+H941+F941</f>
        <v>0</v>
      </c>
      <c r="E941" s="305">
        <v>0</v>
      </c>
      <c r="F941" s="305">
        <v>0</v>
      </c>
      <c r="G941" s="305">
        <v>13</v>
      </c>
      <c r="H941" s="305">
        <v>0</v>
      </c>
      <c r="I941" s="305">
        <v>41</v>
      </c>
      <c r="J941" s="305">
        <v>0</v>
      </c>
      <c r="K941" s="305">
        <v>15</v>
      </c>
      <c r="L941" s="305">
        <v>0</v>
      </c>
      <c r="M941" s="305">
        <v>1</v>
      </c>
      <c r="N941" s="305">
        <v>0</v>
      </c>
      <c r="O941" s="305">
        <v>0</v>
      </c>
      <c r="P941" s="305">
        <v>0</v>
      </c>
      <c r="Q941" s="203" t="s">
        <v>146</v>
      </c>
      <c r="R941" s="306"/>
    </row>
    <row r="942" spans="2:18" ht="22.5" customHeight="1" thickBot="1" x14ac:dyDescent="0.25">
      <c r="B942" s="305">
        <f t="shared" si="358"/>
        <v>3</v>
      </c>
      <c r="C942" s="305">
        <f>O942+M942+K942+I942+G942+E942</f>
        <v>3</v>
      </c>
      <c r="D942" s="305">
        <f>P942+N942+L942+J942+H942+F942</f>
        <v>0</v>
      </c>
      <c r="E942" s="305">
        <v>0</v>
      </c>
      <c r="F942" s="305">
        <v>0</v>
      </c>
      <c r="G942" s="305">
        <v>0</v>
      </c>
      <c r="H942" s="305">
        <v>0</v>
      </c>
      <c r="I942" s="305">
        <v>0</v>
      </c>
      <c r="J942" s="305">
        <v>0</v>
      </c>
      <c r="K942" s="305">
        <v>1</v>
      </c>
      <c r="L942" s="305">
        <v>0</v>
      </c>
      <c r="M942" s="305">
        <v>1</v>
      </c>
      <c r="N942" s="305">
        <v>0</v>
      </c>
      <c r="O942" s="305">
        <v>1</v>
      </c>
      <c r="P942" s="305">
        <v>0</v>
      </c>
      <c r="Q942" s="203" t="s">
        <v>145</v>
      </c>
      <c r="R942" s="306" t="s">
        <v>533</v>
      </c>
    </row>
    <row r="943" spans="2:18" ht="22.5" customHeight="1" thickBot="1" x14ac:dyDescent="0.25">
      <c r="B943" s="305">
        <f t="shared" ref="B943" si="366">SUM(B941:B942)</f>
        <v>73</v>
      </c>
      <c r="C943" s="305">
        <f t="shared" ref="C943:P943" si="367">SUM(C941:C942)</f>
        <v>73</v>
      </c>
      <c r="D943" s="305">
        <f t="shared" si="367"/>
        <v>0</v>
      </c>
      <c r="E943" s="305">
        <f t="shared" si="367"/>
        <v>0</v>
      </c>
      <c r="F943" s="305">
        <f t="shared" si="367"/>
        <v>0</v>
      </c>
      <c r="G943" s="305">
        <f t="shared" si="367"/>
        <v>13</v>
      </c>
      <c r="H943" s="305">
        <f t="shared" si="367"/>
        <v>0</v>
      </c>
      <c r="I943" s="305">
        <f t="shared" si="367"/>
        <v>41</v>
      </c>
      <c r="J943" s="305">
        <f t="shared" si="367"/>
        <v>0</v>
      </c>
      <c r="K943" s="305">
        <f t="shared" si="367"/>
        <v>16</v>
      </c>
      <c r="L943" s="305">
        <f t="shared" si="367"/>
        <v>0</v>
      </c>
      <c r="M943" s="305">
        <f t="shared" si="367"/>
        <v>2</v>
      </c>
      <c r="N943" s="305">
        <f t="shared" si="367"/>
        <v>0</v>
      </c>
      <c r="O943" s="305">
        <f t="shared" si="367"/>
        <v>1</v>
      </c>
      <c r="P943" s="305">
        <f t="shared" si="367"/>
        <v>0</v>
      </c>
      <c r="Q943" s="203" t="s">
        <v>12</v>
      </c>
      <c r="R943" s="307"/>
    </row>
    <row r="944" spans="2:18" ht="22.5" customHeight="1" thickBot="1" x14ac:dyDescent="0.25">
      <c r="B944" s="305">
        <f t="shared" si="358"/>
        <v>2</v>
      </c>
      <c r="C944" s="305">
        <f>O944+M944+K944+I944+G944+E944</f>
        <v>2</v>
      </c>
      <c r="D944" s="305">
        <f>P944+N944+L944+J944+H944+F944</f>
        <v>0</v>
      </c>
      <c r="E944" s="305">
        <v>0</v>
      </c>
      <c r="F944" s="305">
        <v>0</v>
      </c>
      <c r="G944" s="305">
        <v>2</v>
      </c>
      <c r="H944" s="305">
        <v>0</v>
      </c>
      <c r="I944" s="305">
        <v>0</v>
      </c>
      <c r="J944" s="305">
        <v>0</v>
      </c>
      <c r="K944" s="305">
        <v>0</v>
      </c>
      <c r="L944" s="305">
        <v>0</v>
      </c>
      <c r="M944" s="305">
        <v>0</v>
      </c>
      <c r="N944" s="305">
        <v>0</v>
      </c>
      <c r="O944" s="305">
        <v>0</v>
      </c>
      <c r="P944" s="305">
        <v>0</v>
      </c>
      <c r="Q944" s="203" t="s">
        <v>146</v>
      </c>
      <c r="R944" s="306"/>
    </row>
    <row r="945" spans="2:18" ht="22.5" customHeight="1" thickBot="1" x14ac:dyDescent="0.25">
      <c r="B945" s="305">
        <f t="shared" si="358"/>
        <v>1</v>
      </c>
      <c r="C945" s="305">
        <f>O945+M945+K945+I945+G945+E945</f>
        <v>0</v>
      </c>
      <c r="D945" s="305">
        <f>P945+N945+L945+J945+H945+F945</f>
        <v>1</v>
      </c>
      <c r="E945" s="305">
        <v>0</v>
      </c>
      <c r="F945" s="305">
        <v>0</v>
      </c>
      <c r="G945" s="305">
        <v>0</v>
      </c>
      <c r="H945" s="305">
        <v>0</v>
      </c>
      <c r="I945" s="305">
        <v>0</v>
      </c>
      <c r="J945" s="305">
        <v>0</v>
      </c>
      <c r="K945" s="305">
        <v>0</v>
      </c>
      <c r="L945" s="305">
        <v>1</v>
      </c>
      <c r="M945" s="305">
        <v>0</v>
      </c>
      <c r="N945" s="305">
        <v>0</v>
      </c>
      <c r="O945" s="305">
        <v>0</v>
      </c>
      <c r="P945" s="305">
        <v>0</v>
      </c>
      <c r="Q945" s="203" t="s">
        <v>145</v>
      </c>
      <c r="R945" s="306" t="s">
        <v>534</v>
      </c>
    </row>
    <row r="946" spans="2:18" ht="22.5" customHeight="1" thickBot="1" x14ac:dyDescent="0.25">
      <c r="B946" s="305">
        <f t="shared" ref="B946" si="368">SUM(B944:B945)</f>
        <v>3</v>
      </c>
      <c r="C946" s="305">
        <f t="shared" ref="C946:P946" si="369">SUM(C944:C945)</f>
        <v>2</v>
      </c>
      <c r="D946" s="305">
        <f t="shared" si="369"/>
        <v>1</v>
      </c>
      <c r="E946" s="305">
        <f t="shared" si="369"/>
        <v>0</v>
      </c>
      <c r="F946" s="305">
        <f t="shared" si="369"/>
        <v>0</v>
      </c>
      <c r="G946" s="305">
        <f t="shared" si="369"/>
        <v>2</v>
      </c>
      <c r="H946" s="305">
        <f t="shared" si="369"/>
        <v>0</v>
      </c>
      <c r="I946" s="305">
        <f t="shared" si="369"/>
        <v>0</v>
      </c>
      <c r="J946" s="305">
        <f t="shared" si="369"/>
        <v>0</v>
      </c>
      <c r="K946" s="305">
        <f t="shared" si="369"/>
        <v>0</v>
      </c>
      <c r="L946" s="305">
        <f t="shared" si="369"/>
        <v>1</v>
      </c>
      <c r="M946" s="305">
        <f t="shared" si="369"/>
        <v>0</v>
      </c>
      <c r="N946" s="305">
        <f t="shared" si="369"/>
        <v>0</v>
      </c>
      <c r="O946" s="305">
        <f t="shared" si="369"/>
        <v>0</v>
      </c>
      <c r="P946" s="305">
        <f t="shared" si="369"/>
        <v>0</v>
      </c>
      <c r="Q946" s="203" t="s">
        <v>12</v>
      </c>
      <c r="R946" s="307"/>
    </row>
    <row r="947" spans="2:18" ht="22.5" customHeight="1" thickBot="1" x14ac:dyDescent="0.25">
      <c r="B947" s="305">
        <f t="shared" si="358"/>
        <v>3</v>
      </c>
      <c r="C947" s="305">
        <f>O947+M947+K947+I947+G947+E947</f>
        <v>3</v>
      </c>
      <c r="D947" s="305">
        <f>P947+N947+L947+J947+H947+F947</f>
        <v>0</v>
      </c>
      <c r="E947" s="305">
        <v>0</v>
      </c>
      <c r="F947" s="305">
        <v>0</v>
      </c>
      <c r="G947" s="305">
        <v>3</v>
      </c>
      <c r="H947" s="305">
        <v>0</v>
      </c>
      <c r="I947" s="305">
        <v>0</v>
      </c>
      <c r="J947" s="305">
        <v>0</v>
      </c>
      <c r="K947" s="305">
        <v>0</v>
      </c>
      <c r="L947" s="305">
        <v>0</v>
      </c>
      <c r="M947" s="305">
        <v>0</v>
      </c>
      <c r="N947" s="305">
        <v>0</v>
      </c>
      <c r="O947" s="305">
        <v>0</v>
      </c>
      <c r="P947" s="305">
        <v>0</v>
      </c>
      <c r="Q947" s="203" t="s">
        <v>146</v>
      </c>
      <c r="R947" s="306"/>
    </row>
    <row r="948" spans="2:18" ht="22.5" customHeight="1" thickBot="1" x14ac:dyDescent="0.25">
      <c r="B948" s="305">
        <f t="shared" si="358"/>
        <v>1</v>
      </c>
      <c r="C948" s="305">
        <f>O948+M948+K948+I948+G948+E948</f>
        <v>0</v>
      </c>
      <c r="D948" s="305">
        <f>P948+N948+L948+J948+H948+F948</f>
        <v>1</v>
      </c>
      <c r="E948" s="305">
        <v>0</v>
      </c>
      <c r="F948" s="305">
        <v>0</v>
      </c>
      <c r="G948" s="305">
        <v>0</v>
      </c>
      <c r="H948" s="305">
        <v>0</v>
      </c>
      <c r="I948" s="305">
        <v>0</v>
      </c>
      <c r="J948" s="305">
        <v>0</v>
      </c>
      <c r="K948" s="305">
        <v>0</v>
      </c>
      <c r="L948" s="305">
        <v>1</v>
      </c>
      <c r="M948" s="305">
        <v>0</v>
      </c>
      <c r="N948" s="305">
        <v>0</v>
      </c>
      <c r="O948" s="305">
        <v>0</v>
      </c>
      <c r="P948" s="305">
        <v>0</v>
      </c>
      <c r="Q948" s="203" t="s">
        <v>145</v>
      </c>
      <c r="R948" s="306" t="s">
        <v>535</v>
      </c>
    </row>
    <row r="949" spans="2:18" ht="22.5" customHeight="1" thickBot="1" x14ac:dyDescent="0.25">
      <c r="B949" s="305">
        <f t="shared" ref="B949" si="370">SUM(B947:B948)</f>
        <v>4</v>
      </c>
      <c r="C949" s="305">
        <f t="shared" ref="C949:P949" si="371">SUM(C947:C948)</f>
        <v>3</v>
      </c>
      <c r="D949" s="305">
        <f t="shared" si="371"/>
        <v>1</v>
      </c>
      <c r="E949" s="305">
        <f t="shared" si="371"/>
        <v>0</v>
      </c>
      <c r="F949" s="305">
        <f t="shared" si="371"/>
        <v>0</v>
      </c>
      <c r="G949" s="305">
        <f t="shared" si="371"/>
        <v>3</v>
      </c>
      <c r="H949" s="305">
        <f t="shared" si="371"/>
        <v>0</v>
      </c>
      <c r="I949" s="305">
        <f t="shared" si="371"/>
        <v>0</v>
      </c>
      <c r="J949" s="305">
        <f t="shared" si="371"/>
        <v>0</v>
      </c>
      <c r="K949" s="305">
        <f t="shared" si="371"/>
        <v>0</v>
      </c>
      <c r="L949" s="305">
        <f t="shared" si="371"/>
        <v>1</v>
      </c>
      <c r="M949" s="305">
        <f t="shared" si="371"/>
        <v>0</v>
      </c>
      <c r="N949" s="305">
        <f t="shared" si="371"/>
        <v>0</v>
      </c>
      <c r="O949" s="305">
        <f t="shared" si="371"/>
        <v>0</v>
      </c>
      <c r="P949" s="305">
        <f t="shared" si="371"/>
        <v>0</v>
      </c>
      <c r="Q949" s="203" t="s">
        <v>12</v>
      </c>
      <c r="R949" s="307"/>
    </row>
    <row r="950" spans="2:18" ht="22.5" customHeight="1" thickBot="1" x14ac:dyDescent="0.25">
      <c r="B950" s="305">
        <f t="shared" si="358"/>
        <v>5</v>
      </c>
      <c r="C950" s="305">
        <f>O950+M950+K950+I950+G950+E950</f>
        <v>5</v>
      </c>
      <c r="D950" s="305">
        <f>P950+N950+L950+J950+H950+F950</f>
        <v>0</v>
      </c>
      <c r="E950" s="305">
        <v>0</v>
      </c>
      <c r="F950" s="305">
        <v>0</v>
      </c>
      <c r="G950" s="305">
        <v>5</v>
      </c>
      <c r="H950" s="305">
        <v>0</v>
      </c>
      <c r="I950" s="305">
        <v>0</v>
      </c>
      <c r="J950" s="305">
        <v>0</v>
      </c>
      <c r="K950" s="305">
        <v>0</v>
      </c>
      <c r="L950" s="305">
        <v>0</v>
      </c>
      <c r="M950" s="305">
        <v>0</v>
      </c>
      <c r="N950" s="305">
        <v>0</v>
      </c>
      <c r="O950" s="305">
        <v>0</v>
      </c>
      <c r="P950" s="305">
        <v>0</v>
      </c>
      <c r="Q950" s="203" t="s">
        <v>146</v>
      </c>
      <c r="R950" s="306"/>
    </row>
    <row r="951" spans="2:18" ht="22.5" customHeight="1" thickBot="1" x14ac:dyDescent="0.25">
      <c r="B951" s="305">
        <f t="shared" si="358"/>
        <v>1</v>
      </c>
      <c r="C951" s="305">
        <f>O951+M951+K951+I951+G951+E951</f>
        <v>1</v>
      </c>
      <c r="D951" s="305">
        <f>P951+N951+L951+J951+H951+F951</f>
        <v>0</v>
      </c>
      <c r="E951" s="305">
        <v>0</v>
      </c>
      <c r="F951" s="305">
        <v>0</v>
      </c>
      <c r="G951" s="305">
        <v>0</v>
      </c>
      <c r="H951" s="305">
        <v>0</v>
      </c>
      <c r="I951" s="305">
        <v>0</v>
      </c>
      <c r="J951" s="305">
        <v>0</v>
      </c>
      <c r="K951" s="305">
        <v>1</v>
      </c>
      <c r="L951" s="305">
        <v>0</v>
      </c>
      <c r="M951" s="305">
        <v>0</v>
      </c>
      <c r="N951" s="305">
        <v>0</v>
      </c>
      <c r="O951" s="305">
        <v>0</v>
      </c>
      <c r="P951" s="305">
        <v>0</v>
      </c>
      <c r="Q951" s="203" t="s">
        <v>145</v>
      </c>
      <c r="R951" s="306" t="s">
        <v>536</v>
      </c>
    </row>
    <row r="952" spans="2:18" ht="22.5" customHeight="1" thickBot="1" x14ac:dyDescent="0.25">
      <c r="B952" s="305">
        <f t="shared" ref="B952" si="372">SUM(B950:B951)</f>
        <v>6</v>
      </c>
      <c r="C952" s="305">
        <f t="shared" ref="C952:P952" si="373">SUM(C950:C951)</f>
        <v>6</v>
      </c>
      <c r="D952" s="305">
        <f t="shared" si="373"/>
        <v>0</v>
      </c>
      <c r="E952" s="305">
        <f t="shared" si="373"/>
        <v>0</v>
      </c>
      <c r="F952" s="305">
        <f t="shared" si="373"/>
        <v>0</v>
      </c>
      <c r="G952" s="305">
        <f t="shared" si="373"/>
        <v>5</v>
      </c>
      <c r="H952" s="305">
        <f t="shared" si="373"/>
        <v>0</v>
      </c>
      <c r="I952" s="305">
        <f t="shared" si="373"/>
        <v>0</v>
      </c>
      <c r="J952" s="305">
        <f t="shared" si="373"/>
        <v>0</v>
      </c>
      <c r="K952" s="305">
        <f t="shared" si="373"/>
        <v>1</v>
      </c>
      <c r="L952" s="305">
        <f t="shared" si="373"/>
        <v>0</v>
      </c>
      <c r="M952" s="305">
        <f t="shared" si="373"/>
        <v>0</v>
      </c>
      <c r="N952" s="305">
        <f t="shared" si="373"/>
        <v>0</v>
      </c>
      <c r="O952" s="305">
        <f t="shared" si="373"/>
        <v>0</v>
      </c>
      <c r="P952" s="305">
        <f t="shared" si="373"/>
        <v>0</v>
      </c>
      <c r="Q952" s="203" t="s">
        <v>12</v>
      </c>
      <c r="R952" s="307"/>
    </row>
    <row r="953" spans="2:18" ht="22.5" customHeight="1" thickBot="1" x14ac:dyDescent="0.25">
      <c r="B953" s="305">
        <f t="shared" si="358"/>
        <v>6</v>
      </c>
      <c r="C953" s="305">
        <f>O953+M953+K953+I953+G953+E953</f>
        <v>6</v>
      </c>
      <c r="D953" s="305">
        <f>P953+N953+L953+J953+H953+F953</f>
        <v>0</v>
      </c>
      <c r="E953" s="305">
        <v>0</v>
      </c>
      <c r="F953" s="305">
        <v>0</v>
      </c>
      <c r="G953" s="305">
        <v>3</v>
      </c>
      <c r="H953" s="305">
        <v>0</v>
      </c>
      <c r="I953" s="305">
        <v>3</v>
      </c>
      <c r="J953" s="305">
        <v>0</v>
      </c>
      <c r="K953" s="305">
        <v>0</v>
      </c>
      <c r="L953" s="305">
        <v>0</v>
      </c>
      <c r="M953" s="305">
        <v>0</v>
      </c>
      <c r="N953" s="305">
        <v>0</v>
      </c>
      <c r="O953" s="305">
        <v>0</v>
      </c>
      <c r="P953" s="305">
        <v>0</v>
      </c>
      <c r="Q953" s="203" t="s">
        <v>146</v>
      </c>
      <c r="R953" s="306"/>
    </row>
    <row r="954" spans="2:18" ht="22.5" customHeight="1" thickBot="1" x14ac:dyDescent="0.25">
      <c r="B954" s="305">
        <f t="shared" si="358"/>
        <v>2</v>
      </c>
      <c r="C954" s="305">
        <f>O954+M954+K954+I954+G954+E954</f>
        <v>1</v>
      </c>
      <c r="D954" s="305">
        <f>P954+N954+L954+J954+H954+F954</f>
        <v>1</v>
      </c>
      <c r="E954" s="305">
        <v>0</v>
      </c>
      <c r="F954" s="305">
        <v>0</v>
      </c>
      <c r="G954" s="305">
        <v>0</v>
      </c>
      <c r="H954" s="305">
        <v>0</v>
      </c>
      <c r="I954" s="305">
        <v>0</v>
      </c>
      <c r="J954" s="305">
        <v>0</v>
      </c>
      <c r="K954" s="305">
        <v>1</v>
      </c>
      <c r="L954" s="305">
        <v>0</v>
      </c>
      <c r="M954" s="305">
        <v>0</v>
      </c>
      <c r="N954" s="305">
        <v>1</v>
      </c>
      <c r="O954" s="305">
        <v>0</v>
      </c>
      <c r="P954" s="305">
        <v>0</v>
      </c>
      <c r="Q954" s="203" t="s">
        <v>145</v>
      </c>
      <c r="R954" s="306" t="s">
        <v>537</v>
      </c>
    </row>
    <row r="955" spans="2:18" ht="22.5" customHeight="1" thickBot="1" x14ac:dyDescent="0.25">
      <c r="B955" s="305">
        <f t="shared" ref="B955" si="374">SUM(B953:B954)</f>
        <v>8</v>
      </c>
      <c r="C955" s="305">
        <f t="shared" ref="C955:P955" si="375">SUM(C953:C954)</f>
        <v>7</v>
      </c>
      <c r="D955" s="305">
        <f t="shared" si="375"/>
        <v>1</v>
      </c>
      <c r="E955" s="305">
        <f t="shared" si="375"/>
        <v>0</v>
      </c>
      <c r="F955" s="305">
        <f t="shared" si="375"/>
        <v>0</v>
      </c>
      <c r="G955" s="305">
        <f t="shared" si="375"/>
        <v>3</v>
      </c>
      <c r="H955" s="305">
        <f t="shared" si="375"/>
        <v>0</v>
      </c>
      <c r="I955" s="305">
        <f t="shared" si="375"/>
        <v>3</v>
      </c>
      <c r="J955" s="305">
        <f t="shared" si="375"/>
        <v>0</v>
      </c>
      <c r="K955" s="305">
        <f t="shared" si="375"/>
        <v>1</v>
      </c>
      <c r="L955" s="305">
        <f t="shared" si="375"/>
        <v>0</v>
      </c>
      <c r="M955" s="305">
        <f t="shared" si="375"/>
        <v>0</v>
      </c>
      <c r="N955" s="305">
        <f t="shared" si="375"/>
        <v>1</v>
      </c>
      <c r="O955" s="305">
        <f t="shared" si="375"/>
        <v>0</v>
      </c>
      <c r="P955" s="305">
        <f t="shared" si="375"/>
        <v>0</v>
      </c>
      <c r="Q955" s="203" t="s">
        <v>12</v>
      </c>
      <c r="R955" s="307"/>
    </row>
    <row r="956" spans="2:18" ht="22.5" customHeight="1" thickBot="1" x14ac:dyDescent="0.25">
      <c r="B956" s="305">
        <f t="shared" si="358"/>
        <v>3</v>
      </c>
      <c r="C956" s="305">
        <f>O956+M956+K956+I956+G956+E956</f>
        <v>3</v>
      </c>
      <c r="D956" s="305">
        <f>P956+N956+L956+J956+H956+F956</f>
        <v>0</v>
      </c>
      <c r="E956" s="305">
        <v>0</v>
      </c>
      <c r="F956" s="305">
        <v>0</v>
      </c>
      <c r="G956" s="305">
        <v>2</v>
      </c>
      <c r="H956" s="305">
        <v>0</v>
      </c>
      <c r="I956" s="305">
        <v>1</v>
      </c>
      <c r="J956" s="305">
        <v>0</v>
      </c>
      <c r="K956" s="305">
        <v>0</v>
      </c>
      <c r="L956" s="305">
        <v>0</v>
      </c>
      <c r="M956" s="305">
        <v>0</v>
      </c>
      <c r="N956" s="305">
        <v>0</v>
      </c>
      <c r="O956" s="305">
        <v>0</v>
      </c>
      <c r="P956" s="305">
        <v>0</v>
      </c>
      <c r="Q956" s="203" t="s">
        <v>146</v>
      </c>
      <c r="R956" s="306"/>
    </row>
    <row r="957" spans="2:18" ht="22.5" customHeight="1" thickBot="1" x14ac:dyDescent="0.25">
      <c r="B957" s="305">
        <f t="shared" si="358"/>
        <v>2</v>
      </c>
      <c r="C957" s="305">
        <f>O957+M957+K957+I957+G957+E957</f>
        <v>0</v>
      </c>
      <c r="D957" s="305">
        <f>P957+N957+L957+J957+H957+F957</f>
        <v>2</v>
      </c>
      <c r="E957" s="305">
        <v>0</v>
      </c>
      <c r="F957" s="305">
        <v>0</v>
      </c>
      <c r="G957" s="305">
        <v>0</v>
      </c>
      <c r="H957" s="305">
        <v>0</v>
      </c>
      <c r="I957" s="305">
        <v>0</v>
      </c>
      <c r="J957" s="305">
        <v>0</v>
      </c>
      <c r="K957" s="305">
        <v>0</v>
      </c>
      <c r="L957" s="305">
        <v>1</v>
      </c>
      <c r="M957" s="305">
        <v>0</v>
      </c>
      <c r="N957" s="305">
        <v>1</v>
      </c>
      <c r="O957" s="305">
        <v>0</v>
      </c>
      <c r="P957" s="305">
        <v>0</v>
      </c>
      <c r="Q957" s="203" t="s">
        <v>145</v>
      </c>
      <c r="R957" s="306" t="s">
        <v>538</v>
      </c>
    </row>
    <row r="958" spans="2:18" ht="22.5" customHeight="1" thickBot="1" x14ac:dyDescent="0.25">
      <c r="B958" s="305">
        <f t="shared" ref="B958" si="376">SUM(B956:B957)</f>
        <v>5</v>
      </c>
      <c r="C958" s="305">
        <f t="shared" ref="C958:P958" si="377">SUM(C956:C957)</f>
        <v>3</v>
      </c>
      <c r="D958" s="305">
        <f t="shared" si="377"/>
        <v>2</v>
      </c>
      <c r="E958" s="305">
        <f t="shared" si="377"/>
        <v>0</v>
      </c>
      <c r="F958" s="305">
        <f t="shared" si="377"/>
        <v>0</v>
      </c>
      <c r="G958" s="305">
        <f t="shared" si="377"/>
        <v>2</v>
      </c>
      <c r="H958" s="305">
        <f t="shared" si="377"/>
        <v>0</v>
      </c>
      <c r="I958" s="305">
        <f t="shared" si="377"/>
        <v>1</v>
      </c>
      <c r="J958" s="305">
        <f t="shared" si="377"/>
        <v>0</v>
      </c>
      <c r="K958" s="305">
        <f t="shared" si="377"/>
        <v>0</v>
      </c>
      <c r="L958" s="305">
        <f t="shared" si="377"/>
        <v>1</v>
      </c>
      <c r="M958" s="305">
        <f t="shared" si="377"/>
        <v>0</v>
      </c>
      <c r="N958" s="305">
        <f t="shared" si="377"/>
        <v>1</v>
      </c>
      <c r="O958" s="305">
        <f t="shared" si="377"/>
        <v>0</v>
      </c>
      <c r="P958" s="305">
        <f t="shared" si="377"/>
        <v>0</v>
      </c>
      <c r="Q958" s="203" t="s">
        <v>12</v>
      </c>
      <c r="R958" s="307"/>
    </row>
    <row r="959" spans="2:18" ht="22.5" customHeight="1" thickBot="1" x14ac:dyDescent="0.25">
      <c r="B959" s="305">
        <f t="shared" si="358"/>
        <v>2</v>
      </c>
      <c r="C959" s="305">
        <f>O959+M959+K959+I959+G959+E959</f>
        <v>2</v>
      </c>
      <c r="D959" s="305">
        <f>P959+N959+L959+J959+H959+F959</f>
        <v>0</v>
      </c>
      <c r="E959" s="305">
        <v>0</v>
      </c>
      <c r="F959" s="305">
        <v>0</v>
      </c>
      <c r="G959" s="305">
        <v>1</v>
      </c>
      <c r="H959" s="305">
        <v>0</v>
      </c>
      <c r="I959" s="305">
        <v>1</v>
      </c>
      <c r="J959" s="305">
        <v>0</v>
      </c>
      <c r="K959" s="305">
        <v>0</v>
      </c>
      <c r="L959" s="305">
        <v>0</v>
      </c>
      <c r="M959" s="305">
        <v>0</v>
      </c>
      <c r="N959" s="305">
        <v>0</v>
      </c>
      <c r="O959" s="305">
        <v>0</v>
      </c>
      <c r="P959" s="305">
        <v>0</v>
      </c>
      <c r="Q959" s="203" t="s">
        <v>146</v>
      </c>
      <c r="R959" s="306"/>
    </row>
    <row r="960" spans="2:18" ht="22.5" customHeight="1" thickBot="1" x14ac:dyDescent="0.25">
      <c r="B960" s="305">
        <f t="shared" si="358"/>
        <v>5</v>
      </c>
      <c r="C960" s="305">
        <f>O960+M960+K960+I960+G960+E960</f>
        <v>4</v>
      </c>
      <c r="D960" s="305">
        <f>P960+N960+L960+J960+H960+F960</f>
        <v>1</v>
      </c>
      <c r="E960" s="305">
        <v>0</v>
      </c>
      <c r="F960" s="305">
        <v>0</v>
      </c>
      <c r="G960" s="305">
        <v>0</v>
      </c>
      <c r="H960" s="305">
        <v>0</v>
      </c>
      <c r="I960" s="305">
        <v>0</v>
      </c>
      <c r="J960" s="305">
        <v>0</v>
      </c>
      <c r="K960" s="305">
        <v>2</v>
      </c>
      <c r="L960" s="305">
        <v>1</v>
      </c>
      <c r="M960" s="305">
        <v>2</v>
      </c>
      <c r="N960" s="305">
        <v>0</v>
      </c>
      <c r="O960" s="305">
        <v>0</v>
      </c>
      <c r="P960" s="305">
        <v>0</v>
      </c>
      <c r="Q960" s="203" t="s">
        <v>145</v>
      </c>
      <c r="R960" s="306" t="s">
        <v>539</v>
      </c>
    </row>
    <row r="961" spans="2:18" ht="22.5" customHeight="1" thickBot="1" x14ac:dyDescent="0.25">
      <c r="B961" s="305">
        <f t="shared" ref="B961" si="378">SUM(B959:B960)</f>
        <v>7</v>
      </c>
      <c r="C961" s="305">
        <f t="shared" ref="C961:P961" si="379">SUM(C959:C960)</f>
        <v>6</v>
      </c>
      <c r="D961" s="305">
        <f t="shared" si="379"/>
        <v>1</v>
      </c>
      <c r="E961" s="305">
        <f t="shared" si="379"/>
        <v>0</v>
      </c>
      <c r="F961" s="305">
        <f t="shared" si="379"/>
        <v>0</v>
      </c>
      <c r="G961" s="305">
        <f t="shared" si="379"/>
        <v>1</v>
      </c>
      <c r="H961" s="305">
        <f t="shared" si="379"/>
        <v>0</v>
      </c>
      <c r="I961" s="305">
        <f t="shared" si="379"/>
        <v>1</v>
      </c>
      <c r="J961" s="305">
        <f t="shared" si="379"/>
        <v>0</v>
      </c>
      <c r="K961" s="305">
        <f t="shared" si="379"/>
        <v>2</v>
      </c>
      <c r="L961" s="305">
        <f t="shared" si="379"/>
        <v>1</v>
      </c>
      <c r="M961" s="305">
        <f t="shared" si="379"/>
        <v>2</v>
      </c>
      <c r="N961" s="305">
        <f t="shared" si="379"/>
        <v>0</v>
      </c>
      <c r="O961" s="305">
        <f t="shared" si="379"/>
        <v>0</v>
      </c>
      <c r="P961" s="305">
        <f t="shared" si="379"/>
        <v>0</v>
      </c>
      <c r="Q961" s="203" t="s">
        <v>12</v>
      </c>
      <c r="R961" s="307"/>
    </row>
    <row r="962" spans="2:18" ht="22.5" customHeight="1" thickBot="1" x14ac:dyDescent="0.25">
      <c r="B962" s="305">
        <f t="shared" si="358"/>
        <v>1</v>
      </c>
      <c r="C962" s="305">
        <f>O962+M962+K962+I962+G962+E962</f>
        <v>1</v>
      </c>
      <c r="D962" s="305">
        <f>P962+N962+L962+J962+H962+F962</f>
        <v>0</v>
      </c>
      <c r="E962" s="305">
        <v>0</v>
      </c>
      <c r="F962" s="305">
        <v>0</v>
      </c>
      <c r="G962" s="305">
        <v>1</v>
      </c>
      <c r="H962" s="305">
        <v>0</v>
      </c>
      <c r="I962" s="305">
        <v>0</v>
      </c>
      <c r="J962" s="305">
        <v>0</v>
      </c>
      <c r="K962" s="305">
        <v>0</v>
      </c>
      <c r="L962" s="305">
        <v>0</v>
      </c>
      <c r="M962" s="305">
        <v>0</v>
      </c>
      <c r="N962" s="305">
        <v>0</v>
      </c>
      <c r="O962" s="305">
        <v>0</v>
      </c>
      <c r="P962" s="305">
        <v>0</v>
      </c>
      <c r="Q962" s="203" t="s">
        <v>146</v>
      </c>
      <c r="R962" s="306"/>
    </row>
    <row r="963" spans="2:18" ht="22.5" customHeight="1" thickBot="1" x14ac:dyDescent="0.25">
      <c r="B963" s="305">
        <f t="shared" si="358"/>
        <v>4</v>
      </c>
      <c r="C963" s="305">
        <f>O963+M963+K963+I963+G963+E963</f>
        <v>1</v>
      </c>
      <c r="D963" s="305">
        <f>P963+N963+L963+J963+H963+F963</f>
        <v>3</v>
      </c>
      <c r="E963" s="305">
        <v>0</v>
      </c>
      <c r="F963" s="305">
        <v>0</v>
      </c>
      <c r="G963" s="305">
        <v>0</v>
      </c>
      <c r="H963" s="305">
        <v>0</v>
      </c>
      <c r="I963" s="305">
        <v>0</v>
      </c>
      <c r="J963" s="305">
        <v>0</v>
      </c>
      <c r="K963" s="305">
        <v>1</v>
      </c>
      <c r="L963" s="305">
        <v>1</v>
      </c>
      <c r="M963" s="305">
        <v>0</v>
      </c>
      <c r="N963" s="305">
        <v>1</v>
      </c>
      <c r="O963" s="305">
        <v>0</v>
      </c>
      <c r="P963" s="305">
        <v>1</v>
      </c>
      <c r="Q963" s="203" t="s">
        <v>145</v>
      </c>
      <c r="R963" s="306" t="s">
        <v>540</v>
      </c>
    </row>
    <row r="964" spans="2:18" ht="22.5" customHeight="1" thickBot="1" x14ac:dyDescent="0.25">
      <c r="B964" s="305">
        <f t="shared" ref="B964" si="380">SUM(B962:B963)</f>
        <v>5</v>
      </c>
      <c r="C964" s="305">
        <f t="shared" ref="C964:P964" si="381">SUM(C962:C963)</f>
        <v>2</v>
      </c>
      <c r="D964" s="305">
        <f t="shared" si="381"/>
        <v>3</v>
      </c>
      <c r="E964" s="305">
        <f t="shared" si="381"/>
        <v>0</v>
      </c>
      <c r="F964" s="305">
        <f t="shared" si="381"/>
        <v>0</v>
      </c>
      <c r="G964" s="305">
        <f t="shared" si="381"/>
        <v>1</v>
      </c>
      <c r="H964" s="305">
        <f t="shared" si="381"/>
        <v>0</v>
      </c>
      <c r="I964" s="305">
        <f t="shared" si="381"/>
        <v>0</v>
      </c>
      <c r="J964" s="305">
        <f t="shared" si="381"/>
        <v>0</v>
      </c>
      <c r="K964" s="305">
        <f t="shared" si="381"/>
        <v>1</v>
      </c>
      <c r="L964" s="305">
        <f t="shared" si="381"/>
        <v>1</v>
      </c>
      <c r="M964" s="305">
        <f t="shared" si="381"/>
        <v>0</v>
      </c>
      <c r="N964" s="305">
        <f t="shared" si="381"/>
        <v>1</v>
      </c>
      <c r="O964" s="305">
        <f t="shared" si="381"/>
        <v>0</v>
      </c>
      <c r="P964" s="305">
        <f t="shared" si="381"/>
        <v>1</v>
      </c>
      <c r="Q964" s="203" t="s">
        <v>12</v>
      </c>
      <c r="R964" s="307"/>
    </row>
    <row r="965" spans="2:18" ht="22.5" customHeight="1" thickBot="1" x14ac:dyDescent="0.25">
      <c r="B965" s="305">
        <f t="shared" si="358"/>
        <v>6</v>
      </c>
      <c r="C965" s="305">
        <f>O965+M965+K965+I965+G965+E965</f>
        <v>6</v>
      </c>
      <c r="D965" s="305">
        <f>P965+N965+L965+J965+H965+F965</f>
        <v>0</v>
      </c>
      <c r="E965" s="305">
        <v>0</v>
      </c>
      <c r="F965" s="305">
        <v>0</v>
      </c>
      <c r="G965" s="305">
        <v>5</v>
      </c>
      <c r="H965" s="305">
        <v>0</v>
      </c>
      <c r="I965" s="305">
        <v>1</v>
      </c>
      <c r="J965" s="305">
        <v>0</v>
      </c>
      <c r="K965" s="305">
        <v>0</v>
      </c>
      <c r="L965" s="305">
        <v>0</v>
      </c>
      <c r="M965" s="305">
        <v>0</v>
      </c>
      <c r="N965" s="305">
        <v>0</v>
      </c>
      <c r="O965" s="305">
        <v>0</v>
      </c>
      <c r="P965" s="305">
        <v>0</v>
      </c>
      <c r="Q965" s="203" t="s">
        <v>146</v>
      </c>
      <c r="R965" s="306"/>
    </row>
    <row r="966" spans="2:18" ht="22.5" customHeight="1" thickBot="1" x14ac:dyDescent="0.25">
      <c r="B966" s="305">
        <f t="shared" si="358"/>
        <v>2</v>
      </c>
      <c r="C966" s="305">
        <f>O966+M966+K966+I966+G966+E966</f>
        <v>2</v>
      </c>
      <c r="D966" s="305">
        <f>P966+N966+L966+J966+H966+F966</f>
        <v>0</v>
      </c>
      <c r="E966" s="305">
        <v>0</v>
      </c>
      <c r="F966" s="305">
        <v>0</v>
      </c>
      <c r="G966" s="305">
        <v>0</v>
      </c>
      <c r="H966" s="305">
        <v>0</v>
      </c>
      <c r="I966" s="305">
        <v>0</v>
      </c>
      <c r="J966" s="305">
        <v>0</v>
      </c>
      <c r="K966" s="305">
        <v>0</v>
      </c>
      <c r="L966" s="305">
        <v>0</v>
      </c>
      <c r="M966" s="305">
        <v>2</v>
      </c>
      <c r="N966" s="305">
        <v>0</v>
      </c>
      <c r="O966" s="305">
        <v>0</v>
      </c>
      <c r="P966" s="305">
        <v>0</v>
      </c>
      <c r="Q966" s="203" t="s">
        <v>145</v>
      </c>
      <c r="R966" s="306" t="s">
        <v>777</v>
      </c>
    </row>
    <row r="967" spans="2:18" ht="22.5" customHeight="1" thickBot="1" x14ac:dyDescent="0.25">
      <c r="B967" s="305">
        <f t="shared" ref="B967" si="382">SUM(B965:B966)</f>
        <v>8</v>
      </c>
      <c r="C967" s="305">
        <f t="shared" ref="C967:P967" si="383">SUM(C965:C966)</f>
        <v>8</v>
      </c>
      <c r="D967" s="305">
        <f t="shared" si="383"/>
        <v>0</v>
      </c>
      <c r="E967" s="305">
        <f t="shared" si="383"/>
        <v>0</v>
      </c>
      <c r="F967" s="305">
        <f t="shared" si="383"/>
        <v>0</v>
      </c>
      <c r="G967" s="305">
        <f t="shared" si="383"/>
        <v>5</v>
      </c>
      <c r="H967" s="305">
        <f t="shared" si="383"/>
        <v>0</v>
      </c>
      <c r="I967" s="305">
        <f t="shared" si="383"/>
        <v>1</v>
      </c>
      <c r="J967" s="305">
        <f t="shared" si="383"/>
        <v>0</v>
      </c>
      <c r="K967" s="305">
        <f t="shared" si="383"/>
        <v>0</v>
      </c>
      <c r="L967" s="305">
        <f t="shared" si="383"/>
        <v>0</v>
      </c>
      <c r="M967" s="305">
        <f t="shared" si="383"/>
        <v>2</v>
      </c>
      <c r="N967" s="305">
        <f t="shared" si="383"/>
        <v>0</v>
      </c>
      <c r="O967" s="305">
        <f t="shared" si="383"/>
        <v>0</v>
      </c>
      <c r="P967" s="305">
        <f t="shared" si="383"/>
        <v>0</v>
      </c>
      <c r="Q967" s="203" t="s">
        <v>12</v>
      </c>
      <c r="R967" s="307"/>
    </row>
    <row r="968" spans="2:18" ht="22.5" customHeight="1" thickBot="1" x14ac:dyDescent="0.25">
      <c r="B968" s="305">
        <f t="shared" si="358"/>
        <v>10</v>
      </c>
      <c r="C968" s="305">
        <f>O968+M968+K968+I968+G968+E968</f>
        <v>10</v>
      </c>
      <c r="D968" s="305">
        <f>P968+N968+L968+J968+H968+F968</f>
        <v>0</v>
      </c>
      <c r="E968" s="305">
        <v>0</v>
      </c>
      <c r="F968" s="305">
        <v>0</v>
      </c>
      <c r="G968" s="305">
        <v>6</v>
      </c>
      <c r="H968" s="305">
        <v>0</v>
      </c>
      <c r="I968" s="305">
        <v>3</v>
      </c>
      <c r="J968" s="305">
        <v>0</v>
      </c>
      <c r="K968" s="305">
        <v>1</v>
      </c>
      <c r="L968" s="305">
        <v>0</v>
      </c>
      <c r="M968" s="305">
        <v>0</v>
      </c>
      <c r="N968" s="305">
        <v>0</v>
      </c>
      <c r="O968" s="305">
        <v>0</v>
      </c>
      <c r="P968" s="305">
        <v>0</v>
      </c>
      <c r="Q968" s="203" t="s">
        <v>146</v>
      </c>
      <c r="R968" s="306"/>
    </row>
    <row r="969" spans="2:18" ht="22.5" customHeight="1" thickBot="1" x14ac:dyDescent="0.25">
      <c r="B969" s="305">
        <f t="shared" si="358"/>
        <v>2</v>
      </c>
      <c r="C969" s="305">
        <f>O969+M969+K969+I969+G969+E969</f>
        <v>1</v>
      </c>
      <c r="D969" s="305">
        <f>P969+N969+L969+J969+H969+F969</f>
        <v>1</v>
      </c>
      <c r="E969" s="305">
        <v>0</v>
      </c>
      <c r="F969" s="305">
        <v>0</v>
      </c>
      <c r="G969" s="305">
        <v>0</v>
      </c>
      <c r="H969" s="305">
        <v>0</v>
      </c>
      <c r="I969" s="305">
        <v>0</v>
      </c>
      <c r="J969" s="305">
        <v>0</v>
      </c>
      <c r="K969" s="305">
        <v>1</v>
      </c>
      <c r="L969" s="305">
        <v>1</v>
      </c>
      <c r="M969" s="305">
        <v>0</v>
      </c>
      <c r="N969" s="305">
        <v>0</v>
      </c>
      <c r="O969" s="305">
        <v>0</v>
      </c>
      <c r="P969" s="305">
        <v>0</v>
      </c>
      <c r="Q969" s="203" t="s">
        <v>145</v>
      </c>
      <c r="R969" s="306" t="s">
        <v>542</v>
      </c>
    </row>
    <row r="970" spans="2:18" ht="22.5" customHeight="1" thickBot="1" x14ac:dyDescent="0.25">
      <c r="B970" s="305">
        <f t="shared" ref="B970" si="384">SUM(B968:B969)</f>
        <v>12</v>
      </c>
      <c r="C970" s="305">
        <f t="shared" ref="C970:P970" si="385">SUM(C968:C969)</f>
        <v>11</v>
      </c>
      <c r="D970" s="305">
        <f t="shared" si="385"/>
        <v>1</v>
      </c>
      <c r="E970" s="305">
        <f t="shared" si="385"/>
        <v>0</v>
      </c>
      <c r="F970" s="305">
        <f t="shared" si="385"/>
        <v>0</v>
      </c>
      <c r="G970" s="305">
        <f t="shared" si="385"/>
        <v>6</v>
      </c>
      <c r="H970" s="305">
        <f t="shared" si="385"/>
        <v>0</v>
      </c>
      <c r="I970" s="305">
        <f t="shared" si="385"/>
        <v>3</v>
      </c>
      <c r="J970" s="305">
        <f t="shared" si="385"/>
        <v>0</v>
      </c>
      <c r="K970" s="305">
        <f t="shared" si="385"/>
        <v>2</v>
      </c>
      <c r="L970" s="305">
        <f t="shared" si="385"/>
        <v>1</v>
      </c>
      <c r="M970" s="305">
        <f t="shared" si="385"/>
        <v>0</v>
      </c>
      <c r="N970" s="305">
        <f t="shared" si="385"/>
        <v>0</v>
      </c>
      <c r="O970" s="305">
        <f t="shared" si="385"/>
        <v>0</v>
      </c>
      <c r="P970" s="305">
        <f t="shared" si="385"/>
        <v>0</v>
      </c>
      <c r="Q970" s="203" t="s">
        <v>12</v>
      </c>
      <c r="R970" s="307"/>
    </row>
    <row r="971" spans="2:18" ht="22.5" customHeight="1" thickBot="1" x14ac:dyDescent="0.25">
      <c r="B971" s="305">
        <f t="shared" si="358"/>
        <v>27</v>
      </c>
      <c r="C971" s="305">
        <f>O971+M971+K971+I971+G971+E971</f>
        <v>27</v>
      </c>
      <c r="D971" s="305">
        <f>P971+N971+L971+J971+H971+F971</f>
        <v>0</v>
      </c>
      <c r="E971" s="305">
        <v>0</v>
      </c>
      <c r="F971" s="305">
        <v>0</v>
      </c>
      <c r="G971" s="305">
        <v>12</v>
      </c>
      <c r="H971" s="305">
        <v>0</v>
      </c>
      <c r="I971" s="305">
        <v>12</v>
      </c>
      <c r="J971" s="305">
        <v>0</v>
      </c>
      <c r="K971" s="305">
        <v>3</v>
      </c>
      <c r="L971" s="305">
        <v>0</v>
      </c>
      <c r="M971" s="305">
        <v>0</v>
      </c>
      <c r="N971" s="305">
        <v>0</v>
      </c>
      <c r="O971" s="305">
        <v>0</v>
      </c>
      <c r="P971" s="305">
        <v>0</v>
      </c>
      <c r="Q971" s="203" t="s">
        <v>146</v>
      </c>
      <c r="R971" s="306"/>
    </row>
    <row r="972" spans="2:18" ht="22.5" customHeight="1" thickBot="1" x14ac:dyDescent="0.25">
      <c r="B972" s="305">
        <f t="shared" si="358"/>
        <v>3</v>
      </c>
      <c r="C972" s="305">
        <f>O972+M972+K972+I972+G972+E972</f>
        <v>1</v>
      </c>
      <c r="D972" s="305">
        <f>P972+N972+L972+J972+H972+F972</f>
        <v>2</v>
      </c>
      <c r="E972" s="305">
        <v>0</v>
      </c>
      <c r="F972" s="305">
        <v>0</v>
      </c>
      <c r="G972" s="305">
        <v>0</v>
      </c>
      <c r="H972" s="305">
        <v>0</v>
      </c>
      <c r="I972" s="305">
        <v>0</v>
      </c>
      <c r="J972" s="305">
        <v>0</v>
      </c>
      <c r="K972" s="305">
        <v>1</v>
      </c>
      <c r="L972" s="305">
        <v>1</v>
      </c>
      <c r="M972" s="305">
        <v>0</v>
      </c>
      <c r="N972" s="305">
        <v>1</v>
      </c>
      <c r="O972" s="305">
        <v>0</v>
      </c>
      <c r="P972" s="305">
        <v>0</v>
      </c>
      <c r="Q972" s="203" t="s">
        <v>145</v>
      </c>
      <c r="R972" s="306" t="s">
        <v>543</v>
      </c>
    </row>
    <row r="973" spans="2:18" ht="22.5" customHeight="1" thickBot="1" x14ac:dyDescent="0.25">
      <c r="B973" s="305">
        <f t="shared" ref="B973" si="386">SUM(B971:B972)</f>
        <v>30</v>
      </c>
      <c r="C973" s="305">
        <f t="shared" ref="C973:P973" si="387">SUM(C971:C972)</f>
        <v>28</v>
      </c>
      <c r="D973" s="305">
        <f t="shared" si="387"/>
        <v>2</v>
      </c>
      <c r="E973" s="305">
        <f t="shared" si="387"/>
        <v>0</v>
      </c>
      <c r="F973" s="305">
        <f t="shared" si="387"/>
        <v>0</v>
      </c>
      <c r="G973" s="305">
        <f t="shared" si="387"/>
        <v>12</v>
      </c>
      <c r="H973" s="305">
        <f t="shared" si="387"/>
        <v>0</v>
      </c>
      <c r="I973" s="305">
        <f t="shared" si="387"/>
        <v>12</v>
      </c>
      <c r="J973" s="305">
        <f t="shared" si="387"/>
        <v>0</v>
      </c>
      <c r="K973" s="305">
        <f t="shared" si="387"/>
        <v>4</v>
      </c>
      <c r="L973" s="305">
        <f t="shared" si="387"/>
        <v>1</v>
      </c>
      <c r="M973" s="305">
        <f t="shared" si="387"/>
        <v>0</v>
      </c>
      <c r="N973" s="305">
        <f t="shared" si="387"/>
        <v>1</v>
      </c>
      <c r="O973" s="305">
        <f t="shared" si="387"/>
        <v>0</v>
      </c>
      <c r="P973" s="305">
        <f t="shared" si="387"/>
        <v>0</v>
      </c>
      <c r="Q973" s="203" t="s">
        <v>12</v>
      </c>
      <c r="R973" s="307"/>
    </row>
    <row r="974" spans="2:18" ht="22.5" customHeight="1" thickBot="1" x14ac:dyDescent="0.25">
      <c r="B974" s="305">
        <f t="shared" si="358"/>
        <v>3</v>
      </c>
      <c r="C974" s="305">
        <f>O974+M974+K974+I974+G974+E974</f>
        <v>3</v>
      </c>
      <c r="D974" s="305">
        <f>P974+N974+L974+J974+H974+F974</f>
        <v>0</v>
      </c>
      <c r="E974" s="305">
        <v>0</v>
      </c>
      <c r="F974" s="305">
        <v>0</v>
      </c>
      <c r="G974" s="305">
        <v>3</v>
      </c>
      <c r="H974" s="305">
        <v>0</v>
      </c>
      <c r="I974" s="305">
        <v>0</v>
      </c>
      <c r="J974" s="305">
        <v>0</v>
      </c>
      <c r="K974" s="305">
        <v>0</v>
      </c>
      <c r="L974" s="305">
        <v>0</v>
      </c>
      <c r="M974" s="305">
        <v>0</v>
      </c>
      <c r="N974" s="305">
        <v>0</v>
      </c>
      <c r="O974" s="305">
        <v>0</v>
      </c>
      <c r="P974" s="305">
        <v>0</v>
      </c>
      <c r="Q974" s="203" t="s">
        <v>146</v>
      </c>
      <c r="R974" s="306"/>
    </row>
    <row r="975" spans="2:18" ht="22.5" customHeight="1" thickBot="1" x14ac:dyDescent="0.25">
      <c r="B975" s="305">
        <f t="shared" si="358"/>
        <v>3</v>
      </c>
      <c r="C975" s="305">
        <f>O975+M975+K975+I975+G975+E975</f>
        <v>1</v>
      </c>
      <c r="D975" s="305">
        <f>P975+N975+L975+J975+H975+F975</f>
        <v>2</v>
      </c>
      <c r="E975" s="305">
        <v>0</v>
      </c>
      <c r="F975" s="305">
        <v>0</v>
      </c>
      <c r="G975" s="305">
        <v>0</v>
      </c>
      <c r="H975" s="305">
        <v>0</v>
      </c>
      <c r="I975" s="305">
        <v>0</v>
      </c>
      <c r="J975" s="305">
        <v>0</v>
      </c>
      <c r="K975" s="305">
        <v>1</v>
      </c>
      <c r="L975" s="305">
        <v>1</v>
      </c>
      <c r="M975" s="305">
        <v>0</v>
      </c>
      <c r="N975" s="305">
        <v>1</v>
      </c>
      <c r="O975" s="305">
        <v>0</v>
      </c>
      <c r="P975" s="305">
        <v>0</v>
      </c>
      <c r="Q975" s="203" t="s">
        <v>145</v>
      </c>
      <c r="R975" s="306" t="s">
        <v>544</v>
      </c>
    </row>
    <row r="976" spans="2:18" ht="22.5" customHeight="1" thickBot="1" x14ac:dyDescent="0.25">
      <c r="B976" s="305">
        <f t="shared" ref="B976" si="388">SUM(B974:B975)</f>
        <v>6</v>
      </c>
      <c r="C976" s="305">
        <f t="shared" ref="C976:P976" si="389">SUM(C974:C975)</f>
        <v>4</v>
      </c>
      <c r="D976" s="305">
        <f t="shared" si="389"/>
        <v>2</v>
      </c>
      <c r="E976" s="305">
        <f t="shared" si="389"/>
        <v>0</v>
      </c>
      <c r="F976" s="305">
        <f t="shared" si="389"/>
        <v>0</v>
      </c>
      <c r="G976" s="305">
        <f t="shared" si="389"/>
        <v>3</v>
      </c>
      <c r="H976" s="305">
        <f t="shared" si="389"/>
        <v>0</v>
      </c>
      <c r="I976" s="305">
        <f t="shared" si="389"/>
        <v>0</v>
      </c>
      <c r="J976" s="305">
        <f t="shared" si="389"/>
        <v>0</v>
      </c>
      <c r="K976" s="305">
        <f t="shared" si="389"/>
        <v>1</v>
      </c>
      <c r="L976" s="305">
        <f t="shared" si="389"/>
        <v>1</v>
      </c>
      <c r="M976" s="305">
        <f t="shared" si="389"/>
        <v>0</v>
      </c>
      <c r="N976" s="305">
        <f t="shared" si="389"/>
        <v>1</v>
      </c>
      <c r="O976" s="305">
        <f t="shared" si="389"/>
        <v>0</v>
      </c>
      <c r="P976" s="305">
        <f t="shared" si="389"/>
        <v>0</v>
      </c>
      <c r="Q976" s="203" t="s">
        <v>12</v>
      </c>
      <c r="R976" s="307"/>
    </row>
    <row r="977" spans="2:18" ht="22.5" customHeight="1" thickBot="1" x14ac:dyDescent="0.25">
      <c r="B977" s="305">
        <f t="shared" si="358"/>
        <v>11</v>
      </c>
      <c r="C977" s="305">
        <f>O977+M977+K977+I977+G977+E977</f>
        <v>11</v>
      </c>
      <c r="D977" s="305">
        <f>P977+N977+L977+J977+H977+F977</f>
        <v>0</v>
      </c>
      <c r="E977" s="305">
        <v>0</v>
      </c>
      <c r="F977" s="305">
        <v>0</v>
      </c>
      <c r="G977" s="305">
        <v>7</v>
      </c>
      <c r="H977" s="305">
        <v>0</v>
      </c>
      <c r="I977" s="305">
        <v>4</v>
      </c>
      <c r="J977" s="305">
        <v>0</v>
      </c>
      <c r="K977" s="305">
        <v>0</v>
      </c>
      <c r="L977" s="305">
        <v>0</v>
      </c>
      <c r="M977" s="305">
        <v>0</v>
      </c>
      <c r="N977" s="305">
        <v>0</v>
      </c>
      <c r="O977" s="305">
        <v>0</v>
      </c>
      <c r="P977" s="305">
        <v>0</v>
      </c>
      <c r="Q977" s="203" t="s">
        <v>146</v>
      </c>
      <c r="R977" s="306"/>
    </row>
    <row r="978" spans="2:18" ht="22.5" customHeight="1" thickBot="1" x14ac:dyDescent="0.25">
      <c r="B978" s="305">
        <f t="shared" si="358"/>
        <v>2</v>
      </c>
      <c r="C978" s="305">
        <f>O978+M978+K978+I978+G978+E978</f>
        <v>1</v>
      </c>
      <c r="D978" s="305">
        <f>P978+N978+L978+J978+H978+F978</f>
        <v>1</v>
      </c>
      <c r="E978" s="305">
        <v>0</v>
      </c>
      <c r="F978" s="305">
        <v>0</v>
      </c>
      <c r="G978" s="305">
        <v>0</v>
      </c>
      <c r="H978" s="305">
        <v>0</v>
      </c>
      <c r="I978" s="305">
        <v>0</v>
      </c>
      <c r="J978" s="305">
        <v>0</v>
      </c>
      <c r="K978" s="305">
        <v>1</v>
      </c>
      <c r="L978" s="305">
        <v>1</v>
      </c>
      <c r="M978" s="305">
        <v>0</v>
      </c>
      <c r="N978" s="305">
        <v>0</v>
      </c>
      <c r="O978" s="305">
        <v>0</v>
      </c>
      <c r="P978" s="305">
        <v>0</v>
      </c>
      <c r="Q978" s="203" t="s">
        <v>145</v>
      </c>
      <c r="R978" s="306" t="s">
        <v>778</v>
      </c>
    </row>
    <row r="979" spans="2:18" ht="22.5" customHeight="1" thickBot="1" x14ac:dyDescent="0.25">
      <c r="B979" s="305">
        <f t="shared" ref="B979" si="390">SUM(B977:B978)</f>
        <v>13</v>
      </c>
      <c r="C979" s="305">
        <f t="shared" ref="C979:P979" si="391">SUM(C977:C978)</f>
        <v>12</v>
      </c>
      <c r="D979" s="305">
        <f t="shared" si="391"/>
        <v>1</v>
      </c>
      <c r="E979" s="305">
        <f t="shared" si="391"/>
        <v>0</v>
      </c>
      <c r="F979" s="305">
        <f t="shared" si="391"/>
        <v>0</v>
      </c>
      <c r="G979" s="305">
        <f t="shared" si="391"/>
        <v>7</v>
      </c>
      <c r="H979" s="305">
        <f t="shared" si="391"/>
        <v>0</v>
      </c>
      <c r="I979" s="305">
        <f t="shared" si="391"/>
        <v>4</v>
      </c>
      <c r="J979" s="305">
        <f t="shared" si="391"/>
        <v>0</v>
      </c>
      <c r="K979" s="305">
        <f t="shared" si="391"/>
        <v>1</v>
      </c>
      <c r="L979" s="305">
        <f t="shared" si="391"/>
        <v>1</v>
      </c>
      <c r="M979" s="305">
        <f t="shared" si="391"/>
        <v>0</v>
      </c>
      <c r="N979" s="305">
        <f t="shared" si="391"/>
        <v>0</v>
      </c>
      <c r="O979" s="305">
        <f t="shared" si="391"/>
        <v>0</v>
      </c>
      <c r="P979" s="305">
        <f t="shared" si="391"/>
        <v>0</v>
      </c>
      <c r="Q979" s="203" t="s">
        <v>12</v>
      </c>
      <c r="R979" s="307"/>
    </row>
    <row r="980" spans="2:18" ht="22.5" customHeight="1" thickBot="1" x14ac:dyDescent="0.25">
      <c r="B980" s="305">
        <f t="shared" si="358"/>
        <v>4</v>
      </c>
      <c r="C980" s="305">
        <f>O980+M980+K980+I980+G980+E980</f>
        <v>4</v>
      </c>
      <c r="D980" s="305">
        <f>P980+N980+L980+J980+H980+F980</f>
        <v>0</v>
      </c>
      <c r="E980" s="305">
        <v>0</v>
      </c>
      <c r="F980" s="305">
        <v>0</v>
      </c>
      <c r="G980" s="305">
        <v>4</v>
      </c>
      <c r="H980" s="305">
        <v>0</v>
      </c>
      <c r="I980" s="305">
        <v>0</v>
      </c>
      <c r="J980" s="305">
        <v>0</v>
      </c>
      <c r="K980" s="305">
        <v>0</v>
      </c>
      <c r="L980" s="305">
        <v>0</v>
      </c>
      <c r="M980" s="305">
        <v>0</v>
      </c>
      <c r="N980" s="305">
        <v>0</v>
      </c>
      <c r="O980" s="305">
        <v>0</v>
      </c>
      <c r="P980" s="305">
        <v>0</v>
      </c>
      <c r="Q980" s="203" t="s">
        <v>146</v>
      </c>
      <c r="R980" s="306"/>
    </row>
    <row r="981" spans="2:18" ht="22.5" customHeight="1" thickBot="1" x14ac:dyDescent="0.25">
      <c r="B981" s="305">
        <f t="shared" si="358"/>
        <v>7</v>
      </c>
      <c r="C981" s="305">
        <f>O981+M981+K981+I981+G981+E981</f>
        <v>5</v>
      </c>
      <c r="D981" s="305">
        <f>P981+N981+L981+J981+H981+F981</f>
        <v>2</v>
      </c>
      <c r="E981" s="305">
        <v>0</v>
      </c>
      <c r="F981" s="305">
        <v>0</v>
      </c>
      <c r="G981" s="305">
        <v>0</v>
      </c>
      <c r="H981" s="305">
        <v>0</v>
      </c>
      <c r="I981" s="305">
        <v>0</v>
      </c>
      <c r="J981" s="305">
        <v>0</v>
      </c>
      <c r="K981" s="305">
        <v>1</v>
      </c>
      <c r="L981" s="305">
        <v>1</v>
      </c>
      <c r="M981" s="305">
        <v>4</v>
      </c>
      <c r="N981" s="305">
        <v>1</v>
      </c>
      <c r="O981" s="305">
        <v>0</v>
      </c>
      <c r="P981" s="305">
        <v>0</v>
      </c>
      <c r="Q981" s="203" t="s">
        <v>145</v>
      </c>
      <c r="R981" s="306" t="s">
        <v>779</v>
      </c>
    </row>
    <row r="982" spans="2:18" ht="22.5" customHeight="1" thickBot="1" x14ac:dyDescent="0.25">
      <c r="B982" s="305">
        <f t="shared" ref="B982" si="392">SUM(B980:B981)</f>
        <v>11</v>
      </c>
      <c r="C982" s="305">
        <f t="shared" ref="C982:P982" si="393">SUM(C980:C981)</f>
        <v>9</v>
      </c>
      <c r="D982" s="305">
        <f t="shared" si="393"/>
        <v>2</v>
      </c>
      <c r="E982" s="305">
        <f t="shared" si="393"/>
        <v>0</v>
      </c>
      <c r="F982" s="305">
        <f t="shared" si="393"/>
        <v>0</v>
      </c>
      <c r="G982" s="305">
        <f t="shared" si="393"/>
        <v>4</v>
      </c>
      <c r="H982" s="305">
        <f t="shared" si="393"/>
        <v>0</v>
      </c>
      <c r="I982" s="305">
        <f t="shared" si="393"/>
        <v>0</v>
      </c>
      <c r="J982" s="305">
        <f t="shared" si="393"/>
        <v>0</v>
      </c>
      <c r="K982" s="305">
        <f t="shared" si="393"/>
        <v>1</v>
      </c>
      <c r="L982" s="305">
        <f t="shared" si="393"/>
        <v>1</v>
      </c>
      <c r="M982" s="305">
        <f t="shared" si="393"/>
        <v>4</v>
      </c>
      <c r="N982" s="305">
        <f t="shared" si="393"/>
        <v>1</v>
      </c>
      <c r="O982" s="305">
        <f t="shared" si="393"/>
        <v>0</v>
      </c>
      <c r="P982" s="305">
        <f t="shared" si="393"/>
        <v>0</v>
      </c>
      <c r="Q982" s="203" t="s">
        <v>12</v>
      </c>
      <c r="R982" s="307"/>
    </row>
    <row r="983" spans="2:18" ht="22.5" customHeight="1" thickBot="1" x14ac:dyDescent="0.25">
      <c r="B983" s="305">
        <f t="shared" si="358"/>
        <v>123</v>
      </c>
      <c r="C983" s="305">
        <f>O983+M983+K983+I983+G983+E983</f>
        <v>123</v>
      </c>
      <c r="D983" s="305">
        <f>P983+N983+L983+J983+H983+F983</f>
        <v>0</v>
      </c>
      <c r="E983" s="305">
        <v>0</v>
      </c>
      <c r="F983" s="305">
        <v>0</v>
      </c>
      <c r="G983" s="305">
        <v>6</v>
      </c>
      <c r="H983" s="305">
        <v>0</v>
      </c>
      <c r="I983" s="305">
        <v>48</v>
      </c>
      <c r="J983" s="305">
        <v>0</v>
      </c>
      <c r="K983" s="305">
        <v>63</v>
      </c>
      <c r="L983" s="305">
        <v>0</v>
      </c>
      <c r="M983" s="305">
        <v>6</v>
      </c>
      <c r="N983" s="305">
        <v>0</v>
      </c>
      <c r="O983" s="305">
        <v>0</v>
      </c>
      <c r="P983" s="305">
        <v>0</v>
      </c>
      <c r="Q983" s="203" t="s">
        <v>146</v>
      </c>
      <c r="R983" s="306"/>
    </row>
    <row r="984" spans="2:18" ht="22.5" customHeight="1" thickBot="1" x14ac:dyDescent="0.25">
      <c r="B984" s="305">
        <f t="shared" si="358"/>
        <v>2</v>
      </c>
      <c r="C984" s="305">
        <f>O984+M984+K984+I984+G984+E984</f>
        <v>1</v>
      </c>
      <c r="D984" s="305">
        <f>P984+N984+L984+J984+H984+F984</f>
        <v>1</v>
      </c>
      <c r="E984" s="305">
        <v>0</v>
      </c>
      <c r="F984" s="305">
        <v>0</v>
      </c>
      <c r="G984" s="305">
        <v>0</v>
      </c>
      <c r="H984" s="305">
        <v>0</v>
      </c>
      <c r="I984" s="305">
        <v>1</v>
      </c>
      <c r="J984" s="305">
        <v>0</v>
      </c>
      <c r="K984" s="305">
        <v>0</v>
      </c>
      <c r="L984" s="305">
        <v>0</v>
      </c>
      <c r="M984" s="305">
        <v>0</v>
      </c>
      <c r="N984" s="305">
        <v>1</v>
      </c>
      <c r="O984" s="305">
        <v>0</v>
      </c>
      <c r="P984" s="305">
        <v>0</v>
      </c>
      <c r="Q984" s="203" t="s">
        <v>145</v>
      </c>
      <c r="R984" s="306" t="s">
        <v>549</v>
      </c>
    </row>
    <row r="985" spans="2:18" ht="22.5" customHeight="1" thickBot="1" x14ac:dyDescent="0.25">
      <c r="B985" s="305">
        <f t="shared" ref="B985" si="394">SUM(B983:B984)</f>
        <v>125</v>
      </c>
      <c r="C985" s="305">
        <f t="shared" ref="C985:P985" si="395">SUM(C983:C984)</f>
        <v>124</v>
      </c>
      <c r="D985" s="305">
        <f t="shared" si="395"/>
        <v>1</v>
      </c>
      <c r="E985" s="305">
        <f t="shared" si="395"/>
        <v>0</v>
      </c>
      <c r="F985" s="305">
        <f t="shared" si="395"/>
        <v>0</v>
      </c>
      <c r="G985" s="305">
        <f t="shared" si="395"/>
        <v>6</v>
      </c>
      <c r="H985" s="305">
        <f t="shared" si="395"/>
        <v>0</v>
      </c>
      <c r="I985" s="305">
        <f t="shared" si="395"/>
        <v>49</v>
      </c>
      <c r="J985" s="305">
        <f t="shared" si="395"/>
        <v>0</v>
      </c>
      <c r="K985" s="305">
        <f t="shared" si="395"/>
        <v>63</v>
      </c>
      <c r="L985" s="305">
        <f t="shared" si="395"/>
        <v>0</v>
      </c>
      <c r="M985" s="305">
        <f t="shared" si="395"/>
        <v>6</v>
      </c>
      <c r="N985" s="305">
        <f t="shared" si="395"/>
        <v>1</v>
      </c>
      <c r="O985" s="305">
        <f t="shared" si="395"/>
        <v>0</v>
      </c>
      <c r="P985" s="305">
        <f t="shared" si="395"/>
        <v>0</v>
      </c>
      <c r="Q985" s="203" t="s">
        <v>12</v>
      </c>
      <c r="R985" s="307"/>
    </row>
    <row r="986" spans="2:18" ht="22.5" customHeight="1" thickBot="1" x14ac:dyDescent="0.25">
      <c r="B986" s="305">
        <f t="shared" si="358"/>
        <v>19</v>
      </c>
      <c r="C986" s="305">
        <f>O986+M986+K986+I986+G986+E986</f>
        <v>19</v>
      </c>
      <c r="D986" s="305">
        <f>P986+N986+L986+J986+H986+F986</f>
        <v>0</v>
      </c>
      <c r="E986" s="305">
        <v>0</v>
      </c>
      <c r="F986" s="305">
        <v>0</v>
      </c>
      <c r="G986" s="305">
        <v>7</v>
      </c>
      <c r="H986" s="305">
        <v>0</v>
      </c>
      <c r="I986" s="305">
        <v>10</v>
      </c>
      <c r="J986" s="305">
        <v>0</v>
      </c>
      <c r="K986" s="305">
        <v>2</v>
      </c>
      <c r="L986" s="305">
        <v>0</v>
      </c>
      <c r="M986" s="305">
        <v>0</v>
      </c>
      <c r="N986" s="305">
        <v>0</v>
      </c>
      <c r="O986" s="305">
        <v>0</v>
      </c>
      <c r="P986" s="305">
        <v>0</v>
      </c>
      <c r="Q986" s="203" t="s">
        <v>146</v>
      </c>
      <c r="R986" s="306"/>
    </row>
    <row r="987" spans="2:18" ht="22.5" customHeight="1" thickBot="1" x14ac:dyDescent="0.25">
      <c r="B987" s="305">
        <f t="shared" si="358"/>
        <v>3</v>
      </c>
      <c r="C987" s="305">
        <f>O987+M987+K987+I987+G987+E987</f>
        <v>1</v>
      </c>
      <c r="D987" s="305">
        <f>P987+N987+L987+J987+H987+F987</f>
        <v>2</v>
      </c>
      <c r="E987" s="305">
        <v>0</v>
      </c>
      <c r="F987" s="305">
        <v>0</v>
      </c>
      <c r="G987" s="305">
        <v>0</v>
      </c>
      <c r="H987" s="305">
        <v>0</v>
      </c>
      <c r="I987" s="305">
        <v>0</v>
      </c>
      <c r="J987" s="305">
        <v>0</v>
      </c>
      <c r="K987" s="305">
        <v>1</v>
      </c>
      <c r="L987" s="305">
        <v>0</v>
      </c>
      <c r="M987" s="305">
        <v>0</v>
      </c>
      <c r="N987" s="305">
        <v>1</v>
      </c>
      <c r="O987" s="305">
        <v>0</v>
      </c>
      <c r="P987" s="305">
        <v>1</v>
      </c>
      <c r="Q987" s="203" t="s">
        <v>145</v>
      </c>
      <c r="R987" s="306" t="s">
        <v>550</v>
      </c>
    </row>
    <row r="988" spans="2:18" ht="22.5" customHeight="1" thickBot="1" x14ac:dyDescent="0.25">
      <c r="B988" s="305">
        <f t="shared" ref="B988" si="396">SUM(B986:B987)</f>
        <v>22</v>
      </c>
      <c r="C988" s="305">
        <f t="shared" ref="C988:P988" si="397">SUM(C986:C987)</f>
        <v>20</v>
      </c>
      <c r="D988" s="305">
        <f t="shared" si="397"/>
        <v>2</v>
      </c>
      <c r="E988" s="305">
        <f t="shared" si="397"/>
        <v>0</v>
      </c>
      <c r="F988" s="305">
        <f t="shared" si="397"/>
        <v>0</v>
      </c>
      <c r="G988" s="305">
        <f t="shared" si="397"/>
        <v>7</v>
      </c>
      <c r="H988" s="305">
        <f t="shared" si="397"/>
        <v>0</v>
      </c>
      <c r="I988" s="305">
        <f t="shared" si="397"/>
        <v>10</v>
      </c>
      <c r="J988" s="305">
        <f t="shared" si="397"/>
        <v>0</v>
      </c>
      <c r="K988" s="305">
        <f t="shared" si="397"/>
        <v>3</v>
      </c>
      <c r="L988" s="305">
        <f t="shared" si="397"/>
        <v>0</v>
      </c>
      <c r="M988" s="305">
        <f t="shared" si="397"/>
        <v>0</v>
      </c>
      <c r="N988" s="305">
        <f t="shared" si="397"/>
        <v>1</v>
      </c>
      <c r="O988" s="305">
        <f t="shared" si="397"/>
        <v>0</v>
      </c>
      <c r="P988" s="305">
        <f t="shared" si="397"/>
        <v>1</v>
      </c>
      <c r="Q988" s="203" t="s">
        <v>12</v>
      </c>
      <c r="R988" s="307"/>
    </row>
    <row r="989" spans="2:18" ht="22.5" customHeight="1" thickBot="1" x14ac:dyDescent="0.25">
      <c r="B989" s="305">
        <f t="shared" si="358"/>
        <v>1</v>
      </c>
      <c r="C989" s="305">
        <f>O989+M989+K989+I989+G989+E989</f>
        <v>1</v>
      </c>
      <c r="D989" s="305">
        <f>P989+N989+L989+J989+H989+F989</f>
        <v>0</v>
      </c>
      <c r="E989" s="305">
        <v>0</v>
      </c>
      <c r="F989" s="305">
        <v>0</v>
      </c>
      <c r="G989" s="305">
        <v>1</v>
      </c>
      <c r="H989" s="305">
        <v>0</v>
      </c>
      <c r="I989" s="305">
        <v>0</v>
      </c>
      <c r="J989" s="305">
        <v>0</v>
      </c>
      <c r="K989" s="305">
        <v>0</v>
      </c>
      <c r="L989" s="305">
        <v>0</v>
      </c>
      <c r="M989" s="305">
        <v>0</v>
      </c>
      <c r="N989" s="305">
        <v>0</v>
      </c>
      <c r="O989" s="305">
        <v>0</v>
      </c>
      <c r="P989" s="305">
        <v>0</v>
      </c>
      <c r="Q989" s="203" t="s">
        <v>146</v>
      </c>
      <c r="R989" s="306"/>
    </row>
    <row r="990" spans="2:18" ht="22.5" customHeight="1" thickBot="1" x14ac:dyDescent="0.25">
      <c r="B990" s="305">
        <f t="shared" si="358"/>
        <v>2</v>
      </c>
      <c r="C990" s="305">
        <f>O990+M990+K990+I990+G990+E990</f>
        <v>1</v>
      </c>
      <c r="D990" s="305">
        <f>P990+N990+L990+J990+H990+F990</f>
        <v>1</v>
      </c>
      <c r="E990" s="305">
        <v>0</v>
      </c>
      <c r="F990" s="305">
        <v>0</v>
      </c>
      <c r="G990" s="305">
        <v>0</v>
      </c>
      <c r="H990" s="305">
        <v>0</v>
      </c>
      <c r="I990" s="305">
        <v>0</v>
      </c>
      <c r="J990" s="305">
        <v>0</v>
      </c>
      <c r="K990" s="305">
        <v>1</v>
      </c>
      <c r="L990" s="305">
        <v>1</v>
      </c>
      <c r="M990" s="305">
        <v>0</v>
      </c>
      <c r="N990" s="305">
        <v>0</v>
      </c>
      <c r="O990" s="305">
        <v>0</v>
      </c>
      <c r="P990" s="305">
        <v>0</v>
      </c>
      <c r="Q990" s="203" t="s">
        <v>145</v>
      </c>
      <c r="R990" s="306" t="s">
        <v>551</v>
      </c>
    </row>
    <row r="991" spans="2:18" ht="22.5" customHeight="1" thickBot="1" x14ac:dyDescent="0.25">
      <c r="B991" s="305">
        <f t="shared" ref="B991" si="398">SUM(B989:B990)</f>
        <v>3</v>
      </c>
      <c r="C991" s="305">
        <f t="shared" ref="C991:P991" si="399">SUM(C989:C990)</f>
        <v>2</v>
      </c>
      <c r="D991" s="305">
        <f t="shared" si="399"/>
        <v>1</v>
      </c>
      <c r="E991" s="305">
        <f t="shared" si="399"/>
        <v>0</v>
      </c>
      <c r="F991" s="305">
        <f t="shared" si="399"/>
        <v>0</v>
      </c>
      <c r="G991" s="305">
        <f t="shared" si="399"/>
        <v>1</v>
      </c>
      <c r="H991" s="305">
        <f t="shared" si="399"/>
        <v>0</v>
      </c>
      <c r="I991" s="305">
        <f t="shared" si="399"/>
        <v>0</v>
      </c>
      <c r="J991" s="305">
        <f t="shared" si="399"/>
        <v>0</v>
      </c>
      <c r="K991" s="305">
        <f t="shared" si="399"/>
        <v>1</v>
      </c>
      <c r="L991" s="305">
        <f t="shared" si="399"/>
        <v>1</v>
      </c>
      <c r="M991" s="305">
        <f t="shared" si="399"/>
        <v>0</v>
      </c>
      <c r="N991" s="305">
        <f t="shared" si="399"/>
        <v>0</v>
      </c>
      <c r="O991" s="305">
        <f t="shared" si="399"/>
        <v>0</v>
      </c>
      <c r="P991" s="305">
        <f t="shared" si="399"/>
        <v>0</v>
      </c>
      <c r="Q991" s="203" t="s">
        <v>12</v>
      </c>
      <c r="R991" s="307"/>
    </row>
    <row r="992" spans="2:18" ht="22.5" customHeight="1" thickBot="1" x14ac:dyDescent="0.25">
      <c r="B992" s="305">
        <f t="shared" si="358"/>
        <v>1</v>
      </c>
      <c r="C992" s="305">
        <f>O992+M992+K992+I992+G992+E992</f>
        <v>1</v>
      </c>
      <c r="D992" s="305">
        <f>P992+N992+L992+J992+H992+F992</f>
        <v>0</v>
      </c>
      <c r="E992" s="305">
        <v>0</v>
      </c>
      <c r="F992" s="305">
        <v>0</v>
      </c>
      <c r="G992" s="305">
        <v>0</v>
      </c>
      <c r="H992" s="305">
        <v>0</v>
      </c>
      <c r="I992" s="305">
        <v>0</v>
      </c>
      <c r="J992" s="305">
        <v>0</v>
      </c>
      <c r="K992" s="305">
        <v>0</v>
      </c>
      <c r="L992" s="305">
        <v>0</v>
      </c>
      <c r="M992" s="305">
        <v>0</v>
      </c>
      <c r="N992" s="305">
        <v>0</v>
      </c>
      <c r="O992" s="305">
        <v>1</v>
      </c>
      <c r="P992" s="305">
        <v>0</v>
      </c>
      <c r="Q992" s="203" t="s">
        <v>146</v>
      </c>
      <c r="R992" s="306"/>
    </row>
    <row r="993" spans="2:18" ht="22.5" customHeight="1" thickBot="1" x14ac:dyDescent="0.25">
      <c r="B993" s="305">
        <f t="shared" si="358"/>
        <v>0</v>
      </c>
      <c r="C993" s="305">
        <f>O993+M993+K993+I993+G993+E993</f>
        <v>0</v>
      </c>
      <c r="D993" s="305">
        <f>P993+N993+L993+J993+H993+F993</f>
        <v>0</v>
      </c>
      <c r="E993" s="305">
        <v>0</v>
      </c>
      <c r="F993" s="305">
        <v>0</v>
      </c>
      <c r="G993" s="305">
        <v>0</v>
      </c>
      <c r="H993" s="305">
        <v>0</v>
      </c>
      <c r="I993" s="305">
        <v>0</v>
      </c>
      <c r="J993" s="305">
        <v>0</v>
      </c>
      <c r="K993" s="305">
        <v>0</v>
      </c>
      <c r="L993" s="305">
        <v>0</v>
      </c>
      <c r="M993" s="305">
        <v>0</v>
      </c>
      <c r="N993" s="305">
        <v>0</v>
      </c>
      <c r="O993" s="305">
        <v>0</v>
      </c>
      <c r="P993" s="305">
        <v>0</v>
      </c>
      <c r="Q993" s="203" t="s">
        <v>145</v>
      </c>
      <c r="R993" s="306" t="s">
        <v>120</v>
      </c>
    </row>
    <row r="994" spans="2:18" ht="22.5" customHeight="1" thickBot="1" x14ac:dyDescent="0.25">
      <c r="B994" s="305">
        <f t="shared" ref="B994" si="400">SUM(B992:B993)</f>
        <v>1</v>
      </c>
      <c r="C994" s="305">
        <f t="shared" ref="C994:P994" si="401">SUM(C992:C993)</f>
        <v>1</v>
      </c>
      <c r="D994" s="305">
        <f t="shared" si="401"/>
        <v>0</v>
      </c>
      <c r="E994" s="305">
        <f t="shared" si="401"/>
        <v>0</v>
      </c>
      <c r="F994" s="305">
        <f t="shared" si="401"/>
        <v>0</v>
      </c>
      <c r="G994" s="305">
        <f t="shared" si="401"/>
        <v>0</v>
      </c>
      <c r="H994" s="305">
        <f t="shared" si="401"/>
        <v>0</v>
      </c>
      <c r="I994" s="305">
        <f t="shared" si="401"/>
        <v>0</v>
      </c>
      <c r="J994" s="305">
        <f t="shared" si="401"/>
        <v>0</v>
      </c>
      <c r="K994" s="305">
        <f t="shared" si="401"/>
        <v>0</v>
      </c>
      <c r="L994" s="305">
        <f t="shared" si="401"/>
        <v>0</v>
      </c>
      <c r="M994" s="305">
        <f t="shared" si="401"/>
        <v>0</v>
      </c>
      <c r="N994" s="305">
        <f t="shared" si="401"/>
        <v>0</v>
      </c>
      <c r="O994" s="305">
        <f t="shared" si="401"/>
        <v>1</v>
      </c>
      <c r="P994" s="305">
        <f t="shared" si="401"/>
        <v>0</v>
      </c>
      <c r="Q994" s="203" t="s">
        <v>12</v>
      </c>
      <c r="R994" s="307"/>
    </row>
    <row r="995" spans="2:18" ht="22.5" customHeight="1" thickBot="1" x14ac:dyDescent="0.25">
      <c r="B995" s="305">
        <f t="shared" ref="B995:B996" si="402">SUM(C995:D995)</f>
        <v>17</v>
      </c>
      <c r="C995" s="305">
        <f>O995+M995+K995+I995+G995+E995</f>
        <v>17</v>
      </c>
      <c r="D995" s="305">
        <f>P995+N995+L995+J995+H995+F995</f>
        <v>0</v>
      </c>
      <c r="E995" s="305">
        <v>0</v>
      </c>
      <c r="F995" s="305">
        <v>0</v>
      </c>
      <c r="G995" s="305">
        <v>7</v>
      </c>
      <c r="H995" s="305">
        <v>0</v>
      </c>
      <c r="I995" s="305">
        <v>10</v>
      </c>
      <c r="J995" s="305">
        <v>0</v>
      </c>
      <c r="K995" s="305">
        <v>0</v>
      </c>
      <c r="L995" s="305">
        <v>0</v>
      </c>
      <c r="M995" s="305">
        <v>0</v>
      </c>
      <c r="N995" s="305">
        <v>0</v>
      </c>
      <c r="O995" s="305">
        <v>0</v>
      </c>
      <c r="P995" s="305">
        <v>0</v>
      </c>
      <c r="Q995" s="203" t="s">
        <v>146</v>
      </c>
      <c r="R995" s="306"/>
    </row>
    <row r="996" spans="2:18" ht="22.5" customHeight="1" thickBot="1" x14ac:dyDescent="0.25">
      <c r="B996" s="305">
        <f t="shared" si="402"/>
        <v>3</v>
      </c>
      <c r="C996" s="305">
        <f>O996+M996+K996+I996+G996+E996</f>
        <v>0</v>
      </c>
      <c r="D996" s="305">
        <f>P996+N996+L996+J996+H996+F996</f>
        <v>3</v>
      </c>
      <c r="E996" s="305">
        <v>0</v>
      </c>
      <c r="F996" s="305">
        <v>0</v>
      </c>
      <c r="G996" s="305">
        <v>0</v>
      </c>
      <c r="H996" s="305">
        <v>0</v>
      </c>
      <c r="I996" s="305">
        <v>0</v>
      </c>
      <c r="J996" s="305">
        <v>0</v>
      </c>
      <c r="K996" s="305">
        <v>0</v>
      </c>
      <c r="L996" s="305">
        <v>1</v>
      </c>
      <c r="M996" s="305">
        <v>0</v>
      </c>
      <c r="N996" s="305">
        <v>1</v>
      </c>
      <c r="O996" s="305">
        <v>0</v>
      </c>
      <c r="P996" s="305">
        <v>1</v>
      </c>
      <c r="Q996" s="203" t="s">
        <v>145</v>
      </c>
      <c r="R996" s="306" t="s">
        <v>552</v>
      </c>
    </row>
    <row r="997" spans="2:18" ht="22.5" customHeight="1" thickBot="1" x14ac:dyDescent="0.25">
      <c r="B997" s="305">
        <f t="shared" ref="B997" si="403">SUM(B995:B996)</f>
        <v>20</v>
      </c>
      <c r="C997" s="305">
        <f t="shared" ref="C997:P997" si="404">SUM(C995:C996)</f>
        <v>17</v>
      </c>
      <c r="D997" s="305">
        <f t="shared" si="404"/>
        <v>3</v>
      </c>
      <c r="E997" s="305">
        <f t="shared" si="404"/>
        <v>0</v>
      </c>
      <c r="F997" s="305">
        <f t="shared" si="404"/>
        <v>0</v>
      </c>
      <c r="G997" s="305">
        <f t="shared" si="404"/>
        <v>7</v>
      </c>
      <c r="H997" s="305">
        <f t="shared" si="404"/>
        <v>0</v>
      </c>
      <c r="I997" s="305">
        <f t="shared" si="404"/>
        <v>10</v>
      </c>
      <c r="J997" s="305">
        <f t="shared" si="404"/>
        <v>0</v>
      </c>
      <c r="K997" s="305">
        <f t="shared" si="404"/>
        <v>0</v>
      </c>
      <c r="L997" s="305">
        <f t="shared" si="404"/>
        <v>1</v>
      </c>
      <c r="M997" s="305">
        <f t="shared" si="404"/>
        <v>0</v>
      </c>
      <c r="N997" s="305">
        <f t="shared" si="404"/>
        <v>1</v>
      </c>
      <c r="O997" s="305">
        <f t="shared" si="404"/>
        <v>0</v>
      </c>
      <c r="P997" s="305">
        <f t="shared" si="404"/>
        <v>1</v>
      </c>
      <c r="Q997" s="203" t="s">
        <v>12</v>
      </c>
      <c r="R997" s="307"/>
    </row>
    <row r="998" spans="2:18" ht="22.5" customHeight="1" thickBot="1" x14ac:dyDescent="0.25">
      <c r="B998" s="305">
        <f t="shared" ref="B998:P1000" si="405">B929+B932+B935+B938+B941+B944+B947+B950+B953+B956+B959+B962+B965+B968+B971+B974+B977+B980+B983+B986+B989+B992+B995</f>
        <v>860</v>
      </c>
      <c r="C998" s="305">
        <f t="shared" si="405"/>
        <v>860</v>
      </c>
      <c r="D998" s="305">
        <f t="shared" si="405"/>
        <v>0</v>
      </c>
      <c r="E998" s="305">
        <f t="shared" si="405"/>
        <v>0</v>
      </c>
      <c r="F998" s="305">
        <f t="shared" si="405"/>
        <v>0</v>
      </c>
      <c r="G998" s="305">
        <f t="shared" si="405"/>
        <v>119</v>
      </c>
      <c r="H998" s="305">
        <f t="shared" si="405"/>
        <v>0</v>
      </c>
      <c r="I998" s="305">
        <f t="shared" si="405"/>
        <v>343</v>
      </c>
      <c r="J998" s="305">
        <f t="shared" si="405"/>
        <v>0</v>
      </c>
      <c r="K998" s="305">
        <f t="shared" si="405"/>
        <v>339</v>
      </c>
      <c r="L998" s="305">
        <f t="shared" si="405"/>
        <v>0</v>
      </c>
      <c r="M998" s="305">
        <f t="shared" si="405"/>
        <v>47</v>
      </c>
      <c r="N998" s="305">
        <f t="shared" si="405"/>
        <v>0</v>
      </c>
      <c r="O998" s="305">
        <f t="shared" si="405"/>
        <v>12</v>
      </c>
      <c r="P998" s="305">
        <f t="shared" si="405"/>
        <v>0</v>
      </c>
      <c r="Q998" s="203" t="s">
        <v>146</v>
      </c>
      <c r="R998" s="280"/>
    </row>
    <row r="999" spans="2:18" ht="22.5" customHeight="1" thickBot="1" x14ac:dyDescent="0.25">
      <c r="B999" s="305">
        <f t="shared" si="405"/>
        <v>63</v>
      </c>
      <c r="C999" s="305">
        <f t="shared" si="405"/>
        <v>31</v>
      </c>
      <c r="D999" s="305">
        <f t="shared" si="405"/>
        <v>32</v>
      </c>
      <c r="E999" s="305">
        <f t="shared" si="405"/>
        <v>0</v>
      </c>
      <c r="F999" s="305">
        <f t="shared" si="405"/>
        <v>0</v>
      </c>
      <c r="G999" s="305">
        <f t="shared" si="405"/>
        <v>0</v>
      </c>
      <c r="H999" s="305">
        <f t="shared" si="405"/>
        <v>0</v>
      </c>
      <c r="I999" s="305">
        <f t="shared" si="405"/>
        <v>1</v>
      </c>
      <c r="J999" s="305">
        <f t="shared" si="405"/>
        <v>0</v>
      </c>
      <c r="K999" s="305">
        <f t="shared" si="405"/>
        <v>13</v>
      </c>
      <c r="L999" s="305">
        <f t="shared" si="405"/>
        <v>12</v>
      </c>
      <c r="M999" s="305">
        <f t="shared" si="405"/>
        <v>12</v>
      </c>
      <c r="N999" s="305">
        <f t="shared" si="405"/>
        <v>12</v>
      </c>
      <c r="O999" s="305">
        <f t="shared" si="405"/>
        <v>5</v>
      </c>
      <c r="P999" s="305">
        <f t="shared" si="405"/>
        <v>8</v>
      </c>
      <c r="Q999" s="203" t="s">
        <v>145</v>
      </c>
      <c r="R999" s="281" t="s">
        <v>188</v>
      </c>
    </row>
    <row r="1000" spans="2:18" ht="22.5" customHeight="1" thickBot="1" x14ac:dyDescent="0.25">
      <c r="B1000" s="305">
        <f t="shared" si="405"/>
        <v>923</v>
      </c>
      <c r="C1000" s="305">
        <f t="shared" si="405"/>
        <v>891</v>
      </c>
      <c r="D1000" s="305">
        <f t="shared" si="405"/>
        <v>32</v>
      </c>
      <c r="E1000" s="305">
        <f t="shared" si="405"/>
        <v>0</v>
      </c>
      <c r="F1000" s="305">
        <f t="shared" si="405"/>
        <v>0</v>
      </c>
      <c r="G1000" s="305">
        <f t="shared" si="405"/>
        <v>119</v>
      </c>
      <c r="H1000" s="305">
        <f t="shared" si="405"/>
        <v>0</v>
      </c>
      <c r="I1000" s="305">
        <f t="shared" si="405"/>
        <v>344</v>
      </c>
      <c r="J1000" s="305">
        <f t="shared" si="405"/>
        <v>0</v>
      </c>
      <c r="K1000" s="305">
        <f t="shared" si="405"/>
        <v>352</v>
      </c>
      <c r="L1000" s="305">
        <f t="shared" si="405"/>
        <v>12</v>
      </c>
      <c r="M1000" s="305">
        <f t="shared" si="405"/>
        <v>59</v>
      </c>
      <c r="N1000" s="305">
        <f t="shared" si="405"/>
        <v>12</v>
      </c>
      <c r="O1000" s="305">
        <f t="shared" si="405"/>
        <v>17</v>
      </c>
      <c r="P1000" s="305">
        <f t="shared" si="405"/>
        <v>8</v>
      </c>
      <c r="Q1000" s="203" t="s">
        <v>12</v>
      </c>
      <c r="R1000" s="282"/>
    </row>
    <row r="1001" spans="2:18" ht="22.5" customHeight="1" thickBot="1" x14ac:dyDescent="0.25">
      <c r="B1001" s="319"/>
      <c r="C1001" s="319"/>
      <c r="D1001" s="319"/>
      <c r="E1001" s="319"/>
      <c r="F1001" s="319"/>
      <c r="G1001" s="319"/>
      <c r="H1001" s="319"/>
      <c r="I1001" s="319"/>
      <c r="J1001" s="319"/>
      <c r="K1001" s="319"/>
      <c r="L1001" s="319"/>
      <c r="M1001" s="319"/>
      <c r="N1001" s="319"/>
      <c r="O1001" s="319"/>
      <c r="P1001" s="319"/>
      <c r="Q1001" s="320"/>
      <c r="R1001" s="320"/>
    </row>
    <row r="1002" spans="2:18" ht="22.5" customHeight="1" thickBot="1" x14ac:dyDescent="0.25">
      <c r="B1002" s="477" t="s">
        <v>4</v>
      </c>
      <c r="C1002" s="477"/>
      <c r="D1002" s="477"/>
      <c r="E1002" s="477" t="s">
        <v>735</v>
      </c>
      <c r="F1002" s="477"/>
      <c r="G1002" s="477" t="s">
        <v>736</v>
      </c>
      <c r="H1002" s="477"/>
      <c r="I1002" s="477" t="s">
        <v>737</v>
      </c>
      <c r="J1002" s="477"/>
      <c r="K1002" s="477" t="s">
        <v>738</v>
      </c>
      <c r="L1002" s="477"/>
      <c r="M1002" s="477" t="s">
        <v>739</v>
      </c>
      <c r="N1002" s="477"/>
      <c r="O1002" s="477" t="s">
        <v>740</v>
      </c>
      <c r="P1002" s="477"/>
      <c r="Q1002" s="575" t="s">
        <v>741</v>
      </c>
      <c r="R1002" s="304" t="s">
        <v>144</v>
      </c>
    </row>
    <row r="1003" spans="2:18" ht="22.5" customHeight="1" thickBot="1" x14ac:dyDescent="0.25">
      <c r="B1003" s="204" t="s">
        <v>227</v>
      </c>
      <c r="C1003" s="204" t="s">
        <v>10</v>
      </c>
      <c r="D1003" s="204" t="s">
        <v>9</v>
      </c>
      <c r="E1003" s="204" t="s">
        <v>10</v>
      </c>
      <c r="F1003" s="204" t="s">
        <v>9</v>
      </c>
      <c r="G1003" s="204" t="s">
        <v>10</v>
      </c>
      <c r="H1003" s="204" t="s">
        <v>9</v>
      </c>
      <c r="I1003" s="204" t="s">
        <v>10</v>
      </c>
      <c r="J1003" s="204" t="s">
        <v>9</v>
      </c>
      <c r="K1003" s="204" t="s">
        <v>10</v>
      </c>
      <c r="L1003" s="204" t="s">
        <v>9</v>
      </c>
      <c r="M1003" s="204" t="s">
        <v>10</v>
      </c>
      <c r="N1003" s="204" t="s">
        <v>9</v>
      </c>
      <c r="O1003" s="204" t="s">
        <v>10</v>
      </c>
      <c r="P1003" s="204" t="s">
        <v>9</v>
      </c>
      <c r="Q1003" s="481"/>
      <c r="R1003" s="282" t="s">
        <v>123</v>
      </c>
    </row>
    <row r="1004" spans="2:18" ht="22.5" customHeight="1" thickBot="1" x14ac:dyDescent="0.25">
      <c r="B1004" s="305">
        <f>SUM(C1004:D1004)</f>
        <v>0</v>
      </c>
      <c r="C1004" s="305">
        <f>O1004+M1004+K1004+I1004+G1004+E1004</f>
        <v>0</v>
      </c>
      <c r="D1004" s="305">
        <f>P1004+N1004+L1004+J1004+H1004+F1004</f>
        <v>0</v>
      </c>
      <c r="E1004" s="305">
        <v>0</v>
      </c>
      <c r="F1004" s="305">
        <v>0</v>
      </c>
      <c r="G1004" s="305">
        <v>0</v>
      </c>
      <c r="H1004" s="305">
        <v>0</v>
      </c>
      <c r="I1004" s="305">
        <v>0</v>
      </c>
      <c r="J1004" s="305">
        <v>0</v>
      </c>
      <c r="K1004" s="305">
        <v>0</v>
      </c>
      <c r="L1004" s="305">
        <v>0</v>
      </c>
      <c r="M1004" s="305">
        <v>0</v>
      </c>
      <c r="N1004" s="305">
        <v>0</v>
      </c>
      <c r="O1004" s="305">
        <v>0</v>
      </c>
      <c r="P1004" s="305">
        <v>0</v>
      </c>
      <c r="Q1004" s="203" t="s">
        <v>146</v>
      </c>
      <c r="R1004" s="306"/>
    </row>
    <row r="1005" spans="2:18" ht="22.5" customHeight="1" thickBot="1" x14ac:dyDescent="0.25">
      <c r="B1005" s="305">
        <f t="shared" ref="B1005:B1020" si="406">SUM(C1005:D1005)</f>
        <v>43</v>
      </c>
      <c r="C1005" s="305">
        <f>O1005+M1005+K1005+I1005+G1005+E1005</f>
        <v>0</v>
      </c>
      <c r="D1005" s="305">
        <f>P1005+N1005+L1005+J1005+H1005+F1005</f>
        <v>43</v>
      </c>
      <c r="E1005" s="305">
        <v>0</v>
      </c>
      <c r="F1005" s="305">
        <v>0</v>
      </c>
      <c r="G1005" s="305">
        <v>0</v>
      </c>
      <c r="H1005" s="305">
        <v>0</v>
      </c>
      <c r="I1005" s="305">
        <v>0</v>
      </c>
      <c r="J1005" s="305">
        <v>6</v>
      </c>
      <c r="K1005" s="305">
        <v>0</v>
      </c>
      <c r="L1005" s="305">
        <v>1</v>
      </c>
      <c r="M1005" s="305">
        <v>0</v>
      </c>
      <c r="N1005" s="305">
        <v>25</v>
      </c>
      <c r="O1005" s="305">
        <v>0</v>
      </c>
      <c r="P1005" s="305">
        <v>11</v>
      </c>
      <c r="Q1005" s="203" t="s">
        <v>145</v>
      </c>
      <c r="R1005" s="306" t="s">
        <v>558</v>
      </c>
    </row>
    <row r="1006" spans="2:18" ht="22.5" customHeight="1" thickBot="1" x14ac:dyDescent="0.25">
      <c r="B1006" s="305">
        <f t="shared" ref="B1006:P1006" si="407">SUM(B1004:B1005)</f>
        <v>43</v>
      </c>
      <c r="C1006" s="305">
        <f t="shared" si="407"/>
        <v>0</v>
      </c>
      <c r="D1006" s="305">
        <f t="shared" si="407"/>
        <v>43</v>
      </c>
      <c r="E1006" s="305">
        <f t="shared" si="407"/>
        <v>0</v>
      </c>
      <c r="F1006" s="305">
        <f t="shared" si="407"/>
        <v>0</v>
      </c>
      <c r="G1006" s="305">
        <f t="shared" si="407"/>
        <v>0</v>
      </c>
      <c r="H1006" s="305">
        <f t="shared" si="407"/>
        <v>0</v>
      </c>
      <c r="I1006" s="305">
        <f t="shared" si="407"/>
        <v>0</v>
      </c>
      <c r="J1006" s="305">
        <f t="shared" si="407"/>
        <v>6</v>
      </c>
      <c r="K1006" s="305">
        <f t="shared" si="407"/>
        <v>0</v>
      </c>
      <c r="L1006" s="305">
        <f t="shared" si="407"/>
        <v>1</v>
      </c>
      <c r="M1006" s="305">
        <f t="shared" si="407"/>
        <v>0</v>
      </c>
      <c r="N1006" s="305">
        <f t="shared" si="407"/>
        <v>25</v>
      </c>
      <c r="O1006" s="305">
        <f t="shared" si="407"/>
        <v>0</v>
      </c>
      <c r="P1006" s="305">
        <f t="shared" si="407"/>
        <v>11</v>
      </c>
      <c r="Q1006" s="203" t="s">
        <v>12</v>
      </c>
      <c r="R1006" s="307"/>
    </row>
    <row r="1007" spans="2:18" ht="22.5" customHeight="1" thickBot="1" x14ac:dyDescent="0.25">
      <c r="B1007" s="305">
        <f t="shared" si="406"/>
        <v>2</v>
      </c>
      <c r="C1007" s="305">
        <f>O1007+M1007+K1007+I1007+G1007+E1007</f>
        <v>2</v>
      </c>
      <c r="D1007" s="305">
        <f>P1007+N1007+L1007+J1007+H1007+F1007</f>
        <v>0</v>
      </c>
      <c r="E1007" s="305">
        <v>2</v>
      </c>
      <c r="F1007" s="305">
        <v>0</v>
      </c>
      <c r="G1007" s="305">
        <v>0</v>
      </c>
      <c r="H1007" s="305">
        <v>0</v>
      </c>
      <c r="I1007" s="305">
        <v>0</v>
      </c>
      <c r="J1007" s="305">
        <v>0</v>
      </c>
      <c r="K1007" s="305">
        <v>0</v>
      </c>
      <c r="L1007" s="305">
        <v>0</v>
      </c>
      <c r="M1007" s="305">
        <v>0</v>
      </c>
      <c r="N1007" s="305">
        <v>0</v>
      </c>
      <c r="O1007" s="305">
        <v>0</v>
      </c>
      <c r="P1007" s="305">
        <v>0</v>
      </c>
      <c r="Q1007" s="203" t="s">
        <v>146</v>
      </c>
      <c r="R1007" s="306"/>
    </row>
    <row r="1008" spans="2:18" ht="22.5" customHeight="1" thickBot="1" x14ac:dyDescent="0.25">
      <c r="B1008" s="305">
        <f t="shared" si="406"/>
        <v>11</v>
      </c>
      <c r="C1008" s="305">
        <f>O1008+M1008+K1008+I1008+G1008+E1008</f>
        <v>11</v>
      </c>
      <c r="D1008" s="305">
        <f>P1008+N1008+L1008+J1008+H1008+F1008</f>
        <v>0</v>
      </c>
      <c r="E1008" s="305">
        <v>5</v>
      </c>
      <c r="F1008" s="305">
        <v>0</v>
      </c>
      <c r="G1008" s="305">
        <v>0</v>
      </c>
      <c r="H1008" s="305">
        <v>0</v>
      </c>
      <c r="I1008" s="305">
        <v>2</v>
      </c>
      <c r="J1008" s="305">
        <v>0</v>
      </c>
      <c r="K1008" s="305">
        <v>2</v>
      </c>
      <c r="L1008" s="305">
        <v>0</v>
      </c>
      <c r="M1008" s="305">
        <v>0</v>
      </c>
      <c r="N1008" s="305">
        <v>0</v>
      </c>
      <c r="O1008" s="305">
        <v>2</v>
      </c>
      <c r="P1008" s="305">
        <v>0</v>
      </c>
      <c r="Q1008" s="203" t="s">
        <v>145</v>
      </c>
      <c r="R1008" s="306" t="s">
        <v>122</v>
      </c>
    </row>
    <row r="1009" spans="2:18" ht="22.5" customHeight="1" thickBot="1" x14ac:dyDescent="0.25">
      <c r="B1009" s="305">
        <f t="shared" ref="B1009" si="408">SUM(B1007:B1008)</f>
        <v>13</v>
      </c>
      <c r="C1009" s="305">
        <f t="shared" ref="C1009:P1009" si="409">SUM(C1007:C1008)</f>
        <v>13</v>
      </c>
      <c r="D1009" s="305">
        <f t="shared" si="409"/>
        <v>0</v>
      </c>
      <c r="E1009" s="305">
        <f t="shared" si="409"/>
        <v>7</v>
      </c>
      <c r="F1009" s="305">
        <f t="shared" si="409"/>
        <v>0</v>
      </c>
      <c r="G1009" s="305">
        <f t="shared" si="409"/>
        <v>0</v>
      </c>
      <c r="H1009" s="305">
        <f t="shared" si="409"/>
        <v>0</v>
      </c>
      <c r="I1009" s="305">
        <f t="shared" si="409"/>
        <v>2</v>
      </c>
      <c r="J1009" s="305">
        <f t="shared" si="409"/>
        <v>0</v>
      </c>
      <c r="K1009" s="305">
        <f t="shared" si="409"/>
        <v>2</v>
      </c>
      <c r="L1009" s="305">
        <f t="shared" si="409"/>
        <v>0</v>
      </c>
      <c r="M1009" s="305">
        <f t="shared" si="409"/>
        <v>0</v>
      </c>
      <c r="N1009" s="305">
        <f t="shared" si="409"/>
        <v>0</v>
      </c>
      <c r="O1009" s="305">
        <f t="shared" si="409"/>
        <v>2</v>
      </c>
      <c r="P1009" s="305">
        <f t="shared" si="409"/>
        <v>0</v>
      </c>
      <c r="Q1009" s="203" t="s">
        <v>12</v>
      </c>
      <c r="R1009" s="307"/>
    </row>
    <row r="1010" spans="2:18" ht="22.5" customHeight="1" thickBot="1" x14ac:dyDescent="0.25">
      <c r="B1010" s="305">
        <f t="shared" si="406"/>
        <v>88</v>
      </c>
      <c r="C1010" s="305">
        <f>O1010+M1010+K1010+I1010+G1010+E1010</f>
        <v>0</v>
      </c>
      <c r="D1010" s="305">
        <f>P1010+N1010+L1010+J1010+H1010+F1010</f>
        <v>88</v>
      </c>
      <c r="E1010" s="305">
        <v>0</v>
      </c>
      <c r="F1010" s="305">
        <v>0</v>
      </c>
      <c r="G1010" s="305">
        <v>0</v>
      </c>
      <c r="H1010" s="305">
        <v>35</v>
      </c>
      <c r="I1010" s="305">
        <v>0</v>
      </c>
      <c r="J1010" s="305">
        <v>45</v>
      </c>
      <c r="K1010" s="305">
        <v>0</v>
      </c>
      <c r="L1010" s="305">
        <v>8</v>
      </c>
      <c r="M1010" s="305">
        <v>0</v>
      </c>
      <c r="N1010" s="305">
        <v>0</v>
      </c>
      <c r="O1010" s="305">
        <v>0</v>
      </c>
      <c r="P1010" s="305">
        <v>0</v>
      </c>
      <c r="Q1010" s="203" t="s">
        <v>146</v>
      </c>
      <c r="R1010" s="306"/>
    </row>
    <row r="1011" spans="2:18" ht="22.5" customHeight="1" thickBot="1" x14ac:dyDescent="0.25">
      <c r="B1011" s="305">
        <f t="shared" si="406"/>
        <v>53</v>
      </c>
      <c r="C1011" s="305">
        <f>O1011+M1011+K1011+I1011+G1011+E1011</f>
        <v>0</v>
      </c>
      <c r="D1011" s="305">
        <f>P1011+N1011+L1011+J1011+H1011+F1011</f>
        <v>53</v>
      </c>
      <c r="E1011" s="305">
        <v>0</v>
      </c>
      <c r="F1011" s="305">
        <v>4</v>
      </c>
      <c r="G1011" s="305">
        <v>0</v>
      </c>
      <c r="H1011" s="305">
        <v>0</v>
      </c>
      <c r="I1011" s="305">
        <v>0</v>
      </c>
      <c r="J1011" s="305">
        <v>13</v>
      </c>
      <c r="K1011" s="305">
        <v>0</v>
      </c>
      <c r="L1011" s="305">
        <v>36</v>
      </c>
      <c r="M1011" s="305">
        <v>0</v>
      </c>
      <c r="N1011" s="305">
        <v>0</v>
      </c>
      <c r="O1011" s="305">
        <v>0</v>
      </c>
      <c r="P1011" s="305">
        <v>0</v>
      </c>
      <c r="Q1011" s="203" t="s">
        <v>145</v>
      </c>
      <c r="R1011" s="306" t="s">
        <v>780</v>
      </c>
    </row>
    <row r="1012" spans="2:18" ht="22.5" customHeight="1" thickBot="1" x14ac:dyDescent="0.25">
      <c r="B1012" s="305">
        <f t="shared" ref="B1012" si="410">SUM(B1010:B1011)</f>
        <v>141</v>
      </c>
      <c r="C1012" s="305">
        <f t="shared" ref="C1012:P1012" si="411">SUM(C1010:C1011)</f>
        <v>0</v>
      </c>
      <c r="D1012" s="305">
        <f t="shared" si="411"/>
        <v>141</v>
      </c>
      <c r="E1012" s="305">
        <f t="shared" si="411"/>
        <v>0</v>
      </c>
      <c r="F1012" s="305">
        <f t="shared" si="411"/>
        <v>4</v>
      </c>
      <c r="G1012" s="305">
        <f t="shared" si="411"/>
        <v>0</v>
      </c>
      <c r="H1012" s="305">
        <f t="shared" si="411"/>
        <v>35</v>
      </c>
      <c r="I1012" s="305">
        <f t="shared" si="411"/>
        <v>0</v>
      </c>
      <c r="J1012" s="305">
        <f t="shared" si="411"/>
        <v>58</v>
      </c>
      <c r="K1012" s="305">
        <f t="shared" si="411"/>
        <v>0</v>
      </c>
      <c r="L1012" s="305">
        <f t="shared" si="411"/>
        <v>44</v>
      </c>
      <c r="M1012" s="305">
        <f t="shared" si="411"/>
        <v>0</v>
      </c>
      <c r="N1012" s="305">
        <f t="shared" si="411"/>
        <v>0</v>
      </c>
      <c r="O1012" s="305">
        <f t="shared" si="411"/>
        <v>0</v>
      </c>
      <c r="P1012" s="305">
        <f t="shared" si="411"/>
        <v>0</v>
      </c>
      <c r="Q1012" s="203" t="s">
        <v>12</v>
      </c>
      <c r="R1012" s="307"/>
    </row>
    <row r="1013" spans="2:18" ht="22.5" customHeight="1" thickBot="1" x14ac:dyDescent="0.25">
      <c r="B1013" s="305">
        <f t="shared" si="406"/>
        <v>62</v>
      </c>
      <c r="C1013" s="305">
        <f>O1013+M1013+K1013+I1013+G1013+E1013</f>
        <v>62</v>
      </c>
      <c r="D1013" s="305">
        <f>P1013+N1013+L1013+J1013+H1013+F1013</f>
        <v>0</v>
      </c>
      <c r="E1013" s="305">
        <v>0</v>
      </c>
      <c r="F1013" s="305">
        <v>0</v>
      </c>
      <c r="G1013" s="305">
        <v>51</v>
      </c>
      <c r="H1013" s="305">
        <v>0</v>
      </c>
      <c r="I1013" s="305">
        <v>11</v>
      </c>
      <c r="J1013" s="305">
        <v>0</v>
      </c>
      <c r="K1013" s="305">
        <v>0</v>
      </c>
      <c r="L1013" s="305">
        <v>0</v>
      </c>
      <c r="M1013" s="305">
        <v>0</v>
      </c>
      <c r="N1013" s="305">
        <v>0</v>
      </c>
      <c r="O1013" s="305">
        <v>0</v>
      </c>
      <c r="P1013" s="305">
        <v>0</v>
      </c>
      <c r="Q1013" s="203" t="s">
        <v>146</v>
      </c>
      <c r="R1013" s="306"/>
    </row>
    <row r="1014" spans="2:18" ht="22.5" customHeight="1" thickBot="1" x14ac:dyDescent="0.25">
      <c r="B1014" s="305">
        <f t="shared" si="406"/>
        <v>60</v>
      </c>
      <c r="C1014" s="305">
        <f>O1014+M1014+K1014+I1014+G1014+E1014</f>
        <v>56</v>
      </c>
      <c r="D1014" s="305">
        <f>P1014+N1014+L1014+J1014+H1014+F1014</f>
        <v>4</v>
      </c>
      <c r="E1014" s="305">
        <v>0</v>
      </c>
      <c r="F1014" s="305">
        <v>0</v>
      </c>
      <c r="G1014" s="305">
        <v>0</v>
      </c>
      <c r="H1014" s="305">
        <v>0</v>
      </c>
      <c r="I1014" s="305">
        <v>29</v>
      </c>
      <c r="J1014" s="305">
        <v>0</v>
      </c>
      <c r="K1014" s="305">
        <v>27</v>
      </c>
      <c r="L1014" s="305">
        <v>4</v>
      </c>
      <c r="M1014" s="305">
        <v>0</v>
      </c>
      <c r="N1014" s="305">
        <v>0</v>
      </c>
      <c r="O1014" s="305">
        <v>0</v>
      </c>
      <c r="P1014" s="305">
        <v>0</v>
      </c>
      <c r="Q1014" s="203" t="s">
        <v>145</v>
      </c>
      <c r="R1014" s="306" t="s">
        <v>559</v>
      </c>
    </row>
    <row r="1015" spans="2:18" ht="22.5" customHeight="1" thickBot="1" x14ac:dyDescent="0.25">
      <c r="B1015" s="305">
        <f t="shared" ref="B1015" si="412">SUM(B1013:B1014)</f>
        <v>122</v>
      </c>
      <c r="C1015" s="305">
        <f t="shared" ref="C1015:P1015" si="413">SUM(C1013:C1014)</f>
        <v>118</v>
      </c>
      <c r="D1015" s="305">
        <f t="shared" si="413"/>
        <v>4</v>
      </c>
      <c r="E1015" s="305">
        <f t="shared" si="413"/>
        <v>0</v>
      </c>
      <c r="F1015" s="305">
        <f t="shared" si="413"/>
        <v>0</v>
      </c>
      <c r="G1015" s="305">
        <f t="shared" si="413"/>
        <v>51</v>
      </c>
      <c r="H1015" s="305">
        <f t="shared" si="413"/>
        <v>0</v>
      </c>
      <c r="I1015" s="305">
        <f t="shared" si="413"/>
        <v>40</v>
      </c>
      <c r="J1015" s="305">
        <f t="shared" si="413"/>
        <v>0</v>
      </c>
      <c r="K1015" s="305">
        <f t="shared" si="413"/>
        <v>27</v>
      </c>
      <c r="L1015" s="305">
        <f t="shared" si="413"/>
        <v>4</v>
      </c>
      <c r="M1015" s="305">
        <f t="shared" si="413"/>
        <v>0</v>
      </c>
      <c r="N1015" s="305">
        <f t="shared" si="413"/>
        <v>0</v>
      </c>
      <c r="O1015" s="305">
        <f t="shared" si="413"/>
        <v>0</v>
      </c>
      <c r="P1015" s="305">
        <f t="shared" si="413"/>
        <v>0</v>
      </c>
      <c r="Q1015" s="203" t="s">
        <v>12</v>
      </c>
      <c r="R1015" s="307"/>
    </row>
    <row r="1016" spans="2:18" ht="22.5" customHeight="1" thickBot="1" x14ac:dyDescent="0.25">
      <c r="B1016" s="305">
        <f t="shared" si="406"/>
        <v>8</v>
      </c>
      <c r="C1016" s="305">
        <f>O1016+M1016+K1016+I1016+G1016+E1016</f>
        <v>8</v>
      </c>
      <c r="D1016" s="305">
        <f>P1016+N1016+L1016+J1016+H1016+F1016</f>
        <v>0</v>
      </c>
      <c r="E1016" s="305">
        <v>0</v>
      </c>
      <c r="F1016" s="305">
        <v>0</v>
      </c>
      <c r="G1016" s="305">
        <v>7</v>
      </c>
      <c r="H1016" s="305">
        <v>0</v>
      </c>
      <c r="I1016" s="305">
        <v>0</v>
      </c>
      <c r="J1016" s="305">
        <v>0</v>
      </c>
      <c r="K1016" s="305">
        <v>1</v>
      </c>
      <c r="L1016" s="305">
        <v>0</v>
      </c>
      <c r="M1016" s="305">
        <v>0</v>
      </c>
      <c r="N1016" s="305">
        <v>0</v>
      </c>
      <c r="O1016" s="305">
        <v>0</v>
      </c>
      <c r="P1016" s="305">
        <v>0</v>
      </c>
      <c r="Q1016" s="203" t="s">
        <v>146</v>
      </c>
      <c r="R1016" s="306"/>
    </row>
    <row r="1017" spans="2:18" ht="22.5" customHeight="1" thickBot="1" x14ac:dyDescent="0.25">
      <c r="B1017" s="305">
        <f t="shared" si="406"/>
        <v>14</v>
      </c>
      <c r="C1017" s="305">
        <f>O1017+M1017+K1017+I1017+G1017+E1017</f>
        <v>14</v>
      </c>
      <c r="D1017" s="305">
        <f>P1017+N1017+L1017+J1017+H1017+F1017</f>
        <v>0</v>
      </c>
      <c r="E1017" s="305">
        <v>3</v>
      </c>
      <c r="F1017" s="305">
        <v>0</v>
      </c>
      <c r="G1017" s="305">
        <v>0</v>
      </c>
      <c r="H1017" s="305">
        <v>0</v>
      </c>
      <c r="I1017" s="305">
        <v>1</v>
      </c>
      <c r="J1017" s="305">
        <v>0</v>
      </c>
      <c r="K1017" s="305">
        <v>5</v>
      </c>
      <c r="L1017" s="305">
        <v>0</v>
      </c>
      <c r="M1017" s="305">
        <v>2</v>
      </c>
      <c r="N1017" s="305">
        <v>0</v>
      </c>
      <c r="O1017" s="305">
        <v>3</v>
      </c>
      <c r="P1017" s="305">
        <v>0</v>
      </c>
      <c r="Q1017" s="203" t="s">
        <v>145</v>
      </c>
      <c r="R1017" s="306" t="s">
        <v>287</v>
      </c>
    </row>
    <row r="1018" spans="2:18" ht="22.5" customHeight="1" thickBot="1" x14ac:dyDescent="0.25">
      <c r="B1018" s="305">
        <f t="shared" ref="B1018" si="414">SUM(B1016:B1017)</f>
        <v>22</v>
      </c>
      <c r="C1018" s="305">
        <f t="shared" ref="C1018:P1018" si="415">SUM(C1016:C1017)</f>
        <v>22</v>
      </c>
      <c r="D1018" s="305">
        <f t="shared" si="415"/>
        <v>0</v>
      </c>
      <c r="E1018" s="305">
        <f t="shared" si="415"/>
        <v>3</v>
      </c>
      <c r="F1018" s="305">
        <f t="shared" si="415"/>
        <v>0</v>
      </c>
      <c r="G1018" s="305">
        <f t="shared" si="415"/>
        <v>7</v>
      </c>
      <c r="H1018" s="305">
        <f t="shared" si="415"/>
        <v>0</v>
      </c>
      <c r="I1018" s="305">
        <f t="shared" si="415"/>
        <v>1</v>
      </c>
      <c r="J1018" s="305">
        <f t="shared" si="415"/>
        <v>0</v>
      </c>
      <c r="K1018" s="305">
        <f t="shared" si="415"/>
        <v>6</v>
      </c>
      <c r="L1018" s="305">
        <f t="shared" si="415"/>
        <v>0</v>
      </c>
      <c r="M1018" s="305">
        <f t="shared" si="415"/>
        <v>2</v>
      </c>
      <c r="N1018" s="305">
        <f t="shared" si="415"/>
        <v>0</v>
      </c>
      <c r="O1018" s="305">
        <f t="shared" si="415"/>
        <v>3</v>
      </c>
      <c r="P1018" s="305">
        <f t="shared" si="415"/>
        <v>0</v>
      </c>
      <c r="Q1018" s="203" t="s">
        <v>12</v>
      </c>
      <c r="R1018" s="307"/>
    </row>
    <row r="1019" spans="2:18" ht="22.5" customHeight="1" thickBot="1" x14ac:dyDescent="0.25">
      <c r="B1019" s="305">
        <f t="shared" si="406"/>
        <v>4</v>
      </c>
      <c r="C1019" s="305">
        <f>O1019+M1019+K1019+I1019+G1019+E1019</f>
        <v>0</v>
      </c>
      <c r="D1019" s="305">
        <f>P1019+N1019+L1019+J1019+H1019+F1019</f>
        <v>4</v>
      </c>
      <c r="E1019" s="305">
        <v>0</v>
      </c>
      <c r="F1019" s="305">
        <v>0</v>
      </c>
      <c r="G1019" s="305">
        <v>0</v>
      </c>
      <c r="H1019" s="305">
        <v>1</v>
      </c>
      <c r="I1019" s="305">
        <v>0</v>
      </c>
      <c r="J1019" s="305">
        <v>0</v>
      </c>
      <c r="K1019" s="305">
        <v>0</v>
      </c>
      <c r="L1019" s="305">
        <v>1</v>
      </c>
      <c r="M1019" s="305">
        <v>0</v>
      </c>
      <c r="N1019" s="305">
        <v>2</v>
      </c>
      <c r="O1019" s="305">
        <v>0</v>
      </c>
      <c r="P1019" s="305">
        <v>0</v>
      </c>
      <c r="Q1019" s="203" t="s">
        <v>146</v>
      </c>
      <c r="R1019" s="306"/>
    </row>
    <row r="1020" spans="2:18" ht="22.5" customHeight="1" thickBot="1" x14ac:dyDescent="0.25">
      <c r="B1020" s="305">
        <f t="shared" si="406"/>
        <v>11</v>
      </c>
      <c r="C1020" s="305">
        <f>O1020+M1020+K1020+I1020+G1020+E1020</f>
        <v>0</v>
      </c>
      <c r="D1020" s="305">
        <f>P1020+N1020+L1020+J1020+H1020+F1020</f>
        <v>11</v>
      </c>
      <c r="E1020" s="305">
        <v>0</v>
      </c>
      <c r="F1020" s="305">
        <v>1</v>
      </c>
      <c r="G1020" s="305">
        <v>0</v>
      </c>
      <c r="H1020" s="305">
        <v>0</v>
      </c>
      <c r="I1020" s="305">
        <v>0</v>
      </c>
      <c r="J1020" s="305">
        <v>6</v>
      </c>
      <c r="K1020" s="305">
        <v>0</v>
      </c>
      <c r="L1020" s="305">
        <v>4</v>
      </c>
      <c r="M1020" s="305">
        <v>0</v>
      </c>
      <c r="N1020" s="305">
        <v>0</v>
      </c>
      <c r="O1020" s="305">
        <v>0</v>
      </c>
      <c r="P1020" s="305">
        <v>0</v>
      </c>
      <c r="Q1020" s="203" t="s">
        <v>145</v>
      </c>
      <c r="R1020" s="306" t="s">
        <v>124</v>
      </c>
    </row>
    <row r="1021" spans="2:18" ht="22.5" customHeight="1" thickBot="1" x14ac:dyDescent="0.25">
      <c r="B1021" s="305">
        <f t="shared" ref="B1021" si="416">SUM(B1019:B1020)</f>
        <v>15</v>
      </c>
      <c r="C1021" s="305">
        <f t="shared" ref="C1021:P1021" si="417">SUM(C1019:C1020)</f>
        <v>0</v>
      </c>
      <c r="D1021" s="305">
        <f t="shared" si="417"/>
        <v>15</v>
      </c>
      <c r="E1021" s="305">
        <f t="shared" si="417"/>
        <v>0</v>
      </c>
      <c r="F1021" s="305">
        <f t="shared" si="417"/>
        <v>1</v>
      </c>
      <c r="G1021" s="305">
        <f t="shared" si="417"/>
        <v>0</v>
      </c>
      <c r="H1021" s="305">
        <f t="shared" si="417"/>
        <v>1</v>
      </c>
      <c r="I1021" s="305">
        <f t="shared" si="417"/>
        <v>0</v>
      </c>
      <c r="J1021" s="305">
        <f t="shared" si="417"/>
        <v>6</v>
      </c>
      <c r="K1021" s="305">
        <f t="shared" si="417"/>
        <v>0</v>
      </c>
      <c r="L1021" s="305">
        <f t="shared" si="417"/>
        <v>5</v>
      </c>
      <c r="M1021" s="305">
        <f t="shared" si="417"/>
        <v>0</v>
      </c>
      <c r="N1021" s="305">
        <f t="shared" si="417"/>
        <v>2</v>
      </c>
      <c r="O1021" s="305">
        <f t="shared" si="417"/>
        <v>0</v>
      </c>
      <c r="P1021" s="305">
        <f t="shared" si="417"/>
        <v>0</v>
      </c>
      <c r="Q1021" s="203" t="s">
        <v>12</v>
      </c>
      <c r="R1021" s="307"/>
    </row>
    <row r="1022" spans="2:18" ht="22.5" customHeight="1" thickBot="1" x14ac:dyDescent="0.25">
      <c r="B1022" s="305">
        <f t="shared" ref="B1022:P1024" si="418">B1004+B1007+B1010+B1013+B1016+B1019</f>
        <v>164</v>
      </c>
      <c r="C1022" s="305">
        <f t="shared" si="418"/>
        <v>72</v>
      </c>
      <c r="D1022" s="305">
        <f t="shared" si="418"/>
        <v>92</v>
      </c>
      <c r="E1022" s="305">
        <f t="shared" si="418"/>
        <v>2</v>
      </c>
      <c r="F1022" s="305">
        <f t="shared" si="418"/>
        <v>0</v>
      </c>
      <c r="G1022" s="305">
        <f t="shared" si="418"/>
        <v>58</v>
      </c>
      <c r="H1022" s="305">
        <f t="shared" si="418"/>
        <v>36</v>
      </c>
      <c r="I1022" s="305">
        <f t="shared" si="418"/>
        <v>11</v>
      </c>
      <c r="J1022" s="305">
        <f t="shared" si="418"/>
        <v>45</v>
      </c>
      <c r="K1022" s="305">
        <f t="shared" si="418"/>
        <v>1</v>
      </c>
      <c r="L1022" s="305">
        <f t="shared" si="418"/>
        <v>9</v>
      </c>
      <c r="M1022" s="305">
        <f t="shared" si="418"/>
        <v>0</v>
      </c>
      <c r="N1022" s="305">
        <f t="shared" si="418"/>
        <v>2</v>
      </c>
      <c r="O1022" s="305">
        <f t="shared" si="418"/>
        <v>0</v>
      </c>
      <c r="P1022" s="305">
        <f t="shared" si="418"/>
        <v>0</v>
      </c>
      <c r="Q1022" s="203" t="s">
        <v>146</v>
      </c>
      <c r="R1022" s="280"/>
    </row>
    <row r="1023" spans="2:18" ht="22.5" customHeight="1" thickBot="1" x14ac:dyDescent="0.25">
      <c r="B1023" s="305">
        <f t="shared" si="418"/>
        <v>192</v>
      </c>
      <c r="C1023" s="305">
        <f t="shared" si="418"/>
        <v>81</v>
      </c>
      <c r="D1023" s="305">
        <f t="shared" si="418"/>
        <v>111</v>
      </c>
      <c r="E1023" s="305">
        <f t="shared" si="418"/>
        <v>8</v>
      </c>
      <c r="F1023" s="305">
        <f t="shared" si="418"/>
        <v>5</v>
      </c>
      <c r="G1023" s="305">
        <f t="shared" si="418"/>
        <v>0</v>
      </c>
      <c r="H1023" s="305">
        <f t="shared" si="418"/>
        <v>0</v>
      </c>
      <c r="I1023" s="305">
        <f t="shared" si="418"/>
        <v>32</v>
      </c>
      <c r="J1023" s="305">
        <f t="shared" si="418"/>
        <v>25</v>
      </c>
      <c r="K1023" s="305">
        <f t="shared" si="418"/>
        <v>34</v>
      </c>
      <c r="L1023" s="305">
        <f t="shared" si="418"/>
        <v>45</v>
      </c>
      <c r="M1023" s="305">
        <f t="shared" si="418"/>
        <v>2</v>
      </c>
      <c r="N1023" s="305">
        <f t="shared" si="418"/>
        <v>25</v>
      </c>
      <c r="O1023" s="305">
        <f t="shared" si="418"/>
        <v>5</v>
      </c>
      <c r="P1023" s="305">
        <f t="shared" si="418"/>
        <v>11</v>
      </c>
      <c r="Q1023" s="203" t="s">
        <v>145</v>
      </c>
      <c r="R1023" s="281" t="s">
        <v>188</v>
      </c>
    </row>
    <row r="1024" spans="2:18" ht="22.5" customHeight="1" thickBot="1" x14ac:dyDescent="0.25">
      <c r="B1024" s="305">
        <f t="shared" si="418"/>
        <v>356</v>
      </c>
      <c r="C1024" s="305">
        <f t="shared" si="418"/>
        <v>153</v>
      </c>
      <c r="D1024" s="305">
        <f t="shared" si="418"/>
        <v>203</v>
      </c>
      <c r="E1024" s="305">
        <f t="shared" si="418"/>
        <v>10</v>
      </c>
      <c r="F1024" s="305">
        <f t="shared" si="418"/>
        <v>5</v>
      </c>
      <c r="G1024" s="305">
        <f t="shared" si="418"/>
        <v>58</v>
      </c>
      <c r="H1024" s="305">
        <f t="shared" si="418"/>
        <v>36</v>
      </c>
      <c r="I1024" s="305">
        <f t="shared" si="418"/>
        <v>43</v>
      </c>
      <c r="J1024" s="305">
        <f t="shared" si="418"/>
        <v>70</v>
      </c>
      <c r="K1024" s="305">
        <f t="shared" si="418"/>
        <v>35</v>
      </c>
      <c r="L1024" s="305">
        <f t="shared" si="418"/>
        <v>54</v>
      </c>
      <c r="M1024" s="305">
        <f t="shared" si="418"/>
        <v>2</v>
      </c>
      <c r="N1024" s="305">
        <f t="shared" si="418"/>
        <v>27</v>
      </c>
      <c r="O1024" s="305">
        <f t="shared" si="418"/>
        <v>5</v>
      </c>
      <c r="P1024" s="305">
        <f t="shared" si="418"/>
        <v>11</v>
      </c>
      <c r="Q1024" s="203" t="s">
        <v>12</v>
      </c>
      <c r="R1024" s="282"/>
    </row>
    <row r="1025" spans="2:18" ht="22.5" customHeight="1" thickBot="1" x14ac:dyDescent="0.25">
      <c r="B1025" s="319"/>
      <c r="C1025" s="319"/>
      <c r="D1025" s="319"/>
      <c r="E1025" s="319"/>
      <c r="F1025" s="319"/>
      <c r="G1025" s="319"/>
      <c r="H1025" s="319"/>
      <c r="I1025" s="319"/>
      <c r="J1025" s="319"/>
      <c r="K1025" s="319"/>
      <c r="L1025" s="319"/>
      <c r="M1025" s="319"/>
      <c r="N1025" s="319"/>
      <c r="O1025" s="319"/>
      <c r="P1025" s="319"/>
      <c r="Q1025" s="320"/>
      <c r="R1025" s="320"/>
    </row>
    <row r="1026" spans="2:18" ht="22.5" customHeight="1" thickBot="1" x14ac:dyDescent="0.25">
      <c r="B1026" s="500" t="s">
        <v>4</v>
      </c>
      <c r="C1026" s="500"/>
      <c r="D1026" s="500"/>
      <c r="E1026" s="500" t="s">
        <v>735</v>
      </c>
      <c r="F1026" s="500"/>
      <c r="G1026" s="500" t="s">
        <v>736</v>
      </c>
      <c r="H1026" s="500"/>
      <c r="I1026" s="500" t="s">
        <v>737</v>
      </c>
      <c r="J1026" s="500"/>
      <c r="K1026" s="500" t="s">
        <v>738</v>
      </c>
      <c r="L1026" s="500"/>
      <c r="M1026" s="500" t="s">
        <v>739</v>
      </c>
      <c r="N1026" s="500"/>
      <c r="O1026" s="500" t="s">
        <v>740</v>
      </c>
      <c r="P1026" s="500"/>
      <c r="Q1026" s="583" t="s">
        <v>741</v>
      </c>
      <c r="R1026" s="202" t="s">
        <v>144</v>
      </c>
    </row>
    <row r="1027" spans="2:18" ht="22.5" customHeight="1" thickBot="1" x14ac:dyDescent="0.25">
      <c r="B1027" s="202" t="s">
        <v>227</v>
      </c>
      <c r="C1027" s="202" t="s">
        <v>10</v>
      </c>
      <c r="D1027" s="202" t="s">
        <v>9</v>
      </c>
      <c r="E1027" s="202" t="s">
        <v>10</v>
      </c>
      <c r="F1027" s="202" t="s">
        <v>9</v>
      </c>
      <c r="G1027" s="202" t="s">
        <v>10</v>
      </c>
      <c r="H1027" s="202" t="s">
        <v>9</v>
      </c>
      <c r="I1027" s="202" t="s">
        <v>10</v>
      </c>
      <c r="J1027" s="202" t="s">
        <v>9</v>
      </c>
      <c r="K1027" s="202" t="s">
        <v>10</v>
      </c>
      <c r="L1027" s="202" t="s">
        <v>9</v>
      </c>
      <c r="M1027" s="202" t="s">
        <v>10</v>
      </c>
      <c r="N1027" s="202" t="s">
        <v>9</v>
      </c>
      <c r="O1027" s="202" t="s">
        <v>10</v>
      </c>
      <c r="P1027" s="202" t="s">
        <v>9</v>
      </c>
      <c r="Q1027" s="480"/>
      <c r="R1027" s="187" t="s">
        <v>151</v>
      </c>
    </row>
    <row r="1028" spans="2:18" ht="22.5" customHeight="1" thickBot="1" x14ac:dyDescent="0.25">
      <c r="B1028" s="332">
        <f>SUM(C1028:D1028)</f>
        <v>435</v>
      </c>
      <c r="C1028" s="332">
        <f>O1028+M1028+K1028+I1028+G1028+E1028</f>
        <v>0</v>
      </c>
      <c r="D1028" s="332">
        <f>P1028+N1028+L1028+J1028+H1028+F1028</f>
        <v>435</v>
      </c>
      <c r="E1028" s="332">
        <v>0</v>
      </c>
      <c r="F1028" s="332">
        <v>8</v>
      </c>
      <c r="G1028" s="332">
        <v>0</v>
      </c>
      <c r="H1028" s="332">
        <v>370</v>
      </c>
      <c r="I1028" s="332">
        <v>0</v>
      </c>
      <c r="J1028" s="332">
        <v>18</v>
      </c>
      <c r="K1028" s="332">
        <v>0</v>
      </c>
      <c r="L1028" s="332">
        <v>35</v>
      </c>
      <c r="M1028" s="332">
        <v>0</v>
      </c>
      <c r="N1028" s="332">
        <v>3</v>
      </c>
      <c r="O1028" s="332">
        <v>0</v>
      </c>
      <c r="P1028" s="332">
        <v>1</v>
      </c>
      <c r="Q1028" s="188" t="s">
        <v>146</v>
      </c>
      <c r="R1028" s="293"/>
    </row>
    <row r="1029" spans="2:18" ht="22.5" customHeight="1" thickBot="1" x14ac:dyDescent="0.25">
      <c r="B1029" s="332">
        <f t="shared" ref="B1029:B1092" si="419">SUM(C1029:D1029)</f>
        <v>35</v>
      </c>
      <c r="C1029" s="332">
        <f>O1029+M1029+K1029+I1029+G1029+E1029</f>
        <v>0</v>
      </c>
      <c r="D1029" s="332">
        <f>P1029+N1029+L1029+J1029+H1029+F1029</f>
        <v>35</v>
      </c>
      <c r="E1029" s="332">
        <v>0</v>
      </c>
      <c r="F1029" s="332">
        <v>0</v>
      </c>
      <c r="G1029" s="332">
        <v>0</v>
      </c>
      <c r="H1029" s="332">
        <v>18</v>
      </c>
      <c r="I1029" s="332">
        <v>0</v>
      </c>
      <c r="J1029" s="332">
        <v>9</v>
      </c>
      <c r="K1029" s="332">
        <v>0</v>
      </c>
      <c r="L1029" s="332">
        <v>8</v>
      </c>
      <c r="M1029" s="332">
        <v>0</v>
      </c>
      <c r="N1029" s="332">
        <v>0</v>
      </c>
      <c r="O1029" s="332">
        <v>0</v>
      </c>
      <c r="P1029" s="332">
        <v>0</v>
      </c>
      <c r="Q1029" s="188" t="s">
        <v>145</v>
      </c>
      <c r="R1029" s="293" t="s">
        <v>290</v>
      </c>
    </row>
    <row r="1030" spans="2:18" ht="22.5" customHeight="1" thickBot="1" x14ac:dyDescent="0.25">
      <c r="B1030" s="332">
        <f t="shared" ref="B1030:P1030" si="420">SUM(B1028:B1029)</f>
        <v>470</v>
      </c>
      <c r="C1030" s="332">
        <f t="shared" si="420"/>
        <v>0</v>
      </c>
      <c r="D1030" s="332">
        <f t="shared" si="420"/>
        <v>470</v>
      </c>
      <c r="E1030" s="332">
        <f t="shared" si="420"/>
        <v>0</v>
      </c>
      <c r="F1030" s="332">
        <f t="shared" si="420"/>
        <v>8</v>
      </c>
      <c r="G1030" s="332">
        <f t="shared" si="420"/>
        <v>0</v>
      </c>
      <c r="H1030" s="332">
        <f t="shared" si="420"/>
        <v>388</v>
      </c>
      <c r="I1030" s="332">
        <f t="shared" si="420"/>
        <v>0</v>
      </c>
      <c r="J1030" s="332">
        <f t="shared" si="420"/>
        <v>27</v>
      </c>
      <c r="K1030" s="332">
        <f t="shared" si="420"/>
        <v>0</v>
      </c>
      <c r="L1030" s="332">
        <f t="shared" si="420"/>
        <v>43</v>
      </c>
      <c r="M1030" s="332">
        <f t="shared" si="420"/>
        <v>0</v>
      </c>
      <c r="N1030" s="332">
        <f t="shared" si="420"/>
        <v>3</v>
      </c>
      <c r="O1030" s="332">
        <f t="shared" si="420"/>
        <v>0</v>
      </c>
      <c r="P1030" s="332">
        <f t="shared" si="420"/>
        <v>1</v>
      </c>
      <c r="Q1030" s="188" t="s">
        <v>12</v>
      </c>
      <c r="R1030" s="285"/>
    </row>
    <row r="1031" spans="2:18" ht="22.5" customHeight="1" thickBot="1" x14ac:dyDescent="0.25">
      <c r="B1031" s="332">
        <f t="shared" si="419"/>
        <v>108</v>
      </c>
      <c r="C1031" s="332">
        <f>O1031+M1031+K1031+I1031+G1031+E1031</f>
        <v>0</v>
      </c>
      <c r="D1031" s="332">
        <f>P1031+N1031+L1031+J1031+H1031+F1031</f>
        <v>108</v>
      </c>
      <c r="E1031" s="332">
        <v>0</v>
      </c>
      <c r="F1031" s="332">
        <v>4</v>
      </c>
      <c r="G1031" s="332">
        <v>0</v>
      </c>
      <c r="H1031" s="332">
        <v>94</v>
      </c>
      <c r="I1031" s="332">
        <v>0</v>
      </c>
      <c r="J1031" s="332">
        <v>6</v>
      </c>
      <c r="K1031" s="332">
        <v>0</v>
      </c>
      <c r="L1031" s="332">
        <v>4</v>
      </c>
      <c r="M1031" s="332">
        <v>0</v>
      </c>
      <c r="N1031" s="332">
        <v>0</v>
      </c>
      <c r="O1031" s="332">
        <v>0</v>
      </c>
      <c r="P1031" s="332">
        <v>0</v>
      </c>
      <c r="Q1031" s="188" t="s">
        <v>146</v>
      </c>
      <c r="R1031" s="293"/>
    </row>
    <row r="1032" spans="2:18" ht="22.5" customHeight="1" thickBot="1" x14ac:dyDescent="0.25">
      <c r="B1032" s="332">
        <f t="shared" si="419"/>
        <v>16</v>
      </c>
      <c r="C1032" s="332">
        <f>O1032+M1032+K1032+I1032+G1032+E1032</f>
        <v>0</v>
      </c>
      <c r="D1032" s="332">
        <f>P1032+N1032+L1032+J1032+H1032+F1032</f>
        <v>16</v>
      </c>
      <c r="E1032" s="332">
        <v>0</v>
      </c>
      <c r="F1032" s="332">
        <v>0</v>
      </c>
      <c r="G1032" s="332">
        <v>0</v>
      </c>
      <c r="H1032" s="332">
        <v>9</v>
      </c>
      <c r="I1032" s="332">
        <v>0</v>
      </c>
      <c r="J1032" s="332">
        <v>1</v>
      </c>
      <c r="K1032" s="332">
        <v>0</v>
      </c>
      <c r="L1032" s="332">
        <v>6</v>
      </c>
      <c r="M1032" s="332">
        <v>0</v>
      </c>
      <c r="N1032" s="332">
        <v>0</v>
      </c>
      <c r="O1032" s="332">
        <v>0</v>
      </c>
      <c r="P1032" s="332">
        <v>0</v>
      </c>
      <c r="Q1032" s="188" t="s">
        <v>145</v>
      </c>
      <c r="R1032" s="293" t="s">
        <v>781</v>
      </c>
    </row>
    <row r="1033" spans="2:18" ht="22.5" customHeight="1" thickBot="1" x14ac:dyDescent="0.25">
      <c r="B1033" s="332">
        <f t="shared" ref="B1033" si="421">SUM(B1031:B1032)</f>
        <v>124</v>
      </c>
      <c r="C1033" s="332">
        <f t="shared" ref="C1033:P1033" si="422">SUM(C1031:C1032)</f>
        <v>0</v>
      </c>
      <c r="D1033" s="332">
        <f t="shared" si="422"/>
        <v>124</v>
      </c>
      <c r="E1033" s="332">
        <f t="shared" si="422"/>
        <v>0</v>
      </c>
      <c r="F1033" s="332">
        <f t="shared" si="422"/>
        <v>4</v>
      </c>
      <c r="G1033" s="332">
        <f t="shared" si="422"/>
        <v>0</v>
      </c>
      <c r="H1033" s="332">
        <f t="shared" si="422"/>
        <v>103</v>
      </c>
      <c r="I1033" s="332">
        <f t="shared" si="422"/>
        <v>0</v>
      </c>
      <c r="J1033" s="332">
        <f t="shared" si="422"/>
        <v>7</v>
      </c>
      <c r="K1033" s="332">
        <f t="shared" si="422"/>
        <v>0</v>
      </c>
      <c r="L1033" s="332">
        <f t="shared" si="422"/>
        <v>10</v>
      </c>
      <c r="M1033" s="332">
        <f t="shared" si="422"/>
        <v>0</v>
      </c>
      <c r="N1033" s="332">
        <f t="shared" si="422"/>
        <v>0</v>
      </c>
      <c r="O1033" s="332">
        <f t="shared" si="422"/>
        <v>0</v>
      </c>
      <c r="P1033" s="332">
        <f t="shared" si="422"/>
        <v>0</v>
      </c>
      <c r="Q1033" s="188" t="s">
        <v>12</v>
      </c>
      <c r="R1033" s="285"/>
    </row>
    <row r="1034" spans="2:18" ht="22.5" customHeight="1" thickBot="1" x14ac:dyDescent="0.25">
      <c r="B1034" s="332">
        <f t="shared" si="419"/>
        <v>249</v>
      </c>
      <c r="C1034" s="332">
        <f>O1034+M1034+K1034+I1034+G1034+E1034</f>
        <v>0</v>
      </c>
      <c r="D1034" s="332">
        <f>P1034+N1034+L1034+J1034+H1034+F1034</f>
        <v>249</v>
      </c>
      <c r="E1034" s="332">
        <v>0</v>
      </c>
      <c r="F1034" s="332">
        <v>45</v>
      </c>
      <c r="G1034" s="332">
        <v>0</v>
      </c>
      <c r="H1034" s="332">
        <v>182</v>
      </c>
      <c r="I1034" s="332">
        <v>0</v>
      </c>
      <c r="J1034" s="332">
        <v>11</v>
      </c>
      <c r="K1034" s="332">
        <v>0</v>
      </c>
      <c r="L1034" s="332">
        <v>11</v>
      </c>
      <c r="M1034" s="332">
        <v>0</v>
      </c>
      <c r="N1034" s="332">
        <v>0</v>
      </c>
      <c r="O1034" s="332">
        <v>0</v>
      </c>
      <c r="P1034" s="332">
        <v>0</v>
      </c>
      <c r="Q1034" s="188" t="s">
        <v>146</v>
      </c>
      <c r="R1034" s="293"/>
    </row>
    <row r="1035" spans="2:18" ht="22.5" customHeight="1" thickBot="1" x14ac:dyDescent="0.25">
      <c r="B1035" s="332">
        <f t="shared" si="419"/>
        <v>20</v>
      </c>
      <c r="C1035" s="332">
        <f>O1035+M1035+K1035+I1035+G1035+E1035</f>
        <v>0</v>
      </c>
      <c r="D1035" s="332">
        <f>P1035+N1035+L1035+J1035+H1035+F1035</f>
        <v>20</v>
      </c>
      <c r="E1035" s="332">
        <v>0</v>
      </c>
      <c r="F1035" s="332">
        <v>0</v>
      </c>
      <c r="G1035" s="332">
        <v>0</v>
      </c>
      <c r="H1035" s="332">
        <v>7</v>
      </c>
      <c r="I1035" s="332">
        <v>0</v>
      </c>
      <c r="J1035" s="332">
        <v>5</v>
      </c>
      <c r="K1035" s="332">
        <v>0</v>
      </c>
      <c r="L1035" s="332">
        <v>8</v>
      </c>
      <c r="M1035" s="332">
        <v>0</v>
      </c>
      <c r="N1035" s="332">
        <v>0</v>
      </c>
      <c r="O1035" s="332">
        <v>0</v>
      </c>
      <c r="P1035" s="332">
        <v>0</v>
      </c>
      <c r="Q1035" s="188" t="s">
        <v>145</v>
      </c>
      <c r="R1035" s="293" t="s">
        <v>292</v>
      </c>
    </row>
    <row r="1036" spans="2:18" ht="22.5" customHeight="1" thickBot="1" x14ac:dyDescent="0.25">
      <c r="B1036" s="332">
        <f t="shared" ref="B1036" si="423">SUM(B1034:B1035)</f>
        <v>269</v>
      </c>
      <c r="C1036" s="332">
        <f t="shared" ref="C1036:P1036" si="424">SUM(C1034:C1035)</f>
        <v>0</v>
      </c>
      <c r="D1036" s="332">
        <f t="shared" si="424"/>
        <v>269</v>
      </c>
      <c r="E1036" s="332">
        <f t="shared" si="424"/>
        <v>0</v>
      </c>
      <c r="F1036" s="332">
        <f t="shared" si="424"/>
        <v>45</v>
      </c>
      <c r="G1036" s="332">
        <f t="shared" si="424"/>
        <v>0</v>
      </c>
      <c r="H1036" s="332">
        <f t="shared" si="424"/>
        <v>189</v>
      </c>
      <c r="I1036" s="332">
        <f t="shared" si="424"/>
        <v>0</v>
      </c>
      <c r="J1036" s="332">
        <f t="shared" si="424"/>
        <v>16</v>
      </c>
      <c r="K1036" s="332">
        <f t="shared" si="424"/>
        <v>0</v>
      </c>
      <c r="L1036" s="332">
        <f t="shared" si="424"/>
        <v>19</v>
      </c>
      <c r="M1036" s="332">
        <f t="shared" si="424"/>
        <v>0</v>
      </c>
      <c r="N1036" s="332">
        <f t="shared" si="424"/>
        <v>0</v>
      </c>
      <c r="O1036" s="332">
        <f t="shared" si="424"/>
        <v>0</v>
      </c>
      <c r="P1036" s="332">
        <f t="shared" si="424"/>
        <v>0</v>
      </c>
      <c r="Q1036" s="188" t="s">
        <v>12</v>
      </c>
      <c r="R1036" s="285"/>
    </row>
    <row r="1037" spans="2:18" ht="22.5" customHeight="1" thickBot="1" x14ac:dyDescent="0.25">
      <c r="B1037" s="332">
        <f t="shared" si="419"/>
        <v>79</v>
      </c>
      <c r="C1037" s="332">
        <f>O1037+M1037+K1037+I1037+G1037+E1037</f>
        <v>0</v>
      </c>
      <c r="D1037" s="332">
        <f>P1037+N1037+L1037+J1037+H1037+F1037</f>
        <v>79</v>
      </c>
      <c r="E1037" s="332">
        <v>0</v>
      </c>
      <c r="F1037" s="332">
        <v>8</v>
      </c>
      <c r="G1037" s="332">
        <v>0</v>
      </c>
      <c r="H1037" s="332">
        <v>66</v>
      </c>
      <c r="I1037" s="332">
        <v>0</v>
      </c>
      <c r="J1037" s="332">
        <v>2</v>
      </c>
      <c r="K1037" s="332">
        <v>0</v>
      </c>
      <c r="L1037" s="332">
        <v>0</v>
      </c>
      <c r="M1037" s="332">
        <v>0</v>
      </c>
      <c r="N1037" s="332">
        <v>2</v>
      </c>
      <c r="O1037" s="332">
        <v>0</v>
      </c>
      <c r="P1037" s="332">
        <v>1</v>
      </c>
      <c r="Q1037" s="188" t="s">
        <v>146</v>
      </c>
      <c r="R1037" s="293"/>
    </row>
    <row r="1038" spans="2:18" ht="22.5" customHeight="1" thickBot="1" x14ac:dyDescent="0.25">
      <c r="B1038" s="332">
        <f t="shared" si="419"/>
        <v>22</v>
      </c>
      <c r="C1038" s="332">
        <f>O1038+M1038+K1038+I1038+G1038+E1038</f>
        <v>0</v>
      </c>
      <c r="D1038" s="332">
        <f>P1038+N1038+L1038+J1038+H1038+F1038</f>
        <v>22</v>
      </c>
      <c r="E1038" s="332">
        <v>0</v>
      </c>
      <c r="F1038" s="332">
        <v>0</v>
      </c>
      <c r="G1038" s="332">
        <v>0</v>
      </c>
      <c r="H1038" s="332">
        <v>12</v>
      </c>
      <c r="I1038" s="332">
        <v>0</v>
      </c>
      <c r="J1038" s="332">
        <v>6</v>
      </c>
      <c r="K1038" s="332">
        <v>0</v>
      </c>
      <c r="L1038" s="332">
        <v>4</v>
      </c>
      <c r="M1038" s="332">
        <v>0</v>
      </c>
      <c r="N1038" s="332">
        <v>0</v>
      </c>
      <c r="O1038" s="332">
        <v>0</v>
      </c>
      <c r="P1038" s="332">
        <v>0</v>
      </c>
      <c r="Q1038" s="188" t="s">
        <v>145</v>
      </c>
      <c r="R1038" s="293" t="s">
        <v>293</v>
      </c>
    </row>
    <row r="1039" spans="2:18" ht="22.5" customHeight="1" thickBot="1" x14ac:dyDescent="0.25">
      <c r="B1039" s="332">
        <f t="shared" ref="B1039" si="425">SUM(B1037:B1038)</f>
        <v>101</v>
      </c>
      <c r="C1039" s="332">
        <f t="shared" ref="C1039:P1039" si="426">SUM(C1037:C1038)</f>
        <v>0</v>
      </c>
      <c r="D1039" s="332">
        <f t="shared" si="426"/>
        <v>101</v>
      </c>
      <c r="E1039" s="332">
        <f t="shared" si="426"/>
        <v>0</v>
      </c>
      <c r="F1039" s="332">
        <f t="shared" si="426"/>
        <v>8</v>
      </c>
      <c r="G1039" s="332">
        <f t="shared" si="426"/>
        <v>0</v>
      </c>
      <c r="H1039" s="332">
        <f t="shared" si="426"/>
        <v>78</v>
      </c>
      <c r="I1039" s="332">
        <f t="shared" si="426"/>
        <v>0</v>
      </c>
      <c r="J1039" s="332">
        <f t="shared" si="426"/>
        <v>8</v>
      </c>
      <c r="K1039" s="332">
        <f t="shared" si="426"/>
        <v>0</v>
      </c>
      <c r="L1039" s="332">
        <f t="shared" si="426"/>
        <v>4</v>
      </c>
      <c r="M1039" s="332">
        <f t="shared" si="426"/>
        <v>0</v>
      </c>
      <c r="N1039" s="332">
        <f t="shared" si="426"/>
        <v>2</v>
      </c>
      <c r="O1039" s="332">
        <f t="shared" si="426"/>
        <v>0</v>
      </c>
      <c r="P1039" s="332">
        <f t="shared" si="426"/>
        <v>1</v>
      </c>
      <c r="Q1039" s="188" t="s">
        <v>12</v>
      </c>
      <c r="R1039" s="285"/>
    </row>
    <row r="1040" spans="2:18" ht="22.5" customHeight="1" thickBot="1" x14ac:dyDescent="0.25">
      <c r="B1040" s="332">
        <f t="shared" si="419"/>
        <v>160</v>
      </c>
      <c r="C1040" s="332">
        <f>O1040+M1040+K1040+I1040+G1040+E1040</f>
        <v>0</v>
      </c>
      <c r="D1040" s="332">
        <f>P1040+N1040+L1040+J1040+H1040+F1040</f>
        <v>160</v>
      </c>
      <c r="E1040" s="332">
        <v>0</v>
      </c>
      <c r="F1040" s="332">
        <v>33</v>
      </c>
      <c r="G1040" s="332">
        <v>0</v>
      </c>
      <c r="H1040" s="332">
        <v>92</v>
      </c>
      <c r="I1040" s="332">
        <v>0</v>
      </c>
      <c r="J1040" s="332">
        <v>28</v>
      </c>
      <c r="K1040" s="332">
        <v>0</v>
      </c>
      <c r="L1040" s="332">
        <v>7</v>
      </c>
      <c r="M1040" s="332">
        <v>0</v>
      </c>
      <c r="N1040" s="332">
        <v>0</v>
      </c>
      <c r="O1040" s="332">
        <v>0</v>
      </c>
      <c r="P1040" s="332">
        <v>0</v>
      </c>
      <c r="Q1040" s="188" t="s">
        <v>146</v>
      </c>
      <c r="R1040" s="293"/>
    </row>
    <row r="1041" spans="2:18" ht="22.5" customHeight="1" thickBot="1" x14ac:dyDescent="0.25">
      <c r="B1041" s="332">
        <f t="shared" si="419"/>
        <v>25</v>
      </c>
      <c r="C1041" s="332">
        <f>O1041+M1041+K1041+I1041+G1041+E1041</f>
        <v>0</v>
      </c>
      <c r="D1041" s="332">
        <f>P1041+N1041+L1041+J1041+H1041+F1041</f>
        <v>25</v>
      </c>
      <c r="E1041" s="332">
        <v>0</v>
      </c>
      <c r="F1041" s="332">
        <v>0</v>
      </c>
      <c r="G1041" s="332">
        <v>0</v>
      </c>
      <c r="H1041" s="332">
        <v>11</v>
      </c>
      <c r="I1041" s="332">
        <v>0</v>
      </c>
      <c r="J1041" s="332">
        <v>6</v>
      </c>
      <c r="K1041" s="332">
        <v>0</v>
      </c>
      <c r="L1041" s="332">
        <v>8</v>
      </c>
      <c r="M1041" s="332">
        <v>0</v>
      </c>
      <c r="N1041" s="332">
        <v>0</v>
      </c>
      <c r="O1041" s="332">
        <v>0</v>
      </c>
      <c r="P1041" s="332">
        <v>0</v>
      </c>
      <c r="Q1041" s="188" t="s">
        <v>145</v>
      </c>
      <c r="R1041" s="293" t="s">
        <v>294</v>
      </c>
    </row>
    <row r="1042" spans="2:18" ht="22.5" customHeight="1" thickBot="1" x14ac:dyDescent="0.25">
      <c r="B1042" s="332">
        <f t="shared" ref="B1042" si="427">SUM(B1040:B1041)</f>
        <v>185</v>
      </c>
      <c r="C1042" s="332">
        <f t="shared" ref="C1042:P1042" si="428">SUM(C1040:C1041)</f>
        <v>0</v>
      </c>
      <c r="D1042" s="332">
        <f t="shared" si="428"/>
        <v>185</v>
      </c>
      <c r="E1042" s="332">
        <f t="shared" si="428"/>
        <v>0</v>
      </c>
      <c r="F1042" s="332">
        <f t="shared" si="428"/>
        <v>33</v>
      </c>
      <c r="G1042" s="332">
        <f t="shared" si="428"/>
        <v>0</v>
      </c>
      <c r="H1042" s="332">
        <f t="shared" si="428"/>
        <v>103</v>
      </c>
      <c r="I1042" s="332">
        <f t="shared" si="428"/>
        <v>0</v>
      </c>
      <c r="J1042" s="332">
        <f t="shared" si="428"/>
        <v>34</v>
      </c>
      <c r="K1042" s="332">
        <f t="shared" si="428"/>
        <v>0</v>
      </c>
      <c r="L1042" s="332">
        <f t="shared" si="428"/>
        <v>15</v>
      </c>
      <c r="M1042" s="332">
        <f t="shared" si="428"/>
        <v>0</v>
      </c>
      <c r="N1042" s="332">
        <f t="shared" si="428"/>
        <v>0</v>
      </c>
      <c r="O1042" s="332">
        <f t="shared" si="428"/>
        <v>0</v>
      </c>
      <c r="P1042" s="332">
        <f t="shared" si="428"/>
        <v>0</v>
      </c>
      <c r="Q1042" s="188" t="s">
        <v>12</v>
      </c>
      <c r="R1042" s="285"/>
    </row>
    <row r="1043" spans="2:18" ht="22.5" customHeight="1" thickBot="1" x14ac:dyDescent="0.25">
      <c r="B1043" s="332">
        <f t="shared" si="419"/>
        <v>186</v>
      </c>
      <c r="C1043" s="332">
        <f>O1043+M1043+K1043+I1043+G1043+E1043</f>
        <v>0</v>
      </c>
      <c r="D1043" s="332">
        <f>P1043+N1043+L1043+J1043+H1043+F1043</f>
        <v>186</v>
      </c>
      <c r="E1043" s="332">
        <v>0</v>
      </c>
      <c r="F1043" s="332">
        <v>21</v>
      </c>
      <c r="G1043" s="332">
        <v>0</v>
      </c>
      <c r="H1043" s="332">
        <v>148</v>
      </c>
      <c r="I1043" s="332">
        <v>0</v>
      </c>
      <c r="J1043" s="332">
        <v>9</v>
      </c>
      <c r="K1043" s="332">
        <v>0</v>
      </c>
      <c r="L1043" s="332">
        <v>6</v>
      </c>
      <c r="M1043" s="332">
        <v>0</v>
      </c>
      <c r="N1043" s="332">
        <v>2</v>
      </c>
      <c r="O1043" s="332">
        <v>0</v>
      </c>
      <c r="P1043" s="332">
        <v>0</v>
      </c>
      <c r="Q1043" s="188" t="s">
        <v>146</v>
      </c>
      <c r="R1043" s="293"/>
    </row>
    <row r="1044" spans="2:18" ht="22.5" customHeight="1" thickBot="1" x14ac:dyDescent="0.25">
      <c r="B1044" s="332">
        <f t="shared" si="419"/>
        <v>21</v>
      </c>
      <c r="C1044" s="332">
        <f>O1044+M1044+K1044+I1044+G1044+E1044</f>
        <v>0</v>
      </c>
      <c r="D1044" s="332">
        <f>P1044+N1044+L1044+J1044+H1044+F1044</f>
        <v>21</v>
      </c>
      <c r="E1044" s="332">
        <v>0</v>
      </c>
      <c r="F1044" s="332">
        <v>0</v>
      </c>
      <c r="G1044" s="332">
        <v>0</v>
      </c>
      <c r="H1044" s="332">
        <v>0</v>
      </c>
      <c r="I1044" s="332">
        <v>0</v>
      </c>
      <c r="J1044" s="332">
        <v>3</v>
      </c>
      <c r="K1044" s="332">
        <v>0</v>
      </c>
      <c r="L1044" s="332">
        <v>14</v>
      </c>
      <c r="M1044" s="332">
        <v>0</v>
      </c>
      <c r="N1044" s="332">
        <v>4</v>
      </c>
      <c r="O1044" s="332">
        <v>0</v>
      </c>
      <c r="P1044" s="332">
        <v>0</v>
      </c>
      <c r="Q1044" s="188" t="s">
        <v>145</v>
      </c>
      <c r="R1044" s="293" t="s">
        <v>295</v>
      </c>
    </row>
    <row r="1045" spans="2:18" ht="22.5" customHeight="1" thickBot="1" x14ac:dyDescent="0.25">
      <c r="B1045" s="332">
        <f t="shared" ref="B1045" si="429">SUM(B1043:B1044)</f>
        <v>207</v>
      </c>
      <c r="C1045" s="332">
        <f t="shared" ref="C1045:P1045" si="430">SUM(C1043:C1044)</f>
        <v>0</v>
      </c>
      <c r="D1045" s="332">
        <f t="shared" si="430"/>
        <v>207</v>
      </c>
      <c r="E1045" s="332">
        <f t="shared" si="430"/>
        <v>0</v>
      </c>
      <c r="F1045" s="332">
        <f t="shared" si="430"/>
        <v>21</v>
      </c>
      <c r="G1045" s="332">
        <f t="shared" si="430"/>
        <v>0</v>
      </c>
      <c r="H1045" s="332">
        <f t="shared" si="430"/>
        <v>148</v>
      </c>
      <c r="I1045" s="332">
        <f t="shared" si="430"/>
        <v>0</v>
      </c>
      <c r="J1045" s="332">
        <f t="shared" si="430"/>
        <v>12</v>
      </c>
      <c r="K1045" s="332">
        <f t="shared" si="430"/>
        <v>0</v>
      </c>
      <c r="L1045" s="332">
        <f t="shared" si="430"/>
        <v>20</v>
      </c>
      <c r="M1045" s="332">
        <f t="shared" si="430"/>
        <v>0</v>
      </c>
      <c r="N1045" s="332">
        <f t="shared" si="430"/>
        <v>6</v>
      </c>
      <c r="O1045" s="332">
        <f t="shared" si="430"/>
        <v>0</v>
      </c>
      <c r="P1045" s="332">
        <f t="shared" si="430"/>
        <v>0</v>
      </c>
      <c r="Q1045" s="188" t="s">
        <v>12</v>
      </c>
      <c r="R1045" s="285"/>
    </row>
    <row r="1046" spans="2:18" ht="22.5" customHeight="1" thickBot="1" x14ac:dyDescent="0.25">
      <c r="B1046" s="332">
        <f t="shared" si="419"/>
        <v>109</v>
      </c>
      <c r="C1046" s="332">
        <f>O1046+M1046+K1046+I1046+G1046+E1046</f>
        <v>0</v>
      </c>
      <c r="D1046" s="332">
        <f>P1046+N1046+L1046+J1046+H1046+F1046</f>
        <v>109</v>
      </c>
      <c r="E1046" s="332">
        <v>0</v>
      </c>
      <c r="F1046" s="332">
        <v>15</v>
      </c>
      <c r="G1046" s="332">
        <v>0</v>
      </c>
      <c r="H1046" s="332">
        <v>88</v>
      </c>
      <c r="I1046" s="332">
        <v>0</v>
      </c>
      <c r="J1046" s="332">
        <v>4</v>
      </c>
      <c r="K1046" s="332">
        <v>0</v>
      </c>
      <c r="L1046" s="332">
        <v>2</v>
      </c>
      <c r="M1046" s="332">
        <v>0</v>
      </c>
      <c r="N1046" s="332">
        <v>0</v>
      </c>
      <c r="O1046" s="332">
        <v>0</v>
      </c>
      <c r="P1046" s="332">
        <v>0</v>
      </c>
      <c r="Q1046" s="188" t="s">
        <v>146</v>
      </c>
      <c r="R1046" s="293"/>
    </row>
    <row r="1047" spans="2:18" ht="22.5" customHeight="1" thickBot="1" x14ac:dyDescent="0.25">
      <c r="B1047" s="332">
        <f t="shared" si="419"/>
        <v>21</v>
      </c>
      <c r="C1047" s="332">
        <f>O1047+M1047+K1047+I1047+G1047+E1047</f>
        <v>0</v>
      </c>
      <c r="D1047" s="332">
        <f>P1047+N1047+L1047+J1047+H1047+F1047</f>
        <v>21</v>
      </c>
      <c r="E1047" s="332">
        <v>0</v>
      </c>
      <c r="F1047" s="332">
        <v>0</v>
      </c>
      <c r="G1047" s="332">
        <v>0</v>
      </c>
      <c r="H1047" s="332">
        <v>3</v>
      </c>
      <c r="I1047" s="332">
        <v>0</v>
      </c>
      <c r="J1047" s="332">
        <v>10</v>
      </c>
      <c r="K1047" s="332">
        <v>0</v>
      </c>
      <c r="L1047" s="332">
        <v>8</v>
      </c>
      <c r="M1047" s="332">
        <v>0</v>
      </c>
      <c r="N1047" s="332">
        <v>0</v>
      </c>
      <c r="O1047" s="332">
        <v>0</v>
      </c>
      <c r="P1047" s="332">
        <v>0</v>
      </c>
      <c r="Q1047" s="188" t="s">
        <v>145</v>
      </c>
      <c r="R1047" s="293" t="s">
        <v>296</v>
      </c>
    </row>
    <row r="1048" spans="2:18" ht="22.5" customHeight="1" thickBot="1" x14ac:dyDescent="0.25">
      <c r="B1048" s="332">
        <f t="shared" ref="B1048" si="431">SUM(B1046:B1047)</f>
        <v>130</v>
      </c>
      <c r="C1048" s="332">
        <f t="shared" ref="C1048:P1048" si="432">SUM(C1046:C1047)</f>
        <v>0</v>
      </c>
      <c r="D1048" s="332">
        <f t="shared" si="432"/>
        <v>130</v>
      </c>
      <c r="E1048" s="332">
        <f t="shared" si="432"/>
        <v>0</v>
      </c>
      <c r="F1048" s="332">
        <f t="shared" si="432"/>
        <v>15</v>
      </c>
      <c r="G1048" s="332">
        <f t="shared" si="432"/>
        <v>0</v>
      </c>
      <c r="H1048" s="332">
        <f t="shared" si="432"/>
        <v>91</v>
      </c>
      <c r="I1048" s="332">
        <f t="shared" si="432"/>
        <v>0</v>
      </c>
      <c r="J1048" s="332">
        <f t="shared" si="432"/>
        <v>14</v>
      </c>
      <c r="K1048" s="332">
        <f t="shared" si="432"/>
        <v>0</v>
      </c>
      <c r="L1048" s="332">
        <f t="shared" si="432"/>
        <v>10</v>
      </c>
      <c r="M1048" s="332">
        <f t="shared" si="432"/>
        <v>0</v>
      </c>
      <c r="N1048" s="332">
        <f t="shared" si="432"/>
        <v>0</v>
      </c>
      <c r="O1048" s="332">
        <f t="shared" si="432"/>
        <v>0</v>
      </c>
      <c r="P1048" s="332">
        <f t="shared" si="432"/>
        <v>0</v>
      </c>
      <c r="Q1048" s="188" t="s">
        <v>12</v>
      </c>
      <c r="R1048" s="285"/>
    </row>
    <row r="1049" spans="2:18" ht="22.5" customHeight="1" thickBot="1" x14ac:dyDescent="0.25">
      <c r="B1049" s="332">
        <f t="shared" si="419"/>
        <v>228</v>
      </c>
      <c r="C1049" s="332">
        <f>O1049+M1049+K1049+I1049+G1049+E1049</f>
        <v>0</v>
      </c>
      <c r="D1049" s="332">
        <f>P1049+N1049+L1049+J1049+H1049+F1049</f>
        <v>228</v>
      </c>
      <c r="E1049" s="332">
        <v>0</v>
      </c>
      <c r="F1049" s="332">
        <v>43</v>
      </c>
      <c r="G1049" s="332">
        <v>0</v>
      </c>
      <c r="H1049" s="332">
        <v>147</v>
      </c>
      <c r="I1049" s="332">
        <v>0</v>
      </c>
      <c r="J1049" s="332">
        <v>19</v>
      </c>
      <c r="K1049" s="332">
        <v>0</v>
      </c>
      <c r="L1049" s="332">
        <v>19</v>
      </c>
      <c r="M1049" s="332">
        <v>0</v>
      </c>
      <c r="N1049" s="332">
        <v>0</v>
      </c>
      <c r="O1049" s="332">
        <v>0</v>
      </c>
      <c r="P1049" s="332">
        <v>0</v>
      </c>
      <c r="Q1049" s="188" t="s">
        <v>146</v>
      </c>
      <c r="R1049" s="293"/>
    </row>
    <row r="1050" spans="2:18" ht="22.5" customHeight="1" thickBot="1" x14ac:dyDescent="0.25">
      <c r="B1050" s="332">
        <f t="shared" si="419"/>
        <v>27</v>
      </c>
      <c r="C1050" s="332">
        <f>O1050+M1050+K1050+I1050+G1050+E1050</f>
        <v>0</v>
      </c>
      <c r="D1050" s="332">
        <f>P1050+N1050+L1050+J1050+H1050+F1050</f>
        <v>27</v>
      </c>
      <c r="E1050" s="332">
        <v>0</v>
      </c>
      <c r="F1050" s="332">
        <v>0</v>
      </c>
      <c r="G1050" s="332">
        <v>0</v>
      </c>
      <c r="H1050" s="332">
        <v>22</v>
      </c>
      <c r="I1050" s="332">
        <v>0</v>
      </c>
      <c r="J1050" s="332">
        <v>2</v>
      </c>
      <c r="K1050" s="332">
        <v>0</v>
      </c>
      <c r="L1050" s="332">
        <v>3</v>
      </c>
      <c r="M1050" s="332">
        <v>0</v>
      </c>
      <c r="N1050" s="332">
        <v>0</v>
      </c>
      <c r="O1050" s="332">
        <v>0</v>
      </c>
      <c r="P1050" s="332">
        <v>0</v>
      </c>
      <c r="Q1050" s="188" t="s">
        <v>145</v>
      </c>
      <c r="R1050" s="293" t="s">
        <v>297</v>
      </c>
    </row>
    <row r="1051" spans="2:18" ht="22.5" customHeight="1" thickBot="1" x14ac:dyDescent="0.25">
      <c r="B1051" s="332">
        <f t="shared" ref="B1051" si="433">SUM(B1049:B1050)</f>
        <v>255</v>
      </c>
      <c r="C1051" s="332">
        <f t="shared" ref="C1051:P1051" si="434">SUM(C1049:C1050)</f>
        <v>0</v>
      </c>
      <c r="D1051" s="332">
        <f t="shared" si="434"/>
        <v>255</v>
      </c>
      <c r="E1051" s="332">
        <f t="shared" si="434"/>
        <v>0</v>
      </c>
      <c r="F1051" s="332">
        <f t="shared" si="434"/>
        <v>43</v>
      </c>
      <c r="G1051" s="332">
        <f t="shared" si="434"/>
        <v>0</v>
      </c>
      <c r="H1051" s="332">
        <f t="shared" si="434"/>
        <v>169</v>
      </c>
      <c r="I1051" s="332">
        <f t="shared" si="434"/>
        <v>0</v>
      </c>
      <c r="J1051" s="332">
        <f t="shared" si="434"/>
        <v>21</v>
      </c>
      <c r="K1051" s="332">
        <f t="shared" si="434"/>
        <v>0</v>
      </c>
      <c r="L1051" s="332">
        <f t="shared" si="434"/>
        <v>22</v>
      </c>
      <c r="M1051" s="332">
        <f t="shared" si="434"/>
        <v>0</v>
      </c>
      <c r="N1051" s="332">
        <f t="shared" si="434"/>
        <v>0</v>
      </c>
      <c r="O1051" s="332">
        <f t="shared" si="434"/>
        <v>0</v>
      </c>
      <c r="P1051" s="332">
        <f t="shared" si="434"/>
        <v>0</v>
      </c>
      <c r="Q1051" s="188" t="s">
        <v>12</v>
      </c>
      <c r="R1051" s="285"/>
    </row>
    <row r="1052" spans="2:18" ht="22.5" customHeight="1" thickBot="1" x14ac:dyDescent="0.25">
      <c r="B1052" s="332">
        <f t="shared" si="419"/>
        <v>238</v>
      </c>
      <c r="C1052" s="332">
        <f>O1052+M1052+K1052+I1052+G1052+E1052</f>
        <v>0</v>
      </c>
      <c r="D1052" s="332">
        <f>P1052+N1052+L1052+J1052+H1052+F1052</f>
        <v>238</v>
      </c>
      <c r="E1052" s="332">
        <v>0</v>
      </c>
      <c r="F1052" s="332">
        <v>0</v>
      </c>
      <c r="G1052" s="332">
        <v>0</v>
      </c>
      <c r="H1052" s="332">
        <v>228</v>
      </c>
      <c r="I1052" s="332">
        <v>0</v>
      </c>
      <c r="J1052" s="332">
        <v>6</v>
      </c>
      <c r="K1052" s="332">
        <v>0</v>
      </c>
      <c r="L1052" s="332">
        <v>4</v>
      </c>
      <c r="M1052" s="332">
        <v>0</v>
      </c>
      <c r="N1052" s="332">
        <v>0</v>
      </c>
      <c r="O1052" s="332">
        <v>0</v>
      </c>
      <c r="P1052" s="332">
        <v>0</v>
      </c>
      <c r="Q1052" s="188" t="s">
        <v>146</v>
      </c>
      <c r="R1052" s="293"/>
    </row>
    <row r="1053" spans="2:18" ht="22.5" customHeight="1" thickBot="1" x14ac:dyDescent="0.25">
      <c r="B1053" s="332">
        <f t="shared" si="419"/>
        <v>21</v>
      </c>
      <c r="C1053" s="332">
        <f>O1053+M1053+K1053+I1053+G1053+E1053</f>
        <v>0</v>
      </c>
      <c r="D1053" s="332">
        <f>P1053+N1053+L1053+J1053+H1053+F1053</f>
        <v>21</v>
      </c>
      <c r="E1053" s="332">
        <v>0</v>
      </c>
      <c r="F1053" s="332">
        <v>0</v>
      </c>
      <c r="G1053" s="332">
        <v>0</v>
      </c>
      <c r="H1053" s="332">
        <v>0</v>
      </c>
      <c r="I1053" s="332">
        <v>0</v>
      </c>
      <c r="J1053" s="332">
        <v>8</v>
      </c>
      <c r="K1053" s="332">
        <v>0</v>
      </c>
      <c r="L1053" s="332">
        <v>13</v>
      </c>
      <c r="M1053" s="332">
        <v>0</v>
      </c>
      <c r="N1053" s="332">
        <v>0</v>
      </c>
      <c r="O1053" s="332">
        <v>0</v>
      </c>
      <c r="P1053" s="332">
        <v>0</v>
      </c>
      <c r="Q1053" s="188" t="s">
        <v>145</v>
      </c>
      <c r="R1053" s="293" t="s">
        <v>782</v>
      </c>
    </row>
    <row r="1054" spans="2:18" ht="22.5" customHeight="1" thickBot="1" x14ac:dyDescent="0.25">
      <c r="B1054" s="332">
        <f t="shared" ref="B1054" si="435">SUM(B1052:B1053)</f>
        <v>259</v>
      </c>
      <c r="C1054" s="332">
        <f t="shared" ref="C1054:P1054" si="436">SUM(C1052:C1053)</f>
        <v>0</v>
      </c>
      <c r="D1054" s="332">
        <f t="shared" si="436"/>
        <v>259</v>
      </c>
      <c r="E1054" s="332">
        <f t="shared" si="436"/>
        <v>0</v>
      </c>
      <c r="F1054" s="332">
        <f t="shared" si="436"/>
        <v>0</v>
      </c>
      <c r="G1054" s="332">
        <f t="shared" si="436"/>
        <v>0</v>
      </c>
      <c r="H1054" s="332">
        <f t="shared" si="436"/>
        <v>228</v>
      </c>
      <c r="I1054" s="332">
        <f t="shared" si="436"/>
        <v>0</v>
      </c>
      <c r="J1054" s="332">
        <f t="shared" si="436"/>
        <v>14</v>
      </c>
      <c r="K1054" s="332">
        <f t="shared" si="436"/>
        <v>0</v>
      </c>
      <c r="L1054" s="332">
        <f t="shared" si="436"/>
        <v>17</v>
      </c>
      <c r="M1054" s="332">
        <f t="shared" si="436"/>
        <v>0</v>
      </c>
      <c r="N1054" s="332">
        <f t="shared" si="436"/>
        <v>0</v>
      </c>
      <c r="O1054" s="332">
        <f t="shared" si="436"/>
        <v>0</v>
      </c>
      <c r="P1054" s="332">
        <f t="shared" si="436"/>
        <v>0</v>
      </c>
      <c r="Q1054" s="188" t="s">
        <v>12</v>
      </c>
      <c r="R1054" s="285"/>
    </row>
    <row r="1055" spans="2:18" ht="22.5" customHeight="1" thickBot="1" x14ac:dyDescent="0.25">
      <c r="B1055" s="332">
        <f t="shared" si="419"/>
        <v>168</v>
      </c>
      <c r="C1055" s="332">
        <f>O1055+M1055+K1055+I1055+G1055+E1055</f>
        <v>0</v>
      </c>
      <c r="D1055" s="332">
        <f>P1055+N1055+L1055+J1055+H1055+F1055</f>
        <v>168</v>
      </c>
      <c r="E1055" s="332">
        <v>0</v>
      </c>
      <c r="F1055" s="332">
        <v>22</v>
      </c>
      <c r="G1055" s="332">
        <v>0</v>
      </c>
      <c r="H1055" s="332">
        <v>128</v>
      </c>
      <c r="I1055" s="332">
        <v>0</v>
      </c>
      <c r="J1055" s="332">
        <v>8</v>
      </c>
      <c r="K1055" s="332">
        <v>0</v>
      </c>
      <c r="L1055" s="332">
        <v>10</v>
      </c>
      <c r="M1055" s="332">
        <v>0</v>
      </c>
      <c r="N1055" s="332">
        <v>0</v>
      </c>
      <c r="O1055" s="332">
        <v>0</v>
      </c>
      <c r="P1055" s="332">
        <v>0</v>
      </c>
      <c r="Q1055" s="188" t="s">
        <v>146</v>
      </c>
      <c r="R1055" s="293"/>
    </row>
    <row r="1056" spans="2:18" ht="22.5" customHeight="1" thickBot="1" x14ac:dyDescent="0.25">
      <c r="B1056" s="332">
        <f t="shared" si="419"/>
        <v>19</v>
      </c>
      <c r="C1056" s="332">
        <f>O1056+M1056+K1056+I1056+G1056+E1056</f>
        <v>0</v>
      </c>
      <c r="D1056" s="332">
        <f>P1056+N1056+L1056+J1056+H1056+F1056</f>
        <v>19</v>
      </c>
      <c r="E1056" s="332">
        <v>0</v>
      </c>
      <c r="F1056" s="332">
        <v>0</v>
      </c>
      <c r="G1056" s="332">
        <v>0</v>
      </c>
      <c r="H1056" s="332">
        <v>17</v>
      </c>
      <c r="I1056" s="332">
        <v>0</v>
      </c>
      <c r="J1056" s="332">
        <v>1</v>
      </c>
      <c r="K1056" s="332">
        <v>0</v>
      </c>
      <c r="L1056" s="332">
        <v>1</v>
      </c>
      <c r="M1056" s="332">
        <v>0</v>
      </c>
      <c r="N1056" s="332">
        <v>0</v>
      </c>
      <c r="O1056" s="332">
        <v>0</v>
      </c>
      <c r="P1056" s="332">
        <v>0</v>
      </c>
      <c r="Q1056" s="188" t="s">
        <v>145</v>
      </c>
      <c r="R1056" s="293" t="s">
        <v>299</v>
      </c>
    </row>
    <row r="1057" spans="2:18" ht="22.5" customHeight="1" thickBot="1" x14ac:dyDescent="0.25">
      <c r="B1057" s="332">
        <f t="shared" ref="B1057" si="437">SUM(B1055:B1056)</f>
        <v>187</v>
      </c>
      <c r="C1057" s="332">
        <f t="shared" ref="C1057:P1057" si="438">SUM(C1055:C1056)</f>
        <v>0</v>
      </c>
      <c r="D1057" s="332">
        <f t="shared" si="438"/>
        <v>187</v>
      </c>
      <c r="E1057" s="332">
        <f t="shared" si="438"/>
        <v>0</v>
      </c>
      <c r="F1057" s="332">
        <f t="shared" si="438"/>
        <v>22</v>
      </c>
      <c r="G1057" s="332">
        <f t="shared" si="438"/>
        <v>0</v>
      </c>
      <c r="H1057" s="332">
        <f t="shared" si="438"/>
        <v>145</v>
      </c>
      <c r="I1057" s="332">
        <f t="shared" si="438"/>
        <v>0</v>
      </c>
      <c r="J1057" s="332">
        <f t="shared" si="438"/>
        <v>9</v>
      </c>
      <c r="K1057" s="332">
        <f t="shared" si="438"/>
        <v>0</v>
      </c>
      <c r="L1057" s="332">
        <f t="shared" si="438"/>
        <v>11</v>
      </c>
      <c r="M1057" s="332">
        <f t="shared" si="438"/>
        <v>0</v>
      </c>
      <c r="N1057" s="332">
        <f t="shared" si="438"/>
        <v>0</v>
      </c>
      <c r="O1057" s="332">
        <f t="shared" si="438"/>
        <v>0</v>
      </c>
      <c r="P1057" s="332">
        <f t="shared" si="438"/>
        <v>0</v>
      </c>
      <c r="Q1057" s="188" t="s">
        <v>12</v>
      </c>
      <c r="R1057" s="285"/>
    </row>
    <row r="1058" spans="2:18" ht="22.5" customHeight="1" thickBot="1" x14ac:dyDescent="0.25">
      <c r="B1058" s="332">
        <f t="shared" si="419"/>
        <v>88</v>
      </c>
      <c r="C1058" s="332">
        <f>O1058+M1058+K1058+I1058+G1058+E1058</f>
        <v>0</v>
      </c>
      <c r="D1058" s="332">
        <f>P1058+N1058+L1058+J1058+H1058+F1058</f>
        <v>88</v>
      </c>
      <c r="E1058" s="332">
        <v>0</v>
      </c>
      <c r="F1058" s="332">
        <v>16</v>
      </c>
      <c r="G1058" s="332">
        <v>0</v>
      </c>
      <c r="H1058" s="332">
        <v>52</v>
      </c>
      <c r="I1058" s="332">
        <v>0</v>
      </c>
      <c r="J1058" s="332">
        <v>7</v>
      </c>
      <c r="K1058" s="332">
        <v>0</v>
      </c>
      <c r="L1058" s="332">
        <v>13</v>
      </c>
      <c r="M1058" s="332">
        <v>0</v>
      </c>
      <c r="N1058" s="332">
        <v>0</v>
      </c>
      <c r="O1058" s="332">
        <v>0</v>
      </c>
      <c r="P1058" s="332">
        <v>0</v>
      </c>
      <c r="Q1058" s="188" t="s">
        <v>146</v>
      </c>
      <c r="R1058" s="550" t="s">
        <v>783</v>
      </c>
    </row>
    <row r="1059" spans="2:18" ht="22.5" customHeight="1" thickBot="1" x14ac:dyDescent="0.25">
      <c r="B1059" s="332">
        <f t="shared" si="419"/>
        <v>23</v>
      </c>
      <c r="C1059" s="332">
        <f>O1059+M1059+K1059+I1059+G1059+E1059</f>
        <v>0</v>
      </c>
      <c r="D1059" s="332">
        <f>P1059+N1059+L1059+J1059+H1059+F1059</f>
        <v>23</v>
      </c>
      <c r="E1059" s="332">
        <v>0</v>
      </c>
      <c r="F1059" s="332">
        <v>2</v>
      </c>
      <c r="G1059" s="332">
        <v>0</v>
      </c>
      <c r="H1059" s="332">
        <v>8</v>
      </c>
      <c r="I1059" s="332">
        <v>0</v>
      </c>
      <c r="J1059" s="332">
        <v>8</v>
      </c>
      <c r="K1059" s="332">
        <v>0</v>
      </c>
      <c r="L1059" s="332">
        <v>5</v>
      </c>
      <c r="M1059" s="332">
        <v>0</v>
      </c>
      <c r="N1059" s="332">
        <v>0</v>
      </c>
      <c r="O1059" s="332">
        <v>0</v>
      </c>
      <c r="P1059" s="332">
        <v>0</v>
      </c>
      <c r="Q1059" s="188" t="s">
        <v>145</v>
      </c>
      <c r="R1059" s="551"/>
    </row>
    <row r="1060" spans="2:18" ht="22.5" customHeight="1" thickBot="1" x14ac:dyDescent="0.25">
      <c r="B1060" s="332">
        <f t="shared" ref="B1060" si="439">SUM(B1058:B1059)</f>
        <v>111</v>
      </c>
      <c r="C1060" s="332">
        <f t="shared" ref="C1060:P1060" si="440">SUM(C1058:C1059)</f>
        <v>0</v>
      </c>
      <c r="D1060" s="332">
        <f t="shared" si="440"/>
        <v>111</v>
      </c>
      <c r="E1060" s="332">
        <f t="shared" si="440"/>
        <v>0</v>
      </c>
      <c r="F1060" s="332">
        <f t="shared" si="440"/>
        <v>18</v>
      </c>
      <c r="G1060" s="332">
        <f t="shared" si="440"/>
        <v>0</v>
      </c>
      <c r="H1060" s="332">
        <f t="shared" si="440"/>
        <v>60</v>
      </c>
      <c r="I1060" s="332">
        <f t="shared" si="440"/>
        <v>0</v>
      </c>
      <c r="J1060" s="332">
        <f t="shared" si="440"/>
        <v>15</v>
      </c>
      <c r="K1060" s="332">
        <f t="shared" si="440"/>
        <v>0</v>
      </c>
      <c r="L1060" s="332">
        <f t="shared" si="440"/>
        <v>18</v>
      </c>
      <c r="M1060" s="332">
        <f t="shared" si="440"/>
        <v>0</v>
      </c>
      <c r="N1060" s="332">
        <f t="shared" si="440"/>
        <v>0</v>
      </c>
      <c r="O1060" s="332">
        <f t="shared" si="440"/>
        <v>0</v>
      </c>
      <c r="P1060" s="332">
        <f t="shared" si="440"/>
        <v>0</v>
      </c>
      <c r="Q1060" s="188" t="s">
        <v>12</v>
      </c>
      <c r="R1060" s="552"/>
    </row>
    <row r="1061" spans="2:18" ht="22.5" customHeight="1" thickBot="1" x14ac:dyDescent="0.25">
      <c r="B1061" s="332">
        <f t="shared" si="419"/>
        <v>69</v>
      </c>
      <c r="C1061" s="332">
        <f>O1061+M1061+K1061+I1061+G1061+E1061</f>
        <v>0</v>
      </c>
      <c r="D1061" s="332">
        <f>P1061+N1061+L1061+J1061+H1061+F1061</f>
        <v>69</v>
      </c>
      <c r="E1061" s="332">
        <v>0</v>
      </c>
      <c r="F1061" s="332">
        <v>16</v>
      </c>
      <c r="G1061" s="332">
        <v>0</v>
      </c>
      <c r="H1061" s="332">
        <v>43</v>
      </c>
      <c r="I1061" s="332">
        <v>0</v>
      </c>
      <c r="J1061" s="332">
        <v>3</v>
      </c>
      <c r="K1061" s="332">
        <v>0</v>
      </c>
      <c r="L1061" s="332">
        <v>7</v>
      </c>
      <c r="M1061" s="332">
        <v>0</v>
      </c>
      <c r="N1061" s="332">
        <v>0</v>
      </c>
      <c r="O1061" s="332">
        <v>0</v>
      </c>
      <c r="P1061" s="332">
        <v>0</v>
      </c>
      <c r="Q1061" s="188" t="s">
        <v>146</v>
      </c>
      <c r="R1061" s="550" t="s">
        <v>784</v>
      </c>
    </row>
    <row r="1062" spans="2:18" ht="22.5" customHeight="1" thickBot="1" x14ac:dyDescent="0.25">
      <c r="B1062" s="332">
        <f t="shared" si="419"/>
        <v>12</v>
      </c>
      <c r="C1062" s="332">
        <f>O1062+M1062+K1062+I1062+G1062+E1062</f>
        <v>0</v>
      </c>
      <c r="D1062" s="332">
        <f>P1062+N1062+L1062+J1062+H1062+F1062</f>
        <v>12</v>
      </c>
      <c r="E1062" s="332">
        <v>0</v>
      </c>
      <c r="F1062" s="332">
        <v>0</v>
      </c>
      <c r="G1062" s="332">
        <v>0</v>
      </c>
      <c r="H1062" s="332">
        <v>6</v>
      </c>
      <c r="I1062" s="332">
        <v>0</v>
      </c>
      <c r="J1062" s="332">
        <v>2</v>
      </c>
      <c r="K1062" s="332">
        <v>0</v>
      </c>
      <c r="L1062" s="332">
        <v>4</v>
      </c>
      <c r="M1062" s="332">
        <v>0</v>
      </c>
      <c r="N1062" s="332">
        <v>0</v>
      </c>
      <c r="O1062" s="332">
        <v>0</v>
      </c>
      <c r="P1062" s="332">
        <v>0</v>
      </c>
      <c r="Q1062" s="188" t="s">
        <v>145</v>
      </c>
      <c r="R1062" s="551"/>
    </row>
    <row r="1063" spans="2:18" ht="22.5" customHeight="1" thickBot="1" x14ac:dyDescent="0.25">
      <c r="B1063" s="332">
        <f t="shared" ref="B1063" si="441">SUM(B1061:B1062)</f>
        <v>81</v>
      </c>
      <c r="C1063" s="332">
        <f t="shared" ref="C1063:P1063" si="442">SUM(C1061:C1062)</f>
        <v>0</v>
      </c>
      <c r="D1063" s="332">
        <f t="shared" si="442"/>
        <v>81</v>
      </c>
      <c r="E1063" s="332">
        <f t="shared" si="442"/>
        <v>0</v>
      </c>
      <c r="F1063" s="332">
        <f t="shared" si="442"/>
        <v>16</v>
      </c>
      <c r="G1063" s="332">
        <f t="shared" si="442"/>
        <v>0</v>
      </c>
      <c r="H1063" s="332">
        <f t="shared" si="442"/>
        <v>49</v>
      </c>
      <c r="I1063" s="332">
        <f t="shared" si="442"/>
        <v>0</v>
      </c>
      <c r="J1063" s="332">
        <f t="shared" si="442"/>
        <v>5</v>
      </c>
      <c r="K1063" s="332">
        <f t="shared" si="442"/>
        <v>0</v>
      </c>
      <c r="L1063" s="332">
        <f t="shared" si="442"/>
        <v>11</v>
      </c>
      <c r="M1063" s="332">
        <f t="shared" si="442"/>
        <v>0</v>
      </c>
      <c r="N1063" s="332">
        <f t="shared" si="442"/>
        <v>0</v>
      </c>
      <c r="O1063" s="332">
        <f t="shared" si="442"/>
        <v>0</v>
      </c>
      <c r="P1063" s="332">
        <f t="shared" si="442"/>
        <v>0</v>
      </c>
      <c r="Q1063" s="188" t="s">
        <v>12</v>
      </c>
      <c r="R1063" s="552"/>
    </row>
    <row r="1064" spans="2:18" ht="22.5" customHeight="1" thickBot="1" x14ac:dyDescent="0.25">
      <c r="B1064" s="332">
        <f t="shared" si="419"/>
        <v>55</v>
      </c>
      <c r="C1064" s="332">
        <f>O1064+M1064+K1064+I1064+G1064+E1064</f>
        <v>0</v>
      </c>
      <c r="D1064" s="332">
        <f>P1064+N1064+L1064+J1064+H1064+F1064</f>
        <v>55</v>
      </c>
      <c r="E1064" s="332">
        <v>0</v>
      </c>
      <c r="F1064" s="332">
        <v>0</v>
      </c>
      <c r="G1064" s="332">
        <v>0</v>
      </c>
      <c r="H1064" s="332">
        <v>49</v>
      </c>
      <c r="I1064" s="332">
        <v>0</v>
      </c>
      <c r="J1064" s="332">
        <v>6</v>
      </c>
      <c r="K1064" s="332">
        <v>0</v>
      </c>
      <c r="L1064" s="332">
        <v>0</v>
      </c>
      <c r="M1064" s="332">
        <v>0</v>
      </c>
      <c r="N1064" s="332">
        <v>0</v>
      </c>
      <c r="O1064" s="332">
        <v>0</v>
      </c>
      <c r="P1064" s="332">
        <v>0</v>
      </c>
      <c r="Q1064" s="188" t="s">
        <v>146</v>
      </c>
      <c r="R1064" s="293"/>
    </row>
    <row r="1065" spans="2:18" ht="22.5" customHeight="1" thickBot="1" x14ac:dyDescent="0.25">
      <c r="B1065" s="332">
        <f t="shared" si="419"/>
        <v>8</v>
      </c>
      <c r="C1065" s="332">
        <f>O1065+M1065+K1065+I1065+G1065+E1065</f>
        <v>0</v>
      </c>
      <c r="D1065" s="332">
        <f>P1065+N1065+L1065+J1065+H1065+F1065</f>
        <v>8</v>
      </c>
      <c r="E1065" s="332">
        <v>0</v>
      </c>
      <c r="F1065" s="332">
        <v>0</v>
      </c>
      <c r="G1065" s="332">
        <v>0</v>
      </c>
      <c r="H1065" s="332">
        <v>7</v>
      </c>
      <c r="I1065" s="332">
        <v>0</v>
      </c>
      <c r="J1065" s="332">
        <v>1</v>
      </c>
      <c r="K1065" s="332">
        <v>0</v>
      </c>
      <c r="L1065" s="332">
        <v>0</v>
      </c>
      <c r="M1065" s="332">
        <v>0</v>
      </c>
      <c r="N1065" s="332">
        <v>0</v>
      </c>
      <c r="O1065" s="332">
        <v>0</v>
      </c>
      <c r="P1065" s="332">
        <v>0</v>
      </c>
      <c r="Q1065" s="188" t="s">
        <v>145</v>
      </c>
      <c r="R1065" s="293" t="s">
        <v>302</v>
      </c>
    </row>
    <row r="1066" spans="2:18" ht="22.5" customHeight="1" thickBot="1" x14ac:dyDescent="0.25">
      <c r="B1066" s="332">
        <f t="shared" ref="B1066" si="443">SUM(B1064:B1065)</f>
        <v>63</v>
      </c>
      <c r="C1066" s="332">
        <f t="shared" ref="C1066:P1066" si="444">SUM(C1064:C1065)</f>
        <v>0</v>
      </c>
      <c r="D1066" s="332">
        <f t="shared" si="444"/>
        <v>63</v>
      </c>
      <c r="E1066" s="332">
        <f t="shared" si="444"/>
        <v>0</v>
      </c>
      <c r="F1066" s="332">
        <f t="shared" si="444"/>
        <v>0</v>
      </c>
      <c r="G1066" s="332">
        <f t="shared" si="444"/>
        <v>0</v>
      </c>
      <c r="H1066" s="332">
        <f t="shared" si="444"/>
        <v>56</v>
      </c>
      <c r="I1066" s="332">
        <f t="shared" si="444"/>
        <v>0</v>
      </c>
      <c r="J1066" s="332">
        <f t="shared" si="444"/>
        <v>7</v>
      </c>
      <c r="K1066" s="332">
        <f t="shared" si="444"/>
        <v>0</v>
      </c>
      <c r="L1066" s="332">
        <f t="shared" si="444"/>
        <v>0</v>
      </c>
      <c r="M1066" s="332">
        <f t="shared" si="444"/>
        <v>0</v>
      </c>
      <c r="N1066" s="332">
        <f t="shared" si="444"/>
        <v>0</v>
      </c>
      <c r="O1066" s="332">
        <f t="shared" si="444"/>
        <v>0</v>
      </c>
      <c r="P1066" s="332">
        <f t="shared" si="444"/>
        <v>0</v>
      </c>
      <c r="Q1066" s="188" t="s">
        <v>12</v>
      </c>
      <c r="R1066" s="285"/>
    </row>
    <row r="1067" spans="2:18" ht="22.5" customHeight="1" thickBot="1" x14ac:dyDescent="0.25">
      <c r="B1067" s="332">
        <f t="shared" si="419"/>
        <v>59</v>
      </c>
      <c r="C1067" s="332">
        <f>O1067+M1067+K1067+I1067+G1067+E1067</f>
        <v>0</v>
      </c>
      <c r="D1067" s="332">
        <f>P1067+N1067+L1067+J1067+H1067+F1067</f>
        <v>59</v>
      </c>
      <c r="E1067" s="332">
        <v>0</v>
      </c>
      <c r="F1067" s="332">
        <v>3</v>
      </c>
      <c r="G1067" s="332">
        <v>0</v>
      </c>
      <c r="H1067" s="332">
        <v>45</v>
      </c>
      <c r="I1067" s="332">
        <v>0</v>
      </c>
      <c r="J1067" s="332">
        <v>10</v>
      </c>
      <c r="K1067" s="332">
        <v>0</v>
      </c>
      <c r="L1067" s="332">
        <v>1</v>
      </c>
      <c r="M1067" s="332">
        <v>0</v>
      </c>
      <c r="N1067" s="332">
        <v>0</v>
      </c>
      <c r="O1067" s="332">
        <v>0</v>
      </c>
      <c r="P1067" s="332">
        <v>0</v>
      </c>
      <c r="Q1067" s="188" t="s">
        <v>146</v>
      </c>
      <c r="R1067" s="293"/>
    </row>
    <row r="1068" spans="2:18" ht="22.5" customHeight="1" thickBot="1" x14ac:dyDescent="0.25">
      <c r="B1068" s="332">
        <f t="shared" si="419"/>
        <v>65</v>
      </c>
      <c r="C1068" s="332">
        <f>O1068+M1068+K1068+I1068+G1068+E1068</f>
        <v>0</v>
      </c>
      <c r="D1068" s="332">
        <f>P1068+N1068+L1068+J1068+H1068+F1068</f>
        <v>65</v>
      </c>
      <c r="E1068" s="332">
        <v>0</v>
      </c>
      <c r="F1068" s="332">
        <v>0</v>
      </c>
      <c r="G1068" s="332">
        <v>0</v>
      </c>
      <c r="H1068" s="332">
        <v>48</v>
      </c>
      <c r="I1068" s="332">
        <v>0</v>
      </c>
      <c r="J1068" s="332">
        <v>17</v>
      </c>
      <c r="K1068" s="332">
        <v>0</v>
      </c>
      <c r="L1068" s="332">
        <v>0</v>
      </c>
      <c r="M1068" s="332">
        <v>0</v>
      </c>
      <c r="N1068" s="332">
        <v>0</v>
      </c>
      <c r="O1068" s="332">
        <v>0</v>
      </c>
      <c r="P1068" s="332">
        <v>0</v>
      </c>
      <c r="Q1068" s="188" t="s">
        <v>145</v>
      </c>
      <c r="R1068" s="293" t="s">
        <v>303</v>
      </c>
    </row>
    <row r="1069" spans="2:18" ht="22.5" customHeight="1" thickBot="1" x14ac:dyDescent="0.25">
      <c r="B1069" s="332">
        <f t="shared" ref="B1069" si="445">SUM(B1067:B1068)</f>
        <v>124</v>
      </c>
      <c r="C1069" s="332">
        <f t="shared" ref="C1069:P1069" si="446">SUM(C1067:C1068)</f>
        <v>0</v>
      </c>
      <c r="D1069" s="332">
        <f t="shared" si="446"/>
        <v>124</v>
      </c>
      <c r="E1069" s="332">
        <f t="shared" si="446"/>
        <v>0</v>
      </c>
      <c r="F1069" s="332">
        <f t="shared" si="446"/>
        <v>3</v>
      </c>
      <c r="G1069" s="332">
        <f t="shared" si="446"/>
        <v>0</v>
      </c>
      <c r="H1069" s="332">
        <f t="shared" si="446"/>
        <v>93</v>
      </c>
      <c r="I1069" s="332">
        <f t="shared" si="446"/>
        <v>0</v>
      </c>
      <c r="J1069" s="332">
        <f t="shared" si="446"/>
        <v>27</v>
      </c>
      <c r="K1069" s="332">
        <f t="shared" si="446"/>
        <v>0</v>
      </c>
      <c r="L1069" s="332">
        <f t="shared" si="446"/>
        <v>1</v>
      </c>
      <c r="M1069" s="332">
        <f t="shared" si="446"/>
        <v>0</v>
      </c>
      <c r="N1069" s="332">
        <f t="shared" si="446"/>
        <v>0</v>
      </c>
      <c r="O1069" s="332">
        <f t="shared" si="446"/>
        <v>0</v>
      </c>
      <c r="P1069" s="332">
        <f t="shared" si="446"/>
        <v>0</v>
      </c>
      <c r="Q1069" s="188" t="s">
        <v>12</v>
      </c>
      <c r="R1069" s="285"/>
    </row>
    <row r="1070" spans="2:18" ht="22.5" customHeight="1" thickBot="1" x14ac:dyDescent="0.25">
      <c r="B1070" s="332">
        <f t="shared" si="419"/>
        <v>77</v>
      </c>
      <c r="C1070" s="332">
        <f>O1070+M1070+K1070+I1070+G1070+E1070</f>
        <v>0</v>
      </c>
      <c r="D1070" s="332">
        <f>P1070+N1070+L1070+J1070+H1070+F1070</f>
        <v>77</v>
      </c>
      <c r="E1070" s="332">
        <v>0</v>
      </c>
      <c r="F1070" s="332">
        <v>10</v>
      </c>
      <c r="G1070" s="332">
        <v>0</v>
      </c>
      <c r="H1070" s="332">
        <v>59</v>
      </c>
      <c r="I1070" s="332">
        <v>0</v>
      </c>
      <c r="J1070" s="332">
        <v>8</v>
      </c>
      <c r="K1070" s="332">
        <v>0</v>
      </c>
      <c r="L1070" s="332">
        <v>0</v>
      </c>
      <c r="M1070" s="332">
        <v>0</v>
      </c>
      <c r="N1070" s="332">
        <v>0</v>
      </c>
      <c r="O1070" s="332">
        <v>0</v>
      </c>
      <c r="P1070" s="332">
        <v>0</v>
      </c>
      <c r="Q1070" s="188" t="s">
        <v>146</v>
      </c>
      <c r="R1070" s="293"/>
    </row>
    <row r="1071" spans="2:18" ht="22.5" customHeight="1" thickBot="1" x14ac:dyDescent="0.25">
      <c r="B1071" s="332">
        <f t="shared" si="419"/>
        <v>52</v>
      </c>
      <c r="C1071" s="332">
        <f>O1071+M1071+K1071+I1071+G1071+E1071</f>
        <v>0</v>
      </c>
      <c r="D1071" s="332">
        <f>P1071+N1071+L1071+J1071+H1071+F1071</f>
        <v>52</v>
      </c>
      <c r="E1071" s="332">
        <v>0</v>
      </c>
      <c r="F1071" s="332">
        <v>0</v>
      </c>
      <c r="G1071" s="332">
        <v>0</v>
      </c>
      <c r="H1071" s="332">
        <v>27</v>
      </c>
      <c r="I1071" s="332">
        <v>0</v>
      </c>
      <c r="J1071" s="332">
        <v>20</v>
      </c>
      <c r="K1071" s="332">
        <v>0</v>
      </c>
      <c r="L1071" s="332">
        <v>5</v>
      </c>
      <c r="M1071" s="332">
        <v>0</v>
      </c>
      <c r="N1071" s="332">
        <v>0</v>
      </c>
      <c r="O1071" s="332">
        <v>0</v>
      </c>
      <c r="P1071" s="332">
        <v>0</v>
      </c>
      <c r="Q1071" s="188" t="s">
        <v>145</v>
      </c>
      <c r="R1071" s="293" t="s">
        <v>304</v>
      </c>
    </row>
    <row r="1072" spans="2:18" ht="22.5" customHeight="1" thickBot="1" x14ac:dyDescent="0.25">
      <c r="B1072" s="332">
        <f t="shared" ref="B1072" si="447">SUM(B1070:B1071)</f>
        <v>129</v>
      </c>
      <c r="C1072" s="332">
        <f t="shared" ref="C1072:P1072" si="448">SUM(C1070:C1071)</f>
        <v>0</v>
      </c>
      <c r="D1072" s="332">
        <f t="shared" si="448"/>
        <v>129</v>
      </c>
      <c r="E1072" s="332">
        <f t="shared" si="448"/>
        <v>0</v>
      </c>
      <c r="F1072" s="332">
        <f t="shared" si="448"/>
        <v>10</v>
      </c>
      <c r="G1072" s="332">
        <f t="shared" si="448"/>
        <v>0</v>
      </c>
      <c r="H1072" s="332">
        <f t="shared" si="448"/>
        <v>86</v>
      </c>
      <c r="I1072" s="332">
        <f t="shared" si="448"/>
        <v>0</v>
      </c>
      <c r="J1072" s="332">
        <f t="shared" si="448"/>
        <v>28</v>
      </c>
      <c r="K1072" s="332">
        <f t="shared" si="448"/>
        <v>0</v>
      </c>
      <c r="L1072" s="332">
        <f t="shared" si="448"/>
        <v>5</v>
      </c>
      <c r="M1072" s="332">
        <f t="shared" si="448"/>
        <v>0</v>
      </c>
      <c r="N1072" s="332">
        <f t="shared" si="448"/>
        <v>0</v>
      </c>
      <c r="O1072" s="332">
        <f t="shared" si="448"/>
        <v>0</v>
      </c>
      <c r="P1072" s="332">
        <f t="shared" si="448"/>
        <v>0</v>
      </c>
      <c r="Q1072" s="188" t="s">
        <v>12</v>
      </c>
      <c r="R1072" s="285"/>
    </row>
    <row r="1073" spans="2:18" ht="22.5" customHeight="1" thickBot="1" x14ac:dyDescent="0.25">
      <c r="B1073" s="332">
        <f t="shared" si="419"/>
        <v>73</v>
      </c>
      <c r="C1073" s="332">
        <f>O1073+M1073+K1073+I1073+G1073+E1073</f>
        <v>0</v>
      </c>
      <c r="D1073" s="332">
        <f>P1073+N1073+L1073+J1073+H1073+F1073</f>
        <v>73</v>
      </c>
      <c r="E1073" s="332">
        <v>0</v>
      </c>
      <c r="F1073" s="332">
        <v>3</v>
      </c>
      <c r="G1073" s="332">
        <v>0</v>
      </c>
      <c r="H1073" s="332">
        <v>62</v>
      </c>
      <c r="I1073" s="332">
        <v>0</v>
      </c>
      <c r="J1073" s="332">
        <v>6</v>
      </c>
      <c r="K1073" s="332">
        <v>0</v>
      </c>
      <c r="L1073" s="332">
        <v>2</v>
      </c>
      <c r="M1073" s="332">
        <v>0</v>
      </c>
      <c r="N1073" s="332">
        <v>0</v>
      </c>
      <c r="O1073" s="332">
        <v>0</v>
      </c>
      <c r="P1073" s="332">
        <v>0</v>
      </c>
      <c r="Q1073" s="188" t="s">
        <v>146</v>
      </c>
      <c r="R1073" s="293"/>
    </row>
    <row r="1074" spans="2:18" ht="22.5" customHeight="1" thickBot="1" x14ac:dyDescent="0.25">
      <c r="B1074" s="332">
        <f t="shared" si="419"/>
        <v>20</v>
      </c>
      <c r="C1074" s="332">
        <f>O1074+M1074+K1074+I1074+G1074+E1074</f>
        <v>0</v>
      </c>
      <c r="D1074" s="332">
        <f>P1074+N1074+L1074+J1074+H1074+F1074</f>
        <v>20</v>
      </c>
      <c r="E1074" s="332">
        <v>0</v>
      </c>
      <c r="F1074" s="332">
        <v>0</v>
      </c>
      <c r="G1074" s="332">
        <v>0</v>
      </c>
      <c r="H1074" s="332">
        <v>6</v>
      </c>
      <c r="I1074" s="332">
        <v>0</v>
      </c>
      <c r="J1074" s="332">
        <v>10</v>
      </c>
      <c r="K1074" s="332">
        <v>0</v>
      </c>
      <c r="L1074" s="332">
        <v>4</v>
      </c>
      <c r="M1074" s="332">
        <v>0</v>
      </c>
      <c r="N1074" s="332">
        <v>0</v>
      </c>
      <c r="O1074" s="332">
        <v>0</v>
      </c>
      <c r="P1074" s="332">
        <v>0</v>
      </c>
      <c r="Q1074" s="188" t="s">
        <v>145</v>
      </c>
      <c r="R1074" s="293" t="s">
        <v>305</v>
      </c>
    </row>
    <row r="1075" spans="2:18" ht="22.5" customHeight="1" thickBot="1" x14ac:dyDescent="0.25">
      <c r="B1075" s="332">
        <f t="shared" ref="B1075" si="449">SUM(B1073:B1074)</f>
        <v>93</v>
      </c>
      <c r="C1075" s="332">
        <f t="shared" ref="C1075:P1075" si="450">SUM(C1073:C1074)</f>
        <v>0</v>
      </c>
      <c r="D1075" s="332">
        <f t="shared" si="450"/>
        <v>93</v>
      </c>
      <c r="E1075" s="332">
        <f t="shared" si="450"/>
        <v>0</v>
      </c>
      <c r="F1075" s="332">
        <f t="shared" si="450"/>
        <v>3</v>
      </c>
      <c r="G1075" s="332">
        <f t="shared" si="450"/>
        <v>0</v>
      </c>
      <c r="H1075" s="332">
        <f t="shared" si="450"/>
        <v>68</v>
      </c>
      <c r="I1075" s="332">
        <f t="shared" si="450"/>
        <v>0</v>
      </c>
      <c r="J1075" s="332">
        <f t="shared" si="450"/>
        <v>16</v>
      </c>
      <c r="K1075" s="332">
        <f t="shared" si="450"/>
        <v>0</v>
      </c>
      <c r="L1075" s="332">
        <f t="shared" si="450"/>
        <v>6</v>
      </c>
      <c r="M1075" s="332">
        <f t="shared" si="450"/>
        <v>0</v>
      </c>
      <c r="N1075" s="332">
        <f t="shared" si="450"/>
        <v>0</v>
      </c>
      <c r="O1075" s="332">
        <f t="shared" si="450"/>
        <v>0</v>
      </c>
      <c r="P1075" s="332">
        <f t="shared" si="450"/>
        <v>0</v>
      </c>
      <c r="Q1075" s="188" t="s">
        <v>12</v>
      </c>
      <c r="R1075" s="285"/>
    </row>
    <row r="1076" spans="2:18" ht="22.5" customHeight="1" thickBot="1" x14ac:dyDescent="0.25">
      <c r="B1076" s="332">
        <f t="shared" si="419"/>
        <v>94</v>
      </c>
      <c r="C1076" s="332">
        <f>O1076+M1076+K1076+I1076+G1076+E1076</f>
        <v>0</v>
      </c>
      <c r="D1076" s="332">
        <f>P1076+N1076+L1076+J1076+H1076+F1076</f>
        <v>94</v>
      </c>
      <c r="E1076" s="332">
        <v>0</v>
      </c>
      <c r="F1076" s="332">
        <v>26</v>
      </c>
      <c r="G1076" s="332">
        <v>0</v>
      </c>
      <c r="H1076" s="332">
        <v>47</v>
      </c>
      <c r="I1076" s="332">
        <v>0</v>
      </c>
      <c r="J1076" s="332">
        <v>21</v>
      </c>
      <c r="K1076" s="332">
        <v>0</v>
      </c>
      <c r="L1076" s="332">
        <v>0</v>
      </c>
      <c r="M1076" s="332">
        <v>0</v>
      </c>
      <c r="N1076" s="332">
        <v>0</v>
      </c>
      <c r="O1076" s="332">
        <v>0</v>
      </c>
      <c r="P1076" s="332">
        <v>0</v>
      </c>
      <c r="Q1076" s="188" t="s">
        <v>146</v>
      </c>
      <c r="R1076" s="550" t="s">
        <v>306</v>
      </c>
    </row>
    <row r="1077" spans="2:18" ht="22.5" customHeight="1" thickBot="1" x14ac:dyDescent="0.25">
      <c r="B1077" s="332">
        <f t="shared" si="419"/>
        <v>5</v>
      </c>
      <c r="C1077" s="332">
        <f>O1077+M1077+K1077+I1077+G1077+E1077</f>
        <v>0</v>
      </c>
      <c r="D1077" s="332">
        <f>P1077+N1077+L1077+J1077+H1077+F1077</f>
        <v>5</v>
      </c>
      <c r="E1077" s="332">
        <v>0</v>
      </c>
      <c r="F1077" s="332">
        <v>0</v>
      </c>
      <c r="G1077" s="332">
        <v>0</v>
      </c>
      <c r="H1077" s="332">
        <v>0</v>
      </c>
      <c r="I1077" s="332">
        <v>0</v>
      </c>
      <c r="J1077" s="332">
        <v>0</v>
      </c>
      <c r="K1077" s="332">
        <v>0</v>
      </c>
      <c r="L1077" s="332">
        <v>3</v>
      </c>
      <c r="M1077" s="332">
        <v>0</v>
      </c>
      <c r="N1077" s="332">
        <v>2</v>
      </c>
      <c r="O1077" s="332">
        <v>0</v>
      </c>
      <c r="P1077" s="332">
        <v>0</v>
      </c>
      <c r="Q1077" s="188" t="s">
        <v>145</v>
      </c>
      <c r="R1077" s="551"/>
    </row>
    <row r="1078" spans="2:18" ht="22.5" customHeight="1" thickBot="1" x14ac:dyDescent="0.25">
      <c r="B1078" s="332">
        <f t="shared" ref="B1078" si="451">SUM(B1076:B1077)</f>
        <v>99</v>
      </c>
      <c r="C1078" s="332">
        <f t="shared" ref="C1078:P1078" si="452">SUM(C1076:C1077)</f>
        <v>0</v>
      </c>
      <c r="D1078" s="332">
        <f t="shared" si="452"/>
        <v>99</v>
      </c>
      <c r="E1078" s="332">
        <f t="shared" si="452"/>
        <v>0</v>
      </c>
      <c r="F1078" s="332">
        <f t="shared" si="452"/>
        <v>26</v>
      </c>
      <c r="G1078" s="332">
        <f t="shared" si="452"/>
        <v>0</v>
      </c>
      <c r="H1078" s="332">
        <f t="shared" si="452"/>
        <v>47</v>
      </c>
      <c r="I1078" s="332">
        <f t="shared" si="452"/>
        <v>0</v>
      </c>
      <c r="J1078" s="332">
        <f t="shared" si="452"/>
        <v>21</v>
      </c>
      <c r="K1078" s="332">
        <f t="shared" si="452"/>
        <v>0</v>
      </c>
      <c r="L1078" s="332">
        <f t="shared" si="452"/>
        <v>3</v>
      </c>
      <c r="M1078" s="332">
        <f t="shared" si="452"/>
        <v>0</v>
      </c>
      <c r="N1078" s="332">
        <f t="shared" si="452"/>
        <v>2</v>
      </c>
      <c r="O1078" s="332">
        <f t="shared" si="452"/>
        <v>0</v>
      </c>
      <c r="P1078" s="332">
        <f t="shared" si="452"/>
        <v>0</v>
      </c>
      <c r="Q1078" s="188" t="s">
        <v>12</v>
      </c>
      <c r="R1078" s="552"/>
    </row>
    <row r="1079" spans="2:18" ht="22.5" customHeight="1" thickBot="1" x14ac:dyDescent="0.25">
      <c r="B1079" s="332">
        <f t="shared" si="419"/>
        <v>44</v>
      </c>
      <c r="C1079" s="332">
        <f>O1079+M1079+K1079+I1079+G1079+E1079</f>
        <v>0</v>
      </c>
      <c r="D1079" s="332">
        <f>P1079+N1079+L1079+J1079+H1079+F1079</f>
        <v>44</v>
      </c>
      <c r="E1079" s="332">
        <v>0</v>
      </c>
      <c r="F1079" s="332">
        <v>0</v>
      </c>
      <c r="G1079" s="332">
        <v>0</v>
      </c>
      <c r="H1079" s="332">
        <v>44</v>
      </c>
      <c r="I1079" s="332">
        <v>0</v>
      </c>
      <c r="J1079" s="332">
        <v>0</v>
      </c>
      <c r="K1079" s="332">
        <v>0</v>
      </c>
      <c r="L1079" s="332">
        <v>0</v>
      </c>
      <c r="M1079" s="332">
        <v>0</v>
      </c>
      <c r="N1079" s="332">
        <v>0</v>
      </c>
      <c r="O1079" s="332">
        <v>0</v>
      </c>
      <c r="P1079" s="332">
        <v>0</v>
      </c>
      <c r="Q1079" s="188" t="s">
        <v>146</v>
      </c>
      <c r="R1079" s="293"/>
    </row>
    <row r="1080" spans="2:18" ht="22.5" customHeight="1" thickBot="1" x14ac:dyDescent="0.25">
      <c r="B1080" s="332">
        <f t="shared" si="419"/>
        <v>20</v>
      </c>
      <c r="C1080" s="332">
        <f>O1080+M1080+K1080+I1080+G1080+E1080</f>
        <v>0</v>
      </c>
      <c r="D1080" s="332">
        <f>P1080+N1080+L1080+J1080+H1080+F1080</f>
        <v>20</v>
      </c>
      <c r="E1080" s="332">
        <v>0</v>
      </c>
      <c r="F1080" s="332">
        <v>0</v>
      </c>
      <c r="G1080" s="332">
        <v>0</v>
      </c>
      <c r="H1080" s="332">
        <v>0</v>
      </c>
      <c r="I1080" s="332">
        <v>0</v>
      </c>
      <c r="J1080" s="332">
        <v>18</v>
      </c>
      <c r="K1080" s="332">
        <v>0</v>
      </c>
      <c r="L1080" s="332">
        <v>2</v>
      </c>
      <c r="M1080" s="332">
        <v>0</v>
      </c>
      <c r="N1080" s="332">
        <v>0</v>
      </c>
      <c r="O1080" s="332">
        <v>0</v>
      </c>
      <c r="P1080" s="332">
        <v>0</v>
      </c>
      <c r="Q1080" s="188" t="s">
        <v>145</v>
      </c>
      <c r="R1080" s="293" t="s">
        <v>307</v>
      </c>
    </row>
    <row r="1081" spans="2:18" ht="22.5" customHeight="1" thickBot="1" x14ac:dyDescent="0.25">
      <c r="B1081" s="332">
        <f t="shared" ref="B1081" si="453">SUM(B1079:B1080)</f>
        <v>64</v>
      </c>
      <c r="C1081" s="332">
        <f t="shared" ref="C1081:P1081" si="454">SUM(C1079:C1080)</f>
        <v>0</v>
      </c>
      <c r="D1081" s="332">
        <f t="shared" si="454"/>
        <v>64</v>
      </c>
      <c r="E1081" s="332">
        <f t="shared" si="454"/>
        <v>0</v>
      </c>
      <c r="F1081" s="332">
        <f t="shared" si="454"/>
        <v>0</v>
      </c>
      <c r="G1081" s="332">
        <f t="shared" si="454"/>
        <v>0</v>
      </c>
      <c r="H1081" s="332">
        <f t="shared" si="454"/>
        <v>44</v>
      </c>
      <c r="I1081" s="332">
        <f t="shared" si="454"/>
        <v>0</v>
      </c>
      <c r="J1081" s="332">
        <f t="shared" si="454"/>
        <v>18</v>
      </c>
      <c r="K1081" s="332">
        <f t="shared" si="454"/>
        <v>0</v>
      </c>
      <c r="L1081" s="332">
        <f t="shared" si="454"/>
        <v>2</v>
      </c>
      <c r="M1081" s="332">
        <f t="shared" si="454"/>
        <v>0</v>
      </c>
      <c r="N1081" s="332">
        <f t="shared" si="454"/>
        <v>0</v>
      </c>
      <c r="O1081" s="332">
        <f t="shared" si="454"/>
        <v>0</v>
      </c>
      <c r="P1081" s="332">
        <f t="shared" si="454"/>
        <v>0</v>
      </c>
      <c r="Q1081" s="188" t="s">
        <v>12</v>
      </c>
      <c r="R1081" s="285"/>
    </row>
    <row r="1082" spans="2:18" ht="22.5" customHeight="1" thickBot="1" x14ac:dyDescent="0.25">
      <c r="B1082" s="332">
        <f t="shared" si="419"/>
        <v>16</v>
      </c>
      <c r="C1082" s="332">
        <f>O1082+M1082+K1082+I1082+G1082+E1082</f>
        <v>0</v>
      </c>
      <c r="D1082" s="332">
        <f>P1082+N1082+L1082+J1082+H1082+F1082</f>
        <v>16</v>
      </c>
      <c r="E1082" s="332">
        <v>0</v>
      </c>
      <c r="F1082" s="332">
        <v>0</v>
      </c>
      <c r="G1082" s="332">
        <v>0</v>
      </c>
      <c r="H1082" s="332">
        <v>16</v>
      </c>
      <c r="I1082" s="332">
        <v>0</v>
      </c>
      <c r="J1082" s="332">
        <v>0</v>
      </c>
      <c r="K1082" s="332">
        <v>0</v>
      </c>
      <c r="L1082" s="332">
        <v>0</v>
      </c>
      <c r="M1082" s="332">
        <v>0</v>
      </c>
      <c r="N1082" s="332">
        <v>0</v>
      </c>
      <c r="O1082" s="332">
        <v>0</v>
      </c>
      <c r="P1082" s="332">
        <v>0</v>
      </c>
      <c r="Q1082" s="188" t="s">
        <v>146</v>
      </c>
      <c r="R1082" s="293"/>
    </row>
    <row r="1083" spans="2:18" ht="22.5" customHeight="1" thickBot="1" x14ac:dyDescent="0.25">
      <c r="B1083" s="332">
        <f t="shared" si="419"/>
        <v>42</v>
      </c>
      <c r="C1083" s="332">
        <f>O1083+M1083+K1083+I1083+G1083+E1083</f>
        <v>0</v>
      </c>
      <c r="D1083" s="332">
        <f>P1083+N1083+L1083+J1083+H1083+F1083</f>
        <v>42</v>
      </c>
      <c r="E1083" s="332">
        <v>0</v>
      </c>
      <c r="F1083" s="332">
        <v>0</v>
      </c>
      <c r="G1083" s="332">
        <v>0</v>
      </c>
      <c r="H1083" s="332">
        <v>0</v>
      </c>
      <c r="I1083" s="332">
        <v>0</v>
      </c>
      <c r="J1083" s="332">
        <v>36</v>
      </c>
      <c r="K1083" s="332">
        <v>0</v>
      </c>
      <c r="L1083" s="332">
        <v>6</v>
      </c>
      <c r="M1083" s="332">
        <v>0</v>
      </c>
      <c r="N1083" s="332">
        <v>0</v>
      </c>
      <c r="O1083" s="332">
        <v>0</v>
      </c>
      <c r="P1083" s="332">
        <v>0</v>
      </c>
      <c r="Q1083" s="188" t="s">
        <v>145</v>
      </c>
      <c r="R1083" s="293" t="s">
        <v>308</v>
      </c>
    </row>
    <row r="1084" spans="2:18" ht="22.5" customHeight="1" thickBot="1" x14ac:dyDescent="0.25">
      <c r="B1084" s="332">
        <f t="shared" ref="B1084" si="455">SUM(B1082:B1083)</f>
        <v>58</v>
      </c>
      <c r="C1084" s="332">
        <f t="shared" ref="C1084:P1084" si="456">SUM(C1082:C1083)</f>
        <v>0</v>
      </c>
      <c r="D1084" s="332">
        <f t="shared" si="456"/>
        <v>58</v>
      </c>
      <c r="E1084" s="332">
        <f t="shared" si="456"/>
        <v>0</v>
      </c>
      <c r="F1084" s="332">
        <f t="shared" si="456"/>
        <v>0</v>
      </c>
      <c r="G1084" s="332">
        <f t="shared" si="456"/>
        <v>0</v>
      </c>
      <c r="H1084" s="332">
        <f t="shared" si="456"/>
        <v>16</v>
      </c>
      <c r="I1084" s="332">
        <f t="shared" si="456"/>
        <v>0</v>
      </c>
      <c r="J1084" s="332">
        <f t="shared" si="456"/>
        <v>36</v>
      </c>
      <c r="K1084" s="332">
        <f t="shared" si="456"/>
        <v>0</v>
      </c>
      <c r="L1084" s="332">
        <f t="shared" si="456"/>
        <v>6</v>
      </c>
      <c r="M1084" s="332">
        <f t="shared" si="456"/>
        <v>0</v>
      </c>
      <c r="N1084" s="332">
        <f t="shared" si="456"/>
        <v>0</v>
      </c>
      <c r="O1084" s="332">
        <f t="shared" si="456"/>
        <v>0</v>
      </c>
      <c r="P1084" s="332">
        <f t="shared" si="456"/>
        <v>0</v>
      </c>
      <c r="Q1084" s="188" t="s">
        <v>12</v>
      </c>
      <c r="R1084" s="285"/>
    </row>
    <row r="1085" spans="2:18" ht="22.5" customHeight="1" thickBot="1" x14ac:dyDescent="0.25">
      <c r="B1085" s="332">
        <f t="shared" si="419"/>
        <v>51</v>
      </c>
      <c r="C1085" s="332">
        <f>O1085+M1085+K1085+I1085+G1085+E1085</f>
        <v>0</v>
      </c>
      <c r="D1085" s="332">
        <f>P1085+N1085+L1085+J1085+H1085+F1085</f>
        <v>51</v>
      </c>
      <c r="E1085" s="332">
        <v>0</v>
      </c>
      <c r="F1085" s="332">
        <v>1</v>
      </c>
      <c r="G1085" s="332">
        <v>0</v>
      </c>
      <c r="H1085" s="332">
        <v>45</v>
      </c>
      <c r="I1085" s="332">
        <v>0</v>
      </c>
      <c r="J1085" s="332">
        <v>5</v>
      </c>
      <c r="K1085" s="332">
        <v>0</v>
      </c>
      <c r="L1085" s="332">
        <v>0</v>
      </c>
      <c r="M1085" s="332">
        <v>0</v>
      </c>
      <c r="N1085" s="332">
        <v>0</v>
      </c>
      <c r="O1085" s="332">
        <v>0</v>
      </c>
      <c r="P1085" s="332">
        <v>0</v>
      </c>
      <c r="Q1085" s="188" t="s">
        <v>146</v>
      </c>
      <c r="R1085" s="293"/>
    </row>
    <row r="1086" spans="2:18" ht="22.5" customHeight="1" thickBot="1" x14ac:dyDescent="0.25">
      <c r="B1086" s="332">
        <f t="shared" si="419"/>
        <v>13</v>
      </c>
      <c r="C1086" s="332">
        <f>O1086+M1086+K1086+I1086+G1086+E1086</f>
        <v>0</v>
      </c>
      <c r="D1086" s="332">
        <f>P1086+N1086+L1086+J1086+H1086+F1086</f>
        <v>13</v>
      </c>
      <c r="E1086" s="332">
        <v>0</v>
      </c>
      <c r="F1086" s="332">
        <v>0</v>
      </c>
      <c r="G1086" s="332">
        <v>0</v>
      </c>
      <c r="H1086" s="332">
        <v>7</v>
      </c>
      <c r="I1086" s="332">
        <v>0</v>
      </c>
      <c r="J1086" s="332">
        <v>0</v>
      </c>
      <c r="K1086" s="332">
        <v>0</v>
      </c>
      <c r="L1086" s="332">
        <v>6</v>
      </c>
      <c r="M1086" s="332">
        <v>0</v>
      </c>
      <c r="N1086" s="332">
        <v>0</v>
      </c>
      <c r="O1086" s="332">
        <v>0</v>
      </c>
      <c r="P1086" s="332">
        <v>0</v>
      </c>
      <c r="Q1086" s="188" t="s">
        <v>145</v>
      </c>
      <c r="R1086" s="293" t="s">
        <v>309</v>
      </c>
    </row>
    <row r="1087" spans="2:18" ht="22.5" customHeight="1" thickBot="1" x14ac:dyDescent="0.25">
      <c r="B1087" s="332">
        <f t="shared" ref="B1087" si="457">SUM(B1085:B1086)</f>
        <v>64</v>
      </c>
      <c r="C1087" s="332">
        <f t="shared" ref="C1087:P1087" si="458">SUM(C1085:C1086)</f>
        <v>0</v>
      </c>
      <c r="D1087" s="332">
        <f t="shared" si="458"/>
        <v>64</v>
      </c>
      <c r="E1087" s="332">
        <f t="shared" si="458"/>
        <v>0</v>
      </c>
      <c r="F1087" s="332">
        <f t="shared" si="458"/>
        <v>1</v>
      </c>
      <c r="G1087" s="332">
        <f t="shared" si="458"/>
        <v>0</v>
      </c>
      <c r="H1087" s="332">
        <f t="shared" si="458"/>
        <v>52</v>
      </c>
      <c r="I1087" s="332">
        <f t="shared" si="458"/>
        <v>0</v>
      </c>
      <c r="J1087" s="332">
        <f t="shared" si="458"/>
        <v>5</v>
      </c>
      <c r="K1087" s="332">
        <f t="shared" si="458"/>
        <v>0</v>
      </c>
      <c r="L1087" s="332">
        <f t="shared" si="458"/>
        <v>6</v>
      </c>
      <c r="M1087" s="332">
        <f t="shared" si="458"/>
        <v>0</v>
      </c>
      <c r="N1087" s="332">
        <f t="shared" si="458"/>
        <v>0</v>
      </c>
      <c r="O1087" s="332">
        <f t="shared" si="458"/>
        <v>0</v>
      </c>
      <c r="P1087" s="332">
        <f t="shared" si="458"/>
        <v>0</v>
      </c>
      <c r="Q1087" s="188" t="s">
        <v>12</v>
      </c>
      <c r="R1087" s="285"/>
    </row>
    <row r="1088" spans="2:18" ht="22.5" customHeight="1" thickBot="1" x14ac:dyDescent="0.25">
      <c r="B1088" s="332">
        <f t="shared" si="419"/>
        <v>25</v>
      </c>
      <c r="C1088" s="332">
        <f>O1088+M1088+K1088+I1088+G1088+E1088</f>
        <v>0</v>
      </c>
      <c r="D1088" s="332">
        <f>P1088+N1088+L1088+J1088+H1088+F1088</f>
        <v>25</v>
      </c>
      <c r="E1088" s="332">
        <v>0</v>
      </c>
      <c r="F1088" s="332">
        <v>1</v>
      </c>
      <c r="G1088" s="332">
        <v>0</v>
      </c>
      <c r="H1088" s="332">
        <v>24</v>
      </c>
      <c r="I1088" s="332">
        <v>0</v>
      </c>
      <c r="J1088" s="332">
        <v>0</v>
      </c>
      <c r="K1088" s="332">
        <v>0</v>
      </c>
      <c r="L1088" s="332">
        <v>0</v>
      </c>
      <c r="M1088" s="332">
        <v>0</v>
      </c>
      <c r="N1088" s="332">
        <v>0</v>
      </c>
      <c r="O1088" s="332">
        <v>0</v>
      </c>
      <c r="P1088" s="332">
        <v>0</v>
      </c>
      <c r="Q1088" s="188" t="s">
        <v>146</v>
      </c>
      <c r="R1088" s="293"/>
    </row>
    <row r="1089" spans="2:18" ht="22.5" customHeight="1" thickBot="1" x14ac:dyDescent="0.25">
      <c r="B1089" s="332">
        <f t="shared" si="419"/>
        <v>15</v>
      </c>
      <c r="C1089" s="332">
        <f>O1089+M1089+K1089+I1089+G1089+E1089</f>
        <v>0</v>
      </c>
      <c r="D1089" s="332">
        <f>P1089+N1089+L1089+J1089+H1089+F1089</f>
        <v>15</v>
      </c>
      <c r="E1089" s="332">
        <v>0</v>
      </c>
      <c r="F1089" s="332">
        <v>0</v>
      </c>
      <c r="G1089" s="332">
        <v>0</v>
      </c>
      <c r="H1089" s="332">
        <v>0</v>
      </c>
      <c r="I1089" s="332">
        <v>0</v>
      </c>
      <c r="J1089" s="332">
        <v>15</v>
      </c>
      <c r="K1089" s="332">
        <v>0</v>
      </c>
      <c r="L1089" s="332">
        <v>0</v>
      </c>
      <c r="M1089" s="332">
        <v>0</v>
      </c>
      <c r="N1089" s="332">
        <v>0</v>
      </c>
      <c r="O1089" s="332">
        <v>0</v>
      </c>
      <c r="P1089" s="332">
        <v>0</v>
      </c>
      <c r="Q1089" s="188" t="s">
        <v>145</v>
      </c>
      <c r="R1089" s="293" t="s">
        <v>310</v>
      </c>
    </row>
    <row r="1090" spans="2:18" ht="22.5" customHeight="1" thickBot="1" x14ac:dyDescent="0.25">
      <c r="B1090" s="332">
        <f t="shared" ref="B1090" si="459">SUM(B1088:B1089)</f>
        <v>40</v>
      </c>
      <c r="C1090" s="332">
        <f t="shared" ref="C1090:P1090" si="460">SUM(C1088:C1089)</f>
        <v>0</v>
      </c>
      <c r="D1090" s="332">
        <f t="shared" si="460"/>
        <v>40</v>
      </c>
      <c r="E1090" s="332">
        <f t="shared" si="460"/>
        <v>0</v>
      </c>
      <c r="F1090" s="332">
        <f t="shared" si="460"/>
        <v>1</v>
      </c>
      <c r="G1090" s="332">
        <f t="shared" si="460"/>
        <v>0</v>
      </c>
      <c r="H1090" s="332">
        <f t="shared" si="460"/>
        <v>24</v>
      </c>
      <c r="I1090" s="332">
        <f t="shared" si="460"/>
        <v>0</v>
      </c>
      <c r="J1090" s="332">
        <f t="shared" si="460"/>
        <v>15</v>
      </c>
      <c r="K1090" s="332">
        <f t="shared" si="460"/>
        <v>0</v>
      </c>
      <c r="L1090" s="332">
        <f t="shared" si="460"/>
        <v>0</v>
      </c>
      <c r="M1090" s="332">
        <f t="shared" si="460"/>
        <v>0</v>
      </c>
      <c r="N1090" s="332">
        <f t="shared" si="460"/>
        <v>0</v>
      </c>
      <c r="O1090" s="332">
        <f t="shared" si="460"/>
        <v>0</v>
      </c>
      <c r="P1090" s="332">
        <f t="shared" si="460"/>
        <v>0</v>
      </c>
      <c r="Q1090" s="188" t="s">
        <v>12</v>
      </c>
      <c r="R1090" s="285"/>
    </row>
    <row r="1091" spans="2:18" ht="22.5" customHeight="1" thickBot="1" x14ac:dyDescent="0.25">
      <c r="B1091" s="332">
        <f t="shared" si="419"/>
        <v>130</v>
      </c>
      <c r="C1091" s="332">
        <f>O1091+M1091+K1091+I1091+G1091+E1091</f>
        <v>0</v>
      </c>
      <c r="D1091" s="332">
        <f>P1091+N1091+L1091+J1091+H1091+F1091</f>
        <v>130</v>
      </c>
      <c r="E1091" s="332">
        <v>0</v>
      </c>
      <c r="F1091" s="332">
        <v>54</v>
      </c>
      <c r="G1091" s="332">
        <v>0</v>
      </c>
      <c r="H1091" s="332">
        <v>72</v>
      </c>
      <c r="I1091" s="332">
        <v>0</v>
      </c>
      <c r="J1091" s="332">
        <v>4</v>
      </c>
      <c r="K1091" s="332">
        <v>0</v>
      </c>
      <c r="L1091" s="332">
        <v>0</v>
      </c>
      <c r="M1091" s="332">
        <v>0</v>
      </c>
      <c r="N1091" s="332">
        <v>0</v>
      </c>
      <c r="O1091" s="332">
        <v>0</v>
      </c>
      <c r="P1091" s="332">
        <v>0</v>
      </c>
      <c r="Q1091" s="188" t="s">
        <v>146</v>
      </c>
      <c r="R1091" s="293"/>
    </row>
    <row r="1092" spans="2:18" ht="22.5" customHeight="1" thickBot="1" x14ac:dyDescent="0.25">
      <c r="B1092" s="332">
        <f t="shared" si="419"/>
        <v>21</v>
      </c>
      <c r="C1092" s="332">
        <f>O1092+M1092+K1092+I1092+G1092+E1092</f>
        <v>0</v>
      </c>
      <c r="D1092" s="332">
        <f>P1092+N1092+L1092+J1092+H1092+F1092</f>
        <v>21</v>
      </c>
      <c r="E1092" s="332">
        <v>0</v>
      </c>
      <c r="F1092" s="332">
        <v>8</v>
      </c>
      <c r="G1092" s="332">
        <v>0</v>
      </c>
      <c r="H1092" s="332">
        <v>6</v>
      </c>
      <c r="I1092" s="332">
        <v>0</v>
      </c>
      <c r="J1092" s="332">
        <v>4</v>
      </c>
      <c r="K1092" s="332">
        <v>0</v>
      </c>
      <c r="L1092" s="332">
        <v>3</v>
      </c>
      <c r="M1092" s="332">
        <v>0</v>
      </c>
      <c r="N1092" s="332">
        <v>0</v>
      </c>
      <c r="O1092" s="332">
        <v>0</v>
      </c>
      <c r="P1092" s="332">
        <v>0</v>
      </c>
      <c r="Q1092" s="188" t="s">
        <v>145</v>
      </c>
      <c r="R1092" s="293" t="s">
        <v>311</v>
      </c>
    </row>
    <row r="1093" spans="2:18" ht="22.5" customHeight="1" thickBot="1" x14ac:dyDescent="0.25">
      <c r="B1093" s="332">
        <f t="shared" ref="B1093" si="461">SUM(B1091:B1092)</f>
        <v>151</v>
      </c>
      <c r="C1093" s="332">
        <f t="shared" ref="C1093:P1093" si="462">SUM(C1091:C1092)</f>
        <v>0</v>
      </c>
      <c r="D1093" s="332">
        <f t="shared" si="462"/>
        <v>151</v>
      </c>
      <c r="E1093" s="332">
        <f t="shared" si="462"/>
        <v>0</v>
      </c>
      <c r="F1093" s="332">
        <f t="shared" si="462"/>
        <v>62</v>
      </c>
      <c r="G1093" s="332">
        <f t="shared" si="462"/>
        <v>0</v>
      </c>
      <c r="H1093" s="332">
        <f t="shared" si="462"/>
        <v>78</v>
      </c>
      <c r="I1093" s="332">
        <f t="shared" si="462"/>
        <v>0</v>
      </c>
      <c r="J1093" s="332">
        <f t="shared" si="462"/>
        <v>8</v>
      </c>
      <c r="K1093" s="332">
        <f t="shared" si="462"/>
        <v>0</v>
      </c>
      <c r="L1093" s="332">
        <f t="shared" si="462"/>
        <v>3</v>
      </c>
      <c r="M1093" s="332">
        <f t="shared" si="462"/>
        <v>0</v>
      </c>
      <c r="N1093" s="332">
        <f t="shared" si="462"/>
        <v>0</v>
      </c>
      <c r="O1093" s="332">
        <f t="shared" si="462"/>
        <v>0</v>
      </c>
      <c r="P1093" s="332">
        <f t="shared" si="462"/>
        <v>0</v>
      </c>
      <c r="Q1093" s="188" t="s">
        <v>12</v>
      </c>
      <c r="R1093" s="285"/>
    </row>
    <row r="1094" spans="2:18" ht="22.5" customHeight="1" thickBot="1" x14ac:dyDescent="0.25">
      <c r="B1094" s="332">
        <f>SUM(C1094:D1094)</f>
        <v>25</v>
      </c>
      <c r="C1094" s="332">
        <f>O1094+M1094+K1094+I1094+G1094+E1094</f>
        <v>0</v>
      </c>
      <c r="D1094" s="332">
        <f>P1094+N1094+L1094+J1094+H1094+F1094</f>
        <v>25</v>
      </c>
      <c r="E1094" s="332">
        <v>0</v>
      </c>
      <c r="F1094" s="332">
        <v>1</v>
      </c>
      <c r="G1094" s="332">
        <v>0</v>
      </c>
      <c r="H1094" s="332">
        <v>22</v>
      </c>
      <c r="I1094" s="332">
        <v>0</v>
      </c>
      <c r="J1094" s="332">
        <v>2</v>
      </c>
      <c r="K1094" s="332">
        <v>0</v>
      </c>
      <c r="L1094" s="332">
        <v>0</v>
      </c>
      <c r="M1094" s="332">
        <v>0</v>
      </c>
      <c r="N1094" s="332">
        <v>0</v>
      </c>
      <c r="O1094" s="332">
        <v>0</v>
      </c>
      <c r="P1094" s="332">
        <v>0</v>
      </c>
      <c r="Q1094" s="188" t="s">
        <v>146</v>
      </c>
      <c r="R1094" s="293"/>
    </row>
    <row r="1095" spans="2:18" ht="22.5" customHeight="1" thickBot="1" x14ac:dyDescent="0.25">
      <c r="B1095" s="332">
        <f>SUM(C1095:D1095)</f>
        <v>19</v>
      </c>
      <c r="C1095" s="332">
        <f>O1095+M1095+K1095+I1095+G1095+E1095</f>
        <v>0</v>
      </c>
      <c r="D1095" s="332">
        <f>P1095+N1095+L1095+J1095+H1095+F1095</f>
        <v>19</v>
      </c>
      <c r="E1095" s="332">
        <v>0</v>
      </c>
      <c r="F1095" s="332">
        <v>0</v>
      </c>
      <c r="G1095" s="332">
        <v>0</v>
      </c>
      <c r="H1095" s="332">
        <v>13</v>
      </c>
      <c r="I1095" s="332">
        <v>0</v>
      </c>
      <c r="J1095" s="332">
        <v>6</v>
      </c>
      <c r="K1095" s="332">
        <v>0</v>
      </c>
      <c r="L1095" s="332">
        <v>0</v>
      </c>
      <c r="M1095" s="332">
        <v>0</v>
      </c>
      <c r="N1095" s="332">
        <v>0</v>
      </c>
      <c r="O1095" s="332">
        <v>0</v>
      </c>
      <c r="P1095" s="332">
        <v>0</v>
      </c>
      <c r="Q1095" s="188" t="s">
        <v>145</v>
      </c>
      <c r="R1095" s="293" t="s">
        <v>312</v>
      </c>
    </row>
    <row r="1096" spans="2:18" ht="22.5" customHeight="1" thickBot="1" x14ac:dyDescent="0.25">
      <c r="B1096" s="332">
        <f t="shared" ref="B1096" si="463">SUM(B1094:B1095)</f>
        <v>44</v>
      </c>
      <c r="C1096" s="332">
        <f t="shared" ref="C1096:P1096" si="464">SUM(C1094:C1095)</f>
        <v>0</v>
      </c>
      <c r="D1096" s="332">
        <f t="shared" si="464"/>
        <v>44</v>
      </c>
      <c r="E1096" s="332">
        <f t="shared" si="464"/>
        <v>0</v>
      </c>
      <c r="F1096" s="332">
        <f t="shared" si="464"/>
        <v>1</v>
      </c>
      <c r="G1096" s="332">
        <f t="shared" si="464"/>
        <v>0</v>
      </c>
      <c r="H1096" s="332">
        <f t="shared" si="464"/>
        <v>35</v>
      </c>
      <c r="I1096" s="332">
        <f t="shared" si="464"/>
        <v>0</v>
      </c>
      <c r="J1096" s="332">
        <f t="shared" si="464"/>
        <v>8</v>
      </c>
      <c r="K1096" s="332">
        <f t="shared" si="464"/>
        <v>0</v>
      </c>
      <c r="L1096" s="332">
        <f t="shared" si="464"/>
        <v>0</v>
      </c>
      <c r="M1096" s="332">
        <f t="shared" si="464"/>
        <v>0</v>
      </c>
      <c r="N1096" s="332">
        <f t="shared" si="464"/>
        <v>0</v>
      </c>
      <c r="O1096" s="332">
        <f t="shared" si="464"/>
        <v>0</v>
      </c>
      <c r="P1096" s="332">
        <f t="shared" si="464"/>
        <v>0</v>
      </c>
      <c r="Q1096" s="188" t="s">
        <v>12</v>
      </c>
      <c r="R1096" s="285"/>
    </row>
    <row r="1097" spans="2:18" ht="22.5" customHeight="1" thickBot="1" x14ac:dyDescent="0.25">
      <c r="B1097" s="332">
        <f>SUM(C1097:D1097)</f>
        <v>32</v>
      </c>
      <c r="C1097" s="332">
        <f>O1097+M1097+K1097+I1097+G1097+E1097</f>
        <v>0</v>
      </c>
      <c r="D1097" s="332">
        <f>P1097+N1097+L1097+J1097+H1097+F1097</f>
        <v>32</v>
      </c>
      <c r="E1097" s="332">
        <v>0</v>
      </c>
      <c r="F1097" s="332">
        <v>5</v>
      </c>
      <c r="G1097" s="332">
        <v>0</v>
      </c>
      <c r="H1097" s="332">
        <v>24</v>
      </c>
      <c r="I1097" s="332">
        <v>0</v>
      </c>
      <c r="J1097" s="332">
        <v>3</v>
      </c>
      <c r="K1097" s="332">
        <v>0</v>
      </c>
      <c r="L1097" s="332">
        <v>0</v>
      </c>
      <c r="M1097" s="332">
        <v>0</v>
      </c>
      <c r="N1097" s="332">
        <v>0</v>
      </c>
      <c r="O1097" s="332">
        <v>0</v>
      </c>
      <c r="P1097" s="332">
        <v>0</v>
      </c>
      <c r="Q1097" s="188" t="s">
        <v>146</v>
      </c>
      <c r="R1097" s="293"/>
    </row>
    <row r="1098" spans="2:18" ht="22.5" customHeight="1" thickBot="1" x14ac:dyDescent="0.25">
      <c r="B1098" s="332">
        <f>SUM(C1098:D1098)</f>
        <v>57</v>
      </c>
      <c r="C1098" s="332">
        <f>O1098+M1098+K1098+I1098+G1098+E1098</f>
        <v>0</v>
      </c>
      <c r="D1098" s="332">
        <f>P1098+N1098+L1098+J1098+H1098+F1098</f>
        <v>57</v>
      </c>
      <c r="E1098" s="332">
        <v>0</v>
      </c>
      <c r="F1098" s="332">
        <v>0</v>
      </c>
      <c r="G1098" s="332">
        <v>0</v>
      </c>
      <c r="H1098" s="332">
        <v>36</v>
      </c>
      <c r="I1098" s="332">
        <v>0</v>
      </c>
      <c r="J1098" s="332">
        <v>15</v>
      </c>
      <c r="K1098" s="332">
        <v>0</v>
      </c>
      <c r="L1098" s="332">
        <v>6</v>
      </c>
      <c r="M1098" s="332">
        <v>0</v>
      </c>
      <c r="N1098" s="332">
        <v>0</v>
      </c>
      <c r="O1098" s="332">
        <v>0</v>
      </c>
      <c r="P1098" s="332">
        <v>0</v>
      </c>
      <c r="Q1098" s="188" t="s">
        <v>145</v>
      </c>
      <c r="R1098" s="293" t="s">
        <v>313</v>
      </c>
    </row>
    <row r="1099" spans="2:18" ht="22.5" customHeight="1" thickBot="1" x14ac:dyDescent="0.25">
      <c r="B1099" s="332">
        <f t="shared" ref="B1099" si="465">SUM(B1097:B1098)</f>
        <v>89</v>
      </c>
      <c r="C1099" s="332">
        <f t="shared" ref="C1099:P1099" si="466">SUM(C1097:C1098)</f>
        <v>0</v>
      </c>
      <c r="D1099" s="332">
        <f t="shared" si="466"/>
        <v>89</v>
      </c>
      <c r="E1099" s="332">
        <f t="shared" si="466"/>
        <v>0</v>
      </c>
      <c r="F1099" s="332">
        <f t="shared" si="466"/>
        <v>5</v>
      </c>
      <c r="G1099" s="332">
        <f t="shared" si="466"/>
        <v>0</v>
      </c>
      <c r="H1099" s="332">
        <f t="shared" si="466"/>
        <v>60</v>
      </c>
      <c r="I1099" s="332">
        <f t="shared" si="466"/>
        <v>0</v>
      </c>
      <c r="J1099" s="332">
        <f t="shared" si="466"/>
        <v>18</v>
      </c>
      <c r="K1099" s="332">
        <f t="shared" si="466"/>
        <v>0</v>
      </c>
      <c r="L1099" s="332">
        <f t="shared" si="466"/>
        <v>6</v>
      </c>
      <c r="M1099" s="332">
        <f t="shared" si="466"/>
        <v>0</v>
      </c>
      <c r="N1099" s="332">
        <f t="shared" si="466"/>
        <v>0</v>
      </c>
      <c r="O1099" s="332">
        <f t="shared" si="466"/>
        <v>0</v>
      </c>
      <c r="P1099" s="332">
        <f t="shared" si="466"/>
        <v>0</v>
      </c>
      <c r="Q1099" s="188" t="s">
        <v>12</v>
      </c>
      <c r="R1099" s="285"/>
    </row>
    <row r="1100" spans="2:18" ht="22.5" customHeight="1" thickBot="1" x14ac:dyDescent="0.25">
      <c r="B1100" s="332">
        <f>SUM(C1100:D1100)</f>
        <v>26</v>
      </c>
      <c r="C1100" s="332">
        <f>O1100+M1100+K1100+I1100+G1100+E1100</f>
        <v>0</v>
      </c>
      <c r="D1100" s="332">
        <f>P1100+N1100+L1100+J1100+H1100+F1100</f>
        <v>26</v>
      </c>
      <c r="E1100" s="332">
        <v>0</v>
      </c>
      <c r="F1100" s="332">
        <v>2</v>
      </c>
      <c r="G1100" s="332">
        <v>0</v>
      </c>
      <c r="H1100" s="332">
        <v>24</v>
      </c>
      <c r="I1100" s="332">
        <v>0</v>
      </c>
      <c r="J1100" s="332">
        <v>0</v>
      </c>
      <c r="K1100" s="332">
        <v>0</v>
      </c>
      <c r="L1100" s="332">
        <v>0</v>
      </c>
      <c r="M1100" s="332">
        <v>0</v>
      </c>
      <c r="N1100" s="332">
        <v>0</v>
      </c>
      <c r="O1100" s="332">
        <v>0</v>
      </c>
      <c r="P1100" s="332">
        <v>0</v>
      </c>
      <c r="Q1100" s="188" t="s">
        <v>146</v>
      </c>
      <c r="R1100" s="293"/>
    </row>
    <row r="1101" spans="2:18" ht="22.5" customHeight="1" thickBot="1" x14ac:dyDescent="0.25">
      <c r="B1101" s="332">
        <f>SUM(C1101:D1101)</f>
        <v>11</v>
      </c>
      <c r="C1101" s="332">
        <f>O1101+M1101+K1101+I1101+G1101+E1101</f>
        <v>0</v>
      </c>
      <c r="D1101" s="332">
        <f>P1101+N1101+L1101+J1101+H1101+F1101</f>
        <v>11</v>
      </c>
      <c r="E1101" s="332">
        <v>0</v>
      </c>
      <c r="F1101" s="332">
        <v>0</v>
      </c>
      <c r="G1101" s="332">
        <v>0</v>
      </c>
      <c r="H1101" s="332">
        <v>7</v>
      </c>
      <c r="I1101" s="332">
        <v>0</v>
      </c>
      <c r="J1101" s="332">
        <v>3</v>
      </c>
      <c r="K1101" s="332">
        <v>0</v>
      </c>
      <c r="L1101" s="332">
        <v>1</v>
      </c>
      <c r="M1101" s="332">
        <v>0</v>
      </c>
      <c r="N1101" s="332">
        <v>0</v>
      </c>
      <c r="O1101" s="332">
        <v>0</v>
      </c>
      <c r="P1101" s="332">
        <v>0</v>
      </c>
      <c r="Q1101" s="188" t="s">
        <v>145</v>
      </c>
      <c r="R1101" s="293" t="s">
        <v>314</v>
      </c>
    </row>
    <row r="1102" spans="2:18" ht="22.5" customHeight="1" thickBot="1" x14ac:dyDescent="0.25">
      <c r="B1102" s="332">
        <f t="shared" ref="B1102" si="467">SUM(B1100:B1101)</f>
        <v>37</v>
      </c>
      <c r="C1102" s="332">
        <f t="shared" ref="C1102:P1102" si="468">SUM(C1100:C1101)</f>
        <v>0</v>
      </c>
      <c r="D1102" s="332">
        <f t="shared" si="468"/>
        <v>37</v>
      </c>
      <c r="E1102" s="332">
        <f t="shared" si="468"/>
        <v>0</v>
      </c>
      <c r="F1102" s="332">
        <f t="shared" si="468"/>
        <v>2</v>
      </c>
      <c r="G1102" s="332">
        <f t="shared" si="468"/>
        <v>0</v>
      </c>
      <c r="H1102" s="332">
        <f t="shared" si="468"/>
        <v>31</v>
      </c>
      <c r="I1102" s="332">
        <f t="shared" si="468"/>
        <v>0</v>
      </c>
      <c r="J1102" s="332">
        <f t="shared" si="468"/>
        <v>3</v>
      </c>
      <c r="K1102" s="332">
        <f t="shared" si="468"/>
        <v>0</v>
      </c>
      <c r="L1102" s="332">
        <f t="shared" si="468"/>
        <v>1</v>
      </c>
      <c r="M1102" s="332">
        <f t="shared" si="468"/>
        <v>0</v>
      </c>
      <c r="N1102" s="332">
        <f t="shared" si="468"/>
        <v>0</v>
      </c>
      <c r="O1102" s="332">
        <f t="shared" si="468"/>
        <v>0</v>
      </c>
      <c r="P1102" s="332">
        <f t="shared" si="468"/>
        <v>0</v>
      </c>
      <c r="Q1102" s="188" t="s">
        <v>12</v>
      </c>
      <c r="R1102" s="285"/>
    </row>
    <row r="1103" spans="2:18" ht="22.5" customHeight="1" thickBot="1" x14ac:dyDescent="0.25">
      <c r="B1103" s="332">
        <f>SUM(C1103:D1103)</f>
        <v>18</v>
      </c>
      <c r="C1103" s="332">
        <f>O1103+M1103+K1103+I1103+G1103+E1103</f>
        <v>0</v>
      </c>
      <c r="D1103" s="332">
        <f>P1103+N1103+L1103+J1103+H1103+F1103</f>
        <v>18</v>
      </c>
      <c r="E1103" s="332">
        <v>0</v>
      </c>
      <c r="F1103" s="332">
        <v>3</v>
      </c>
      <c r="G1103" s="332">
        <v>0</v>
      </c>
      <c r="H1103" s="332">
        <v>15</v>
      </c>
      <c r="I1103" s="332">
        <v>0</v>
      </c>
      <c r="J1103" s="332">
        <v>0</v>
      </c>
      <c r="K1103" s="332">
        <v>0</v>
      </c>
      <c r="L1103" s="332">
        <v>0</v>
      </c>
      <c r="M1103" s="332">
        <v>0</v>
      </c>
      <c r="N1103" s="332">
        <v>0</v>
      </c>
      <c r="O1103" s="332">
        <v>0</v>
      </c>
      <c r="P1103" s="332">
        <v>0</v>
      </c>
      <c r="Q1103" s="188" t="s">
        <v>146</v>
      </c>
      <c r="R1103" s="293"/>
    </row>
    <row r="1104" spans="2:18" ht="22.5" customHeight="1" thickBot="1" x14ac:dyDescent="0.25">
      <c r="B1104" s="332">
        <f>SUM(C1104:D1104)</f>
        <v>16</v>
      </c>
      <c r="C1104" s="332">
        <f>O1104+M1104+K1104+I1104+G1104+E1104</f>
        <v>0</v>
      </c>
      <c r="D1104" s="332">
        <f>P1104+N1104+L1104+J1104+H1104+F1104</f>
        <v>16</v>
      </c>
      <c r="E1104" s="332">
        <v>0</v>
      </c>
      <c r="F1104" s="332">
        <v>0</v>
      </c>
      <c r="G1104" s="332">
        <v>0</v>
      </c>
      <c r="H1104" s="332">
        <v>13</v>
      </c>
      <c r="I1104" s="332">
        <v>0</v>
      </c>
      <c r="J1104" s="332">
        <v>2</v>
      </c>
      <c r="K1104" s="332">
        <v>0</v>
      </c>
      <c r="L1104" s="332">
        <v>1</v>
      </c>
      <c r="M1104" s="332">
        <v>0</v>
      </c>
      <c r="N1104" s="332">
        <v>0</v>
      </c>
      <c r="O1104" s="332">
        <v>0</v>
      </c>
      <c r="P1104" s="332">
        <v>0</v>
      </c>
      <c r="Q1104" s="188" t="s">
        <v>145</v>
      </c>
      <c r="R1104" s="293" t="s">
        <v>315</v>
      </c>
    </row>
    <row r="1105" spans="2:18" ht="22.5" customHeight="1" thickBot="1" x14ac:dyDescent="0.25">
      <c r="B1105" s="332">
        <f t="shared" ref="B1105" si="469">SUM(B1103:B1104)</f>
        <v>34</v>
      </c>
      <c r="C1105" s="332">
        <f t="shared" ref="C1105:P1105" si="470">SUM(C1103:C1104)</f>
        <v>0</v>
      </c>
      <c r="D1105" s="332">
        <f t="shared" si="470"/>
        <v>34</v>
      </c>
      <c r="E1105" s="332">
        <f t="shared" si="470"/>
        <v>0</v>
      </c>
      <c r="F1105" s="332">
        <f t="shared" si="470"/>
        <v>3</v>
      </c>
      <c r="G1105" s="332">
        <f t="shared" si="470"/>
        <v>0</v>
      </c>
      <c r="H1105" s="332">
        <f t="shared" si="470"/>
        <v>28</v>
      </c>
      <c r="I1105" s="332">
        <f t="shared" si="470"/>
        <v>0</v>
      </c>
      <c r="J1105" s="332">
        <f t="shared" si="470"/>
        <v>2</v>
      </c>
      <c r="K1105" s="332">
        <f t="shared" si="470"/>
        <v>0</v>
      </c>
      <c r="L1105" s="332">
        <f t="shared" si="470"/>
        <v>1</v>
      </c>
      <c r="M1105" s="332">
        <f t="shared" si="470"/>
        <v>0</v>
      </c>
      <c r="N1105" s="332">
        <f t="shared" si="470"/>
        <v>0</v>
      </c>
      <c r="O1105" s="332">
        <f t="shared" si="470"/>
        <v>0</v>
      </c>
      <c r="P1105" s="332">
        <f t="shared" si="470"/>
        <v>0</v>
      </c>
      <c r="Q1105" s="188" t="s">
        <v>12</v>
      </c>
      <c r="R1105" s="285"/>
    </row>
    <row r="1106" spans="2:18" ht="22.5" customHeight="1" thickBot="1" x14ac:dyDescent="0.25">
      <c r="B1106" s="332">
        <f>SUM(C1106:D1106)</f>
        <v>45</v>
      </c>
      <c r="C1106" s="332">
        <f>O1106+M1106+K1106+I1106+G1106+E1106</f>
        <v>0</v>
      </c>
      <c r="D1106" s="332">
        <f>P1106+N1106+L1106+J1106+H1106+F1106</f>
        <v>45</v>
      </c>
      <c r="E1106" s="332">
        <v>0</v>
      </c>
      <c r="F1106" s="332">
        <v>0</v>
      </c>
      <c r="G1106" s="332">
        <v>0</v>
      </c>
      <c r="H1106" s="332">
        <v>39</v>
      </c>
      <c r="I1106" s="332">
        <v>0</v>
      </c>
      <c r="J1106" s="332">
        <v>6</v>
      </c>
      <c r="K1106" s="332">
        <v>0</v>
      </c>
      <c r="L1106" s="332">
        <v>0</v>
      </c>
      <c r="M1106" s="332">
        <v>0</v>
      </c>
      <c r="N1106" s="332">
        <v>0</v>
      </c>
      <c r="O1106" s="332">
        <v>0</v>
      </c>
      <c r="P1106" s="332">
        <v>0</v>
      </c>
      <c r="Q1106" s="188" t="s">
        <v>146</v>
      </c>
      <c r="R1106" s="293"/>
    </row>
    <row r="1107" spans="2:18" ht="22.5" customHeight="1" thickBot="1" x14ac:dyDescent="0.25">
      <c r="B1107" s="332">
        <f>SUM(C1107:D1107)</f>
        <v>10</v>
      </c>
      <c r="C1107" s="332">
        <f>O1107+M1107+K1107+I1107+G1107+E1107</f>
        <v>0</v>
      </c>
      <c r="D1107" s="332">
        <f>P1107+N1107+L1107+J1107+H1107+F1107</f>
        <v>10</v>
      </c>
      <c r="E1107" s="332">
        <v>0</v>
      </c>
      <c r="F1107" s="332">
        <v>0</v>
      </c>
      <c r="G1107" s="332">
        <v>0</v>
      </c>
      <c r="H1107" s="332">
        <v>8</v>
      </c>
      <c r="I1107" s="332">
        <v>0</v>
      </c>
      <c r="J1107" s="332">
        <v>2</v>
      </c>
      <c r="K1107" s="332">
        <v>0</v>
      </c>
      <c r="L1107" s="332">
        <v>0</v>
      </c>
      <c r="M1107" s="332">
        <v>0</v>
      </c>
      <c r="N1107" s="332">
        <v>0</v>
      </c>
      <c r="O1107" s="332">
        <v>0</v>
      </c>
      <c r="P1107" s="332">
        <v>0</v>
      </c>
      <c r="Q1107" s="188" t="s">
        <v>145</v>
      </c>
      <c r="R1107" s="293" t="s">
        <v>316</v>
      </c>
    </row>
    <row r="1108" spans="2:18" ht="22.5" customHeight="1" thickBot="1" x14ac:dyDescent="0.25">
      <c r="B1108" s="332">
        <f t="shared" ref="B1108" si="471">SUM(B1106:B1107)</f>
        <v>55</v>
      </c>
      <c r="C1108" s="332">
        <f t="shared" ref="C1108:P1108" si="472">SUM(C1106:C1107)</f>
        <v>0</v>
      </c>
      <c r="D1108" s="332">
        <f t="shared" si="472"/>
        <v>55</v>
      </c>
      <c r="E1108" s="332">
        <f t="shared" si="472"/>
        <v>0</v>
      </c>
      <c r="F1108" s="332">
        <f t="shared" si="472"/>
        <v>0</v>
      </c>
      <c r="G1108" s="332">
        <f t="shared" si="472"/>
        <v>0</v>
      </c>
      <c r="H1108" s="332">
        <f t="shared" si="472"/>
        <v>47</v>
      </c>
      <c r="I1108" s="332">
        <f t="shared" si="472"/>
        <v>0</v>
      </c>
      <c r="J1108" s="332">
        <f t="shared" si="472"/>
        <v>8</v>
      </c>
      <c r="K1108" s="332">
        <f t="shared" si="472"/>
        <v>0</v>
      </c>
      <c r="L1108" s="332">
        <f t="shared" si="472"/>
        <v>0</v>
      </c>
      <c r="M1108" s="332">
        <f t="shared" si="472"/>
        <v>0</v>
      </c>
      <c r="N1108" s="332">
        <f t="shared" si="472"/>
        <v>0</v>
      </c>
      <c r="O1108" s="332">
        <f t="shared" si="472"/>
        <v>0</v>
      </c>
      <c r="P1108" s="332">
        <f t="shared" si="472"/>
        <v>0</v>
      </c>
      <c r="Q1108" s="188" t="s">
        <v>12</v>
      </c>
      <c r="R1108" s="285"/>
    </row>
    <row r="1109" spans="2:18" ht="22.5" customHeight="1" thickBot="1" x14ac:dyDescent="0.25">
      <c r="B1109" s="332">
        <f>SUM(C1109:D1109)</f>
        <v>29</v>
      </c>
      <c r="C1109" s="332">
        <f>O1109+M1109+K1109+I1109+G1109+E1109</f>
        <v>0</v>
      </c>
      <c r="D1109" s="332">
        <f>P1109+N1109+L1109+J1109+H1109+F1109</f>
        <v>29</v>
      </c>
      <c r="E1109" s="332">
        <v>0</v>
      </c>
      <c r="F1109" s="332">
        <v>1</v>
      </c>
      <c r="G1109" s="332">
        <v>0</v>
      </c>
      <c r="H1109" s="332">
        <v>28</v>
      </c>
      <c r="I1109" s="332">
        <v>0</v>
      </c>
      <c r="J1109" s="332">
        <v>0</v>
      </c>
      <c r="K1109" s="332">
        <v>0</v>
      </c>
      <c r="L1109" s="332">
        <v>0</v>
      </c>
      <c r="M1109" s="332">
        <v>0</v>
      </c>
      <c r="N1109" s="332">
        <v>0</v>
      </c>
      <c r="O1109" s="332">
        <v>0</v>
      </c>
      <c r="P1109" s="332">
        <v>0</v>
      </c>
      <c r="Q1109" s="188" t="s">
        <v>146</v>
      </c>
      <c r="R1109" s="293"/>
    </row>
    <row r="1110" spans="2:18" ht="22.5" customHeight="1" thickBot="1" x14ac:dyDescent="0.25">
      <c r="B1110" s="332">
        <f>SUM(C1110:D1110)</f>
        <v>33</v>
      </c>
      <c r="C1110" s="332">
        <f>O1110+M1110+K1110+I1110+G1110+E1110</f>
        <v>0</v>
      </c>
      <c r="D1110" s="332">
        <f>P1110+N1110+L1110+J1110+H1110+F1110</f>
        <v>33</v>
      </c>
      <c r="E1110" s="332">
        <v>0</v>
      </c>
      <c r="F1110" s="332">
        <v>0</v>
      </c>
      <c r="G1110" s="332">
        <v>0</v>
      </c>
      <c r="H1110" s="332">
        <v>27</v>
      </c>
      <c r="I1110" s="332">
        <v>0</v>
      </c>
      <c r="J1110" s="332">
        <v>5</v>
      </c>
      <c r="K1110" s="332">
        <v>0</v>
      </c>
      <c r="L1110" s="332">
        <v>1</v>
      </c>
      <c r="M1110" s="332">
        <v>0</v>
      </c>
      <c r="N1110" s="332">
        <v>0</v>
      </c>
      <c r="O1110" s="332">
        <v>0</v>
      </c>
      <c r="P1110" s="332">
        <v>0</v>
      </c>
      <c r="Q1110" s="188" t="s">
        <v>145</v>
      </c>
      <c r="R1110" s="293" t="s">
        <v>317</v>
      </c>
    </row>
    <row r="1111" spans="2:18" ht="22.5" customHeight="1" thickBot="1" x14ac:dyDescent="0.25">
      <c r="B1111" s="332">
        <f t="shared" ref="B1111" si="473">SUM(B1109:B1110)</f>
        <v>62</v>
      </c>
      <c r="C1111" s="332">
        <f t="shared" ref="C1111:P1111" si="474">SUM(C1109:C1110)</f>
        <v>0</v>
      </c>
      <c r="D1111" s="332">
        <f t="shared" si="474"/>
        <v>62</v>
      </c>
      <c r="E1111" s="332">
        <f t="shared" si="474"/>
        <v>0</v>
      </c>
      <c r="F1111" s="332">
        <f t="shared" si="474"/>
        <v>1</v>
      </c>
      <c r="G1111" s="332">
        <f t="shared" si="474"/>
        <v>0</v>
      </c>
      <c r="H1111" s="332">
        <f t="shared" si="474"/>
        <v>55</v>
      </c>
      <c r="I1111" s="332">
        <f t="shared" si="474"/>
        <v>0</v>
      </c>
      <c r="J1111" s="332">
        <f t="shared" si="474"/>
        <v>5</v>
      </c>
      <c r="K1111" s="332">
        <f t="shared" si="474"/>
        <v>0</v>
      </c>
      <c r="L1111" s="332">
        <f t="shared" si="474"/>
        <v>1</v>
      </c>
      <c r="M1111" s="332">
        <f t="shared" si="474"/>
        <v>0</v>
      </c>
      <c r="N1111" s="332">
        <f t="shared" si="474"/>
        <v>0</v>
      </c>
      <c r="O1111" s="332">
        <f t="shared" si="474"/>
        <v>0</v>
      </c>
      <c r="P1111" s="332">
        <f t="shared" si="474"/>
        <v>0</v>
      </c>
      <c r="Q1111" s="188" t="s">
        <v>12</v>
      </c>
      <c r="R1111" s="285"/>
    </row>
    <row r="1112" spans="2:18" ht="22.5" customHeight="1" thickBot="1" x14ac:dyDescent="0.25">
      <c r="B1112" s="332">
        <f>SUM(C1112:D1112)</f>
        <v>52</v>
      </c>
      <c r="C1112" s="332">
        <f>O1112+M1112+K1112+I1112+G1112+E1112</f>
        <v>0</v>
      </c>
      <c r="D1112" s="332">
        <f>P1112+N1112+L1112+J1112+H1112+F1112</f>
        <v>52</v>
      </c>
      <c r="E1112" s="332">
        <v>0</v>
      </c>
      <c r="F1112" s="332">
        <v>11</v>
      </c>
      <c r="G1112" s="332">
        <v>0</v>
      </c>
      <c r="H1112" s="332">
        <v>41</v>
      </c>
      <c r="I1112" s="332">
        <v>0</v>
      </c>
      <c r="J1112" s="332">
        <v>0</v>
      </c>
      <c r="K1112" s="332">
        <v>0</v>
      </c>
      <c r="L1112" s="332">
        <v>0</v>
      </c>
      <c r="M1112" s="332">
        <v>0</v>
      </c>
      <c r="N1112" s="332">
        <v>0</v>
      </c>
      <c r="O1112" s="332">
        <v>0</v>
      </c>
      <c r="P1112" s="332">
        <v>0</v>
      </c>
      <c r="Q1112" s="188" t="s">
        <v>146</v>
      </c>
      <c r="R1112" s="293"/>
    </row>
    <row r="1113" spans="2:18" ht="22.5" customHeight="1" thickBot="1" x14ac:dyDescent="0.25">
      <c r="B1113" s="332">
        <f>SUM(C1113:D1113)</f>
        <v>10</v>
      </c>
      <c r="C1113" s="332">
        <f>O1113+M1113+K1113+I1113+G1113+E1113</f>
        <v>0</v>
      </c>
      <c r="D1113" s="332">
        <f>P1113+N1113+L1113+J1113+H1113+F1113</f>
        <v>10</v>
      </c>
      <c r="E1113" s="332">
        <v>0</v>
      </c>
      <c r="F1113" s="332">
        <v>0</v>
      </c>
      <c r="G1113" s="332">
        <v>0</v>
      </c>
      <c r="H1113" s="332">
        <v>7</v>
      </c>
      <c r="I1113" s="332">
        <v>0</v>
      </c>
      <c r="J1113" s="332">
        <v>2</v>
      </c>
      <c r="K1113" s="332">
        <v>0</v>
      </c>
      <c r="L1113" s="332">
        <v>1</v>
      </c>
      <c r="M1113" s="332">
        <v>0</v>
      </c>
      <c r="N1113" s="332">
        <v>0</v>
      </c>
      <c r="O1113" s="332">
        <v>0</v>
      </c>
      <c r="P1113" s="332">
        <v>0</v>
      </c>
      <c r="Q1113" s="188" t="s">
        <v>145</v>
      </c>
      <c r="R1113" s="293" t="s">
        <v>318</v>
      </c>
    </row>
    <row r="1114" spans="2:18" ht="22.5" customHeight="1" thickBot="1" x14ac:dyDescent="0.25">
      <c r="B1114" s="332">
        <f t="shared" ref="B1114" si="475">SUM(B1112:B1113)</f>
        <v>62</v>
      </c>
      <c r="C1114" s="332">
        <f t="shared" ref="C1114:P1114" si="476">SUM(C1112:C1113)</f>
        <v>0</v>
      </c>
      <c r="D1114" s="332">
        <f t="shared" si="476"/>
        <v>62</v>
      </c>
      <c r="E1114" s="332">
        <f t="shared" si="476"/>
        <v>0</v>
      </c>
      <c r="F1114" s="332">
        <f t="shared" si="476"/>
        <v>11</v>
      </c>
      <c r="G1114" s="332">
        <f t="shared" si="476"/>
        <v>0</v>
      </c>
      <c r="H1114" s="332">
        <f t="shared" si="476"/>
        <v>48</v>
      </c>
      <c r="I1114" s="332">
        <f t="shared" si="476"/>
        <v>0</v>
      </c>
      <c r="J1114" s="332">
        <f t="shared" si="476"/>
        <v>2</v>
      </c>
      <c r="K1114" s="332">
        <f t="shared" si="476"/>
        <v>0</v>
      </c>
      <c r="L1114" s="332">
        <f t="shared" si="476"/>
        <v>1</v>
      </c>
      <c r="M1114" s="332">
        <f t="shared" si="476"/>
        <v>0</v>
      </c>
      <c r="N1114" s="332">
        <f t="shared" si="476"/>
        <v>0</v>
      </c>
      <c r="O1114" s="332">
        <f t="shared" si="476"/>
        <v>0</v>
      </c>
      <c r="P1114" s="332">
        <f t="shared" si="476"/>
        <v>0</v>
      </c>
      <c r="Q1114" s="188" t="s">
        <v>12</v>
      </c>
      <c r="R1114" s="285"/>
    </row>
    <row r="1115" spans="2:18" ht="22.5" customHeight="1" thickBot="1" x14ac:dyDescent="0.25">
      <c r="B1115" s="332">
        <f>SUM(C1115:D1115)</f>
        <v>11</v>
      </c>
      <c r="C1115" s="332">
        <f>O1115+M1115+K1115+I1115+G1115+E1115</f>
        <v>0</v>
      </c>
      <c r="D1115" s="332">
        <f>P1115+N1115+L1115+J1115+H1115+F1115</f>
        <v>11</v>
      </c>
      <c r="E1115" s="332">
        <v>0</v>
      </c>
      <c r="F1115" s="332">
        <v>1</v>
      </c>
      <c r="G1115" s="332">
        <v>0</v>
      </c>
      <c r="H1115" s="332">
        <v>8</v>
      </c>
      <c r="I1115" s="332">
        <v>0</v>
      </c>
      <c r="J1115" s="332">
        <v>2</v>
      </c>
      <c r="K1115" s="332">
        <v>0</v>
      </c>
      <c r="L1115" s="332">
        <v>0</v>
      </c>
      <c r="M1115" s="332">
        <v>0</v>
      </c>
      <c r="N1115" s="332">
        <v>0</v>
      </c>
      <c r="O1115" s="332">
        <v>0</v>
      </c>
      <c r="P1115" s="332">
        <v>0</v>
      </c>
      <c r="Q1115" s="188" t="s">
        <v>146</v>
      </c>
      <c r="R1115" s="293"/>
    </row>
    <row r="1116" spans="2:18" ht="22.5" customHeight="1" thickBot="1" x14ac:dyDescent="0.25">
      <c r="B1116" s="332">
        <f>SUM(C1116:D1116)</f>
        <v>25</v>
      </c>
      <c r="C1116" s="332">
        <f>O1116+M1116+K1116+I1116+G1116+E1116</f>
        <v>0</v>
      </c>
      <c r="D1116" s="332">
        <f>P1116+N1116+L1116+J1116+H1116+F1116</f>
        <v>25</v>
      </c>
      <c r="E1116" s="332">
        <v>0</v>
      </c>
      <c r="F1116" s="332">
        <v>0</v>
      </c>
      <c r="G1116" s="332">
        <v>0</v>
      </c>
      <c r="H1116" s="332">
        <v>17</v>
      </c>
      <c r="I1116" s="332">
        <v>0</v>
      </c>
      <c r="J1116" s="332">
        <v>8</v>
      </c>
      <c r="K1116" s="332">
        <v>0</v>
      </c>
      <c r="L1116" s="332">
        <v>0</v>
      </c>
      <c r="M1116" s="332">
        <v>0</v>
      </c>
      <c r="N1116" s="332">
        <v>0</v>
      </c>
      <c r="O1116" s="332">
        <v>0</v>
      </c>
      <c r="P1116" s="332">
        <v>0</v>
      </c>
      <c r="Q1116" s="188" t="s">
        <v>145</v>
      </c>
      <c r="R1116" s="293" t="s">
        <v>319</v>
      </c>
    </row>
    <row r="1117" spans="2:18" ht="22.5" customHeight="1" thickBot="1" x14ac:dyDescent="0.25">
      <c r="B1117" s="332">
        <f t="shared" ref="B1117" si="477">SUM(B1115:B1116)</f>
        <v>36</v>
      </c>
      <c r="C1117" s="332">
        <f t="shared" ref="C1117:D1117" si="478">SUM(C1115:C1116)</f>
        <v>0</v>
      </c>
      <c r="D1117" s="332">
        <f t="shared" si="478"/>
        <v>36</v>
      </c>
      <c r="E1117" s="332">
        <f t="shared" ref="E1117:P1117" si="479">SUM(E1115:E1116)</f>
        <v>0</v>
      </c>
      <c r="F1117" s="332">
        <f t="shared" si="479"/>
        <v>1</v>
      </c>
      <c r="G1117" s="332">
        <f t="shared" si="479"/>
        <v>0</v>
      </c>
      <c r="H1117" s="332">
        <f t="shared" si="479"/>
        <v>25</v>
      </c>
      <c r="I1117" s="332">
        <f t="shared" si="479"/>
        <v>0</v>
      </c>
      <c r="J1117" s="332">
        <f t="shared" si="479"/>
        <v>10</v>
      </c>
      <c r="K1117" s="332">
        <f t="shared" si="479"/>
        <v>0</v>
      </c>
      <c r="L1117" s="332">
        <f t="shared" si="479"/>
        <v>0</v>
      </c>
      <c r="M1117" s="332">
        <f t="shared" si="479"/>
        <v>0</v>
      </c>
      <c r="N1117" s="332">
        <f t="shared" si="479"/>
        <v>0</v>
      </c>
      <c r="O1117" s="332">
        <f t="shared" si="479"/>
        <v>0</v>
      </c>
      <c r="P1117" s="332">
        <f t="shared" si="479"/>
        <v>0</v>
      </c>
      <c r="Q1117" s="188" t="s">
        <v>12</v>
      </c>
      <c r="R1117" s="285"/>
    </row>
    <row r="1118" spans="2:18" ht="22.5" customHeight="1" thickBot="1" x14ac:dyDescent="0.25">
      <c r="B1118" s="332">
        <f>SUM(C1118:D1118)</f>
        <v>78</v>
      </c>
      <c r="C1118" s="332">
        <f>O1118+M1118+K1118+I1118+G1118+E1118</f>
        <v>0</v>
      </c>
      <c r="D1118" s="332">
        <f>P1118+N1118+L1118+J1118+H1118+F1118</f>
        <v>78</v>
      </c>
      <c r="E1118" s="332">
        <v>0</v>
      </c>
      <c r="F1118" s="332">
        <v>22</v>
      </c>
      <c r="G1118" s="332">
        <v>0</v>
      </c>
      <c r="H1118" s="332">
        <v>51</v>
      </c>
      <c r="I1118" s="332">
        <v>0</v>
      </c>
      <c r="J1118" s="332">
        <v>5</v>
      </c>
      <c r="K1118" s="332">
        <v>0</v>
      </c>
      <c r="L1118" s="332">
        <v>0</v>
      </c>
      <c r="M1118" s="332">
        <v>0</v>
      </c>
      <c r="N1118" s="332">
        <v>0</v>
      </c>
      <c r="O1118" s="332">
        <v>0</v>
      </c>
      <c r="P1118" s="332">
        <v>0</v>
      </c>
      <c r="Q1118" s="188" t="s">
        <v>146</v>
      </c>
      <c r="R1118" s="293"/>
    </row>
    <row r="1119" spans="2:18" ht="22.5" customHeight="1" thickBot="1" x14ac:dyDescent="0.25">
      <c r="B1119" s="332">
        <f>SUM(C1119:D1119)</f>
        <v>7</v>
      </c>
      <c r="C1119" s="332">
        <f>O1119+M1119+K1119+I1119+G1119+E1119</f>
        <v>0</v>
      </c>
      <c r="D1119" s="332">
        <f>P1119+N1119+L1119+J1119+H1119+F1119</f>
        <v>7</v>
      </c>
      <c r="E1119" s="332">
        <v>0</v>
      </c>
      <c r="F1119" s="332">
        <v>0</v>
      </c>
      <c r="G1119" s="332">
        <v>0</v>
      </c>
      <c r="H1119" s="332">
        <v>7</v>
      </c>
      <c r="I1119" s="332">
        <v>0</v>
      </c>
      <c r="J1119" s="332">
        <v>0</v>
      </c>
      <c r="K1119" s="332">
        <v>0</v>
      </c>
      <c r="L1119" s="332">
        <v>0</v>
      </c>
      <c r="M1119" s="332">
        <v>0</v>
      </c>
      <c r="N1119" s="332">
        <v>0</v>
      </c>
      <c r="O1119" s="332">
        <v>0</v>
      </c>
      <c r="P1119" s="332">
        <v>0</v>
      </c>
      <c r="Q1119" s="188" t="s">
        <v>145</v>
      </c>
      <c r="R1119" s="293" t="s">
        <v>320</v>
      </c>
    </row>
    <row r="1120" spans="2:18" ht="22.5" customHeight="1" thickBot="1" x14ac:dyDescent="0.25">
      <c r="B1120" s="332">
        <f t="shared" ref="B1120" si="480">SUM(B1118:B1119)</f>
        <v>85</v>
      </c>
      <c r="C1120" s="332">
        <f t="shared" ref="C1120:P1120" si="481">SUM(C1118:C1119)</f>
        <v>0</v>
      </c>
      <c r="D1120" s="332">
        <f t="shared" si="481"/>
        <v>85</v>
      </c>
      <c r="E1120" s="332">
        <f t="shared" si="481"/>
        <v>0</v>
      </c>
      <c r="F1120" s="332">
        <f t="shared" si="481"/>
        <v>22</v>
      </c>
      <c r="G1120" s="332">
        <f t="shared" si="481"/>
        <v>0</v>
      </c>
      <c r="H1120" s="332">
        <f t="shared" si="481"/>
        <v>58</v>
      </c>
      <c r="I1120" s="332">
        <f t="shared" si="481"/>
        <v>0</v>
      </c>
      <c r="J1120" s="332">
        <f t="shared" si="481"/>
        <v>5</v>
      </c>
      <c r="K1120" s="332">
        <f t="shared" si="481"/>
        <v>0</v>
      </c>
      <c r="L1120" s="332">
        <f t="shared" si="481"/>
        <v>0</v>
      </c>
      <c r="M1120" s="332">
        <f t="shared" si="481"/>
        <v>0</v>
      </c>
      <c r="N1120" s="332">
        <f t="shared" si="481"/>
        <v>0</v>
      </c>
      <c r="O1120" s="332">
        <f t="shared" si="481"/>
        <v>0</v>
      </c>
      <c r="P1120" s="332">
        <f t="shared" si="481"/>
        <v>0</v>
      </c>
      <c r="Q1120" s="188" t="s">
        <v>12</v>
      </c>
      <c r="R1120" s="285"/>
    </row>
    <row r="1121" spans="2:18" ht="22.5" customHeight="1" thickBot="1" x14ac:dyDescent="0.25">
      <c r="B1121" s="332">
        <f>SUM(C1121:D1121)</f>
        <v>35</v>
      </c>
      <c r="C1121" s="332">
        <f>O1121+M1121+K1121+I1121+G1121+E1121</f>
        <v>0</v>
      </c>
      <c r="D1121" s="332">
        <f>P1121+N1121+L1121+J1121+H1121+F1121</f>
        <v>35</v>
      </c>
      <c r="E1121" s="332">
        <v>0</v>
      </c>
      <c r="F1121" s="332">
        <v>0</v>
      </c>
      <c r="G1121" s="332">
        <v>0</v>
      </c>
      <c r="H1121" s="332">
        <v>30</v>
      </c>
      <c r="I1121" s="332">
        <v>0</v>
      </c>
      <c r="J1121" s="332">
        <v>5</v>
      </c>
      <c r="K1121" s="332">
        <v>0</v>
      </c>
      <c r="L1121" s="332">
        <v>0</v>
      </c>
      <c r="M1121" s="332">
        <v>0</v>
      </c>
      <c r="N1121" s="332">
        <v>0</v>
      </c>
      <c r="O1121" s="332">
        <v>0</v>
      </c>
      <c r="P1121" s="332">
        <v>0</v>
      </c>
      <c r="Q1121" s="188" t="s">
        <v>146</v>
      </c>
      <c r="R1121" s="293"/>
    </row>
    <row r="1122" spans="2:18" ht="22.5" customHeight="1" thickBot="1" x14ac:dyDescent="0.25">
      <c r="B1122" s="332">
        <f>SUM(C1122:D1122)</f>
        <v>15</v>
      </c>
      <c r="C1122" s="332">
        <f>O1122+M1122+K1122+I1122+G1122+E1122</f>
        <v>0</v>
      </c>
      <c r="D1122" s="332">
        <f>P1122+N1122+L1122+J1122+H1122+F1122</f>
        <v>15</v>
      </c>
      <c r="E1122" s="332">
        <v>0</v>
      </c>
      <c r="F1122" s="332">
        <v>0</v>
      </c>
      <c r="G1122" s="332">
        <v>0</v>
      </c>
      <c r="H1122" s="332">
        <v>15</v>
      </c>
      <c r="I1122" s="332">
        <v>0</v>
      </c>
      <c r="J1122" s="332">
        <v>0</v>
      </c>
      <c r="K1122" s="332">
        <v>0</v>
      </c>
      <c r="L1122" s="332">
        <v>0</v>
      </c>
      <c r="M1122" s="332">
        <v>0</v>
      </c>
      <c r="N1122" s="332">
        <v>0</v>
      </c>
      <c r="O1122" s="332">
        <v>0</v>
      </c>
      <c r="P1122" s="332">
        <v>0</v>
      </c>
      <c r="Q1122" s="188" t="s">
        <v>145</v>
      </c>
      <c r="R1122" s="293" t="s">
        <v>321</v>
      </c>
    </row>
    <row r="1123" spans="2:18" ht="22.5" customHeight="1" thickBot="1" x14ac:dyDescent="0.25">
      <c r="B1123" s="332">
        <f t="shared" ref="B1123" si="482">SUM(B1121:B1122)</f>
        <v>50</v>
      </c>
      <c r="C1123" s="332">
        <f t="shared" ref="C1123:P1123" si="483">SUM(C1121:C1122)</f>
        <v>0</v>
      </c>
      <c r="D1123" s="332">
        <f t="shared" si="483"/>
        <v>50</v>
      </c>
      <c r="E1123" s="332">
        <f t="shared" si="483"/>
        <v>0</v>
      </c>
      <c r="F1123" s="332">
        <f t="shared" si="483"/>
        <v>0</v>
      </c>
      <c r="G1123" s="332">
        <f t="shared" si="483"/>
        <v>0</v>
      </c>
      <c r="H1123" s="332">
        <f t="shared" si="483"/>
        <v>45</v>
      </c>
      <c r="I1123" s="332">
        <f t="shared" si="483"/>
        <v>0</v>
      </c>
      <c r="J1123" s="332">
        <f t="shared" si="483"/>
        <v>5</v>
      </c>
      <c r="K1123" s="332">
        <f t="shared" si="483"/>
        <v>0</v>
      </c>
      <c r="L1123" s="332">
        <f t="shared" si="483"/>
        <v>0</v>
      </c>
      <c r="M1123" s="332">
        <f t="shared" si="483"/>
        <v>0</v>
      </c>
      <c r="N1123" s="332">
        <f t="shared" si="483"/>
        <v>0</v>
      </c>
      <c r="O1123" s="332">
        <f t="shared" si="483"/>
        <v>0</v>
      </c>
      <c r="P1123" s="332">
        <f t="shared" si="483"/>
        <v>0</v>
      </c>
      <c r="Q1123" s="188" t="s">
        <v>12</v>
      </c>
      <c r="R1123" s="285"/>
    </row>
    <row r="1124" spans="2:18" ht="22.5" customHeight="1" thickBot="1" x14ac:dyDescent="0.25">
      <c r="B1124" s="332">
        <f>SUM(C1124:D1124)</f>
        <v>30</v>
      </c>
      <c r="C1124" s="332">
        <f>O1124+M1124+K1124+I1124+G1124+E1124</f>
        <v>0</v>
      </c>
      <c r="D1124" s="332">
        <f>P1124+N1124+L1124+J1124+H1124+F1124</f>
        <v>30</v>
      </c>
      <c r="E1124" s="332">
        <v>0</v>
      </c>
      <c r="F1124" s="332">
        <v>2</v>
      </c>
      <c r="G1124" s="332">
        <v>0</v>
      </c>
      <c r="H1124" s="332">
        <v>24</v>
      </c>
      <c r="I1124" s="332">
        <v>0</v>
      </c>
      <c r="J1124" s="332">
        <v>4</v>
      </c>
      <c r="K1124" s="332">
        <v>0</v>
      </c>
      <c r="L1124" s="332">
        <v>0</v>
      </c>
      <c r="M1124" s="332">
        <v>0</v>
      </c>
      <c r="N1124" s="332">
        <v>0</v>
      </c>
      <c r="O1124" s="332">
        <v>0</v>
      </c>
      <c r="P1124" s="332">
        <v>0</v>
      </c>
      <c r="Q1124" s="188" t="s">
        <v>146</v>
      </c>
      <c r="R1124" s="293"/>
    </row>
    <row r="1125" spans="2:18" ht="22.5" customHeight="1" thickBot="1" x14ac:dyDescent="0.25">
      <c r="B1125" s="332">
        <f>SUM(C1125:D1125)</f>
        <v>8</v>
      </c>
      <c r="C1125" s="332">
        <f>O1125+M1125+K1125+I1125+G1125+E1125</f>
        <v>0</v>
      </c>
      <c r="D1125" s="332">
        <f>P1125+N1125+L1125+J1125+H1125+F1125</f>
        <v>8</v>
      </c>
      <c r="E1125" s="332">
        <v>0</v>
      </c>
      <c r="F1125" s="332">
        <v>0</v>
      </c>
      <c r="G1125" s="332">
        <v>0</v>
      </c>
      <c r="H1125" s="332">
        <v>4</v>
      </c>
      <c r="I1125" s="332">
        <v>0</v>
      </c>
      <c r="J1125" s="332">
        <v>2</v>
      </c>
      <c r="K1125" s="332">
        <v>0</v>
      </c>
      <c r="L1125" s="332">
        <v>2</v>
      </c>
      <c r="M1125" s="332">
        <v>0</v>
      </c>
      <c r="N1125" s="332">
        <v>0</v>
      </c>
      <c r="O1125" s="332">
        <v>0</v>
      </c>
      <c r="P1125" s="332">
        <v>0</v>
      </c>
      <c r="Q1125" s="188" t="s">
        <v>145</v>
      </c>
      <c r="R1125" s="293" t="s">
        <v>322</v>
      </c>
    </row>
    <row r="1126" spans="2:18" ht="22.5" customHeight="1" thickBot="1" x14ac:dyDescent="0.25">
      <c r="B1126" s="332">
        <f t="shared" ref="B1126" si="484">SUM(B1124:B1125)</f>
        <v>38</v>
      </c>
      <c r="C1126" s="332">
        <f t="shared" ref="C1126:P1126" si="485">SUM(C1124:C1125)</f>
        <v>0</v>
      </c>
      <c r="D1126" s="332">
        <f t="shared" si="485"/>
        <v>38</v>
      </c>
      <c r="E1126" s="332">
        <f t="shared" si="485"/>
        <v>0</v>
      </c>
      <c r="F1126" s="332">
        <f t="shared" si="485"/>
        <v>2</v>
      </c>
      <c r="G1126" s="332">
        <f t="shared" si="485"/>
        <v>0</v>
      </c>
      <c r="H1126" s="332">
        <f t="shared" si="485"/>
        <v>28</v>
      </c>
      <c r="I1126" s="332">
        <f t="shared" si="485"/>
        <v>0</v>
      </c>
      <c r="J1126" s="332">
        <f t="shared" si="485"/>
        <v>6</v>
      </c>
      <c r="K1126" s="332">
        <f t="shared" si="485"/>
        <v>0</v>
      </c>
      <c r="L1126" s="332">
        <f t="shared" si="485"/>
        <v>2</v>
      </c>
      <c r="M1126" s="332">
        <f t="shared" si="485"/>
        <v>0</v>
      </c>
      <c r="N1126" s="332">
        <f t="shared" si="485"/>
        <v>0</v>
      </c>
      <c r="O1126" s="332">
        <f t="shared" si="485"/>
        <v>0</v>
      </c>
      <c r="P1126" s="332">
        <f t="shared" si="485"/>
        <v>0</v>
      </c>
      <c r="Q1126" s="188" t="s">
        <v>12</v>
      </c>
      <c r="R1126" s="285"/>
    </row>
    <row r="1127" spans="2:18" ht="22.5" customHeight="1" thickBot="1" x14ac:dyDescent="0.25">
      <c r="B1127" s="332">
        <f>SUM(C1127:D1127)</f>
        <v>27</v>
      </c>
      <c r="C1127" s="332">
        <f>O1127+M1127+K1127+I1127+G1127+E1127</f>
        <v>0</v>
      </c>
      <c r="D1127" s="332">
        <f>P1127+N1127+L1127+J1127+H1127+F1127</f>
        <v>27</v>
      </c>
      <c r="E1127" s="332">
        <v>0</v>
      </c>
      <c r="F1127" s="332">
        <v>4</v>
      </c>
      <c r="G1127" s="332">
        <v>0</v>
      </c>
      <c r="H1127" s="332">
        <v>23</v>
      </c>
      <c r="I1127" s="332">
        <v>0</v>
      </c>
      <c r="J1127" s="332">
        <v>0</v>
      </c>
      <c r="K1127" s="332">
        <v>0</v>
      </c>
      <c r="L1127" s="332">
        <v>0</v>
      </c>
      <c r="M1127" s="332">
        <v>0</v>
      </c>
      <c r="N1127" s="332">
        <v>0</v>
      </c>
      <c r="O1127" s="332">
        <v>0</v>
      </c>
      <c r="P1127" s="332">
        <v>0</v>
      </c>
      <c r="Q1127" s="188" t="s">
        <v>146</v>
      </c>
      <c r="R1127" s="293"/>
    </row>
    <row r="1128" spans="2:18" ht="22.5" customHeight="1" thickBot="1" x14ac:dyDescent="0.25">
      <c r="B1128" s="332">
        <f>SUM(C1128:D1128)</f>
        <v>4</v>
      </c>
      <c r="C1128" s="332">
        <f>O1128+M1128+K1128+I1128+G1128+E1128</f>
        <v>0</v>
      </c>
      <c r="D1128" s="332">
        <f>P1128+N1128+L1128+J1128+H1128+F1128</f>
        <v>4</v>
      </c>
      <c r="E1128" s="332">
        <v>0</v>
      </c>
      <c r="F1128" s="332">
        <v>0</v>
      </c>
      <c r="G1128" s="332">
        <v>0</v>
      </c>
      <c r="H1128" s="332">
        <v>4</v>
      </c>
      <c r="I1128" s="332">
        <v>0</v>
      </c>
      <c r="J1128" s="332">
        <v>0</v>
      </c>
      <c r="K1128" s="332">
        <v>0</v>
      </c>
      <c r="L1128" s="332">
        <v>0</v>
      </c>
      <c r="M1128" s="332">
        <v>0</v>
      </c>
      <c r="N1128" s="332">
        <v>0</v>
      </c>
      <c r="O1128" s="332">
        <v>0</v>
      </c>
      <c r="P1128" s="332">
        <v>0</v>
      </c>
      <c r="Q1128" s="188" t="s">
        <v>145</v>
      </c>
      <c r="R1128" s="293" t="s">
        <v>323</v>
      </c>
    </row>
    <row r="1129" spans="2:18" ht="22.5" customHeight="1" thickBot="1" x14ac:dyDescent="0.25">
      <c r="B1129" s="332">
        <f t="shared" ref="B1129" si="486">SUM(B1127:B1128)</f>
        <v>31</v>
      </c>
      <c r="C1129" s="332">
        <f t="shared" ref="C1129:P1129" si="487">SUM(C1127:C1128)</f>
        <v>0</v>
      </c>
      <c r="D1129" s="332">
        <f t="shared" si="487"/>
        <v>31</v>
      </c>
      <c r="E1129" s="332">
        <f t="shared" si="487"/>
        <v>0</v>
      </c>
      <c r="F1129" s="332">
        <f t="shared" si="487"/>
        <v>4</v>
      </c>
      <c r="G1129" s="332">
        <f t="shared" si="487"/>
        <v>0</v>
      </c>
      <c r="H1129" s="332">
        <f t="shared" si="487"/>
        <v>27</v>
      </c>
      <c r="I1129" s="332">
        <f t="shared" si="487"/>
        <v>0</v>
      </c>
      <c r="J1129" s="332">
        <f t="shared" si="487"/>
        <v>0</v>
      </c>
      <c r="K1129" s="332">
        <f t="shared" si="487"/>
        <v>0</v>
      </c>
      <c r="L1129" s="332">
        <f t="shared" si="487"/>
        <v>0</v>
      </c>
      <c r="M1129" s="332">
        <f t="shared" si="487"/>
        <v>0</v>
      </c>
      <c r="N1129" s="332">
        <f t="shared" si="487"/>
        <v>0</v>
      </c>
      <c r="O1129" s="332">
        <f t="shared" si="487"/>
        <v>0</v>
      </c>
      <c r="P1129" s="332">
        <f t="shared" si="487"/>
        <v>0</v>
      </c>
      <c r="Q1129" s="188" t="s">
        <v>12</v>
      </c>
      <c r="R1129" s="285"/>
    </row>
    <row r="1130" spans="2:18" ht="22.5" customHeight="1" thickBot="1" x14ac:dyDescent="0.25">
      <c r="B1130" s="332">
        <f>SUM(C1130:D1130)</f>
        <v>11</v>
      </c>
      <c r="C1130" s="332">
        <f>O1130+M1130+K1130+I1130+G1130+E1130</f>
        <v>0</v>
      </c>
      <c r="D1130" s="332">
        <f>P1130+N1130+L1130+J1130+H1130+F1130</f>
        <v>11</v>
      </c>
      <c r="E1130" s="332">
        <v>0</v>
      </c>
      <c r="F1130" s="332">
        <v>0</v>
      </c>
      <c r="G1130" s="332">
        <v>0</v>
      </c>
      <c r="H1130" s="332">
        <v>7</v>
      </c>
      <c r="I1130" s="332">
        <v>0</v>
      </c>
      <c r="J1130" s="332">
        <v>4</v>
      </c>
      <c r="K1130" s="332">
        <v>0</v>
      </c>
      <c r="L1130" s="332">
        <v>0</v>
      </c>
      <c r="M1130" s="332">
        <v>0</v>
      </c>
      <c r="N1130" s="332">
        <v>0</v>
      </c>
      <c r="O1130" s="332">
        <v>0</v>
      </c>
      <c r="P1130" s="332">
        <v>0</v>
      </c>
      <c r="Q1130" s="188" t="s">
        <v>146</v>
      </c>
      <c r="R1130" s="293"/>
    </row>
    <row r="1131" spans="2:18" ht="22.5" customHeight="1" thickBot="1" x14ac:dyDescent="0.25">
      <c r="B1131" s="332">
        <f>SUM(C1131:D1131)</f>
        <v>10</v>
      </c>
      <c r="C1131" s="332">
        <f>O1131+M1131+K1131+I1131+G1131+E1131</f>
        <v>0</v>
      </c>
      <c r="D1131" s="332">
        <f>P1131+N1131+L1131+J1131+H1131+F1131</f>
        <v>10</v>
      </c>
      <c r="E1131" s="332">
        <v>0</v>
      </c>
      <c r="F1131" s="332">
        <v>0</v>
      </c>
      <c r="G1131" s="332">
        <v>0</v>
      </c>
      <c r="H1131" s="332">
        <v>10</v>
      </c>
      <c r="I1131" s="332">
        <v>0</v>
      </c>
      <c r="J1131" s="332">
        <v>0</v>
      </c>
      <c r="K1131" s="332">
        <v>0</v>
      </c>
      <c r="L1131" s="332">
        <v>0</v>
      </c>
      <c r="M1131" s="332">
        <v>0</v>
      </c>
      <c r="N1131" s="332">
        <v>0</v>
      </c>
      <c r="O1131" s="332">
        <v>0</v>
      </c>
      <c r="P1131" s="332">
        <v>0</v>
      </c>
      <c r="Q1131" s="188" t="s">
        <v>145</v>
      </c>
      <c r="R1131" s="293" t="s">
        <v>324</v>
      </c>
    </row>
    <row r="1132" spans="2:18" ht="22.5" customHeight="1" thickBot="1" x14ac:dyDescent="0.25">
      <c r="B1132" s="332">
        <f t="shared" ref="B1132" si="488">SUM(B1130:B1131)</f>
        <v>21</v>
      </c>
      <c r="C1132" s="332">
        <f t="shared" ref="C1132:P1132" si="489">SUM(C1130:C1131)</f>
        <v>0</v>
      </c>
      <c r="D1132" s="332">
        <f t="shared" si="489"/>
        <v>21</v>
      </c>
      <c r="E1132" s="332">
        <f t="shared" si="489"/>
        <v>0</v>
      </c>
      <c r="F1132" s="332">
        <f t="shared" si="489"/>
        <v>0</v>
      </c>
      <c r="G1132" s="332">
        <f t="shared" si="489"/>
        <v>0</v>
      </c>
      <c r="H1132" s="332">
        <f t="shared" si="489"/>
        <v>17</v>
      </c>
      <c r="I1132" s="332">
        <f t="shared" si="489"/>
        <v>0</v>
      </c>
      <c r="J1132" s="332">
        <f t="shared" si="489"/>
        <v>4</v>
      </c>
      <c r="K1132" s="332">
        <f t="shared" si="489"/>
        <v>0</v>
      </c>
      <c r="L1132" s="332">
        <f t="shared" si="489"/>
        <v>0</v>
      </c>
      <c r="M1132" s="332">
        <f t="shared" si="489"/>
        <v>0</v>
      </c>
      <c r="N1132" s="332">
        <f t="shared" si="489"/>
        <v>0</v>
      </c>
      <c r="O1132" s="332">
        <f t="shared" si="489"/>
        <v>0</v>
      </c>
      <c r="P1132" s="332">
        <f t="shared" si="489"/>
        <v>0</v>
      </c>
      <c r="Q1132" s="188" t="s">
        <v>12</v>
      </c>
      <c r="R1132" s="285"/>
    </row>
    <row r="1133" spans="2:18" ht="22.5" customHeight="1" thickBot="1" x14ac:dyDescent="0.25">
      <c r="B1133" s="332">
        <f>SUM(C1133:D1133)</f>
        <v>25</v>
      </c>
      <c r="C1133" s="332">
        <f>O1133+M1133+K1133+I1133+G1133+E1133</f>
        <v>25</v>
      </c>
      <c r="D1133" s="332">
        <f>P1133+N1133+L1133+J1133+H1133+F1133</f>
        <v>0</v>
      </c>
      <c r="E1133" s="332">
        <v>0</v>
      </c>
      <c r="F1133" s="332">
        <v>0</v>
      </c>
      <c r="G1133" s="332">
        <v>25</v>
      </c>
      <c r="H1133" s="332">
        <v>0</v>
      </c>
      <c r="I1133" s="332">
        <v>0</v>
      </c>
      <c r="J1133" s="332">
        <v>0</v>
      </c>
      <c r="K1133" s="332">
        <v>0</v>
      </c>
      <c r="L1133" s="332">
        <v>0</v>
      </c>
      <c r="M1133" s="332">
        <v>0</v>
      </c>
      <c r="N1133" s="332">
        <v>0</v>
      </c>
      <c r="O1133" s="332">
        <v>0</v>
      </c>
      <c r="P1133" s="332">
        <v>0</v>
      </c>
      <c r="Q1133" s="188" t="s">
        <v>146</v>
      </c>
      <c r="R1133" s="293"/>
    </row>
    <row r="1134" spans="2:18" ht="22.5" customHeight="1" thickBot="1" x14ac:dyDescent="0.25">
      <c r="B1134" s="332">
        <f>SUM(C1134:D1134)</f>
        <v>0</v>
      </c>
      <c r="C1134" s="332">
        <f>O1134+M1134+K1134+I1134+G1134+E1134</f>
        <v>0</v>
      </c>
      <c r="D1134" s="332">
        <f>P1134+N1134+L1134+J1134+H1134+F1134</f>
        <v>0</v>
      </c>
      <c r="E1134" s="332">
        <v>0</v>
      </c>
      <c r="F1134" s="332">
        <v>0</v>
      </c>
      <c r="G1134" s="332">
        <v>0</v>
      </c>
      <c r="H1134" s="332">
        <v>0</v>
      </c>
      <c r="I1134" s="332">
        <v>0</v>
      </c>
      <c r="J1134" s="332">
        <v>0</v>
      </c>
      <c r="K1134" s="332">
        <v>0</v>
      </c>
      <c r="L1134" s="332">
        <v>0</v>
      </c>
      <c r="M1134" s="332">
        <v>0</v>
      </c>
      <c r="N1134" s="332">
        <v>0</v>
      </c>
      <c r="O1134" s="332">
        <v>0</v>
      </c>
      <c r="P1134" s="332">
        <v>0</v>
      </c>
      <c r="Q1134" s="188" t="s">
        <v>145</v>
      </c>
      <c r="R1134" s="293" t="s">
        <v>325</v>
      </c>
    </row>
    <row r="1135" spans="2:18" ht="22.5" customHeight="1" thickBot="1" x14ac:dyDescent="0.25">
      <c r="B1135" s="332">
        <f t="shared" ref="B1135" si="490">SUM(B1133:B1134)</f>
        <v>25</v>
      </c>
      <c r="C1135" s="332">
        <f t="shared" ref="C1135:P1135" si="491">SUM(C1133:C1134)</f>
        <v>25</v>
      </c>
      <c r="D1135" s="332">
        <f t="shared" si="491"/>
        <v>0</v>
      </c>
      <c r="E1135" s="332">
        <f t="shared" si="491"/>
        <v>0</v>
      </c>
      <c r="F1135" s="332">
        <f t="shared" si="491"/>
        <v>0</v>
      </c>
      <c r="G1135" s="332">
        <f t="shared" si="491"/>
        <v>25</v>
      </c>
      <c r="H1135" s="332">
        <f t="shared" si="491"/>
        <v>0</v>
      </c>
      <c r="I1135" s="332">
        <f t="shared" si="491"/>
        <v>0</v>
      </c>
      <c r="J1135" s="332">
        <f t="shared" si="491"/>
        <v>0</v>
      </c>
      <c r="K1135" s="332">
        <f t="shared" si="491"/>
        <v>0</v>
      </c>
      <c r="L1135" s="332">
        <f t="shared" si="491"/>
        <v>0</v>
      </c>
      <c r="M1135" s="332">
        <f t="shared" si="491"/>
        <v>0</v>
      </c>
      <c r="N1135" s="332">
        <f t="shared" si="491"/>
        <v>0</v>
      </c>
      <c r="O1135" s="332">
        <f t="shared" si="491"/>
        <v>0</v>
      </c>
      <c r="P1135" s="332">
        <f t="shared" si="491"/>
        <v>0</v>
      </c>
      <c r="Q1135" s="188" t="s">
        <v>12</v>
      </c>
      <c r="R1135" s="285"/>
    </row>
    <row r="1136" spans="2:18" ht="22.5" customHeight="1" thickBot="1" x14ac:dyDescent="0.25">
      <c r="B1136" s="332">
        <f>SUM(C1136:D1136)</f>
        <v>26</v>
      </c>
      <c r="C1136" s="332">
        <f>O1136+M1136+K1136+I1136+G1136+E1136</f>
        <v>26</v>
      </c>
      <c r="D1136" s="332">
        <f>P1136+N1136+L1136+J1136+H1136+F1136</f>
        <v>0</v>
      </c>
      <c r="E1136" s="332">
        <v>0</v>
      </c>
      <c r="F1136" s="332">
        <v>0</v>
      </c>
      <c r="G1136" s="332">
        <v>26</v>
      </c>
      <c r="H1136" s="332">
        <v>0</v>
      </c>
      <c r="I1136" s="332">
        <v>0</v>
      </c>
      <c r="J1136" s="332">
        <v>0</v>
      </c>
      <c r="K1136" s="332">
        <v>0</v>
      </c>
      <c r="L1136" s="332">
        <v>0</v>
      </c>
      <c r="M1136" s="332">
        <v>0</v>
      </c>
      <c r="N1136" s="332">
        <v>0</v>
      </c>
      <c r="O1136" s="332">
        <v>0</v>
      </c>
      <c r="P1136" s="332">
        <v>0</v>
      </c>
      <c r="Q1136" s="188" t="s">
        <v>146</v>
      </c>
      <c r="R1136" s="293"/>
    </row>
    <row r="1137" spans="2:18" ht="22.5" customHeight="1" thickBot="1" x14ac:dyDescent="0.25">
      <c r="B1137" s="332">
        <f>SUM(C1137:D1137)</f>
        <v>0</v>
      </c>
      <c r="C1137" s="332">
        <f>O1137+M1137+K1137+I1137+G1137+E1137</f>
        <v>0</v>
      </c>
      <c r="D1137" s="332">
        <f>P1137+N1137+L1137+J1137+H1137+F1137</f>
        <v>0</v>
      </c>
      <c r="E1137" s="332">
        <v>0</v>
      </c>
      <c r="F1137" s="332">
        <v>0</v>
      </c>
      <c r="G1137" s="332">
        <v>0</v>
      </c>
      <c r="H1137" s="332">
        <v>0</v>
      </c>
      <c r="I1137" s="332">
        <v>0</v>
      </c>
      <c r="J1137" s="332">
        <v>0</v>
      </c>
      <c r="K1137" s="332">
        <v>0</v>
      </c>
      <c r="L1137" s="332">
        <v>0</v>
      </c>
      <c r="M1137" s="332">
        <v>0</v>
      </c>
      <c r="N1137" s="332">
        <v>0</v>
      </c>
      <c r="O1137" s="332">
        <v>0</v>
      </c>
      <c r="P1137" s="332">
        <v>0</v>
      </c>
      <c r="Q1137" s="188" t="s">
        <v>145</v>
      </c>
      <c r="R1137" s="293" t="s">
        <v>631</v>
      </c>
    </row>
    <row r="1138" spans="2:18" ht="22.5" customHeight="1" thickBot="1" x14ac:dyDescent="0.25">
      <c r="B1138" s="332">
        <f t="shared" ref="B1138" si="492">SUM(B1136:B1137)</f>
        <v>26</v>
      </c>
      <c r="C1138" s="332">
        <f t="shared" ref="C1138:P1138" si="493">SUM(C1136:C1137)</f>
        <v>26</v>
      </c>
      <c r="D1138" s="332">
        <f t="shared" si="493"/>
        <v>0</v>
      </c>
      <c r="E1138" s="332">
        <f t="shared" si="493"/>
        <v>0</v>
      </c>
      <c r="F1138" s="332">
        <f t="shared" si="493"/>
        <v>0</v>
      </c>
      <c r="G1138" s="332">
        <f t="shared" si="493"/>
        <v>26</v>
      </c>
      <c r="H1138" s="332">
        <f t="shared" si="493"/>
        <v>0</v>
      </c>
      <c r="I1138" s="332">
        <f t="shared" si="493"/>
        <v>0</v>
      </c>
      <c r="J1138" s="332">
        <f t="shared" si="493"/>
        <v>0</v>
      </c>
      <c r="K1138" s="332">
        <f t="shared" si="493"/>
        <v>0</v>
      </c>
      <c r="L1138" s="332">
        <f t="shared" si="493"/>
        <v>0</v>
      </c>
      <c r="M1138" s="332">
        <f t="shared" si="493"/>
        <v>0</v>
      </c>
      <c r="N1138" s="332">
        <f t="shared" si="493"/>
        <v>0</v>
      </c>
      <c r="O1138" s="332">
        <f t="shared" si="493"/>
        <v>0</v>
      </c>
      <c r="P1138" s="332">
        <f t="shared" si="493"/>
        <v>0</v>
      </c>
      <c r="Q1138" s="188" t="s">
        <v>12</v>
      </c>
      <c r="R1138" s="285"/>
    </row>
    <row r="1139" spans="2:18" ht="22.5" customHeight="1" thickBot="1" x14ac:dyDescent="0.25">
      <c r="B1139" s="332">
        <f>SUM(C1139:D1139)</f>
        <v>22</v>
      </c>
      <c r="C1139" s="332">
        <f>O1139+M1139+K1139+I1139+G1139+E1139</f>
        <v>22</v>
      </c>
      <c r="D1139" s="332">
        <f>P1139+N1139+L1139+J1139+H1139+F1139</f>
        <v>0</v>
      </c>
      <c r="E1139" s="332">
        <v>2</v>
      </c>
      <c r="F1139" s="332">
        <v>0</v>
      </c>
      <c r="G1139" s="332">
        <v>4</v>
      </c>
      <c r="H1139" s="332">
        <v>0</v>
      </c>
      <c r="I1139" s="332">
        <v>16</v>
      </c>
      <c r="J1139" s="332">
        <v>0</v>
      </c>
      <c r="K1139" s="332">
        <v>0</v>
      </c>
      <c r="L1139" s="332">
        <v>0</v>
      </c>
      <c r="M1139" s="332">
        <v>0</v>
      </c>
      <c r="N1139" s="332">
        <v>0</v>
      </c>
      <c r="O1139" s="332">
        <v>0</v>
      </c>
      <c r="P1139" s="332">
        <v>0</v>
      </c>
      <c r="Q1139" s="188" t="s">
        <v>146</v>
      </c>
      <c r="R1139" s="293"/>
    </row>
    <row r="1140" spans="2:18" ht="22.5" customHeight="1" thickBot="1" x14ac:dyDescent="0.25">
      <c r="B1140" s="332">
        <f>SUM(C1140:D1140)</f>
        <v>0</v>
      </c>
      <c r="C1140" s="332">
        <f>O1140+M1140+K1140+I1140+G1140+E1140</f>
        <v>0</v>
      </c>
      <c r="D1140" s="332">
        <f>P1140+N1140+L1140+J1140+H1140+F1140</f>
        <v>0</v>
      </c>
      <c r="E1140" s="332">
        <v>0</v>
      </c>
      <c r="F1140" s="332">
        <v>0</v>
      </c>
      <c r="G1140" s="332">
        <v>0</v>
      </c>
      <c r="H1140" s="332">
        <v>0</v>
      </c>
      <c r="I1140" s="332">
        <v>0</v>
      </c>
      <c r="J1140" s="332">
        <v>0</v>
      </c>
      <c r="K1140" s="332">
        <v>0</v>
      </c>
      <c r="L1140" s="332">
        <v>0</v>
      </c>
      <c r="M1140" s="332">
        <v>0</v>
      </c>
      <c r="N1140" s="332">
        <v>0</v>
      </c>
      <c r="O1140" s="332">
        <v>0</v>
      </c>
      <c r="P1140" s="332">
        <v>0</v>
      </c>
      <c r="Q1140" s="188" t="s">
        <v>145</v>
      </c>
      <c r="R1140" s="293" t="s">
        <v>327</v>
      </c>
    </row>
    <row r="1141" spans="2:18" ht="22.5" customHeight="1" thickBot="1" x14ac:dyDescent="0.25">
      <c r="B1141" s="332">
        <f t="shared" ref="B1141" si="494">SUM(B1139:B1140)</f>
        <v>22</v>
      </c>
      <c r="C1141" s="332">
        <f t="shared" ref="C1141:P1141" si="495">SUM(C1139:C1140)</f>
        <v>22</v>
      </c>
      <c r="D1141" s="332">
        <f t="shared" si="495"/>
        <v>0</v>
      </c>
      <c r="E1141" s="332">
        <f t="shared" si="495"/>
        <v>2</v>
      </c>
      <c r="F1141" s="332">
        <f t="shared" si="495"/>
        <v>0</v>
      </c>
      <c r="G1141" s="332">
        <f t="shared" si="495"/>
        <v>4</v>
      </c>
      <c r="H1141" s="332">
        <f t="shared" si="495"/>
        <v>0</v>
      </c>
      <c r="I1141" s="332">
        <f t="shared" si="495"/>
        <v>16</v>
      </c>
      <c r="J1141" s="332">
        <f t="shared" si="495"/>
        <v>0</v>
      </c>
      <c r="K1141" s="332">
        <f t="shared" si="495"/>
        <v>0</v>
      </c>
      <c r="L1141" s="332">
        <f t="shared" si="495"/>
        <v>0</v>
      </c>
      <c r="M1141" s="332">
        <f t="shared" si="495"/>
        <v>0</v>
      </c>
      <c r="N1141" s="332">
        <f t="shared" si="495"/>
        <v>0</v>
      </c>
      <c r="O1141" s="332">
        <f t="shared" si="495"/>
        <v>0</v>
      </c>
      <c r="P1141" s="332">
        <f t="shared" si="495"/>
        <v>0</v>
      </c>
      <c r="Q1141" s="188" t="s">
        <v>12</v>
      </c>
      <c r="R1141" s="285"/>
    </row>
    <row r="1142" spans="2:18" ht="22.5" customHeight="1" thickBot="1" x14ac:dyDescent="0.25">
      <c r="B1142" s="332">
        <f>SUM(C1142:D1142)</f>
        <v>50</v>
      </c>
      <c r="C1142" s="332">
        <f>O1142+M1142+K1142+I1142+G1142+E1142</f>
        <v>50</v>
      </c>
      <c r="D1142" s="332">
        <f>P1142+N1142+L1142+J1142+H1142+F1142</f>
        <v>0</v>
      </c>
      <c r="E1142" s="332">
        <v>0</v>
      </c>
      <c r="F1142" s="332">
        <v>0</v>
      </c>
      <c r="G1142" s="332">
        <v>37</v>
      </c>
      <c r="H1142" s="332">
        <v>0</v>
      </c>
      <c r="I1142" s="332">
        <v>13</v>
      </c>
      <c r="J1142" s="332">
        <v>0</v>
      </c>
      <c r="K1142" s="332">
        <v>0</v>
      </c>
      <c r="L1142" s="332">
        <v>0</v>
      </c>
      <c r="M1142" s="332">
        <v>0</v>
      </c>
      <c r="N1142" s="332">
        <v>0</v>
      </c>
      <c r="O1142" s="332">
        <v>0</v>
      </c>
      <c r="P1142" s="332">
        <v>0</v>
      </c>
      <c r="Q1142" s="188" t="s">
        <v>146</v>
      </c>
      <c r="R1142" s="293"/>
    </row>
    <row r="1143" spans="2:18" ht="22.5" customHeight="1" thickBot="1" x14ac:dyDescent="0.25">
      <c r="B1143" s="332">
        <f>SUM(C1143:D1143)</f>
        <v>0</v>
      </c>
      <c r="C1143" s="332">
        <f>O1143+M1143+K1143+I1143+G1143+E1143</f>
        <v>0</v>
      </c>
      <c r="D1143" s="332">
        <f>P1143+N1143+L1143+J1143+H1143+F1143</f>
        <v>0</v>
      </c>
      <c r="E1143" s="332">
        <v>0</v>
      </c>
      <c r="F1143" s="332">
        <v>0</v>
      </c>
      <c r="G1143" s="332">
        <v>0</v>
      </c>
      <c r="H1143" s="332">
        <v>0</v>
      </c>
      <c r="I1143" s="332">
        <v>0</v>
      </c>
      <c r="J1143" s="332">
        <v>0</v>
      </c>
      <c r="K1143" s="332">
        <v>0</v>
      </c>
      <c r="L1143" s="332">
        <v>0</v>
      </c>
      <c r="M1143" s="332">
        <v>0</v>
      </c>
      <c r="N1143" s="332">
        <v>0</v>
      </c>
      <c r="O1143" s="332">
        <v>0</v>
      </c>
      <c r="P1143" s="332">
        <v>0</v>
      </c>
      <c r="Q1143" s="188" t="s">
        <v>145</v>
      </c>
      <c r="R1143" s="293" t="s">
        <v>328</v>
      </c>
    </row>
    <row r="1144" spans="2:18" ht="22.5" customHeight="1" thickBot="1" x14ac:dyDescent="0.25">
      <c r="B1144" s="332">
        <f t="shared" ref="B1144" si="496">SUM(B1142:B1143)</f>
        <v>50</v>
      </c>
      <c r="C1144" s="332">
        <f t="shared" ref="C1144:P1144" si="497">SUM(C1142:C1143)</f>
        <v>50</v>
      </c>
      <c r="D1144" s="332">
        <f t="shared" si="497"/>
        <v>0</v>
      </c>
      <c r="E1144" s="332">
        <f t="shared" si="497"/>
        <v>0</v>
      </c>
      <c r="F1144" s="332">
        <f t="shared" si="497"/>
        <v>0</v>
      </c>
      <c r="G1144" s="332">
        <f t="shared" si="497"/>
        <v>37</v>
      </c>
      <c r="H1144" s="332">
        <f t="shared" si="497"/>
        <v>0</v>
      </c>
      <c r="I1144" s="332">
        <f t="shared" si="497"/>
        <v>13</v>
      </c>
      <c r="J1144" s="332">
        <f t="shared" si="497"/>
        <v>0</v>
      </c>
      <c r="K1144" s="332">
        <f t="shared" si="497"/>
        <v>0</v>
      </c>
      <c r="L1144" s="332">
        <f t="shared" si="497"/>
        <v>0</v>
      </c>
      <c r="M1144" s="332">
        <f t="shared" si="497"/>
        <v>0</v>
      </c>
      <c r="N1144" s="332">
        <f t="shared" si="497"/>
        <v>0</v>
      </c>
      <c r="O1144" s="332">
        <f t="shared" si="497"/>
        <v>0</v>
      </c>
      <c r="P1144" s="332">
        <f t="shared" si="497"/>
        <v>0</v>
      </c>
      <c r="Q1144" s="188" t="s">
        <v>12</v>
      </c>
      <c r="R1144" s="285"/>
    </row>
    <row r="1145" spans="2:18" ht="22.5" customHeight="1" thickBot="1" x14ac:dyDescent="0.25">
      <c r="B1145" s="332">
        <f>SUM(C1145:D1145)</f>
        <v>26</v>
      </c>
      <c r="C1145" s="332">
        <f>O1145+M1145+K1145+I1145+G1145+E1145</f>
        <v>26</v>
      </c>
      <c r="D1145" s="332">
        <f>P1145+N1145+L1145+J1145+H1145+F1145</f>
        <v>0</v>
      </c>
      <c r="E1145" s="332">
        <v>0</v>
      </c>
      <c r="F1145" s="332">
        <v>0</v>
      </c>
      <c r="G1145" s="332">
        <v>18</v>
      </c>
      <c r="H1145" s="332">
        <v>0</v>
      </c>
      <c r="I1145" s="332">
        <v>8</v>
      </c>
      <c r="J1145" s="332">
        <v>0</v>
      </c>
      <c r="K1145" s="332">
        <v>0</v>
      </c>
      <c r="L1145" s="332">
        <v>0</v>
      </c>
      <c r="M1145" s="332">
        <v>0</v>
      </c>
      <c r="N1145" s="332">
        <v>0</v>
      </c>
      <c r="O1145" s="332">
        <v>0</v>
      </c>
      <c r="P1145" s="332">
        <v>0</v>
      </c>
      <c r="Q1145" s="188" t="s">
        <v>146</v>
      </c>
      <c r="R1145" s="293"/>
    </row>
    <row r="1146" spans="2:18" ht="22.5" customHeight="1" thickBot="1" x14ac:dyDescent="0.25">
      <c r="B1146" s="332">
        <f>SUM(C1146:D1146)</f>
        <v>0</v>
      </c>
      <c r="C1146" s="332">
        <f>O1146+M1146+K1146+I1146+G1146+E1146</f>
        <v>0</v>
      </c>
      <c r="D1146" s="332">
        <f>P1146+N1146+L1146+J1146+H1146+F1146</f>
        <v>0</v>
      </c>
      <c r="E1146" s="332">
        <v>0</v>
      </c>
      <c r="F1146" s="332">
        <v>0</v>
      </c>
      <c r="G1146" s="332">
        <v>0</v>
      </c>
      <c r="H1146" s="332">
        <v>0</v>
      </c>
      <c r="I1146" s="332">
        <v>0</v>
      </c>
      <c r="J1146" s="332">
        <v>0</v>
      </c>
      <c r="K1146" s="332">
        <v>0</v>
      </c>
      <c r="L1146" s="332">
        <v>0</v>
      </c>
      <c r="M1146" s="332">
        <v>0</v>
      </c>
      <c r="N1146" s="332">
        <v>0</v>
      </c>
      <c r="O1146" s="332">
        <v>0</v>
      </c>
      <c r="P1146" s="332">
        <v>0</v>
      </c>
      <c r="Q1146" s="188" t="s">
        <v>145</v>
      </c>
      <c r="R1146" s="293" t="s">
        <v>329</v>
      </c>
    </row>
    <row r="1147" spans="2:18" ht="22.5" customHeight="1" thickBot="1" x14ac:dyDescent="0.25">
      <c r="B1147" s="332">
        <f t="shared" ref="B1147" si="498">SUM(B1145:B1146)</f>
        <v>26</v>
      </c>
      <c r="C1147" s="332">
        <f t="shared" ref="C1147:P1147" si="499">SUM(C1145:C1146)</f>
        <v>26</v>
      </c>
      <c r="D1147" s="332">
        <f t="shared" si="499"/>
        <v>0</v>
      </c>
      <c r="E1147" s="332">
        <f t="shared" si="499"/>
        <v>0</v>
      </c>
      <c r="F1147" s="332">
        <f t="shared" si="499"/>
        <v>0</v>
      </c>
      <c r="G1147" s="332">
        <f t="shared" si="499"/>
        <v>18</v>
      </c>
      <c r="H1147" s="332">
        <f t="shared" si="499"/>
        <v>0</v>
      </c>
      <c r="I1147" s="332">
        <f t="shared" si="499"/>
        <v>8</v>
      </c>
      <c r="J1147" s="332">
        <f t="shared" si="499"/>
        <v>0</v>
      </c>
      <c r="K1147" s="332">
        <f t="shared" si="499"/>
        <v>0</v>
      </c>
      <c r="L1147" s="332">
        <f t="shared" si="499"/>
        <v>0</v>
      </c>
      <c r="M1147" s="332">
        <f t="shared" si="499"/>
        <v>0</v>
      </c>
      <c r="N1147" s="332">
        <f t="shared" si="499"/>
        <v>0</v>
      </c>
      <c r="O1147" s="332">
        <f t="shared" si="499"/>
        <v>0</v>
      </c>
      <c r="P1147" s="332">
        <f t="shared" si="499"/>
        <v>0</v>
      </c>
      <c r="Q1147" s="188" t="s">
        <v>12</v>
      </c>
      <c r="R1147" s="285"/>
    </row>
    <row r="1148" spans="2:18" ht="22.5" customHeight="1" thickBot="1" x14ac:dyDescent="0.25">
      <c r="B1148" s="332">
        <f>SUM(C1148:D1148)</f>
        <v>29</v>
      </c>
      <c r="C1148" s="332">
        <f>O1148+M1148+K1148+I1148+G1148+E1148</f>
        <v>29</v>
      </c>
      <c r="D1148" s="332">
        <f>P1148+N1148+L1148+J1148+H1148+F1148</f>
        <v>0</v>
      </c>
      <c r="E1148" s="332">
        <v>0</v>
      </c>
      <c r="F1148" s="332">
        <v>0</v>
      </c>
      <c r="G1148" s="332">
        <v>25</v>
      </c>
      <c r="H1148" s="332">
        <v>0</v>
      </c>
      <c r="I1148" s="332">
        <v>4</v>
      </c>
      <c r="J1148" s="332">
        <v>0</v>
      </c>
      <c r="K1148" s="332">
        <v>0</v>
      </c>
      <c r="L1148" s="332">
        <v>0</v>
      </c>
      <c r="M1148" s="332">
        <v>0</v>
      </c>
      <c r="N1148" s="332">
        <v>0</v>
      </c>
      <c r="O1148" s="332">
        <v>0</v>
      </c>
      <c r="P1148" s="332">
        <v>0</v>
      </c>
      <c r="Q1148" s="188" t="s">
        <v>146</v>
      </c>
      <c r="R1148" s="293"/>
    </row>
    <row r="1149" spans="2:18" ht="22.5" customHeight="1" thickBot="1" x14ac:dyDescent="0.25">
      <c r="B1149" s="332">
        <f>SUM(C1149:D1149)</f>
        <v>0</v>
      </c>
      <c r="C1149" s="332">
        <f>O1149+M1149+K1149+I1149+G1149+E1149</f>
        <v>0</v>
      </c>
      <c r="D1149" s="332">
        <f>P1149+N1149+L1149+J1149+H1149+F1149</f>
        <v>0</v>
      </c>
      <c r="E1149" s="332">
        <v>0</v>
      </c>
      <c r="F1149" s="332">
        <v>0</v>
      </c>
      <c r="G1149" s="332">
        <v>0</v>
      </c>
      <c r="H1149" s="332">
        <v>0</v>
      </c>
      <c r="I1149" s="332">
        <v>0</v>
      </c>
      <c r="J1149" s="332">
        <v>0</v>
      </c>
      <c r="K1149" s="332">
        <v>0</v>
      </c>
      <c r="L1149" s="332">
        <v>0</v>
      </c>
      <c r="M1149" s="332">
        <v>0</v>
      </c>
      <c r="N1149" s="332">
        <v>0</v>
      </c>
      <c r="O1149" s="332">
        <v>0</v>
      </c>
      <c r="P1149" s="332">
        <v>0</v>
      </c>
      <c r="Q1149" s="188" t="s">
        <v>145</v>
      </c>
      <c r="R1149" s="293" t="s">
        <v>330</v>
      </c>
    </row>
    <row r="1150" spans="2:18" ht="22.5" customHeight="1" thickBot="1" x14ac:dyDescent="0.25">
      <c r="B1150" s="332">
        <f t="shared" ref="B1150" si="500">SUM(B1148:B1149)</f>
        <v>29</v>
      </c>
      <c r="C1150" s="332">
        <f t="shared" ref="C1150:P1150" si="501">SUM(C1148:C1149)</f>
        <v>29</v>
      </c>
      <c r="D1150" s="332">
        <f t="shared" si="501"/>
        <v>0</v>
      </c>
      <c r="E1150" s="332">
        <f t="shared" si="501"/>
        <v>0</v>
      </c>
      <c r="F1150" s="332">
        <f t="shared" si="501"/>
        <v>0</v>
      </c>
      <c r="G1150" s="332">
        <f t="shared" si="501"/>
        <v>25</v>
      </c>
      <c r="H1150" s="332">
        <f t="shared" si="501"/>
        <v>0</v>
      </c>
      <c r="I1150" s="332">
        <f t="shared" si="501"/>
        <v>4</v>
      </c>
      <c r="J1150" s="332">
        <f t="shared" si="501"/>
        <v>0</v>
      </c>
      <c r="K1150" s="332">
        <f t="shared" si="501"/>
        <v>0</v>
      </c>
      <c r="L1150" s="332">
        <f t="shared" si="501"/>
        <v>0</v>
      </c>
      <c r="M1150" s="332">
        <f t="shared" si="501"/>
        <v>0</v>
      </c>
      <c r="N1150" s="332">
        <f t="shared" si="501"/>
        <v>0</v>
      </c>
      <c r="O1150" s="332">
        <f t="shared" si="501"/>
        <v>0</v>
      </c>
      <c r="P1150" s="332">
        <f t="shared" si="501"/>
        <v>0</v>
      </c>
      <c r="Q1150" s="188" t="s">
        <v>12</v>
      </c>
      <c r="R1150" s="285"/>
    </row>
    <row r="1151" spans="2:18" ht="22.5" customHeight="1" thickBot="1" x14ac:dyDescent="0.25">
      <c r="B1151" s="332">
        <f>SUM(C1151:D1151)</f>
        <v>27</v>
      </c>
      <c r="C1151" s="332">
        <f>O1151+M1151+K1151+I1151+G1151+E1151</f>
        <v>27</v>
      </c>
      <c r="D1151" s="332">
        <f>P1151+N1151+L1151+J1151+H1151+F1151</f>
        <v>0</v>
      </c>
      <c r="E1151" s="332">
        <v>0</v>
      </c>
      <c r="F1151" s="332">
        <v>0</v>
      </c>
      <c r="G1151" s="332">
        <v>15</v>
      </c>
      <c r="H1151" s="332">
        <v>0</v>
      </c>
      <c r="I1151" s="332">
        <v>12</v>
      </c>
      <c r="J1151" s="332">
        <v>0</v>
      </c>
      <c r="K1151" s="332">
        <v>0</v>
      </c>
      <c r="L1151" s="332">
        <v>0</v>
      </c>
      <c r="M1151" s="332">
        <v>0</v>
      </c>
      <c r="N1151" s="332">
        <v>0</v>
      </c>
      <c r="O1151" s="332">
        <v>0</v>
      </c>
      <c r="P1151" s="332">
        <v>0</v>
      </c>
      <c r="Q1151" s="188" t="s">
        <v>146</v>
      </c>
      <c r="R1151" s="293"/>
    </row>
    <row r="1152" spans="2:18" ht="22.5" customHeight="1" thickBot="1" x14ac:dyDescent="0.25">
      <c r="B1152" s="332">
        <f>SUM(C1152:D1152)</f>
        <v>0</v>
      </c>
      <c r="C1152" s="332">
        <f>O1152+M1152+K1152+I1152+G1152+E1152</f>
        <v>0</v>
      </c>
      <c r="D1152" s="332">
        <f>P1152+N1152+L1152+J1152+H1152+F1152</f>
        <v>0</v>
      </c>
      <c r="E1152" s="332">
        <v>0</v>
      </c>
      <c r="F1152" s="332">
        <v>0</v>
      </c>
      <c r="G1152" s="332">
        <v>0</v>
      </c>
      <c r="H1152" s="332">
        <v>0</v>
      </c>
      <c r="I1152" s="332">
        <v>0</v>
      </c>
      <c r="J1152" s="332">
        <v>0</v>
      </c>
      <c r="K1152" s="332">
        <v>0</v>
      </c>
      <c r="L1152" s="332">
        <v>0</v>
      </c>
      <c r="M1152" s="332">
        <v>0</v>
      </c>
      <c r="N1152" s="332">
        <v>0</v>
      </c>
      <c r="O1152" s="332">
        <v>0</v>
      </c>
      <c r="P1152" s="332">
        <v>0</v>
      </c>
      <c r="Q1152" s="188" t="s">
        <v>145</v>
      </c>
      <c r="R1152" s="293" t="s">
        <v>331</v>
      </c>
    </row>
    <row r="1153" spans="2:18" ht="22.5" customHeight="1" thickBot="1" x14ac:dyDescent="0.25">
      <c r="B1153" s="332">
        <f t="shared" ref="B1153" si="502">SUM(B1151:B1152)</f>
        <v>27</v>
      </c>
      <c r="C1153" s="332">
        <f t="shared" ref="C1153:P1153" si="503">SUM(C1151:C1152)</f>
        <v>27</v>
      </c>
      <c r="D1153" s="332">
        <f t="shared" si="503"/>
        <v>0</v>
      </c>
      <c r="E1153" s="332">
        <f t="shared" si="503"/>
        <v>0</v>
      </c>
      <c r="F1153" s="332">
        <f t="shared" si="503"/>
        <v>0</v>
      </c>
      <c r="G1153" s="332">
        <f t="shared" si="503"/>
        <v>15</v>
      </c>
      <c r="H1153" s="332">
        <f t="shared" si="503"/>
        <v>0</v>
      </c>
      <c r="I1153" s="332">
        <f t="shared" si="503"/>
        <v>12</v>
      </c>
      <c r="J1153" s="332">
        <f t="shared" si="503"/>
        <v>0</v>
      </c>
      <c r="K1153" s="332">
        <f t="shared" si="503"/>
        <v>0</v>
      </c>
      <c r="L1153" s="332">
        <f t="shared" si="503"/>
        <v>0</v>
      </c>
      <c r="M1153" s="332">
        <f t="shared" si="503"/>
        <v>0</v>
      </c>
      <c r="N1153" s="332">
        <f t="shared" si="503"/>
        <v>0</v>
      </c>
      <c r="O1153" s="332">
        <f t="shared" si="503"/>
        <v>0</v>
      </c>
      <c r="P1153" s="332">
        <f t="shared" si="503"/>
        <v>0</v>
      </c>
      <c r="Q1153" s="188" t="s">
        <v>12</v>
      </c>
      <c r="R1153" s="285"/>
    </row>
    <row r="1154" spans="2:18" ht="22.5" customHeight="1" thickBot="1" x14ac:dyDescent="0.25">
      <c r="B1154" s="332">
        <f>SUM(C1154:D1154)</f>
        <v>20</v>
      </c>
      <c r="C1154" s="332">
        <f>O1154+M1154+K1154+I1154+G1154+E1154</f>
        <v>20</v>
      </c>
      <c r="D1154" s="332">
        <f>P1154+N1154+L1154+J1154+H1154+F1154</f>
        <v>0</v>
      </c>
      <c r="E1154" s="332">
        <v>0</v>
      </c>
      <c r="F1154" s="332">
        <v>0</v>
      </c>
      <c r="G1154" s="332">
        <v>13</v>
      </c>
      <c r="H1154" s="332">
        <v>0</v>
      </c>
      <c r="I1154" s="332">
        <v>7</v>
      </c>
      <c r="J1154" s="332">
        <v>0</v>
      </c>
      <c r="K1154" s="332">
        <v>0</v>
      </c>
      <c r="L1154" s="332">
        <v>0</v>
      </c>
      <c r="M1154" s="332">
        <v>0</v>
      </c>
      <c r="N1154" s="332">
        <v>0</v>
      </c>
      <c r="O1154" s="332">
        <v>0</v>
      </c>
      <c r="P1154" s="332">
        <v>0</v>
      </c>
      <c r="Q1154" s="188" t="s">
        <v>146</v>
      </c>
      <c r="R1154" s="293"/>
    </row>
    <row r="1155" spans="2:18" ht="22.5" customHeight="1" thickBot="1" x14ac:dyDescent="0.25">
      <c r="B1155" s="332">
        <f>SUM(C1155:D1155)</f>
        <v>0</v>
      </c>
      <c r="C1155" s="332">
        <f>O1155+M1155+K1155+I1155+G1155+E1155</f>
        <v>0</v>
      </c>
      <c r="D1155" s="332">
        <f>P1155+N1155+L1155+J1155+H1155+F1155</f>
        <v>0</v>
      </c>
      <c r="E1155" s="332">
        <v>0</v>
      </c>
      <c r="F1155" s="332">
        <v>0</v>
      </c>
      <c r="G1155" s="332">
        <v>0</v>
      </c>
      <c r="H1155" s="332">
        <v>0</v>
      </c>
      <c r="I1155" s="332">
        <v>0</v>
      </c>
      <c r="J1155" s="332">
        <v>0</v>
      </c>
      <c r="K1155" s="332">
        <v>0</v>
      </c>
      <c r="L1155" s="332">
        <v>0</v>
      </c>
      <c r="M1155" s="332">
        <v>0</v>
      </c>
      <c r="N1155" s="332">
        <v>0</v>
      </c>
      <c r="O1155" s="332">
        <v>0</v>
      </c>
      <c r="P1155" s="332">
        <v>0</v>
      </c>
      <c r="Q1155" s="188" t="s">
        <v>145</v>
      </c>
      <c r="R1155" s="293" t="s">
        <v>332</v>
      </c>
    </row>
    <row r="1156" spans="2:18" ht="22.5" customHeight="1" thickBot="1" x14ac:dyDescent="0.25">
      <c r="B1156" s="332">
        <f t="shared" ref="B1156" si="504">SUM(B1154:B1155)</f>
        <v>20</v>
      </c>
      <c r="C1156" s="332">
        <f t="shared" ref="C1156:P1156" si="505">SUM(C1154:C1155)</f>
        <v>20</v>
      </c>
      <c r="D1156" s="332">
        <f t="shared" si="505"/>
        <v>0</v>
      </c>
      <c r="E1156" s="332">
        <f t="shared" si="505"/>
        <v>0</v>
      </c>
      <c r="F1156" s="332">
        <f t="shared" si="505"/>
        <v>0</v>
      </c>
      <c r="G1156" s="332">
        <f t="shared" si="505"/>
        <v>13</v>
      </c>
      <c r="H1156" s="332">
        <f t="shared" si="505"/>
        <v>0</v>
      </c>
      <c r="I1156" s="332">
        <f t="shared" si="505"/>
        <v>7</v>
      </c>
      <c r="J1156" s="332">
        <f t="shared" si="505"/>
        <v>0</v>
      </c>
      <c r="K1156" s="332">
        <f t="shared" si="505"/>
        <v>0</v>
      </c>
      <c r="L1156" s="332">
        <f t="shared" si="505"/>
        <v>0</v>
      </c>
      <c r="M1156" s="332">
        <f t="shared" si="505"/>
        <v>0</v>
      </c>
      <c r="N1156" s="332">
        <f t="shared" si="505"/>
        <v>0</v>
      </c>
      <c r="O1156" s="332">
        <f t="shared" si="505"/>
        <v>0</v>
      </c>
      <c r="P1156" s="332">
        <f t="shared" si="505"/>
        <v>0</v>
      </c>
      <c r="Q1156" s="188" t="s">
        <v>12</v>
      </c>
      <c r="R1156" s="285"/>
    </row>
    <row r="1157" spans="2:18" ht="22.5" customHeight="1" thickBot="1" x14ac:dyDescent="0.25">
      <c r="B1157" s="332">
        <f>SUM(C1157:D1157)</f>
        <v>19</v>
      </c>
      <c r="C1157" s="332">
        <f>O1157+M1157+K1157+I1157+G1157+E1157</f>
        <v>19</v>
      </c>
      <c r="D1157" s="332">
        <f>P1157+N1157+L1157+J1157+H1157+F1157</f>
        <v>0</v>
      </c>
      <c r="E1157" s="332">
        <v>0</v>
      </c>
      <c r="F1157" s="332">
        <v>0</v>
      </c>
      <c r="G1157" s="332">
        <v>19</v>
      </c>
      <c r="H1157" s="332">
        <v>0</v>
      </c>
      <c r="I1157" s="332">
        <v>0</v>
      </c>
      <c r="J1157" s="332">
        <v>0</v>
      </c>
      <c r="K1157" s="332">
        <v>0</v>
      </c>
      <c r="L1157" s="332">
        <v>0</v>
      </c>
      <c r="M1157" s="332">
        <v>0</v>
      </c>
      <c r="N1157" s="332">
        <v>0</v>
      </c>
      <c r="O1157" s="332">
        <v>0</v>
      </c>
      <c r="P1157" s="332">
        <v>0</v>
      </c>
      <c r="Q1157" s="188" t="s">
        <v>146</v>
      </c>
      <c r="R1157" s="293"/>
    </row>
    <row r="1158" spans="2:18" ht="22.5" customHeight="1" thickBot="1" x14ac:dyDescent="0.25">
      <c r="B1158" s="332">
        <f>SUM(C1158:D1158)</f>
        <v>0</v>
      </c>
      <c r="C1158" s="332">
        <f>O1158+M1158+K1158+I1158+G1158+E1158</f>
        <v>0</v>
      </c>
      <c r="D1158" s="332">
        <f>P1158+N1158+L1158+J1158+H1158+F1158</f>
        <v>0</v>
      </c>
      <c r="E1158" s="332">
        <v>0</v>
      </c>
      <c r="F1158" s="332">
        <v>0</v>
      </c>
      <c r="G1158" s="332">
        <v>0</v>
      </c>
      <c r="H1158" s="332">
        <v>0</v>
      </c>
      <c r="I1158" s="332">
        <v>0</v>
      </c>
      <c r="J1158" s="332">
        <v>0</v>
      </c>
      <c r="K1158" s="332">
        <v>0</v>
      </c>
      <c r="L1158" s="332">
        <v>0</v>
      </c>
      <c r="M1158" s="332">
        <v>0</v>
      </c>
      <c r="N1158" s="332">
        <v>0</v>
      </c>
      <c r="O1158" s="332">
        <v>0</v>
      </c>
      <c r="P1158" s="332">
        <v>0</v>
      </c>
      <c r="Q1158" s="188" t="s">
        <v>145</v>
      </c>
      <c r="R1158" s="293" t="s">
        <v>333</v>
      </c>
    </row>
    <row r="1159" spans="2:18" ht="22.5" customHeight="1" thickBot="1" x14ac:dyDescent="0.25">
      <c r="B1159" s="332">
        <f t="shared" ref="B1159" si="506">SUM(B1157:B1158)</f>
        <v>19</v>
      </c>
      <c r="C1159" s="332">
        <f t="shared" ref="C1159:P1159" si="507">SUM(C1157:C1158)</f>
        <v>19</v>
      </c>
      <c r="D1159" s="332">
        <f t="shared" si="507"/>
        <v>0</v>
      </c>
      <c r="E1159" s="332">
        <f t="shared" si="507"/>
        <v>0</v>
      </c>
      <c r="F1159" s="332">
        <f t="shared" si="507"/>
        <v>0</v>
      </c>
      <c r="G1159" s="332">
        <f t="shared" si="507"/>
        <v>19</v>
      </c>
      <c r="H1159" s="332">
        <f t="shared" si="507"/>
        <v>0</v>
      </c>
      <c r="I1159" s="332">
        <f t="shared" si="507"/>
        <v>0</v>
      </c>
      <c r="J1159" s="332">
        <f t="shared" si="507"/>
        <v>0</v>
      </c>
      <c r="K1159" s="332">
        <f t="shared" si="507"/>
        <v>0</v>
      </c>
      <c r="L1159" s="332">
        <f t="shared" si="507"/>
        <v>0</v>
      </c>
      <c r="M1159" s="332">
        <f t="shared" si="507"/>
        <v>0</v>
      </c>
      <c r="N1159" s="332">
        <f t="shared" si="507"/>
        <v>0</v>
      </c>
      <c r="O1159" s="332">
        <f t="shared" si="507"/>
        <v>0</v>
      </c>
      <c r="P1159" s="332">
        <f t="shared" si="507"/>
        <v>0</v>
      </c>
      <c r="Q1159" s="188" t="s">
        <v>12</v>
      </c>
      <c r="R1159" s="285"/>
    </row>
    <row r="1160" spans="2:18" ht="22.5" customHeight="1" thickBot="1" x14ac:dyDescent="0.25">
      <c r="B1160" s="332">
        <f t="shared" ref="B1160:P1162" si="508">B1028+B1031+B1034+B1037+B1040+B1043+B1046+B1049+B1052+B1055+B1058+B1061+B1064+B1067+B1070+B1073+B1076+B1079+B1082+B1085+B1088+B1091+B1094+B1097+B1100+B1103+B1106+B1109+B1112+B1115+B1118+B1121+B1124+B1127+B1130+B1133+B1136+B1139+B1142+B1145+B1148+B1151+B1154+B1157</f>
        <v>3404</v>
      </c>
      <c r="C1160" s="332">
        <f t="shared" si="508"/>
        <v>244</v>
      </c>
      <c r="D1160" s="332">
        <f t="shared" si="508"/>
        <v>3160</v>
      </c>
      <c r="E1160" s="332">
        <f t="shared" si="508"/>
        <v>2</v>
      </c>
      <c r="F1160" s="332">
        <f t="shared" si="508"/>
        <v>381</v>
      </c>
      <c r="G1160" s="332">
        <f t="shared" si="508"/>
        <v>182</v>
      </c>
      <c r="H1160" s="332">
        <f t="shared" si="508"/>
        <v>2437</v>
      </c>
      <c r="I1160" s="332">
        <f t="shared" si="508"/>
        <v>60</v>
      </c>
      <c r="J1160" s="332">
        <f t="shared" si="508"/>
        <v>212</v>
      </c>
      <c r="K1160" s="332">
        <f t="shared" si="508"/>
        <v>0</v>
      </c>
      <c r="L1160" s="332">
        <f t="shared" si="508"/>
        <v>121</v>
      </c>
      <c r="M1160" s="332">
        <f t="shared" si="508"/>
        <v>0</v>
      </c>
      <c r="N1160" s="332">
        <f t="shared" si="508"/>
        <v>7</v>
      </c>
      <c r="O1160" s="332">
        <f t="shared" si="508"/>
        <v>0</v>
      </c>
      <c r="P1160" s="332">
        <f t="shared" si="508"/>
        <v>2</v>
      </c>
      <c r="Q1160" s="188" t="s">
        <v>146</v>
      </c>
      <c r="R1160" s="250"/>
    </row>
    <row r="1161" spans="2:18" ht="22.5" customHeight="1" thickBot="1" x14ac:dyDescent="0.25">
      <c r="B1161" s="332">
        <f t="shared" si="508"/>
        <v>748</v>
      </c>
      <c r="C1161" s="332">
        <f t="shared" si="508"/>
        <v>0</v>
      </c>
      <c r="D1161" s="332">
        <f t="shared" si="508"/>
        <v>748</v>
      </c>
      <c r="E1161" s="332">
        <f t="shared" si="508"/>
        <v>0</v>
      </c>
      <c r="F1161" s="332">
        <f t="shared" si="508"/>
        <v>10</v>
      </c>
      <c r="G1161" s="332">
        <f t="shared" si="508"/>
        <v>0</v>
      </c>
      <c r="H1161" s="332">
        <f t="shared" si="508"/>
        <v>382</v>
      </c>
      <c r="I1161" s="332">
        <f t="shared" si="508"/>
        <v>0</v>
      </c>
      <c r="J1161" s="332">
        <f t="shared" si="508"/>
        <v>227</v>
      </c>
      <c r="K1161" s="332">
        <f t="shared" si="508"/>
        <v>0</v>
      </c>
      <c r="L1161" s="332">
        <f t="shared" si="508"/>
        <v>123</v>
      </c>
      <c r="M1161" s="332">
        <f t="shared" si="508"/>
        <v>0</v>
      </c>
      <c r="N1161" s="332">
        <f t="shared" si="508"/>
        <v>6</v>
      </c>
      <c r="O1161" s="332">
        <f t="shared" si="508"/>
        <v>0</v>
      </c>
      <c r="P1161" s="332">
        <f t="shared" si="508"/>
        <v>0</v>
      </c>
      <c r="Q1161" s="188" t="s">
        <v>145</v>
      </c>
      <c r="R1161" s="251" t="s">
        <v>188</v>
      </c>
    </row>
    <row r="1162" spans="2:18" ht="22.5" customHeight="1" thickBot="1" x14ac:dyDescent="0.25">
      <c r="B1162" s="332">
        <f t="shared" si="508"/>
        <v>4152</v>
      </c>
      <c r="C1162" s="332">
        <f t="shared" si="508"/>
        <v>244</v>
      </c>
      <c r="D1162" s="332">
        <f t="shared" si="508"/>
        <v>3908</v>
      </c>
      <c r="E1162" s="332">
        <f t="shared" si="508"/>
        <v>2</v>
      </c>
      <c r="F1162" s="332">
        <f t="shared" si="508"/>
        <v>391</v>
      </c>
      <c r="G1162" s="332">
        <f t="shared" si="508"/>
        <v>182</v>
      </c>
      <c r="H1162" s="332">
        <f t="shared" si="508"/>
        <v>2819</v>
      </c>
      <c r="I1162" s="332">
        <f t="shared" si="508"/>
        <v>60</v>
      </c>
      <c r="J1162" s="332">
        <f t="shared" si="508"/>
        <v>439</v>
      </c>
      <c r="K1162" s="332">
        <f t="shared" si="508"/>
        <v>0</v>
      </c>
      <c r="L1162" s="332">
        <f t="shared" si="508"/>
        <v>244</v>
      </c>
      <c r="M1162" s="332">
        <f t="shared" si="508"/>
        <v>0</v>
      </c>
      <c r="N1162" s="332">
        <f t="shared" si="508"/>
        <v>13</v>
      </c>
      <c r="O1162" s="332">
        <f t="shared" si="508"/>
        <v>0</v>
      </c>
      <c r="P1162" s="332">
        <f t="shared" si="508"/>
        <v>2</v>
      </c>
      <c r="Q1162" s="188" t="s">
        <v>12</v>
      </c>
      <c r="R1162" s="187"/>
    </row>
    <row r="1163" spans="2:18" ht="22.5" customHeight="1" thickBot="1" x14ac:dyDescent="0.25"/>
    <row r="1164" spans="2:18" ht="22.5" customHeight="1" thickBot="1" x14ac:dyDescent="0.25">
      <c r="B1164" s="554" t="s">
        <v>4</v>
      </c>
      <c r="C1164" s="554"/>
      <c r="D1164" s="554"/>
      <c r="E1164" s="554" t="s">
        <v>735</v>
      </c>
      <c r="F1164" s="554"/>
      <c r="G1164" s="554" t="s">
        <v>736</v>
      </c>
      <c r="H1164" s="554"/>
      <c r="I1164" s="554" t="s">
        <v>737</v>
      </c>
      <c r="J1164" s="554"/>
      <c r="K1164" s="554" t="s">
        <v>738</v>
      </c>
      <c r="L1164" s="554"/>
      <c r="M1164" s="554" t="s">
        <v>739</v>
      </c>
      <c r="N1164" s="554"/>
      <c r="O1164" s="554" t="s">
        <v>740</v>
      </c>
      <c r="P1164" s="554"/>
      <c r="Q1164" s="575" t="s">
        <v>741</v>
      </c>
      <c r="R1164" s="203" t="s">
        <v>144</v>
      </c>
    </row>
    <row r="1165" spans="2:18" ht="22.5" customHeight="1" thickBot="1" x14ac:dyDescent="0.25">
      <c r="B1165" s="203" t="s">
        <v>227</v>
      </c>
      <c r="C1165" s="203" t="s">
        <v>10</v>
      </c>
      <c r="D1165" s="203" t="s">
        <v>9</v>
      </c>
      <c r="E1165" s="203" t="s">
        <v>10</v>
      </c>
      <c r="F1165" s="203" t="s">
        <v>9</v>
      </c>
      <c r="G1165" s="203" t="s">
        <v>10</v>
      </c>
      <c r="H1165" s="203" t="s">
        <v>9</v>
      </c>
      <c r="I1165" s="203" t="s">
        <v>10</v>
      </c>
      <c r="J1165" s="203" t="s">
        <v>9</v>
      </c>
      <c r="K1165" s="203" t="s">
        <v>10</v>
      </c>
      <c r="L1165" s="203" t="s">
        <v>9</v>
      </c>
      <c r="M1165" s="203" t="s">
        <v>10</v>
      </c>
      <c r="N1165" s="203" t="s">
        <v>9</v>
      </c>
      <c r="O1165" s="203" t="s">
        <v>10</v>
      </c>
      <c r="P1165" s="203" t="s">
        <v>9</v>
      </c>
      <c r="Q1165" s="481"/>
      <c r="R1165" s="205" t="s">
        <v>152</v>
      </c>
    </row>
    <row r="1166" spans="2:18" ht="22.5" customHeight="1" thickBot="1" x14ac:dyDescent="0.25">
      <c r="B1166" s="335">
        <f t="shared" ref="B1166:B1167" si="509">SUM(C1166:D1166)</f>
        <v>11</v>
      </c>
      <c r="C1166" s="335">
        <f t="shared" ref="C1166:D1167" si="510">O1166+M1166+K1166+I1166+G1166+E1166</f>
        <v>6</v>
      </c>
      <c r="D1166" s="335">
        <f t="shared" si="510"/>
        <v>5</v>
      </c>
      <c r="E1166" s="335">
        <v>3</v>
      </c>
      <c r="F1166" s="335">
        <v>1</v>
      </c>
      <c r="G1166" s="335">
        <v>0</v>
      </c>
      <c r="H1166" s="335">
        <v>0</v>
      </c>
      <c r="I1166" s="335">
        <v>3</v>
      </c>
      <c r="J1166" s="335">
        <v>4</v>
      </c>
      <c r="K1166" s="335">
        <v>0</v>
      </c>
      <c r="L1166" s="335">
        <v>0</v>
      </c>
      <c r="M1166" s="335">
        <v>0</v>
      </c>
      <c r="N1166" s="335">
        <v>0</v>
      </c>
      <c r="O1166" s="335">
        <v>0</v>
      </c>
      <c r="P1166" s="335">
        <v>0</v>
      </c>
      <c r="Q1166" s="220" t="s">
        <v>146</v>
      </c>
      <c r="R1166" s="584" t="s">
        <v>336</v>
      </c>
    </row>
    <row r="1167" spans="2:18" ht="22.5" customHeight="1" thickBot="1" x14ac:dyDescent="0.25">
      <c r="B1167" s="335">
        <f t="shared" si="509"/>
        <v>45</v>
      </c>
      <c r="C1167" s="335">
        <f t="shared" si="510"/>
        <v>2</v>
      </c>
      <c r="D1167" s="335">
        <f t="shared" si="510"/>
        <v>43</v>
      </c>
      <c r="E1167" s="335">
        <v>0</v>
      </c>
      <c r="F1167" s="335">
        <v>13</v>
      </c>
      <c r="G1167" s="335">
        <v>0</v>
      </c>
      <c r="H1167" s="335">
        <v>0</v>
      </c>
      <c r="I1167" s="335">
        <v>2</v>
      </c>
      <c r="J1167" s="335">
        <v>21</v>
      </c>
      <c r="K1167" s="335">
        <v>0</v>
      </c>
      <c r="L1167" s="335">
        <v>9</v>
      </c>
      <c r="M1167" s="335">
        <v>0</v>
      </c>
      <c r="N1167" s="335">
        <v>0</v>
      </c>
      <c r="O1167" s="335">
        <v>0</v>
      </c>
      <c r="P1167" s="335">
        <v>0</v>
      </c>
      <c r="Q1167" s="220" t="s">
        <v>145</v>
      </c>
      <c r="R1167" s="585"/>
    </row>
    <row r="1168" spans="2:18" ht="22.5" customHeight="1" thickBot="1" x14ac:dyDescent="0.25">
      <c r="B1168" s="335">
        <f t="shared" ref="B1168:O1168" si="511">SUM(B1166:B1167)</f>
        <v>56</v>
      </c>
      <c r="C1168" s="335">
        <f t="shared" si="511"/>
        <v>8</v>
      </c>
      <c r="D1168" s="335">
        <f t="shared" si="511"/>
        <v>48</v>
      </c>
      <c r="E1168" s="335">
        <f t="shared" si="511"/>
        <v>3</v>
      </c>
      <c r="F1168" s="335">
        <f t="shared" si="511"/>
        <v>14</v>
      </c>
      <c r="G1168" s="335">
        <f t="shared" si="511"/>
        <v>0</v>
      </c>
      <c r="H1168" s="335">
        <f t="shared" si="511"/>
        <v>0</v>
      </c>
      <c r="I1168" s="335">
        <f t="shared" si="511"/>
        <v>5</v>
      </c>
      <c r="J1168" s="335">
        <f t="shared" si="511"/>
        <v>25</v>
      </c>
      <c r="K1168" s="335">
        <f t="shared" si="511"/>
        <v>0</v>
      </c>
      <c r="L1168" s="335">
        <f t="shared" si="511"/>
        <v>9</v>
      </c>
      <c r="M1168" s="335">
        <f t="shared" si="511"/>
        <v>0</v>
      </c>
      <c r="N1168" s="335">
        <f t="shared" si="511"/>
        <v>0</v>
      </c>
      <c r="O1168" s="335">
        <f t="shared" si="511"/>
        <v>0</v>
      </c>
      <c r="P1168" s="335">
        <f>SUM(P1166:P1167)</f>
        <v>0</v>
      </c>
      <c r="Q1168" s="220" t="s">
        <v>12</v>
      </c>
      <c r="R1168" s="586"/>
    </row>
    <row r="1169" spans="2:18" ht="22.5" customHeight="1" thickBot="1" x14ac:dyDescent="0.25">
      <c r="B1169" s="335">
        <f t="shared" ref="B1169:P1171" si="512">B1166</f>
        <v>11</v>
      </c>
      <c r="C1169" s="335">
        <f t="shared" si="512"/>
        <v>6</v>
      </c>
      <c r="D1169" s="335">
        <f t="shared" si="512"/>
        <v>5</v>
      </c>
      <c r="E1169" s="335">
        <f t="shared" si="512"/>
        <v>3</v>
      </c>
      <c r="F1169" s="335">
        <f t="shared" si="512"/>
        <v>1</v>
      </c>
      <c r="G1169" s="335">
        <f t="shared" si="512"/>
        <v>0</v>
      </c>
      <c r="H1169" s="335">
        <f t="shared" si="512"/>
        <v>0</v>
      </c>
      <c r="I1169" s="335">
        <f t="shared" si="512"/>
        <v>3</v>
      </c>
      <c r="J1169" s="335">
        <f t="shared" si="512"/>
        <v>4</v>
      </c>
      <c r="K1169" s="335">
        <f t="shared" si="512"/>
        <v>0</v>
      </c>
      <c r="L1169" s="335">
        <f t="shared" si="512"/>
        <v>0</v>
      </c>
      <c r="M1169" s="335">
        <f t="shared" si="512"/>
        <v>0</v>
      </c>
      <c r="N1169" s="335">
        <f t="shared" si="512"/>
        <v>0</v>
      </c>
      <c r="O1169" s="335">
        <f t="shared" si="512"/>
        <v>0</v>
      </c>
      <c r="P1169" s="335">
        <f>P1166</f>
        <v>0</v>
      </c>
      <c r="Q1169" s="220" t="s">
        <v>146</v>
      </c>
      <c r="R1169" s="308"/>
    </row>
    <row r="1170" spans="2:18" ht="22.5" customHeight="1" thickBot="1" x14ac:dyDescent="0.25">
      <c r="B1170" s="335">
        <f t="shared" si="512"/>
        <v>45</v>
      </c>
      <c r="C1170" s="335">
        <f t="shared" si="512"/>
        <v>2</v>
      </c>
      <c r="D1170" s="335">
        <f t="shared" si="512"/>
        <v>43</v>
      </c>
      <c r="E1170" s="335">
        <f t="shared" si="512"/>
        <v>0</v>
      </c>
      <c r="F1170" s="335">
        <f t="shared" si="512"/>
        <v>13</v>
      </c>
      <c r="G1170" s="335">
        <f t="shared" si="512"/>
        <v>0</v>
      </c>
      <c r="H1170" s="335">
        <f t="shared" si="512"/>
        <v>0</v>
      </c>
      <c r="I1170" s="335">
        <f t="shared" si="512"/>
        <v>2</v>
      </c>
      <c r="J1170" s="335">
        <f t="shared" si="512"/>
        <v>21</v>
      </c>
      <c r="K1170" s="335">
        <f t="shared" si="512"/>
        <v>0</v>
      </c>
      <c r="L1170" s="335">
        <f t="shared" si="512"/>
        <v>9</v>
      </c>
      <c r="M1170" s="335">
        <f t="shared" si="512"/>
        <v>0</v>
      </c>
      <c r="N1170" s="335">
        <f t="shared" si="512"/>
        <v>0</v>
      </c>
      <c r="O1170" s="335">
        <f t="shared" si="512"/>
        <v>0</v>
      </c>
      <c r="P1170" s="335">
        <f t="shared" si="512"/>
        <v>0</v>
      </c>
      <c r="Q1170" s="220" t="s">
        <v>145</v>
      </c>
      <c r="R1170" s="336" t="s">
        <v>188</v>
      </c>
    </row>
    <row r="1171" spans="2:18" ht="22.5" customHeight="1" thickBot="1" x14ac:dyDescent="0.25">
      <c r="B1171" s="335">
        <f t="shared" si="512"/>
        <v>56</v>
      </c>
      <c r="C1171" s="335">
        <f t="shared" si="512"/>
        <v>8</v>
      </c>
      <c r="D1171" s="335">
        <f t="shared" si="512"/>
        <v>48</v>
      </c>
      <c r="E1171" s="335">
        <f t="shared" si="512"/>
        <v>3</v>
      </c>
      <c r="F1171" s="335">
        <f t="shared" si="512"/>
        <v>14</v>
      </c>
      <c r="G1171" s="335">
        <f t="shared" si="512"/>
        <v>0</v>
      </c>
      <c r="H1171" s="335">
        <f t="shared" si="512"/>
        <v>0</v>
      </c>
      <c r="I1171" s="335">
        <f t="shared" si="512"/>
        <v>5</v>
      </c>
      <c r="J1171" s="335">
        <f t="shared" si="512"/>
        <v>25</v>
      </c>
      <c r="K1171" s="335">
        <f t="shared" si="512"/>
        <v>0</v>
      </c>
      <c r="L1171" s="335">
        <f t="shared" si="512"/>
        <v>9</v>
      </c>
      <c r="M1171" s="335">
        <f t="shared" si="512"/>
        <v>0</v>
      </c>
      <c r="N1171" s="335">
        <f t="shared" si="512"/>
        <v>0</v>
      </c>
      <c r="O1171" s="335">
        <f t="shared" si="512"/>
        <v>0</v>
      </c>
      <c r="P1171" s="335">
        <f t="shared" si="512"/>
        <v>0</v>
      </c>
      <c r="Q1171" s="220" t="s">
        <v>12</v>
      </c>
      <c r="R1171" s="205"/>
    </row>
    <row r="1172" spans="2:18" ht="22.5" customHeight="1" thickBot="1" x14ac:dyDescent="0.25"/>
    <row r="1173" spans="2:18" ht="22.5" customHeight="1" thickBot="1" x14ac:dyDescent="0.25">
      <c r="B1173" s="554" t="s">
        <v>4</v>
      </c>
      <c r="C1173" s="554"/>
      <c r="D1173" s="554"/>
      <c r="E1173" s="554" t="s">
        <v>735</v>
      </c>
      <c r="F1173" s="554"/>
      <c r="G1173" s="554" t="s">
        <v>736</v>
      </c>
      <c r="H1173" s="554"/>
      <c r="I1173" s="554" t="s">
        <v>737</v>
      </c>
      <c r="J1173" s="554"/>
      <c r="K1173" s="554" t="s">
        <v>738</v>
      </c>
      <c r="L1173" s="554"/>
      <c r="M1173" s="554" t="s">
        <v>739</v>
      </c>
      <c r="N1173" s="554"/>
      <c r="O1173" s="554" t="s">
        <v>740</v>
      </c>
      <c r="P1173" s="554"/>
      <c r="Q1173" s="575" t="s">
        <v>741</v>
      </c>
      <c r="R1173" s="203" t="s">
        <v>144</v>
      </c>
    </row>
    <row r="1174" spans="2:18" ht="22.5" customHeight="1" thickBot="1" x14ac:dyDescent="0.25">
      <c r="B1174" s="203" t="s">
        <v>227</v>
      </c>
      <c r="C1174" s="203" t="s">
        <v>10</v>
      </c>
      <c r="D1174" s="203" t="s">
        <v>9</v>
      </c>
      <c r="E1174" s="203" t="s">
        <v>10</v>
      </c>
      <c r="F1174" s="203" t="s">
        <v>9</v>
      </c>
      <c r="G1174" s="203" t="s">
        <v>10</v>
      </c>
      <c r="H1174" s="203" t="s">
        <v>9</v>
      </c>
      <c r="I1174" s="203" t="s">
        <v>10</v>
      </c>
      <c r="J1174" s="203" t="s">
        <v>9</v>
      </c>
      <c r="K1174" s="203" t="s">
        <v>10</v>
      </c>
      <c r="L1174" s="203" t="s">
        <v>9</v>
      </c>
      <c r="M1174" s="203" t="s">
        <v>10</v>
      </c>
      <c r="N1174" s="203" t="s">
        <v>9</v>
      </c>
      <c r="O1174" s="203" t="s">
        <v>10</v>
      </c>
      <c r="P1174" s="203" t="s">
        <v>9</v>
      </c>
      <c r="Q1174" s="481"/>
      <c r="R1174" s="337" t="s">
        <v>228</v>
      </c>
    </row>
    <row r="1175" spans="2:18" ht="22.5" customHeight="1" thickBot="1" x14ac:dyDescent="0.25">
      <c r="B1175" s="335">
        <f>SUM(C1175:D1175)</f>
        <v>55</v>
      </c>
      <c r="C1175" s="335">
        <f>O1175+M1175+K1175+I1175+G1175+E1175</f>
        <v>0</v>
      </c>
      <c r="D1175" s="335">
        <f>P1175+N1175+L1175+J1175+H1175+F1175</f>
        <v>55</v>
      </c>
      <c r="E1175" s="335">
        <v>0</v>
      </c>
      <c r="F1175" s="335">
        <v>3</v>
      </c>
      <c r="G1175" s="335">
        <v>0</v>
      </c>
      <c r="H1175" s="335">
        <v>20</v>
      </c>
      <c r="I1175" s="335">
        <v>0</v>
      </c>
      <c r="J1175" s="335">
        <v>28</v>
      </c>
      <c r="K1175" s="335">
        <v>0</v>
      </c>
      <c r="L1175" s="335">
        <v>4</v>
      </c>
      <c r="M1175" s="335">
        <v>0</v>
      </c>
      <c r="N1175" s="335">
        <v>0</v>
      </c>
      <c r="O1175" s="335">
        <v>0</v>
      </c>
      <c r="P1175" s="335">
        <v>0</v>
      </c>
      <c r="Q1175" s="220" t="s">
        <v>146</v>
      </c>
      <c r="R1175" s="338"/>
    </row>
    <row r="1176" spans="2:18" ht="22.5" customHeight="1" thickBot="1" x14ac:dyDescent="0.25">
      <c r="B1176" s="335">
        <f t="shared" ref="B1176:B1182" si="513">SUM(C1176:D1176)</f>
        <v>189</v>
      </c>
      <c r="C1176" s="335">
        <f t="shared" ref="C1176:D1182" si="514">O1176+M1176+K1176+I1176+G1176+E1176</f>
        <v>0</v>
      </c>
      <c r="D1176" s="335">
        <f t="shared" si="514"/>
        <v>189</v>
      </c>
      <c r="E1176" s="335">
        <v>0</v>
      </c>
      <c r="F1176" s="335">
        <v>0</v>
      </c>
      <c r="G1176" s="335">
        <v>0</v>
      </c>
      <c r="H1176" s="335">
        <v>90</v>
      </c>
      <c r="I1176" s="335">
        <v>0</v>
      </c>
      <c r="J1176" s="335">
        <v>98</v>
      </c>
      <c r="K1176" s="335">
        <v>0</v>
      </c>
      <c r="L1176" s="335">
        <v>1</v>
      </c>
      <c r="M1176" s="335">
        <v>0</v>
      </c>
      <c r="N1176" s="335">
        <v>0</v>
      </c>
      <c r="O1176" s="335">
        <v>0</v>
      </c>
      <c r="P1176" s="335">
        <v>0</v>
      </c>
      <c r="Q1176" s="220" t="s">
        <v>145</v>
      </c>
      <c r="R1176" s="338" t="s">
        <v>334</v>
      </c>
    </row>
    <row r="1177" spans="2:18" ht="22.5" customHeight="1" thickBot="1" x14ac:dyDescent="0.25">
      <c r="B1177" s="335">
        <f t="shared" ref="B1177:O1177" si="515">SUM(B1175:B1176)</f>
        <v>244</v>
      </c>
      <c r="C1177" s="335">
        <f t="shared" si="515"/>
        <v>0</v>
      </c>
      <c r="D1177" s="335">
        <f t="shared" si="515"/>
        <v>244</v>
      </c>
      <c r="E1177" s="335">
        <f t="shared" si="515"/>
        <v>0</v>
      </c>
      <c r="F1177" s="335">
        <f t="shared" si="515"/>
        <v>3</v>
      </c>
      <c r="G1177" s="335">
        <f t="shared" si="515"/>
        <v>0</v>
      </c>
      <c r="H1177" s="335">
        <f t="shared" si="515"/>
        <v>110</v>
      </c>
      <c r="I1177" s="335">
        <f t="shared" si="515"/>
        <v>0</v>
      </c>
      <c r="J1177" s="335">
        <f t="shared" si="515"/>
        <v>126</v>
      </c>
      <c r="K1177" s="335">
        <f t="shared" si="515"/>
        <v>0</v>
      </c>
      <c r="L1177" s="335">
        <f t="shared" si="515"/>
        <v>5</v>
      </c>
      <c r="M1177" s="335">
        <f t="shared" si="515"/>
        <v>0</v>
      </c>
      <c r="N1177" s="335">
        <f t="shared" si="515"/>
        <v>0</v>
      </c>
      <c r="O1177" s="335">
        <f t="shared" si="515"/>
        <v>0</v>
      </c>
      <c r="P1177" s="335">
        <f>SUM(P1175:P1176)</f>
        <v>0</v>
      </c>
      <c r="Q1177" s="220" t="s">
        <v>12</v>
      </c>
      <c r="R1177" s="339"/>
    </row>
    <row r="1178" spans="2:18" ht="22.5" customHeight="1" thickBot="1" x14ac:dyDescent="0.25">
      <c r="B1178" s="335">
        <f t="shared" si="513"/>
        <v>22</v>
      </c>
      <c r="C1178" s="335">
        <f t="shared" si="514"/>
        <v>0</v>
      </c>
      <c r="D1178" s="335">
        <f t="shared" si="514"/>
        <v>22</v>
      </c>
      <c r="E1178" s="335">
        <v>0</v>
      </c>
      <c r="F1178" s="335">
        <v>0</v>
      </c>
      <c r="G1178" s="335">
        <v>0</v>
      </c>
      <c r="H1178" s="335">
        <v>10</v>
      </c>
      <c r="I1178" s="335">
        <v>0</v>
      </c>
      <c r="J1178" s="335">
        <v>8</v>
      </c>
      <c r="K1178" s="335">
        <v>0</v>
      </c>
      <c r="L1178" s="335">
        <v>0</v>
      </c>
      <c r="M1178" s="335">
        <v>0</v>
      </c>
      <c r="N1178" s="335">
        <v>0</v>
      </c>
      <c r="O1178" s="335">
        <v>0</v>
      </c>
      <c r="P1178" s="335">
        <v>4</v>
      </c>
      <c r="Q1178" s="220" t="s">
        <v>146</v>
      </c>
      <c r="R1178" s="338"/>
    </row>
    <row r="1179" spans="2:18" ht="22.5" customHeight="1" thickBot="1" x14ac:dyDescent="0.25">
      <c r="B1179" s="335">
        <f t="shared" si="513"/>
        <v>206</v>
      </c>
      <c r="C1179" s="335">
        <f t="shared" si="514"/>
        <v>0</v>
      </c>
      <c r="D1179" s="335">
        <f t="shared" si="514"/>
        <v>206</v>
      </c>
      <c r="E1179" s="335">
        <v>0</v>
      </c>
      <c r="F1179" s="335">
        <v>2</v>
      </c>
      <c r="G1179" s="335">
        <v>0</v>
      </c>
      <c r="H1179" s="335">
        <v>41</v>
      </c>
      <c r="I1179" s="335">
        <v>0</v>
      </c>
      <c r="J1179" s="335">
        <v>92</v>
      </c>
      <c r="K1179" s="335">
        <v>0</v>
      </c>
      <c r="L1179" s="335">
        <v>0</v>
      </c>
      <c r="M1179" s="335">
        <v>0</v>
      </c>
      <c r="N1179" s="335">
        <v>0</v>
      </c>
      <c r="O1179" s="335">
        <v>0</v>
      </c>
      <c r="P1179" s="335">
        <v>71</v>
      </c>
      <c r="Q1179" s="220" t="s">
        <v>145</v>
      </c>
      <c r="R1179" s="338" t="s">
        <v>335</v>
      </c>
    </row>
    <row r="1180" spans="2:18" ht="22.5" customHeight="1" thickBot="1" x14ac:dyDescent="0.25">
      <c r="B1180" s="335">
        <f t="shared" ref="B1180:O1180" si="516">SUM(B1178:B1179)</f>
        <v>228</v>
      </c>
      <c r="C1180" s="335">
        <f t="shared" si="516"/>
        <v>0</v>
      </c>
      <c r="D1180" s="335">
        <f t="shared" si="516"/>
        <v>228</v>
      </c>
      <c r="E1180" s="335">
        <f t="shared" si="516"/>
        <v>0</v>
      </c>
      <c r="F1180" s="335">
        <f t="shared" si="516"/>
        <v>2</v>
      </c>
      <c r="G1180" s="335">
        <f t="shared" si="516"/>
        <v>0</v>
      </c>
      <c r="H1180" s="335">
        <f t="shared" si="516"/>
        <v>51</v>
      </c>
      <c r="I1180" s="335">
        <f t="shared" si="516"/>
        <v>0</v>
      </c>
      <c r="J1180" s="335">
        <f t="shared" si="516"/>
        <v>100</v>
      </c>
      <c r="K1180" s="335">
        <f t="shared" si="516"/>
        <v>0</v>
      </c>
      <c r="L1180" s="335">
        <f t="shared" si="516"/>
        <v>0</v>
      </c>
      <c r="M1180" s="335">
        <f t="shared" si="516"/>
        <v>0</v>
      </c>
      <c r="N1180" s="335">
        <f t="shared" si="516"/>
        <v>0</v>
      </c>
      <c r="O1180" s="335">
        <f t="shared" si="516"/>
        <v>0</v>
      </c>
      <c r="P1180" s="335">
        <f>SUM(P1178:P1179)</f>
        <v>75</v>
      </c>
      <c r="Q1180" s="220" t="s">
        <v>12</v>
      </c>
      <c r="R1180" s="339"/>
    </row>
    <row r="1181" spans="2:18" ht="22.5" customHeight="1" thickBot="1" x14ac:dyDescent="0.25">
      <c r="B1181" s="335">
        <f t="shared" si="513"/>
        <v>27</v>
      </c>
      <c r="C1181" s="335">
        <f t="shared" si="514"/>
        <v>15</v>
      </c>
      <c r="D1181" s="335">
        <f t="shared" si="514"/>
        <v>12</v>
      </c>
      <c r="E1181" s="335">
        <v>12</v>
      </c>
      <c r="F1181" s="335">
        <v>6</v>
      </c>
      <c r="G1181" s="335">
        <v>0</v>
      </c>
      <c r="H1181" s="335">
        <v>0</v>
      </c>
      <c r="I1181" s="335">
        <v>3</v>
      </c>
      <c r="J1181" s="335">
        <v>4</v>
      </c>
      <c r="K1181" s="335">
        <v>0</v>
      </c>
      <c r="L1181" s="335">
        <v>2</v>
      </c>
      <c r="M1181" s="335">
        <v>0</v>
      </c>
      <c r="N1181" s="335">
        <v>0</v>
      </c>
      <c r="O1181" s="335">
        <v>0</v>
      </c>
      <c r="P1181" s="335">
        <v>0</v>
      </c>
      <c r="Q1181" s="220" t="s">
        <v>146</v>
      </c>
      <c r="R1181" s="338"/>
    </row>
    <row r="1182" spans="2:18" ht="22.5" customHeight="1" thickBot="1" x14ac:dyDescent="0.25">
      <c r="B1182" s="335">
        <f t="shared" si="513"/>
        <v>117</v>
      </c>
      <c r="C1182" s="335">
        <f t="shared" si="514"/>
        <v>59</v>
      </c>
      <c r="D1182" s="335">
        <f t="shared" si="514"/>
        <v>58</v>
      </c>
      <c r="E1182" s="335">
        <v>27</v>
      </c>
      <c r="F1182" s="335">
        <v>16</v>
      </c>
      <c r="G1182" s="335">
        <v>0</v>
      </c>
      <c r="H1182" s="335">
        <v>0</v>
      </c>
      <c r="I1182" s="335">
        <v>29</v>
      </c>
      <c r="J1182" s="335">
        <v>31</v>
      </c>
      <c r="K1182" s="335">
        <v>3</v>
      </c>
      <c r="L1182" s="335">
        <v>11</v>
      </c>
      <c r="M1182" s="335">
        <v>0</v>
      </c>
      <c r="N1182" s="335">
        <v>0</v>
      </c>
      <c r="O1182" s="335">
        <v>0</v>
      </c>
      <c r="P1182" s="335">
        <v>0</v>
      </c>
      <c r="Q1182" s="220" t="s">
        <v>145</v>
      </c>
      <c r="R1182" s="338" t="s">
        <v>573</v>
      </c>
    </row>
    <row r="1183" spans="2:18" ht="22.5" customHeight="1" thickBot="1" x14ac:dyDescent="0.25">
      <c r="B1183" s="335">
        <f t="shared" ref="B1183:O1183" si="517">SUM(B1181:B1182)</f>
        <v>144</v>
      </c>
      <c r="C1183" s="335">
        <f t="shared" si="517"/>
        <v>74</v>
      </c>
      <c r="D1183" s="335">
        <f t="shared" si="517"/>
        <v>70</v>
      </c>
      <c r="E1183" s="335">
        <f t="shared" si="517"/>
        <v>39</v>
      </c>
      <c r="F1183" s="335">
        <f t="shared" si="517"/>
        <v>22</v>
      </c>
      <c r="G1183" s="335">
        <f t="shared" si="517"/>
        <v>0</v>
      </c>
      <c r="H1183" s="335">
        <f t="shared" si="517"/>
        <v>0</v>
      </c>
      <c r="I1183" s="335">
        <f t="shared" si="517"/>
        <v>32</v>
      </c>
      <c r="J1183" s="335">
        <f t="shared" si="517"/>
        <v>35</v>
      </c>
      <c r="K1183" s="335">
        <f t="shared" si="517"/>
        <v>3</v>
      </c>
      <c r="L1183" s="335">
        <f t="shared" si="517"/>
        <v>13</v>
      </c>
      <c r="M1183" s="335">
        <f t="shared" si="517"/>
        <v>0</v>
      </c>
      <c r="N1183" s="335">
        <f t="shared" si="517"/>
        <v>0</v>
      </c>
      <c r="O1183" s="335">
        <f t="shared" si="517"/>
        <v>0</v>
      </c>
      <c r="P1183" s="335">
        <f>SUM(P1181:P1182)</f>
        <v>0</v>
      </c>
      <c r="Q1183" s="220" t="s">
        <v>12</v>
      </c>
      <c r="R1183" s="339"/>
    </row>
    <row r="1184" spans="2:18" ht="22.5" customHeight="1" thickBot="1" x14ac:dyDescent="0.25">
      <c r="B1184" s="335">
        <f t="shared" ref="B1184:P1186" si="518">B1175+B1178+B1181</f>
        <v>104</v>
      </c>
      <c r="C1184" s="335">
        <f t="shared" si="518"/>
        <v>15</v>
      </c>
      <c r="D1184" s="335">
        <f t="shared" si="518"/>
        <v>89</v>
      </c>
      <c r="E1184" s="335">
        <f t="shared" si="518"/>
        <v>12</v>
      </c>
      <c r="F1184" s="335">
        <f t="shared" si="518"/>
        <v>9</v>
      </c>
      <c r="G1184" s="335">
        <f t="shared" si="518"/>
        <v>0</v>
      </c>
      <c r="H1184" s="335">
        <f t="shared" si="518"/>
        <v>30</v>
      </c>
      <c r="I1184" s="335">
        <f t="shared" si="518"/>
        <v>3</v>
      </c>
      <c r="J1184" s="335">
        <f t="shared" si="518"/>
        <v>40</v>
      </c>
      <c r="K1184" s="335">
        <f t="shared" si="518"/>
        <v>0</v>
      </c>
      <c r="L1184" s="335">
        <f t="shared" si="518"/>
        <v>6</v>
      </c>
      <c r="M1184" s="335">
        <f t="shared" si="518"/>
        <v>0</v>
      </c>
      <c r="N1184" s="335">
        <f t="shared" si="518"/>
        <v>0</v>
      </c>
      <c r="O1184" s="335">
        <f t="shared" si="518"/>
        <v>0</v>
      </c>
      <c r="P1184" s="335">
        <f>P1175+P1178+P1181</f>
        <v>4</v>
      </c>
      <c r="Q1184" s="220" t="s">
        <v>146</v>
      </c>
      <c r="R1184" s="308"/>
    </row>
    <row r="1185" spans="2:21" ht="22.5" customHeight="1" thickBot="1" x14ac:dyDescent="0.25">
      <c r="B1185" s="335">
        <f t="shared" si="518"/>
        <v>512</v>
      </c>
      <c r="C1185" s="335">
        <f t="shared" si="518"/>
        <v>59</v>
      </c>
      <c r="D1185" s="335">
        <f t="shared" si="518"/>
        <v>453</v>
      </c>
      <c r="E1185" s="335">
        <f t="shared" si="518"/>
        <v>27</v>
      </c>
      <c r="F1185" s="335">
        <f t="shared" si="518"/>
        <v>18</v>
      </c>
      <c r="G1185" s="335">
        <f t="shared" si="518"/>
        <v>0</v>
      </c>
      <c r="H1185" s="335">
        <f t="shared" si="518"/>
        <v>131</v>
      </c>
      <c r="I1185" s="335">
        <f t="shared" si="518"/>
        <v>29</v>
      </c>
      <c r="J1185" s="335">
        <f t="shared" si="518"/>
        <v>221</v>
      </c>
      <c r="K1185" s="335">
        <f t="shared" si="518"/>
        <v>3</v>
      </c>
      <c r="L1185" s="335">
        <f t="shared" si="518"/>
        <v>12</v>
      </c>
      <c r="M1185" s="335">
        <f t="shared" si="518"/>
        <v>0</v>
      </c>
      <c r="N1185" s="335">
        <f t="shared" si="518"/>
        <v>0</v>
      </c>
      <c r="O1185" s="335">
        <f t="shared" si="518"/>
        <v>0</v>
      </c>
      <c r="P1185" s="335">
        <f t="shared" si="518"/>
        <v>71</v>
      </c>
      <c r="Q1185" s="220" t="s">
        <v>145</v>
      </c>
      <c r="R1185" s="336" t="s">
        <v>188</v>
      </c>
    </row>
    <row r="1186" spans="2:21" ht="22.5" customHeight="1" thickBot="1" x14ac:dyDescent="0.25">
      <c r="B1186" s="335">
        <f t="shared" si="518"/>
        <v>616</v>
      </c>
      <c r="C1186" s="335">
        <f t="shared" si="518"/>
        <v>74</v>
      </c>
      <c r="D1186" s="335">
        <f t="shared" si="518"/>
        <v>542</v>
      </c>
      <c r="E1186" s="335">
        <f t="shared" si="518"/>
        <v>39</v>
      </c>
      <c r="F1186" s="335">
        <f t="shared" si="518"/>
        <v>27</v>
      </c>
      <c r="G1186" s="335">
        <f t="shared" si="518"/>
        <v>0</v>
      </c>
      <c r="H1186" s="335">
        <f t="shared" si="518"/>
        <v>161</v>
      </c>
      <c r="I1186" s="335">
        <f t="shared" si="518"/>
        <v>32</v>
      </c>
      <c r="J1186" s="335">
        <f t="shared" si="518"/>
        <v>261</v>
      </c>
      <c r="K1186" s="335">
        <f t="shared" si="518"/>
        <v>3</v>
      </c>
      <c r="L1186" s="335">
        <f t="shared" si="518"/>
        <v>18</v>
      </c>
      <c r="M1186" s="335">
        <f t="shared" si="518"/>
        <v>0</v>
      </c>
      <c r="N1186" s="335">
        <f t="shared" si="518"/>
        <v>0</v>
      </c>
      <c r="O1186" s="335">
        <f t="shared" si="518"/>
        <v>0</v>
      </c>
      <c r="P1186" s="335">
        <f t="shared" si="518"/>
        <v>75</v>
      </c>
      <c r="Q1186" s="220" t="s">
        <v>12</v>
      </c>
      <c r="R1186" s="205"/>
    </row>
    <row r="1187" spans="2:21" ht="22.5" customHeight="1" thickBot="1" x14ac:dyDescent="0.25">
      <c r="T1187" s="2"/>
      <c r="U1187" s="2"/>
    </row>
    <row r="1188" spans="2:21" ht="22.5" customHeight="1" thickBot="1" x14ac:dyDescent="0.25">
      <c r="B1188" s="554" t="s">
        <v>4</v>
      </c>
      <c r="C1188" s="554"/>
      <c r="D1188" s="554"/>
      <c r="E1188" s="554" t="s">
        <v>735</v>
      </c>
      <c r="F1188" s="554"/>
      <c r="G1188" s="554" t="s">
        <v>736</v>
      </c>
      <c r="H1188" s="554"/>
      <c r="I1188" s="554" t="s">
        <v>737</v>
      </c>
      <c r="J1188" s="554"/>
      <c r="K1188" s="554" t="s">
        <v>738</v>
      </c>
      <c r="L1188" s="554"/>
      <c r="M1188" s="554" t="s">
        <v>739</v>
      </c>
      <c r="N1188" s="554"/>
      <c r="O1188" s="554" t="s">
        <v>740</v>
      </c>
      <c r="P1188" s="554"/>
      <c r="Q1188" s="575" t="s">
        <v>741</v>
      </c>
      <c r="R1188" s="203" t="s">
        <v>144</v>
      </c>
    </row>
    <row r="1189" spans="2:21" ht="22.5" customHeight="1" thickBot="1" x14ac:dyDescent="0.25">
      <c r="B1189" s="203" t="s">
        <v>227</v>
      </c>
      <c r="C1189" s="203" t="s">
        <v>10</v>
      </c>
      <c r="D1189" s="203" t="s">
        <v>9</v>
      </c>
      <c r="E1189" s="203" t="s">
        <v>10</v>
      </c>
      <c r="F1189" s="203" t="s">
        <v>9</v>
      </c>
      <c r="G1189" s="203" t="s">
        <v>10</v>
      </c>
      <c r="H1189" s="203" t="s">
        <v>9</v>
      </c>
      <c r="I1189" s="203" t="s">
        <v>10</v>
      </c>
      <c r="J1189" s="203" t="s">
        <v>9</v>
      </c>
      <c r="K1189" s="203" t="s">
        <v>10</v>
      </c>
      <c r="L1189" s="203" t="s">
        <v>9</v>
      </c>
      <c r="M1189" s="203" t="s">
        <v>10</v>
      </c>
      <c r="N1189" s="203" t="s">
        <v>9</v>
      </c>
      <c r="O1189" s="203" t="s">
        <v>10</v>
      </c>
      <c r="P1189" s="203" t="s">
        <v>9</v>
      </c>
      <c r="Q1189" s="481"/>
      <c r="R1189" s="337" t="s">
        <v>153</v>
      </c>
      <c r="T1189" s="2"/>
      <c r="U1189" s="2"/>
    </row>
    <row r="1190" spans="2:21" ht="22.5" customHeight="1" thickBot="1" x14ac:dyDescent="0.25">
      <c r="B1190" s="335">
        <f>SUM(C1190:D1190)</f>
        <v>508</v>
      </c>
      <c r="C1190" s="335">
        <f t="shared" ref="C1190:D1191" si="519">O1190+M1190+K1190+I1190+G1190+E1190</f>
        <v>71</v>
      </c>
      <c r="D1190" s="335">
        <f>P1190+N1190+L1190+J1190+H1190+F1190</f>
        <v>437</v>
      </c>
      <c r="E1190" s="335">
        <v>0</v>
      </c>
      <c r="F1190" s="335">
        <v>0</v>
      </c>
      <c r="G1190" s="335">
        <v>0</v>
      </c>
      <c r="H1190" s="335">
        <v>0</v>
      </c>
      <c r="I1190" s="335">
        <v>64</v>
      </c>
      <c r="J1190" s="335">
        <v>388</v>
      </c>
      <c r="K1190" s="335">
        <v>6</v>
      </c>
      <c r="L1190" s="335">
        <v>42</v>
      </c>
      <c r="M1190" s="335">
        <v>1</v>
      </c>
      <c r="N1190" s="335">
        <v>6</v>
      </c>
      <c r="O1190" s="335">
        <v>0</v>
      </c>
      <c r="P1190" s="335">
        <v>1</v>
      </c>
      <c r="Q1190" s="220" t="s">
        <v>146</v>
      </c>
      <c r="R1190" s="338"/>
      <c r="T1190" s="2"/>
      <c r="U1190" s="2"/>
    </row>
    <row r="1191" spans="2:21" ht="22.5" customHeight="1" thickBot="1" x14ac:dyDescent="0.25">
      <c r="B1191" s="335">
        <f t="shared" ref="B1191" si="520">SUM(C1191:D1191)</f>
        <v>119</v>
      </c>
      <c r="C1191" s="335">
        <f t="shared" si="519"/>
        <v>8</v>
      </c>
      <c r="D1191" s="335">
        <f t="shared" si="519"/>
        <v>111</v>
      </c>
      <c r="E1191" s="335">
        <v>0</v>
      </c>
      <c r="F1191" s="335">
        <v>0</v>
      </c>
      <c r="G1191" s="335">
        <v>1</v>
      </c>
      <c r="H1191" s="335">
        <v>5</v>
      </c>
      <c r="I1191" s="335">
        <v>5</v>
      </c>
      <c r="J1191" s="335">
        <v>89</v>
      </c>
      <c r="K1191" s="335">
        <v>2</v>
      </c>
      <c r="L1191" s="335">
        <v>15</v>
      </c>
      <c r="M1191" s="335">
        <v>0</v>
      </c>
      <c r="N1191" s="335">
        <v>0</v>
      </c>
      <c r="O1191" s="335">
        <v>0</v>
      </c>
      <c r="P1191" s="335">
        <v>2</v>
      </c>
      <c r="Q1191" s="220" t="s">
        <v>145</v>
      </c>
      <c r="R1191" s="338" t="s">
        <v>153</v>
      </c>
      <c r="T1191" s="2"/>
      <c r="U1191" s="2"/>
    </row>
    <row r="1192" spans="2:21" ht="22.5" customHeight="1" thickBot="1" x14ac:dyDescent="0.25">
      <c r="B1192" s="335">
        <f t="shared" ref="B1192:O1192" si="521">SUM(B1190:B1191)</f>
        <v>627</v>
      </c>
      <c r="C1192" s="335">
        <f t="shared" si="521"/>
        <v>79</v>
      </c>
      <c r="D1192" s="335">
        <f t="shared" si="521"/>
        <v>548</v>
      </c>
      <c r="E1192" s="335">
        <f t="shared" si="521"/>
        <v>0</v>
      </c>
      <c r="F1192" s="335">
        <f t="shared" si="521"/>
        <v>0</v>
      </c>
      <c r="G1192" s="335">
        <f t="shared" si="521"/>
        <v>1</v>
      </c>
      <c r="H1192" s="335">
        <f t="shared" si="521"/>
        <v>5</v>
      </c>
      <c r="I1192" s="335">
        <f t="shared" si="521"/>
        <v>69</v>
      </c>
      <c r="J1192" s="335">
        <f t="shared" si="521"/>
        <v>477</v>
      </c>
      <c r="K1192" s="335">
        <f t="shared" si="521"/>
        <v>8</v>
      </c>
      <c r="L1192" s="335">
        <f t="shared" si="521"/>
        <v>57</v>
      </c>
      <c r="M1192" s="335">
        <f t="shared" si="521"/>
        <v>1</v>
      </c>
      <c r="N1192" s="335">
        <f t="shared" si="521"/>
        <v>6</v>
      </c>
      <c r="O1192" s="335">
        <f t="shared" si="521"/>
        <v>0</v>
      </c>
      <c r="P1192" s="335">
        <f>SUM(P1190:P1191)</f>
        <v>3</v>
      </c>
      <c r="Q1192" s="220" t="s">
        <v>12</v>
      </c>
      <c r="R1192" s="339"/>
      <c r="T1192" s="2"/>
      <c r="U1192" s="2"/>
    </row>
    <row r="1193" spans="2:21" ht="22.5" customHeight="1" thickBot="1" x14ac:dyDescent="0.25">
      <c r="B1193" s="335">
        <f t="shared" ref="B1193:P1195" si="522">B1190</f>
        <v>508</v>
      </c>
      <c r="C1193" s="335">
        <f t="shared" si="522"/>
        <v>71</v>
      </c>
      <c r="D1193" s="335">
        <f t="shared" si="522"/>
        <v>437</v>
      </c>
      <c r="E1193" s="335">
        <f t="shared" si="522"/>
        <v>0</v>
      </c>
      <c r="F1193" s="335">
        <f t="shared" si="522"/>
        <v>0</v>
      </c>
      <c r="G1193" s="335">
        <f t="shared" si="522"/>
        <v>0</v>
      </c>
      <c r="H1193" s="335">
        <f t="shared" si="522"/>
        <v>0</v>
      </c>
      <c r="I1193" s="335">
        <f t="shared" si="522"/>
        <v>64</v>
      </c>
      <c r="J1193" s="335">
        <f t="shared" si="522"/>
        <v>388</v>
      </c>
      <c r="K1193" s="335">
        <f t="shared" si="522"/>
        <v>6</v>
      </c>
      <c r="L1193" s="335">
        <f t="shared" si="522"/>
        <v>42</v>
      </c>
      <c r="M1193" s="335">
        <f t="shared" si="522"/>
        <v>1</v>
      </c>
      <c r="N1193" s="335">
        <f t="shared" si="522"/>
        <v>6</v>
      </c>
      <c r="O1193" s="335">
        <f t="shared" si="522"/>
        <v>0</v>
      </c>
      <c r="P1193" s="335">
        <f>P1190</f>
        <v>1</v>
      </c>
      <c r="Q1193" s="220" t="s">
        <v>146</v>
      </c>
      <c r="R1193" s="308"/>
      <c r="T1193" s="2"/>
      <c r="U1193" s="2"/>
    </row>
    <row r="1194" spans="2:21" ht="22.5" customHeight="1" thickBot="1" x14ac:dyDescent="0.25">
      <c r="B1194" s="335">
        <f t="shared" si="522"/>
        <v>119</v>
      </c>
      <c r="C1194" s="335">
        <f t="shared" si="522"/>
        <v>8</v>
      </c>
      <c r="D1194" s="335">
        <f t="shared" si="522"/>
        <v>111</v>
      </c>
      <c r="E1194" s="335">
        <f t="shared" si="522"/>
        <v>0</v>
      </c>
      <c r="F1194" s="335">
        <f t="shared" si="522"/>
        <v>0</v>
      </c>
      <c r="G1194" s="335">
        <f t="shared" si="522"/>
        <v>1</v>
      </c>
      <c r="H1194" s="335">
        <f t="shared" si="522"/>
        <v>5</v>
      </c>
      <c r="I1194" s="335">
        <f>I1191</f>
        <v>5</v>
      </c>
      <c r="J1194" s="335">
        <f t="shared" si="522"/>
        <v>89</v>
      </c>
      <c r="K1194" s="335">
        <f t="shared" si="522"/>
        <v>2</v>
      </c>
      <c r="L1194" s="335">
        <f t="shared" si="522"/>
        <v>15</v>
      </c>
      <c r="M1194" s="335">
        <f t="shared" si="522"/>
        <v>0</v>
      </c>
      <c r="N1194" s="335">
        <f t="shared" si="522"/>
        <v>0</v>
      </c>
      <c r="O1194" s="335">
        <f t="shared" si="522"/>
        <v>0</v>
      </c>
      <c r="P1194" s="335">
        <f t="shared" si="522"/>
        <v>2</v>
      </c>
      <c r="Q1194" s="220" t="s">
        <v>145</v>
      </c>
      <c r="R1194" s="336" t="s">
        <v>188</v>
      </c>
      <c r="T1194" s="2"/>
      <c r="U1194" s="2"/>
    </row>
    <row r="1195" spans="2:21" ht="22.5" customHeight="1" thickBot="1" x14ac:dyDescent="0.25">
      <c r="B1195" s="335">
        <f t="shared" si="522"/>
        <v>627</v>
      </c>
      <c r="C1195" s="335">
        <f t="shared" si="522"/>
        <v>79</v>
      </c>
      <c r="D1195" s="335">
        <f t="shared" si="522"/>
        <v>548</v>
      </c>
      <c r="E1195" s="335">
        <f t="shared" si="522"/>
        <v>0</v>
      </c>
      <c r="F1195" s="335">
        <f t="shared" si="522"/>
        <v>0</v>
      </c>
      <c r="G1195" s="335">
        <f t="shared" si="522"/>
        <v>1</v>
      </c>
      <c r="H1195" s="335">
        <f t="shared" si="522"/>
        <v>5</v>
      </c>
      <c r="I1195" s="335">
        <f t="shared" si="522"/>
        <v>69</v>
      </c>
      <c r="J1195" s="335">
        <f t="shared" si="522"/>
        <v>477</v>
      </c>
      <c r="K1195" s="335">
        <f t="shared" si="522"/>
        <v>8</v>
      </c>
      <c r="L1195" s="335">
        <f t="shared" si="522"/>
        <v>57</v>
      </c>
      <c r="M1195" s="335">
        <f t="shared" si="522"/>
        <v>1</v>
      </c>
      <c r="N1195" s="335">
        <f t="shared" si="522"/>
        <v>6</v>
      </c>
      <c r="O1195" s="335">
        <f t="shared" si="522"/>
        <v>0</v>
      </c>
      <c r="P1195" s="335">
        <f t="shared" si="522"/>
        <v>3</v>
      </c>
      <c r="Q1195" s="220" t="s">
        <v>12</v>
      </c>
      <c r="R1195" s="205"/>
      <c r="T1195" s="2"/>
      <c r="U1195" s="2"/>
    </row>
    <row r="1196" spans="2:21" ht="22.5" customHeight="1" thickBot="1" x14ac:dyDescent="0.25">
      <c r="T1196" s="2"/>
      <c r="U1196" s="2"/>
    </row>
    <row r="1197" spans="2:21" ht="22.5" customHeight="1" thickBot="1" x14ac:dyDescent="0.25">
      <c r="B1197" s="500" t="s">
        <v>4</v>
      </c>
      <c r="C1197" s="500"/>
      <c r="D1197" s="500"/>
      <c r="E1197" s="500" t="s">
        <v>735</v>
      </c>
      <c r="F1197" s="500"/>
      <c r="G1197" s="500" t="s">
        <v>736</v>
      </c>
      <c r="H1197" s="500"/>
      <c r="I1197" s="500" t="s">
        <v>737</v>
      </c>
      <c r="J1197" s="500"/>
      <c r="K1197" s="500" t="s">
        <v>738</v>
      </c>
      <c r="L1197" s="500"/>
      <c r="M1197" s="500" t="s">
        <v>739</v>
      </c>
      <c r="N1197" s="500"/>
      <c r="O1197" s="500" t="s">
        <v>740</v>
      </c>
      <c r="P1197" s="500"/>
      <c r="Q1197" s="583" t="s">
        <v>741</v>
      </c>
      <c r="R1197" s="202" t="s">
        <v>144</v>
      </c>
      <c r="T1197" s="2"/>
      <c r="U1197" s="2"/>
    </row>
    <row r="1198" spans="2:21" ht="22.5" customHeight="1" thickBot="1" x14ac:dyDescent="0.25">
      <c r="B1198" s="202" t="s">
        <v>227</v>
      </c>
      <c r="C1198" s="202" t="s">
        <v>10</v>
      </c>
      <c r="D1198" s="202" t="s">
        <v>9</v>
      </c>
      <c r="E1198" s="202" t="s">
        <v>10</v>
      </c>
      <c r="F1198" s="202" t="s">
        <v>9</v>
      </c>
      <c r="G1198" s="202" t="s">
        <v>10</v>
      </c>
      <c r="H1198" s="202" t="s">
        <v>9</v>
      </c>
      <c r="I1198" s="202" t="s">
        <v>10</v>
      </c>
      <c r="J1198" s="202" t="s">
        <v>9</v>
      </c>
      <c r="K1198" s="202" t="s">
        <v>10</v>
      </c>
      <c r="L1198" s="202" t="s">
        <v>9</v>
      </c>
      <c r="M1198" s="202" t="s">
        <v>10</v>
      </c>
      <c r="N1198" s="202" t="s">
        <v>9</v>
      </c>
      <c r="O1198" s="202" t="s">
        <v>10</v>
      </c>
      <c r="P1198" s="202" t="s">
        <v>9</v>
      </c>
      <c r="Q1198" s="480"/>
      <c r="R1198" s="187" t="s">
        <v>785</v>
      </c>
      <c r="T1198" s="2"/>
      <c r="U1198" s="2"/>
    </row>
    <row r="1199" spans="2:21" ht="22.5" customHeight="1" thickBot="1" x14ac:dyDescent="0.25">
      <c r="B1199" s="332">
        <f>SUM(C1199:D1199)</f>
        <v>35</v>
      </c>
      <c r="C1199" s="332">
        <f>O1199+M1199+K1199+I1199+G1199+E1199</f>
        <v>25</v>
      </c>
      <c r="D1199" s="332">
        <f>P1199+N1199+L1199+J1199+H1199+F1199</f>
        <v>10</v>
      </c>
      <c r="E1199" s="332">
        <v>0</v>
      </c>
      <c r="F1199" s="332">
        <v>0</v>
      </c>
      <c r="G1199" s="332">
        <v>9</v>
      </c>
      <c r="H1199" s="332">
        <v>4</v>
      </c>
      <c r="I1199" s="332">
        <v>13</v>
      </c>
      <c r="J1199" s="332">
        <v>0</v>
      </c>
      <c r="K1199" s="332">
        <v>3</v>
      </c>
      <c r="L1199" s="332">
        <v>4</v>
      </c>
      <c r="M1199" s="332">
        <v>0</v>
      </c>
      <c r="N1199" s="332">
        <v>2</v>
      </c>
      <c r="O1199" s="332">
        <v>0</v>
      </c>
      <c r="P1199" s="332">
        <v>0</v>
      </c>
      <c r="Q1199" s="188" t="s">
        <v>146</v>
      </c>
      <c r="R1199" s="340"/>
      <c r="T1199" s="2"/>
      <c r="U1199" s="2"/>
    </row>
    <row r="1200" spans="2:21" ht="22.5" customHeight="1" thickBot="1" x14ac:dyDescent="0.25">
      <c r="B1200" s="332">
        <f t="shared" ref="B1200" si="523">SUM(C1200:D1200)</f>
        <v>160</v>
      </c>
      <c r="C1200" s="332">
        <f>O1200+M1200+K1200+I1200+G1200+E1200</f>
        <v>88</v>
      </c>
      <c r="D1200" s="332">
        <f>P1200+N1200+L1200+J1200+H1200+F1200</f>
        <v>72</v>
      </c>
      <c r="E1200" s="332">
        <v>6</v>
      </c>
      <c r="F1200" s="332">
        <v>0</v>
      </c>
      <c r="G1200" s="332">
        <v>1</v>
      </c>
      <c r="H1200" s="332">
        <v>0</v>
      </c>
      <c r="I1200" s="332">
        <v>62</v>
      </c>
      <c r="J1200" s="332">
        <v>36</v>
      </c>
      <c r="K1200" s="332">
        <v>19</v>
      </c>
      <c r="L1200" s="332">
        <v>24</v>
      </c>
      <c r="M1200" s="332">
        <v>0</v>
      </c>
      <c r="N1200" s="332">
        <v>6</v>
      </c>
      <c r="O1200" s="332">
        <v>0</v>
      </c>
      <c r="P1200" s="332">
        <v>6</v>
      </c>
      <c r="Q1200" s="188" t="s">
        <v>145</v>
      </c>
      <c r="R1200" s="340" t="s">
        <v>127</v>
      </c>
      <c r="T1200" s="2"/>
      <c r="U1200" s="2"/>
    </row>
    <row r="1201" spans="2:21" ht="22.5" customHeight="1" thickBot="1" x14ac:dyDescent="0.25">
      <c r="B1201" s="332">
        <f t="shared" ref="B1201:P1201" si="524">SUM(B1199:B1200)</f>
        <v>195</v>
      </c>
      <c r="C1201" s="332">
        <f t="shared" si="524"/>
        <v>113</v>
      </c>
      <c r="D1201" s="332">
        <f t="shared" si="524"/>
        <v>82</v>
      </c>
      <c r="E1201" s="332">
        <f t="shared" si="524"/>
        <v>6</v>
      </c>
      <c r="F1201" s="332">
        <f t="shared" si="524"/>
        <v>0</v>
      </c>
      <c r="G1201" s="332">
        <f t="shared" si="524"/>
        <v>10</v>
      </c>
      <c r="H1201" s="332">
        <f t="shared" si="524"/>
        <v>4</v>
      </c>
      <c r="I1201" s="332">
        <f t="shared" si="524"/>
        <v>75</v>
      </c>
      <c r="J1201" s="332">
        <f t="shared" si="524"/>
        <v>36</v>
      </c>
      <c r="K1201" s="332">
        <f t="shared" si="524"/>
        <v>22</v>
      </c>
      <c r="L1201" s="332">
        <f t="shared" si="524"/>
        <v>28</v>
      </c>
      <c r="M1201" s="332">
        <f t="shared" si="524"/>
        <v>0</v>
      </c>
      <c r="N1201" s="332">
        <f t="shared" si="524"/>
        <v>8</v>
      </c>
      <c r="O1201" s="332">
        <f t="shared" si="524"/>
        <v>0</v>
      </c>
      <c r="P1201" s="332">
        <f t="shared" si="524"/>
        <v>6</v>
      </c>
      <c r="Q1201" s="188" t="s">
        <v>12</v>
      </c>
      <c r="R1201" s="341"/>
      <c r="T1201" s="2"/>
      <c r="U1201" s="2"/>
    </row>
    <row r="1202" spans="2:21" ht="22.5" customHeight="1" thickBot="1" x14ac:dyDescent="0.25">
      <c r="B1202" s="332">
        <f t="shared" ref="B1202:B1203" si="525">SUM(C1202:D1202)</f>
        <v>130</v>
      </c>
      <c r="C1202" s="332">
        <f>O1202+M1202+K1202+I1202+G1202+E1202</f>
        <v>40</v>
      </c>
      <c r="D1202" s="332">
        <f>P1202+N1202+L1202+J1202+H1202+F1202</f>
        <v>90</v>
      </c>
      <c r="E1202" s="332">
        <v>0</v>
      </c>
      <c r="F1202" s="332">
        <v>0</v>
      </c>
      <c r="G1202" s="332">
        <v>6</v>
      </c>
      <c r="H1202" s="332">
        <v>0</v>
      </c>
      <c r="I1202" s="332">
        <v>18</v>
      </c>
      <c r="J1202" s="332">
        <v>36</v>
      </c>
      <c r="K1202" s="332">
        <v>16</v>
      </c>
      <c r="L1202" s="332">
        <v>51</v>
      </c>
      <c r="M1202" s="332">
        <v>0</v>
      </c>
      <c r="N1202" s="332">
        <v>3</v>
      </c>
      <c r="O1202" s="332">
        <v>0</v>
      </c>
      <c r="P1202" s="332">
        <v>0</v>
      </c>
      <c r="Q1202" s="188" t="s">
        <v>146</v>
      </c>
      <c r="R1202" s="340"/>
      <c r="T1202" s="2"/>
      <c r="U1202" s="2"/>
    </row>
    <row r="1203" spans="2:21" ht="22.5" customHeight="1" thickBot="1" x14ac:dyDescent="0.25">
      <c r="B1203" s="332">
        <f t="shared" si="525"/>
        <v>288</v>
      </c>
      <c r="C1203" s="332">
        <f>O1203+M1203+K1203+I1203+G1203+E1203</f>
        <v>116</v>
      </c>
      <c r="D1203" s="332">
        <f>P1203+N1203+L1203+J1203+H1203+F1203</f>
        <v>172</v>
      </c>
      <c r="E1203" s="332">
        <v>0</v>
      </c>
      <c r="F1203" s="332">
        <v>0</v>
      </c>
      <c r="G1203" s="332">
        <v>35</v>
      </c>
      <c r="H1203" s="332">
        <v>15</v>
      </c>
      <c r="I1203" s="332">
        <v>55</v>
      </c>
      <c r="J1203" s="332">
        <v>83</v>
      </c>
      <c r="K1203" s="332">
        <v>26</v>
      </c>
      <c r="L1203" s="332">
        <v>73</v>
      </c>
      <c r="M1203" s="332">
        <v>0</v>
      </c>
      <c r="N1203" s="332">
        <v>0</v>
      </c>
      <c r="O1203" s="332">
        <v>0</v>
      </c>
      <c r="P1203" s="332">
        <v>1</v>
      </c>
      <c r="Q1203" s="188" t="s">
        <v>145</v>
      </c>
      <c r="R1203" s="340" t="s">
        <v>128</v>
      </c>
      <c r="T1203" s="2"/>
      <c r="U1203" s="2"/>
    </row>
    <row r="1204" spans="2:21" ht="22.5" customHeight="1" thickBot="1" x14ac:dyDescent="0.25">
      <c r="B1204" s="332">
        <f t="shared" ref="B1204:P1204" si="526">SUM(B1202:B1203)</f>
        <v>418</v>
      </c>
      <c r="C1204" s="332">
        <f t="shared" si="526"/>
        <v>156</v>
      </c>
      <c r="D1204" s="332">
        <f t="shared" si="526"/>
        <v>262</v>
      </c>
      <c r="E1204" s="332">
        <f t="shared" si="526"/>
        <v>0</v>
      </c>
      <c r="F1204" s="332">
        <f t="shared" si="526"/>
        <v>0</v>
      </c>
      <c r="G1204" s="332">
        <f t="shared" si="526"/>
        <v>41</v>
      </c>
      <c r="H1204" s="332">
        <f t="shared" si="526"/>
        <v>15</v>
      </c>
      <c r="I1204" s="332">
        <f t="shared" si="526"/>
        <v>73</v>
      </c>
      <c r="J1204" s="332">
        <f t="shared" si="526"/>
        <v>119</v>
      </c>
      <c r="K1204" s="332">
        <f t="shared" si="526"/>
        <v>42</v>
      </c>
      <c r="L1204" s="332">
        <f t="shared" si="526"/>
        <v>124</v>
      </c>
      <c r="M1204" s="332">
        <f t="shared" si="526"/>
        <v>0</v>
      </c>
      <c r="N1204" s="332">
        <f t="shared" si="526"/>
        <v>3</v>
      </c>
      <c r="O1204" s="332">
        <f t="shared" si="526"/>
        <v>0</v>
      </c>
      <c r="P1204" s="332">
        <f t="shared" si="526"/>
        <v>1</v>
      </c>
      <c r="Q1204" s="188" t="s">
        <v>12</v>
      </c>
      <c r="R1204" s="341"/>
      <c r="T1204" s="2"/>
      <c r="U1204" s="2"/>
    </row>
    <row r="1205" spans="2:21" ht="22.5" customHeight="1" thickBot="1" x14ac:dyDescent="0.25">
      <c r="B1205" s="332">
        <f t="shared" ref="B1205:B1206" si="527">SUM(C1205:D1205)</f>
        <v>11</v>
      </c>
      <c r="C1205" s="332">
        <f>O1205+M1205+K1205+I1205+G1205+E1205</f>
        <v>9</v>
      </c>
      <c r="D1205" s="332">
        <f>P1205+N1205+L1205+J1205+H1205+F1205</f>
        <v>2</v>
      </c>
      <c r="E1205" s="332">
        <v>9</v>
      </c>
      <c r="F1205" s="332">
        <v>0</v>
      </c>
      <c r="G1205" s="332">
        <v>0</v>
      </c>
      <c r="H1205" s="332">
        <v>0</v>
      </c>
      <c r="I1205" s="332">
        <v>0</v>
      </c>
      <c r="J1205" s="332">
        <v>0</v>
      </c>
      <c r="K1205" s="332">
        <v>0</v>
      </c>
      <c r="L1205" s="332">
        <v>2</v>
      </c>
      <c r="M1205" s="332">
        <v>0</v>
      </c>
      <c r="N1205" s="332">
        <v>0</v>
      </c>
      <c r="O1205" s="332">
        <v>0</v>
      </c>
      <c r="P1205" s="332">
        <v>0</v>
      </c>
      <c r="Q1205" s="188" t="s">
        <v>146</v>
      </c>
      <c r="R1205" s="340"/>
      <c r="T1205" s="2"/>
      <c r="U1205" s="2"/>
    </row>
    <row r="1206" spans="2:21" ht="22.5" customHeight="1" thickBot="1" x14ac:dyDescent="0.25">
      <c r="B1206" s="332">
        <f t="shared" si="527"/>
        <v>112</v>
      </c>
      <c r="C1206" s="332">
        <f>O1206+M1206+K1206+I1206+G1206+E1206</f>
        <v>49</v>
      </c>
      <c r="D1206" s="332">
        <f>P1206+N1206+L1206+J1206+H1206+F1206</f>
        <v>63</v>
      </c>
      <c r="E1206" s="332">
        <v>39</v>
      </c>
      <c r="F1206" s="332">
        <v>40</v>
      </c>
      <c r="G1206" s="332">
        <v>0</v>
      </c>
      <c r="H1206" s="332">
        <v>0</v>
      </c>
      <c r="I1206" s="332">
        <v>0</v>
      </c>
      <c r="J1206" s="332">
        <v>0</v>
      </c>
      <c r="K1206" s="332">
        <v>10</v>
      </c>
      <c r="L1206" s="332">
        <v>18</v>
      </c>
      <c r="M1206" s="332">
        <v>0</v>
      </c>
      <c r="N1206" s="332">
        <v>5</v>
      </c>
      <c r="O1206" s="332">
        <v>0</v>
      </c>
      <c r="P1206" s="332">
        <v>0</v>
      </c>
      <c r="Q1206" s="188" t="s">
        <v>145</v>
      </c>
      <c r="R1206" s="340" t="s">
        <v>129</v>
      </c>
      <c r="T1206" s="2"/>
      <c r="U1206" s="2"/>
    </row>
    <row r="1207" spans="2:21" ht="22.5" customHeight="1" thickBot="1" x14ac:dyDescent="0.25">
      <c r="B1207" s="332">
        <f t="shared" ref="B1207:P1207" si="528">SUM(B1205:B1206)</f>
        <v>123</v>
      </c>
      <c r="C1207" s="332">
        <f t="shared" si="528"/>
        <v>58</v>
      </c>
      <c r="D1207" s="332">
        <f t="shared" si="528"/>
        <v>65</v>
      </c>
      <c r="E1207" s="332">
        <f t="shared" si="528"/>
        <v>48</v>
      </c>
      <c r="F1207" s="332">
        <f t="shared" si="528"/>
        <v>40</v>
      </c>
      <c r="G1207" s="332">
        <f t="shared" si="528"/>
        <v>0</v>
      </c>
      <c r="H1207" s="332">
        <f t="shared" si="528"/>
        <v>0</v>
      </c>
      <c r="I1207" s="332">
        <f t="shared" si="528"/>
        <v>0</v>
      </c>
      <c r="J1207" s="332">
        <f t="shared" si="528"/>
        <v>0</v>
      </c>
      <c r="K1207" s="332">
        <f t="shared" si="528"/>
        <v>10</v>
      </c>
      <c r="L1207" s="332">
        <f t="shared" si="528"/>
        <v>20</v>
      </c>
      <c r="M1207" s="332">
        <f t="shared" si="528"/>
        <v>0</v>
      </c>
      <c r="N1207" s="332">
        <f t="shared" si="528"/>
        <v>5</v>
      </c>
      <c r="O1207" s="332">
        <f t="shared" si="528"/>
        <v>0</v>
      </c>
      <c r="P1207" s="332">
        <f t="shared" si="528"/>
        <v>0</v>
      </c>
      <c r="Q1207" s="188" t="s">
        <v>12</v>
      </c>
      <c r="R1207" s="341"/>
      <c r="T1207" s="2"/>
      <c r="U1207" s="2"/>
    </row>
    <row r="1208" spans="2:21" ht="22.5" customHeight="1" thickBot="1" x14ac:dyDescent="0.25">
      <c r="B1208" s="332">
        <f t="shared" ref="B1208:B1209" si="529">SUM(C1208:D1208)</f>
        <v>8</v>
      </c>
      <c r="C1208" s="332">
        <f>O1208+M1208+K1208+I1208+G1208+E1208</f>
        <v>8</v>
      </c>
      <c r="D1208" s="332">
        <f>P1208+N1208+L1208+J1208+H1208+F1208</f>
        <v>0</v>
      </c>
      <c r="E1208" s="332">
        <v>1</v>
      </c>
      <c r="F1208" s="332">
        <v>0</v>
      </c>
      <c r="G1208" s="332">
        <v>0</v>
      </c>
      <c r="H1208" s="332">
        <v>0</v>
      </c>
      <c r="I1208" s="332">
        <v>3</v>
      </c>
      <c r="J1208" s="332">
        <v>0</v>
      </c>
      <c r="K1208" s="332">
        <v>4</v>
      </c>
      <c r="L1208" s="332">
        <v>0</v>
      </c>
      <c r="M1208" s="332">
        <v>0</v>
      </c>
      <c r="N1208" s="332">
        <v>0</v>
      </c>
      <c r="O1208" s="332">
        <v>0</v>
      </c>
      <c r="P1208" s="332">
        <v>0</v>
      </c>
      <c r="Q1208" s="188" t="s">
        <v>146</v>
      </c>
      <c r="R1208" s="584" t="s">
        <v>130</v>
      </c>
      <c r="T1208" s="2"/>
      <c r="U1208" s="2"/>
    </row>
    <row r="1209" spans="2:21" ht="22.5" customHeight="1" thickBot="1" x14ac:dyDescent="0.25">
      <c r="B1209" s="332">
        <f t="shared" si="529"/>
        <v>71</v>
      </c>
      <c r="C1209" s="332">
        <f>O1209+M1209+K1209+I1209+G1209+E1209</f>
        <v>59</v>
      </c>
      <c r="D1209" s="332">
        <f>P1209+N1209+L1209+J1209+H1209+F1209</f>
        <v>12</v>
      </c>
      <c r="E1209" s="332">
        <v>11</v>
      </c>
      <c r="F1209" s="332">
        <v>0</v>
      </c>
      <c r="G1209" s="332">
        <v>0</v>
      </c>
      <c r="H1209" s="332">
        <v>0</v>
      </c>
      <c r="I1209" s="332">
        <v>22</v>
      </c>
      <c r="J1209" s="332">
        <v>1</v>
      </c>
      <c r="K1209" s="332">
        <v>21</v>
      </c>
      <c r="L1209" s="332">
        <v>10</v>
      </c>
      <c r="M1209" s="332">
        <v>5</v>
      </c>
      <c r="N1209" s="332">
        <v>1</v>
      </c>
      <c r="O1209" s="332">
        <v>0</v>
      </c>
      <c r="P1209" s="332">
        <v>0</v>
      </c>
      <c r="Q1209" s="188" t="s">
        <v>145</v>
      </c>
      <c r="R1209" s="585"/>
      <c r="T1209" s="2"/>
      <c r="U1209" s="2"/>
    </row>
    <row r="1210" spans="2:21" ht="22.5" customHeight="1" thickBot="1" x14ac:dyDescent="0.25">
      <c r="B1210" s="332">
        <f t="shared" ref="B1210:P1210" si="530">SUM(B1208:B1209)</f>
        <v>79</v>
      </c>
      <c r="C1210" s="332">
        <f t="shared" si="530"/>
        <v>67</v>
      </c>
      <c r="D1210" s="332">
        <f t="shared" si="530"/>
        <v>12</v>
      </c>
      <c r="E1210" s="332">
        <f t="shared" si="530"/>
        <v>12</v>
      </c>
      <c r="F1210" s="332">
        <f t="shared" si="530"/>
        <v>0</v>
      </c>
      <c r="G1210" s="332">
        <f t="shared" si="530"/>
        <v>0</v>
      </c>
      <c r="H1210" s="332">
        <f t="shared" si="530"/>
        <v>0</v>
      </c>
      <c r="I1210" s="332">
        <f t="shared" si="530"/>
        <v>25</v>
      </c>
      <c r="J1210" s="332">
        <f t="shared" si="530"/>
        <v>1</v>
      </c>
      <c r="K1210" s="332">
        <f t="shared" si="530"/>
        <v>25</v>
      </c>
      <c r="L1210" s="332">
        <f t="shared" si="530"/>
        <v>10</v>
      </c>
      <c r="M1210" s="332">
        <f t="shared" si="530"/>
        <v>5</v>
      </c>
      <c r="N1210" s="332">
        <f t="shared" si="530"/>
        <v>1</v>
      </c>
      <c r="O1210" s="332">
        <f t="shared" si="530"/>
        <v>0</v>
      </c>
      <c r="P1210" s="332">
        <f t="shared" si="530"/>
        <v>0</v>
      </c>
      <c r="Q1210" s="188" t="s">
        <v>12</v>
      </c>
      <c r="R1210" s="586"/>
      <c r="T1210" s="2"/>
      <c r="U1210" s="2"/>
    </row>
    <row r="1211" spans="2:21" ht="22.5" customHeight="1" thickBot="1" x14ac:dyDescent="0.25">
      <c r="B1211" s="332">
        <f t="shared" ref="B1211:B1212" si="531">SUM(C1211:D1211)</f>
        <v>6</v>
      </c>
      <c r="C1211" s="332">
        <f>O1211+M1211+K1211+I1211+G1211+E1211</f>
        <v>4</v>
      </c>
      <c r="D1211" s="332">
        <f>P1211+N1211+L1211+J1211+H1211+F1211</f>
        <v>2</v>
      </c>
      <c r="E1211" s="332">
        <v>0</v>
      </c>
      <c r="F1211" s="332">
        <v>0</v>
      </c>
      <c r="G1211" s="332">
        <v>0</v>
      </c>
      <c r="H1211" s="332">
        <v>0</v>
      </c>
      <c r="I1211" s="332">
        <v>4</v>
      </c>
      <c r="J1211" s="332">
        <v>0</v>
      </c>
      <c r="K1211" s="332">
        <v>0</v>
      </c>
      <c r="L1211" s="332">
        <v>2</v>
      </c>
      <c r="M1211" s="332">
        <v>0</v>
      </c>
      <c r="N1211" s="332">
        <v>0</v>
      </c>
      <c r="O1211" s="332">
        <v>0</v>
      </c>
      <c r="P1211" s="332">
        <v>0</v>
      </c>
      <c r="Q1211" s="188" t="s">
        <v>146</v>
      </c>
      <c r="R1211" s="340"/>
      <c r="T1211" s="2"/>
      <c r="U1211" s="2"/>
    </row>
    <row r="1212" spans="2:21" ht="22.5" customHeight="1" thickBot="1" x14ac:dyDescent="0.25">
      <c r="B1212" s="332">
        <f t="shared" si="531"/>
        <v>75</v>
      </c>
      <c r="C1212" s="332">
        <f>O1212+M1212+K1212+I1212+G1212+E1212</f>
        <v>39</v>
      </c>
      <c r="D1212" s="332">
        <f>P1212+N1212+L1212+J1212+H1212+F1212</f>
        <v>36</v>
      </c>
      <c r="E1212" s="332">
        <v>22</v>
      </c>
      <c r="F1212" s="332">
        <v>20</v>
      </c>
      <c r="G1212" s="332">
        <v>0</v>
      </c>
      <c r="H1212" s="332">
        <v>0</v>
      </c>
      <c r="I1212" s="332">
        <v>15</v>
      </c>
      <c r="J1212" s="332">
        <v>10</v>
      </c>
      <c r="K1212" s="332">
        <v>1</v>
      </c>
      <c r="L1212" s="332">
        <v>3</v>
      </c>
      <c r="M1212" s="332">
        <v>0</v>
      </c>
      <c r="N1212" s="332">
        <v>2</v>
      </c>
      <c r="O1212" s="332">
        <v>1</v>
      </c>
      <c r="P1212" s="332">
        <v>1</v>
      </c>
      <c r="Q1212" s="188" t="s">
        <v>145</v>
      </c>
      <c r="R1212" s="340" t="s">
        <v>131</v>
      </c>
      <c r="T1212" s="2"/>
      <c r="U1212" s="2"/>
    </row>
    <row r="1213" spans="2:21" ht="22.5" customHeight="1" thickBot="1" x14ac:dyDescent="0.25">
      <c r="B1213" s="332">
        <f t="shared" ref="B1213:P1213" si="532">SUM(B1211:B1212)</f>
        <v>81</v>
      </c>
      <c r="C1213" s="332">
        <f t="shared" si="532"/>
        <v>43</v>
      </c>
      <c r="D1213" s="332">
        <f t="shared" si="532"/>
        <v>38</v>
      </c>
      <c r="E1213" s="332">
        <f t="shared" si="532"/>
        <v>22</v>
      </c>
      <c r="F1213" s="332">
        <f t="shared" si="532"/>
        <v>20</v>
      </c>
      <c r="G1213" s="332">
        <f t="shared" si="532"/>
        <v>0</v>
      </c>
      <c r="H1213" s="332">
        <f t="shared" si="532"/>
        <v>0</v>
      </c>
      <c r="I1213" s="332">
        <f t="shared" si="532"/>
        <v>19</v>
      </c>
      <c r="J1213" s="332">
        <f t="shared" si="532"/>
        <v>10</v>
      </c>
      <c r="K1213" s="332">
        <f t="shared" si="532"/>
        <v>1</v>
      </c>
      <c r="L1213" s="332">
        <f t="shared" si="532"/>
        <v>5</v>
      </c>
      <c r="M1213" s="332">
        <f t="shared" si="532"/>
        <v>0</v>
      </c>
      <c r="N1213" s="332">
        <f t="shared" si="532"/>
        <v>2</v>
      </c>
      <c r="O1213" s="332">
        <f t="shared" si="532"/>
        <v>1</v>
      </c>
      <c r="P1213" s="332">
        <f t="shared" si="532"/>
        <v>1</v>
      </c>
      <c r="Q1213" s="188" t="s">
        <v>12</v>
      </c>
      <c r="R1213" s="341"/>
      <c r="T1213" s="2"/>
      <c r="U1213" s="2"/>
    </row>
    <row r="1214" spans="2:21" ht="22.5" customHeight="1" thickBot="1" x14ac:dyDescent="0.25">
      <c r="B1214" s="332">
        <f t="shared" ref="B1214:B1215" si="533">SUM(C1214:D1214)</f>
        <v>4</v>
      </c>
      <c r="C1214" s="332">
        <f>O1214+M1214+K1214+I1214+G1214+E1214</f>
        <v>1</v>
      </c>
      <c r="D1214" s="332">
        <f>P1214+N1214+L1214+J1214+H1214+F1214</f>
        <v>3</v>
      </c>
      <c r="E1214" s="332">
        <v>0</v>
      </c>
      <c r="F1214" s="332">
        <v>0</v>
      </c>
      <c r="G1214" s="332">
        <v>0</v>
      </c>
      <c r="H1214" s="332">
        <v>0</v>
      </c>
      <c r="I1214" s="332">
        <v>0</v>
      </c>
      <c r="J1214" s="332">
        <v>0</v>
      </c>
      <c r="K1214" s="332">
        <v>1</v>
      </c>
      <c r="L1214" s="332">
        <v>0</v>
      </c>
      <c r="M1214" s="332">
        <v>0</v>
      </c>
      <c r="N1214" s="332">
        <v>2</v>
      </c>
      <c r="O1214" s="332">
        <v>0</v>
      </c>
      <c r="P1214" s="332">
        <v>1</v>
      </c>
      <c r="Q1214" s="188" t="s">
        <v>146</v>
      </c>
      <c r="R1214" s="584" t="s">
        <v>132</v>
      </c>
      <c r="T1214" s="2"/>
      <c r="U1214" s="2"/>
    </row>
    <row r="1215" spans="2:21" ht="22.5" customHeight="1" thickBot="1" x14ac:dyDescent="0.25">
      <c r="B1215" s="332">
        <f t="shared" si="533"/>
        <v>59</v>
      </c>
      <c r="C1215" s="332">
        <f>O1215+M1215+K1215+I1215+G1215+E1215</f>
        <v>1</v>
      </c>
      <c r="D1215" s="332">
        <f>P1215+N1215+L1215+J1215+H1215+F1215</f>
        <v>58</v>
      </c>
      <c r="E1215" s="332">
        <v>0</v>
      </c>
      <c r="F1215" s="332">
        <v>0</v>
      </c>
      <c r="G1215" s="332">
        <v>0</v>
      </c>
      <c r="H1215" s="332">
        <v>0</v>
      </c>
      <c r="I1215" s="332">
        <v>1</v>
      </c>
      <c r="J1215" s="332">
        <v>16</v>
      </c>
      <c r="K1215" s="332">
        <v>0</v>
      </c>
      <c r="L1215" s="332">
        <v>12</v>
      </c>
      <c r="M1215" s="332">
        <v>0</v>
      </c>
      <c r="N1215" s="332">
        <v>10</v>
      </c>
      <c r="O1215" s="332">
        <v>0</v>
      </c>
      <c r="P1215" s="332">
        <v>20</v>
      </c>
      <c r="Q1215" s="188" t="s">
        <v>145</v>
      </c>
      <c r="R1215" s="585"/>
      <c r="T1215" s="2"/>
      <c r="U1215" s="2"/>
    </row>
    <row r="1216" spans="2:21" ht="22.5" customHeight="1" thickBot="1" x14ac:dyDescent="0.25">
      <c r="B1216" s="332">
        <f t="shared" ref="B1216:P1216" si="534">SUM(B1214:B1215)</f>
        <v>63</v>
      </c>
      <c r="C1216" s="332">
        <f t="shared" si="534"/>
        <v>2</v>
      </c>
      <c r="D1216" s="332">
        <f t="shared" si="534"/>
        <v>61</v>
      </c>
      <c r="E1216" s="332">
        <f t="shared" si="534"/>
        <v>0</v>
      </c>
      <c r="F1216" s="332">
        <f t="shared" si="534"/>
        <v>0</v>
      </c>
      <c r="G1216" s="332">
        <f t="shared" si="534"/>
        <v>0</v>
      </c>
      <c r="H1216" s="332">
        <f t="shared" si="534"/>
        <v>0</v>
      </c>
      <c r="I1216" s="332">
        <f t="shared" si="534"/>
        <v>1</v>
      </c>
      <c r="J1216" s="332">
        <f t="shared" si="534"/>
        <v>16</v>
      </c>
      <c r="K1216" s="332">
        <f t="shared" si="534"/>
        <v>1</v>
      </c>
      <c r="L1216" s="332">
        <f t="shared" si="534"/>
        <v>12</v>
      </c>
      <c r="M1216" s="332">
        <f t="shared" si="534"/>
        <v>0</v>
      </c>
      <c r="N1216" s="332">
        <f t="shared" si="534"/>
        <v>12</v>
      </c>
      <c r="O1216" s="332">
        <f t="shared" si="534"/>
        <v>0</v>
      </c>
      <c r="P1216" s="332">
        <f t="shared" si="534"/>
        <v>21</v>
      </c>
      <c r="Q1216" s="188" t="s">
        <v>12</v>
      </c>
      <c r="R1216" s="586"/>
      <c r="T1216" s="2"/>
      <c r="U1216" s="2"/>
    </row>
    <row r="1217" spans="2:21" ht="22.5" customHeight="1" thickBot="1" x14ac:dyDescent="0.25">
      <c r="B1217" s="332">
        <f t="shared" ref="B1217:B1218" si="535">SUM(C1217:D1217)</f>
        <v>55</v>
      </c>
      <c r="C1217" s="332">
        <f>O1217+M1217+K1217+I1217+G1217+E1217</f>
        <v>46</v>
      </c>
      <c r="D1217" s="332">
        <f>P1217+N1217+L1217+J1217+H1217+F1217</f>
        <v>9</v>
      </c>
      <c r="E1217" s="332">
        <v>6</v>
      </c>
      <c r="F1217" s="332">
        <v>0</v>
      </c>
      <c r="G1217" s="332">
        <v>11</v>
      </c>
      <c r="H1217" s="332">
        <v>0</v>
      </c>
      <c r="I1217" s="332">
        <v>18</v>
      </c>
      <c r="J1217" s="332">
        <v>3</v>
      </c>
      <c r="K1217" s="332">
        <v>11</v>
      </c>
      <c r="L1217" s="332">
        <v>5</v>
      </c>
      <c r="M1217" s="332">
        <v>0</v>
      </c>
      <c r="N1217" s="332">
        <v>0</v>
      </c>
      <c r="O1217" s="332">
        <v>0</v>
      </c>
      <c r="P1217" s="332">
        <v>1</v>
      </c>
      <c r="Q1217" s="188" t="s">
        <v>146</v>
      </c>
      <c r="R1217" s="340"/>
      <c r="T1217" s="2"/>
      <c r="U1217" s="2"/>
    </row>
    <row r="1218" spans="2:21" ht="22.5" customHeight="1" thickBot="1" x14ac:dyDescent="0.25">
      <c r="B1218" s="332">
        <f t="shared" si="535"/>
        <v>85</v>
      </c>
      <c r="C1218" s="332">
        <f>O1218+M1218+K1218+I1218+G1218+E1218</f>
        <v>78</v>
      </c>
      <c r="D1218" s="332">
        <f>P1218+N1218+L1218+J1218+H1218+F1218</f>
        <v>7</v>
      </c>
      <c r="E1218" s="332">
        <v>6</v>
      </c>
      <c r="F1218" s="332">
        <v>1</v>
      </c>
      <c r="G1218" s="332">
        <v>13</v>
      </c>
      <c r="H1218" s="332">
        <v>0</v>
      </c>
      <c r="I1218" s="332">
        <v>33</v>
      </c>
      <c r="J1218" s="332">
        <v>4</v>
      </c>
      <c r="K1218" s="332">
        <v>19</v>
      </c>
      <c r="L1218" s="332">
        <v>2</v>
      </c>
      <c r="M1218" s="332">
        <v>5</v>
      </c>
      <c r="N1218" s="332">
        <v>0</v>
      </c>
      <c r="O1218" s="332">
        <v>2</v>
      </c>
      <c r="P1218" s="332">
        <v>0</v>
      </c>
      <c r="Q1218" s="188" t="s">
        <v>145</v>
      </c>
      <c r="R1218" s="340" t="s">
        <v>133</v>
      </c>
      <c r="T1218" s="2"/>
      <c r="U1218" s="2"/>
    </row>
    <row r="1219" spans="2:21" ht="22.5" customHeight="1" thickBot="1" x14ac:dyDescent="0.25">
      <c r="B1219" s="332">
        <f t="shared" ref="B1219:P1219" si="536">SUM(B1217:B1218)</f>
        <v>140</v>
      </c>
      <c r="C1219" s="332">
        <f t="shared" si="536"/>
        <v>124</v>
      </c>
      <c r="D1219" s="332">
        <f t="shared" si="536"/>
        <v>16</v>
      </c>
      <c r="E1219" s="332">
        <f t="shared" si="536"/>
        <v>12</v>
      </c>
      <c r="F1219" s="332">
        <f t="shared" si="536"/>
        <v>1</v>
      </c>
      <c r="G1219" s="332">
        <f t="shared" si="536"/>
        <v>24</v>
      </c>
      <c r="H1219" s="332">
        <f t="shared" si="536"/>
        <v>0</v>
      </c>
      <c r="I1219" s="332">
        <f t="shared" si="536"/>
        <v>51</v>
      </c>
      <c r="J1219" s="332">
        <f t="shared" si="536"/>
        <v>7</v>
      </c>
      <c r="K1219" s="332">
        <f t="shared" si="536"/>
        <v>30</v>
      </c>
      <c r="L1219" s="332">
        <f t="shared" si="536"/>
        <v>7</v>
      </c>
      <c r="M1219" s="332">
        <f t="shared" si="536"/>
        <v>5</v>
      </c>
      <c r="N1219" s="332">
        <f t="shared" si="536"/>
        <v>0</v>
      </c>
      <c r="O1219" s="332">
        <f t="shared" si="536"/>
        <v>2</v>
      </c>
      <c r="P1219" s="332">
        <f t="shared" si="536"/>
        <v>1</v>
      </c>
      <c r="Q1219" s="188" t="s">
        <v>12</v>
      </c>
      <c r="R1219" s="341"/>
      <c r="T1219" s="2"/>
      <c r="U1219" s="2"/>
    </row>
    <row r="1220" spans="2:21" ht="22.5" customHeight="1" thickBot="1" x14ac:dyDescent="0.25">
      <c r="B1220" s="332">
        <f t="shared" ref="B1220:B1221" si="537">SUM(C1220:D1220)</f>
        <v>7</v>
      </c>
      <c r="C1220" s="332">
        <f>O1220+M1220+K1220+I1220+G1220+E1220</f>
        <v>2</v>
      </c>
      <c r="D1220" s="332">
        <f>P1220+N1220+L1220+J1220+H1220+F1220</f>
        <v>5</v>
      </c>
      <c r="E1220" s="332">
        <v>1</v>
      </c>
      <c r="F1220" s="332">
        <v>0</v>
      </c>
      <c r="G1220" s="332">
        <v>0</v>
      </c>
      <c r="H1220" s="332">
        <v>4</v>
      </c>
      <c r="I1220" s="332">
        <v>1</v>
      </c>
      <c r="J1220" s="332">
        <v>0</v>
      </c>
      <c r="K1220" s="332">
        <v>0</v>
      </c>
      <c r="L1220" s="332">
        <v>0</v>
      </c>
      <c r="M1220" s="332">
        <v>0</v>
      </c>
      <c r="N1220" s="332">
        <v>1</v>
      </c>
      <c r="O1220" s="332">
        <v>0</v>
      </c>
      <c r="P1220" s="332">
        <v>0</v>
      </c>
      <c r="Q1220" s="188" t="s">
        <v>146</v>
      </c>
      <c r="R1220" s="340"/>
      <c r="T1220" s="2"/>
      <c r="U1220" s="2"/>
    </row>
    <row r="1221" spans="2:21" ht="22.5" customHeight="1" thickBot="1" x14ac:dyDescent="0.25">
      <c r="B1221" s="332">
        <f t="shared" si="537"/>
        <v>15</v>
      </c>
      <c r="C1221" s="332">
        <f>O1221+M1221+K1221+I1221+G1221+E1221</f>
        <v>0</v>
      </c>
      <c r="D1221" s="332">
        <f>P1221+N1221+L1221+J1221+H1221+F1221</f>
        <v>15</v>
      </c>
      <c r="E1221" s="332">
        <v>0</v>
      </c>
      <c r="F1221" s="332">
        <v>2</v>
      </c>
      <c r="G1221" s="332">
        <v>0</v>
      </c>
      <c r="H1221" s="332">
        <v>0</v>
      </c>
      <c r="I1221" s="332">
        <v>0</v>
      </c>
      <c r="J1221" s="332">
        <v>2</v>
      </c>
      <c r="K1221" s="332">
        <v>0</v>
      </c>
      <c r="L1221" s="332">
        <v>5</v>
      </c>
      <c r="M1221" s="332">
        <v>0</v>
      </c>
      <c r="N1221" s="332">
        <v>4</v>
      </c>
      <c r="O1221" s="332">
        <v>0</v>
      </c>
      <c r="P1221" s="332">
        <v>2</v>
      </c>
      <c r="Q1221" s="188" t="s">
        <v>145</v>
      </c>
      <c r="R1221" s="340" t="s">
        <v>134</v>
      </c>
      <c r="T1221" s="2"/>
      <c r="U1221" s="2"/>
    </row>
    <row r="1222" spans="2:21" ht="22.5" customHeight="1" thickBot="1" x14ac:dyDescent="0.25">
      <c r="B1222" s="332">
        <f t="shared" ref="B1222:P1222" si="538">SUM(B1220:B1221)</f>
        <v>22</v>
      </c>
      <c r="C1222" s="332">
        <f t="shared" si="538"/>
        <v>2</v>
      </c>
      <c r="D1222" s="332">
        <f t="shared" si="538"/>
        <v>20</v>
      </c>
      <c r="E1222" s="332">
        <f t="shared" si="538"/>
        <v>1</v>
      </c>
      <c r="F1222" s="332">
        <f t="shared" si="538"/>
        <v>2</v>
      </c>
      <c r="G1222" s="332">
        <f t="shared" si="538"/>
        <v>0</v>
      </c>
      <c r="H1222" s="332">
        <f t="shared" si="538"/>
        <v>4</v>
      </c>
      <c r="I1222" s="332">
        <f t="shared" si="538"/>
        <v>1</v>
      </c>
      <c r="J1222" s="332">
        <f t="shared" si="538"/>
        <v>2</v>
      </c>
      <c r="K1222" s="332">
        <f t="shared" si="538"/>
        <v>0</v>
      </c>
      <c r="L1222" s="332">
        <f t="shared" si="538"/>
        <v>5</v>
      </c>
      <c r="M1222" s="332">
        <f t="shared" si="538"/>
        <v>0</v>
      </c>
      <c r="N1222" s="332">
        <f t="shared" si="538"/>
        <v>5</v>
      </c>
      <c r="O1222" s="332">
        <f t="shared" si="538"/>
        <v>0</v>
      </c>
      <c r="P1222" s="332">
        <f t="shared" si="538"/>
        <v>2</v>
      </c>
      <c r="Q1222" s="188" t="s">
        <v>12</v>
      </c>
      <c r="R1222" s="341"/>
      <c r="T1222" s="2"/>
      <c r="U1222" s="2"/>
    </row>
    <row r="1223" spans="2:21" ht="22.5" customHeight="1" thickBot="1" x14ac:dyDescent="0.25">
      <c r="B1223" s="332">
        <f t="shared" ref="B1223:B1224" si="539">SUM(C1223:D1223)</f>
        <v>1</v>
      </c>
      <c r="C1223" s="332">
        <f>O1223+M1223+K1223+I1223+G1223+E1223</f>
        <v>0</v>
      </c>
      <c r="D1223" s="332">
        <f>P1223+N1223+L1223+J1223+H1223+F1223</f>
        <v>1</v>
      </c>
      <c r="E1223" s="332">
        <v>0</v>
      </c>
      <c r="F1223" s="332">
        <v>0</v>
      </c>
      <c r="G1223" s="332">
        <v>0</v>
      </c>
      <c r="H1223" s="332">
        <v>0</v>
      </c>
      <c r="I1223" s="332">
        <v>0</v>
      </c>
      <c r="J1223" s="332">
        <v>0</v>
      </c>
      <c r="K1223" s="332">
        <v>0</v>
      </c>
      <c r="L1223" s="332">
        <v>1</v>
      </c>
      <c r="M1223" s="332">
        <v>0</v>
      </c>
      <c r="N1223" s="332">
        <v>0</v>
      </c>
      <c r="O1223" s="332">
        <v>0</v>
      </c>
      <c r="P1223" s="332">
        <v>0</v>
      </c>
      <c r="Q1223" s="188" t="s">
        <v>146</v>
      </c>
      <c r="R1223" s="340"/>
      <c r="T1223" s="2"/>
      <c r="U1223" s="2"/>
    </row>
    <row r="1224" spans="2:21" ht="22.5" customHeight="1" thickBot="1" x14ac:dyDescent="0.25">
      <c r="B1224" s="332">
        <f t="shared" si="539"/>
        <v>15</v>
      </c>
      <c r="C1224" s="332">
        <f>O1224+M1224+K1224+I1224+G1224+E1224</f>
        <v>1</v>
      </c>
      <c r="D1224" s="332">
        <f>P1224+N1224+L1224+J1224+H1224+F1224</f>
        <v>14</v>
      </c>
      <c r="E1224" s="332">
        <v>0</v>
      </c>
      <c r="F1224" s="332">
        <v>2</v>
      </c>
      <c r="G1224" s="332">
        <v>0</v>
      </c>
      <c r="H1224" s="332">
        <v>1</v>
      </c>
      <c r="I1224" s="332">
        <v>1</v>
      </c>
      <c r="J1224" s="332">
        <v>6</v>
      </c>
      <c r="K1224" s="332">
        <v>0</v>
      </c>
      <c r="L1224" s="332">
        <v>4</v>
      </c>
      <c r="M1224" s="332">
        <v>0</v>
      </c>
      <c r="N1224" s="332">
        <v>1</v>
      </c>
      <c r="O1224" s="332">
        <v>0</v>
      </c>
      <c r="P1224" s="332">
        <v>0</v>
      </c>
      <c r="Q1224" s="188" t="s">
        <v>145</v>
      </c>
      <c r="R1224" s="340" t="s">
        <v>135</v>
      </c>
      <c r="T1224" s="2"/>
      <c r="U1224" s="2"/>
    </row>
    <row r="1225" spans="2:21" ht="22.5" customHeight="1" thickBot="1" x14ac:dyDescent="0.25">
      <c r="B1225" s="332">
        <f t="shared" ref="B1225:P1225" si="540">SUM(B1223:B1224)</f>
        <v>16</v>
      </c>
      <c r="C1225" s="332">
        <f t="shared" si="540"/>
        <v>1</v>
      </c>
      <c r="D1225" s="332">
        <f t="shared" si="540"/>
        <v>15</v>
      </c>
      <c r="E1225" s="332">
        <f t="shared" si="540"/>
        <v>0</v>
      </c>
      <c r="F1225" s="332">
        <f t="shared" si="540"/>
        <v>2</v>
      </c>
      <c r="G1225" s="332">
        <f t="shared" si="540"/>
        <v>0</v>
      </c>
      <c r="H1225" s="332">
        <f t="shared" si="540"/>
        <v>1</v>
      </c>
      <c r="I1225" s="332">
        <f t="shared" si="540"/>
        <v>1</v>
      </c>
      <c r="J1225" s="332">
        <f t="shared" si="540"/>
        <v>6</v>
      </c>
      <c r="K1225" s="332">
        <f t="shared" si="540"/>
        <v>0</v>
      </c>
      <c r="L1225" s="332">
        <f t="shared" si="540"/>
        <v>5</v>
      </c>
      <c r="M1225" s="332">
        <f t="shared" si="540"/>
        <v>0</v>
      </c>
      <c r="N1225" s="332">
        <f t="shared" si="540"/>
        <v>1</v>
      </c>
      <c r="O1225" s="332">
        <f t="shared" si="540"/>
        <v>0</v>
      </c>
      <c r="P1225" s="332">
        <f t="shared" si="540"/>
        <v>0</v>
      </c>
      <c r="Q1225" s="188" t="s">
        <v>12</v>
      </c>
      <c r="R1225" s="341"/>
      <c r="T1225" s="2"/>
      <c r="U1225" s="2"/>
    </row>
    <row r="1226" spans="2:21" ht="22.5" customHeight="1" thickBot="1" x14ac:dyDescent="0.25">
      <c r="B1226" s="332">
        <f t="shared" ref="B1226:B1227" si="541">SUM(C1226:D1226)</f>
        <v>12</v>
      </c>
      <c r="C1226" s="332">
        <f>O1226+M1226+K1226+I1226+G1226+E1226</f>
        <v>0</v>
      </c>
      <c r="D1226" s="332">
        <f>P1226+N1226+L1226+J1226+H1226+F1226</f>
        <v>12</v>
      </c>
      <c r="E1226" s="332">
        <v>0</v>
      </c>
      <c r="F1226" s="332">
        <v>0</v>
      </c>
      <c r="G1226" s="332">
        <v>0</v>
      </c>
      <c r="H1226" s="332">
        <v>0</v>
      </c>
      <c r="I1226" s="332">
        <v>0</v>
      </c>
      <c r="J1226" s="332">
        <v>1</v>
      </c>
      <c r="K1226" s="332">
        <v>0</v>
      </c>
      <c r="L1226" s="332">
        <v>9</v>
      </c>
      <c r="M1226" s="332">
        <v>0</v>
      </c>
      <c r="N1226" s="332">
        <v>1</v>
      </c>
      <c r="O1226" s="332">
        <v>0</v>
      </c>
      <c r="P1226" s="332">
        <v>1</v>
      </c>
      <c r="Q1226" s="188" t="s">
        <v>146</v>
      </c>
      <c r="R1226" s="340"/>
      <c r="T1226" s="2"/>
      <c r="U1226" s="2"/>
    </row>
    <row r="1227" spans="2:21" ht="22.5" customHeight="1" thickBot="1" x14ac:dyDescent="0.25">
      <c r="B1227" s="332">
        <f t="shared" si="541"/>
        <v>31</v>
      </c>
      <c r="C1227" s="332">
        <f>O1227+M1227+K1227+I1227+G1227+E1227</f>
        <v>0</v>
      </c>
      <c r="D1227" s="332">
        <f>P1227+N1227+L1227+J1227+H1227+F1227</f>
        <v>31</v>
      </c>
      <c r="E1227" s="332">
        <v>0</v>
      </c>
      <c r="F1227" s="332">
        <v>0</v>
      </c>
      <c r="G1227" s="332">
        <v>0</v>
      </c>
      <c r="H1227" s="332">
        <v>0</v>
      </c>
      <c r="I1227" s="332">
        <v>0</v>
      </c>
      <c r="J1227" s="332">
        <v>12</v>
      </c>
      <c r="K1227" s="332">
        <v>0</v>
      </c>
      <c r="L1227" s="332">
        <v>14</v>
      </c>
      <c r="M1227" s="332">
        <v>0</v>
      </c>
      <c r="N1227" s="332">
        <v>4</v>
      </c>
      <c r="O1227" s="332">
        <v>0</v>
      </c>
      <c r="P1227" s="332">
        <v>1</v>
      </c>
      <c r="Q1227" s="188" t="s">
        <v>145</v>
      </c>
      <c r="R1227" s="340" t="s">
        <v>136</v>
      </c>
      <c r="T1227" s="2"/>
      <c r="U1227" s="2"/>
    </row>
    <row r="1228" spans="2:21" ht="22.5" customHeight="1" thickBot="1" x14ac:dyDescent="0.25">
      <c r="B1228" s="332">
        <f t="shared" ref="B1228:P1228" si="542">SUM(B1226:B1227)</f>
        <v>43</v>
      </c>
      <c r="C1228" s="332">
        <f t="shared" si="542"/>
        <v>0</v>
      </c>
      <c r="D1228" s="332">
        <f t="shared" si="542"/>
        <v>43</v>
      </c>
      <c r="E1228" s="332">
        <f t="shared" si="542"/>
        <v>0</v>
      </c>
      <c r="F1228" s="332">
        <f t="shared" si="542"/>
        <v>0</v>
      </c>
      <c r="G1228" s="332">
        <f t="shared" si="542"/>
        <v>0</v>
      </c>
      <c r="H1228" s="332">
        <f t="shared" si="542"/>
        <v>0</v>
      </c>
      <c r="I1228" s="332">
        <f t="shared" si="542"/>
        <v>0</v>
      </c>
      <c r="J1228" s="332">
        <f t="shared" si="542"/>
        <v>13</v>
      </c>
      <c r="K1228" s="332">
        <f t="shared" si="542"/>
        <v>0</v>
      </c>
      <c r="L1228" s="332">
        <f t="shared" si="542"/>
        <v>23</v>
      </c>
      <c r="M1228" s="332">
        <f t="shared" si="542"/>
        <v>0</v>
      </c>
      <c r="N1228" s="332">
        <f t="shared" si="542"/>
        <v>5</v>
      </c>
      <c r="O1228" s="332">
        <f t="shared" si="542"/>
        <v>0</v>
      </c>
      <c r="P1228" s="332">
        <f t="shared" si="542"/>
        <v>2</v>
      </c>
      <c r="Q1228" s="188" t="s">
        <v>12</v>
      </c>
      <c r="R1228" s="341"/>
      <c r="T1228" s="2"/>
      <c r="U1228" s="2"/>
    </row>
    <row r="1229" spans="2:21" ht="22.5" customHeight="1" thickBot="1" x14ac:dyDescent="0.25">
      <c r="B1229" s="332">
        <f t="shared" ref="B1229:B1230" si="543">SUM(C1229:D1229)</f>
        <v>5</v>
      </c>
      <c r="C1229" s="332">
        <f>O1229+M1229+K1229+I1229+G1229+E1229</f>
        <v>5</v>
      </c>
      <c r="D1229" s="332">
        <f>P1229+N1229+L1229+J1229+H1229+F1229</f>
        <v>0</v>
      </c>
      <c r="E1229" s="332">
        <v>5</v>
      </c>
      <c r="F1229" s="332">
        <v>0</v>
      </c>
      <c r="G1229" s="332">
        <v>0</v>
      </c>
      <c r="H1229" s="332">
        <v>0</v>
      </c>
      <c r="I1229" s="332">
        <v>0</v>
      </c>
      <c r="J1229" s="332">
        <v>0</v>
      </c>
      <c r="K1229" s="332">
        <v>0</v>
      </c>
      <c r="L1229" s="332">
        <v>0</v>
      </c>
      <c r="M1229" s="332">
        <v>0</v>
      </c>
      <c r="N1229" s="332">
        <v>0</v>
      </c>
      <c r="O1229" s="332">
        <v>0</v>
      </c>
      <c r="P1229" s="332">
        <v>0</v>
      </c>
      <c r="Q1229" s="188" t="s">
        <v>146</v>
      </c>
      <c r="R1229" s="584" t="s">
        <v>137</v>
      </c>
      <c r="T1229" s="2"/>
      <c r="U1229" s="2"/>
    </row>
    <row r="1230" spans="2:21" ht="22.5" customHeight="1" thickBot="1" x14ac:dyDescent="0.25">
      <c r="B1230" s="332">
        <f t="shared" si="543"/>
        <v>27</v>
      </c>
      <c r="C1230" s="332">
        <f>O1230+M1230+K1230+I1230+G1230+E1230</f>
        <v>13</v>
      </c>
      <c r="D1230" s="332">
        <f>P1230+N1230+L1230+J1230+H1230+F1230</f>
        <v>14</v>
      </c>
      <c r="E1230" s="332">
        <v>6</v>
      </c>
      <c r="F1230" s="332">
        <v>6</v>
      </c>
      <c r="G1230" s="332">
        <v>0</v>
      </c>
      <c r="H1230" s="332">
        <v>0</v>
      </c>
      <c r="I1230" s="332">
        <v>4</v>
      </c>
      <c r="J1230" s="332">
        <v>6</v>
      </c>
      <c r="K1230" s="332">
        <v>3</v>
      </c>
      <c r="L1230" s="332">
        <v>1</v>
      </c>
      <c r="M1230" s="332">
        <v>0</v>
      </c>
      <c r="N1230" s="332">
        <v>1</v>
      </c>
      <c r="O1230" s="332">
        <v>0</v>
      </c>
      <c r="P1230" s="332">
        <v>0</v>
      </c>
      <c r="Q1230" s="188" t="s">
        <v>145</v>
      </c>
      <c r="R1230" s="585"/>
      <c r="T1230" s="2"/>
      <c r="U1230" s="2"/>
    </row>
    <row r="1231" spans="2:21" ht="22.5" customHeight="1" thickBot="1" x14ac:dyDescent="0.25">
      <c r="B1231" s="332">
        <f t="shared" ref="B1231:P1231" si="544">SUM(B1229:B1230)</f>
        <v>32</v>
      </c>
      <c r="C1231" s="332">
        <f t="shared" si="544"/>
        <v>18</v>
      </c>
      <c r="D1231" s="332">
        <f t="shared" si="544"/>
        <v>14</v>
      </c>
      <c r="E1231" s="332">
        <f t="shared" si="544"/>
        <v>11</v>
      </c>
      <c r="F1231" s="332">
        <f t="shared" si="544"/>
        <v>6</v>
      </c>
      <c r="G1231" s="332">
        <f t="shared" si="544"/>
        <v>0</v>
      </c>
      <c r="H1231" s="332">
        <f t="shared" si="544"/>
        <v>0</v>
      </c>
      <c r="I1231" s="332">
        <f t="shared" si="544"/>
        <v>4</v>
      </c>
      <c r="J1231" s="332">
        <f t="shared" si="544"/>
        <v>6</v>
      </c>
      <c r="K1231" s="332">
        <f t="shared" si="544"/>
        <v>3</v>
      </c>
      <c r="L1231" s="332">
        <f t="shared" si="544"/>
        <v>1</v>
      </c>
      <c r="M1231" s="332">
        <f t="shared" si="544"/>
        <v>0</v>
      </c>
      <c r="N1231" s="332">
        <f t="shared" si="544"/>
        <v>1</v>
      </c>
      <c r="O1231" s="332">
        <f t="shared" si="544"/>
        <v>0</v>
      </c>
      <c r="P1231" s="332">
        <f t="shared" si="544"/>
        <v>0</v>
      </c>
      <c r="Q1231" s="188" t="s">
        <v>12</v>
      </c>
      <c r="R1231" s="586"/>
      <c r="T1231" s="2"/>
      <c r="U1231" s="2"/>
    </row>
    <row r="1232" spans="2:21" ht="22.5" customHeight="1" thickBot="1" x14ac:dyDescent="0.25">
      <c r="B1232" s="332">
        <f t="shared" ref="B1232:B1233" si="545">SUM(C1232:D1232)</f>
        <v>34</v>
      </c>
      <c r="C1232" s="332">
        <f>O1232+M1232+K1232+I1232+G1232+E1232</f>
        <v>12</v>
      </c>
      <c r="D1232" s="332">
        <f>P1232+N1232+L1232+J1232+H1232+F1232</f>
        <v>22</v>
      </c>
      <c r="E1232" s="332">
        <v>0</v>
      </c>
      <c r="F1232" s="332">
        <v>0</v>
      </c>
      <c r="G1232" s="332">
        <v>1</v>
      </c>
      <c r="H1232" s="332">
        <v>3</v>
      </c>
      <c r="I1232" s="332">
        <v>6</v>
      </c>
      <c r="J1232" s="332">
        <v>4</v>
      </c>
      <c r="K1232" s="332">
        <v>3</v>
      </c>
      <c r="L1232" s="332">
        <v>6</v>
      </c>
      <c r="M1232" s="332">
        <v>2</v>
      </c>
      <c r="N1232" s="332">
        <v>5</v>
      </c>
      <c r="O1232" s="332">
        <v>0</v>
      </c>
      <c r="P1232" s="332">
        <v>4</v>
      </c>
      <c r="Q1232" s="188" t="s">
        <v>146</v>
      </c>
      <c r="R1232" s="340"/>
      <c r="T1232" s="2"/>
      <c r="U1232" s="2"/>
    </row>
    <row r="1233" spans="2:21" ht="22.5" customHeight="1" thickBot="1" x14ac:dyDescent="0.25">
      <c r="B1233" s="332">
        <f t="shared" si="545"/>
        <v>55</v>
      </c>
      <c r="C1233" s="332">
        <f>O1233+M1233+K1233+I1233+G1233+E1233</f>
        <v>17</v>
      </c>
      <c r="D1233" s="332">
        <f>P1233+N1233+L1233+J1233+H1233+F1233</f>
        <v>38</v>
      </c>
      <c r="E1233" s="332">
        <v>1</v>
      </c>
      <c r="F1233" s="332">
        <v>2</v>
      </c>
      <c r="G1233" s="332">
        <v>1</v>
      </c>
      <c r="H1233" s="332">
        <v>1</v>
      </c>
      <c r="I1233" s="332">
        <v>8</v>
      </c>
      <c r="J1233" s="332">
        <v>11</v>
      </c>
      <c r="K1233" s="332">
        <v>5</v>
      </c>
      <c r="L1233" s="332">
        <v>14</v>
      </c>
      <c r="M1233" s="332">
        <v>1</v>
      </c>
      <c r="N1233" s="332">
        <v>4</v>
      </c>
      <c r="O1233" s="332">
        <v>1</v>
      </c>
      <c r="P1233" s="332">
        <v>6</v>
      </c>
      <c r="Q1233" s="188" t="s">
        <v>145</v>
      </c>
      <c r="R1233" s="340" t="s">
        <v>786</v>
      </c>
      <c r="T1233" s="2"/>
      <c r="U1233" s="2"/>
    </row>
    <row r="1234" spans="2:21" ht="22.5" customHeight="1" thickBot="1" x14ac:dyDescent="0.25">
      <c r="B1234" s="332">
        <f t="shared" ref="B1234:P1234" si="546">SUM(B1232:B1233)</f>
        <v>89</v>
      </c>
      <c r="C1234" s="332">
        <f t="shared" si="546"/>
        <v>29</v>
      </c>
      <c r="D1234" s="332">
        <f t="shared" si="546"/>
        <v>60</v>
      </c>
      <c r="E1234" s="332">
        <f t="shared" si="546"/>
        <v>1</v>
      </c>
      <c r="F1234" s="332">
        <f t="shared" si="546"/>
        <v>2</v>
      </c>
      <c r="G1234" s="332">
        <f t="shared" si="546"/>
        <v>2</v>
      </c>
      <c r="H1234" s="332">
        <f t="shared" si="546"/>
        <v>4</v>
      </c>
      <c r="I1234" s="332">
        <f t="shared" si="546"/>
        <v>14</v>
      </c>
      <c r="J1234" s="332">
        <f t="shared" si="546"/>
        <v>15</v>
      </c>
      <c r="K1234" s="332">
        <f t="shared" si="546"/>
        <v>8</v>
      </c>
      <c r="L1234" s="332">
        <f t="shared" si="546"/>
        <v>20</v>
      </c>
      <c r="M1234" s="332">
        <f t="shared" si="546"/>
        <v>3</v>
      </c>
      <c r="N1234" s="332">
        <f t="shared" si="546"/>
        <v>9</v>
      </c>
      <c r="O1234" s="332">
        <f t="shared" si="546"/>
        <v>1</v>
      </c>
      <c r="P1234" s="332">
        <f t="shared" si="546"/>
        <v>10</v>
      </c>
      <c r="Q1234" s="188" t="s">
        <v>12</v>
      </c>
      <c r="R1234" s="341"/>
      <c r="T1234" s="2"/>
      <c r="U1234" s="2"/>
    </row>
    <row r="1235" spans="2:21" ht="22.5" customHeight="1" thickBot="1" x14ac:dyDescent="0.25">
      <c r="B1235" s="332">
        <f t="shared" ref="B1235:B1236" si="547">SUM(C1235:D1235)</f>
        <v>10</v>
      </c>
      <c r="C1235" s="332">
        <f>O1235+M1235+K1235+I1235+G1235+E1235</f>
        <v>6</v>
      </c>
      <c r="D1235" s="332">
        <f>P1235+N1235+L1235+J1235+H1235+F1235</f>
        <v>4</v>
      </c>
      <c r="E1235" s="332">
        <v>4</v>
      </c>
      <c r="F1235" s="332">
        <v>0</v>
      </c>
      <c r="G1235" s="332">
        <v>0</v>
      </c>
      <c r="H1235" s="332">
        <v>0</v>
      </c>
      <c r="I1235" s="332">
        <v>1</v>
      </c>
      <c r="J1235" s="332">
        <v>1</v>
      </c>
      <c r="K1235" s="332">
        <v>1</v>
      </c>
      <c r="L1235" s="332">
        <v>2</v>
      </c>
      <c r="M1235" s="332">
        <v>0</v>
      </c>
      <c r="N1235" s="332">
        <v>1</v>
      </c>
      <c r="O1235" s="332">
        <v>0</v>
      </c>
      <c r="P1235" s="332">
        <v>0</v>
      </c>
      <c r="Q1235" s="188" t="s">
        <v>146</v>
      </c>
      <c r="R1235" s="340"/>
      <c r="T1235" s="2"/>
      <c r="U1235" s="2"/>
    </row>
    <row r="1236" spans="2:21" ht="22.5" customHeight="1" thickBot="1" x14ac:dyDescent="0.25">
      <c r="B1236" s="332">
        <f t="shared" si="547"/>
        <v>31</v>
      </c>
      <c r="C1236" s="332">
        <f>O1236+M1236+K1236+I1236+G1236+E1236</f>
        <v>14</v>
      </c>
      <c r="D1236" s="332">
        <f>P1236+N1236+L1236+J1236+H1236+F1236</f>
        <v>17</v>
      </c>
      <c r="E1236" s="332">
        <v>3</v>
      </c>
      <c r="F1236" s="332">
        <v>3</v>
      </c>
      <c r="G1236" s="332">
        <v>0</v>
      </c>
      <c r="H1236" s="332">
        <v>0</v>
      </c>
      <c r="I1236" s="332">
        <v>2</v>
      </c>
      <c r="J1236" s="332">
        <v>4</v>
      </c>
      <c r="K1236" s="332">
        <v>3</v>
      </c>
      <c r="L1236" s="332">
        <v>5</v>
      </c>
      <c r="M1236" s="332">
        <v>3</v>
      </c>
      <c r="N1236" s="332">
        <v>2</v>
      </c>
      <c r="O1236" s="332">
        <v>3</v>
      </c>
      <c r="P1236" s="332">
        <v>3</v>
      </c>
      <c r="Q1236" s="188" t="s">
        <v>145</v>
      </c>
      <c r="R1236" s="340" t="s">
        <v>138</v>
      </c>
      <c r="T1236" s="2"/>
      <c r="U1236" s="2"/>
    </row>
    <row r="1237" spans="2:21" ht="22.5" customHeight="1" thickBot="1" x14ac:dyDescent="0.25">
      <c r="B1237" s="332">
        <f t="shared" ref="B1237:P1237" si="548">SUM(B1235:B1236)</f>
        <v>41</v>
      </c>
      <c r="C1237" s="332">
        <f t="shared" si="548"/>
        <v>20</v>
      </c>
      <c r="D1237" s="332">
        <f t="shared" si="548"/>
        <v>21</v>
      </c>
      <c r="E1237" s="332">
        <f t="shared" si="548"/>
        <v>7</v>
      </c>
      <c r="F1237" s="332">
        <f t="shared" si="548"/>
        <v>3</v>
      </c>
      <c r="G1237" s="332">
        <f t="shared" si="548"/>
        <v>0</v>
      </c>
      <c r="H1237" s="332">
        <f t="shared" si="548"/>
        <v>0</v>
      </c>
      <c r="I1237" s="332">
        <f t="shared" si="548"/>
        <v>3</v>
      </c>
      <c r="J1237" s="332">
        <f t="shared" si="548"/>
        <v>5</v>
      </c>
      <c r="K1237" s="332">
        <f t="shared" si="548"/>
        <v>4</v>
      </c>
      <c r="L1237" s="332">
        <f t="shared" si="548"/>
        <v>7</v>
      </c>
      <c r="M1237" s="332">
        <f t="shared" si="548"/>
        <v>3</v>
      </c>
      <c r="N1237" s="332">
        <f t="shared" si="548"/>
        <v>3</v>
      </c>
      <c r="O1237" s="332">
        <f t="shared" si="548"/>
        <v>3</v>
      </c>
      <c r="P1237" s="332">
        <f t="shared" si="548"/>
        <v>3</v>
      </c>
      <c r="Q1237" s="188" t="s">
        <v>12</v>
      </c>
      <c r="R1237" s="341"/>
      <c r="T1237" s="2"/>
      <c r="U1237" s="2"/>
    </row>
    <row r="1238" spans="2:21" ht="22.5" customHeight="1" thickBot="1" x14ac:dyDescent="0.25">
      <c r="B1238" s="332">
        <f t="shared" ref="B1238:B1239" si="549">SUM(C1238:D1238)</f>
        <v>6</v>
      </c>
      <c r="C1238" s="332">
        <f>O1238+M1238+K1238+I1238+G1238+E1238</f>
        <v>0</v>
      </c>
      <c r="D1238" s="332">
        <f>P1238+N1238+L1238+J1238+H1238+F1238</f>
        <v>6</v>
      </c>
      <c r="E1238" s="332">
        <v>0</v>
      </c>
      <c r="F1238" s="332">
        <v>0</v>
      </c>
      <c r="G1238" s="332">
        <v>0</v>
      </c>
      <c r="H1238" s="332">
        <v>0</v>
      </c>
      <c r="I1238" s="332">
        <v>0</v>
      </c>
      <c r="J1238" s="332">
        <v>1</v>
      </c>
      <c r="K1238" s="332">
        <v>0</v>
      </c>
      <c r="L1238" s="332">
        <v>4</v>
      </c>
      <c r="M1238" s="332">
        <v>0</v>
      </c>
      <c r="N1238" s="332">
        <v>1</v>
      </c>
      <c r="O1238" s="332">
        <v>0</v>
      </c>
      <c r="P1238" s="332">
        <v>0</v>
      </c>
      <c r="Q1238" s="188" t="s">
        <v>146</v>
      </c>
      <c r="R1238" s="340"/>
      <c r="T1238" s="2"/>
      <c r="U1238" s="2"/>
    </row>
    <row r="1239" spans="2:21" ht="22.5" customHeight="1" thickBot="1" x14ac:dyDescent="0.25">
      <c r="B1239" s="332">
        <f t="shared" si="549"/>
        <v>6</v>
      </c>
      <c r="C1239" s="332">
        <f>O1239+M1239+K1239+I1239+G1239+E1239</f>
        <v>0</v>
      </c>
      <c r="D1239" s="332">
        <f>P1239+N1239+L1239+J1239+H1239+F1239</f>
        <v>6</v>
      </c>
      <c r="E1239" s="332">
        <v>0</v>
      </c>
      <c r="F1239" s="332">
        <v>0</v>
      </c>
      <c r="G1239" s="332">
        <v>0</v>
      </c>
      <c r="H1239" s="332">
        <v>0</v>
      </c>
      <c r="I1239" s="332">
        <v>0</v>
      </c>
      <c r="J1239" s="332">
        <v>6</v>
      </c>
      <c r="K1239" s="332">
        <v>0</v>
      </c>
      <c r="L1239" s="332">
        <v>0</v>
      </c>
      <c r="M1239" s="332">
        <v>0</v>
      </c>
      <c r="N1239" s="332">
        <v>0</v>
      </c>
      <c r="O1239" s="332">
        <v>0</v>
      </c>
      <c r="P1239" s="332">
        <v>0</v>
      </c>
      <c r="Q1239" s="188" t="s">
        <v>145</v>
      </c>
      <c r="R1239" s="340" t="s">
        <v>139</v>
      </c>
      <c r="T1239" s="2"/>
      <c r="U1239" s="2"/>
    </row>
    <row r="1240" spans="2:21" ht="22.5" customHeight="1" thickBot="1" x14ac:dyDescent="0.25">
      <c r="B1240" s="332">
        <f t="shared" ref="B1240:P1240" si="550">SUM(B1238:B1239)</f>
        <v>12</v>
      </c>
      <c r="C1240" s="332">
        <f t="shared" si="550"/>
        <v>0</v>
      </c>
      <c r="D1240" s="332">
        <f t="shared" si="550"/>
        <v>12</v>
      </c>
      <c r="E1240" s="332">
        <f t="shared" si="550"/>
        <v>0</v>
      </c>
      <c r="F1240" s="332">
        <f t="shared" si="550"/>
        <v>0</v>
      </c>
      <c r="G1240" s="332">
        <f t="shared" si="550"/>
        <v>0</v>
      </c>
      <c r="H1240" s="332">
        <f t="shared" si="550"/>
        <v>0</v>
      </c>
      <c r="I1240" s="332">
        <f t="shared" si="550"/>
        <v>0</v>
      </c>
      <c r="J1240" s="332">
        <f t="shared" si="550"/>
        <v>7</v>
      </c>
      <c r="K1240" s="332">
        <f t="shared" si="550"/>
        <v>0</v>
      </c>
      <c r="L1240" s="332">
        <f t="shared" si="550"/>
        <v>4</v>
      </c>
      <c r="M1240" s="332">
        <f t="shared" si="550"/>
        <v>0</v>
      </c>
      <c r="N1240" s="332">
        <f t="shared" si="550"/>
        <v>1</v>
      </c>
      <c r="O1240" s="332">
        <f t="shared" si="550"/>
        <v>0</v>
      </c>
      <c r="P1240" s="332">
        <f t="shared" si="550"/>
        <v>0</v>
      </c>
      <c r="Q1240" s="188" t="s">
        <v>12</v>
      </c>
      <c r="R1240" s="341"/>
      <c r="T1240" s="2"/>
      <c r="U1240" s="2"/>
    </row>
    <row r="1241" spans="2:21" ht="22.5" customHeight="1" thickBot="1" x14ac:dyDescent="0.25">
      <c r="B1241" s="332">
        <f t="shared" ref="B1241:B1242" si="551">SUM(C1241:D1241)</f>
        <v>4</v>
      </c>
      <c r="C1241" s="332">
        <f>O1241+M1241+K1241+I1241+G1241+E1241</f>
        <v>2</v>
      </c>
      <c r="D1241" s="332">
        <f>P1241+N1241+L1241+J1241+H1241+F1241</f>
        <v>2</v>
      </c>
      <c r="E1241" s="332">
        <v>1</v>
      </c>
      <c r="F1241" s="332">
        <v>0</v>
      </c>
      <c r="G1241" s="332">
        <v>0</v>
      </c>
      <c r="H1241" s="332">
        <v>0</v>
      </c>
      <c r="I1241" s="332">
        <v>0</v>
      </c>
      <c r="J1241" s="332">
        <v>0</v>
      </c>
      <c r="K1241" s="332">
        <v>0</v>
      </c>
      <c r="L1241" s="332">
        <v>1</v>
      </c>
      <c r="M1241" s="332">
        <v>1</v>
      </c>
      <c r="N1241" s="332">
        <v>1</v>
      </c>
      <c r="O1241" s="332">
        <v>0</v>
      </c>
      <c r="P1241" s="332">
        <v>0</v>
      </c>
      <c r="Q1241" s="188" t="s">
        <v>146</v>
      </c>
      <c r="R1241" s="340"/>
      <c r="T1241" s="2"/>
      <c r="U1241" s="2"/>
    </row>
    <row r="1242" spans="2:21" ht="22.5" customHeight="1" thickBot="1" x14ac:dyDescent="0.25">
      <c r="B1242" s="332">
        <f t="shared" si="551"/>
        <v>44</v>
      </c>
      <c r="C1242" s="332">
        <f>O1242+M1242+K1242+I1242+G1242+E1242</f>
        <v>15</v>
      </c>
      <c r="D1242" s="332">
        <f>P1242+N1242+L1242+J1242+H1242+F1242</f>
        <v>29</v>
      </c>
      <c r="E1242" s="332">
        <v>2</v>
      </c>
      <c r="F1242" s="332">
        <v>1</v>
      </c>
      <c r="G1242" s="332">
        <v>0</v>
      </c>
      <c r="H1242" s="332">
        <v>0</v>
      </c>
      <c r="I1242" s="332">
        <v>7</v>
      </c>
      <c r="J1242" s="332">
        <v>9</v>
      </c>
      <c r="K1242" s="332">
        <v>6</v>
      </c>
      <c r="L1242" s="332">
        <v>9</v>
      </c>
      <c r="M1242" s="332">
        <v>0</v>
      </c>
      <c r="N1242" s="332">
        <v>5</v>
      </c>
      <c r="O1242" s="332">
        <v>0</v>
      </c>
      <c r="P1242" s="332">
        <v>5</v>
      </c>
      <c r="Q1242" s="188" t="s">
        <v>145</v>
      </c>
      <c r="R1242" s="340" t="s">
        <v>140</v>
      </c>
      <c r="T1242" s="2"/>
      <c r="U1242" s="2"/>
    </row>
    <row r="1243" spans="2:21" ht="22.5" customHeight="1" thickBot="1" x14ac:dyDescent="0.25">
      <c r="B1243" s="332">
        <f t="shared" ref="B1243:P1243" si="552">SUM(B1241:B1242)</f>
        <v>48</v>
      </c>
      <c r="C1243" s="332">
        <f t="shared" si="552"/>
        <v>17</v>
      </c>
      <c r="D1243" s="332">
        <f t="shared" si="552"/>
        <v>31</v>
      </c>
      <c r="E1243" s="332">
        <f t="shared" si="552"/>
        <v>3</v>
      </c>
      <c r="F1243" s="332">
        <f t="shared" si="552"/>
        <v>1</v>
      </c>
      <c r="G1243" s="332">
        <f t="shared" si="552"/>
        <v>0</v>
      </c>
      <c r="H1243" s="332">
        <f t="shared" si="552"/>
        <v>0</v>
      </c>
      <c r="I1243" s="332">
        <f t="shared" si="552"/>
        <v>7</v>
      </c>
      <c r="J1243" s="332">
        <f t="shared" si="552"/>
        <v>9</v>
      </c>
      <c r="K1243" s="332">
        <f t="shared" si="552"/>
        <v>6</v>
      </c>
      <c r="L1243" s="332">
        <f t="shared" si="552"/>
        <v>10</v>
      </c>
      <c r="M1243" s="332">
        <f t="shared" si="552"/>
        <v>1</v>
      </c>
      <c r="N1243" s="332">
        <f t="shared" si="552"/>
        <v>6</v>
      </c>
      <c r="O1243" s="332">
        <f t="shared" si="552"/>
        <v>0</v>
      </c>
      <c r="P1243" s="332">
        <f t="shared" si="552"/>
        <v>5</v>
      </c>
      <c r="Q1243" s="188" t="s">
        <v>12</v>
      </c>
      <c r="R1243" s="341"/>
      <c r="T1243" s="2"/>
      <c r="U1243" s="2"/>
    </row>
    <row r="1244" spans="2:21" ht="22.5" customHeight="1" thickBot="1" x14ac:dyDescent="0.25">
      <c r="B1244" s="332">
        <f t="shared" ref="B1244:B1245" si="553">SUM(C1244:D1244)</f>
        <v>7</v>
      </c>
      <c r="C1244" s="332">
        <f>O1244+M1244+K1244+I1244+G1244+E1244</f>
        <v>0</v>
      </c>
      <c r="D1244" s="332">
        <f>P1244+N1244+L1244+J1244+H1244+F1244</f>
        <v>7</v>
      </c>
      <c r="E1244" s="332">
        <v>0</v>
      </c>
      <c r="F1244" s="332">
        <v>0</v>
      </c>
      <c r="G1244" s="332">
        <v>0</v>
      </c>
      <c r="H1244" s="332">
        <v>0</v>
      </c>
      <c r="I1244" s="332">
        <v>0</v>
      </c>
      <c r="J1244" s="332">
        <v>3</v>
      </c>
      <c r="K1244" s="332">
        <v>0</v>
      </c>
      <c r="L1244" s="332">
        <v>3</v>
      </c>
      <c r="M1244" s="332">
        <v>0</v>
      </c>
      <c r="N1244" s="332">
        <v>0</v>
      </c>
      <c r="O1244" s="332">
        <v>0</v>
      </c>
      <c r="P1244" s="332">
        <v>1</v>
      </c>
      <c r="Q1244" s="188" t="s">
        <v>146</v>
      </c>
      <c r="R1244" s="340"/>
      <c r="T1244" s="2"/>
      <c r="U1244" s="2"/>
    </row>
    <row r="1245" spans="2:21" ht="22.5" customHeight="1" thickBot="1" x14ac:dyDescent="0.25">
      <c r="B1245" s="332">
        <f t="shared" si="553"/>
        <v>24</v>
      </c>
      <c r="C1245" s="332">
        <f>O1245+M1245+K1245+I1245+G1245+E1245</f>
        <v>1</v>
      </c>
      <c r="D1245" s="332">
        <f>P1245+N1245+L1245+J1245+H1245+F1245</f>
        <v>23</v>
      </c>
      <c r="E1245" s="332">
        <v>0</v>
      </c>
      <c r="F1245" s="332">
        <v>0</v>
      </c>
      <c r="G1245" s="332">
        <v>0</v>
      </c>
      <c r="H1245" s="332">
        <v>0</v>
      </c>
      <c r="I1245" s="332">
        <v>0</v>
      </c>
      <c r="J1245" s="332">
        <v>5</v>
      </c>
      <c r="K1245" s="332">
        <v>0</v>
      </c>
      <c r="L1245" s="332">
        <v>7</v>
      </c>
      <c r="M1245" s="332">
        <v>1</v>
      </c>
      <c r="N1245" s="332">
        <v>8</v>
      </c>
      <c r="O1245" s="332">
        <v>0</v>
      </c>
      <c r="P1245" s="332">
        <v>3</v>
      </c>
      <c r="Q1245" s="188" t="s">
        <v>145</v>
      </c>
      <c r="R1245" s="340" t="s">
        <v>787</v>
      </c>
      <c r="T1245" s="2"/>
      <c r="U1245" s="2"/>
    </row>
    <row r="1246" spans="2:21" ht="22.5" customHeight="1" thickBot="1" x14ac:dyDescent="0.25">
      <c r="B1246" s="332">
        <f t="shared" ref="B1246:P1246" si="554">SUM(B1244:B1245)</f>
        <v>31</v>
      </c>
      <c r="C1246" s="332">
        <f t="shared" si="554"/>
        <v>1</v>
      </c>
      <c r="D1246" s="332">
        <f t="shared" si="554"/>
        <v>30</v>
      </c>
      <c r="E1246" s="332">
        <f t="shared" si="554"/>
        <v>0</v>
      </c>
      <c r="F1246" s="332">
        <f t="shared" si="554"/>
        <v>0</v>
      </c>
      <c r="G1246" s="332">
        <f t="shared" si="554"/>
        <v>0</v>
      </c>
      <c r="H1246" s="332">
        <f t="shared" si="554"/>
        <v>0</v>
      </c>
      <c r="I1246" s="332">
        <f t="shared" si="554"/>
        <v>0</v>
      </c>
      <c r="J1246" s="332">
        <f t="shared" si="554"/>
        <v>8</v>
      </c>
      <c r="K1246" s="332">
        <f t="shared" si="554"/>
        <v>0</v>
      </c>
      <c r="L1246" s="332">
        <f t="shared" si="554"/>
        <v>10</v>
      </c>
      <c r="M1246" s="332">
        <f t="shared" si="554"/>
        <v>1</v>
      </c>
      <c r="N1246" s="332">
        <f t="shared" si="554"/>
        <v>8</v>
      </c>
      <c r="O1246" s="332">
        <f t="shared" si="554"/>
        <v>0</v>
      </c>
      <c r="P1246" s="332">
        <f t="shared" si="554"/>
        <v>4</v>
      </c>
      <c r="Q1246" s="188" t="s">
        <v>12</v>
      </c>
      <c r="R1246" s="341"/>
      <c r="T1246" s="2"/>
      <c r="U1246" s="2"/>
    </row>
    <row r="1247" spans="2:21" ht="22.5" customHeight="1" thickBot="1" x14ac:dyDescent="0.25">
      <c r="B1247" s="332">
        <f t="shared" ref="B1247:B1248" si="555">SUM(C1247:D1247)</f>
        <v>2</v>
      </c>
      <c r="C1247" s="332">
        <f>O1247+M1247+K1247+I1247+G1247+E1247</f>
        <v>2</v>
      </c>
      <c r="D1247" s="332">
        <f>P1247+N1247+L1247+J1247+H1247+F1247</f>
        <v>0</v>
      </c>
      <c r="E1247" s="332">
        <v>0</v>
      </c>
      <c r="F1247" s="332">
        <v>0</v>
      </c>
      <c r="G1247" s="332">
        <v>0</v>
      </c>
      <c r="H1247" s="332">
        <v>0</v>
      </c>
      <c r="I1247" s="332">
        <v>2</v>
      </c>
      <c r="J1247" s="332">
        <v>0</v>
      </c>
      <c r="K1247" s="332">
        <v>0</v>
      </c>
      <c r="L1247" s="332">
        <v>0</v>
      </c>
      <c r="M1247" s="332">
        <v>0</v>
      </c>
      <c r="N1247" s="332">
        <v>0</v>
      </c>
      <c r="O1247" s="332">
        <v>0</v>
      </c>
      <c r="P1247" s="332">
        <v>0</v>
      </c>
      <c r="Q1247" s="188" t="s">
        <v>146</v>
      </c>
      <c r="R1247" s="340"/>
      <c r="T1247" s="2"/>
      <c r="U1247" s="2"/>
    </row>
    <row r="1248" spans="2:21" ht="22.5" customHeight="1" thickBot="1" x14ac:dyDescent="0.25">
      <c r="B1248" s="332">
        <f t="shared" si="555"/>
        <v>26</v>
      </c>
      <c r="C1248" s="332">
        <f>O1248+M1248+K1248+I1248+G1248+E1248</f>
        <v>15</v>
      </c>
      <c r="D1248" s="332">
        <f>P1248+N1248+L1248+J1248+H1248+F1248</f>
        <v>11</v>
      </c>
      <c r="E1248" s="332">
        <v>4</v>
      </c>
      <c r="F1248" s="332">
        <v>2</v>
      </c>
      <c r="G1248" s="332">
        <v>3</v>
      </c>
      <c r="H1248" s="332">
        <v>0</v>
      </c>
      <c r="I1248" s="332">
        <v>7</v>
      </c>
      <c r="J1248" s="332">
        <v>2</v>
      </c>
      <c r="K1248" s="332">
        <v>0</v>
      </c>
      <c r="L1248" s="332">
        <v>0</v>
      </c>
      <c r="M1248" s="332">
        <v>0</v>
      </c>
      <c r="N1248" s="332">
        <v>3</v>
      </c>
      <c r="O1248" s="332">
        <v>1</v>
      </c>
      <c r="P1248" s="332">
        <v>4</v>
      </c>
      <c r="Q1248" s="188" t="s">
        <v>145</v>
      </c>
      <c r="R1248" s="340" t="s">
        <v>569</v>
      </c>
      <c r="T1248" s="2"/>
      <c r="U1248" s="2"/>
    </row>
    <row r="1249" spans="2:21" ht="22.5" customHeight="1" thickBot="1" x14ac:dyDescent="0.25">
      <c r="B1249" s="332">
        <f t="shared" ref="B1249:P1249" si="556">SUM(B1247:B1248)</f>
        <v>28</v>
      </c>
      <c r="C1249" s="332">
        <f t="shared" si="556"/>
        <v>17</v>
      </c>
      <c r="D1249" s="332">
        <f t="shared" si="556"/>
        <v>11</v>
      </c>
      <c r="E1249" s="332">
        <f t="shared" si="556"/>
        <v>4</v>
      </c>
      <c r="F1249" s="332">
        <f t="shared" si="556"/>
        <v>2</v>
      </c>
      <c r="G1249" s="332">
        <f t="shared" si="556"/>
        <v>3</v>
      </c>
      <c r="H1249" s="332">
        <f t="shared" si="556"/>
        <v>0</v>
      </c>
      <c r="I1249" s="332">
        <f t="shared" si="556"/>
        <v>9</v>
      </c>
      <c r="J1249" s="332">
        <f t="shared" si="556"/>
        <v>2</v>
      </c>
      <c r="K1249" s="332">
        <f t="shared" si="556"/>
        <v>0</v>
      </c>
      <c r="L1249" s="332">
        <f t="shared" si="556"/>
        <v>0</v>
      </c>
      <c r="M1249" s="332">
        <f t="shared" si="556"/>
        <v>0</v>
      </c>
      <c r="N1249" s="332">
        <f t="shared" si="556"/>
        <v>3</v>
      </c>
      <c r="O1249" s="332">
        <f t="shared" si="556"/>
        <v>1</v>
      </c>
      <c r="P1249" s="332">
        <f t="shared" si="556"/>
        <v>4</v>
      </c>
      <c r="Q1249" s="188" t="s">
        <v>12</v>
      </c>
      <c r="R1249" s="341"/>
      <c r="T1249" s="2"/>
      <c r="U1249" s="2"/>
    </row>
    <row r="1250" spans="2:21" ht="22.5" customHeight="1" thickBot="1" x14ac:dyDescent="0.25">
      <c r="B1250" s="332">
        <f t="shared" ref="B1250:B1251" si="557">SUM(C1250:D1250)</f>
        <v>8</v>
      </c>
      <c r="C1250" s="332">
        <f>O1250+M1250+K1250+I1250+G1250+E1250</f>
        <v>8</v>
      </c>
      <c r="D1250" s="332">
        <f>P1250+N1250+L1250+J1250+H1250+F1250</f>
        <v>0</v>
      </c>
      <c r="E1250" s="332">
        <v>0</v>
      </c>
      <c r="F1250" s="332">
        <v>0</v>
      </c>
      <c r="G1250" s="332">
        <v>8</v>
      </c>
      <c r="H1250" s="332">
        <v>0</v>
      </c>
      <c r="I1250" s="332">
        <v>0</v>
      </c>
      <c r="J1250" s="332">
        <v>0</v>
      </c>
      <c r="K1250" s="332">
        <v>0</v>
      </c>
      <c r="L1250" s="332">
        <v>0</v>
      </c>
      <c r="M1250" s="332">
        <v>0</v>
      </c>
      <c r="N1250" s="332">
        <v>0</v>
      </c>
      <c r="O1250" s="332">
        <v>0</v>
      </c>
      <c r="P1250" s="332">
        <v>0</v>
      </c>
      <c r="Q1250" s="188" t="s">
        <v>146</v>
      </c>
      <c r="R1250" s="584" t="s">
        <v>193</v>
      </c>
      <c r="T1250" s="2"/>
      <c r="U1250" s="2"/>
    </row>
    <row r="1251" spans="2:21" ht="22.5" customHeight="1" thickBot="1" x14ac:dyDescent="0.25">
      <c r="B1251" s="332">
        <f t="shared" si="557"/>
        <v>15</v>
      </c>
      <c r="C1251" s="332">
        <f>O1251+M1251+K1251+I1251+G1251+E1251</f>
        <v>15</v>
      </c>
      <c r="D1251" s="332">
        <f>P1251+N1251+L1251+J1251+H1251+F1251</f>
        <v>0</v>
      </c>
      <c r="E1251" s="332">
        <v>0</v>
      </c>
      <c r="F1251" s="332">
        <v>0</v>
      </c>
      <c r="G1251" s="332">
        <v>6</v>
      </c>
      <c r="H1251" s="332">
        <v>0</v>
      </c>
      <c r="I1251" s="332">
        <v>7</v>
      </c>
      <c r="J1251" s="332">
        <v>0</v>
      </c>
      <c r="K1251" s="332">
        <v>2</v>
      </c>
      <c r="L1251" s="332">
        <v>0</v>
      </c>
      <c r="M1251" s="332">
        <v>0</v>
      </c>
      <c r="N1251" s="332">
        <v>0</v>
      </c>
      <c r="O1251" s="332">
        <v>0</v>
      </c>
      <c r="P1251" s="332">
        <v>0</v>
      </c>
      <c r="Q1251" s="188" t="s">
        <v>145</v>
      </c>
      <c r="R1251" s="585"/>
    </row>
    <row r="1252" spans="2:21" ht="22.5" customHeight="1" thickBot="1" x14ac:dyDescent="0.25">
      <c r="B1252" s="332">
        <f t="shared" ref="B1252:P1252" si="558">SUM(B1250:B1251)</f>
        <v>23</v>
      </c>
      <c r="C1252" s="332">
        <f t="shared" si="558"/>
        <v>23</v>
      </c>
      <c r="D1252" s="332">
        <f t="shared" si="558"/>
        <v>0</v>
      </c>
      <c r="E1252" s="332">
        <f t="shared" si="558"/>
        <v>0</v>
      </c>
      <c r="F1252" s="332">
        <f t="shared" si="558"/>
        <v>0</v>
      </c>
      <c r="G1252" s="332">
        <f t="shared" si="558"/>
        <v>14</v>
      </c>
      <c r="H1252" s="332">
        <f t="shared" si="558"/>
        <v>0</v>
      </c>
      <c r="I1252" s="332">
        <f t="shared" si="558"/>
        <v>7</v>
      </c>
      <c r="J1252" s="332">
        <f t="shared" si="558"/>
        <v>0</v>
      </c>
      <c r="K1252" s="332">
        <f t="shared" si="558"/>
        <v>2</v>
      </c>
      <c r="L1252" s="332">
        <f t="shared" si="558"/>
        <v>0</v>
      </c>
      <c r="M1252" s="332">
        <f t="shared" si="558"/>
        <v>0</v>
      </c>
      <c r="N1252" s="332">
        <f t="shared" si="558"/>
        <v>0</v>
      </c>
      <c r="O1252" s="332">
        <f t="shared" si="558"/>
        <v>0</v>
      </c>
      <c r="P1252" s="332">
        <f t="shared" si="558"/>
        <v>0</v>
      </c>
      <c r="Q1252" s="188" t="s">
        <v>12</v>
      </c>
      <c r="R1252" s="586"/>
    </row>
    <row r="1253" spans="2:21" ht="22.5" customHeight="1" thickBot="1" x14ac:dyDescent="0.25">
      <c r="B1253" s="332">
        <f t="shared" ref="B1253:B1254" si="559">SUM(C1253:D1253)</f>
        <v>6</v>
      </c>
      <c r="C1253" s="332">
        <f>O1253+M1253+K1253+I1253+G1253+E1253</f>
        <v>6</v>
      </c>
      <c r="D1253" s="332">
        <f>P1253+N1253+L1253+J1253+H1253+F1253</f>
        <v>0</v>
      </c>
      <c r="E1253" s="332">
        <v>1</v>
      </c>
      <c r="F1253" s="332">
        <v>0</v>
      </c>
      <c r="G1253" s="332">
        <v>0</v>
      </c>
      <c r="H1253" s="332">
        <v>0</v>
      </c>
      <c r="I1253" s="332">
        <v>4</v>
      </c>
      <c r="J1253" s="332">
        <v>0</v>
      </c>
      <c r="K1253" s="332">
        <v>1</v>
      </c>
      <c r="L1253" s="332">
        <v>0</v>
      </c>
      <c r="M1253" s="332">
        <v>0</v>
      </c>
      <c r="N1253" s="332">
        <v>0</v>
      </c>
      <c r="O1253" s="332">
        <v>0</v>
      </c>
      <c r="P1253" s="332">
        <v>0</v>
      </c>
      <c r="Q1253" s="188" t="s">
        <v>146</v>
      </c>
      <c r="R1253" s="584" t="s">
        <v>141</v>
      </c>
    </row>
    <row r="1254" spans="2:21" ht="22.5" customHeight="1" thickBot="1" x14ac:dyDescent="0.25">
      <c r="B1254" s="332">
        <f t="shared" si="559"/>
        <v>9</v>
      </c>
      <c r="C1254" s="332">
        <f>O1254+M1254+K1254+I1254+G1254+E1254</f>
        <v>9</v>
      </c>
      <c r="D1254" s="332">
        <f>P1254+N1254+L1254+J1254+H1254+F1254</f>
        <v>0</v>
      </c>
      <c r="E1254" s="332">
        <v>3</v>
      </c>
      <c r="F1254" s="332">
        <v>0</v>
      </c>
      <c r="G1254" s="332">
        <v>2</v>
      </c>
      <c r="H1254" s="332">
        <v>0</v>
      </c>
      <c r="I1254" s="332">
        <v>2</v>
      </c>
      <c r="J1254" s="332">
        <v>0</v>
      </c>
      <c r="K1254" s="332">
        <v>1</v>
      </c>
      <c r="L1254" s="332">
        <v>0</v>
      </c>
      <c r="M1254" s="332">
        <v>1</v>
      </c>
      <c r="N1254" s="332">
        <v>0</v>
      </c>
      <c r="O1254" s="332">
        <v>0</v>
      </c>
      <c r="P1254" s="332">
        <v>0</v>
      </c>
      <c r="Q1254" s="188" t="s">
        <v>145</v>
      </c>
      <c r="R1254" s="585"/>
    </row>
    <row r="1255" spans="2:21" ht="22.5" customHeight="1" thickBot="1" x14ac:dyDescent="0.25">
      <c r="B1255" s="332">
        <f t="shared" ref="B1255:P1255" si="560">SUM(B1253:B1254)</f>
        <v>15</v>
      </c>
      <c r="C1255" s="332">
        <f t="shared" si="560"/>
        <v>15</v>
      </c>
      <c r="D1255" s="332">
        <f t="shared" si="560"/>
        <v>0</v>
      </c>
      <c r="E1255" s="332">
        <f t="shared" si="560"/>
        <v>4</v>
      </c>
      <c r="F1255" s="332">
        <f t="shared" si="560"/>
        <v>0</v>
      </c>
      <c r="G1255" s="332">
        <f t="shared" si="560"/>
        <v>2</v>
      </c>
      <c r="H1255" s="332">
        <f t="shared" si="560"/>
        <v>0</v>
      </c>
      <c r="I1255" s="332">
        <f t="shared" si="560"/>
        <v>6</v>
      </c>
      <c r="J1255" s="332">
        <f t="shared" si="560"/>
        <v>0</v>
      </c>
      <c r="K1255" s="332">
        <f t="shared" si="560"/>
        <v>2</v>
      </c>
      <c r="L1255" s="332">
        <f t="shared" si="560"/>
        <v>0</v>
      </c>
      <c r="M1255" s="332">
        <f t="shared" si="560"/>
        <v>1</v>
      </c>
      <c r="N1255" s="332">
        <f t="shared" si="560"/>
        <v>0</v>
      </c>
      <c r="O1255" s="332">
        <f t="shared" si="560"/>
        <v>0</v>
      </c>
      <c r="P1255" s="332">
        <f t="shared" si="560"/>
        <v>0</v>
      </c>
      <c r="Q1255" s="188" t="s">
        <v>12</v>
      </c>
      <c r="R1255" s="586"/>
    </row>
    <row r="1256" spans="2:21" ht="22.5" customHeight="1" thickBot="1" x14ac:dyDescent="0.25">
      <c r="B1256" s="332">
        <f t="shared" ref="B1256:B1257" si="561">SUM(C1256:D1256)</f>
        <v>0</v>
      </c>
      <c r="C1256" s="332">
        <f>O1256+M1256+K1256+I1256+G1256+E1256</f>
        <v>0</v>
      </c>
      <c r="D1256" s="332">
        <f>P1256+N1256+L1256+J1256+H1256+F1256</f>
        <v>0</v>
      </c>
      <c r="E1256" s="332">
        <v>0</v>
      </c>
      <c r="F1256" s="332">
        <v>0</v>
      </c>
      <c r="G1256" s="332">
        <v>0</v>
      </c>
      <c r="H1256" s="332">
        <v>0</v>
      </c>
      <c r="I1256" s="332">
        <v>0</v>
      </c>
      <c r="J1256" s="332">
        <v>0</v>
      </c>
      <c r="K1256" s="332">
        <v>0</v>
      </c>
      <c r="L1256" s="332">
        <v>0</v>
      </c>
      <c r="M1256" s="332">
        <v>0</v>
      </c>
      <c r="N1256" s="332">
        <v>0</v>
      </c>
      <c r="O1256" s="332">
        <v>0</v>
      </c>
      <c r="P1256" s="332">
        <v>0</v>
      </c>
      <c r="Q1256" s="188" t="s">
        <v>146</v>
      </c>
      <c r="R1256" s="584" t="s">
        <v>203</v>
      </c>
    </row>
    <row r="1257" spans="2:21" ht="22.5" customHeight="1" thickBot="1" x14ac:dyDescent="0.25">
      <c r="B1257" s="332">
        <f t="shared" si="561"/>
        <v>38</v>
      </c>
      <c r="C1257" s="332">
        <f>O1257+M1257+K1257+I1257+G1257+E1257</f>
        <v>32</v>
      </c>
      <c r="D1257" s="332">
        <f>P1257+N1257+L1257+J1257+H1257+F1257</f>
        <v>6</v>
      </c>
      <c r="E1257" s="332">
        <v>9</v>
      </c>
      <c r="F1257" s="332">
        <v>0</v>
      </c>
      <c r="G1257" s="332">
        <v>0</v>
      </c>
      <c r="H1257" s="332">
        <v>0</v>
      </c>
      <c r="I1257" s="332">
        <v>18</v>
      </c>
      <c r="J1257" s="332">
        <v>6</v>
      </c>
      <c r="K1257" s="332">
        <v>3</v>
      </c>
      <c r="L1257" s="332">
        <v>0</v>
      </c>
      <c r="M1257" s="332">
        <v>2</v>
      </c>
      <c r="N1257" s="332">
        <v>0</v>
      </c>
      <c r="O1257" s="332">
        <v>0</v>
      </c>
      <c r="P1257" s="332">
        <v>0</v>
      </c>
      <c r="Q1257" s="188" t="s">
        <v>145</v>
      </c>
      <c r="R1257" s="585"/>
    </row>
    <row r="1258" spans="2:21" ht="22.5" customHeight="1" thickBot="1" x14ac:dyDescent="0.25">
      <c r="B1258" s="332">
        <f t="shared" ref="B1258:P1258" si="562">SUM(B1256:B1257)</f>
        <v>38</v>
      </c>
      <c r="C1258" s="332">
        <f t="shared" si="562"/>
        <v>32</v>
      </c>
      <c r="D1258" s="332">
        <f t="shared" si="562"/>
        <v>6</v>
      </c>
      <c r="E1258" s="332">
        <f t="shared" si="562"/>
        <v>9</v>
      </c>
      <c r="F1258" s="332">
        <f t="shared" si="562"/>
        <v>0</v>
      </c>
      <c r="G1258" s="332">
        <f t="shared" si="562"/>
        <v>0</v>
      </c>
      <c r="H1258" s="332">
        <f t="shared" si="562"/>
        <v>0</v>
      </c>
      <c r="I1258" s="332">
        <f t="shared" si="562"/>
        <v>18</v>
      </c>
      <c r="J1258" s="332">
        <f t="shared" si="562"/>
        <v>6</v>
      </c>
      <c r="K1258" s="332">
        <f t="shared" si="562"/>
        <v>3</v>
      </c>
      <c r="L1258" s="332">
        <f t="shared" si="562"/>
        <v>0</v>
      </c>
      <c r="M1258" s="332">
        <f t="shared" si="562"/>
        <v>2</v>
      </c>
      <c r="N1258" s="332">
        <f t="shared" si="562"/>
        <v>0</v>
      </c>
      <c r="O1258" s="332">
        <f t="shared" si="562"/>
        <v>0</v>
      </c>
      <c r="P1258" s="332">
        <f t="shared" si="562"/>
        <v>0</v>
      </c>
      <c r="Q1258" s="188" t="s">
        <v>12</v>
      </c>
      <c r="R1258" s="586"/>
    </row>
    <row r="1259" spans="2:21" ht="22.5" customHeight="1" thickBot="1" x14ac:dyDescent="0.25">
      <c r="B1259" s="332">
        <f t="shared" ref="B1259:P1261" si="563">B1199+B1202+B1205+B1208+B1211+B1214+B1217+B1220+B1223+B1226+B1229+B1232+B1235+B1238+B1241+B1244+B1247+B1250+B1253+B1256</f>
        <v>351</v>
      </c>
      <c r="C1259" s="332">
        <f t="shared" si="563"/>
        <v>176</v>
      </c>
      <c r="D1259" s="332">
        <f t="shared" si="563"/>
        <v>175</v>
      </c>
      <c r="E1259" s="332">
        <f t="shared" si="563"/>
        <v>28</v>
      </c>
      <c r="F1259" s="332">
        <f t="shared" si="563"/>
        <v>0</v>
      </c>
      <c r="G1259" s="332">
        <f t="shared" si="563"/>
        <v>35</v>
      </c>
      <c r="H1259" s="332">
        <f t="shared" si="563"/>
        <v>11</v>
      </c>
      <c r="I1259" s="332">
        <f t="shared" si="563"/>
        <v>70</v>
      </c>
      <c r="J1259" s="332">
        <f t="shared" si="563"/>
        <v>49</v>
      </c>
      <c r="K1259" s="332">
        <f t="shared" si="563"/>
        <v>40</v>
      </c>
      <c r="L1259" s="332">
        <f t="shared" si="563"/>
        <v>90</v>
      </c>
      <c r="M1259" s="332">
        <f t="shared" si="563"/>
        <v>3</v>
      </c>
      <c r="N1259" s="332">
        <f t="shared" si="563"/>
        <v>17</v>
      </c>
      <c r="O1259" s="332">
        <f t="shared" si="563"/>
        <v>0</v>
      </c>
      <c r="P1259" s="332">
        <f>P1199+P1202+P1205+P1208+P1211+P1214+P1217+P1220+P1223+P1226+P1229+P1232+P1235+P1238+P1241+P1244+P1247+P1250+P1253+P1256</f>
        <v>8</v>
      </c>
      <c r="Q1259" s="188" t="s">
        <v>146</v>
      </c>
      <c r="R1259" s="308"/>
    </row>
    <row r="1260" spans="2:21" ht="22.5" customHeight="1" thickBot="1" x14ac:dyDescent="0.25">
      <c r="B1260" s="332">
        <f t="shared" si="563"/>
        <v>1186</v>
      </c>
      <c r="C1260" s="332">
        <f t="shared" si="563"/>
        <v>562</v>
      </c>
      <c r="D1260" s="332">
        <f t="shared" si="563"/>
        <v>624</v>
      </c>
      <c r="E1260" s="332">
        <f t="shared" si="563"/>
        <v>112</v>
      </c>
      <c r="F1260" s="332">
        <f t="shared" si="563"/>
        <v>79</v>
      </c>
      <c r="G1260" s="332">
        <f t="shared" si="563"/>
        <v>61</v>
      </c>
      <c r="H1260" s="332">
        <f t="shared" si="563"/>
        <v>17</v>
      </c>
      <c r="I1260" s="332">
        <f t="shared" si="563"/>
        <v>244</v>
      </c>
      <c r="J1260" s="332">
        <f t="shared" si="563"/>
        <v>219</v>
      </c>
      <c r="K1260" s="332">
        <f t="shared" si="563"/>
        <v>119</v>
      </c>
      <c r="L1260" s="332">
        <f t="shared" si="563"/>
        <v>201</v>
      </c>
      <c r="M1260" s="332">
        <f t="shared" si="563"/>
        <v>18</v>
      </c>
      <c r="N1260" s="332">
        <f t="shared" si="563"/>
        <v>56</v>
      </c>
      <c r="O1260" s="332">
        <f t="shared" si="563"/>
        <v>8</v>
      </c>
      <c r="P1260" s="332">
        <f t="shared" si="563"/>
        <v>52</v>
      </c>
      <c r="Q1260" s="188" t="s">
        <v>145</v>
      </c>
      <c r="R1260" s="336" t="s">
        <v>188</v>
      </c>
    </row>
    <row r="1261" spans="2:21" ht="22.5" customHeight="1" thickBot="1" x14ac:dyDescent="0.25">
      <c r="B1261" s="332">
        <f t="shared" si="563"/>
        <v>1537</v>
      </c>
      <c r="C1261" s="332">
        <f t="shared" si="563"/>
        <v>738</v>
      </c>
      <c r="D1261" s="332">
        <f t="shared" si="563"/>
        <v>799</v>
      </c>
      <c r="E1261" s="332">
        <f t="shared" si="563"/>
        <v>140</v>
      </c>
      <c r="F1261" s="332">
        <f t="shared" si="563"/>
        <v>79</v>
      </c>
      <c r="G1261" s="332">
        <f t="shared" si="563"/>
        <v>96</v>
      </c>
      <c r="H1261" s="332">
        <f t="shared" si="563"/>
        <v>28</v>
      </c>
      <c r="I1261" s="332">
        <f t="shared" si="563"/>
        <v>314</v>
      </c>
      <c r="J1261" s="332">
        <f t="shared" si="563"/>
        <v>268</v>
      </c>
      <c r="K1261" s="332">
        <f t="shared" si="563"/>
        <v>159</v>
      </c>
      <c r="L1261" s="332">
        <f t="shared" si="563"/>
        <v>291</v>
      </c>
      <c r="M1261" s="332">
        <f t="shared" si="563"/>
        <v>21</v>
      </c>
      <c r="N1261" s="332">
        <f t="shared" si="563"/>
        <v>73</v>
      </c>
      <c r="O1261" s="332">
        <f t="shared" si="563"/>
        <v>8</v>
      </c>
      <c r="P1261" s="332">
        <f t="shared" si="563"/>
        <v>60</v>
      </c>
      <c r="Q1261" s="188" t="s">
        <v>12</v>
      </c>
      <c r="R1261" s="205"/>
    </row>
    <row r="1266" spans="20:21" ht="22.5" customHeight="1" x14ac:dyDescent="0.2">
      <c r="T1266" s="587"/>
      <c r="U1266" s="587"/>
    </row>
  </sheetData>
  <mergeCells count="214">
    <mergeCell ref="R1253:R1255"/>
    <mergeCell ref="R1256:R1258"/>
    <mergeCell ref="T1266:U1266"/>
    <mergeCell ref="O1197:P1197"/>
    <mergeCell ref="Q1197:Q1198"/>
    <mergeCell ref="R1208:R1210"/>
    <mergeCell ref="R1214:R1216"/>
    <mergeCell ref="R1229:R1231"/>
    <mergeCell ref="R1250:R1252"/>
    <mergeCell ref="R1166:R1168"/>
    <mergeCell ref="B1173:D1173"/>
    <mergeCell ref="E1173:F1173"/>
    <mergeCell ref="G1173:H1173"/>
    <mergeCell ref="I1173:J1173"/>
    <mergeCell ref="K1173:L1173"/>
    <mergeCell ref="M1173:N1173"/>
    <mergeCell ref="B1197:D1197"/>
    <mergeCell ref="E1197:F1197"/>
    <mergeCell ref="G1197:H1197"/>
    <mergeCell ref="I1197:J1197"/>
    <mergeCell ref="K1197:L1197"/>
    <mergeCell ref="M1197:N1197"/>
    <mergeCell ref="O1173:P1173"/>
    <mergeCell ref="Q1173:Q1174"/>
    <mergeCell ref="B1188:D1188"/>
    <mergeCell ref="E1188:F1188"/>
    <mergeCell ref="G1188:H1188"/>
    <mergeCell ref="I1188:J1188"/>
    <mergeCell ref="K1188:L1188"/>
    <mergeCell ref="M1188:N1188"/>
    <mergeCell ref="O1188:P1188"/>
    <mergeCell ref="Q1188:Q1189"/>
    <mergeCell ref="O1026:P1026"/>
    <mergeCell ref="Q1026:Q1027"/>
    <mergeCell ref="R1058:R1060"/>
    <mergeCell ref="R1061:R1063"/>
    <mergeCell ref="R1076:R1078"/>
    <mergeCell ref="B1164:D1164"/>
    <mergeCell ref="E1164:F1164"/>
    <mergeCell ref="G1164:H1164"/>
    <mergeCell ref="I1164:J1164"/>
    <mergeCell ref="K1164:L1164"/>
    <mergeCell ref="B1026:D1026"/>
    <mergeCell ref="E1026:F1026"/>
    <mergeCell ref="G1026:H1026"/>
    <mergeCell ref="I1026:J1026"/>
    <mergeCell ref="K1026:L1026"/>
    <mergeCell ref="M1026:N1026"/>
    <mergeCell ref="M1164:N1164"/>
    <mergeCell ref="O1164:P1164"/>
    <mergeCell ref="Q1164:Q1165"/>
    <mergeCell ref="O927:P927"/>
    <mergeCell ref="Q927:Q928"/>
    <mergeCell ref="B1002:D1002"/>
    <mergeCell ref="E1002:F1002"/>
    <mergeCell ref="G1002:H1002"/>
    <mergeCell ref="I1002:J1002"/>
    <mergeCell ref="K1002:L1002"/>
    <mergeCell ref="M1002:N1002"/>
    <mergeCell ref="O1002:P1002"/>
    <mergeCell ref="Q1002:Q1003"/>
    <mergeCell ref="B927:D927"/>
    <mergeCell ref="E927:F927"/>
    <mergeCell ref="G927:H927"/>
    <mergeCell ref="I927:J927"/>
    <mergeCell ref="K927:L927"/>
    <mergeCell ref="M927:N927"/>
    <mergeCell ref="O873:P873"/>
    <mergeCell ref="Q873:Q874"/>
    <mergeCell ref="B909:D909"/>
    <mergeCell ref="E909:F909"/>
    <mergeCell ref="G909:H909"/>
    <mergeCell ref="I909:J909"/>
    <mergeCell ref="K909:L909"/>
    <mergeCell ref="M909:N909"/>
    <mergeCell ref="O909:P909"/>
    <mergeCell ref="Q909:Q910"/>
    <mergeCell ref="B873:D873"/>
    <mergeCell ref="E873:F873"/>
    <mergeCell ref="G873:H873"/>
    <mergeCell ref="I873:J873"/>
    <mergeCell ref="K873:L873"/>
    <mergeCell ref="M873:N873"/>
    <mergeCell ref="B843:D843"/>
    <mergeCell ref="E843:F843"/>
    <mergeCell ref="G843:H843"/>
    <mergeCell ref="I843:J843"/>
    <mergeCell ref="K843:L843"/>
    <mergeCell ref="M843:N843"/>
    <mergeCell ref="O843:P843"/>
    <mergeCell ref="Q843:Q844"/>
    <mergeCell ref="B795:D795"/>
    <mergeCell ref="E795:F795"/>
    <mergeCell ref="G795:H795"/>
    <mergeCell ref="I795:J795"/>
    <mergeCell ref="K795:L795"/>
    <mergeCell ref="M795:N795"/>
    <mergeCell ref="B765:D765"/>
    <mergeCell ref="E765:F765"/>
    <mergeCell ref="G765:H765"/>
    <mergeCell ref="I765:J765"/>
    <mergeCell ref="K765:L765"/>
    <mergeCell ref="M765:N765"/>
    <mergeCell ref="O765:P765"/>
    <mergeCell ref="Q765:Q766"/>
    <mergeCell ref="O795:P795"/>
    <mergeCell ref="Q795:Q796"/>
    <mergeCell ref="O699:P699"/>
    <mergeCell ref="Q699:Q700"/>
    <mergeCell ref="R713:R715"/>
    <mergeCell ref="B717:D717"/>
    <mergeCell ref="E717:F717"/>
    <mergeCell ref="G717:H717"/>
    <mergeCell ref="I717:J717"/>
    <mergeCell ref="K717:L717"/>
    <mergeCell ref="M717:N717"/>
    <mergeCell ref="O717:P717"/>
    <mergeCell ref="B699:D699"/>
    <mergeCell ref="E699:F699"/>
    <mergeCell ref="G699:H699"/>
    <mergeCell ref="I699:J699"/>
    <mergeCell ref="K699:L699"/>
    <mergeCell ref="M699:N699"/>
    <mergeCell ref="Q717:Q718"/>
    <mergeCell ref="O633:P633"/>
    <mergeCell ref="Q633:Q634"/>
    <mergeCell ref="B660:D660"/>
    <mergeCell ref="E660:F660"/>
    <mergeCell ref="G660:H660"/>
    <mergeCell ref="I660:J660"/>
    <mergeCell ref="K660:L660"/>
    <mergeCell ref="M660:N660"/>
    <mergeCell ref="O660:P660"/>
    <mergeCell ref="Q660:Q661"/>
    <mergeCell ref="B633:D633"/>
    <mergeCell ref="E633:F633"/>
    <mergeCell ref="G633:H633"/>
    <mergeCell ref="I633:J633"/>
    <mergeCell ref="K633:L633"/>
    <mergeCell ref="M633:N633"/>
    <mergeCell ref="O459:P459"/>
    <mergeCell ref="Q459:Q460"/>
    <mergeCell ref="B564:D564"/>
    <mergeCell ref="E564:F564"/>
    <mergeCell ref="G564:H564"/>
    <mergeCell ref="I564:J564"/>
    <mergeCell ref="K564:L564"/>
    <mergeCell ref="M564:N564"/>
    <mergeCell ref="O564:P564"/>
    <mergeCell ref="Q564:Q565"/>
    <mergeCell ref="B459:D459"/>
    <mergeCell ref="E459:F459"/>
    <mergeCell ref="G459:H459"/>
    <mergeCell ref="I459:J459"/>
    <mergeCell ref="K459:L459"/>
    <mergeCell ref="M459:N459"/>
    <mergeCell ref="O327:P327"/>
    <mergeCell ref="Q327:Q328"/>
    <mergeCell ref="B363:D363"/>
    <mergeCell ref="E363:F363"/>
    <mergeCell ref="G363:H363"/>
    <mergeCell ref="I363:J363"/>
    <mergeCell ref="K363:L363"/>
    <mergeCell ref="M363:N363"/>
    <mergeCell ref="O363:P363"/>
    <mergeCell ref="Q363:Q364"/>
    <mergeCell ref="B327:D327"/>
    <mergeCell ref="E327:F327"/>
    <mergeCell ref="G327:H327"/>
    <mergeCell ref="I327:J327"/>
    <mergeCell ref="K327:L327"/>
    <mergeCell ref="M327:N327"/>
    <mergeCell ref="O162:P162"/>
    <mergeCell ref="Q162:Q163"/>
    <mergeCell ref="B255:D255"/>
    <mergeCell ref="E255:F255"/>
    <mergeCell ref="G255:H255"/>
    <mergeCell ref="I255:J255"/>
    <mergeCell ref="K255:L255"/>
    <mergeCell ref="M255:N255"/>
    <mergeCell ref="O255:P255"/>
    <mergeCell ref="Q255:Q256"/>
    <mergeCell ref="B162:D162"/>
    <mergeCell ref="E162:F162"/>
    <mergeCell ref="G162:H162"/>
    <mergeCell ref="I162:J162"/>
    <mergeCell ref="K162:L162"/>
    <mergeCell ref="M162:N162"/>
    <mergeCell ref="O90:P90"/>
    <mergeCell ref="Q90:Q91"/>
    <mergeCell ref="B114:D114"/>
    <mergeCell ref="E114:F114"/>
    <mergeCell ref="G114:H114"/>
    <mergeCell ref="I114:J114"/>
    <mergeCell ref="K114:L114"/>
    <mergeCell ref="M114:N114"/>
    <mergeCell ref="O114:P114"/>
    <mergeCell ref="Q114:Q115"/>
    <mergeCell ref="B90:D90"/>
    <mergeCell ref="E90:F90"/>
    <mergeCell ref="G90:H90"/>
    <mergeCell ref="I90:J90"/>
    <mergeCell ref="K90:L90"/>
    <mergeCell ref="M90:N90"/>
    <mergeCell ref="B1:R1"/>
    <mergeCell ref="B2:R2"/>
    <mergeCell ref="B3:D3"/>
    <mergeCell ref="E3:F3"/>
    <mergeCell ref="G3:H3"/>
    <mergeCell ref="I3:J3"/>
    <mergeCell ref="K3:L3"/>
    <mergeCell ref="M3:N3"/>
    <mergeCell ref="O3:P3"/>
    <mergeCell ref="Q3:Q4"/>
  </mergeCells>
  <printOptions horizontalCentered="1" verticalCentered="1"/>
  <pageMargins left="0.4" right="0.4" top="0" bottom="0" header="0.28000000000000003" footer="0.7"/>
  <pageSetup paperSize="9" scale="88" orientation="landscape" r:id="rId1"/>
  <headerFooter alignWithMargins="0"/>
  <rowBreaks count="3" manualBreakCount="3">
    <brk id="1187" min="1" max="17" man="1"/>
    <brk id="1195" min="1" max="17" man="1"/>
    <brk id="1234" min="1" max="17" man="1"/>
  </rowBreaks>
  <colBreaks count="1" manualBreakCount="1">
    <brk id="18" max="104857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D1:Q91"/>
  <sheetViews>
    <sheetView showGridLines="0" view="pageBreakPreview" topLeftCell="B1" zoomScaleNormal="100" zoomScaleSheetLayoutView="100" workbookViewId="0">
      <selection activeCell="Q41" sqref="Q41"/>
    </sheetView>
  </sheetViews>
  <sheetFormatPr defaultRowHeight="12.75" x14ac:dyDescent="0.2"/>
  <cols>
    <col min="1" max="3" width="9" style="2"/>
    <col min="4" max="6" width="6.125" style="2" customWidth="1"/>
    <col min="7" max="12" width="5.375" style="2" customWidth="1"/>
    <col min="13" max="15" width="6.875" style="2" customWidth="1"/>
    <col min="16" max="16" width="9.625" style="2" customWidth="1"/>
    <col min="17" max="17" width="41" style="2" customWidth="1"/>
    <col min="18" max="254" width="9" style="2"/>
    <col min="255" max="257" width="6.125" style="2" customWidth="1"/>
    <col min="258" max="266" width="5.375" style="2" customWidth="1"/>
    <col min="267" max="269" width="6.875" style="2" customWidth="1"/>
    <col min="270" max="270" width="9.625" style="2" customWidth="1"/>
    <col min="271" max="271" width="35.75" style="2" customWidth="1"/>
    <col min="272" max="510" width="9" style="2"/>
    <col min="511" max="513" width="6.125" style="2" customWidth="1"/>
    <col min="514" max="522" width="5.375" style="2" customWidth="1"/>
    <col min="523" max="525" width="6.875" style="2" customWidth="1"/>
    <col min="526" max="526" width="9.625" style="2" customWidth="1"/>
    <col min="527" max="527" width="35.75" style="2" customWidth="1"/>
    <col min="528" max="766" width="9" style="2"/>
    <col min="767" max="769" width="6.125" style="2" customWidth="1"/>
    <col min="770" max="778" width="5.375" style="2" customWidth="1"/>
    <col min="779" max="781" width="6.875" style="2" customWidth="1"/>
    <col min="782" max="782" width="9.625" style="2" customWidth="1"/>
    <col min="783" max="783" width="35.75" style="2" customWidth="1"/>
    <col min="784" max="1022" width="9" style="2"/>
    <col min="1023" max="1025" width="6.125" style="2" customWidth="1"/>
    <col min="1026" max="1034" width="5.375" style="2" customWidth="1"/>
    <col min="1035" max="1037" width="6.875" style="2" customWidth="1"/>
    <col min="1038" max="1038" width="9.625" style="2" customWidth="1"/>
    <col min="1039" max="1039" width="35.75" style="2" customWidth="1"/>
    <col min="1040" max="1278" width="9" style="2"/>
    <col min="1279" max="1281" width="6.125" style="2" customWidth="1"/>
    <col min="1282" max="1290" width="5.375" style="2" customWidth="1"/>
    <col min="1291" max="1293" width="6.875" style="2" customWidth="1"/>
    <col min="1294" max="1294" width="9.625" style="2" customWidth="1"/>
    <col min="1295" max="1295" width="35.75" style="2" customWidth="1"/>
    <col min="1296" max="1534" width="9" style="2"/>
    <col min="1535" max="1537" width="6.125" style="2" customWidth="1"/>
    <col min="1538" max="1546" width="5.375" style="2" customWidth="1"/>
    <col min="1547" max="1549" width="6.875" style="2" customWidth="1"/>
    <col min="1550" max="1550" width="9.625" style="2" customWidth="1"/>
    <col min="1551" max="1551" width="35.75" style="2" customWidth="1"/>
    <col min="1552" max="1790" width="9" style="2"/>
    <col min="1791" max="1793" width="6.125" style="2" customWidth="1"/>
    <col min="1794" max="1802" width="5.375" style="2" customWidth="1"/>
    <col min="1803" max="1805" width="6.875" style="2" customWidth="1"/>
    <col min="1806" max="1806" width="9.625" style="2" customWidth="1"/>
    <col min="1807" max="1807" width="35.75" style="2" customWidth="1"/>
    <col min="1808" max="2046" width="9" style="2"/>
    <col min="2047" max="2049" width="6.125" style="2" customWidth="1"/>
    <col min="2050" max="2058" width="5.375" style="2" customWidth="1"/>
    <col min="2059" max="2061" width="6.875" style="2" customWidth="1"/>
    <col min="2062" max="2062" width="9.625" style="2" customWidth="1"/>
    <col min="2063" max="2063" width="35.75" style="2" customWidth="1"/>
    <col min="2064" max="2302" width="9" style="2"/>
    <col min="2303" max="2305" width="6.125" style="2" customWidth="1"/>
    <col min="2306" max="2314" width="5.375" style="2" customWidth="1"/>
    <col min="2315" max="2317" width="6.875" style="2" customWidth="1"/>
    <col min="2318" max="2318" width="9.625" style="2" customWidth="1"/>
    <col min="2319" max="2319" width="35.75" style="2" customWidth="1"/>
    <col min="2320" max="2558" width="9" style="2"/>
    <col min="2559" max="2561" width="6.125" style="2" customWidth="1"/>
    <col min="2562" max="2570" width="5.375" style="2" customWidth="1"/>
    <col min="2571" max="2573" width="6.875" style="2" customWidth="1"/>
    <col min="2574" max="2574" width="9.625" style="2" customWidth="1"/>
    <col min="2575" max="2575" width="35.75" style="2" customWidth="1"/>
    <col min="2576" max="2814" width="9" style="2"/>
    <col min="2815" max="2817" width="6.125" style="2" customWidth="1"/>
    <col min="2818" max="2826" width="5.375" style="2" customWidth="1"/>
    <col min="2827" max="2829" width="6.875" style="2" customWidth="1"/>
    <col min="2830" max="2830" width="9.625" style="2" customWidth="1"/>
    <col min="2831" max="2831" width="35.75" style="2" customWidth="1"/>
    <col min="2832" max="3070" width="9" style="2"/>
    <col min="3071" max="3073" width="6.125" style="2" customWidth="1"/>
    <col min="3074" max="3082" width="5.375" style="2" customWidth="1"/>
    <col min="3083" max="3085" width="6.875" style="2" customWidth="1"/>
    <col min="3086" max="3086" width="9.625" style="2" customWidth="1"/>
    <col min="3087" max="3087" width="35.75" style="2" customWidth="1"/>
    <col min="3088" max="3326" width="9" style="2"/>
    <col min="3327" max="3329" width="6.125" style="2" customWidth="1"/>
    <col min="3330" max="3338" width="5.375" style="2" customWidth="1"/>
    <col min="3339" max="3341" width="6.875" style="2" customWidth="1"/>
    <col min="3342" max="3342" width="9.625" style="2" customWidth="1"/>
    <col min="3343" max="3343" width="35.75" style="2" customWidth="1"/>
    <col min="3344" max="3582" width="9" style="2"/>
    <col min="3583" max="3585" width="6.125" style="2" customWidth="1"/>
    <col min="3586" max="3594" width="5.375" style="2" customWidth="1"/>
    <col min="3595" max="3597" width="6.875" style="2" customWidth="1"/>
    <col min="3598" max="3598" width="9.625" style="2" customWidth="1"/>
    <col min="3599" max="3599" width="35.75" style="2" customWidth="1"/>
    <col min="3600" max="3838" width="9" style="2"/>
    <col min="3839" max="3841" width="6.125" style="2" customWidth="1"/>
    <col min="3842" max="3850" width="5.375" style="2" customWidth="1"/>
    <col min="3851" max="3853" width="6.875" style="2" customWidth="1"/>
    <col min="3854" max="3854" width="9.625" style="2" customWidth="1"/>
    <col min="3855" max="3855" width="35.75" style="2" customWidth="1"/>
    <col min="3856" max="4094" width="9" style="2"/>
    <col min="4095" max="4097" width="6.125" style="2" customWidth="1"/>
    <col min="4098" max="4106" width="5.375" style="2" customWidth="1"/>
    <col min="4107" max="4109" width="6.875" style="2" customWidth="1"/>
    <col min="4110" max="4110" width="9.625" style="2" customWidth="1"/>
    <col min="4111" max="4111" width="35.75" style="2" customWidth="1"/>
    <col min="4112" max="4350" width="9" style="2"/>
    <col min="4351" max="4353" width="6.125" style="2" customWidth="1"/>
    <col min="4354" max="4362" width="5.375" style="2" customWidth="1"/>
    <col min="4363" max="4365" width="6.875" style="2" customWidth="1"/>
    <col min="4366" max="4366" width="9.625" style="2" customWidth="1"/>
    <col min="4367" max="4367" width="35.75" style="2" customWidth="1"/>
    <col min="4368" max="4606" width="9" style="2"/>
    <col min="4607" max="4609" width="6.125" style="2" customWidth="1"/>
    <col min="4610" max="4618" width="5.375" style="2" customWidth="1"/>
    <col min="4619" max="4621" width="6.875" style="2" customWidth="1"/>
    <col min="4622" max="4622" width="9.625" style="2" customWidth="1"/>
    <col min="4623" max="4623" width="35.75" style="2" customWidth="1"/>
    <col min="4624" max="4862" width="9" style="2"/>
    <col min="4863" max="4865" width="6.125" style="2" customWidth="1"/>
    <col min="4866" max="4874" width="5.375" style="2" customWidth="1"/>
    <col min="4875" max="4877" width="6.875" style="2" customWidth="1"/>
    <col min="4878" max="4878" width="9.625" style="2" customWidth="1"/>
    <col min="4879" max="4879" width="35.75" style="2" customWidth="1"/>
    <col min="4880" max="5118" width="9" style="2"/>
    <col min="5119" max="5121" width="6.125" style="2" customWidth="1"/>
    <col min="5122" max="5130" width="5.375" style="2" customWidth="1"/>
    <col min="5131" max="5133" width="6.875" style="2" customWidth="1"/>
    <col min="5134" max="5134" width="9.625" style="2" customWidth="1"/>
    <col min="5135" max="5135" width="35.75" style="2" customWidth="1"/>
    <col min="5136" max="5374" width="9" style="2"/>
    <col min="5375" max="5377" width="6.125" style="2" customWidth="1"/>
    <col min="5378" max="5386" width="5.375" style="2" customWidth="1"/>
    <col min="5387" max="5389" width="6.875" style="2" customWidth="1"/>
    <col min="5390" max="5390" width="9.625" style="2" customWidth="1"/>
    <col min="5391" max="5391" width="35.75" style="2" customWidth="1"/>
    <col min="5392" max="5630" width="9" style="2"/>
    <col min="5631" max="5633" width="6.125" style="2" customWidth="1"/>
    <col min="5634" max="5642" width="5.375" style="2" customWidth="1"/>
    <col min="5643" max="5645" width="6.875" style="2" customWidth="1"/>
    <col min="5646" max="5646" width="9.625" style="2" customWidth="1"/>
    <col min="5647" max="5647" width="35.75" style="2" customWidth="1"/>
    <col min="5648" max="5886" width="9" style="2"/>
    <col min="5887" max="5889" width="6.125" style="2" customWidth="1"/>
    <col min="5890" max="5898" width="5.375" style="2" customWidth="1"/>
    <col min="5899" max="5901" width="6.875" style="2" customWidth="1"/>
    <col min="5902" max="5902" width="9.625" style="2" customWidth="1"/>
    <col min="5903" max="5903" width="35.75" style="2" customWidth="1"/>
    <col min="5904" max="6142" width="9" style="2"/>
    <col min="6143" max="6145" width="6.125" style="2" customWidth="1"/>
    <col min="6146" max="6154" width="5.375" style="2" customWidth="1"/>
    <col min="6155" max="6157" width="6.875" style="2" customWidth="1"/>
    <col min="6158" max="6158" width="9.625" style="2" customWidth="1"/>
    <col min="6159" max="6159" width="35.75" style="2" customWidth="1"/>
    <col min="6160" max="6398" width="9" style="2"/>
    <col min="6399" max="6401" width="6.125" style="2" customWidth="1"/>
    <col min="6402" max="6410" width="5.375" style="2" customWidth="1"/>
    <col min="6411" max="6413" width="6.875" style="2" customWidth="1"/>
    <col min="6414" max="6414" width="9.625" style="2" customWidth="1"/>
    <col min="6415" max="6415" width="35.75" style="2" customWidth="1"/>
    <col min="6416" max="6654" width="9" style="2"/>
    <col min="6655" max="6657" width="6.125" style="2" customWidth="1"/>
    <col min="6658" max="6666" width="5.375" style="2" customWidth="1"/>
    <col min="6667" max="6669" width="6.875" style="2" customWidth="1"/>
    <col min="6670" max="6670" width="9.625" style="2" customWidth="1"/>
    <col min="6671" max="6671" width="35.75" style="2" customWidth="1"/>
    <col min="6672" max="6910" width="9" style="2"/>
    <col min="6911" max="6913" width="6.125" style="2" customWidth="1"/>
    <col min="6914" max="6922" width="5.375" style="2" customWidth="1"/>
    <col min="6923" max="6925" width="6.875" style="2" customWidth="1"/>
    <col min="6926" max="6926" width="9.625" style="2" customWidth="1"/>
    <col min="6927" max="6927" width="35.75" style="2" customWidth="1"/>
    <col min="6928" max="7166" width="9" style="2"/>
    <col min="7167" max="7169" width="6.125" style="2" customWidth="1"/>
    <col min="7170" max="7178" width="5.375" style="2" customWidth="1"/>
    <col min="7179" max="7181" width="6.875" style="2" customWidth="1"/>
    <col min="7182" max="7182" width="9.625" style="2" customWidth="1"/>
    <col min="7183" max="7183" width="35.75" style="2" customWidth="1"/>
    <col min="7184" max="7422" width="9" style="2"/>
    <col min="7423" max="7425" width="6.125" style="2" customWidth="1"/>
    <col min="7426" max="7434" width="5.375" style="2" customWidth="1"/>
    <col min="7435" max="7437" width="6.875" style="2" customWidth="1"/>
    <col min="7438" max="7438" width="9.625" style="2" customWidth="1"/>
    <col min="7439" max="7439" width="35.75" style="2" customWidth="1"/>
    <col min="7440" max="7678" width="9" style="2"/>
    <col min="7679" max="7681" width="6.125" style="2" customWidth="1"/>
    <col min="7682" max="7690" width="5.375" style="2" customWidth="1"/>
    <col min="7691" max="7693" width="6.875" style="2" customWidth="1"/>
    <col min="7694" max="7694" width="9.625" style="2" customWidth="1"/>
    <col min="7695" max="7695" width="35.75" style="2" customWidth="1"/>
    <col min="7696" max="7934" width="9" style="2"/>
    <col min="7935" max="7937" width="6.125" style="2" customWidth="1"/>
    <col min="7938" max="7946" width="5.375" style="2" customWidth="1"/>
    <col min="7947" max="7949" width="6.875" style="2" customWidth="1"/>
    <col min="7950" max="7950" width="9.625" style="2" customWidth="1"/>
    <col min="7951" max="7951" width="35.75" style="2" customWidth="1"/>
    <col min="7952" max="8190" width="9" style="2"/>
    <col min="8191" max="8193" width="6.125" style="2" customWidth="1"/>
    <col min="8194" max="8202" width="5.375" style="2" customWidth="1"/>
    <col min="8203" max="8205" width="6.875" style="2" customWidth="1"/>
    <col min="8206" max="8206" width="9.625" style="2" customWidth="1"/>
    <col min="8207" max="8207" width="35.75" style="2" customWidth="1"/>
    <col min="8208" max="8446" width="9" style="2"/>
    <col min="8447" max="8449" width="6.125" style="2" customWidth="1"/>
    <col min="8450" max="8458" width="5.375" style="2" customWidth="1"/>
    <col min="8459" max="8461" width="6.875" style="2" customWidth="1"/>
    <col min="8462" max="8462" width="9.625" style="2" customWidth="1"/>
    <col min="8463" max="8463" width="35.75" style="2" customWidth="1"/>
    <col min="8464" max="8702" width="9" style="2"/>
    <col min="8703" max="8705" width="6.125" style="2" customWidth="1"/>
    <col min="8706" max="8714" width="5.375" style="2" customWidth="1"/>
    <col min="8715" max="8717" width="6.875" style="2" customWidth="1"/>
    <col min="8718" max="8718" width="9.625" style="2" customWidth="1"/>
    <col min="8719" max="8719" width="35.75" style="2" customWidth="1"/>
    <col min="8720" max="8958" width="9" style="2"/>
    <col min="8959" max="8961" width="6.125" style="2" customWidth="1"/>
    <col min="8962" max="8970" width="5.375" style="2" customWidth="1"/>
    <col min="8971" max="8973" width="6.875" style="2" customWidth="1"/>
    <col min="8974" max="8974" width="9.625" style="2" customWidth="1"/>
    <col min="8975" max="8975" width="35.75" style="2" customWidth="1"/>
    <col min="8976" max="9214" width="9" style="2"/>
    <col min="9215" max="9217" width="6.125" style="2" customWidth="1"/>
    <col min="9218" max="9226" width="5.375" style="2" customWidth="1"/>
    <col min="9227" max="9229" width="6.875" style="2" customWidth="1"/>
    <col min="9230" max="9230" width="9.625" style="2" customWidth="1"/>
    <col min="9231" max="9231" width="35.75" style="2" customWidth="1"/>
    <col min="9232" max="9470" width="9" style="2"/>
    <col min="9471" max="9473" width="6.125" style="2" customWidth="1"/>
    <col min="9474" max="9482" width="5.375" style="2" customWidth="1"/>
    <col min="9483" max="9485" width="6.875" style="2" customWidth="1"/>
    <col min="9486" max="9486" width="9.625" style="2" customWidth="1"/>
    <col min="9487" max="9487" width="35.75" style="2" customWidth="1"/>
    <col min="9488" max="9726" width="9" style="2"/>
    <col min="9727" max="9729" width="6.125" style="2" customWidth="1"/>
    <col min="9730" max="9738" width="5.375" style="2" customWidth="1"/>
    <col min="9739" max="9741" width="6.875" style="2" customWidth="1"/>
    <col min="9742" max="9742" width="9.625" style="2" customWidth="1"/>
    <col min="9743" max="9743" width="35.75" style="2" customWidth="1"/>
    <col min="9744" max="9982" width="9" style="2"/>
    <col min="9983" max="9985" width="6.125" style="2" customWidth="1"/>
    <col min="9986" max="9994" width="5.375" style="2" customWidth="1"/>
    <col min="9995" max="9997" width="6.875" style="2" customWidth="1"/>
    <col min="9998" max="9998" width="9.625" style="2" customWidth="1"/>
    <col min="9999" max="9999" width="35.75" style="2" customWidth="1"/>
    <col min="10000" max="10238" width="9" style="2"/>
    <col min="10239" max="10241" width="6.125" style="2" customWidth="1"/>
    <col min="10242" max="10250" width="5.375" style="2" customWidth="1"/>
    <col min="10251" max="10253" width="6.875" style="2" customWidth="1"/>
    <col min="10254" max="10254" width="9.625" style="2" customWidth="1"/>
    <col min="10255" max="10255" width="35.75" style="2" customWidth="1"/>
    <col min="10256" max="10494" width="9" style="2"/>
    <col min="10495" max="10497" width="6.125" style="2" customWidth="1"/>
    <col min="10498" max="10506" width="5.375" style="2" customWidth="1"/>
    <col min="10507" max="10509" width="6.875" style="2" customWidth="1"/>
    <col min="10510" max="10510" width="9.625" style="2" customWidth="1"/>
    <col min="10511" max="10511" width="35.75" style="2" customWidth="1"/>
    <col min="10512" max="10750" width="9" style="2"/>
    <col min="10751" max="10753" width="6.125" style="2" customWidth="1"/>
    <col min="10754" max="10762" width="5.375" style="2" customWidth="1"/>
    <col min="10763" max="10765" width="6.875" style="2" customWidth="1"/>
    <col min="10766" max="10766" width="9.625" style="2" customWidth="1"/>
    <col min="10767" max="10767" width="35.75" style="2" customWidth="1"/>
    <col min="10768" max="11006" width="9" style="2"/>
    <col min="11007" max="11009" width="6.125" style="2" customWidth="1"/>
    <col min="11010" max="11018" width="5.375" style="2" customWidth="1"/>
    <col min="11019" max="11021" width="6.875" style="2" customWidth="1"/>
    <col min="11022" max="11022" width="9.625" style="2" customWidth="1"/>
    <col min="11023" max="11023" width="35.75" style="2" customWidth="1"/>
    <col min="11024" max="11262" width="9" style="2"/>
    <col min="11263" max="11265" width="6.125" style="2" customWidth="1"/>
    <col min="11266" max="11274" width="5.375" style="2" customWidth="1"/>
    <col min="11275" max="11277" width="6.875" style="2" customWidth="1"/>
    <col min="11278" max="11278" width="9.625" style="2" customWidth="1"/>
    <col min="11279" max="11279" width="35.75" style="2" customWidth="1"/>
    <col min="11280" max="11518" width="9" style="2"/>
    <col min="11519" max="11521" width="6.125" style="2" customWidth="1"/>
    <col min="11522" max="11530" width="5.375" style="2" customWidth="1"/>
    <col min="11531" max="11533" width="6.875" style="2" customWidth="1"/>
    <col min="11534" max="11534" width="9.625" style="2" customWidth="1"/>
    <col min="11535" max="11535" width="35.75" style="2" customWidth="1"/>
    <col min="11536" max="11774" width="9" style="2"/>
    <col min="11775" max="11777" width="6.125" style="2" customWidth="1"/>
    <col min="11778" max="11786" width="5.375" style="2" customWidth="1"/>
    <col min="11787" max="11789" width="6.875" style="2" customWidth="1"/>
    <col min="11790" max="11790" width="9.625" style="2" customWidth="1"/>
    <col min="11791" max="11791" width="35.75" style="2" customWidth="1"/>
    <col min="11792" max="12030" width="9" style="2"/>
    <col min="12031" max="12033" width="6.125" style="2" customWidth="1"/>
    <col min="12034" max="12042" width="5.375" style="2" customWidth="1"/>
    <col min="12043" max="12045" width="6.875" style="2" customWidth="1"/>
    <col min="12046" max="12046" width="9.625" style="2" customWidth="1"/>
    <col min="12047" max="12047" width="35.75" style="2" customWidth="1"/>
    <col min="12048" max="12286" width="9" style="2"/>
    <col min="12287" max="12289" width="6.125" style="2" customWidth="1"/>
    <col min="12290" max="12298" width="5.375" style="2" customWidth="1"/>
    <col min="12299" max="12301" width="6.875" style="2" customWidth="1"/>
    <col min="12302" max="12302" width="9.625" style="2" customWidth="1"/>
    <col min="12303" max="12303" width="35.75" style="2" customWidth="1"/>
    <col min="12304" max="12542" width="9" style="2"/>
    <col min="12543" max="12545" width="6.125" style="2" customWidth="1"/>
    <col min="12546" max="12554" width="5.375" style="2" customWidth="1"/>
    <col min="12555" max="12557" width="6.875" style="2" customWidth="1"/>
    <col min="12558" max="12558" width="9.625" style="2" customWidth="1"/>
    <col min="12559" max="12559" width="35.75" style="2" customWidth="1"/>
    <col min="12560" max="12798" width="9" style="2"/>
    <col min="12799" max="12801" width="6.125" style="2" customWidth="1"/>
    <col min="12802" max="12810" width="5.375" style="2" customWidth="1"/>
    <col min="12811" max="12813" width="6.875" style="2" customWidth="1"/>
    <col min="12814" max="12814" width="9.625" style="2" customWidth="1"/>
    <col min="12815" max="12815" width="35.75" style="2" customWidth="1"/>
    <col min="12816" max="13054" width="9" style="2"/>
    <col min="13055" max="13057" width="6.125" style="2" customWidth="1"/>
    <col min="13058" max="13066" width="5.375" style="2" customWidth="1"/>
    <col min="13067" max="13069" width="6.875" style="2" customWidth="1"/>
    <col min="13070" max="13070" width="9.625" style="2" customWidth="1"/>
    <col min="13071" max="13071" width="35.75" style="2" customWidth="1"/>
    <col min="13072" max="13310" width="9" style="2"/>
    <col min="13311" max="13313" width="6.125" style="2" customWidth="1"/>
    <col min="13314" max="13322" width="5.375" style="2" customWidth="1"/>
    <col min="13323" max="13325" width="6.875" style="2" customWidth="1"/>
    <col min="13326" max="13326" width="9.625" style="2" customWidth="1"/>
    <col min="13327" max="13327" width="35.75" style="2" customWidth="1"/>
    <col min="13328" max="13566" width="9" style="2"/>
    <col min="13567" max="13569" width="6.125" style="2" customWidth="1"/>
    <col min="13570" max="13578" width="5.375" style="2" customWidth="1"/>
    <col min="13579" max="13581" width="6.875" style="2" customWidth="1"/>
    <col min="13582" max="13582" width="9.625" style="2" customWidth="1"/>
    <col min="13583" max="13583" width="35.75" style="2" customWidth="1"/>
    <col min="13584" max="13822" width="9" style="2"/>
    <col min="13823" max="13825" width="6.125" style="2" customWidth="1"/>
    <col min="13826" max="13834" width="5.375" style="2" customWidth="1"/>
    <col min="13835" max="13837" width="6.875" style="2" customWidth="1"/>
    <col min="13838" max="13838" width="9.625" style="2" customWidth="1"/>
    <col min="13839" max="13839" width="35.75" style="2" customWidth="1"/>
    <col min="13840" max="14078" width="9" style="2"/>
    <col min="14079" max="14081" width="6.125" style="2" customWidth="1"/>
    <col min="14082" max="14090" width="5.375" style="2" customWidth="1"/>
    <col min="14091" max="14093" width="6.875" style="2" customWidth="1"/>
    <col min="14094" max="14094" width="9.625" style="2" customWidth="1"/>
    <col min="14095" max="14095" width="35.75" style="2" customWidth="1"/>
    <col min="14096" max="14334" width="9" style="2"/>
    <col min="14335" max="14337" width="6.125" style="2" customWidth="1"/>
    <col min="14338" max="14346" width="5.375" style="2" customWidth="1"/>
    <col min="14347" max="14349" width="6.875" style="2" customWidth="1"/>
    <col min="14350" max="14350" width="9.625" style="2" customWidth="1"/>
    <col min="14351" max="14351" width="35.75" style="2" customWidth="1"/>
    <col min="14352" max="14590" width="9" style="2"/>
    <col min="14591" max="14593" width="6.125" style="2" customWidth="1"/>
    <col min="14594" max="14602" width="5.375" style="2" customWidth="1"/>
    <col min="14603" max="14605" width="6.875" style="2" customWidth="1"/>
    <col min="14606" max="14606" width="9.625" style="2" customWidth="1"/>
    <col min="14607" max="14607" width="35.75" style="2" customWidth="1"/>
    <col min="14608" max="14846" width="9" style="2"/>
    <col min="14847" max="14849" width="6.125" style="2" customWidth="1"/>
    <col min="14850" max="14858" width="5.375" style="2" customWidth="1"/>
    <col min="14859" max="14861" width="6.875" style="2" customWidth="1"/>
    <col min="14862" max="14862" width="9.625" style="2" customWidth="1"/>
    <col min="14863" max="14863" width="35.75" style="2" customWidth="1"/>
    <col min="14864" max="15102" width="9" style="2"/>
    <col min="15103" max="15105" width="6.125" style="2" customWidth="1"/>
    <col min="15106" max="15114" width="5.375" style="2" customWidth="1"/>
    <col min="15115" max="15117" width="6.875" style="2" customWidth="1"/>
    <col min="15118" max="15118" width="9.625" style="2" customWidth="1"/>
    <col min="15119" max="15119" width="35.75" style="2" customWidth="1"/>
    <col min="15120" max="15358" width="9" style="2"/>
    <col min="15359" max="15361" width="6.125" style="2" customWidth="1"/>
    <col min="15362" max="15370" width="5.375" style="2" customWidth="1"/>
    <col min="15371" max="15373" width="6.875" style="2" customWidth="1"/>
    <col min="15374" max="15374" width="9.625" style="2" customWidth="1"/>
    <col min="15375" max="15375" width="35.75" style="2" customWidth="1"/>
    <col min="15376" max="15614" width="9" style="2"/>
    <col min="15615" max="15617" width="6.125" style="2" customWidth="1"/>
    <col min="15618" max="15626" width="5.375" style="2" customWidth="1"/>
    <col min="15627" max="15629" width="6.875" style="2" customWidth="1"/>
    <col min="15630" max="15630" width="9.625" style="2" customWidth="1"/>
    <col min="15631" max="15631" width="35.75" style="2" customWidth="1"/>
    <col min="15632" max="15870" width="9" style="2"/>
    <col min="15871" max="15873" width="6.125" style="2" customWidth="1"/>
    <col min="15874" max="15882" width="5.375" style="2" customWidth="1"/>
    <col min="15883" max="15885" width="6.875" style="2" customWidth="1"/>
    <col min="15886" max="15886" width="9.625" style="2" customWidth="1"/>
    <col min="15887" max="15887" width="35.75" style="2" customWidth="1"/>
    <col min="15888" max="16126" width="9" style="2"/>
    <col min="16127" max="16129" width="6.125" style="2" customWidth="1"/>
    <col min="16130" max="16138" width="5.375" style="2" customWidth="1"/>
    <col min="16139" max="16141" width="6.875" style="2" customWidth="1"/>
    <col min="16142" max="16142" width="9.625" style="2" customWidth="1"/>
    <col min="16143" max="16143" width="35.75" style="2" customWidth="1"/>
    <col min="16144" max="16384" width="9" style="2"/>
  </cols>
  <sheetData>
    <row r="1" spans="4:17" ht="20.100000000000001" customHeight="1" x14ac:dyDescent="0.2">
      <c r="D1" s="406" t="s">
        <v>788</v>
      </c>
      <c r="E1" s="406"/>
      <c r="F1" s="406"/>
      <c r="G1" s="406"/>
      <c r="H1" s="406"/>
      <c r="I1" s="406"/>
      <c r="J1" s="406"/>
      <c r="K1" s="406"/>
      <c r="L1" s="406"/>
      <c r="M1" s="406"/>
      <c r="N1" s="406"/>
      <c r="O1" s="406"/>
      <c r="P1" s="406"/>
      <c r="Q1" s="406"/>
    </row>
    <row r="2" spans="4:17" ht="20.100000000000001" customHeight="1" thickBot="1" x14ac:dyDescent="0.25">
      <c r="D2" s="425" t="s">
        <v>789</v>
      </c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</row>
    <row r="3" spans="4:17" ht="13.5" thickBot="1" x14ac:dyDescent="0.25">
      <c r="D3" s="533" t="s">
        <v>4</v>
      </c>
      <c r="E3" s="533"/>
      <c r="F3" s="533"/>
      <c r="G3" s="533" t="s">
        <v>60</v>
      </c>
      <c r="H3" s="533"/>
      <c r="I3" s="533"/>
      <c r="J3" s="533" t="s">
        <v>57</v>
      </c>
      <c r="K3" s="533"/>
      <c r="L3" s="533"/>
      <c r="M3" s="533" t="s">
        <v>56</v>
      </c>
      <c r="N3" s="533"/>
      <c r="O3" s="533"/>
      <c r="P3" s="410" t="s">
        <v>741</v>
      </c>
      <c r="Q3" s="36"/>
    </row>
    <row r="4" spans="4:17" ht="13.5" thickBot="1" x14ac:dyDescent="0.25">
      <c r="D4" s="39" t="s">
        <v>227</v>
      </c>
      <c r="E4" s="39" t="s">
        <v>10</v>
      </c>
      <c r="F4" s="39" t="s">
        <v>9</v>
      </c>
      <c r="G4" s="39" t="s">
        <v>227</v>
      </c>
      <c r="H4" s="39" t="s">
        <v>10</v>
      </c>
      <c r="I4" s="39" t="s">
        <v>9</v>
      </c>
      <c r="J4" s="39" t="s">
        <v>227</v>
      </c>
      <c r="K4" s="39" t="s">
        <v>10</v>
      </c>
      <c r="L4" s="39" t="s">
        <v>9</v>
      </c>
      <c r="M4" s="39" t="s">
        <v>227</v>
      </c>
      <c r="N4" s="39" t="s">
        <v>10</v>
      </c>
      <c r="O4" s="39" t="s">
        <v>9</v>
      </c>
      <c r="P4" s="412"/>
      <c r="Q4" s="38" t="s">
        <v>144</v>
      </c>
    </row>
    <row r="5" spans="4:17" ht="13.5" thickBot="1" x14ac:dyDescent="0.25">
      <c r="D5" s="136">
        <f>SUM(E5:F5)</f>
        <v>2132</v>
      </c>
      <c r="E5" s="136">
        <f>N5+K5+H5</f>
        <v>966</v>
      </c>
      <c r="F5" s="136">
        <f>O5+L5+I5</f>
        <v>1166</v>
      </c>
      <c r="G5" s="136">
        <f>SUM(H5:I5)</f>
        <v>944</v>
      </c>
      <c r="H5" s="136">
        <v>539</v>
      </c>
      <c r="I5" s="136">
        <v>405</v>
      </c>
      <c r="J5" s="136">
        <f>SUM(K5:L5)</f>
        <v>255</v>
      </c>
      <c r="K5" s="136">
        <v>161</v>
      </c>
      <c r="L5" s="136">
        <v>94</v>
      </c>
      <c r="M5" s="136">
        <f>SUM(N5:O5)</f>
        <v>933</v>
      </c>
      <c r="N5" s="136">
        <v>266</v>
      </c>
      <c r="O5" s="136">
        <v>667</v>
      </c>
      <c r="P5" s="7" t="s">
        <v>146</v>
      </c>
      <c r="Q5" s="114"/>
    </row>
    <row r="6" spans="4:17" ht="13.5" thickBot="1" x14ac:dyDescent="0.25">
      <c r="D6" s="136">
        <f t="shared" ref="D6:D69" si="0">SUM(E6:F6)</f>
        <v>579</v>
      </c>
      <c r="E6" s="136">
        <f t="shared" ref="E6:F69" si="1">N6+K6+H6</f>
        <v>120</v>
      </c>
      <c r="F6" s="136">
        <f t="shared" si="1"/>
        <v>459</v>
      </c>
      <c r="G6" s="136">
        <f t="shared" ref="G6:G69" si="2">SUM(H6:I6)</f>
        <v>49</v>
      </c>
      <c r="H6" s="136">
        <v>10</v>
      </c>
      <c r="I6" s="136">
        <v>39</v>
      </c>
      <c r="J6" s="136">
        <f t="shared" ref="J6:J69" si="3">SUM(K6:L6)</f>
        <v>90</v>
      </c>
      <c r="K6" s="136">
        <v>17</v>
      </c>
      <c r="L6" s="136">
        <v>73</v>
      </c>
      <c r="M6" s="136">
        <f t="shared" ref="M6:M69" si="4">SUM(N6:O6)</f>
        <v>440</v>
      </c>
      <c r="N6" s="136">
        <v>93</v>
      </c>
      <c r="O6" s="136">
        <v>347</v>
      </c>
      <c r="P6" s="7" t="s">
        <v>145</v>
      </c>
      <c r="Q6" s="114" t="s">
        <v>68</v>
      </c>
    </row>
    <row r="7" spans="4:17" ht="13.5" thickBot="1" x14ac:dyDescent="0.25">
      <c r="D7" s="136">
        <f t="shared" ref="D7:N7" si="5">SUM(D5:D6)</f>
        <v>2711</v>
      </c>
      <c r="E7" s="136">
        <f t="shared" si="5"/>
        <v>1086</v>
      </c>
      <c r="F7" s="136">
        <f t="shared" si="5"/>
        <v>1625</v>
      </c>
      <c r="G7" s="136">
        <f t="shared" si="5"/>
        <v>993</v>
      </c>
      <c r="H7" s="136">
        <f t="shared" si="5"/>
        <v>549</v>
      </c>
      <c r="I7" s="136">
        <f t="shared" si="5"/>
        <v>444</v>
      </c>
      <c r="J7" s="136">
        <f t="shared" si="5"/>
        <v>345</v>
      </c>
      <c r="K7" s="136">
        <f t="shared" si="5"/>
        <v>178</v>
      </c>
      <c r="L7" s="136">
        <f t="shared" si="5"/>
        <v>167</v>
      </c>
      <c r="M7" s="136">
        <f t="shared" si="5"/>
        <v>1373</v>
      </c>
      <c r="N7" s="136">
        <f t="shared" si="5"/>
        <v>359</v>
      </c>
      <c r="O7" s="136">
        <f>SUM(O5:O6)</f>
        <v>1014</v>
      </c>
      <c r="P7" s="7" t="s">
        <v>12</v>
      </c>
      <c r="Q7" s="9"/>
    </row>
    <row r="8" spans="4:17" ht="13.5" thickBot="1" x14ac:dyDescent="0.25">
      <c r="D8" s="136">
        <f t="shared" si="0"/>
        <v>679</v>
      </c>
      <c r="E8" s="136">
        <f t="shared" si="1"/>
        <v>0</v>
      </c>
      <c r="F8" s="136">
        <f t="shared" si="1"/>
        <v>679</v>
      </c>
      <c r="G8" s="136">
        <f t="shared" si="2"/>
        <v>315</v>
      </c>
      <c r="H8" s="136">
        <v>0</v>
      </c>
      <c r="I8" s="136">
        <v>315</v>
      </c>
      <c r="J8" s="136">
        <f t="shared" si="3"/>
        <v>82</v>
      </c>
      <c r="K8" s="136">
        <v>0</v>
      </c>
      <c r="L8" s="136">
        <v>82</v>
      </c>
      <c r="M8" s="136">
        <f t="shared" si="4"/>
        <v>282</v>
      </c>
      <c r="N8" s="136">
        <v>0</v>
      </c>
      <c r="O8" s="136">
        <v>282</v>
      </c>
      <c r="P8" s="7" t="s">
        <v>146</v>
      </c>
      <c r="Q8" s="114"/>
    </row>
    <row r="9" spans="4:17" ht="13.5" thickBot="1" x14ac:dyDescent="0.25">
      <c r="D9" s="136">
        <f t="shared" si="0"/>
        <v>38</v>
      </c>
      <c r="E9" s="136">
        <f t="shared" si="1"/>
        <v>0</v>
      </c>
      <c r="F9" s="136">
        <f t="shared" si="1"/>
        <v>38</v>
      </c>
      <c r="G9" s="136">
        <f t="shared" si="2"/>
        <v>0</v>
      </c>
      <c r="H9" s="136">
        <v>0</v>
      </c>
      <c r="I9" s="136">
        <v>0</v>
      </c>
      <c r="J9" s="136">
        <f t="shared" si="3"/>
        <v>0</v>
      </c>
      <c r="K9" s="136">
        <v>0</v>
      </c>
      <c r="L9" s="136">
        <v>0</v>
      </c>
      <c r="M9" s="136">
        <f t="shared" si="4"/>
        <v>38</v>
      </c>
      <c r="N9" s="136">
        <v>0</v>
      </c>
      <c r="O9" s="136">
        <v>38</v>
      </c>
      <c r="P9" s="7" t="s">
        <v>145</v>
      </c>
      <c r="Q9" s="114" t="s">
        <v>207</v>
      </c>
    </row>
    <row r="10" spans="4:17" ht="13.5" thickBot="1" x14ac:dyDescent="0.25">
      <c r="D10" s="136">
        <f t="shared" ref="D10:N10" si="6">SUM(D8:D9)</f>
        <v>717</v>
      </c>
      <c r="E10" s="136">
        <f t="shared" si="6"/>
        <v>0</v>
      </c>
      <c r="F10" s="136">
        <f t="shared" si="6"/>
        <v>717</v>
      </c>
      <c r="G10" s="136">
        <f t="shared" si="6"/>
        <v>315</v>
      </c>
      <c r="H10" s="136">
        <f t="shared" si="6"/>
        <v>0</v>
      </c>
      <c r="I10" s="136">
        <f t="shared" si="6"/>
        <v>315</v>
      </c>
      <c r="J10" s="136">
        <f t="shared" si="6"/>
        <v>82</v>
      </c>
      <c r="K10" s="136">
        <f t="shared" si="6"/>
        <v>0</v>
      </c>
      <c r="L10" s="136">
        <f t="shared" si="6"/>
        <v>82</v>
      </c>
      <c r="M10" s="136">
        <f t="shared" si="6"/>
        <v>320</v>
      </c>
      <c r="N10" s="136">
        <f t="shared" si="6"/>
        <v>0</v>
      </c>
      <c r="O10" s="136">
        <f>SUM(O8:O9)</f>
        <v>320</v>
      </c>
      <c r="P10" s="7" t="s">
        <v>12</v>
      </c>
      <c r="Q10" s="9"/>
    </row>
    <row r="11" spans="4:17" ht="13.5" thickBot="1" x14ac:dyDescent="0.25">
      <c r="D11" s="136">
        <f t="shared" si="0"/>
        <v>1730</v>
      </c>
      <c r="E11" s="136">
        <f t="shared" si="1"/>
        <v>388</v>
      </c>
      <c r="F11" s="136">
        <f t="shared" si="1"/>
        <v>1342</v>
      </c>
      <c r="G11" s="136">
        <f t="shared" si="2"/>
        <v>682</v>
      </c>
      <c r="H11" s="136">
        <v>250</v>
      </c>
      <c r="I11" s="136">
        <v>432</v>
      </c>
      <c r="J11" s="136">
        <f t="shared" si="3"/>
        <v>326</v>
      </c>
      <c r="K11" s="136">
        <v>105</v>
      </c>
      <c r="L11" s="136">
        <v>221</v>
      </c>
      <c r="M11" s="136">
        <f t="shared" si="4"/>
        <v>722</v>
      </c>
      <c r="N11" s="136">
        <v>33</v>
      </c>
      <c r="O11" s="136">
        <v>689</v>
      </c>
      <c r="P11" s="7" t="s">
        <v>146</v>
      </c>
      <c r="Q11" s="114"/>
    </row>
    <row r="12" spans="4:17" ht="13.5" thickBot="1" x14ac:dyDescent="0.25">
      <c r="D12" s="136">
        <f t="shared" si="0"/>
        <v>362</v>
      </c>
      <c r="E12" s="136">
        <f t="shared" si="1"/>
        <v>47</v>
      </c>
      <c r="F12" s="136">
        <f t="shared" si="1"/>
        <v>315</v>
      </c>
      <c r="G12" s="136">
        <f t="shared" si="2"/>
        <v>11</v>
      </c>
      <c r="H12" s="136">
        <v>0</v>
      </c>
      <c r="I12" s="136">
        <v>11</v>
      </c>
      <c r="J12" s="136">
        <f t="shared" si="3"/>
        <v>48</v>
      </c>
      <c r="K12" s="136">
        <v>14</v>
      </c>
      <c r="L12" s="136">
        <v>34</v>
      </c>
      <c r="M12" s="136">
        <f t="shared" si="4"/>
        <v>303</v>
      </c>
      <c r="N12" s="136">
        <v>33</v>
      </c>
      <c r="O12" s="136">
        <v>270</v>
      </c>
      <c r="P12" s="7" t="s">
        <v>145</v>
      </c>
      <c r="Q12" s="114" t="s">
        <v>206</v>
      </c>
    </row>
    <row r="13" spans="4:17" ht="13.5" thickBot="1" x14ac:dyDescent="0.25">
      <c r="D13" s="136">
        <f t="shared" ref="D13:N13" si="7">SUM(D11:D12)</f>
        <v>2092</v>
      </c>
      <c r="E13" s="136">
        <f t="shared" si="7"/>
        <v>435</v>
      </c>
      <c r="F13" s="136">
        <f t="shared" si="7"/>
        <v>1657</v>
      </c>
      <c r="G13" s="136">
        <f t="shared" si="7"/>
        <v>693</v>
      </c>
      <c r="H13" s="136">
        <f t="shared" si="7"/>
        <v>250</v>
      </c>
      <c r="I13" s="136">
        <f t="shared" si="7"/>
        <v>443</v>
      </c>
      <c r="J13" s="136">
        <f t="shared" si="7"/>
        <v>374</v>
      </c>
      <c r="K13" s="136">
        <f t="shared" si="7"/>
        <v>119</v>
      </c>
      <c r="L13" s="136">
        <f t="shared" si="7"/>
        <v>255</v>
      </c>
      <c r="M13" s="136">
        <f t="shared" si="7"/>
        <v>1025</v>
      </c>
      <c r="N13" s="136">
        <f t="shared" si="7"/>
        <v>66</v>
      </c>
      <c r="O13" s="136">
        <f>SUM(O11:O12)</f>
        <v>959</v>
      </c>
      <c r="P13" s="7" t="s">
        <v>12</v>
      </c>
      <c r="Q13" s="9"/>
    </row>
    <row r="14" spans="4:17" ht="13.5" thickBot="1" x14ac:dyDescent="0.25">
      <c r="D14" s="136">
        <f t="shared" si="0"/>
        <v>4573</v>
      </c>
      <c r="E14" s="136">
        <f t="shared" si="1"/>
        <v>1643</v>
      </c>
      <c r="F14" s="136">
        <f t="shared" si="1"/>
        <v>2930</v>
      </c>
      <c r="G14" s="136">
        <f t="shared" si="2"/>
        <v>2102</v>
      </c>
      <c r="H14" s="136">
        <v>982</v>
      </c>
      <c r="I14" s="136">
        <v>1120</v>
      </c>
      <c r="J14" s="136">
        <f t="shared" si="3"/>
        <v>617</v>
      </c>
      <c r="K14" s="136">
        <v>358</v>
      </c>
      <c r="L14" s="136">
        <v>259</v>
      </c>
      <c r="M14" s="136">
        <f t="shared" si="4"/>
        <v>1854</v>
      </c>
      <c r="N14" s="136">
        <v>303</v>
      </c>
      <c r="O14" s="136">
        <v>1551</v>
      </c>
      <c r="P14" s="7" t="s">
        <v>146</v>
      </c>
      <c r="Q14" s="114"/>
    </row>
    <row r="15" spans="4:17" ht="13.5" thickBot="1" x14ac:dyDescent="0.25">
      <c r="D15" s="136">
        <f t="shared" si="0"/>
        <v>2485</v>
      </c>
      <c r="E15" s="136">
        <f t="shared" si="1"/>
        <v>498</v>
      </c>
      <c r="F15" s="136">
        <f t="shared" si="1"/>
        <v>1987</v>
      </c>
      <c r="G15" s="136">
        <f t="shared" si="2"/>
        <v>127</v>
      </c>
      <c r="H15" s="136">
        <v>63</v>
      </c>
      <c r="I15" s="136">
        <v>64</v>
      </c>
      <c r="J15" s="136">
        <f t="shared" si="3"/>
        <v>513</v>
      </c>
      <c r="K15" s="136">
        <v>83</v>
      </c>
      <c r="L15" s="136">
        <v>430</v>
      </c>
      <c r="M15" s="136">
        <f t="shared" si="4"/>
        <v>1845</v>
      </c>
      <c r="N15" s="136">
        <v>352</v>
      </c>
      <c r="O15" s="136">
        <v>1493</v>
      </c>
      <c r="P15" s="7" t="s">
        <v>145</v>
      </c>
      <c r="Q15" s="114" t="s">
        <v>72</v>
      </c>
    </row>
    <row r="16" spans="4:17" ht="13.5" thickBot="1" x14ac:dyDescent="0.25">
      <c r="D16" s="136">
        <f t="shared" ref="D16:N16" si="8">SUM(D14:D15)</f>
        <v>7058</v>
      </c>
      <c r="E16" s="136">
        <f t="shared" si="8"/>
        <v>2141</v>
      </c>
      <c r="F16" s="136">
        <f t="shared" si="8"/>
        <v>4917</v>
      </c>
      <c r="G16" s="136">
        <f t="shared" si="8"/>
        <v>2229</v>
      </c>
      <c r="H16" s="136">
        <f t="shared" si="8"/>
        <v>1045</v>
      </c>
      <c r="I16" s="136">
        <f t="shared" si="8"/>
        <v>1184</v>
      </c>
      <c r="J16" s="136">
        <f t="shared" si="8"/>
        <v>1130</v>
      </c>
      <c r="K16" s="136">
        <f t="shared" si="8"/>
        <v>441</v>
      </c>
      <c r="L16" s="136">
        <f t="shared" si="8"/>
        <v>689</v>
      </c>
      <c r="M16" s="136">
        <f t="shared" si="8"/>
        <v>3699</v>
      </c>
      <c r="N16" s="136">
        <f t="shared" si="8"/>
        <v>655</v>
      </c>
      <c r="O16" s="136">
        <f>SUM(O14:O15)</f>
        <v>3044</v>
      </c>
      <c r="P16" s="7" t="s">
        <v>12</v>
      </c>
      <c r="Q16" s="9"/>
    </row>
    <row r="17" spans="4:17" ht="13.5" thickBot="1" x14ac:dyDescent="0.25">
      <c r="D17" s="136">
        <f t="shared" si="0"/>
        <v>3922</v>
      </c>
      <c r="E17" s="136">
        <f t="shared" si="1"/>
        <v>2117</v>
      </c>
      <c r="F17" s="136">
        <f t="shared" si="1"/>
        <v>1805</v>
      </c>
      <c r="G17" s="136">
        <f t="shared" si="2"/>
        <v>1912</v>
      </c>
      <c r="H17" s="136">
        <v>1178</v>
      </c>
      <c r="I17" s="136">
        <v>734</v>
      </c>
      <c r="J17" s="136">
        <f t="shared" si="3"/>
        <v>520</v>
      </c>
      <c r="K17" s="136">
        <v>358</v>
      </c>
      <c r="L17" s="136">
        <v>162</v>
      </c>
      <c r="M17" s="136">
        <f t="shared" si="4"/>
        <v>1490</v>
      </c>
      <c r="N17" s="136">
        <v>581</v>
      </c>
      <c r="O17" s="136">
        <v>909</v>
      </c>
      <c r="P17" s="7" t="s">
        <v>146</v>
      </c>
      <c r="Q17" s="114"/>
    </row>
    <row r="18" spans="4:17" ht="13.5" thickBot="1" x14ac:dyDescent="0.25">
      <c r="D18" s="136">
        <f t="shared" si="0"/>
        <v>1185</v>
      </c>
      <c r="E18" s="136">
        <f t="shared" si="1"/>
        <v>336</v>
      </c>
      <c r="F18" s="136">
        <f t="shared" si="1"/>
        <v>849</v>
      </c>
      <c r="G18" s="136">
        <f t="shared" si="2"/>
        <v>234</v>
      </c>
      <c r="H18" s="136">
        <v>61</v>
      </c>
      <c r="I18" s="136">
        <v>173</v>
      </c>
      <c r="J18" s="136">
        <f t="shared" si="3"/>
        <v>101</v>
      </c>
      <c r="K18" s="136">
        <v>18</v>
      </c>
      <c r="L18" s="136">
        <v>83</v>
      </c>
      <c r="M18" s="136">
        <f t="shared" si="4"/>
        <v>850</v>
      </c>
      <c r="N18" s="136">
        <v>257</v>
      </c>
      <c r="O18" s="136">
        <v>593</v>
      </c>
      <c r="P18" s="7" t="s">
        <v>145</v>
      </c>
      <c r="Q18" s="114" t="s">
        <v>73</v>
      </c>
    </row>
    <row r="19" spans="4:17" ht="13.5" thickBot="1" x14ac:dyDescent="0.25">
      <c r="D19" s="136">
        <f t="shared" ref="D19:N19" si="9">SUM(D17:D18)</f>
        <v>5107</v>
      </c>
      <c r="E19" s="136">
        <f t="shared" si="9"/>
        <v>2453</v>
      </c>
      <c r="F19" s="136">
        <f t="shared" si="9"/>
        <v>2654</v>
      </c>
      <c r="G19" s="136">
        <f t="shared" si="9"/>
        <v>2146</v>
      </c>
      <c r="H19" s="136">
        <f t="shared" si="9"/>
        <v>1239</v>
      </c>
      <c r="I19" s="136">
        <f t="shared" si="9"/>
        <v>907</v>
      </c>
      <c r="J19" s="136">
        <f t="shared" si="9"/>
        <v>621</v>
      </c>
      <c r="K19" s="136">
        <f t="shared" si="9"/>
        <v>376</v>
      </c>
      <c r="L19" s="136">
        <f t="shared" si="9"/>
        <v>245</v>
      </c>
      <c r="M19" s="136">
        <f t="shared" si="9"/>
        <v>2340</v>
      </c>
      <c r="N19" s="136">
        <f t="shared" si="9"/>
        <v>838</v>
      </c>
      <c r="O19" s="136">
        <f>SUM(O17:O18)</f>
        <v>1502</v>
      </c>
      <c r="P19" s="7" t="s">
        <v>12</v>
      </c>
      <c r="Q19" s="9"/>
    </row>
    <row r="20" spans="4:17" ht="13.5" thickBot="1" x14ac:dyDescent="0.25">
      <c r="D20" s="136">
        <f t="shared" si="0"/>
        <v>343</v>
      </c>
      <c r="E20" s="136">
        <f t="shared" si="1"/>
        <v>0</v>
      </c>
      <c r="F20" s="136">
        <f t="shared" si="1"/>
        <v>343</v>
      </c>
      <c r="G20" s="136">
        <f t="shared" si="2"/>
        <v>50</v>
      </c>
      <c r="H20" s="136">
        <v>0</v>
      </c>
      <c r="I20" s="136">
        <v>50</v>
      </c>
      <c r="J20" s="136">
        <f t="shared" si="3"/>
        <v>56</v>
      </c>
      <c r="K20" s="136">
        <v>0</v>
      </c>
      <c r="L20" s="136">
        <v>56</v>
      </c>
      <c r="M20" s="136">
        <f t="shared" si="4"/>
        <v>237</v>
      </c>
      <c r="N20" s="136">
        <v>0</v>
      </c>
      <c r="O20" s="136">
        <v>237</v>
      </c>
      <c r="P20" s="7" t="s">
        <v>146</v>
      </c>
      <c r="Q20" s="114"/>
    </row>
    <row r="21" spans="4:17" ht="13.5" thickBot="1" x14ac:dyDescent="0.25">
      <c r="D21" s="136">
        <f t="shared" si="0"/>
        <v>615</v>
      </c>
      <c r="E21" s="136">
        <f t="shared" si="1"/>
        <v>0</v>
      </c>
      <c r="F21" s="136">
        <f t="shared" si="1"/>
        <v>615</v>
      </c>
      <c r="G21" s="136">
        <f t="shared" si="2"/>
        <v>49</v>
      </c>
      <c r="H21" s="136">
        <v>0</v>
      </c>
      <c r="I21" s="136">
        <v>49</v>
      </c>
      <c r="J21" s="136">
        <f t="shared" si="3"/>
        <v>245</v>
      </c>
      <c r="K21" s="136">
        <v>0</v>
      </c>
      <c r="L21" s="136">
        <v>245</v>
      </c>
      <c r="M21" s="136">
        <f t="shared" si="4"/>
        <v>321</v>
      </c>
      <c r="N21" s="136">
        <v>0</v>
      </c>
      <c r="O21" s="136">
        <v>321</v>
      </c>
      <c r="P21" s="7" t="s">
        <v>145</v>
      </c>
      <c r="Q21" s="114" t="s">
        <v>90</v>
      </c>
    </row>
    <row r="22" spans="4:17" ht="13.5" thickBot="1" x14ac:dyDescent="0.25">
      <c r="D22" s="136">
        <f t="shared" ref="D22:N22" si="10">SUM(D20:D21)</f>
        <v>958</v>
      </c>
      <c r="E22" s="136">
        <f t="shared" si="10"/>
        <v>0</v>
      </c>
      <c r="F22" s="136">
        <f t="shared" si="10"/>
        <v>958</v>
      </c>
      <c r="G22" s="136">
        <f t="shared" si="10"/>
        <v>99</v>
      </c>
      <c r="H22" s="136">
        <f t="shared" si="10"/>
        <v>0</v>
      </c>
      <c r="I22" s="136">
        <f t="shared" si="10"/>
        <v>99</v>
      </c>
      <c r="J22" s="136">
        <f t="shared" si="10"/>
        <v>301</v>
      </c>
      <c r="K22" s="136">
        <f t="shared" si="10"/>
        <v>0</v>
      </c>
      <c r="L22" s="136">
        <f t="shared" si="10"/>
        <v>301</v>
      </c>
      <c r="M22" s="136">
        <f t="shared" si="10"/>
        <v>558</v>
      </c>
      <c r="N22" s="136">
        <f t="shared" si="10"/>
        <v>0</v>
      </c>
      <c r="O22" s="136">
        <f>SUM(O20:O21)</f>
        <v>558</v>
      </c>
      <c r="P22" s="7" t="s">
        <v>12</v>
      </c>
      <c r="Q22" s="9"/>
    </row>
    <row r="23" spans="4:17" ht="13.5" thickBot="1" x14ac:dyDescent="0.25">
      <c r="D23" s="136">
        <f t="shared" si="0"/>
        <v>1476</v>
      </c>
      <c r="E23" s="136">
        <f t="shared" si="1"/>
        <v>807</v>
      </c>
      <c r="F23" s="136">
        <f t="shared" si="1"/>
        <v>669</v>
      </c>
      <c r="G23" s="136">
        <f t="shared" si="2"/>
        <v>631</v>
      </c>
      <c r="H23" s="136">
        <v>412</v>
      </c>
      <c r="I23" s="136">
        <v>219</v>
      </c>
      <c r="J23" s="136">
        <f t="shared" si="3"/>
        <v>345</v>
      </c>
      <c r="K23" s="136">
        <v>214</v>
      </c>
      <c r="L23" s="136">
        <v>131</v>
      </c>
      <c r="M23" s="136">
        <f t="shared" si="4"/>
        <v>500</v>
      </c>
      <c r="N23" s="136">
        <v>181</v>
      </c>
      <c r="O23" s="136">
        <v>319</v>
      </c>
      <c r="P23" s="7" t="s">
        <v>146</v>
      </c>
      <c r="Q23" s="114"/>
    </row>
    <row r="24" spans="4:17" ht="13.5" thickBot="1" x14ac:dyDescent="0.25">
      <c r="D24" s="136">
        <f t="shared" si="0"/>
        <v>882</v>
      </c>
      <c r="E24" s="136">
        <f t="shared" si="1"/>
        <v>308</v>
      </c>
      <c r="F24" s="136">
        <f t="shared" si="1"/>
        <v>574</v>
      </c>
      <c r="G24" s="136">
        <f t="shared" si="2"/>
        <v>82</v>
      </c>
      <c r="H24" s="136">
        <v>27</v>
      </c>
      <c r="I24" s="136">
        <v>55</v>
      </c>
      <c r="J24" s="136">
        <f t="shared" si="3"/>
        <v>75</v>
      </c>
      <c r="K24" s="136">
        <v>41</v>
      </c>
      <c r="L24" s="136">
        <v>34</v>
      </c>
      <c r="M24" s="136">
        <f t="shared" si="4"/>
        <v>725</v>
      </c>
      <c r="N24" s="136">
        <v>240</v>
      </c>
      <c r="O24" s="136">
        <v>485</v>
      </c>
      <c r="P24" s="7" t="s">
        <v>145</v>
      </c>
      <c r="Q24" s="114" t="s">
        <v>74</v>
      </c>
    </row>
    <row r="25" spans="4:17" ht="13.5" thickBot="1" x14ac:dyDescent="0.25">
      <c r="D25" s="136">
        <f t="shared" ref="D25:N25" si="11">SUM(D23:D24)</f>
        <v>2358</v>
      </c>
      <c r="E25" s="136">
        <f t="shared" si="11"/>
        <v>1115</v>
      </c>
      <c r="F25" s="136">
        <f t="shared" si="11"/>
        <v>1243</v>
      </c>
      <c r="G25" s="136">
        <f t="shared" si="11"/>
        <v>713</v>
      </c>
      <c r="H25" s="136">
        <f t="shared" si="11"/>
        <v>439</v>
      </c>
      <c r="I25" s="136">
        <f t="shared" si="11"/>
        <v>274</v>
      </c>
      <c r="J25" s="136">
        <f t="shared" si="11"/>
        <v>420</v>
      </c>
      <c r="K25" s="136">
        <f t="shared" si="11"/>
        <v>255</v>
      </c>
      <c r="L25" s="136">
        <f t="shared" si="11"/>
        <v>165</v>
      </c>
      <c r="M25" s="136">
        <f t="shared" si="11"/>
        <v>1225</v>
      </c>
      <c r="N25" s="136">
        <f t="shared" si="11"/>
        <v>421</v>
      </c>
      <c r="O25" s="136">
        <f>SUM(O23:O24)</f>
        <v>804</v>
      </c>
      <c r="P25" s="7" t="s">
        <v>12</v>
      </c>
      <c r="Q25" s="9"/>
    </row>
    <row r="26" spans="4:17" ht="13.5" thickBot="1" x14ac:dyDescent="0.25">
      <c r="D26" s="136">
        <f t="shared" si="0"/>
        <v>890</v>
      </c>
      <c r="E26" s="136">
        <f t="shared" si="1"/>
        <v>300</v>
      </c>
      <c r="F26" s="136">
        <f t="shared" si="1"/>
        <v>590</v>
      </c>
      <c r="G26" s="136">
        <f t="shared" si="2"/>
        <v>575</v>
      </c>
      <c r="H26" s="136">
        <v>249</v>
      </c>
      <c r="I26" s="136">
        <v>326</v>
      </c>
      <c r="J26" s="136">
        <f t="shared" si="3"/>
        <v>73</v>
      </c>
      <c r="K26" s="136">
        <v>29</v>
      </c>
      <c r="L26" s="136">
        <v>44</v>
      </c>
      <c r="M26" s="136">
        <f t="shared" si="4"/>
        <v>242</v>
      </c>
      <c r="N26" s="136">
        <v>22</v>
      </c>
      <c r="O26" s="136">
        <v>220</v>
      </c>
      <c r="P26" s="7" t="s">
        <v>146</v>
      </c>
      <c r="Q26" s="114"/>
    </row>
    <row r="27" spans="4:17" ht="13.5" thickBot="1" x14ac:dyDescent="0.25">
      <c r="D27" s="136">
        <f t="shared" si="0"/>
        <v>1094</v>
      </c>
      <c r="E27" s="136">
        <f t="shared" si="1"/>
        <v>342</v>
      </c>
      <c r="F27" s="136">
        <f t="shared" si="1"/>
        <v>752</v>
      </c>
      <c r="G27" s="136">
        <f t="shared" si="2"/>
        <v>0</v>
      </c>
      <c r="H27" s="136">
        <v>0</v>
      </c>
      <c r="I27" s="136">
        <v>0</v>
      </c>
      <c r="J27" s="136">
        <f t="shared" si="3"/>
        <v>241</v>
      </c>
      <c r="K27" s="136">
        <v>100</v>
      </c>
      <c r="L27" s="136">
        <v>141</v>
      </c>
      <c r="M27" s="136">
        <f t="shared" si="4"/>
        <v>853</v>
      </c>
      <c r="N27" s="136">
        <v>242</v>
      </c>
      <c r="O27" s="136">
        <v>611</v>
      </c>
      <c r="P27" s="7" t="s">
        <v>145</v>
      </c>
      <c r="Q27" s="114" t="s">
        <v>75</v>
      </c>
    </row>
    <row r="28" spans="4:17" ht="13.5" thickBot="1" x14ac:dyDescent="0.25">
      <c r="D28" s="136">
        <f t="shared" ref="D28:N28" si="12">SUM(D26:D27)</f>
        <v>1984</v>
      </c>
      <c r="E28" s="136">
        <f t="shared" si="12"/>
        <v>642</v>
      </c>
      <c r="F28" s="136">
        <f t="shared" si="12"/>
        <v>1342</v>
      </c>
      <c r="G28" s="136">
        <f t="shared" si="12"/>
        <v>575</v>
      </c>
      <c r="H28" s="136">
        <f t="shared" si="12"/>
        <v>249</v>
      </c>
      <c r="I28" s="136">
        <f t="shared" si="12"/>
        <v>326</v>
      </c>
      <c r="J28" s="136">
        <f t="shared" si="12"/>
        <v>314</v>
      </c>
      <c r="K28" s="136">
        <f t="shared" si="12"/>
        <v>129</v>
      </c>
      <c r="L28" s="136">
        <f t="shared" si="12"/>
        <v>185</v>
      </c>
      <c r="M28" s="136">
        <f t="shared" si="12"/>
        <v>1095</v>
      </c>
      <c r="N28" s="136">
        <f t="shared" si="12"/>
        <v>264</v>
      </c>
      <c r="O28" s="136">
        <f>SUM(O26:O27)</f>
        <v>831</v>
      </c>
      <c r="P28" s="7" t="s">
        <v>12</v>
      </c>
      <c r="Q28" s="9"/>
    </row>
    <row r="29" spans="4:17" ht="13.5" thickBot="1" x14ac:dyDescent="0.25">
      <c r="D29" s="136">
        <f t="shared" si="0"/>
        <v>904</v>
      </c>
      <c r="E29" s="136">
        <f t="shared" si="1"/>
        <v>299</v>
      </c>
      <c r="F29" s="136">
        <f t="shared" si="1"/>
        <v>605</v>
      </c>
      <c r="G29" s="136">
        <f t="shared" si="2"/>
        <v>477</v>
      </c>
      <c r="H29" s="136">
        <v>218</v>
      </c>
      <c r="I29" s="136">
        <v>259</v>
      </c>
      <c r="J29" s="136">
        <f t="shared" si="3"/>
        <v>74</v>
      </c>
      <c r="K29" s="136">
        <v>44</v>
      </c>
      <c r="L29" s="136">
        <v>30</v>
      </c>
      <c r="M29" s="136">
        <f t="shared" si="4"/>
        <v>353</v>
      </c>
      <c r="N29" s="136">
        <v>37</v>
      </c>
      <c r="O29" s="136">
        <v>316</v>
      </c>
      <c r="P29" s="7" t="s">
        <v>146</v>
      </c>
      <c r="Q29" s="114"/>
    </row>
    <row r="30" spans="4:17" ht="13.5" thickBot="1" x14ac:dyDescent="0.25">
      <c r="D30" s="136">
        <f t="shared" si="0"/>
        <v>857</v>
      </c>
      <c r="E30" s="136">
        <f t="shared" si="1"/>
        <v>255</v>
      </c>
      <c r="F30" s="136">
        <f t="shared" si="1"/>
        <v>602</v>
      </c>
      <c r="G30" s="136">
        <f t="shared" si="2"/>
        <v>101</v>
      </c>
      <c r="H30" s="136">
        <v>15</v>
      </c>
      <c r="I30" s="136">
        <v>86</v>
      </c>
      <c r="J30" s="136">
        <f t="shared" si="3"/>
        <v>164</v>
      </c>
      <c r="K30" s="136">
        <v>86</v>
      </c>
      <c r="L30" s="136">
        <v>78</v>
      </c>
      <c r="M30" s="136">
        <f t="shared" si="4"/>
        <v>592</v>
      </c>
      <c r="N30" s="136">
        <v>154</v>
      </c>
      <c r="O30" s="136">
        <v>438</v>
      </c>
      <c r="P30" s="7" t="s">
        <v>145</v>
      </c>
      <c r="Q30" s="114" t="s">
        <v>100</v>
      </c>
    </row>
    <row r="31" spans="4:17" ht="13.5" thickBot="1" x14ac:dyDescent="0.25">
      <c r="D31" s="136">
        <f t="shared" ref="D31:N31" si="13">SUM(D29:D30)</f>
        <v>1761</v>
      </c>
      <c r="E31" s="136">
        <f t="shared" si="13"/>
        <v>554</v>
      </c>
      <c r="F31" s="136">
        <f t="shared" si="13"/>
        <v>1207</v>
      </c>
      <c r="G31" s="136">
        <f t="shared" si="13"/>
        <v>578</v>
      </c>
      <c r="H31" s="136">
        <f t="shared" si="13"/>
        <v>233</v>
      </c>
      <c r="I31" s="136">
        <f t="shared" si="13"/>
        <v>345</v>
      </c>
      <c r="J31" s="136">
        <f t="shared" si="13"/>
        <v>238</v>
      </c>
      <c r="K31" s="136">
        <f t="shared" si="13"/>
        <v>130</v>
      </c>
      <c r="L31" s="136">
        <f t="shared" si="13"/>
        <v>108</v>
      </c>
      <c r="M31" s="136">
        <f t="shared" si="13"/>
        <v>945</v>
      </c>
      <c r="N31" s="136">
        <f t="shared" si="13"/>
        <v>191</v>
      </c>
      <c r="O31" s="136">
        <f>SUM(O29:O30)</f>
        <v>754</v>
      </c>
      <c r="P31" s="7" t="s">
        <v>12</v>
      </c>
      <c r="Q31" s="9"/>
    </row>
    <row r="32" spans="4:17" ht="13.5" thickBot="1" x14ac:dyDescent="0.25">
      <c r="D32" s="136">
        <f t="shared" si="0"/>
        <v>785</v>
      </c>
      <c r="E32" s="136">
        <f t="shared" si="1"/>
        <v>464</v>
      </c>
      <c r="F32" s="136">
        <f t="shared" si="1"/>
        <v>321</v>
      </c>
      <c r="G32" s="136">
        <f t="shared" si="2"/>
        <v>382</v>
      </c>
      <c r="H32" s="136">
        <v>312</v>
      </c>
      <c r="I32" s="136">
        <v>70</v>
      </c>
      <c r="J32" s="136">
        <f t="shared" si="3"/>
        <v>123</v>
      </c>
      <c r="K32" s="136">
        <v>74</v>
      </c>
      <c r="L32" s="136">
        <v>49</v>
      </c>
      <c r="M32" s="136">
        <f t="shared" si="4"/>
        <v>280</v>
      </c>
      <c r="N32" s="136">
        <v>78</v>
      </c>
      <c r="O32" s="136">
        <v>202</v>
      </c>
      <c r="P32" s="7" t="s">
        <v>146</v>
      </c>
      <c r="Q32" s="114"/>
    </row>
    <row r="33" spans="4:17" ht="13.5" thickBot="1" x14ac:dyDescent="0.25">
      <c r="D33" s="136">
        <f t="shared" si="0"/>
        <v>743</v>
      </c>
      <c r="E33" s="136">
        <f t="shared" si="1"/>
        <v>272</v>
      </c>
      <c r="F33" s="136">
        <f t="shared" si="1"/>
        <v>471</v>
      </c>
      <c r="G33" s="136">
        <f t="shared" si="2"/>
        <v>72</v>
      </c>
      <c r="H33" s="136">
        <v>11</v>
      </c>
      <c r="I33" s="136">
        <v>61</v>
      </c>
      <c r="J33" s="136">
        <f t="shared" si="3"/>
        <v>88</v>
      </c>
      <c r="K33" s="136">
        <v>60</v>
      </c>
      <c r="L33" s="136">
        <v>28</v>
      </c>
      <c r="M33" s="136">
        <f t="shared" si="4"/>
        <v>583</v>
      </c>
      <c r="N33" s="136">
        <v>201</v>
      </c>
      <c r="O33" s="136">
        <v>382</v>
      </c>
      <c r="P33" s="7" t="s">
        <v>145</v>
      </c>
      <c r="Q33" s="114" t="s">
        <v>76</v>
      </c>
    </row>
    <row r="34" spans="4:17" ht="13.5" thickBot="1" x14ac:dyDescent="0.25">
      <c r="D34" s="136">
        <f t="shared" ref="D34:N34" si="14">SUM(D32:D33)</f>
        <v>1528</v>
      </c>
      <c r="E34" s="136">
        <f t="shared" si="14"/>
        <v>736</v>
      </c>
      <c r="F34" s="136">
        <f t="shared" si="14"/>
        <v>792</v>
      </c>
      <c r="G34" s="136">
        <f t="shared" si="14"/>
        <v>454</v>
      </c>
      <c r="H34" s="136">
        <f t="shared" si="14"/>
        <v>323</v>
      </c>
      <c r="I34" s="136">
        <f t="shared" si="14"/>
        <v>131</v>
      </c>
      <c r="J34" s="136">
        <f t="shared" si="14"/>
        <v>211</v>
      </c>
      <c r="K34" s="136">
        <f t="shared" si="14"/>
        <v>134</v>
      </c>
      <c r="L34" s="136">
        <f t="shared" si="14"/>
        <v>77</v>
      </c>
      <c r="M34" s="136">
        <f t="shared" si="14"/>
        <v>863</v>
      </c>
      <c r="N34" s="136">
        <f t="shared" si="14"/>
        <v>279</v>
      </c>
      <c r="O34" s="136">
        <f>SUM(O32:O33)</f>
        <v>584</v>
      </c>
      <c r="P34" s="7" t="s">
        <v>12</v>
      </c>
      <c r="Q34" s="9"/>
    </row>
    <row r="35" spans="4:17" ht="13.5" thickBot="1" x14ac:dyDescent="0.25">
      <c r="D35" s="136">
        <f t="shared" si="0"/>
        <v>751</v>
      </c>
      <c r="E35" s="136">
        <f t="shared" si="1"/>
        <v>368</v>
      </c>
      <c r="F35" s="136">
        <f t="shared" si="1"/>
        <v>383</v>
      </c>
      <c r="G35" s="136">
        <f t="shared" si="2"/>
        <v>469</v>
      </c>
      <c r="H35" s="136">
        <v>266</v>
      </c>
      <c r="I35" s="136">
        <v>203</v>
      </c>
      <c r="J35" s="136">
        <f t="shared" si="3"/>
        <v>154</v>
      </c>
      <c r="K35" s="136">
        <v>78</v>
      </c>
      <c r="L35" s="136">
        <v>76</v>
      </c>
      <c r="M35" s="136">
        <f t="shared" si="4"/>
        <v>128</v>
      </c>
      <c r="N35" s="136">
        <v>24</v>
      </c>
      <c r="O35" s="136">
        <v>104</v>
      </c>
      <c r="P35" s="7" t="s">
        <v>146</v>
      </c>
      <c r="Q35" s="114"/>
    </row>
    <row r="36" spans="4:17" ht="13.5" thickBot="1" x14ac:dyDescent="0.25">
      <c r="D36" s="136">
        <f t="shared" si="0"/>
        <v>726</v>
      </c>
      <c r="E36" s="136">
        <f t="shared" si="1"/>
        <v>202</v>
      </c>
      <c r="F36" s="136">
        <f t="shared" si="1"/>
        <v>524</v>
      </c>
      <c r="G36" s="136">
        <f t="shared" si="2"/>
        <v>5</v>
      </c>
      <c r="H36" s="136">
        <v>3</v>
      </c>
      <c r="I36" s="136">
        <v>2</v>
      </c>
      <c r="J36" s="136">
        <f t="shared" si="3"/>
        <v>44</v>
      </c>
      <c r="K36" s="136">
        <v>11</v>
      </c>
      <c r="L36" s="136">
        <v>33</v>
      </c>
      <c r="M36" s="136">
        <f t="shared" si="4"/>
        <v>677</v>
      </c>
      <c r="N36" s="136">
        <v>188</v>
      </c>
      <c r="O36" s="136">
        <v>489</v>
      </c>
      <c r="P36" s="7" t="s">
        <v>145</v>
      </c>
      <c r="Q36" s="114" t="s">
        <v>77</v>
      </c>
    </row>
    <row r="37" spans="4:17" ht="13.5" thickBot="1" x14ac:dyDescent="0.25">
      <c r="D37" s="136">
        <f t="shared" ref="D37:N37" si="15">SUM(D35:D36)</f>
        <v>1477</v>
      </c>
      <c r="E37" s="136">
        <f t="shared" si="15"/>
        <v>570</v>
      </c>
      <c r="F37" s="136">
        <f t="shared" si="15"/>
        <v>907</v>
      </c>
      <c r="G37" s="136">
        <f t="shared" si="15"/>
        <v>474</v>
      </c>
      <c r="H37" s="136">
        <f t="shared" si="15"/>
        <v>269</v>
      </c>
      <c r="I37" s="136">
        <f t="shared" si="15"/>
        <v>205</v>
      </c>
      <c r="J37" s="136">
        <f t="shared" si="15"/>
        <v>198</v>
      </c>
      <c r="K37" s="136">
        <f t="shared" si="15"/>
        <v>89</v>
      </c>
      <c r="L37" s="136">
        <f t="shared" si="15"/>
        <v>109</v>
      </c>
      <c r="M37" s="136">
        <f t="shared" si="15"/>
        <v>805</v>
      </c>
      <c r="N37" s="136">
        <f t="shared" si="15"/>
        <v>212</v>
      </c>
      <c r="O37" s="136">
        <f>SUM(O35:O36)</f>
        <v>593</v>
      </c>
      <c r="P37" s="7" t="s">
        <v>12</v>
      </c>
      <c r="Q37" s="9"/>
    </row>
    <row r="38" spans="4:17" ht="13.5" thickBot="1" x14ac:dyDescent="0.25">
      <c r="D38" s="136">
        <f t="shared" si="0"/>
        <v>354</v>
      </c>
      <c r="E38" s="136">
        <f t="shared" si="1"/>
        <v>122</v>
      </c>
      <c r="F38" s="136">
        <f t="shared" si="1"/>
        <v>232</v>
      </c>
      <c r="G38" s="136">
        <f t="shared" si="2"/>
        <v>120</v>
      </c>
      <c r="H38" s="136">
        <v>62</v>
      </c>
      <c r="I38" s="136">
        <v>58</v>
      </c>
      <c r="J38" s="136">
        <f t="shared" si="3"/>
        <v>36</v>
      </c>
      <c r="K38" s="136">
        <v>29</v>
      </c>
      <c r="L38" s="136">
        <v>7</v>
      </c>
      <c r="M38" s="136">
        <f t="shared" si="4"/>
        <v>198</v>
      </c>
      <c r="N38" s="136">
        <v>31</v>
      </c>
      <c r="O38" s="136">
        <v>167</v>
      </c>
      <c r="P38" s="7" t="s">
        <v>146</v>
      </c>
      <c r="Q38" s="114"/>
    </row>
    <row r="39" spans="4:17" ht="13.5" thickBot="1" x14ac:dyDescent="0.25">
      <c r="D39" s="136">
        <f t="shared" si="0"/>
        <v>125</v>
      </c>
      <c r="E39" s="136">
        <f t="shared" si="1"/>
        <v>67</v>
      </c>
      <c r="F39" s="136">
        <f t="shared" si="1"/>
        <v>58</v>
      </c>
      <c r="G39" s="136">
        <f t="shared" si="2"/>
        <v>22</v>
      </c>
      <c r="H39" s="136">
        <v>17</v>
      </c>
      <c r="I39" s="136">
        <v>5</v>
      </c>
      <c r="J39" s="136">
        <f t="shared" si="3"/>
        <v>32</v>
      </c>
      <c r="K39" s="136">
        <v>13</v>
      </c>
      <c r="L39" s="136">
        <v>19</v>
      </c>
      <c r="M39" s="136">
        <f t="shared" si="4"/>
        <v>71</v>
      </c>
      <c r="N39" s="136">
        <v>37</v>
      </c>
      <c r="O39" s="136">
        <v>34</v>
      </c>
      <c r="P39" s="7" t="s">
        <v>145</v>
      </c>
      <c r="Q39" s="114" t="s">
        <v>148</v>
      </c>
    </row>
    <row r="40" spans="4:17" ht="13.5" thickBot="1" x14ac:dyDescent="0.25">
      <c r="D40" s="136">
        <f t="shared" ref="D40:N40" si="16">SUM(D38:D39)</f>
        <v>479</v>
      </c>
      <c r="E40" s="136">
        <f t="shared" si="16"/>
        <v>189</v>
      </c>
      <c r="F40" s="136">
        <f t="shared" si="16"/>
        <v>290</v>
      </c>
      <c r="G40" s="136">
        <f t="shared" si="16"/>
        <v>142</v>
      </c>
      <c r="H40" s="136">
        <f t="shared" si="16"/>
        <v>79</v>
      </c>
      <c r="I40" s="136">
        <f t="shared" si="16"/>
        <v>63</v>
      </c>
      <c r="J40" s="136">
        <f t="shared" si="16"/>
        <v>68</v>
      </c>
      <c r="K40" s="136">
        <f t="shared" si="16"/>
        <v>42</v>
      </c>
      <c r="L40" s="136">
        <f t="shared" si="16"/>
        <v>26</v>
      </c>
      <c r="M40" s="136">
        <f t="shared" si="16"/>
        <v>269</v>
      </c>
      <c r="N40" s="136">
        <f t="shared" si="16"/>
        <v>68</v>
      </c>
      <c r="O40" s="136">
        <f>SUM(O38:O39)</f>
        <v>201</v>
      </c>
      <c r="P40" s="7" t="s">
        <v>12</v>
      </c>
      <c r="Q40" s="9"/>
    </row>
    <row r="41" spans="4:17" ht="13.5" thickBot="1" x14ac:dyDescent="0.25">
      <c r="D41" s="136">
        <f t="shared" si="0"/>
        <v>554</v>
      </c>
      <c r="E41" s="136">
        <f t="shared" si="1"/>
        <v>142</v>
      </c>
      <c r="F41" s="136">
        <f t="shared" si="1"/>
        <v>412</v>
      </c>
      <c r="G41" s="136">
        <f t="shared" si="2"/>
        <v>255</v>
      </c>
      <c r="H41" s="136">
        <v>62</v>
      </c>
      <c r="I41" s="136">
        <v>193</v>
      </c>
      <c r="J41" s="136">
        <f t="shared" si="3"/>
        <v>60</v>
      </c>
      <c r="K41" s="136">
        <v>20</v>
      </c>
      <c r="L41" s="136">
        <v>40</v>
      </c>
      <c r="M41" s="136">
        <f t="shared" si="4"/>
        <v>239</v>
      </c>
      <c r="N41" s="136">
        <v>60</v>
      </c>
      <c r="O41" s="136">
        <v>179</v>
      </c>
      <c r="P41" s="7" t="s">
        <v>146</v>
      </c>
      <c r="Q41" s="114"/>
    </row>
    <row r="42" spans="4:17" ht="13.5" thickBot="1" x14ac:dyDescent="0.25">
      <c r="D42" s="136">
        <f t="shared" si="0"/>
        <v>919</v>
      </c>
      <c r="E42" s="136">
        <f t="shared" si="1"/>
        <v>270</v>
      </c>
      <c r="F42" s="136">
        <f t="shared" si="1"/>
        <v>649</v>
      </c>
      <c r="G42" s="136">
        <f t="shared" si="2"/>
        <v>177</v>
      </c>
      <c r="H42" s="136">
        <v>62</v>
      </c>
      <c r="I42" s="136">
        <v>115</v>
      </c>
      <c r="J42" s="136">
        <f t="shared" si="3"/>
        <v>147</v>
      </c>
      <c r="K42" s="136">
        <v>42</v>
      </c>
      <c r="L42" s="136">
        <v>105</v>
      </c>
      <c r="M42" s="136">
        <f t="shared" si="4"/>
        <v>595</v>
      </c>
      <c r="N42" s="136">
        <v>166</v>
      </c>
      <c r="O42" s="136">
        <v>429</v>
      </c>
      <c r="P42" s="7" t="s">
        <v>145</v>
      </c>
      <c r="Q42" s="114" t="s">
        <v>106</v>
      </c>
    </row>
    <row r="43" spans="4:17" ht="13.5" thickBot="1" x14ac:dyDescent="0.25">
      <c r="D43" s="136">
        <f t="shared" ref="D43:N43" si="17">SUM(D41:D42)</f>
        <v>1473</v>
      </c>
      <c r="E43" s="136">
        <f t="shared" si="17"/>
        <v>412</v>
      </c>
      <c r="F43" s="136">
        <f t="shared" si="17"/>
        <v>1061</v>
      </c>
      <c r="G43" s="136">
        <f t="shared" si="17"/>
        <v>432</v>
      </c>
      <c r="H43" s="136">
        <f t="shared" si="17"/>
        <v>124</v>
      </c>
      <c r="I43" s="136">
        <f t="shared" si="17"/>
        <v>308</v>
      </c>
      <c r="J43" s="136">
        <f t="shared" si="17"/>
        <v>207</v>
      </c>
      <c r="K43" s="136">
        <f t="shared" si="17"/>
        <v>62</v>
      </c>
      <c r="L43" s="136">
        <f t="shared" si="17"/>
        <v>145</v>
      </c>
      <c r="M43" s="136">
        <f t="shared" si="17"/>
        <v>834</v>
      </c>
      <c r="N43" s="136">
        <f t="shared" si="17"/>
        <v>226</v>
      </c>
      <c r="O43" s="136">
        <f>SUM(O41:O42)</f>
        <v>608</v>
      </c>
      <c r="P43" s="7" t="s">
        <v>12</v>
      </c>
      <c r="Q43" s="9"/>
    </row>
    <row r="44" spans="4:17" ht="13.5" thickBot="1" x14ac:dyDescent="0.25">
      <c r="D44" s="136">
        <f t="shared" si="0"/>
        <v>531</v>
      </c>
      <c r="E44" s="136">
        <f t="shared" si="1"/>
        <v>295</v>
      </c>
      <c r="F44" s="136">
        <f t="shared" si="1"/>
        <v>236</v>
      </c>
      <c r="G44" s="136">
        <f t="shared" si="2"/>
        <v>376</v>
      </c>
      <c r="H44" s="136">
        <v>257</v>
      </c>
      <c r="I44" s="136">
        <v>119</v>
      </c>
      <c r="J44" s="136">
        <f t="shared" si="3"/>
        <v>87</v>
      </c>
      <c r="K44" s="136">
        <v>22</v>
      </c>
      <c r="L44" s="136">
        <v>65</v>
      </c>
      <c r="M44" s="136">
        <f t="shared" si="4"/>
        <v>68</v>
      </c>
      <c r="N44" s="136">
        <v>16</v>
      </c>
      <c r="O44" s="136">
        <v>52</v>
      </c>
      <c r="P44" s="7" t="s">
        <v>146</v>
      </c>
      <c r="Q44" s="114"/>
    </row>
    <row r="45" spans="4:17" ht="13.5" thickBot="1" x14ac:dyDescent="0.25">
      <c r="D45" s="136">
        <f t="shared" si="0"/>
        <v>756</v>
      </c>
      <c r="E45" s="136">
        <f t="shared" si="1"/>
        <v>302</v>
      </c>
      <c r="F45" s="136">
        <f t="shared" si="1"/>
        <v>454</v>
      </c>
      <c r="G45" s="136">
        <f t="shared" si="2"/>
        <v>27</v>
      </c>
      <c r="H45" s="136">
        <v>4</v>
      </c>
      <c r="I45" s="136">
        <v>23</v>
      </c>
      <c r="J45" s="136">
        <f t="shared" si="3"/>
        <v>280</v>
      </c>
      <c r="K45" s="136">
        <v>117</v>
      </c>
      <c r="L45" s="136">
        <v>163</v>
      </c>
      <c r="M45" s="136">
        <f t="shared" si="4"/>
        <v>449</v>
      </c>
      <c r="N45" s="136">
        <v>181</v>
      </c>
      <c r="O45" s="136">
        <v>268</v>
      </c>
      <c r="P45" s="7" t="s">
        <v>145</v>
      </c>
      <c r="Q45" s="114" t="s">
        <v>109</v>
      </c>
    </row>
    <row r="46" spans="4:17" ht="13.5" thickBot="1" x14ac:dyDescent="0.25">
      <c r="D46" s="136">
        <f t="shared" ref="D46:N46" si="18">SUM(D44:D45)</f>
        <v>1287</v>
      </c>
      <c r="E46" s="136">
        <f t="shared" si="18"/>
        <v>597</v>
      </c>
      <c r="F46" s="136">
        <f t="shared" si="18"/>
        <v>690</v>
      </c>
      <c r="G46" s="136">
        <f t="shared" si="18"/>
        <v>403</v>
      </c>
      <c r="H46" s="136">
        <f t="shared" si="18"/>
        <v>261</v>
      </c>
      <c r="I46" s="136">
        <f t="shared" si="18"/>
        <v>142</v>
      </c>
      <c r="J46" s="136">
        <f t="shared" si="18"/>
        <v>367</v>
      </c>
      <c r="K46" s="136">
        <f t="shared" si="18"/>
        <v>139</v>
      </c>
      <c r="L46" s="136">
        <f t="shared" si="18"/>
        <v>228</v>
      </c>
      <c r="M46" s="136">
        <f t="shared" si="18"/>
        <v>517</v>
      </c>
      <c r="N46" s="136">
        <f t="shared" si="18"/>
        <v>197</v>
      </c>
      <c r="O46" s="136">
        <f>SUM(O44:O45)</f>
        <v>320</v>
      </c>
      <c r="P46" s="7" t="s">
        <v>12</v>
      </c>
      <c r="Q46" s="9"/>
    </row>
    <row r="47" spans="4:17" ht="13.5" thickBot="1" x14ac:dyDescent="0.25">
      <c r="D47" s="136">
        <f t="shared" si="0"/>
        <v>263</v>
      </c>
      <c r="E47" s="136">
        <f t="shared" si="1"/>
        <v>148</v>
      </c>
      <c r="F47" s="136">
        <f t="shared" si="1"/>
        <v>115</v>
      </c>
      <c r="G47" s="136">
        <f t="shared" si="2"/>
        <v>176</v>
      </c>
      <c r="H47" s="136">
        <v>108</v>
      </c>
      <c r="I47" s="136">
        <v>68</v>
      </c>
      <c r="J47" s="136">
        <f t="shared" si="3"/>
        <v>71</v>
      </c>
      <c r="K47" s="136">
        <v>36</v>
      </c>
      <c r="L47" s="136">
        <v>35</v>
      </c>
      <c r="M47" s="136">
        <f t="shared" si="4"/>
        <v>16</v>
      </c>
      <c r="N47" s="136">
        <v>4</v>
      </c>
      <c r="O47" s="136">
        <v>12</v>
      </c>
      <c r="P47" s="7" t="s">
        <v>146</v>
      </c>
      <c r="Q47" s="114"/>
    </row>
    <row r="48" spans="4:17" ht="13.5" thickBot="1" x14ac:dyDescent="0.25">
      <c r="D48" s="136">
        <f t="shared" si="0"/>
        <v>385</v>
      </c>
      <c r="E48" s="136">
        <f t="shared" si="1"/>
        <v>124</v>
      </c>
      <c r="F48" s="136">
        <f t="shared" si="1"/>
        <v>261</v>
      </c>
      <c r="G48" s="136">
        <f t="shared" si="2"/>
        <v>24</v>
      </c>
      <c r="H48" s="136">
        <v>5</v>
      </c>
      <c r="I48" s="136">
        <v>19</v>
      </c>
      <c r="J48" s="136">
        <f t="shared" si="3"/>
        <v>153</v>
      </c>
      <c r="K48" s="136">
        <v>72</v>
      </c>
      <c r="L48" s="136">
        <v>81</v>
      </c>
      <c r="M48" s="136">
        <f t="shared" si="4"/>
        <v>208</v>
      </c>
      <c r="N48" s="136">
        <v>47</v>
      </c>
      <c r="O48" s="136">
        <v>161</v>
      </c>
      <c r="P48" s="7" t="s">
        <v>145</v>
      </c>
      <c r="Q48" s="114" t="s">
        <v>111</v>
      </c>
    </row>
    <row r="49" spans="4:17" ht="13.5" thickBot="1" x14ac:dyDescent="0.25">
      <c r="D49" s="136">
        <f t="shared" ref="D49:N49" si="19">SUM(D47:D48)</f>
        <v>648</v>
      </c>
      <c r="E49" s="136">
        <f t="shared" si="19"/>
        <v>272</v>
      </c>
      <c r="F49" s="136">
        <f t="shared" si="19"/>
        <v>376</v>
      </c>
      <c r="G49" s="136">
        <f t="shared" si="19"/>
        <v>200</v>
      </c>
      <c r="H49" s="136">
        <f t="shared" si="19"/>
        <v>113</v>
      </c>
      <c r="I49" s="136">
        <f t="shared" si="19"/>
        <v>87</v>
      </c>
      <c r="J49" s="136">
        <f t="shared" si="19"/>
        <v>224</v>
      </c>
      <c r="K49" s="136">
        <f t="shared" si="19"/>
        <v>108</v>
      </c>
      <c r="L49" s="136">
        <f t="shared" si="19"/>
        <v>116</v>
      </c>
      <c r="M49" s="136">
        <f t="shared" si="19"/>
        <v>224</v>
      </c>
      <c r="N49" s="136">
        <f t="shared" si="19"/>
        <v>51</v>
      </c>
      <c r="O49" s="136">
        <f>SUM(O47:O48)</f>
        <v>173</v>
      </c>
      <c r="P49" s="7" t="s">
        <v>12</v>
      </c>
      <c r="Q49" s="9"/>
    </row>
    <row r="50" spans="4:17" ht="13.5" thickBot="1" x14ac:dyDescent="0.25">
      <c r="D50" s="136">
        <f t="shared" si="0"/>
        <v>427</v>
      </c>
      <c r="E50" s="136">
        <f t="shared" si="1"/>
        <v>271</v>
      </c>
      <c r="F50" s="136">
        <f t="shared" si="1"/>
        <v>156</v>
      </c>
      <c r="G50" s="136">
        <f t="shared" si="2"/>
        <v>328</v>
      </c>
      <c r="H50" s="136">
        <v>216</v>
      </c>
      <c r="I50" s="136">
        <v>112</v>
      </c>
      <c r="J50" s="136">
        <f t="shared" si="3"/>
        <v>52</v>
      </c>
      <c r="K50" s="136">
        <v>31</v>
      </c>
      <c r="L50" s="136">
        <v>21</v>
      </c>
      <c r="M50" s="136">
        <f t="shared" si="4"/>
        <v>47</v>
      </c>
      <c r="N50" s="136">
        <v>24</v>
      </c>
      <c r="O50" s="136">
        <v>23</v>
      </c>
      <c r="P50" s="7" t="s">
        <v>146</v>
      </c>
      <c r="Q50" s="114"/>
    </row>
    <row r="51" spans="4:17" ht="13.5" thickBot="1" x14ac:dyDescent="0.25">
      <c r="D51" s="136">
        <f t="shared" si="0"/>
        <v>263</v>
      </c>
      <c r="E51" s="136">
        <f t="shared" si="1"/>
        <v>87</v>
      </c>
      <c r="F51" s="136">
        <f t="shared" si="1"/>
        <v>176</v>
      </c>
      <c r="G51" s="136">
        <f t="shared" si="2"/>
        <v>24</v>
      </c>
      <c r="H51" s="136">
        <v>3</v>
      </c>
      <c r="I51" s="136">
        <v>21</v>
      </c>
      <c r="J51" s="136">
        <f t="shared" si="3"/>
        <v>48</v>
      </c>
      <c r="K51" s="136">
        <v>19</v>
      </c>
      <c r="L51" s="136">
        <v>29</v>
      </c>
      <c r="M51" s="136">
        <f t="shared" si="4"/>
        <v>191</v>
      </c>
      <c r="N51" s="136">
        <v>65</v>
      </c>
      <c r="O51" s="136">
        <v>126</v>
      </c>
      <c r="P51" s="7" t="s">
        <v>145</v>
      </c>
      <c r="Q51" s="114" t="s">
        <v>115</v>
      </c>
    </row>
    <row r="52" spans="4:17" ht="13.5" thickBot="1" x14ac:dyDescent="0.25">
      <c r="D52" s="136">
        <f t="shared" ref="D52:N52" si="20">SUM(D50:D51)</f>
        <v>690</v>
      </c>
      <c r="E52" s="136">
        <f t="shared" si="20"/>
        <v>358</v>
      </c>
      <c r="F52" s="136">
        <f t="shared" si="20"/>
        <v>332</v>
      </c>
      <c r="G52" s="136">
        <f t="shared" si="20"/>
        <v>352</v>
      </c>
      <c r="H52" s="136">
        <f t="shared" si="20"/>
        <v>219</v>
      </c>
      <c r="I52" s="136">
        <f t="shared" si="20"/>
        <v>133</v>
      </c>
      <c r="J52" s="136">
        <f t="shared" si="20"/>
        <v>100</v>
      </c>
      <c r="K52" s="136">
        <f t="shared" si="20"/>
        <v>50</v>
      </c>
      <c r="L52" s="136">
        <f t="shared" si="20"/>
        <v>50</v>
      </c>
      <c r="M52" s="136">
        <f t="shared" si="20"/>
        <v>238</v>
      </c>
      <c r="N52" s="136">
        <f t="shared" si="20"/>
        <v>89</v>
      </c>
      <c r="O52" s="136">
        <f>SUM(O50:O51)</f>
        <v>149</v>
      </c>
      <c r="P52" s="7" t="s">
        <v>12</v>
      </c>
      <c r="Q52" s="9"/>
    </row>
    <row r="53" spans="4:17" ht="13.5" thickBot="1" x14ac:dyDescent="0.25">
      <c r="D53" s="136">
        <f t="shared" si="0"/>
        <v>191</v>
      </c>
      <c r="E53" s="136">
        <f t="shared" si="1"/>
        <v>91</v>
      </c>
      <c r="F53" s="136">
        <f t="shared" si="1"/>
        <v>100</v>
      </c>
      <c r="G53" s="136">
        <f t="shared" si="2"/>
        <v>121</v>
      </c>
      <c r="H53" s="136">
        <v>71</v>
      </c>
      <c r="I53" s="136">
        <v>50</v>
      </c>
      <c r="J53" s="136">
        <f t="shared" si="3"/>
        <v>42</v>
      </c>
      <c r="K53" s="136">
        <v>20</v>
      </c>
      <c r="L53" s="136">
        <v>22</v>
      </c>
      <c r="M53" s="136">
        <f t="shared" si="4"/>
        <v>28</v>
      </c>
      <c r="N53" s="136">
        <v>0</v>
      </c>
      <c r="O53" s="136">
        <v>28</v>
      </c>
      <c r="P53" s="7" t="s">
        <v>146</v>
      </c>
      <c r="Q53" s="114"/>
    </row>
    <row r="54" spans="4:17" ht="13.5" thickBot="1" x14ac:dyDescent="0.25">
      <c r="D54" s="136">
        <f t="shared" si="0"/>
        <v>346</v>
      </c>
      <c r="E54" s="136">
        <f t="shared" si="1"/>
        <v>115</v>
      </c>
      <c r="F54" s="136">
        <f t="shared" si="1"/>
        <v>231</v>
      </c>
      <c r="G54" s="136">
        <f t="shared" si="2"/>
        <v>9</v>
      </c>
      <c r="H54" s="136">
        <v>1</v>
      </c>
      <c r="I54" s="136">
        <v>8</v>
      </c>
      <c r="J54" s="136">
        <f t="shared" si="3"/>
        <v>85</v>
      </c>
      <c r="K54" s="136">
        <v>50</v>
      </c>
      <c r="L54" s="136">
        <v>35</v>
      </c>
      <c r="M54" s="136">
        <f t="shared" si="4"/>
        <v>252</v>
      </c>
      <c r="N54" s="136">
        <v>64</v>
      </c>
      <c r="O54" s="136">
        <v>188</v>
      </c>
      <c r="P54" s="7" t="s">
        <v>145</v>
      </c>
      <c r="Q54" s="114" t="s">
        <v>117</v>
      </c>
    </row>
    <row r="55" spans="4:17" ht="13.5" thickBot="1" x14ac:dyDescent="0.25">
      <c r="D55" s="136">
        <f t="shared" ref="D55:N55" si="21">SUM(D53:D54)</f>
        <v>537</v>
      </c>
      <c r="E55" s="136">
        <f t="shared" si="21"/>
        <v>206</v>
      </c>
      <c r="F55" s="136">
        <f t="shared" si="21"/>
        <v>331</v>
      </c>
      <c r="G55" s="136">
        <f t="shared" si="21"/>
        <v>130</v>
      </c>
      <c r="H55" s="136">
        <f t="shared" si="21"/>
        <v>72</v>
      </c>
      <c r="I55" s="136">
        <f t="shared" si="21"/>
        <v>58</v>
      </c>
      <c r="J55" s="136">
        <f t="shared" si="21"/>
        <v>127</v>
      </c>
      <c r="K55" s="136">
        <f t="shared" si="21"/>
        <v>70</v>
      </c>
      <c r="L55" s="136">
        <f t="shared" si="21"/>
        <v>57</v>
      </c>
      <c r="M55" s="136">
        <f t="shared" si="21"/>
        <v>280</v>
      </c>
      <c r="N55" s="136">
        <f t="shared" si="21"/>
        <v>64</v>
      </c>
      <c r="O55" s="136">
        <f>SUM(O53:O54)</f>
        <v>216</v>
      </c>
      <c r="P55" s="7" t="s">
        <v>12</v>
      </c>
      <c r="Q55" s="9"/>
    </row>
    <row r="56" spans="4:17" ht="13.5" thickBot="1" x14ac:dyDescent="0.25">
      <c r="D56" s="136">
        <f t="shared" si="0"/>
        <v>249</v>
      </c>
      <c r="E56" s="136">
        <f t="shared" si="1"/>
        <v>96</v>
      </c>
      <c r="F56" s="136">
        <f t="shared" si="1"/>
        <v>153</v>
      </c>
      <c r="G56" s="136">
        <f t="shared" si="2"/>
        <v>230</v>
      </c>
      <c r="H56" s="136">
        <v>95</v>
      </c>
      <c r="I56" s="136">
        <v>135</v>
      </c>
      <c r="J56" s="136">
        <f t="shared" si="3"/>
        <v>3</v>
      </c>
      <c r="K56" s="136">
        <v>0</v>
      </c>
      <c r="L56" s="136">
        <v>3</v>
      </c>
      <c r="M56" s="136">
        <f t="shared" si="4"/>
        <v>16</v>
      </c>
      <c r="N56" s="136">
        <v>1</v>
      </c>
      <c r="O56" s="136">
        <v>15</v>
      </c>
      <c r="P56" s="7" t="s">
        <v>146</v>
      </c>
      <c r="Q56" s="114"/>
    </row>
    <row r="57" spans="4:17" ht="13.5" thickBot="1" x14ac:dyDescent="0.25">
      <c r="D57" s="136">
        <f t="shared" si="0"/>
        <v>208</v>
      </c>
      <c r="E57" s="136">
        <f t="shared" si="1"/>
        <v>52</v>
      </c>
      <c r="F57" s="136">
        <f t="shared" si="1"/>
        <v>156</v>
      </c>
      <c r="G57" s="136">
        <f t="shared" si="2"/>
        <v>4</v>
      </c>
      <c r="H57" s="136">
        <v>4</v>
      </c>
      <c r="I57" s="136">
        <v>0</v>
      </c>
      <c r="J57" s="136">
        <f t="shared" si="3"/>
        <v>122</v>
      </c>
      <c r="K57" s="136">
        <v>31</v>
      </c>
      <c r="L57" s="136">
        <v>91</v>
      </c>
      <c r="M57" s="136">
        <f t="shared" si="4"/>
        <v>82</v>
      </c>
      <c r="N57" s="136">
        <v>17</v>
      </c>
      <c r="O57" s="136">
        <v>65</v>
      </c>
      <c r="P57" s="7" t="s">
        <v>145</v>
      </c>
      <c r="Q57" s="114" t="s">
        <v>119</v>
      </c>
    </row>
    <row r="58" spans="4:17" ht="13.5" thickBot="1" x14ac:dyDescent="0.25">
      <c r="D58" s="136">
        <f t="shared" ref="D58:N58" si="22">SUM(D56:D57)</f>
        <v>457</v>
      </c>
      <c r="E58" s="136">
        <f t="shared" si="22"/>
        <v>148</v>
      </c>
      <c r="F58" s="136">
        <f t="shared" si="22"/>
        <v>309</v>
      </c>
      <c r="G58" s="136">
        <f t="shared" si="22"/>
        <v>234</v>
      </c>
      <c r="H58" s="136">
        <f t="shared" si="22"/>
        <v>99</v>
      </c>
      <c r="I58" s="136">
        <f t="shared" si="22"/>
        <v>135</v>
      </c>
      <c r="J58" s="136">
        <f t="shared" si="22"/>
        <v>125</v>
      </c>
      <c r="K58" s="136">
        <f t="shared" si="22"/>
        <v>31</v>
      </c>
      <c r="L58" s="136">
        <f t="shared" si="22"/>
        <v>94</v>
      </c>
      <c r="M58" s="136">
        <f t="shared" si="22"/>
        <v>98</v>
      </c>
      <c r="N58" s="136">
        <f t="shared" si="22"/>
        <v>18</v>
      </c>
      <c r="O58" s="136">
        <f>SUM(O56:O57)</f>
        <v>80</v>
      </c>
      <c r="P58" s="7" t="s">
        <v>12</v>
      </c>
      <c r="Q58" s="9"/>
    </row>
    <row r="59" spans="4:17" ht="13.5" thickBot="1" x14ac:dyDescent="0.25">
      <c r="D59" s="136">
        <f t="shared" si="0"/>
        <v>860</v>
      </c>
      <c r="E59" s="136">
        <f t="shared" si="1"/>
        <v>860</v>
      </c>
      <c r="F59" s="136">
        <f t="shared" si="1"/>
        <v>0</v>
      </c>
      <c r="G59" s="136">
        <f t="shared" si="2"/>
        <v>119</v>
      </c>
      <c r="H59" s="136">
        <v>119</v>
      </c>
      <c r="I59" s="136">
        <v>0</v>
      </c>
      <c r="J59" s="136">
        <f t="shared" si="3"/>
        <v>343</v>
      </c>
      <c r="K59" s="136">
        <v>343</v>
      </c>
      <c r="L59" s="136">
        <v>0</v>
      </c>
      <c r="M59" s="136">
        <f t="shared" si="4"/>
        <v>398</v>
      </c>
      <c r="N59" s="136">
        <v>398</v>
      </c>
      <c r="O59" s="136">
        <v>0</v>
      </c>
      <c r="P59" s="7" t="s">
        <v>146</v>
      </c>
      <c r="Q59" s="114"/>
    </row>
    <row r="60" spans="4:17" ht="13.5" thickBot="1" x14ac:dyDescent="0.25">
      <c r="D60" s="136">
        <f t="shared" si="0"/>
        <v>63</v>
      </c>
      <c r="E60" s="136">
        <f t="shared" si="1"/>
        <v>31</v>
      </c>
      <c r="F60" s="136">
        <f t="shared" si="1"/>
        <v>32</v>
      </c>
      <c r="G60" s="136">
        <f t="shared" si="2"/>
        <v>0</v>
      </c>
      <c r="H60" s="136">
        <v>0</v>
      </c>
      <c r="I60" s="136">
        <v>0</v>
      </c>
      <c r="J60" s="136">
        <f t="shared" si="3"/>
        <v>1</v>
      </c>
      <c r="K60" s="136">
        <v>1</v>
      </c>
      <c r="L60" s="136">
        <v>0</v>
      </c>
      <c r="M60" s="136">
        <f t="shared" si="4"/>
        <v>62</v>
      </c>
      <c r="N60" s="136">
        <v>30</v>
      </c>
      <c r="O60" s="136">
        <v>32</v>
      </c>
      <c r="P60" s="7" t="s">
        <v>145</v>
      </c>
      <c r="Q60" s="114" t="s">
        <v>121</v>
      </c>
    </row>
    <row r="61" spans="4:17" ht="13.5" thickBot="1" x14ac:dyDescent="0.25">
      <c r="D61" s="136">
        <f t="shared" ref="D61:N61" si="23">SUM(D59:D60)</f>
        <v>923</v>
      </c>
      <c r="E61" s="136">
        <f t="shared" si="23"/>
        <v>891</v>
      </c>
      <c r="F61" s="136">
        <f t="shared" si="23"/>
        <v>32</v>
      </c>
      <c r="G61" s="136">
        <f t="shared" si="23"/>
        <v>119</v>
      </c>
      <c r="H61" s="136">
        <f t="shared" si="23"/>
        <v>119</v>
      </c>
      <c r="I61" s="136">
        <f t="shared" si="23"/>
        <v>0</v>
      </c>
      <c r="J61" s="136">
        <f t="shared" si="23"/>
        <v>344</v>
      </c>
      <c r="K61" s="136">
        <f t="shared" si="23"/>
        <v>344</v>
      </c>
      <c r="L61" s="136">
        <f t="shared" si="23"/>
        <v>0</v>
      </c>
      <c r="M61" s="136">
        <f t="shared" si="23"/>
        <v>460</v>
      </c>
      <c r="N61" s="136">
        <f t="shared" si="23"/>
        <v>428</v>
      </c>
      <c r="O61" s="136">
        <f>SUM(O59:O60)</f>
        <v>32</v>
      </c>
      <c r="P61" s="7" t="s">
        <v>12</v>
      </c>
      <c r="Q61" s="9"/>
    </row>
    <row r="62" spans="4:17" ht="13.5" thickBot="1" x14ac:dyDescent="0.25">
      <c r="D62" s="139">
        <f t="shared" si="0"/>
        <v>164</v>
      </c>
      <c r="E62" s="136">
        <f t="shared" si="1"/>
        <v>72</v>
      </c>
      <c r="F62" s="136">
        <f t="shared" si="1"/>
        <v>92</v>
      </c>
      <c r="G62" s="139">
        <f t="shared" si="2"/>
        <v>96</v>
      </c>
      <c r="H62" s="139">
        <v>60</v>
      </c>
      <c r="I62" s="139">
        <v>36</v>
      </c>
      <c r="J62" s="139">
        <f t="shared" si="3"/>
        <v>56</v>
      </c>
      <c r="K62" s="139">
        <v>11</v>
      </c>
      <c r="L62" s="139">
        <v>45</v>
      </c>
      <c r="M62" s="136">
        <f t="shared" si="4"/>
        <v>12</v>
      </c>
      <c r="N62" s="139">
        <v>1</v>
      </c>
      <c r="O62" s="139">
        <v>11</v>
      </c>
      <c r="P62" s="7" t="s">
        <v>146</v>
      </c>
      <c r="Q62" s="114"/>
    </row>
    <row r="63" spans="4:17" ht="13.5" thickBot="1" x14ac:dyDescent="0.25">
      <c r="D63" s="139">
        <f t="shared" si="0"/>
        <v>192</v>
      </c>
      <c r="E63" s="136">
        <f t="shared" si="1"/>
        <v>81</v>
      </c>
      <c r="F63" s="136">
        <f t="shared" si="1"/>
        <v>111</v>
      </c>
      <c r="G63" s="139">
        <f t="shared" si="2"/>
        <v>13</v>
      </c>
      <c r="H63" s="139">
        <v>8</v>
      </c>
      <c r="I63" s="139">
        <v>5</v>
      </c>
      <c r="J63" s="139">
        <f t="shared" si="3"/>
        <v>57</v>
      </c>
      <c r="K63" s="139">
        <v>32</v>
      </c>
      <c r="L63" s="139">
        <v>25</v>
      </c>
      <c r="M63" s="136">
        <f t="shared" si="4"/>
        <v>122</v>
      </c>
      <c r="N63" s="139">
        <v>41</v>
      </c>
      <c r="O63" s="139">
        <v>81</v>
      </c>
      <c r="P63" s="7" t="s">
        <v>145</v>
      </c>
      <c r="Q63" s="114" t="s">
        <v>123</v>
      </c>
    </row>
    <row r="64" spans="4:17" ht="13.5" thickBot="1" x14ac:dyDescent="0.25">
      <c r="D64" s="136">
        <f t="shared" ref="D64:H64" si="24">SUM(D62:D63)</f>
        <v>356</v>
      </c>
      <c r="E64" s="136">
        <f t="shared" si="24"/>
        <v>153</v>
      </c>
      <c r="F64" s="136">
        <f t="shared" si="24"/>
        <v>203</v>
      </c>
      <c r="G64" s="136">
        <f t="shared" si="24"/>
        <v>109</v>
      </c>
      <c r="H64" s="136">
        <f t="shared" si="24"/>
        <v>68</v>
      </c>
      <c r="I64" s="136">
        <f t="shared" ref="I64:N64" si="25">SUM(I62:I63)</f>
        <v>41</v>
      </c>
      <c r="J64" s="136">
        <f t="shared" si="25"/>
        <v>113</v>
      </c>
      <c r="K64" s="136">
        <f t="shared" si="25"/>
        <v>43</v>
      </c>
      <c r="L64" s="136">
        <f t="shared" si="25"/>
        <v>70</v>
      </c>
      <c r="M64" s="136">
        <f t="shared" si="25"/>
        <v>134</v>
      </c>
      <c r="N64" s="136">
        <f t="shared" si="25"/>
        <v>42</v>
      </c>
      <c r="O64" s="136">
        <f>SUM(O62:O63)</f>
        <v>92</v>
      </c>
      <c r="P64" s="7" t="s">
        <v>12</v>
      </c>
      <c r="Q64" s="9"/>
    </row>
    <row r="65" spans="4:17" ht="13.5" thickBot="1" x14ac:dyDescent="0.25">
      <c r="D65" s="136">
        <f t="shared" si="0"/>
        <v>3404</v>
      </c>
      <c r="E65" s="136">
        <f t="shared" si="1"/>
        <v>244</v>
      </c>
      <c r="F65" s="136">
        <f t="shared" si="1"/>
        <v>3160</v>
      </c>
      <c r="G65" s="136">
        <f t="shared" si="2"/>
        <v>3002</v>
      </c>
      <c r="H65" s="136">
        <v>184</v>
      </c>
      <c r="I65" s="136">
        <v>2818</v>
      </c>
      <c r="J65" s="136">
        <f t="shared" si="3"/>
        <v>272</v>
      </c>
      <c r="K65" s="136">
        <v>60</v>
      </c>
      <c r="L65" s="136">
        <v>212</v>
      </c>
      <c r="M65" s="136">
        <f t="shared" si="4"/>
        <v>130</v>
      </c>
      <c r="N65" s="136">
        <v>0</v>
      </c>
      <c r="O65" s="136">
        <v>130</v>
      </c>
      <c r="P65" s="7" t="s">
        <v>146</v>
      </c>
      <c r="Q65" s="114"/>
    </row>
    <row r="66" spans="4:17" ht="13.5" thickBot="1" x14ac:dyDescent="0.25">
      <c r="D66" s="136">
        <f t="shared" si="0"/>
        <v>748</v>
      </c>
      <c r="E66" s="136">
        <f t="shared" si="1"/>
        <v>0</v>
      </c>
      <c r="F66" s="136">
        <f t="shared" si="1"/>
        <v>748</v>
      </c>
      <c r="G66" s="136">
        <f t="shared" si="2"/>
        <v>392</v>
      </c>
      <c r="H66" s="136">
        <v>0</v>
      </c>
      <c r="I66" s="136">
        <v>392</v>
      </c>
      <c r="J66" s="136">
        <f t="shared" si="3"/>
        <v>227</v>
      </c>
      <c r="K66" s="136">
        <v>0</v>
      </c>
      <c r="L66" s="136">
        <v>227</v>
      </c>
      <c r="M66" s="136">
        <f t="shared" si="4"/>
        <v>129</v>
      </c>
      <c r="N66" s="136">
        <v>0</v>
      </c>
      <c r="O66" s="136">
        <v>129</v>
      </c>
      <c r="P66" s="7" t="s">
        <v>145</v>
      </c>
      <c r="Q66" s="114" t="s">
        <v>151</v>
      </c>
    </row>
    <row r="67" spans="4:17" ht="13.5" thickBot="1" x14ac:dyDescent="0.25">
      <c r="D67" s="136">
        <f t="shared" ref="D67:N67" si="26">SUM(D65:D66)</f>
        <v>4152</v>
      </c>
      <c r="E67" s="136">
        <f t="shared" si="26"/>
        <v>244</v>
      </c>
      <c r="F67" s="136">
        <f t="shared" si="26"/>
        <v>3908</v>
      </c>
      <c r="G67" s="136">
        <f t="shared" si="26"/>
        <v>3394</v>
      </c>
      <c r="H67" s="136">
        <f t="shared" si="26"/>
        <v>184</v>
      </c>
      <c r="I67" s="136">
        <f t="shared" si="26"/>
        <v>3210</v>
      </c>
      <c r="J67" s="136">
        <f t="shared" si="26"/>
        <v>499</v>
      </c>
      <c r="K67" s="136">
        <f t="shared" si="26"/>
        <v>60</v>
      </c>
      <c r="L67" s="136">
        <f t="shared" si="26"/>
        <v>439</v>
      </c>
      <c r="M67" s="136">
        <f t="shared" si="26"/>
        <v>259</v>
      </c>
      <c r="N67" s="136">
        <f t="shared" si="26"/>
        <v>0</v>
      </c>
      <c r="O67" s="136">
        <f>SUM(O65:O66)</f>
        <v>259</v>
      </c>
      <c r="P67" s="7" t="s">
        <v>12</v>
      </c>
      <c r="Q67" s="9"/>
    </row>
    <row r="68" spans="4:17" ht="13.5" thickBot="1" x14ac:dyDescent="0.25">
      <c r="D68" s="136">
        <f t="shared" si="0"/>
        <v>11</v>
      </c>
      <c r="E68" s="136">
        <f t="shared" si="1"/>
        <v>6</v>
      </c>
      <c r="F68" s="136">
        <f t="shared" si="1"/>
        <v>5</v>
      </c>
      <c r="G68" s="136">
        <f t="shared" si="2"/>
        <v>4</v>
      </c>
      <c r="H68" s="136">
        <v>3</v>
      </c>
      <c r="I68" s="136">
        <v>1</v>
      </c>
      <c r="J68" s="136">
        <f t="shared" si="3"/>
        <v>7</v>
      </c>
      <c r="K68" s="136">
        <v>3</v>
      </c>
      <c r="L68" s="136">
        <v>4</v>
      </c>
      <c r="M68" s="136">
        <f t="shared" si="4"/>
        <v>0</v>
      </c>
      <c r="N68" s="136">
        <v>0</v>
      </c>
      <c r="O68" s="136">
        <v>0</v>
      </c>
      <c r="P68" s="7" t="s">
        <v>146</v>
      </c>
      <c r="Q68" s="114"/>
    </row>
    <row r="69" spans="4:17" ht="13.5" thickBot="1" x14ac:dyDescent="0.25">
      <c r="D69" s="136">
        <f t="shared" si="0"/>
        <v>45</v>
      </c>
      <c r="E69" s="136">
        <f t="shared" si="1"/>
        <v>2</v>
      </c>
      <c r="F69" s="136">
        <f t="shared" si="1"/>
        <v>43</v>
      </c>
      <c r="G69" s="136">
        <f t="shared" si="2"/>
        <v>13</v>
      </c>
      <c r="H69" s="136">
        <v>0</v>
      </c>
      <c r="I69" s="136">
        <v>13</v>
      </c>
      <c r="J69" s="136">
        <f t="shared" si="3"/>
        <v>23</v>
      </c>
      <c r="K69" s="136">
        <v>2</v>
      </c>
      <c r="L69" s="136">
        <v>21</v>
      </c>
      <c r="M69" s="136">
        <f t="shared" si="4"/>
        <v>9</v>
      </c>
      <c r="N69" s="136">
        <v>0</v>
      </c>
      <c r="O69" s="136">
        <v>9</v>
      </c>
      <c r="P69" s="7" t="s">
        <v>145</v>
      </c>
      <c r="Q69" s="114" t="s">
        <v>152</v>
      </c>
    </row>
    <row r="70" spans="4:17" ht="13.5" thickBot="1" x14ac:dyDescent="0.25">
      <c r="D70" s="136">
        <f t="shared" ref="D70:N70" si="27">SUM(D68:D69)</f>
        <v>56</v>
      </c>
      <c r="E70" s="136">
        <f t="shared" si="27"/>
        <v>8</v>
      </c>
      <c r="F70" s="136">
        <f t="shared" si="27"/>
        <v>48</v>
      </c>
      <c r="G70" s="136">
        <f t="shared" si="27"/>
        <v>17</v>
      </c>
      <c r="H70" s="136">
        <f t="shared" si="27"/>
        <v>3</v>
      </c>
      <c r="I70" s="136">
        <f t="shared" si="27"/>
        <v>14</v>
      </c>
      <c r="J70" s="136">
        <f t="shared" si="27"/>
        <v>30</v>
      </c>
      <c r="K70" s="136">
        <f t="shared" si="27"/>
        <v>5</v>
      </c>
      <c r="L70" s="136">
        <f t="shared" si="27"/>
        <v>25</v>
      </c>
      <c r="M70" s="136">
        <f t="shared" si="27"/>
        <v>9</v>
      </c>
      <c r="N70" s="136">
        <f t="shared" si="27"/>
        <v>0</v>
      </c>
      <c r="O70" s="136">
        <f>SUM(O68:O69)</f>
        <v>9</v>
      </c>
      <c r="P70" s="7" t="s">
        <v>12</v>
      </c>
      <c r="Q70" s="9"/>
    </row>
    <row r="71" spans="4:17" ht="13.5" thickBot="1" x14ac:dyDescent="0.25">
      <c r="D71" s="136">
        <f t="shared" ref="D71:D78" si="28">SUM(E71:F71)</f>
        <v>104</v>
      </c>
      <c r="E71" s="136">
        <f t="shared" ref="E71:F78" si="29">N71+K71+H71</f>
        <v>15</v>
      </c>
      <c r="F71" s="136">
        <f t="shared" si="29"/>
        <v>89</v>
      </c>
      <c r="G71" s="136">
        <f t="shared" ref="G71:G72" si="30">SUM(H71:I71)</f>
        <v>53</v>
      </c>
      <c r="H71" s="136">
        <v>12</v>
      </c>
      <c r="I71" s="136">
        <v>41</v>
      </c>
      <c r="J71" s="136">
        <f t="shared" ref="J71:J72" si="31">SUM(K71:L71)</f>
        <v>40</v>
      </c>
      <c r="K71" s="136">
        <v>3</v>
      </c>
      <c r="L71" s="136">
        <v>37</v>
      </c>
      <c r="M71" s="136">
        <f t="shared" ref="M71:M78" si="32">SUM(N71:O71)</f>
        <v>11</v>
      </c>
      <c r="N71" s="136">
        <v>0</v>
      </c>
      <c r="O71" s="136">
        <v>11</v>
      </c>
      <c r="P71" s="7" t="s">
        <v>146</v>
      </c>
      <c r="Q71" s="114"/>
    </row>
    <row r="72" spans="4:17" ht="13.5" thickBot="1" x14ac:dyDescent="0.25">
      <c r="D72" s="136">
        <f t="shared" si="28"/>
        <v>512</v>
      </c>
      <c r="E72" s="136">
        <f t="shared" si="29"/>
        <v>59</v>
      </c>
      <c r="F72" s="136">
        <f t="shared" si="29"/>
        <v>453</v>
      </c>
      <c r="G72" s="136">
        <f t="shared" si="30"/>
        <v>125</v>
      </c>
      <c r="H72" s="136">
        <v>27</v>
      </c>
      <c r="I72" s="136">
        <v>98</v>
      </c>
      <c r="J72" s="136">
        <f t="shared" si="31"/>
        <v>254</v>
      </c>
      <c r="K72" s="136">
        <v>29</v>
      </c>
      <c r="L72" s="136">
        <v>225</v>
      </c>
      <c r="M72" s="136">
        <f t="shared" si="32"/>
        <v>133</v>
      </c>
      <c r="N72" s="136">
        <v>3</v>
      </c>
      <c r="O72" s="136">
        <v>130</v>
      </c>
      <c r="P72" s="7" t="s">
        <v>145</v>
      </c>
      <c r="Q72" s="114" t="s">
        <v>228</v>
      </c>
    </row>
    <row r="73" spans="4:17" ht="13.5" thickBot="1" x14ac:dyDescent="0.25">
      <c r="D73" s="136">
        <f t="shared" ref="D73:N73" si="33">SUM(D71:D72)</f>
        <v>616</v>
      </c>
      <c r="E73" s="136">
        <f t="shared" si="33"/>
        <v>74</v>
      </c>
      <c r="F73" s="136">
        <f t="shared" si="33"/>
        <v>542</v>
      </c>
      <c r="G73" s="136">
        <f t="shared" si="33"/>
        <v>178</v>
      </c>
      <c r="H73" s="136">
        <f t="shared" si="33"/>
        <v>39</v>
      </c>
      <c r="I73" s="136">
        <f t="shared" si="33"/>
        <v>139</v>
      </c>
      <c r="J73" s="136">
        <f t="shared" si="33"/>
        <v>294</v>
      </c>
      <c r="K73" s="136">
        <f t="shared" si="33"/>
        <v>32</v>
      </c>
      <c r="L73" s="136">
        <f t="shared" si="33"/>
        <v>262</v>
      </c>
      <c r="M73" s="136">
        <f t="shared" si="33"/>
        <v>144</v>
      </c>
      <c r="N73" s="136">
        <f t="shared" si="33"/>
        <v>3</v>
      </c>
      <c r="O73" s="136">
        <f>SUM(O71:O72)</f>
        <v>141</v>
      </c>
      <c r="P73" s="7" t="s">
        <v>12</v>
      </c>
      <c r="Q73" s="9"/>
    </row>
    <row r="74" spans="4:17" ht="13.5" thickBot="1" x14ac:dyDescent="0.25">
      <c r="D74" s="136">
        <f t="shared" si="28"/>
        <v>508</v>
      </c>
      <c r="E74" s="136">
        <f t="shared" si="29"/>
        <v>71</v>
      </c>
      <c r="F74" s="136">
        <f t="shared" si="29"/>
        <v>437</v>
      </c>
      <c r="G74" s="136">
        <f t="shared" ref="G74:G78" si="34">SUM(H74:I74)</f>
        <v>0</v>
      </c>
      <c r="H74" s="136">
        <v>0</v>
      </c>
      <c r="I74" s="136">
        <v>0</v>
      </c>
      <c r="J74" s="136">
        <f t="shared" ref="J74:J78" si="35">SUM(K74:L74)</f>
        <v>452</v>
      </c>
      <c r="K74" s="136">
        <v>64</v>
      </c>
      <c r="L74" s="136">
        <v>388</v>
      </c>
      <c r="M74" s="136">
        <f t="shared" si="32"/>
        <v>56</v>
      </c>
      <c r="N74" s="136">
        <v>7</v>
      </c>
      <c r="O74" s="136">
        <v>49</v>
      </c>
      <c r="P74" s="7" t="s">
        <v>146</v>
      </c>
      <c r="Q74" s="114"/>
    </row>
    <row r="75" spans="4:17" ht="13.5" thickBot="1" x14ac:dyDescent="0.25">
      <c r="D75" s="136">
        <f t="shared" si="28"/>
        <v>119</v>
      </c>
      <c r="E75" s="136">
        <f t="shared" si="29"/>
        <v>8</v>
      </c>
      <c r="F75" s="136">
        <f t="shared" si="29"/>
        <v>111</v>
      </c>
      <c r="G75" s="136">
        <f t="shared" si="34"/>
        <v>6</v>
      </c>
      <c r="H75" s="136">
        <v>1</v>
      </c>
      <c r="I75" s="136">
        <v>5</v>
      </c>
      <c r="J75" s="136">
        <f t="shared" si="35"/>
        <v>94</v>
      </c>
      <c r="K75" s="136">
        <v>5</v>
      </c>
      <c r="L75" s="136">
        <v>89</v>
      </c>
      <c r="M75" s="136">
        <f t="shared" si="32"/>
        <v>19</v>
      </c>
      <c r="N75" s="136">
        <v>2</v>
      </c>
      <c r="O75" s="136">
        <v>17</v>
      </c>
      <c r="P75" s="7" t="s">
        <v>145</v>
      </c>
      <c r="Q75" s="114" t="s">
        <v>205</v>
      </c>
    </row>
    <row r="76" spans="4:17" ht="13.5" thickBot="1" x14ac:dyDescent="0.25">
      <c r="D76" s="136">
        <f t="shared" ref="D76:N76" si="36">SUM(D74:D75)</f>
        <v>627</v>
      </c>
      <c r="E76" s="136">
        <f t="shared" si="36"/>
        <v>79</v>
      </c>
      <c r="F76" s="136">
        <f t="shared" si="36"/>
        <v>548</v>
      </c>
      <c r="G76" s="136">
        <f t="shared" si="36"/>
        <v>6</v>
      </c>
      <c r="H76" s="136">
        <f t="shared" si="36"/>
        <v>1</v>
      </c>
      <c r="I76" s="136">
        <f t="shared" si="36"/>
        <v>5</v>
      </c>
      <c r="J76" s="136">
        <f t="shared" si="36"/>
        <v>546</v>
      </c>
      <c r="K76" s="136">
        <f t="shared" si="36"/>
        <v>69</v>
      </c>
      <c r="L76" s="136">
        <f t="shared" si="36"/>
        <v>477</v>
      </c>
      <c r="M76" s="136">
        <f t="shared" si="36"/>
        <v>75</v>
      </c>
      <c r="N76" s="136">
        <f t="shared" si="36"/>
        <v>9</v>
      </c>
      <c r="O76" s="136">
        <f>SUM(O74:O75)</f>
        <v>66</v>
      </c>
      <c r="P76" s="7" t="s">
        <v>12</v>
      </c>
      <c r="Q76" s="9"/>
    </row>
    <row r="77" spans="4:17" ht="13.5" thickBot="1" x14ac:dyDescent="0.25">
      <c r="D77" s="136">
        <f t="shared" si="28"/>
        <v>351</v>
      </c>
      <c r="E77" s="136">
        <f t="shared" si="29"/>
        <v>176</v>
      </c>
      <c r="F77" s="136">
        <f t="shared" si="29"/>
        <v>175</v>
      </c>
      <c r="G77" s="136">
        <f t="shared" si="34"/>
        <v>74</v>
      </c>
      <c r="H77" s="136">
        <v>62</v>
      </c>
      <c r="I77" s="136">
        <v>12</v>
      </c>
      <c r="J77" s="136">
        <f t="shared" si="35"/>
        <v>120</v>
      </c>
      <c r="K77" s="136">
        <v>72</v>
      </c>
      <c r="L77" s="136">
        <v>48</v>
      </c>
      <c r="M77" s="136">
        <f t="shared" si="32"/>
        <v>157</v>
      </c>
      <c r="N77" s="136">
        <v>42</v>
      </c>
      <c r="O77" s="136">
        <v>115</v>
      </c>
      <c r="P77" s="7" t="s">
        <v>146</v>
      </c>
      <c r="Q77" s="114"/>
    </row>
    <row r="78" spans="4:17" ht="13.5" thickBot="1" x14ac:dyDescent="0.25">
      <c r="D78" s="136">
        <f t="shared" si="28"/>
        <v>1186</v>
      </c>
      <c r="E78" s="136">
        <f t="shared" si="29"/>
        <v>562</v>
      </c>
      <c r="F78" s="136">
        <f t="shared" si="29"/>
        <v>624</v>
      </c>
      <c r="G78" s="136">
        <f t="shared" si="34"/>
        <v>279</v>
      </c>
      <c r="H78" s="136">
        <v>180</v>
      </c>
      <c r="I78" s="136">
        <v>99</v>
      </c>
      <c r="J78" s="136">
        <f t="shared" si="35"/>
        <v>461</v>
      </c>
      <c r="K78" s="136">
        <v>243</v>
      </c>
      <c r="L78" s="136">
        <v>218</v>
      </c>
      <c r="M78" s="136">
        <f t="shared" si="32"/>
        <v>446</v>
      </c>
      <c r="N78" s="136">
        <v>139</v>
      </c>
      <c r="O78" s="136">
        <v>307</v>
      </c>
      <c r="P78" s="7" t="s">
        <v>145</v>
      </c>
      <c r="Q78" s="114" t="s">
        <v>155</v>
      </c>
    </row>
    <row r="79" spans="4:17" ht="13.5" thickBot="1" x14ac:dyDescent="0.25">
      <c r="D79" s="136">
        <f t="shared" ref="D79:N79" si="37">SUM(D77:D78)</f>
        <v>1537</v>
      </c>
      <c r="E79" s="136">
        <f t="shared" si="37"/>
        <v>738</v>
      </c>
      <c r="F79" s="136">
        <f t="shared" si="37"/>
        <v>799</v>
      </c>
      <c r="G79" s="136">
        <f t="shared" si="37"/>
        <v>353</v>
      </c>
      <c r="H79" s="136">
        <f t="shared" si="37"/>
        <v>242</v>
      </c>
      <c r="I79" s="136">
        <f t="shared" si="37"/>
        <v>111</v>
      </c>
      <c r="J79" s="136">
        <f t="shared" si="37"/>
        <v>581</v>
      </c>
      <c r="K79" s="136">
        <f t="shared" si="37"/>
        <v>315</v>
      </c>
      <c r="L79" s="136">
        <f t="shared" si="37"/>
        <v>266</v>
      </c>
      <c r="M79" s="136">
        <f t="shared" si="37"/>
        <v>603</v>
      </c>
      <c r="N79" s="136">
        <f t="shared" si="37"/>
        <v>181</v>
      </c>
      <c r="O79" s="136">
        <f>SUM(O77:O78)</f>
        <v>422</v>
      </c>
      <c r="P79" s="7" t="s">
        <v>12</v>
      </c>
      <c r="Q79" s="9"/>
    </row>
    <row r="80" spans="4:17" ht="13.5" thickBot="1" x14ac:dyDescent="0.25">
      <c r="D80" s="136">
        <f t="shared" ref="D80:O82" si="38">D5+D8+D11+D14+D17+D20+D23+D26+D29+D32+D35+D38+D41+D44+D47+D50+D53+D56+D59+D62+D65+D68+D71+D74+D77</f>
        <v>26156</v>
      </c>
      <c r="E80" s="136">
        <f t="shared" si="38"/>
        <v>9961</v>
      </c>
      <c r="F80" s="136">
        <f t="shared" si="38"/>
        <v>16195</v>
      </c>
      <c r="G80" s="136">
        <f t="shared" si="38"/>
        <v>13493</v>
      </c>
      <c r="H80" s="136">
        <f t="shared" si="38"/>
        <v>5717</v>
      </c>
      <c r="I80" s="136">
        <f t="shared" si="38"/>
        <v>7776</v>
      </c>
      <c r="J80" s="136">
        <f t="shared" si="38"/>
        <v>4266</v>
      </c>
      <c r="K80" s="136">
        <f t="shared" si="38"/>
        <v>2135</v>
      </c>
      <c r="L80" s="136">
        <f t="shared" si="38"/>
        <v>2131</v>
      </c>
      <c r="M80" s="136">
        <f t="shared" si="38"/>
        <v>8397</v>
      </c>
      <c r="N80" s="136">
        <f t="shared" si="38"/>
        <v>2109</v>
      </c>
      <c r="O80" s="136">
        <f>O5+O8+O11+O14+O17+O20+O23+O26+O29+O32+O35+O38+O41+O44+O47+O50+O53+O56+O59+O62+O65+O68+O71+O74+O77</f>
        <v>6288</v>
      </c>
      <c r="P80" s="7" t="s">
        <v>146</v>
      </c>
      <c r="Q80" s="36"/>
    </row>
    <row r="81" spans="4:17" ht="13.5" thickBot="1" x14ac:dyDescent="0.25">
      <c r="D81" s="136">
        <f t="shared" si="38"/>
        <v>15433</v>
      </c>
      <c r="E81" s="136">
        <f t="shared" si="38"/>
        <v>4140</v>
      </c>
      <c r="F81" s="136">
        <f t="shared" si="38"/>
        <v>11293</v>
      </c>
      <c r="G81" s="136">
        <f t="shared" si="38"/>
        <v>1845</v>
      </c>
      <c r="H81" s="136">
        <f t="shared" si="38"/>
        <v>502</v>
      </c>
      <c r="I81" s="136">
        <f t="shared" si="38"/>
        <v>1343</v>
      </c>
      <c r="J81" s="136">
        <f t="shared" si="38"/>
        <v>3593</v>
      </c>
      <c r="K81" s="136">
        <f t="shared" si="38"/>
        <v>1086</v>
      </c>
      <c r="L81" s="136">
        <f t="shared" si="38"/>
        <v>2507</v>
      </c>
      <c r="M81" s="136">
        <f t="shared" si="38"/>
        <v>9995</v>
      </c>
      <c r="N81" s="136">
        <f t="shared" si="38"/>
        <v>2552</v>
      </c>
      <c r="O81" s="136">
        <f t="shared" si="38"/>
        <v>7443</v>
      </c>
      <c r="P81" s="7" t="s">
        <v>145</v>
      </c>
      <c r="Q81" s="37" t="s">
        <v>188</v>
      </c>
    </row>
    <row r="82" spans="4:17" ht="13.5" thickBot="1" x14ac:dyDescent="0.25">
      <c r="D82" s="136">
        <f t="shared" si="38"/>
        <v>41589</v>
      </c>
      <c r="E82" s="136">
        <f t="shared" si="38"/>
        <v>14101</v>
      </c>
      <c r="F82" s="136">
        <f t="shared" si="38"/>
        <v>27488</v>
      </c>
      <c r="G82" s="136">
        <f t="shared" si="38"/>
        <v>15338</v>
      </c>
      <c r="H82" s="136">
        <f t="shared" si="38"/>
        <v>6219</v>
      </c>
      <c r="I82" s="136">
        <f t="shared" si="38"/>
        <v>9119</v>
      </c>
      <c r="J82" s="136">
        <f t="shared" si="38"/>
        <v>7859</v>
      </c>
      <c r="K82" s="136">
        <f t="shared" si="38"/>
        <v>3221</v>
      </c>
      <c r="L82" s="136">
        <f t="shared" si="38"/>
        <v>4638</v>
      </c>
      <c r="M82" s="136">
        <f t="shared" si="38"/>
        <v>18392</v>
      </c>
      <c r="N82" s="136">
        <f t="shared" si="38"/>
        <v>4661</v>
      </c>
      <c r="O82" s="136">
        <f t="shared" si="38"/>
        <v>13731</v>
      </c>
      <c r="P82" s="7" t="s">
        <v>12</v>
      </c>
      <c r="Q82" s="38"/>
    </row>
    <row r="89" spans="4:17" x14ac:dyDescent="0.2"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</row>
    <row r="90" spans="4:17" x14ac:dyDescent="0.2"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</row>
    <row r="91" spans="4:17" x14ac:dyDescent="0.2"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</row>
  </sheetData>
  <mergeCells count="7">
    <mergeCell ref="D1:Q1"/>
    <mergeCell ref="D2:Q2"/>
    <mergeCell ref="D3:F3"/>
    <mergeCell ref="G3:I3"/>
    <mergeCell ref="J3:L3"/>
    <mergeCell ref="M3:O3"/>
    <mergeCell ref="P3:P4"/>
  </mergeCells>
  <printOptions horizontalCentered="1" verticalCentered="1"/>
  <pageMargins left="1.17" right="0.4" top="0" bottom="0" header="0.25" footer="0.25"/>
  <pageSetup paperSize="9" scale="97" orientation="landscape" r:id="rId1"/>
  <headerFooter alignWithMargins="0"/>
  <rowBreaks count="1" manualBreakCount="1">
    <brk id="40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1261"/>
  <sheetViews>
    <sheetView showGridLines="0" zoomScaleNormal="100" workbookViewId="0">
      <selection activeCell="O12" sqref="O12"/>
    </sheetView>
  </sheetViews>
  <sheetFormatPr defaultRowHeight="18.75" customHeight="1" x14ac:dyDescent="0.2"/>
  <cols>
    <col min="1" max="10" width="9" style="98"/>
    <col min="11" max="11" width="8.875" style="98" customWidth="1"/>
    <col min="12" max="12" width="8.75" style="98" customWidth="1"/>
    <col min="13" max="14" width="9" style="98"/>
    <col min="15" max="15" width="36.625" style="98" bestFit="1" customWidth="1"/>
    <col min="16" max="234" width="9" style="2"/>
    <col min="235" max="237" width="6.125" style="2" customWidth="1"/>
    <col min="238" max="249" width="5.375" style="2" customWidth="1"/>
    <col min="250" max="250" width="9.625" style="2" customWidth="1"/>
    <col min="251" max="251" width="35.75" style="2" customWidth="1"/>
    <col min="252" max="252" width="3.25" style="2" customWidth="1"/>
    <col min="253" max="490" width="9" style="2"/>
    <col min="491" max="493" width="6.125" style="2" customWidth="1"/>
    <col min="494" max="505" width="5.375" style="2" customWidth="1"/>
    <col min="506" max="506" width="9.625" style="2" customWidth="1"/>
    <col min="507" max="507" width="35.75" style="2" customWidth="1"/>
    <col min="508" max="508" width="3.25" style="2" customWidth="1"/>
    <col min="509" max="746" width="9" style="2"/>
    <col min="747" max="749" width="6.125" style="2" customWidth="1"/>
    <col min="750" max="761" width="5.375" style="2" customWidth="1"/>
    <col min="762" max="762" width="9.625" style="2" customWidth="1"/>
    <col min="763" max="763" width="35.75" style="2" customWidth="1"/>
    <col min="764" max="764" width="3.25" style="2" customWidth="1"/>
    <col min="765" max="1002" width="9" style="2"/>
    <col min="1003" max="1005" width="6.125" style="2" customWidth="1"/>
    <col min="1006" max="1017" width="5.375" style="2" customWidth="1"/>
    <col min="1018" max="1018" width="9.625" style="2" customWidth="1"/>
    <col min="1019" max="1019" width="35.75" style="2" customWidth="1"/>
    <col min="1020" max="1020" width="3.25" style="2" customWidth="1"/>
    <col min="1021" max="1258" width="9" style="2"/>
    <col min="1259" max="1261" width="6.125" style="2" customWidth="1"/>
    <col min="1262" max="1273" width="5.375" style="2" customWidth="1"/>
    <col min="1274" max="1274" width="9.625" style="2" customWidth="1"/>
    <col min="1275" max="1275" width="35.75" style="2" customWidth="1"/>
    <col min="1276" max="1276" width="3.25" style="2" customWidth="1"/>
    <col min="1277" max="1514" width="9" style="2"/>
    <col min="1515" max="1517" width="6.125" style="2" customWidth="1"/>
    <col min="1518" max="1529" width="5.375" style="2" customWidth="1"/>
    <col min="1530" max="1530" width="9.625" style="2" customWidth="1"/>
    <col min="1531" max="1531" width="35.75" style="2" customWidth="1"/>
    <col min="1532" max="1532" width="3.25" style="2" customWidth="1"/>
    <col min="1533" max="1770" width="9" style="2"/>
    <col min="1771" max="1773" width="6.125" style="2" customWidth="1"/>
    <col min="1774" max="1785" width="5.375" style="2" customWidth="1"/>
    <col min="1786" max="1786" width="9.625" style="2" customWidth="1"/>
    <col min="1787" max="1787" width="35.75" style="2" customWidth="1"/>
    <col min="1788" max="1788" width="3.25" style="2" customWidth="1"/>
    <col min="1789" max="2026" width="9" style="2"/>
    <col min="2027" max="2029" width="6.125" style="2" customWidth="1"/>
    <col min="2030" max="2041" width="5.375" style="2" customWidth="1"/>
    <col min="2042" max="2042" width="9.625" style="2" customWidth="1"/>
    <col min="2043" max="2043" width="35.75" style="2" customWidth="1"/>
    <col min="2044" max="2044" width="3.25" style="2" customWidth="1"/>
    <col min="2045" max="2282" width="9" style="2"/>
    <col min="2283" max="2285" width="6.125" style="2" customWidth="1"/>
    <col min="2286" max="2297" width="5.375" style="2" customWidth="1"/>
    <col min="2298" max="2298" width="9.625" style="2" customWidth="1"/>
    <col min="2299" max="2299" width="35.75" style="2" customWidth="1"/>
    <col min="2300" max="2300" width="3.25" style="2" customWidth="1"/>
    <col min="2301" max="2538" width="9" style="2"/>
    <col min="2539" max="2541" width="6.125" style="2" customWidth="1"/>
    <col min="2542" max="2553" width="5.375" style="2" customWidth="1"/>
    <col min="2554" max="2554" width="9.625" style="2" customWidth="1"/>
    <col min="2555" max="2555" width="35.75" style="2" customWidth="1"/>
    <col min="2556" max="2556" width="3.25" style="2" customWidth="1"/>
    <col min="2557" max="2794" width="9" style="2"/>
    <col min="2795" max="2797" width="6.125" style="2" customWidth="1"/>
    <col min="2798" max="2809" width="5.375" style="2" customWidth="1"/>
    <col min="2810" max="2810" width="9.625" style="2" customWidth="1"/>
    <col min="2811" max="2811" width="35.75" style="2" customWidth="1"/>
    <col min="2812" max="2812" width="3.25" style="2" customWidth="1"/>
    <col min="2813" max="3050" width="9" style="2"/>
    <col min="3051" max="3053" width="6.125" style="2" customWidth="1"/>
    <col min="3054" max="3065" width="5.375" style="2" customWidth="1"/>
    <col min="3066" max="3066" width="9.625" style="2" customWidth="1"/>
    <col min="3067" max="3067" width="35.75" style="2" customWidth="1"/>
    <col min="3068" max="3068" width="3.25" style="2" customWidth="1"/>
    <col min="3069" max="3306" width="9" style="2"/>
    <col min="3307" max="3309" width="6.125" style="2" customWidth="1"/>
    <col min="3310" max="3321" width="5.375" style="2" customWidth="1"/>
    <col min="3322" max="3322" width="9.625" style="2" customWidth="1"/>
    <col min="3323" max="3323" width="35.75" style="2" customWidth="1"/>
    <col min="3324" max="3324" width="3.25" style="2" customWidth="1"/>
    <col min="3325" max="3562" width="9" style="2"/>
    <col min="3563" max="3565" width="6.125" style="2" customWidth="1"/>
    <col min="3566" max="3577" width="5.375" style="2" customWidth="1"/>
    <col min="3578" max="3578" width="9.625" style="2" customWidth="1"/>
    <col min="3579" max="3579" width="35.75" style="2" customWidth="1"/>
    <col min="3580" max="3580" width="3.25" style="2" customWidth="1"/>
    <col min="3581" max="3818" width="9" style="2"/>
    <col min="3819" max="3821" width="6.125" style="2" customWidth="1"/>
    <col min="3822" max="3833" width="5.375" style="2" customWidth="1"/>
    <col min="3834" max="3834" width="9.625" style="2" customWidth="1"/>
    <col min="3835" max="3835" width="35.75" style="2" customWidth="1"/>
    <col min="3836" max="3836" width="3.25" style="2" customWidth="1"/>
    <col min="3837" max="4074" width="9" style="2"/>
    <col min="4075" max="4077" width="6.125" style="2" customWidth="1"/>
    <col min="4078" max="4089" width="5.375" style="2" customWidth="1"/>
    <col min="4090" max="4090" width="9.625" style="2" customWidth="1"/>
    <col min="4091" max="4091" width="35.75" style="2" customWidth="1"/>
    <col min="4092" max="4092" width="3.25" style="2" customWidth="1"/>
    <col min="4093" max="4330" width="9" style="2"/>
    <col min="4331" max="4333" width="6.125" style="2" customWidth="1"/>
    <col min="4334" max="4345" width="5.375" style="2" customWidth="1"/>
    <col min="4346" max="4346" width="9.625" style="2" customWidth="1"/>
    <col min="4347" max="4347" width="35.75" style="2" customWidth="1"/>
    <col min="4348" max="4348" width="3.25" style="2" customWidth="1"/>
    <col min="4349" max="4586" width="9" style="2"/>
    <col min="4587" max="4589" width="6.125" style="2" customWidth="1"/>
    <col min="4590" max="4601" width="5.375" style="2" customWidth="1"/>
    <col min="4602" max="4602" width="9.625" style="2" customWidth="1"/>
    <col min="4603" max="4603" width="35.75" style="2" customWidth="1"/>
    <col min="4604" max="4604" width="3.25" style="2" customWidth="1"/>
    <col min="4605" max="4842" width="9" style="2"/>
    <col min="4843" max="4845" width="6.125" style="2" customWidth="1"/>
    <col min="4846" max="4857" width="5.375" style="2" customWidth="1"/>
    <col min="4858" max="4858" width="9.625" style="2" customWidth="1"/>
    <col min="4859" max="4859" width="35.75" style="2" customWidth="1"/>
    <col min="4860" max="4860" width="3.25" style="2" customWidth="1"/>
    <col min="4861" max="5098" width="9" style="2"/>
    <col min="5099" max="5101" width="6.125" style="2" customWidth="1"/>
    <col min="5102" max="5113" width="5.375" style="2" customWidth="1"/>
    <col min="5114" max="5114" width="9.625" style="2" customWidth="1"/>
    <col min="5115" max="5115" width="35.75" style="2" customWidth="1"/>
    <col min="5116" max="5116" width="3.25" style="2" customWidth="1"/>
    <col min="5117" max="5354" width="9" style="2"/>
    <col min="5355" max="5357" width="6.125" style="2" customWidth="1"/>
    <col min="5358" max="5369" width="5.375" style="2" customWidth="1"/>
    <col min="5370" max="5370" width="9.625" style="2" customWidth="1"/>
    <col min="5371" max="5371" width="35.75" style="2" customWidth="1"/>
    <col min="5372" max="5372" width="3.25" style="2" customWidth="1"/>
    <col min="5373" max="5610" width="9" style="2"/>
    <col min="5611" max="5613" width="6.125" style="2" customWidth="1"/>
    <col min="5614" max="5625" width="5.375" style="2" customWidth="1"/>
    <col min="5626" max="5626" width="9.625" style="2" customWidth="1"/>
    <col min="5627" max="5627" width="35.75" style="2" customWidth="1"/>
    <col min="5628" max="5628" width="3.25" style="2" customWidth="1"/>
    <col min="5629" max="5866" width="9" style="2"/>
    <col min="5867" max="5869" width="6.125" style="2" customWidth="1"/>
    <col min="5870" max="5881" width="5.375" style="2" customWidth="1"/>
    <col min="5882" max="5882" width="9.625" style="2" customWidth="1"/>
    <col min="5883" max="5883" width="35.75" style="2" customWidth="1"/>
    <col min="5884" max="5884" width="3.25" style="2" customWidth="1"/>
    <col min="5885" max="6122" width="9" style="2"/>
    <col min="6123" max="6125" width="6.125" style="2" customWidth="1"/>
    <col min="6126" max="6137" width="5.375" style="2" customWidth="1"/>
    <col min="6138" max="6138" width="9.625" style="2" customWidth="1"/>
    <col min="6139" max="6139" width="35.75" style="2" customWidth="1"/>
    <col min="6140" max="6140" width="3.25" style="2" customWidth="1"/>
    <col min="6141" max="6378" width="9" style="2"/>
    <col min="6379" max="6381" width="6.125" style="2" customWidth="1"/>
    <col min="6382" max="6393" width="5.375" style="2" customWidth="1"/>
    <col min="6394" max="6394" width="9.625" style="2" customWidth="1"/>
    <col min="6395" max="6395" width="35.75" style="2" customWidth="1"/>
    <col min="6396" max="6396" width="3.25" style="2" customWidth="1"/>
    <col min="6397" max="6634" width="9" style="2"/>
    <col min="6635" max="6637" width="6.125" style="2" customWidth="1"/>
    <col min="6638" max="6649" width="5.375" style="2" customWidth="1"/>
    <col min="6650" max="6650" width="9.625" style="2" customWidth="1"/>
    <col min="6651" max="6651" width="35.75" style="2" customWidth="1"/>
    <col min="6652" max="6652" width="3.25" style="2" customWidth="1"/>
    <col min="6653" max="6890" width="9" style="2"/>
    <col min="6891" max="6893" width="6.125" style="2" customWidth="1"/>
    <col min="6894" max="6905" width="5.375" style="2" customWidth="1"/>
    <col min="6906" max="6906" width="9.625" style="2" customWidth="1"/>
    <col min="6907" max="6907" width="35.75" style="2" customWidth="1"/>
    <col min="6908" max="6908" width="3.25" style="2" customWidth="1"/>
    <col min="6909" max="7146" width="9" style="2"/>
    <col min="7147" max="7149" width="6.125" style="2" customWidth="1"/>
    <col min="7150" max="7161" width="5.375" style="2" customWidth="1"/>
    <col min="7162" max="7162" width="9.625" style="2" customWidth="1"/>
    <col min="7163" max="7163" width="35.75" style="2" customWidth="1"/>
    <col min="7164" max="7164" width="3.25" style="2" customWidth="1"/>
    <col min="7165" max="7402" width="9" style="2"/>
    <col min="7403" max="7405" width="6.125" style="2" customWidth="1"/>
    <col min="7406" max="7417" width="5.375" style="2" customWidth="1"/>
    <col min="7418" max="7418" width="9.625" style="2" customWidth="1"/>
    <col min="7419" max="7419" width="35.75" style="2" customWidth="1"/>
    <col min="7420" max="7420" width="3.25" style="2" customWidth="1"/>
    <col min="7421" max="7658" width="9" style="2"/>
    <col min="7659" max="7661" width="6.125" style="2" customWidth="1"/>
    <col min="7662" max="7673" width="5.375" style="2" customWidth="1"/>
    <col min="7674" max="7674" width="9.625" style="2" customWidth="1"/>
    <col min="7675" max="7675" width="35.75" style="2" customWidth="1"/>
    <col min="7676" max="7676" width="3.25" style="2" customWidth="1"/>
    <col min="7677" max="7914" width="9" style="2"/>
    <col min="7915" max="7917" width="6.125" style="2" customWidth="1"/>
    <col min="7918" max="7929" width="5.375" style="2" customWidth="1"/>
    <col min="7930" max="7930" width="9.625" style="2" customWidth="1"/>
    <col min="7931" max="7931" width="35.75" style="2" customWidth="1"/>
    <col min="7932" max="7932" width="3.25" style="2" customWidth="1"/>
    <col min="7933" max="8170" width="9" style="2"/>
    <col min="8171" max="8173" width="6.125" style="2" customWidth="1"/>
    <col min="8174" max="8185" width="5.375" style="2" customWidth="1"/>
    <col min="8186" max="8186" width="9.625" style="2" customWidth="1"/>
    <col min="8187" max="8187" width="35.75" style="2" customWidth="1"/>
    <col min="8188" max="8188" width="3.25" style="2" customWidth="1"/>
    <col min="8189" max="8426" width="9" style="2"/>
    <col min="8427" max="8429" width="6.125" style="2" customWidth="1"/>
    <col min="8430" max="8441" width="5.375" style="2" customWidth="1"/>
    <col min="8442" max="8442" width="9.625" style="2" customWidth="1"/>
    <col min="8443" max="8443" width="35.75" style="2" customWidth="1"/>
    <col min="8444" max="8444" width="3.25" style="2" customWidth="1"/>
    <col min="8445" max="8682" width="9" style="2"/>
    <col min="8683" max="8685" width="6.125" style="2" customWidth="1"/>
    <col min="8686" max="8697" width="5.375" style="2" customWidth="1"/>
    <col min="8698" max="8698" width="9.625" style="2" customWidth="1"/>
    <col min="8699" max="8699" width="35.75" style="2" customWidth="1"/>
    <col min="8700" max="8700" width="3.25" style="2" customWidth="1"/>
    <col min="8701" max="8938" width="9" style="2"/>
    <col min="8939" max="8941" width="6.125" style="2" customWidth="1"/>
    <col min="8942" max="8953" width="5.375" style="2" customWidth="1"/>
    <col min="8954" max="8954" width="9.625" style="2" customWidth="1"/>
    <col min="8955" max="8955" width="35.75" style="2" customWidth="1"/>
    <col min="8956" max="8956" width="3.25" style="2" customWidth="1"/>
    <col min="8957" max="9194" width="9" style="2"/>
    <col min="9195" max="9197" width="6.125" style="2" customWidth="1"/>
    <col min="9198" max="9209" width="5.375" style="2" customWidth="1"/>
    <col min="9210" max="9210" width="9.625" style="2" customWidth="1"/>
    <col min="9211" max="9211" width="35.75" style="2" customWidth="1"/>
    <col min="9212" max="9212" width="3.25" style="2" customWidth="1"/>
    <col min="9213" max="9450" width="9" style="2"/>
    <col min="9451" max="9453" width="6.125" style="2" customWidth="1"/>
    <col min="9454" max="9465" width="5.375" style="2" customWidth="1"/>
    <col min="9466" max="9466" width="9.625" style="2" customWidth="1"/>
    <col min="9467" max="9467" width="35.75" style="2" customWidth="1"/>
    <col min="9468" max="9468" width="3.25" style="2" customWidth="1"/>
    <col min="9469" max="9706" width="9" style="2"/>
    <col min="9707" max="9709" width="6.125" style="2" customWidth="1"/>
    <col min="9710" max="9721" width="5.375" style="2" customWidth="1"/>
    <col min="9722" max="9722" width="9.625" style="2" customWidth="1"/>
    <col min="9723" max="9723" width="35.75" style="2" customWidth="1"/>
    <col min="9724" max="9724" width="3.25" style="2" customWidth="1"/>
    <col min="9725" max="9962" width="9" style="2"/>
    <col min="9963" max="9965" width="6.125" style="2" customWidth="1"/>
    <col min="9966" max="9977" width="5.375" style="2" customWidth="1"/>
    <col min="9978" max="9978" width="9.625" style="2" customWidth="1"/>
    <col min="9979" max="9979" width="35.75" style="2" customWidth="1"/>
    <col min="9980" max="9980" width="3.25" style="2" customWidth="1"/>
    <col min="9981" max="10218" width="9" style="2"/>
    <col min="10219" max="10221" width="6.125" style="2" customWidth="1"/>
    <col min="10222" max="10233" width="5.375" style="2" customWidth="1"/>
    <col min="10234" max="10234" width="9.625" style="2" customWidth="1"/>
    <col min="10235" max="10235" width="35.75" style="2" customWidth="1"/>
    <col min="10236" max="10236" width="3.25" style="2" customWidth="1"/>
    <col min="10237" max="10474" width="9" style="2"/>
    <col min="10475" max="10477" width="6.125" style="2" customWidth="1"/>
    <col min="10478" max="10489" width="5.375" style="2" customWidth="1"/>
    <col min="10490" max="10490" width="9.625" style="2" customWidth="1"/>
    <col min="10491" max="10491" width="35.75" style="2" customWidth="1"/>
    <col min="10492" max="10492" width="3.25" style="2" customWidth="1"/>
    <col min="10493" max="10730" width="9" style="2"/>
    <col min="10731" max="10733" width="6.125" style="2" customWidth="1"/>
    <col min="10734" max="10745" width="5.375" style="2" customWidth="1"/>
    <col min="10746" max="10746" width="9.625" style="2" customWidth="1"/>
    <col min="10747" max="10747" width="35.75" style="2" customWidth="1"/>
    <col min="10748" max="10748" width="3.25" style="2" customWidth="1"/>
    <col min="10749" max="10986" width="9" style="2"/>
    <col min="10987" max="10989" width="6.125" style="2" customWidth="1"/>
    <col min="10990" max="11001" width="5.375" style="2" customWidth="1"/>
    <col min="11002" max="11002" width="9.625" style="2" customWidth="1"/>
    <col min="11003" max="11003" width="35.75" style="2" customWidth="1"/>
    <col min="11004" max="11004" width="3.25" style="2" customWidth="1"/>
    <col min="11005" max="11242" width="9" style="2"/>
    <col min="11243" max="11245" width="6.125" style="2" customWidth="1"/>
    <col min="11246" max="11257" width="5.375" style="2" customWidth="1"/>
    <col min="11258" max="11258" width="9.625" style="2" customWidth="1"/>
    <col min="11259" max="11259" width="35.75" style="2" customWidth="1"/>
    <col min="11260" max="11260" width="3.25" style="2" customWidth="1"/>
    <col min="11261" max="11498" width="9" style="2"/>
    <col min="11499" max="11501" width="6.125" style="2" customWidth="1"/>
    <col min="11502" max="11513" width="5.375" style="2" customWidth="1"/>
    <col min="11514" max="11514" width="9.625" style="2" customWidth="1"/>
    <col min="11515" max="11515" width="35.75" style="2" customWidth="1"/>
    <col min="11516" max="11516" width="3.25" style="2" customWidth="1"/>
    <col min="11517" max="11754" width="9" style="2"/>
    <col min="11755" max="11757" width="6.125" style="2" customWidth="1"/>
    <col min="11758" max="11769" width="5.375" style="2" customWidth="1"/>
    <col min="11770" max="11770" width="9.625" style="2" customWidth="1"/>
    <col min="11771" max="11771" width="35.75" style="2" customWidth="1"/>
    <col min="11772" max="11772" width="3.25" style="2" customWidth="1"/>
    <col min="11773" max="12010" width="9" style="2"/>
    <col min="12011" max="12013" width="6.125" style="2" customWidth="1"/>
    <col min="12014" max="12025" width="5.375" style="2" customWidth="1"/>
    <col min="12026" max="12026" width="9.625" style="2" customWidth="1"/>
    <col min="12027" max="12027" width="35.75" style="2" customWidth="1"/>
    <col min="12028" max="12028" width="3.25" style="2" customWidth="1"/>
    <col min="12029" max="12266" width="9" style="2"/>
    <col min="12267" max="12269" width="6.125" style="2" customWidth="1"/>
    <col min="12270" max="12281" width="5.375" style="2" customWidth="1"/>
    <col min="12282" max="12282" width="9.625" style="2" customWidth="1"/>
    <col min="12283" max="12283" width="35.75" style="2" customWidth="1"/>
    <col min="12284" max="12284" width="3.25" style="2" customWidth="1"/>
    <col min="12285" max="12522" width="9" style="2"/>
    <col min="12523" max="12525" width="6.125" style="2" customWidth="1"/>
    <col min="12526" max="12537" width="5.375" style="2" customWidth="1"/>
    <col min="12538" max="12538" width="9.625" style="2" customWidth="1"/>
    <col min="12539" max="12539" width="35.75" style="2" customWidth="1"/>
    <col min="12540" max="12540" width="3.25" style="2" customWidth="1"/>
    <col min="12541" max="12778" width="9" style="2"/>
    <col min="12779" max="12781" width="6.125" style="2" customWidth="1"/>
    <col min="12782" max="12793" width="5.375" style="2" customWidth="1"/>
    <col min="12794" max="12794" width="9.625" style="2" customWidth="1"/>
    <col min="12795" max="12795" width="35.75" style="2" customWidth="1"/>
    <col min="12796" max="12796" width="3.25" style="2" customWidth="1"/>
    <col min="12797" max="13034" width="9" style="2"/>
    <col min="13035" max="13037" width="6.125" style="2" customWidth="1"/>
    <col min="13038" max="13049" width="5.375" style="2" customWidth="1"/>
    <col min="13050" max="13050" width="9.625" style="2" customWidth="1"/>
    <col min="13051" max="13051" width="35.75" style="2" customWidth="1"/>
    <col min="13052" max="13052" width="3.25" style="2" customWidth="1"/>
    <col min="13053" max="13290" width="9" style="2"/>
    <col min="13291" max="13293" width="6.125" style="2" customWidth="1"/>
    <col min="13294" max="13305" width="5.375" style="2" customWidth="1"/>
    <col min="13306" max="13306" width="9.625" style="2" customWidth="1"/>
    <col min="13307" max="13307" width="35.75" style="2" customWidth="1"/>
    <col min="13308" max="13308" width="3.25" style="2" customWidth="1"/>
    <col min="13309" max="13546" width="9" style="2"/>
    <col min="13547" max="13549" width="6.125" style="2" customWidth="1"/>
    <col min="13550" max="13561" width="5.375" style="2" customWidth="1"/>
    <col min="13562" max="13562" width="9.625" style="2" customWidth="1"/>
    <col min="13563" max="13563" width="35.75" style="2" customWidth="1"/>
    <col min="13564" max="13564" width="3.25" style="2" customWidth="1"/>
    <col min="13565" max="13802" width="9" style="2"/>
    <col min="13803" max="13805" width="6.125" style="2" customWidth="1"/>
    <col min="13806" max="13817" width="5.375" style="2" customWidth="1"/>
    <col min="13818" max="13818" width="9.625" style="2" customWidth="1"/>
    <col min="13819" max="13819" width="35.75" style="2" customWidth="1"/>
    <col min="13820" max="13820" width="3.25" style="2" customWidth="1"/>
    <col min="13821" max="14058" width="9" style="2"/>
    <col min="14059" max="14061" width="6.125" style="2" customWidth="1"/>
    <col min="14062" max="14073" width="5.375" style="2" customWidth="1"/>
    <col min="14074" max="14074" width="9.625" style="2" customWidth="1"/>
    <col min="14075" max="14075" width="35.75" style="2" customWidth="1"/>
    <col min="14076" max="14076" width="3.25" style="2" customWidth="1"/>
    <col min="14077" max="14314" width="9" style="2"/>
    <col min="14315" max="14317" width="6.125" style="2" customWidth="1"/>
    <col min="14318" max="14329" width="5.375" style="2" customWidth="1"/>
    <col min="14330" max="14330" width="9.625" style="2" customWidth="1"/>
    <col min="14331" max="14331" width="35.75" style="2" customWidth="1"/>
    <col min="14332" max="14332" width="3.25" style="2" customWidth="1"/>
    <col min="14333" max="14570" width="9" style="2"/>
    <col min="14571" max="14573" width="6.125" style="2" customWidth="1"/>
    <col min="14574" max="14585" width="5.375" style="2" customWidth="1"/>
    <col min="14586" max="14586" width="9.625" style="2" customWidth="1"/>
    <col min="14587" max="14587" width="35.75" style="2" customWidth="1"/>
    <col min="14588" max="14588" width="3.25" style="2" customWidth="1"/>
    <col min="14589" max="14826" width="9" style="2"/>
    <col min="14827" max="14829" width="6.125" style="2" customWidth="1"/>
    <col min="14830" max="14841" width="5.375" style="2" customWidth="1"/>
    <col min="14842" max="14842" width="9.625" style="2" customWidth="1"/>
    <col min="14843" max="14843" width="35.75" style="2" customWidth="1"/>
    <col min="14844" max="14844" width="3.25" style="2" customWidth="1"/>
    <col min="14845" max="15082" width="9" style="2"/>
    <col min="15083" max="15085" width="6.125" style="2" customWidth="1"/>
    <col min="15086" max="15097" width="5.375" style="2" customWidth="1"/>
    <col min="15098" max="15098" width="9.625" style="2" customWidth="1"/>
    <col min="15099" max="15099" width="35.75" style="2" customWidth="1"/>
    <col min="15100" max="15100" width="3.25" style="2" customWidth="1"/>
    <col min="15101" max="15338" width="9" style="2"/>
    <col min="15339" max="15341" width="6.125" style="2" customWidth="1"/>
    <col min="15342" max="15353" width="5.375" style="2" customWidth="1"/>
    <col min="15354" max="15354" width="9.625" style="2" customWidth="1"/>
    <col min="15355" max="15355" width="35.75" style="2" customWidth="1"/>
    <col min="15356" max="15356" width="3.25" style="2" customWidth="1"/>
    <col min="15357" max="15594" width="9" style="2"/>
    <col min="15595" max="15597" width="6.125" style="2" customWidth="1"/>
    <col min="15598" max="15609" width="5.375" style="2" customWidth="1"/>
    <col min="15610" max="15610" width="9.625" style="2" customWidth="1"/>
    <col min="15611" max="15611" width="35.75" style="2" customWidth="1"/>
    <col min="15612" max="15612" width="3.25" style="2" customWidth="1"/>
    <col min="15613" max="15850" width="9" style="2"/>
    <col min="15851" max="15853" width="6.125" style="2" customWidth="1"/>
    <col min="15854" max="15865" width="5.375" style="2" customWidth="1"/>
    <col min="15866" max="15866" width="9.625" style="2" customWidth="1"/>
    <col min="15867" max="15867" width="35.75" style="2" customWidth="1"/>
    <col min="15868" max="15868" width="3.25" style="2" customWidth="1"/>
    <col min="15869" max="16106" width="9" style="2"/>
    <col min="16107" max="16109" width="6.125" style="2" customWidth="1"/>
    <col min="16110" max="16121" width="5.375" style="2" customWidth="1"/>
    <col min="16122" max="16122" width="9.625" style="2" customWidth="1"/>
    <col min="16123" max="16123" width="35.75" style="2" customWidth="1"/>
    <col min="16124" max="16124" width="3.25" style="2" customWidth="1"/>
    <col min="16125" max="16384" width="9" style="2"/>
  </cols>
  <sheetData>
    <row r="1" spans="2:18" ht="18.75" customHeight="1" x14ac:dyDescent="0.2">
      <c r="B1" s="573" t="s">
        <v>790</v>
      </c>
      <c r="C1" s="573"/>
      <c r="D1" s="573"/>
      <c r="E1" s="573"/>
      <c r="F1" s="573"/>
      <c r="G1" s="573"/>
      <c r="H1" s="573"/>
      <c r="I1" s="573"/>
      <c r="J1" s="573"/>
      <c r="K1" s="573"/>
      <c r="L1" s="573"/>
      <c r="M1" s="573"/>
      <c r="N1" s="573"/>
      <c r="O1" s="573"/>
    </row>
    <row r="2" spans="2:18" ht="18.75" customHeight="1" thickBot="1" x14ac:dyDescent="0.25">
      <c r="B2" s="588" t="s">
        <v>791</v>
      </c>
      <c r="C2" s="588"/>
      <c r="D2" s="588"/>
      <c r="E2" s="588"/>
      <c r="F2" s="588"/>
      <c r="G2" s="588"/>
      <c r="H2" s="588"/>
      <c r="I2" s="588"/>
      <c r="J2" s="588"/>
      <c r="K2" s="588"/>
      <c r="L2" s="588"/>
    </row>
    <row r="3" spans="2:18" ht="18.75" customHeight="1" thickBot="1" x14ac:dyDescent="0.25">
      <c r="B3" s="482" t="s">
        <v>4</v>
      </c>
      <c r="C3" s="482"/>
      <c r="D3" s="482"/>
      <c r="E3" s="482" t="s">
        <v>60</v>
      </c>
      <c r="F3" s="482"/>
      <c r="G3" s="482"/>
      <c r="H3" s="482" t="s">
        <v>57</v>
      </c>
      <c r="I3" s="482"/>
      <c r="J3" s="482"/>
      <c r="K3" s="482" t="s">
        <v>56</v>
      </c>
      <c r="L3" s="482"/>
      <c r="M3" s="482"/>
      <c r="N3" s="575" t="s">
        <v>792</v>
      </c>
      <c r="O3" s="304" t="s">
        <v>144</v>
      </c>
      <c r="P3" s="140"/>
      <c r="Q3" s="140"/>
      <c r="R3" s="140"/>
    </row>
    <row r="4" spans="2:18" ht="18.75" customHeight="1" thickBot="1" x14ac:dyDescent="0.25">
      <c r="B4" s="203" t="s">
        <v>227</v>
      </c>
      <c r="C4" s="203" t="s">
        <v>10</v>
      </c>
      <c r="D4" s="203" t="s">
        <v>9</v>
      </c>
      <c r="E4" s="203" t="s">
        <v>227</v>
      </c>
      <c r="F4" s="203" t="s">
        <v>10</v>
      </c>
      <c r="G4" s="203" t="s">
        <v>9</v>
      </c>
      <c r="H4" s="203" t="s">
        <v>227</v>
      </c>
      <c r="I4" s="203" t="s">
        <v>10</v>
      </c>
      <c r="J4" s="203" t="s">
        <v>9</v>
      </c>
      <c r="K4" s="203" t="s">
        <v>227</v>
      </c>
      <c r="L4" s="203" t="s">
        <v>10</v>
      </c>
      <c r="M4" s="203" t="s">
        <v>9</v>
      </c>
      <c r="N4" s="481"/>
      <c r="O4" s="282" t="s">
        <v>68</v>
      </c>
    </row>
    <row r="5" spans="2:18" ht="18.75" customHeight="1" thickBot="1" x14ac:dyDescent="0.25">
      <c r="B5" s="342">
        <f>SUM(C5:D5)</f>
        <v>53</v>
      </c>
      <c r="C5" s="342">
        <f>L5+I5+F5</f>
        <v>0</v>
      </c>
      <c r="D5" s="342">
        <f>M5+J5+G5</f>
        <v>53</v>
      </c>
      <c r="E5" s="342">
        <f>SUM(F5:G5)</f>
        <v>41</v>
      </c>
      <c r="F5" s="342">
        <v>0</v>
      </c>
      <c r="G5" s="342">
        <v>41</v>
      </c>
      <c r="H5" s="342">
        <f>SUM(I5:J5)</f>
        <v>10</v>
      </c>
      <c r="I5" s="342">
        <v>0</v>
      </c>
      <c r="J5" s="342">
        <v>10</v>
      </c>
      <c r="K5" s="342">
        <f>SUM(L5:M5)</f>
        <v>2</v>
      </c>
      <c r="L5" s="342">
        <v>0</v>
      </c>
      <c r="M5" s="342">
        <v>2</v>
      </c>
      <c r="N5" s="203" t="s">
        <v>146</v>
      </c>
      <c r="O5" s="306"/>
    </row>
    <row r="6" spans="2:18" ht="18.75" customHeight="1" thickBot="1" x14ac:dyDescent="0.25">
      <c r="B6" s="342">
        <f>SUM(C6:D6)</f>
        <v>70</v>
      </c>
      <c r="C6" s="342">
        <f t="shared" ref="C6:D69" si="0">L6+I6+F6</f>
        <v>0</v>
      </c>
      <c r="D6" s="342">
        <f t="shared" si="0"/>
        <v>70</v>
      </c>
      <c r="E6" s="342">
        <f>SUM(F6:G6)</f>
        <v>26</v>
      </c>
      <c r="F6" s="342">
        <v>0</v>
      </c>
      <c r="G6" s="342">
        <v>26</v>
      </c>
      <c r="H6" s="342">
        <f>SUM(I6:J6)</f>
        <v>3</v>
      </c>
      <c r="I6" s="342">
        <v>0</v>
      </c>
      <c r="J6" s="342">
        <v>3</v>
      </c>
      <c r="K6" s="342">
        <f>SUM(L6:M6)</f>
        <v>41</v>
      </c>
      <c r="L6" s="342">
        <v>0</v>
      </c>
      <c r="M6" s="342">
        <v>41</v>
      </c>
      <c r="N6" s="203" t="s">
        <v>145</v>
      </c>
      <c r="O6" s="306" t="s">
        <v>338</v>
      </c>
    </row>
    <row r="7" spans="2:18" ht="18.75" customHeight="1" thickBot="1" x14ac:dyDescent="0.25">
      <c r="B7" s="342">
        <f t="shared" ref="B7:M7" si="1">SUM(B5:B6)</f>
        <v>123</v>
      </c>
      <c r="C7" s="342">
        <f t="shared" si="1"/>
        <v>0</v>
      </c>
      <c r="D7" s="342">
        <f t="shared" si="1"/>
        <v>123</v>
      </c>
      <c r="E7" s="342">
        <f t="shared" si="1"/>
        <v>67</v>
      </c>
      <c r="F7" s="342">
        <f t="shared" si="1"/>
        <v>0</v>
      </c>
      <c r="G7" s="342">
        <f t="shared" si="1"/>
        <v>67</v>
      </c>
      <c r="H7" s="342">
        <f t="shared" si="1"/>
        <v>13</v>
      </c>
      <c r="I7" s="342">
        <f t="shared" si="1"/>
        <v>0</v>
      </c>
      <c r="J7" s="342">
        <f t="shared" si="1"/>
        <v>13</v>
      </c>
      <c r="K7" s="342">
        <f t="shared" si="1"/>
        <v>43</v>
      </c>
      <c r="L7" s="342">
        <f t="shared" si="1"/>
        <v>0</v>
      </c>
      <c r="M7" s="342">
        <f t="shared" si="1"/>
        <v>43</v>
      </c>
      <c r="N7" s="203" t="s">
        <v>12</v>
      </c>
      <c r="O7" s="307"/>
    </row>
    <row r="8" spans="2:18" ht="18.75" customHeight="1" thickBot="1" x14ac:dyDescent="0.25">
      <c r="B8" s="342">
        <f>SUM(C8:D8)</f>
        <v>4</v>
      </c>
      <c r="C8" s="342">
        <f t="shared" si="0"/>
        <v>0</v>
      </c>
      <c r="D8" s="342">
        <f t="shared" si="0"/>
        <v>4</v>
      </c>
      <c r="E8" s="342">
        <f>SUM(F8:G8)</f>
        <v>0</v>
      </c>
      <c r="F8" s="342">
        <v>0</v>
      </c>
      <c r="G8" s="342">
        <v>0</v>
      </c>
      <c r="H8" s="342">
        <f>SUM(I8:J8)</f>
        <v>1</v>
      </c>
      <c r="I8" s="342">
        <v>0</v>
      </c>
      <c r="J8" s="342">
        <v>1</v>
      </c>
      <c r="K8" s="342">
        <f>SUM(L8:M8)</f>
        <v>3</v>
      </c>
      <c r="L8" s="342">
        <v>0</v>
      </c>
      <c r="M8" s="342">
        <v>3</v>
      </c>
      <c r="N8" s="203" t="s">
        <v>146</v>
      </c>
      <c r="O8" s="306"/>
    </row>
    <row r="9" spans="2:18" ht="18.75" customHeight="1" thickBot="1" x14ac:dyDescent="0.25">
      <c r="B9" s="342">
        <f>SUM(C9:D9)</f>
        <v>63</v>
      </c>
      <c r="C9" s="342">
        <f t="shared" si="0"/>
        <v>0</v>
      </c>
      <c r="D9" s="342">
        <f t="shared" si="0"/>
        <v>63</v>
      </c>
      <c r="E9" s="342">
        <f>SUM(F9:G9)</f>
        <v>0</v>
      </c>
      <c r="F9" s="342">
        <v>0</v>
      </c>
      <c r="G9" s="342">
        <v>0</v>
      </c>
      <c r="H9" s="342">
        <f>SUM(I9:J9)</f>
        <v>25</v>
      </c>
      <c r="I9" s="342">
        <v>0</v>
      </c>
      <c r="J9" s="342">
        <v>25</v>
      </c>
      <c r="K9" s="342">
        <f>SUM(L9:M9)</f>
        <v>38</v>
      </c>
      <c r="L9" s="342">
        <v>0</v>
      </c>
      <c r="M9" s="342">
        <v>38</v>
      </c>
      <c r="N9" s="203" t="s">
        <v>145</v>
      </c>
      <c r="O9" s="306" t="s">
        <v>80</v>
      </c>
    </row>
    <row r="10" spans="2:18" ht="18.75" customHeight="1" thickBot="1" x14ac:dyDescent="0.25">
      <c r="B10" s="342">
        <f t="shared" ref="B10:M10" si="2">SUM(B8:B9)</f>
        <v>67</v>
      </c>
      <c r="C10" s="342">
        <f t="shared" si="2"/>
        <v>0</v>
      </c>
      <c r="D10" s="342">
        <f t="shared" si="2"/>
        <v>67</v>
      </c>
      <c r="E10" s="342">
        <f t="shared" si="2"/>
        <v>0</v>
      </c>
      <c r="F10" s="342">
        <f t="shared" si="2"/>
        <v>0</v>
      </c>
      <c r="G10" s="342">
        <f t="shared" si="2"/>
        <v>0</v>
      </c>
      <c r="H10" s="342">
        <f t="shared" si="2"/>
        <v>26</v>
      </c>
      <c r="I10" s="342">
        <f t="shared" si="2"/>
        <v>0</v>
      </c>
      <c r="J10" s="342">
        <f t="shared" si="2"/>
        <v>26</v>
      </c>
      <c r="K10" s="342">
        <f t="shared" si="2"/>
        <v>41</v>
      </c>
      <c r="L10" s="342">
        <f t="shared" si="2"/>
        <v>0</v>
      </c>
      <c r="M10" s="342">
        <f t="shared" si="2"/>
        <v>41</v>
      </c>
      <c r="N10" s="203" t="s">
        <v>12</v>
      </c>
      <c r="O10" s="307"/>
    </row>
    <row r="11" spans="2:18" ht="18.75" customHeight="1" thickBot="1" x14ac:dyDescent="0.25">
      <c r="B11" s="342">
        <f>SUM(C11:D11)</f>
        <v>135</v>
      </c>
      <c r="C11" s="342">
        <f t="shared" si="0"/>
        <v>0</v>
      </c>
      <c r="D11" s="342">
        <f t="shared" si="0"/>
        <v>135</v>
      </c>
      <c r="E11" s="342">
        <f>SUM(F11:G11)</f>
        <v>40</v>
      </c>
      <c r="F11" s="342">
        <v>0</v>
      </c>
      <c r="G11" s="342">
        <v>40</v>
      </c>
      <c r="H11" s="342">
        <f>SUM(I11:J11)</f>
        <v>15</v>
      </c>
      <c r="I11" s="342">
        <v>0</v>
      </c>
      <c r="J11" s="342">
        <v>15</v>
      </c>
      <c r="K11" s="342">
        <f>SUM(L11:M11)</f>
        <v>80</v>
      </c>
      <c r="L11" s="342">
        <v>0</v>
      </c>
      <c r="M11" s="342">
        <v>80</v>
      </c>
      <c r="N11" s="203" t="s">
        <v>146</v>
      </c>
      <c r="O11" s="306"/>
    </row>
    <row r="12" spans="2:18" ht="18.75" customHeight="1" thickBot="1" x14ac:dyDescent="0.25">
      <c r="B12" s="342">
        <f>SUM(C12:D12)</f>
        <v>4</v>
      </c>
      <c r="C12" s="342">
        <f t="shared" si="0"/>
        <v>0</v>
      </c>
      <c r="D12" s="342">
        <f t="shared" si="0"/>
        <v>4</v>
      </c>
      <c r="E12" s="342">
        <f>SUM(F12:G12)</f>
        <v>0</v>
      </c>
      <c r="F12" s="342">
        <v>0</v>
      </c>
      <c r="G12" s="342">
        <v>0</v>
      </c>
      <c r="H12" s="342">
        <f>SUM(I12:J12)</f>
        <v>0</v>
      </c>
      <c r="I12" s="342">
        <v>0</v>
      </c>
      <c r="J12" s="342">
        <v>0</v>
      </c>
      <c r="K12" s="342">
        <f>SUM(L12:M12)</f>
        <v>4</v>
      </c>
      <c r="L12" s="342">
        <v>0</v>
      </c>
      <c r="M12" s="342">
        <v>4</v>
      </c>
      <c r="N12" s="203" t="s">
        <v>145</v>
      </c>
      <c r="O12" s="306" t="s">
        <v>339</v>
      </c>
    </row>
    <row r="13" spans="2:18" ht="18.75" customHeight="1" thickBot="1" x14ac:dyDescent="0.25">
      <c r="B13" s="342">
        <f t="shared" ref="B13:M13" si="3">SUM(B11:B12)</f>
        <v>139</v>
      </c>
      <c r="C13" s="342">
        <f t="shared" si="3"/>
        <v>0</v>
      </c>
      <c r="D13" s="342">
        <f t="shared" si="3"/>
        <v>139</v>
      </c>
      <c r="E13" s="342">
        <f t="shared" si="3"/>
        <v>40</v>
      </c>
      <c r="F13" s="342">
        <f t="shared" si="3"/>
        <v>0</v>
      </c>
      <c r="G13" s="342">
        <f t="shared" si="3"/>
        <v>40</v>
      </c>
      <c r="H13" s="342">
        <f t="shared" si="3"/>
        <v>15</v>
      </c>
      <c r="I13" s="342">
        <f t="shared" si="3"/>
        <v>0</v>
      </c>
      <c r="J13" s="342">
        <f t="shared" si="3"/>
        <v>15</v>
      </c>
      <c r="K13" s="342">
        <f t="shared" si="3"/>
        <v>84</v>
      </c>
      <c r="L13" s="342">
        <f t="shared" si="3"/>
        <v>0</v>
      </c>
      <c r="M13" s="342">
        <f t="shared" si="3"/>
        <v>84</v>
      </c>
      <c r="N13" s="203" t="s">
        <v>12</v>
      </c>
      <c r="O13" s="307"/>
    </row>
    <row r="14" spans="2:18" ht="18.75" customHeight="1" thickBot="1" x14ac:dyDescent="0.25">
      <c r="B14" s="342">
        <f>SUM(C14:D14)</f>
        <v>142</v>
      </c>
      <c r="C14" s="342">
        <f t="shared" si="0"/>
        <v>54</v>
      </c>
      <c r="D14" s="342">
        <f t="shared" si="0"/>
        <v>88</v>
      </c>
      <c r="E14" s="342">
        <f>SUM(F14:G14)</f>
        <v>31</v>
      </c>
      <c r="F14" s="342">
        <v>18</v>
      </c>
      <c r="G14" s="342">
        <v>13</v>
      </c>
      <c r="H14" s="342">
        <f>SUM(I14:J14)</f>
        <v>6</v>
      </c>
      <c r="I14" s="342">
        <v>4</v>
      </c>
      <c r="J14" s="342">
        <v>2</v>
      </c>
      <c r="K14" s="342">
        <f>SUM(L14:M14)</f>
        <v>105</v>
      </c>
      <c r="L14" s="342">
        <v>32</v>
      </c>
      <c r="M14" s="342">
        <v>73</v>
      </c>
      <c r="N14" s="203" t="s">
        <v>146</v>
      </c>
      <c r="O14" s="306"/>
    </row>
    <row r="15" spans="2:18" ht="18.75" customHeight="1" thickBot="1" x14ac:dyDescent="0.25">
      <c r="B15" s="342">
        <f>SUM(C15:D15)</f>
        <v>25</v>
      </c>
      <c r="C15" s="342">
        <f t="shared" si="0"/>
        <v>4</v>
      </c>
      <c r="D15" s="342">
        <f t="shared" si="0"/>
        <v>21</v>
      </c>
      <c r="E15" s="342">
        <f>SUM(F15:G15)</f>
        <v>0</v>
      </c>
      <c r="F15" s="342">
        <v>0</v>
      </c>
      <c r="G15" s="342">
        <v>0</v>
      </c>
      <c r="H15" s="342">
        <f>SUM(I15:J15)</f>
        <v>4</v>
      </c>
      <c r="I15" s="342">
        <v>0</v>
      </c>
      <c r="J15" s="342">
        <v>4</v>
      </c>
      <c r="K15" s="342">
        <f>SUM(L15:M15)</f>
        <v>21</v>
      </c>
      <c r="L15" s="342">
        <v>4</v>
      </c>
      <c r="M15" s="342">
        <v>17</v>
      </c>
      <c r="N15" s="203" t="s">
        <v>145</v>
      </c>
      <c r="O15" s="306" t="s">
        <v>340</v>
      </c>
    </row>
    <row r="16" spans="2:18" ht="18.75" customHeight="1" thickBot="1" x14ac:dyDescent="0.25">
      <c r="B16" s="342">
        <f t="shared" ref="B16:M16" si="4">SUM(B14:B15)</f>
        <v>167</v>
      </c>
      <c r="C16" s="342">
        <f t="shared" si="4"/>
        <v>58</v>
      </c>
      <c r="D16" s="342">
        <f t="shared" si="4"/>
        <v>109</v>
      </c>
      <c r="E16" s="342">
        <f t="shared" si="4"/>
        <v>31</v>
      </c>
      <c r="F16" s="342">
        <f t="shared" si="4"/>
        <v>18</v>
      </c>
      <c r="G16" s="342">
        <f t="shared" si="4"/>
        <v>13</v>
      </c>
      <c r="H16" s="342">
        <f t="shared" si="4"/>
        <v>10</v>
      </c>
      <c r="I16" s="342">
        <f t="shared" si="4"/>
        <v>4</v>
      </c>
      <c r="J16" s="342">
        <f t="shared" si="4"/>
        <v>6</v>
      </c>
      <c r="K16" s="342">
        <f t="shared" si="4"/>
        <v>126</v>
      </c>
      <c r="L16" s="342">
        <f t="shared" si="4"/>
        <v>36</v>
      </c>
      <c r="M16" s="342">
        <f t="shared" si="4"/>
        <v>90</v>
      </c>
      <c r="N16" s="203" t="s">
        <v>12</v>
      </c>
      <c r="O16" s="307"/>
    </row>
    <row r="17" spans="2:15" ht="18.75" customHeight="1" thickBot="1" x14ac:dyDescent="0.25">
      <c r="B17" s="342">
        <f>SUM(C17:D17)</f>
        <v>73</v>
      </c>
      <c r="C17" s="342">
        <f t="shared" si="0"/>
        <v>0</v>
      </c>
      <c r="D17" s="342">
        <f t="shared" si="0"/>
        <v>73</v>
      </c>
      <c r="E17" s="342">
        <f>SUM(F17:G17)</f>
        <v>28</v>
      </c>
      <c r="F17" s="342">
        <v>0</v>
      </c>
      <c r="G17" s="342">
        <v>28</v>
      </c>
      <c r="H17" s="342">
        <f>SUM(I17:J17)</f>
        <v>7</v>
      </c>
      <c r="I17" s="342">
        <v>0</v>
      </c>
      <c r="J17" s="342">
        <v>7</v>
      </c>
      <c r="K17" s="342">
        <f>SUM(L17:M17)</f>
        <v>38</v>
      </c>
      <c r="L17" s="342">
        <v>0</v>
      </c>
      <c r="M17" s="342">
        <v>38</v>
      </c>
      <c r="N17" s="203" t="s">
        <v>146</v>
      </c>
      <c r="O17" s="306"/>
    </row>
    <row r="18" spans="2:15" ht="18.75" customHeight="1" thickBot="1" x14ac:dyDescent="0.25">
      <c r="B18" s="342">
        <f>SUM(C18:D18)</f>
        <v>8</v>
      </c>
      <c r="C18" s="342">
        <f t="shared" si="0"/>
        <v>0</v>
      </c>
      <c r="D18" s="342">
        <f t="shared" si="0"/>
        <v>8</v>
      </c>
      <c r="E18" s="342">
        <f>SUM(F18:G18)</f>
        <v>0</v>
      </c>
      <c r="F18" s="342">
        <v>0</v>
      </c>
      <c r="G18" s="342">
        <v>0</v>
      </c>
      <c r="H18" s="342">
        <f>SUM(I18:J18)</f>
        <v>0</v>
      </c>
      <c r="I18" s="342">
        <v>0</v>
      </c>
      <c r="J18" s="342">
        <v>0</v>
      </c>
      <c r="K18" s="342">
        <f>SUM(L18:M18)</f>
        <v>8</v>
      </c>
      <c r="L18" s="342">
        <v>0</v>
      </c>
      <c r="M18" s="342">
        <v>8</v>
      </c>
      <c r="N18" s="203" t="s">
        <v>145</v>
      </c>
      <c r="O18" s="306" t="s">
        <v>341</v>
      </c>
    </row>
    <row r="19" spans="2:15" ht="18.75" customHeight="1" thickBot="1" x14ac:dyDescent="0.25">
      <c r="B19" s="342">
        <f t="shared" ref="B19:M19" si="5">SUM(B17:B18)</f>
        <v>81</v>
      </c>
      <c r="C19" s="342">
        <f t="shared" si="5"/>
        <v>0</v>
      </c>
      <c r="D19" s="342">
        <f t="shared" si="5"/>
        <v>81</v>
      </c>
      <c r="E19" s="342">
        <f t="shared" si="5"/>
        <v>28</v>
      </c>
      <c r="F19" s="342">
        <f t="shared" si="5"/>
        <v>0</v>
      </c>
      <c r="G19" s="342">
        <f t="shared" si="5"/>
        <v>28</v>
      </c>
      <c r="H19" s="342">
        <f t="shared" si="5"/>
        <v>7</v>
      </c>
      <c r="I19" s="342">
        <f t="shared" si="5"/>
        <v>0</v>
      </c>
      <c r="J19" s="342">
        <f t="shared" si="5"/>
        <v>7</v>
      </c>
      <c r="K19" s="342">
        <f t="shared" si="5"/>
        <v>46</v>
      </c>
      <c r="L19" s="342">
        <f t="shared" si="5"/>
        <v>0</v>
      </c>
      <c r="M19" s="342">
        <f t="shared" si="5"/>
        <v>46</v>
      </c>
      <c r="N19" s="203" t="s">
        <v>12</v>
      </c>
      <c r="O19" s="307"/>
    </row>
    <row r="20" spans="2:15" ht="18.75" customHeight="1" thickBot="1" x14ac:dyDescent="0.25">
      <c r="B20" s="342">
        <f>SUM(C20:D20)</f>
        <v>107</v>
      </c>
      <c r="C20" s="342">
        <f t="shared" si="0"/>
        <v>31</v>
      </c>
      <c r="D20" s="342">
        <f t="shared" si="0"/>
        <v>76</v>
      </c>
      <c r="E20" s="342">
        <f>SUM(F20:G20)</f>
        <v>39</v>
      </c>
      <c r="F20" s="342">
        <v>14</v>
      </c>
      <c r="G20" s="342">
        <v>25</v>
      </c>
      <c r="H20" s="342">
        <f>SUM(I20:J20)</f>
        <v>1</v>
      </c>
      <c r="I20" s="342">
        <v>1</v>
      </c>
      <c r="J20" s="342">
        <v>0</v>
      </c>
      <c r="K20" s="342">
        <f>SUM(L20:M20)</f>
        <v>67</v>
      </c>
      <c r="L20" s="342">
        <v>16</v>
      </c>
      <c r="M20" s="342">
        <v>51</v>
      </c>
      <c r="N20" s="203" t="s">
        <v>146</v>
      </c>
      <c r="O20" s="306"/>
    </row>
    <row r="21" spans="2:15" ht="18.75" customHeight="1" thickBot="1" x14ac:dyDescent="0.25">
      <c r="B21" s="342">
        <f>SUM(C21:D21)</f>
        <v>31</v>
      </c>
      <c r="C21" s="342">
        <f t="shared" si="0"/>
        <v>6</v>
      </c>
      <c r="D21" s="342">
        <f t="shared" si="0"/>
        <v>25</v>
      </c>
      <c r="E21" s="342">
        <f>SUM(F21:G21)</f>
        <v>5</v>
      </c>
      <c r="F21" s="342">
        <v>2</v>
      </c>
      <c r="G21" s="342">
        <v>3</v>
      </c>
      <c r="H21" s="342">
        <f>SUM(I21:J21)</f>
        <v>4</v>
      </c>
      <c r="I21" s="342">
        <v>0</v>
      </c>
      <c r="J21" s="342">
        <v>4</v>
      </c>
      <c r="K21" s="342">
        <f>SUM(L21:M21)</f>
        <v>22</v>
      </c>
      <c r="L21" s="342">
        <v>4</v>
      </c>
      <c r="M21" s="342">
        <v>18</v>
      </c>
      <c r="N21" s="203" t="s">
        <v>145</v>
      </c>
      <c r="O21" s="306" t="s">
        <v>342</v>
      </c>
    </row>
    <row r="22" spans="2:15" ht="18.75" customHeight="1" thickBot="1" x14ac:dyDescent="0.25">
      <c r="B22" s="342">
        <f t="shared" ref="B22:M22" si="6">SUM(B20:B21)</f>
        <v>138</v>
      </c>
      <c r="C22" s="342">
        <f t="shared" si="6"/>
        <v>37</v>
      </c>
      <c r="D22" s="342">
        <f t="shared" si="6"/>
        <v>101</v>
      </c>
      <c r="E22" s="342">
        <f t="shared" si="6"/>
        <v>44</v>
      </c>
      <c r="F22" s="342">
        <f t="shared" si="6"/>
        <v>16</v>
      </c>
      <c r="G22" s="342">
        <f t="shared" si="6"/>
        <v>28</v>
      </c>
      <c r="H22" s="342">
        <f t="shared" si="6"/>
        <v>5</v>
      </c>
      <c r="I22" s="342">
        <f t="shared" si="6"/>
        <v>1</v>
      </c>
      <c r="J22" s="342">
        <f t="shared" si="6"/>
        <v>4</v>
      </c>
      <c r="K22" s="342">
        <f t="shared" si="6"/>
        <v>89</v>
      </c>
      <c r="L22" s="342">
        <f t="shared" si="6"/>
        <v>20</v>
      </c>
      <c r="M22" s="342">
        <f t="shared" si="6"/>
        <v>69</v>
      </c>
      <c r="N22" s="203" t="s">
        <v>12</v>
      </c>
      <c r="O22" s="307"/>
    </row>
    <row r="23" spans="2:15" ht="18.75" customHeight="1" thickBot="1" x14ac:dyDescent="0.25">
      <c r="B23" s="342">
        <f>SUM(C23:D23)</f>
        <v>60</v>
      </c>
      <c r="C23" s="342">
        <f t="shared" si="0"/>
        <v>0</v>
      </c>
      <c r="D23" s="342">
        <f t="shared" si="0"/>
        <v>60</v>
      </c>
      <c r="E23" s="342">
        <f>SUM(F23:G23)</f>
        <v>22</v>
      </c>
      <c r="F23" s="342">
        <v>0</v>
      </c>
      <c r="G23" s="342">
        <v>22</v>
      </c>
      <c r="H23" s="342">
        <f>SUM(I23:J23)</f>
        <v>0</v>
      </c>
      <c r="I23" s="342">
        <v>0</v>
      </c>
      <c r="J23" s="342">
        <v>0</v>
      </c>
      <c r="K23" s="342">
        <f>SUM(L23:M23)</f>
        <v>38</v>
      </c>
      <c r="L23" s="342">
        <v>0</v>
      </c>
      <c r="M23" s="342">
        <v>38</v>
      </c>
      <c r="N23" s="203" t="s">
        <v>146</v>
      </c>
      <c r="O23" s="306"/>
    </row>
    <row r="24" spans="2:15" ht="18.75" customHeight="1" thickBot="1" x14ac:dyDescent="0.25">
      <c r="B24" s="342">
        <f>SUM(C24:D24)</f>
        <v>37</v>
      </c>
      <c r="C24" s="342">
        <f t="shared" si="0"/>
        <v>0</v>
      </c>
      <c r="D24" s="342">
        <f t="shared" si="0"/>
        <v>37</v>
      </c>
      <c r="E24" s="342">
        <f>SUM(F24:G24)</f>
        <v>0</v>
      </c>
      <c r="F24" s="342">
        <v>0</v>
      </c>
      <c r="G24" s="342">
        <v>0</v>
      </c>
      <c r="H24" s="342">
        <f>SUM(I24:J24)</f>
        <v>8</v>
      </c>
      <c r="I24" s="342">
        <v>0</v>
      </c>
      <c r="J24" s="342">
        <v>8</v>
      </c>
      <c r="K24" s="342">
        <f>SUM(L24:M24)</f>
        <v>29</v>
      </c>
      <c r="L24" s="342">
        <v>0</v>
      </c>
      <c r="M24" s="342">
        <v>29</v>
      </c>
      <c r="N24" s="203" t="s">
        <v>145</v>
      </c>
      <c r="O24" s="306" t="s">
        <v>343</v>
      </c>
    </row>
    <row r="25" spans="2:15" ht="18.75" customHeight="1" thickBot="1" x14ac:dyDescent="0.25">
      <c r="B25" s="342">
        <f t="shared" ref="B25:M25" si="7">SUM(B23:B24)</f>
        <v>97</v>
      </c>
      <c r="C25" s="342">
        <f t="shared" si="7"/>
        <v>0</v>
      </c>
      <c r="D25" s="342">
        <f t="shared" si="7"/>
        <v>97</v>
      </c>
      <c r="E25" s="342">
        <f t="shared" si="7"/>
        <v>22</v>
      </c>
      <c r="F25" s="342">
        <f t="shared" si="7"/>
        <v>0</v>
      </c>
      <c r="G25" s="342">
        <f t="shared" si="7"/>
        <v>22</v>
      </c>
      <c r="H25" s="342">
        <f t="shared" si="7"/>
        <v>8</v>
      </c>
      <c r="I25" s="342">
        <f t="shared" si="7"/>
        <v>0</v>
      </c>
      <c r="J25" s="342">
        <f t="shared" si="7"/>
        <v>8</v>
      </c>
      <c r="K25" s="342">
        <f t="shared" si="7"/>
        <v>67</v>
      </c>
      <c r="L25" s="342">
        <f t="shared" si="7"/>
        <v>0</v>
      </c>
      <c r="M25" s="342">
        <f t="shared" si="7"/>
        <v>67</v>
      </c>
      <c r="N25" s="203" t="s">
        <v>12</v>
      </c>
      <c r="O25" s="307"/>
    </row>
    <row r="26" spans="2:15" ht="18.75" customHeight="1" thickBot="1" x14ac:dyDescent="0.25">
      <c r="B26" s="342">
        <f>SUM(C26:D26)</f>
        <v>111</v>
      </c>
      <c r="C26" s="342">
        <f t="shared" si="0"/>
        <v>19</v>
      </c>
      <c r="D26" s="342">
        <f t="shared" si="0"/>
        <v>92</v>
      </c>
      <c r="E26" s="342">
        <f>SUM(F26:G26)</f>
        <v>46</v>
      </c>
      <c r="F26" s="342">
        <v>18</v>
      </c>
      <c r="G26" s="342">
        <v>28</v>
      </c>
      <c r="H26" s="342">
        <f>SUM(I26:J26)</f>
        <v>0</v>
      </c>
      <c r="I26" s="342">
        <v>0</v>
      </c>
      <c r="J26" s="342">
        <v>0</v>
      </c>
      <c r="K26" s="342">
        <f>SUM(L26:M26)</f>
        <v>65</v>
      </c>
      <c r="L26" s="342">
        <v>1</v>
      </c>
      <c r="M26" s="342">
        <v>64</v>
      </c>
      <c r="N26" s="203" t="s">
        <v>146</v>
      </c>
      <c r="O26" s="306"/>
    </row>
    <row r="27" spans="2:15" ht="18.75" customHeight="1" thickBot="1" x14ac:dyDescent="0.25">
      <c r="B27" s="342">
        <f>SUM(C27:D27)</f>
        <v>39</v>
      </c>
      <c r="C27" s="342">
        <f t="shared" si="0"/>
        <v>8</v>
      </c>
      <c r="D27" s="342">
        <f t="shared" si="0"/>
        <v>31</v>
      </c>
      <c r="E27" s="342">
        <f>SUM(F27:G27)</f>
        <v>0</v>
      </c>
      <c r="F27" s="342">
        <v>0</v>
      </c>
      <c r="G27" s="342">
        <v>0</v>
      </c>
      <c r="H27" s="342">
        <f>SUM(I27:J27)</f>
        <v>13</v>
      </c>
      <c r="I27" s="342">
        <v>4</v>
      </c>
      <c r="J27" s="342">
        <v>9</v>
      </c>
      <c r="K27" s="342">
        <f>SUM(L27:M27)</f>
        <v>26</v>
      </c>
      <c r="L27" s="342">
        <v>4</v>
      </c>
      <c r="M27" s="342">
        <v>22</v>
      </c>
      <c r="N27" s="203" t="s">
        <v>145</v>
      </c>
      <c r="O27" s="306" t="s">
        <v>344</v>
      </c>
    </row>
    <row r="28" spans="2:15" ht="18.75" customHeight="1" thickBot="1" x14ac:dyDescent="0.25">
      <c r="B28" s="342">
        <f t="shared" ref="B28:M28" si="8">SUM(B26:B27)</f>
        <v>150</v>
      </c>
      <c r="C28" s="342">
        <f t="shared" si="8"/>
        <v>27</v>
      </c>
      <c r="D28" s="342">
        <f t="shared" si="8"/>
        <v>123</v>
      </c>
      <c r="E28" s="342">
        <f t="shared" si="8"/>
        <v>46</v>
      </c>
      <c r="F28" s="342">
        <f t="shared" si="8"/>
        <v>18</v>
      </c>
      <c r="G28" s="342">
        <f t="shared" si="8"/>
        <v>28</v>
      </c>
      <c r="H28" s="342">
        <f t="shared" si="8"/>
        <v>13</v>
      </c>
      <c r="I28" s="342">
        <f t="shared" si="8"/>
        <v>4</v>
      </c>
      <c r="J28" s="342">
        <f t="shared" si="8"/>
        <v>9</v>
      </c>
      <c r="K28" s="342">
        <f t="shared" si="8"/>
        <v>91</v>
      </c>
      <c r="L28" s="342">
        <f t="shared" si="8"/>
        <v>5</v>
      </c>
      <c r="M28" s="342">
        <f t="shared" si="8"/>
        <v>86</v>
      </c>
      <c r="N28" s="203" t="s">
        <v>12</v>
      </c>
      <c r="O28" s="307"/>
    </row>
    <row r="29" spans="2:15" ht="18.75" customHeight="1" thickBot="1" x14ac:dyDescent="0.25">
      <c r="B29" s="342">
        <f>SUM(C29:D29)</f>
        <v>15</v>
      </c>
      <c r="C29" s="342">
        <f t="shared" si="0"/>
        <v>0</v>
      </c>
      <c r="D29" s="342">
        <f t="shared" si="0"/>
        <v>15</v>
      </c>
      <c r="E29" s="342">
        <f>SUM(F29:G29)</f>
        <v>13</v>
      </c>
      <c r="F29" s="342">
        <v>0</v>
      </c>
      <c r="G29" s="342">
        <v>13</v>
      </c>
      <c r="H29" s="342">
        <f>SUM(I29:J29)</f>
        <v>1</v>
      </c>
      <c r="I29" s="342">
        <v>0</v>
      </c>
      <c r="J29" s="342">
        <v>1</v>
      </c>
      <c r="K29" s="342">
        <f>SUM(L29:M29)</f>
        <v>1</v>
      </c>
      <c r="L29" s="342">
        <v>0</v>
      </c>
      <c r="M29" s="342">
        <v>1</v>
      </c>
      <c r="N29" s="203" t="s">
        <v>146</v>
      </c>
      <c r="O29" s="306"/>
    </row>
    <row r="30" spans="2:15" ht="18.75" customHeight="1" thickBot="1" x14ac:dyDescent="0.25">
      <c r="B30" s="342">
        <f>SUM(C30:D30)</f>
        <v>3</v>
      </c>
      <c r="C30" s="342">
        <f t="shared" si="0"/>
        <v>0</v>
      </c>
      <c r="D30" s="342">
        <f t="shared" si="0"/>
        <v>3</v>
      </c>
      <c r="E30" s="342">
        <f>SUM(F30:G30)</f>
        <v>0</v>
      </c>
      <c r="F30" s="342">
        <v>0</v>
      </c>
      <c r="G30" s="342">
        <v>0</v>
      </c>
      <c r="H30" s="342">
        <f>SUM(I30:J30)</f>
        <v>0</v>
      </c>
      <c r="I30" s="342">
        <v>0</v>
      </c>
      <c r="J30" s="342">
        <v>0</v>
      </c>
      <c r="K30" s="342">
        <f>SUM(L30:M30)</f>
        <v>3</v>
      </c>
      <c r="L30" s="342">
        <v>0</v>
      </c>
      <c r="M30" s="342">
        <v>3</v>
      </c>
      <c r="N30" s="203" t="s">
        <v>145</v>
      </c>
      <c r="O30" s="306" t="s">
        <v>249</v>
      </c>
    </row>
    <row r="31" spans="2:15" ht="18.75" customHeight="1" thickBot="1" x14ac:dyDescent="0.25">
      <c r="B31" s="342">
        <f t="shared" ref="B31:M31" si="9">SUM(B29:B30)</f>
        <v>18</v>
      </c>
      <c r="C31" s="342">
        <f t="shared" si="9"/>
        <v>0</v>
      </c>
      <c r="D31" s="342">
        <f t="shared" si="9"/>
        <v>18</v>
      </c>
      <c r="E31" s="342">
        <f t="shared" si="9"/>
        <v>13</v>
      </c>
      <c r="F31" s="342">
        <f t="shared" si="9"/>
        <v>0</v>
      </c>
      <c r="G31" s="342">
        <f t="shared" si="9"/>
        <v>13</v>
      </c>
      <c r="H31" s="342">
        <f t="shared" si="9"/>
        <v>1</v>
      </c>
      <c r="I31" s="342">
        <f t="shared" si="9"/>
        <v>0</v>
      </c>
      <c r="J31" s="342">
        <f t="shared" si="9"/>
        <v>1</v>
      </c>
      <c r="K31" s="342">
        <f t="shared" si="9"/>
        <v>4</v>
      </c>
      <c r="L31" s="342">
        <f t="shared" si="9"/>
        <v>0</v>
      </c>
      <c r="M31" s="342">
        <f t="shared" si="9"/>
        <v>4</v>
      </c>
      <c r="N31" s="203" t="s">
        <v>12</v>
      </c>
      <c r="O31" s="307"/>
    </row>
    <row r="32" spans="2:15" ht="18.75" customHeight="1" thickBot="1" x14ac:dyDescent="0.25">
      <c r="B32" s="342">
        <f>SUM(C32:D32)</f>
        <v>439</v>
      </c>
      <c r="C32" s="342">
        <f t="shared" si="0"/>
        <v>317</v>
      </c>
      <c r="D32" s="342">
        <f t="shared" si="0"/>
        <v>122</v>
      </c>
      <c r="E32" s="342">
        <f>SUM(F32:G32)</f>
        <v>260</v>
      </c>
      <c r="F32" s="342">
        <v>198</v>
      </c>
      <c r="G32" s="342">
        <v>62</v>
      </c>
      <c r="H32" s="342">
        <f>SUM(I32:J32)</f>
        <v>74</v>
      </c>
      <c r="I32" s="342">
        <v>50</v>
      </c>
      <c r="J32" s="342">
        <v>24</v>
      </c>
      <c r="K32" s="342">
        <f>SUM(L32:M32)</f>
        <v>105</v>
      </c>
      <c r="L32" s="342">
        <v>69</v>
      </c>
      <c r="M32" s="342">
        <v>36</v>
      </c>
      <c r="N32" s="203" t="s">
        <v>146</v>
      </c>
      <c r="O32" s="306"/>
    </row>
    <row r="33" spans="2:15" ht="18.75" customHeight="1" thickBot="1" x14ac:dyDescent="0.25">
      <c r="B33" s="342">
        <f>SUM(C33:D33)</f>
        <v>14</v>
      </c>
      <c r="C33" s="342">
        <f t="shared" si="0"/>
        <v>11</v>
      </c>
      <c r="D33" s="342">
        <f t="shared" si="0"/>
        <v>3</v>
      </c>
      <c r="E33" s="342">
        <f>SUM(F33:G33)</f>
        <v>0</v>
      </c>
      <c r="F33" s="342">
        <v>0</v>
      </c>
      <c r="G33" s="342">
        <v>0</v>
      </c>
      <c r="H33" s="342">
        <f>SUM(I33:J33)</f>
        <v>0</v>
      </c>
      <c r="I33" s="342">
        <v>0</v>
      </c>
      <c r="J33" s="342">
        <v>0</v>
      </c>
      <c r="K33" s="342">
        <f>SUM(L33:M33)</f>
        <v>14</v>
      </c>
      <c r="L33" s="342">
        <v>11</v>
      </c>
      <c r="M33" s="342">
        <v>3</v>
      </c>
      <c r="N33" s="203" t="s">
        <v>145</v>
      </c>
      <c r="O33" s="306" t="s">
        <v>744</v>
      </c>
    </row>
    <row r="34" spans="2:15" ht="18.75" customHeight="1" thickBot="1" x14ac:dyDescent="0.25">
      <c r="B34" s="342">
        <f t="shared" ref="B34:M34" si="10">SUM(B32:B33)</f>
        <v>453</v>
      </c>
      <c r="C34" s="342">
        <f t="shared" si="10"/>
        <v>328</v>
      </c>
      <c r="D34" s="342">
        <f t="shared" si="10"/>
        <v>125</v>
      </c>
      <c r="E34" s="342">
        <f t="shared" si="10"/>
        <v>260</v>
      </c>
      <c r="F34" s="342">
        <f t="shared" si="10"/>
        <v>198</v>
      </c>
      <c r="G34" s="342">
        <f t="shared" si="10"/>
        <v>62</v>
      </c>
      <c r="H34" s="342">
        <f t="shared" si="10"/>
        <v>74</v>
      </c>
      <c r="I34" s="342">
        <f t="shared" si="10"/>
        <v>50</v>
      </c>
      <c r="J34" s="342">
        <f t="shared" si="10"/>
        <v>24</v>
      </c>
      <c r="K34" s="342">
        <f t="shared" si="10"/>
        <v>119</v>
      </c>
      <c r="L34" s="342">
        <f t="shared" si="10"/>
        <v>80</v>
      </c>
      <c r="M34" s="342">
        <f t="shared" si="10"/>
        <v>39</v>
      </c>
      <c r="N34" s="203" t="s">
        <v>12</v>
      </c>
      <c r="O34" s="307"/>
    </row>
    <row r="35" spans="2:15" ht="18.75" customHeight="1" thickBot="1" x14ac:dyDescent="0.25">
      <c r="B35" s="342">
        <f>SUM(C35:D35)</f>
        <v>31</v>
      </c>
      <c r="C35" s="342">
        <f t="shared" si="0"/>
        <v>0</v>
      </c>
      <c r="D35" s="342">
        <f t="shared" si="0"/>
        <v>31</v>
      </c>
      <c r="E35" s="342">
        <f>SUM(F35:G35)</f>
        <v>7</v>
      </c>
      <c r="F35" s="342">
        <v>0</v>
      </c>
      <c r="G35" s="342">
        <v>7</v>
      </c>
      <c r="H35" s="342">
        <f>SUM(I35:J35)</f>
        <v>0</v>
      </c>
      <c r="I35" s="342">
        <v>0</v>
      </c>
      <c r="J35" s="342">
        <v>0</v>
      </c>
      <c r="K35" s="342">
        <f>SUM(L35:M35)</f>
        <v>24</v>
      </c>
      <c r="L35" s="342">
        <v>0</v>
      </c>
      <c r="M35" s="342">
        <v>24</v>
      </c>
      <c r="N35" s="203" t="s">
        <v>146</v>
      </c>
      <c r="O35" s="306"/>
    </row>
    <row r="36" spans="2:15" ht="18.75" customHeight="1" thickBot="1" x14ac:dyDescent="0.25">
      <c r="B36" s="342">
        <f>SUM(C36:D36)</f>
        <v>7</v>
      </c>
      <c r="C36" s="342">
        <f t="shared" si="0"/>
        <v>0</v>
      </c>
      <c r="D36" s="342">
        <f t="shared" si="0"/>
        <v>7</v>
      </c>
      <c r="E36" s="342">
        <f>SUM(F36:G36)</f>
        <v>0</v>
      </c>
      <c r="F36" s="342">
        <v>0</v>
      </c>
      <c r="G36" s="342">
        <v>0</v>
      </c>
      <c r="H36" s="342">
        <f>SUM(I36:J36)</f>
        <v>2</v>
      </c>
      <c r="I36" s="342">
        <v>0</v>
      </c>
      <c r="J36" s="342">
        <v>2</v>
      </c>
      <c r="K36" s="342">
        <f>SUM(L36:M36)</f>
        <v>5</v>
      </c>
      <c r="L36" s="342">
        <v>0</v>
      </c>
      <c r="M36" s="342">
        <v>5</v>
      </c>
      <c r="N36" s="203" t="s">
        <v>145</v>
      </c>
      <c r="O36" s="306" t="s">
        <v>745</v>
      </c>
    </row>
    <row r="37" spans="2:15" ht="18.75" customHeight="1" thickBot="1" x14ac:dyDescent="0.25">
      <c r="B37" s="342">
        <f t="shared" ref="B37:M37" si="11">SUM(B35:B36)</f>
        <v>38</v>
      </c>
      <c r="C37" s="342">
        <f t="shared" si="11"/>
        <v>0</v>
      </c>
      <c r="D37" s="342">
        <f t="shared" si="11"/>
        <v>38</v>
      </c>
      <c r="E37" s="342">
        <f t="shared" si="11"/>
        <v>7</v>
      </c>
      <c r="F37" s="342">
        <f t="shared" si="11"/>
        <v>0</v>
      </c>
      <c r="G37" s="342">
        <f t="shared" si="11"/>
        <v>7</v>
      </c>
      <c r="H37" s="342">
        <f t="shared" si="11"/>
        <v>2</v>
      </c>
      <c r="I37" s="342">
        <f t="shared" si="11"/>
        <v>0</v>
      </c>
      <c r="J37" s="342">
        <f t="shared" si="11"/>
        <v>2</v>
      </c>
      <c r="K37" s="342">
        <f t="shared" si="11"/>
        <v>29</v>
      </c>
      <c r="L37" s="342">
        <f t="shared" si="11"/>
        <v>0</v>
      </c>
      <c r="M37" s="342">
        <f t="shared" si="11"/>
        <v>29</v>
      </c>
      <c r="N37" s="203" t="s">
        <v>12</v>
      </c>
      <c r="O37" s="307"/>
    </row>
    <row r="38" spans="2:15" ht="18.75" customHeight="1" thickBot="1" x14ac:dyDescent="0.25">
      <c r="B38" s="342">
        <f>SUM(C38:D38)</f>
        <v>129</v>
      </c>
      <c r="C38" s="342">
        <f t="shared" si="0"/>
        <v>46</v>
      </c>
      <c r="D38" s="342">
        <f t="shared" si="0"/>
        <v>83</v>
      </c>
      <c r="E38" s="342">
        <f>SUM(F38:G38)</f>
        <v>47</v>
      </c>
      <c r="F38" s="342">
        <v>33</v>
      </c>
      <c r="G38" s="342">
        <v>14</v>
      </c>
      <c r="H38" s="342">
        <f>SUM(I38:J38)</f>
        <v>7</v>
      </c>
      <c r="I38" s="342">
        <v>4</v>
      </c>
      <c r="J38" s="342">
        <v>3</v>
      </c>
      <c r="K38" s="342">
        <f>SUM(L38:M38)</f>
        <v>75</v>
      </c>
      <c r="L38" s="342">
        <v>9</v>
      </c>
      <c r="M38" s="342">
        <v>66</v>
      </c>
      <c r="N38" s="203" t="s">
        <v>146</v>
      </c>
      <c r="O38" s="306"/>
    </row>
    <row r="39" spans="2:15" ht="18.75" customHeight="1" thickBot="1" x14ac:dyDescent="0.25">
      <c r="B39" s="342">
        <f>SUM(C39:D39)</f>
        <v>42</v>
      </c>
      <c r="C39" s="342">
        <f t="shared" si="0"/>
        <v>12</v>
      </c>
      <c r="D39" s="342">
        <f t="shared" si="0"/>
        <v>30</v>
      </c>
      <c r="E39" s="342">
        <f>SUM(F39:G39)</f>
        <v>0</v>
      </c>
      <c r="F39" s="342">
        <v>0</v>
      </c>
      <c r="G39" s="342">
        <v>0</v>
      </c>
      <c r="H39" s="342">
        <f>SUM(I39:J39)</f>
        <v>0</v>
      </c>
      <c r="I39" s="342">
        <v>0</v>
      </c>
      <c r="J39" s="342">
        <v>0</v>
      </c>
      <c r="K39" s="342">
        <f>SUM(L39:M39)</f>
        <v>42</v>
      </c>
      <c r="L39" s="342">
        <v>12</v>
      </c>
      <c r="M39" s="342">
        <v>30</v>
      </c>
      <c r="N39" s="203" t="s">
        <v>145</v>
      </c>
      <c r="O39" s="306" t="s">
        <v>345</v>
      </c>
    </row>
    <row r="40" spans="2:15" ht="18.75" customHeight="1" thickBot="1" x14ac:dyDescent="0.25">
      <c r="B40" s="342">
        <f t="shared" ref="B40:M40" si="12">SUM(B38:B39)</f>
        <v>171</v>
      </c>
      <c r="C40" s="342">
        <f t="shared" si="12"/>
        <v>58</v>
      </c>
      <c r="D40" s="342">
        <f t="shared" si="12"/>
        <v>113</v>
      </c>
      <c r="E40" s="342">
        <f t="shared" si="12"/>
        <v>47</v>
      </c>
      <c r="F40" s="342">
        <f t="shared" si="12"/>
        <v>33</v>
      </c>
      <c r="G40" s="342">
        <f t="shared" si="12"/>
        <v>14</v>
      </c>
      <c r="H40" s="342">
        <f t="shared" si="12"/>
        <v>7</v>
      </c>
      <c r="I40" s="342">
        <f t="shared" si="12"/>
        <v>4</v>
      </c>
      <c r="J40" s="342">
        <f t="shared" si="12"/>
        <v>3</v>
      </c>
      <c r="K40" s="342">
        <f t="shared" si="12"/>
        <v>117</v>
      </c>
      <c r="L40" s="342">
        <f t="shared" si="12"/>
        <v>21</v>
      </c>
      <c r="M40" s="342">
        <f t="shared" si="12"/>
        <v>96</v>
      </c>
      <c r="N40" s="203" t="s">
        <v>12</v>
      </c>
      <c r="O40" s="307"/>
    </row>
    <row r="41" spans="2:15" ht="18.75" customHeight="1" thickBot="1" x14ac:dyDescent="0.25">
      <c r="B41" s="342">
        <f>SUM(C41:D41)</f>
        <v>158</v>
      </c>
      <c r="C41" s="342">
        <f t="shared" si="0"/>
        <v>60</v>
      </c>
      <c r="D41" s="342">
        <f t="shared" si="0"/>
        <v>98</v>
      </c>
      <c r="E41" s="342">
        <f>SUM(F41:G41)</f>
        <v>83</v>
      </c>
      <c r="F41" s="342">
        <v>45</v>
      </c>
      <c r="G41" s="342">
        <v>38</v>
      </c>
      <c r="H41" s="342">
        <f>SUM(I41:J41)</f>
        <v>5</v>
      </c>
      <c r="I41" s="342">
        <v>2</v>
      </c>
      <c r="J41" s="342">
        <v>3</v>
      </c>
      <c r="K41" s="342">
        <f>SUM(L41:M41)</f>
        <v>70</v>
      </c>
      <c r="L41" s="342">
        <v>13</v>
      </c>
      <c r="M41" s="342">
        <v>57</v>
      </c>
      <c r="N41" s="203" t="s">
        <v>146</v>
      </c>
      <c r="O41" s="306"/>
    </row>
    <row r="42" spans="2:15" ht="18.75" customHeight="1" thickBot="1" x14ac:dyDescent="0.25">
      <c r="B42" s="342">
        <f>SUM(C42:D42)</f>
        <v>21</v>
      </c>
      <c r="C42" s="342">
        <f t="shared" si="0"/>
        <v>0</v>
      </c>
      <c r="D42" s="342">
        <f t="shared" si="0"/>
        <v>21</v>
      </c>
      <c r="E42" s="342">
        <f>SUM(F42:G42)</f>
        <v>0</v>
      </c>
      <c r="F42" s="342">
        <v>0</v>
      </c>
      <c r="G42" s="342">
        <v>0</v>
      </c>
      <c r="H42" s="342">
        <f>SUM(I42:J42)</f>
        <v>1</v>
      </c>
      <c r="I42" s="342">
        <v>0</v>
      </c>
      <c r="J42" s="342">
        <v>1</v>
      </c>
      <c r="K42" s="342">
        <f>SUM(L42:M42)</f>
        <v>20</v>
      </c>
      <c r="L42" s="342">
        <v>0</v>
      </c>
      <c r="M42" s="342">
        <v>20</v>
      </c>
      <c r="N42" s="203" t="s">
        <v>145</v>
      </c>
      <c r="O42" s="306" t="s">
        <v>346</v>
      </c>
    </row>
    <row r="43" spans="2:15" ht="18.75" customHeight="1" thickBot="1" x14ac:dyDescent="0.25">
      <c r="B43" s="342">
        <f t="shared" ref="B43:M43" si="13">SUM(B41:B42)</f>
        <v>179</v>
      </c>
      <c r="C43" s="342">
        <f t="shared" si="13"/>
        <v>60</v>
      </c>
      <c r="D43" s="342">
        <f t="shared" si="13"/>
        <v>119</v>
      </c>
      <c r="E43" s="342">
        <f t="shared" si="13"/>
        <v>83</v>
      </c>
      <c r="F43" s="342">
        <f t="shared" si="13"/>
        <v>45</v>
      </c>
      <c r="G43" s="342">
        <f t="shared" si="13"/>
        <v>38</v>
      </c>
      <c r="H43" s="342">
        <f t="shared" si="13"/>
        <v>6</v>
      </c>
      <c r="I43" s="342">
        <f t="shared" si="13"/>
        <v>2</v>
      </c>
      <c r="J43" s="342">
        <f t="shared" si="13"/>
        <v>4</v>
      </c>
      <c r="K43" s="342">
        <f t="shared" si="13"/>
        <v>90</v>
      </c>
      <c r="L43" s="342">
        <f t="shared" si="13"/>
        <v>13</v>
      </c>
      <c r="M43" s="342">
        <f t="shared" si="13"/>
        <v>77</v>
      </c>
      <c r="N43" s="203" t="s">
        <v>12</v>
      </c>
      <c r="O43" s="307"/>
    </row>
    <row r="44" spans="2:15" ht="18.75" customHeight="1" thickBot="1" x14ac:dyDescent="0.25">
      <c r="B44" s="342">
        <f>SUM(C44:D44)</f>
        <v>3</v>
      </c>
      <c r="C44" s="342">
        <f t="shared" si="0"/>
        <v>0</v>
      </c>
      <c r="D44" s="342">
        <f t="shared" si="0"/>
        <v>3</v>
      </c>
      <c r="E44" s="342">
        <f>SUM(F44:G44)</f>
        <v>0</v>
      </c>
      <c r="F44" s="342">
        <v>0</v>
      </c>
      <c r="G44" s="342">
        <v>0</v>
      </c>
      <c r="H44" s="342">
        <f>SUM(I44:J44)</f>
        <v>0</v>
      </c>
      <c r="I44" s="342">
        <v>0</v>
      </c>
      <c r="J44" s="342">
        <v>0</v>
      </c>
      <c r="K44" s="342">
        <f>SUM(L44:M44)</f>
        <v>3</v>
      </c>
      <c r="L44" s="342">
        <v>0</v>
      </c>
      <c r="M44" s="342">
        <v>3</v>
      </c>
      <c r="N44" s="203" t="s">
        <v>146</v>
      </c>
      <c r="O44" s="306"/>
    </row>
    <row r="45" spans="2:15" ht="18.75" customHeight="1" thickBot="1" x14ac:dyDescent="0.25">
      <c r="B45" s="342">
        <f>SUM(C45:D45)</f>
        <v>1</v>
      </c>
      <c r="C45" s="342">
        <f t="shared" si="0"/>
        <v>0</v>
      </c>
      <c r="D45" s="342">
        <f t="shared" si="0"/>
        <v>1</v>
      </c>
      <c r="E45" s="342">
        <f>SUM(F45:G45)</f>
        <v>0</v>
      </c>
      <c r="F45" s="342">
        <v>0</v>
      </c>
      <c r="G45" s="342">
        <v>0</v>
      </c>
      <c r="H45" s="342">
        <f>SUM(I45:J45)</f>
        <v>0</v>
      </c>
      <c r="I45" s="342">
        <v>0</v>
      </c>
      <c r="J45" s="342">
        <v>0</v>
      </c>
      <c r="K45" s="342">
        <f>SUM(L45:M45)</f>
        <v>1</v>
      </c>
      <c r="L45" s="342">
        <v>0</v>
      </c>
      <c r="M45" s="342">
        <v>1</v>
      </c>
      <c r="N45" s="203" t="s">
        <v>145</v>
      </c>
      <c r="O45" s="306" t="s">
        <v>576</v>
      </c>
    </row>
    <row r="46" spans="2:15" ht="18.75" customHeight="1" thickBot="1" x14ac:dyDescent="0.25">
      <c r="B46" s="342">
        <f t="shared" ref="B46:M46" si="14">SUM(B44:B45)</f>
        <v>4</v>
      </c>
      <c r="C46" s="342">
        <f t="shared" si="14"/>
        <v>0</v>
      </c>
      <c r="D46" s="342">
        <f t="shared" si="14"/>
        <v>4</v>
      </c>
      <c r="E46" s="342">
        <f t="shared" si="14"/>
        <v>0</v>
      </c>
      <c r="F46" s="342">
        <f t="shared" si="14"/>
        <v>0</v>
      </c>
      <c r="G46" s="342">
        <f t="shared" si="14"/>
        <v>0</v>
      </c>
      <c r="H46" s="342">
        <f t="shared" si="14"/>
        <v>0</v>
      </c>
      <c r="I46" s="342">
        <f t="shared" si="14"/>
        <v>0</v>
      </c>
      <c r="J46" s="342">
        <f t="shared" si="14"/>
        <v>0</v>
      </c>
      <c r="K46" s="342">
        <f t="shared" si="14"/>
        <v>4</v>
      </c>
      <c r="L46" s="342">
        <f t="shared" si="14"/>
        <v>0</v>
      </c>
      <c r="M46" s="342">
        <f t="shared" si="14"/>
        <v>4</v>
      </c>
      <c r="N46" s="203" t="s">
        <v>12</v>
      </c>
      <c r="O46" s="307"/>
    </row>
    <row r="47" spans="2:15" ht="18.75" customHeight="1" thickBot="1" x14ac:dyDescent="0.25">
      <c r="B47" s="342">
        <f>SUM(C47:D47)</f>
        <v>70</v>
      </c>
      <c r="C47" s="342">
        <f t="shared" si="0"/>
        <v>0</v>
      </c>
      <c r="D47" s="342">
        <f t="shared" si="0"/>
        <v>70</v>
      </c>
      <c r="E47" s="342">
        <f>SUM(F47:G47)</f>
        <v>25</v>
      </c>
      <c r="F47" s="342">
        <v>0</v>
      </c>
      <c r="G47" s="342">
        <v>25</v>
      </c>
      <c r="H47" s="342">
        <f>SUM(I47:J47)</f>
        <v>5</v>
      </c>
      <c r="I47" s="342">
        <v>0</v>
      </c>
      <c r="J47" s="342">
        <v>5</v>
      </c>
      <c r="K47" s="342">
        <f>SUM(L47:M47)</f>
        <v>40</v>
      </c>
      <c r="L47" s="342">
        <v>0</v>
      </c>
      <c r="M47" s="342">
        <v>40</v>
      </c>
      <c r="N47" s="203" t="s">
        <v>146</v>
      </c>
      <c r="O47" s="306"/>
    </row>
    <row r="48" spans="2:15" ht="18.75" customHeight="1" thickBot="1" x14ac:dyDescent="0.25">
      <c r="B48" s="342">
        <f>SUM(C48:D48)</f>
        <v>8</v>
      </c>
      <c r="C48" s="342">
        <f t="shared" si="0"/>
        <v>0</v>
      </c>
      <c r="D48" s="342">
        <f t="shared" si="0"/>
        <v>8</v>
      </c>
      <c r="E48" s="342">
        <f>SUM(F48:G48)</f>
        <v>0</v>
      </c>
      <c r="F48" s="342">
        <v>0</v>
      </c>
      <c r="G48" s="342">
        <v>0</v>
      </c>
      <c r="H48" s="342">
        <f>SUM(I48:J48)</f>
        <v>0</v>
      </c>
      <c r="I48" s="342">
        <v>0</v>
      </c>
      <c r="J48" s="342">
        <v>0</v>
      </c>
      <c r="K48" s="342">
        <f>SUM(L48:M48)</f>
        <v>8</v>
      </c>
      <c r="L48" s="342">
        <v>0</v>
      </c>
      <c r="M48" s="342">
        <v>8</v>
      </c>
      <c r="N48" s="203" t="s">
        <v>145</v>
      </c>
      <c r="O48" s="306" t="s">
        <v>746</v>
      </c>
    </row>
    <row r="49" spans="2:15" ht="18.75" customHeight="1" thickBot="1" x14ac:dyDescent="0.25">
      <c r="B49" s="342">
        <f t="shared" ref="B49:M49" si="15">SUM(B47:B48)</f>
        <v>78</v>
      </c>
      <c r="C49" s="342">
        <f t="shared" si="15"/>
        <v>0</v>
      </c>
      <c r="D49" s="342">
        <f t="shared" si="15"/>
        <v>78</v>
      </c>
      <c r="E49" s="342">
        <f t="shared" si="15"/>
        <v>25</v>
      </c>
      <c r="F49" s="342">
        <f t="shared" si="15"/>
        <v>0</v>
      </c>
      <c r="G49" s="342">
        <f t="shared" si="15"/>
        <v>25</v>
      </c>
      <c r="H49" s="342">
        <f t="shared" si="15"/>
        <v>5</v>
      </c>
      <c r="I49" s="342">
        <f t="shared" si="15"/>
        <v>0</v>
      </c>
      <c r="J49" s="342">
        <f t="shared" si="15"/>
        <v>5</v>
      </c>
      <c r="K49" s="342">
        <f t="shared" si="15"/>
        <v>48</v>
      </c>
      <c r="L49" s="342">
        <f t="shared" si="15"/>
        <v>0</v>
      </c>
      <c r="M49" s="342">
        <f t="shared" si="15"/>
        <v>48</v>
      </c>
      <c r="N49" s="203" t="s">
        <v>12</v>
      </c>
      <c r="O49" s="307"/>
    </row>
    <row r="50" spans="2:15" ht="18.75" customHeight="1" thickBot="1" x14ac:dyDescent="0.25">
      <c r="B50" s="342">
        <f>SUM(C50:D50)</f>
        <v>66</v>
      </c>
      <c r="C50" s="342">
        <f t="shared" si="0"/>
        <v>0</v>
      </c>
      <c r="D50" s="342">
        <f t="shared" si="0"/>
        <v>66</v>
      </c>
      <c r="E50" s="342">
        <f>SUM(F50:G50)</f>
        <v>9</v>
      </c>
      <c r="F50" s="342">
        <v>0</v>
      </c>
      <c r="G50" s="342">
        <v>9</v>
      </c>
      <c r="H50" s="342">
        <f>SUM(I50:J50)</f>
        <v>7</v>
      </c>
      <c r="I50" s="342">
        <v>0</v>
      </c>
      <c r="J50" s="342">
        <v>7</v>
      </c>
      <c r="K50" s="342">
        <f>SUM(L50:M50)</f>
        <v>50</v>
      </c>
      <c r="L50" s="342">
        <v>0</v>
      </c>
      <c r="M50" s="342">
        <v>50</v>
      </c>
      <c r="N50" s="203" t="s">
        <v>146</v>
      </c>
      <c r="O50" s="306"/>
    </row>
    <row r="51" spans="2:15" ht="18.75" customHeight="1" thickBot="1" x14ac:dyDescent="0.25">
      <c r="B51" s="342">
        <f>SUM(C51:D51)</f>
        <v>2</v>
      </c>
      <c r="C51" s="342">
        <f t="shared" si="0"/>
        <v>0</v>
      </c>
      <c r="D51" s="342">
        <f t="shared" si="0"/>
        <v>2</v>
      </c>
      <c r="E51" s="342">
        <f>SUM(F51:G51)</f>
        <v>0</v>
      </c>
      <c r="F51" s="342">
        <v>0</v>
      </c>
      <c r="G51" s="342">
        <v>0</v>
      </c>
      <c r="H51" s="342">
        <f>SUM(I51:J51)</f>
        <v>0</v>
      </c>
      <c r="I51" s="342">
        <v>0</v>
      </c>
      <c r="J51" s="342">
        <v>0</v>
      </c>
      <c r="K51" s="342">
        <f>SUM(L51:M51)</f>
        <v>2</v>
      </c>
      <c r="L51" s="342">
        <v>0</v>
      </c>
      <c r="M51" s="342">
        <v>2</v>
      </c>
      <c r="N51" s="203" t="s">
        <v>145</v>
      </c>
      <c r="O51" s="306" t="s">
        <v>747</v>
      </c>
    </row>
    <row r="52" spans="2:15" ht="18.75" customHeight="1" thickBot="1" x14ac:dyDescent="0.25">
      <c r="B52" s="342">
        <f t="shared" ref="B52:M52" si="16">SUM(B50:B51)</f>
        <v>68</v>
      </c>
      <c r="C52" s="342">
        <f t="shared" si="16"/>
        <v>0</v>
      </c>
      <c r="D52" s="342">
        <f t="shared" si="16"/>
        <v>68</v>
      </c>
      <c r="E52" s="342">
        <f t="shared" si="16"/>
        <v>9</v>
      </c>
      <c r="F52" s="342">
        <f t="shared" si="16"/>
        <v>0</v>
      </c>
      <c r="G52" s="342">
        <f t="shared" si="16"/>
        <v>9</v>
      </c>
      <c r="H52" s="342">
        <f t="shared" si="16"/>
        <v>7</v>
      </c>
      <c r="I52" s="342">
        <f t="shared" si="16"/>
        <v>0</v>
      </c>
      <c r="J52" s="342">
        <f t="shared" si="16"/>
        <v>7</v>
      </c>
      <c r="K52" s="342">
        <f t="shared" si="16"/>
        <v>52</v>
      </c>
      <c r="L52" s="342">
        <f t="shared" si="16"/>
        <v>0</v>
      </c>
      <c r="M52" s="342">
        <f t="shared" si="16"/>
        <v>52</v>
      </c>
      <c r="N52" s="203" t="s">
        <v>12</v>
      </c>
      <c r="O52" s="307"/>
    </row>
    <row r="53" spans="2:15" ht="18.75" customHeight="1" thickBot="1" x14ac:dyDescent="0.25">
      <c r="B53" s="342">
        <f>SUM(C53:D53)</f>
        <v>9</v>
      </c>
      <c r="C53" s="342">
        <f t="shared" si="0"/>
        <v>1</v>
      </c>
      <c r="D53" s="342">
        <f t="shared" si="0"/>
        <v>8</v>
      </c>
      <c r="E53" s="342">
        <f>SUM(F53:G53)</f>
        <v>1</v>
      </c>
      <c r="F53" s="342">
        <v>1</v>
      </c>
      <c r="G53" s="342">
        <v>0</v>
      </c>
      <c r="H53" s="342">
        <f>SUM(I53:J53)</f>
        <v>0</v>
      </c>
      <c r="I53" s="342">
        <v>0</v>
      </c>
      <c r="J53" s="342">
        <v>0</v>
      </c>
      <c r="K53" s="342">
        <f>SUM(L53:M53)</f>
        <v>8</v>
      </c>
      <c r="L53" s="342">
        <v>0</v>
      </c>
      <c r="M53" s="342">
        <v>8</v>
      </c>
      <c r="N53" s="203" t="s">
        <v>146</v>
      </c>
      <c r="O53" s="306"/>
    </row>
    <row r="54" spans="2:15" ht="18.75" customHeight="1" thickBot="1" x14ac:dyDescent="0.25">
      <c r="B54" s="342">
        <f>SUM(C54:D54)</f>
        <v>17</v>
      </c>
      <c r="C54" s="342">
        <f t="shared" si="0"/>
        <v>9</v>
      </c>
      <c r="D54" s="342">
        <f t="shared" si="0"/>
        <v>8</v>
      </c>
      <c r="E54" s="342">
        <f>SUM(F54:G54)</f>
        <v>8</v>
      </c>
      <c r="F54" s="342">
        <v>8</v>
      </c>
      <c r="G54" s="342">
        <v>0</v>
      </c>
      <c r="H54" s="342">
        <f>SUM(I54:J54)</f>
        <v>1</v>
      </c>
      <c r="I54" s="342">
        <v>0</v>
      </c>
      <c r="J54" s="342">
        <v>1</v>
      </c>
      <c r="K54" s="342">
        <f>SUM(L54:M54)</f>
        <v>8</v>
      </c>
      <c r="L54" s="342">
        <v>1</v>
      </c>
      <c r="M54" s="342">
        <v>7</v>
      </c>
      <c r="N54" s="203" t="s">
        <v>145</v>
      </c>
      <c r="O54" s="306" t="s">
        <v>347</v>
      </c>
    </row>
    <row r="55" spans="2:15" ht="18.75" customHeight="1" thickBot="1" x14ac:dyDescent="0.25">
      <c r="B55" s="342">
        <f t="shared" ref="B55:M55" si="17">SUM(B53:B54)</f>
        <v>26</v>
      </c>
      <c r="C55" s="342">
        <f t="shared" si="17"/>
        <v>10</v>
      </c>
      <c r="D55" s="342">
        <f t="shared" si="17"/>
        <v>16</v>
      </c>
      <c r="E55" s="342">
        <f t="shared" si="17"/>
        <v>9</v>
      </c>
      <c r="F55" s="342">
        <f t="shared" si="17"/>
        <v>9</v>
      </c>
      <c r="G55" s="342">
        <f t="shared" si="17"/>
        <v>0</v>
      </c>
      <c r="H55" s="342">
        <f t="shared" si="17"/>
        <v>1</v>
      </c>
      <c r="I55" s="342">
        <f t="shared" si="17"/>
        <v>0</v>
      </c>
      <c r="J55" s="342">
        <f t="shared" si="17"/>
        <v>1</v>
      </c>
      <c r="K55" s="342">
        <f t="shared" si="17"/>
        <v>16</v>
      </c>
      <c r="L55" s="342">
        <f t="shared" si="17"/>
        <v>1</v>
      </c>
      <c r="M55" s="342">
        <f t="shared" si="17"/>
        <v>15</v>
      </c>
      <c r="N55" s="203" t="s">
        <v>12</v>
      </c>
      <c r="O55" s="307"/>
    </row>
    <row r="56" spans="2:15" ht="18.75" customHeight="1" thickBot="1" x14ac:dyDescent="0.25">
      <c r="B56" s="342">
        <f>SUM(C56:D56)</f>
        <v>25</v>
      </c>
      <c r="C56" s="342">
        <f t="shared" si="0"/>
        <v>23</v>
      </c>
      <c r="D56" s="342">
        <f t="shared" si="0"/>
        <v>2</v>
      </c>
      <c r="E56" s="342">
        <f>SUM(F56:G56)</f>
        <v>25</v>
      </c>
      <c r="F56" s="342">
        <v>23</v>
      </c>
      <c r="G56" s="342">
        <v>2</v>
      </c>
      <c r="H56" s="342">
        <f>SUM(I56:J56)</f>
        <v>0</v>
      </c>
      <c r="I56" s="342">
        <v>0</v>
      </c>
      <c r="J56" s="342">
        <v>0</v>
      </c>
      <c r="K56" s="342">
        <f>SUM(L56:M56)</f>
        <v>0</v>
      </c>
      <c r="L56" s="342">
        <v>0</v>
      </c>
      <c r="M56" s="342">
        <v>0</v>
      </c>
      <c r="N56" s="203" t="s">
        <v>146</v>
      </c>
      <c r="O56" s="306"/>
    </row>
    <row r="57" spans="2:15" ht="18.75" customHeight="1" thickBot="1" x14ac:dyDescent="0.25">
      <c r="B57" s="342">
        <f>SUM(C57:D57)</f>
        <v>5</v>
      </c>
      <c r="C57" s="342">
        <f t="shared" si="0"/>
        <v>1</v>
      </c>
      <c r="D57" s="342">
        <f t="shared" si="0"/>
        <v>4</v>
      </c>
      <c r="E57" s="342">
        <f>SUM(F57:G57)</f>
        <v>0</v>
      </c>
      <c r="F57" s="342">
        <v>0</v>
      </c>
      <c r="G57" s="342">
        <v>0</v>
      </c>
      <c r="H57" s="342">
        <f>SUM(I57:J57)</f>
        <v>1</v>
      </c>
      <c r="I57" s="342">
        <v>0</v>
      </c>
      <c r="J57" s="342">
        <v>1</v>
      </c>
      <c r="K57" s="342">
        <f>SUM(L57:M57)</f>
        <v>4</v>
      </c>
      <c r="L57" s="342">
        <v>1</v>
      </c>
      <c r="M57" s="342">
        <v>3</v>
      </c>
      <c r="N57" s="203" t="s">
        <v>145</v>
      </c>
      <c r="O57" s="306" t="s">
        <v>348</v>
      </c>
    </row>
    <row r="58" spans="2:15" ht="18.75" customHeight="1" thickBot="1" x14ac:dyDescent="0.25">
      <c r="B58" s="342">
        <f t="shared" ref="B58:M58" si="18">SUM(B56:B57)</f>
        <v>30</v>
      </c>
      <c r="C58" s="342">
        <f t="shared" si="18"/>
        <v>24</v>
      </c>
      <c r="D58" s="342">
        <f t="shared" si="18"/>
        <v>6</v>
      </c>
      <c r="E58" s="342">
        <f t="shared" si="18"/>
        <v>25</v>
      </c>
      <c r="F58" s="342">
        <f t="shared" si="18"/>
        <v>23</v>
      </c>
      <c r="G58" s="342">
        <f t="shared" si="18"/>
        <v>2</v>
      </c>
      <c r="H58" s="342">
        <f t="shared" si="18"/>
        <v>1</v>
      </c>
      <c r="I58" s="342">
        <f t="shared" si="18"/>
        <v>0</v>
      </c>
      <c r="J58" s="342">
        <f t="shared" si="18"/>
        <v>1</v>
      </c>
      <c r="K58" s="342">
        <f t="shared" si="18"/>
        <v>4</v>
      </c>
      <c r="L58" s="342">
        <f t="shared" si="18"/>
        <v>1</v>
      </c>
      <c r="M58" s="342">
        <f t="shared" si="18"/>
        <v>3</v>
      </c>
      <c r="N58" s="203" t="s">
        <v>12</v>
      </c>
      <c r="O58" s="307"/>
    </row>
    <row r="59" spans="2:15" ht="18.75" customHeight="1" thickBot="1" x14ac:dyDescent="0.25">
      <c r="B59" s="342">
        <f>SUM(C59:D59)</f>
        <v>29</v>
      </c>
      <c r="C59" s="342">
        <f t="shared" si="0"/>
        <v>8</v>
      </c>
      <c r="D59" s="342">
        <f t="shared" si="0"/>
        <v>21</v>
      </c>
      <c r="E59" s="342">
        <f>SUM(F59:G59)</f>
        <v>14</v>
      </c>
      <c r="F59" s="342">
        <v>6</v>
      </c>
      <c r="G59" s="342">
        <v>8</v>
      </c>
      <c r="H59" s="342">
        <f>SUM(I59:J59)</f>
        <v>4</v>
      </c>
      <c r="I59" s="342">
        <v>1</v>
      </c>
      <c r="J59" s="342">
        <v>3</v>
      </c>
      <c r="K59" s="342">
        <f>SUM(L59:M59)</f>
        <v>11</v>
      </c>
      <c r="L59" s="342">
        <v>1</v>
      </c>
      <c r="M59" s="342">
        <v>10</v>
      </c>
      <c r="N59" s="203" t="s">
        <v>146</v>
      </c>
      <c r="O59" s="306"/>
    </row>
    <row r="60" spans="2:15" ht="18.75" customHeight="1" thickBot="1" x14ac:dyDescent="0.25">
      <c r="B60" s="342">
        <f>SUM(C60:D60)</f>
        <v>10</v>
      </c>
      <c r="C60" s="342">
        <f t="shared" si="0"/>
        <v>0</v>
      </c>
      <c r="D60" s="342">
        <f t="shared" si="0"/>
        <v>10</v>
      </c>
      <c r="E60" s="342">
        <f>SUM(F60:G60)</f>
        <v>0</v>
      </c>
      <c r="F60" s="342">
        <v>0</v>
      </c>
      <c r="G60" s="342">
        <v>0</v>
      </c>
      <c r="H60" s="342">
        <f>SUM(I60:J60)</f>
        <v>3</v>
      </c>
      <c r="I60" s="342">
        <v>0</v>
      </c>
      <c r="J60" s="342">
        <v>3</v>
      </c>
      <c r="K60" s="342">
        <f>SUM(L60:M60)</f>
        <v>7</v>
      </c>
      <c r="L60" s="342">
        <v>0</v>
      </c>
      <c r="M60" s="342">
        <v>7</v>
      </c>
      <c r="N60" s="203" t="s">
        <v>145</v>
      </c>
      <c r="O60" s="306" t="s">
        <v>349</v>
      </c>
    </row>
    <row r="61" spans="2:15" ht="18.75" customHeight="1" thickBot="1" x14ac:dyDescent="0.25">
      <c r="B61" s="342">
        <f t="shared" ref="B61:M61" si="19">SUM(B59:B60)</f>
        <v>39</v>
      </c>
      <c r="C61" s="342">
        <f t="shared" si="19"/>
        <v>8</v>
      </c>
      <c r="D61" s="342">
        <f t="shared" si="19"/>
        <v>31</v>
      </c>
      <c r="E61" s="342">
        <f t="shared" si="19"/>
        <v>14</v>
      </c>
      <c r="F61" s="342">
        <f t="shared" si="19"/>
        <v>6</v>
      </c>
      <c r="G61" s="342">
        <f t="shared" si="19"/>
        <v>8</v>
      </c>
      <c r="H61" s="342">
        <f t="shared" si="19"/>
        <v>7</v>
      </c>
      <c r="I61" s="342">
        <f t="shared" si="19"/>
        <v>1</v>
      </c>
      <c r="J61" s="342">
        <f t="shared" si="19"/>
        <v>6</v>
      </c>
      <c r="K61" s="342">
        <f t="shared" si="19"/>
        <v>18</v>
      </c>
      <c r="L61" s="342">
        <f t="shared" si="19"/>
        <v>1</v>
      </c>
      <c r="M61" s="342">
        <f t="shared" si="19"/>
        <v>17</v>
      </c>
      <c r="N61" s="203" t="s">
        <v>12</v>
      </c>
      <c r="O61" s="307"/>
    </row>
    <row r="62" spans="2:15" ht="18.75" customHeight="1" thickBot="1" x14ac:dyDescent="0.25">
      <c r="B62" s="342">
        <f>SUM(C62:D62)</f>
        <v>33</v>
      </c>
      <c r="C62" s="342">
        <f t="shared" si="0"/>
        <v>33</v>
      </c>
      <c r="D62" s="342">
        <f t="shared" si="0"/>
        <v>0</v>
      </c>
      <c r="E62" s="342">
        <f>SUM(F62:G62)</f>
        <v>17</v>
      </c>
      <c r="F62" s="342">
        <v>17</v>
      </c>
      <c r="G62" s="342">
        <v>0</v>
      </c>
      <c r="H62" s="342">
        <f>SUM(I62:J62)</f>
        <v>5</v>
      </c>
      <c r="I62" s="342">
        <v>5</v>
      </c>
      <c r="J62" s="342">
        <v>0</v>
      </c>
      <c r="K62" s="342">
        <f>SUM(L62:M62)</f>
        <v>11</v>
      </c>
      <c r="L62" s="342">
        <v>11</v>
      </c>
      <c r="M62" s="342">
        <v>0</v>
      </c>
      <c r="N62" s="203" t="s">
        <v>146</v>
      </c>
      <c r="O62" s="306"/>
    </row>
    <row r="63" spans="2:15" ht="18.75" customHeight="1" thickBot="1" x14ac:dyDescent="0.25">
      <c r="B63" s="342">
        <f>SUM(C63:D63)</f>
        <v>12</v>
      </c>
      <c r="C63" s="342">
        <f t="shared" si="0"/>
        <v>11</v>
      </c>
      <c r="D63" s="342">
        <f t="shared" si="0"/>
        <v>1</v>
      </c>
      <c r="E63" s="342">
        <f>SUM(F63:G63)</f>
        <v>0</v>
      </c>
      <c r="F63" s="342">
        <v>0</v>
      </c>
      <c r="G63" s="342">
        <v>0</v>
      </c>
      <c r="H63" s="342">
        <f>SUM(I63:J63)</f>
        <v>0</v>
      </c>
      <c r="I63" s="342">
        <v>0</v>
      </c>
      <c r="J63" s="342">
        <v>0</v>
      </c>
      <c r="K63" s="342">
        <f>SUM(L63:M63)</f>
        <v>12</v>
      </c>
      <c r="L63" s="342">
        <v>11</v>
      </c>
      <c r="M63" s="342">
        <v>1</v>
      </c>
      <c r="N63" s="203" t="s">
        <v>145</v>
      </c>
      <c r="O63" s="306" t="s">
        <v>350</v>
      </c>
    </row>
    <row r="64" spans="2:15" ht="18.75" customHeight="1" thickBot="1" x14ac:dyDescent="0.25">
      <c r="B64" s="342">
        <f t="shared" ref="B64:M64" si="20">SUM(B62:B63)</f>
        <v>45</v>
      </c>
      <c r="C64" s="342">
        <f t="shared" si="20"/>
        <v>44</v>
      </c>
      <c r="D64" s="342">
        <f t="shared" si="20"/>
        <v>1</v>
      </c>
      <c r="E64" s="342">
        <f t="shared" si="20"/>
        <v>17</v>
      </c>
      <c r="F64" s="342">
        <f t="shared" si="20"/>
        <v>17</v>
      </c>
      <c r="G64" s="342">
        <f t="shared" si="20"/>
        <v>0</v>
      </c>
      <c r="H64" s="342">
        <f t="shared" si="20"/>
        <v>5</v>
      </c>
      <c r="I64" s="342">
        <f t="shared" si="20"/>
        <v>5</v>
      </c>
      <c r="J64" s="342">
        <f t="shared" si="20"/>
        <v>0</v>
      </c>
      <c r="K64" s="342">
        <f t="shared" si="20"/>
        <v>23</v>
      </c>
      <c r="L64" s="342">
        <f t="shared" si="20"/>
        <v>22</v>
      </c>
      <c r="M64" s="342">
        <f t="shared" si="20"/>
        <v>1</v>
      </c>
      <c r="N64" s="203" t="s">
        <v>12</v>
      </c>
      <c r="O64" s="307"/>
    </row>
    <row r="65" spans="2:15" ht="18.75" customHeight="1" thickBot="1" x14ac:dyDescent="0.25">
      <c r="B65" s="342">
        <f>SUM(C65:D65)</f>
        <v>31</v>
      </c>
      <c r="C65" s="342">
        <f t="shared" si="0"/>
        <v>24</v>
      </c>
      <c r="D65" s="342">
        <f t="shared" si="0"/>
        <v>7</v>
      </c>
      <c r="E65" s="342">
        <f>SUM(F65:G65)</f>
        <v>15</v>
      </c>
      <c r="F65" s="342">
        <v>8</v>
      </c>
      <c r="G65" s="342">
        <v>7</v>
      </c>
      <c r="H65" s="342">
        <f>SUM(I65:J65)</f>
        <v>9</v>
      </c>
      <c r="I65" s="342">
        <v>9</v>
      </c>
      <c r="J65" s="342">
        <v>0</v>
      </c>
      <c r="K65" s="342">
        <f>SUM(L65:M65)</f>
        <v>7</v>
      </c>
      <c r="L65" s="342">
        <v>7</v>
      </c>
      <c r="M65" s="342">
        <v>0</v>
      </c>
      <c r="N65" s="203" t="s">
        <v>146</v>
      </c>
      <c r="O65" s="306"/>
    </row>
    <row r="66" spans="2:15" ht="18.75" customHeight="1" thickBot="1" x14ac:dyDescent="0.25">
      <c r="B66" s="342">
        <f>SUM(C66:D66)</f>
        <v>18</v>
      </c>
      <c r="C66" s="342">
        <f t="shared" si="0"/>
        <v>15</v>
      </c>
      <c r="D66" s="342">
        <f t="shared" si="0"/>
        <v>3</v>
      </c>
      <c r="E66" s="342">
        <f>SUM(F66:G66)</f>
        <v>0</v>
      </c>
      <c r="F66" s="342">
        <v>0</v>
      </c>
      <c r="G66" s="342">
        <v>0</v>
      </c>
      <c r="H66" s="342">
        <f>SUM(I66:J66)</f>
        <v>0</v>
      </c>
      <c r="I66" s="342">
        <v>0</v>
      </c>
      <c r="J66" s="342">
        <v>0</v>
      </c>
      <c r="K66" s="342">
        <f>SUM(L66:M66)</f>
        <v>18</v>
      </c>
      <c r="L66" s="342">
        <v>15</v>
      </c>
      <c r="M66" s="342">
        <v>3</v>
      </c>
      <c r="N66" s="203" t="s">
        <v>145</v>
      </c>
      <c r="O66" s="306" t="s">
        <v>351</v>
      </c>
    </row>
    <row r="67" spans="2:15" ht="18.75" customHeight="1" thickBot="1" x14ac:dyDescent="0.25">
      <c r="B67" s="342">
        <f t="shared" ref="B67:M67" si="21">SUM(B65:B66)</f>
        <v>49</v>
      </c>
      <c r="C67" s="342">
        <f t="shared" si="21"/>
        <v>39</v>
      </c>
      <c r="D67" s="342">
        <f t="shared" si="21"/>
        <v>10</v>
      </c>
      <c r="E67" s="342">
        <f t="shared" si="21"/>
        <v>15</v>
      </c>
      <c r="F67" s="342">
        <f t="shared" si="21"/>
        <v>8</v>
      </c>
      <c r="G67" s="342">
        <f t="shared" si="21"/>
        <v>7</v>
      </c>
      <c r="H67" s="342">
        <f t="shared" si="21"/>
        <v>9</v>
      </c>
      <c r="I67" s="342">
        <f t="shared" si="21"/>
        <v>9</v>
      </c>
      <c r="J67" s="342">
        <f t="shared" si="21"/>
        <v>0</v>
      </c>
      <c r="K67" s="342">
        <f t="shared" si="21"/>
        <v>25</v>
      </c>
      <c r="L67" s="342">
        <f t="shared" si="21"/>
        <v>22</v>
      </c>
      <c r="M67" s="342">
        <f t="shared" si="21"/>
        <v>3</v>
      </c>
      <c r="N67" s="203" t="s">
        <v>12</v>
      </c>
      <c r="O67" s="307"/>
    </row>
    <row r="68" spans="2:15" ht="18.75" customHeight="1" thickBot="1" x14ac:dyDescent="0.25">
      <c r="B68" s="342">
        <f>SUM(C68:D68)</f>
        <v>30</v>
      </c>
      <c r="C68" s="342">
        <f t="shared" si="0"/>
        <v>30</v>
      </c>
      <c r="D68" s="342">
        <f t="shared" si="0"/>
        <v>0</v>
      </c>
      <c r="E68" s="342">
        <f>SUM(F68:G68)</f>
        <v>30</v>
      </c>
      <c r="F68" s="342">
        <v>30</v>
      </c>
      <c r="G68" s="342">
        <v>0</v>
      </c>
      <c r="H68" s="342">
        <f>SUM(I68:J68)</f>
        <v>0</v>
      </c>
      <c r="I68" s="342">
        <v>0</v>
      </c>
      <c r="J68" s="342">
        <v>0</v>
      </c>
      <c r="K68" s="342">
        <f>SUM(L68:M68)</f>
        <v>0</v>
      </c>
      <c r="L68" s="342">
        <v>0</v>
      </c>
      <c r="M68" s="342">
        <v>0</v>
      </c>
      <c r="N68" s="203" t="s">
        <v>146</v>
      </c>
      <c r="O68" s="306"/>
    </row>
    <row r="69" spans="2:15" ht="18.75" customHeight="1" thickBot="1" x14ac:dyDescent="0.25">
      <c r="B69" s="342">
        <f>SUM(C69:D69)</f>
        <v>23</v>
      </c>
      <c r="C69" s="342">
        <f t="shared" si="0"/>
        <v>14</v>
      </c>
      <c r="D69" s="342">
        <f t="shared" si="0"/>
        <v>9</v>
      </c>
      <c r="E69" s="342">
        <f>SUM(F69:G69)</f>
        <v>0</v>
      </c>
      <c r="F69" s="342">
        <v>0</v>
      </c>
      <c r="G69" s="342">
        <v>0</v>
      </c>
      <c r="H69" s="342">
        <f>SUM(I69:J69)</f>
        <v>6</v>
      </c>
      <c r="I69" s="342">
        <v>5</v>
      </c>
      <c r="J69" s="342">
        <v>1</v>
      </c>
      <c r="K69" s="342">
        <f>SUM(L69:M69)</f>
        <v>17</v>
      </c>
      <c r="L69" s="342">
        <v>9</v>
      </c>
      <c r="M69" s="342">
        <v>8</v>
      </c>
      <c r="N69" s="203" t="s">
        <v>145</v>
      </c>
      <c r="O69" s="306" t="s">
        <v>352</v>
      </c>
    </row>
    <row r="70" spans="2:15" ht="18.75" customHeight="1" thickBot="1" x14ac:dyDescent="0.25">
      <c r="B70" s="342">
        <f t="shared" ref="B70:M70" si="22">SUM(B68:B69)</f>
        <v>53</v>
      </c>
      <c r="C70" s="342">
        <f t="shared" si="22"/>
        <v>44</v>
      </c>
      <c r="D70" s="342">
        <f t="shared" si="22"/>
        <v>9</v>
      </c>
      <c r="E70" s="342">
        <f t="shared" si="22"/>
        <v>30</v>
      </c>
      <c r="F70" s="342">
        <f t="shared" si="22"/>
        <v>30</v>
      </c>
      <c r="G70" s="342">
        <f t="shared" si="22"/>
        <v>0</v>
      </c>
      <c r="H70" s="342">
        <f t="shared" si="22"/>
        <v>6</v>
      </c>
      <c r="I70" s="342">
        <f t="shared" si="22"/>
        <v>5</v>
      </c>
      <c r="J70" s="342">
        <f t="shared" si="22"/>
        <v>1</v>
      </c>
      <c r="K70" s="342">
        <f t="shared" si="22"/>
        <v>17</v>
      </c>
      <c r="L70" s="342">
        <f t="shared" si="22"/>
        <v>9</v>
      </c>
      <c r="M70" s="342">
        <f t="shared" si="22"/>
        <v>8</v>
      </c>
      <c r="N70" s="203" t="s">
        <v>12</v>
      </c>
      <c r="O70" s="307"/>
    </row>
    <row r="71" spans="2:15" ht="18.75" customHeight="1" thickBot="1" x14ac:dyDescent="0.25">
      <c r="B71" s="342">
        <f>SUM(C71:D71)</f>
        <v>55</v>
      </c>
      <c r="C71" s="342">
        <f t="shared" ref="C71:D84" si="23">L71+I71+F71</f>
        <v>0</v>
      </c>
      <c r="D71" s="342">
        <f t="shared" si="23"/>
        <v>55</v>
      </c>
      <c r="E71" s="342">
        <f>SUM(F71:G71)</f>
        <v>19</v>
      </c>
      <c r="F71" s="342">
        <v>0</v>
      </c>
      <c r="G71" s="342">
        <v>19</v>
      </c>
      <c r="H71" s="342">
        <f>SUM(I71:J71)</f>
        <v>13</v>
      </c>
      <c r="I71" s="342">
        <v>0</v>
      </c>
      <c r="J71" s="342">
        <v>13</v>
      </c>
      <c r="K71" s="342">
        <f>SUM(L71:M71)</f>
        <v>23</v>
      </c>
      <c r="L71" s="342">
        <v>0</v>
      </c>
      <c r="M71" s="342">
        <v>23</v>
      </c>
      <c r="N71" s="203" t="s">
        <v>146</v>
      </c>
      <c r="O71" s="306"/>
    </row>
    <row r="72" spans="2:15" ht="18.75" customHeight="1" thickBot="1" x14ac:dyDescent="0.25">
      <c r="B72" s="342">
        <f>SUM(C72:D72)</f>
        <v>66</v>
      </c>
      <c r="C72" s="342">
        <f t="shared" si="23"/>
        <v>0</v>
      </c>
      <c r="D72" s="342">
        <f t="shared" si="23"/>
        <v>66</v>
      </c>
      <c r="E72" s="342">
        <f>SUM(F72:G72)</f>
        <v>10</v>
      </c>
      <c r="F72" s="342">
        <v>0</v>
      </c>
      <c r="G72" s="342">
        <v>10</v>
      </c>
      <c r="H72" s="342">
        <f>SUM(I72:J72)</f>
        <v>10</v>
      </c>
      <c r="I72" s="342">
        <v>0</v>
      </c>
      <c r="J72" s="342">
        <v>10</v>
      </c>
      <c r="K72" s="342">
        <f>SUM(L72:M72)</f>
        <v>46</v>
      </c>
      <c r="L72" s="342">
        <v>0</v>
      </c>
      <c r="M72" s="342">
        <v>46</v>
      </c>
      <c r="N72" s="203" t="s">
        <v>145</v>
      </c>
      <c r="O72" s="306" t="s">
        <v>250</v>
      </c>
    </row>
    <row r="73" spans="2:15" ht="18.75" customHeight="1" thickBot="1" x14ac:dyDescent="0.25">
      <c r="B73" s="342">
        <f t="shared" ref="B73:M73" si="24">SUM(B71:B72)</f>
        <v>121</v>
      </c>
      <c r="C73" s="342">
        <f t="shared" si="24"/>
        <v>0</v>
      </c>
      <c r="D73" s="342">
        <f t="shared" si="24"/>
        <v>121</v>
      </c>
      <c r="E73" s="342">
        <f t="shared" si="24"/>
        <v>29</v>
      </c>
      <c r="F73" s="342">
        <f t="shared" si="24"/>
        <v>0</v>
      </c>
      <c r="G73" s="342">
        <f t="shared" si="24"/>
        <v>29</v>
      </c>
      <c r="H73" s="342">
        <f t="shared" si="24"/>
        <v>23</v>
      </c>
      <c r="I73" s="342">
        <f t="shared" si="24"/>
        <v>0</v>
      </c>
      <c r="J73" s="342">
        <f t="shared" si="24"/>
        <v>23</v>
      </c>
      <c r="K73" s="342">
        <f t="shared" si="24"/>
        <v>69</v>
      </c>
      <c r="L73" s="342">
        <f t="shared" si="24"/>
        <v>0</v>
      </c>
      <c r="M73" s="342">
        <f t="shared" si="24"/>
        <v>69</v>
      </c>
      <c r="N73" s="203" t="s">
        <v>12</v>
      </c>
      <c r="O73" s="307"/>
    </row>
    <row r="74" spans="2:15" ht="18.75" customHeight="1" thickBot="1" x14ac:dyDescent="0.25">
      <c r="B74" s="342">
        <f>SUM(C74:D74)</f>
        <v>10</v>
      </c>
      <c r="C74" s="342">
        <f t="shared" si="23"/>
        <v>10</v>
      </c>
      <c r="D74" s="342">
        <f t="shared" si="23"/>
        <v>0</v>
      </c>
      <c r="E74" s="342">
        <f>SUM(F74:G74)</f>
        <v>9</v>
      </c>
      <c r="F74" s="342">
        <v>9</v>
      </c>
      <c r="G74" s="342">
        <v>0</v>
      </c>
      <c r="H74" s="342">
        <f>SUM(I74:J74)</f>
        <v>1</v>
      </c>
      <c r="I74" s="342">
        <v>1</v>
      </c>
      <c r="J74" s="342">
        <v>0</v>
      </c>
      <c r="K74" s="342">
        <f>SUM(L74:M74)</f>
        <v>0</v>
      </c>
      <c r="L74" s="342">
        <v>0</v>
      </c>
      <c r="M74" s="342">
        <v>0</v>
      </c>
      <c r="N74" s="203" t="s">
        <v>146</v>
      </c>
      <c r="O74" s="306"/>
    </row>
    <row r="75" spans="2:15" ht="18.75" customHeight="1" thickBot="1" x14ac:dyDescent="0.25">
      <c r="B75" s="342">
        <f>SUM(C75:D75)</f>
        <v>21</v>
      </c>
      <c r="C75" s="342">
        <f t="shared" si="23"/>
        <v>16</v>
      </c>
      <c r="D75" s="342">
        <f t="shared" si="23"/>
        <v>5</v>
      </c>
      <c r="E75" s="342">
        <f>SUM(F75:G75)</f>
        <v>0</v>
      </c>
      <c r="F75" s="342">
        <v>0</v>
      </c>
      <c r="G75" s="342">
        <v>0</v>
      </c>
      <c r="H75" s="342">
        <f>SUM(I75:J75)</f>
        <v>9</v>
      </c>
      <c r="I75" s="342">
        <v>8</v>
      </c>
      <c r="J75" s="342">
        <v>1</v>
      </c>
      <c r="K75" s="342">
        <f>SUM(L75:M75)</f>
        <v>12</v>
      </c>
      <c r="L75" s="342">
        <v>8</v>
      </c>
      <c r="M75" s="342">
        <v>4</v>
      </c>
      <c r="N75" s="203" t="s">
        <v>145</v>
      </c>
      <c r="O75" s="306" t="s">
        <v>748</v>
      </c>
    </row>
    <row r="76" spans="2:15" ht="18.75" customHeight="1" thickBot="1" x14ac:dyDescent="0.25">
      <c r="B76" s="342">
        <f t="shared" ref="B76:M76" si="25">SUM(B74:B75)</f>
        <v>31</v>
      </c>
      <c r="C76" s="342">
        <f t="shared" si="25"/>
        <v>26</v>
      </c>
      <c r="D76" s="342">
        <f t="shared" si="25"/>
        <v>5</v>
      </c>
      <c r="E76" s="342">
        <f t="shared" si="25"/>
        <v>9</v>
      </c>
      <c r="F76" s="342">
        <f t="shared" si="25"/>
        <v>9</v>
      </c>
      <c r="G76" s="342">
        <f t="shared" si="25"/>
        <v>0</v>
      </c>
      <c r="H76" s="342">
        <f t="shared" si="25"/>
        <v>10</v>
      </c>
      <c r="I76" s="342">
        <f t="shared" si="25"/>
        <v>9</v>
      </c>
      <c r="J76" s="342">
        <f t="shared" si="25"/>
        <v>1</v>
      </c>
      <c r="K76" s="342">
        <f t="shared" si="25"/>
        <v>12</v>
      </c>
      <c r="L76" s="342">
        <f t="shared" si="25"/>
        <v>8</v>
      </c>
      <c r="M76" s="342">
        <f t="shared" si="25"/>
        <v>4</v>
      </c>
      <c r="N76" s="203" t="s">
        <v>12</v>
      </c>
      <c r="O76" s="307"/>
    </row>
    <row r="77" spans="2:15" ht="18.75" customHeight="1" thickBot="1" x14ac:dyDescent="0.25">
      <c r="B77" s="342">
        <f>SUM(C77:D77)</f>
        <v>64</v>
      </c>
      <c r="C77" s="342">
        <f t="shared" si="23"/>
        <v>64</v>
      </c>
      <c r="D77" s="342">
        <f t="shared" si="23"/>
        <v>0</v>
      </c>
      <c r="E77" s="342">
        <f>SUM(F77:G77)</f>
        <v>45</v>
      </c>
      <c r="F77" s="342">
        <v>45</v>
      </c>
      <c r="G77" s="342">
        <v>0</v>
      </c>
      <c r="H77" s="342">
        <f>SUM(I77:J77)</f>
        <v>12</v>
      </c>
      <c r="I77" s="342">
        <v>12</v>
      </c>
      <c r="J77" s="342">
        <v>0</v>
      </c>
      <c r="K77" s="342">
        <f>SUM(L77:M77)</f>
        <v>7</v>
      </c>
      <c r="L77" s="342">
        <v>7</v>
      </c>
      <c r="M77" s="342">
        <v>0</v>
      </c>
      <c r="N77" s="203" t="s">
        <v>146</v>
      </c>
      <c r="O77" s="306"/>
    </row>
    <row r="78" spans="2:15" ht="18.75" customHeight="1" thickBot="1" x14ac:dyDescent="0.25">
      <c r="B78" s="342">
        <f>SUM(C78:D78)</f>
        <v>12</v>
      </c>
      <c r="C78" s="342">
        <f t="shared" si="23"/>
        <v>9</v>
      </c>
      <c r="D78" s="342">
        <f t="shared" si="23"/>
        <v>3</v>
      </c>
      <c r="E78" s="342">
        <f>SUM(F78:G78)</f>
        <v>0</v>
      </c>
      <c r="F78" s="342">
        <v>0</v>
      </c>
      <c r="G78" s="342">
        <v>0</v>
      </c>
      <c r="H78" s="342">
        <f>SUM(I78:J78)</f>
        <v>0</v>
      </c>
      <c r="I78" s="342">
        <v>0</v>
      </c>
      <c r="J78" s="342">
        <v>0</v>
      </c>
      <c r="K78" s="342">
        <f>SUM(L78:M78)</f>
        <v>12</v>
      </c>
      <c r="L78" s="342">
        <v>9</v>
      </c>
      <c r="M78" s="342">
        <v>3</v>
      </c>
      <c r="N78" s="203" t="s">
        <v>145</v>
      </c>
      <c r="O78" s="306" t="s">
        <v>749</v>
      </c>
    </row>
    <row r="79" spans="2:15" ht="18.75" customHeight="1" thickBot="1" x14ac:dyDescent="0.25">
      <c r="B79" s="342">
        <f t="shared" ref="B79:M79" si="26">SUM(B77:B78)</f>
        <v>76</v>
      </c>
      <c r="C79" s="342">
        <f t="shared" si="26"/>
        <v>73</v>
      </c>
      <c r="D79" s="342">
        <f t="shared" si="26"/>
        <v>3</v>
      </c>
      <c r="E79" s="342">
        <f t="shared" si="26"/>
        <v>45</v>
      </c>
      <c r="F79" s="342">
        <f t="shared" si="26"/>
        <v>45</v>
      </c>
      <c r="G79" s="342">
        <f t="shared" si="26"/>
        <v>0</v>
      </c>
      <c r="H79" s="342">
        <f t="shared" si="26"/>
        <v>12</v>
      </c>
      <c r="I79" s="342">
        <f t="shared" si="26"/>
        <v>12</v>
      </c>
      <c r="J79" s="342">
        <f t="shared" si="26"/>
        <v>0</v>
      </c>
      <c r="K79" s="342">
        <f t="shared" si="26"/>
        <v>19</v>
      </c>
      <c r="L79" s="342">
        <f t="shared" si="26"/>
        <v>16</v>
      </c>
      <c r="M79" s="342">
        <f t="shared" si="26"/>
        <v>3</v>
      </c>
      <c r="N79" s="203" t="s">
        <v>12</v>
      </c>
      <c r="O79" s="307"/>
    </row>
    <row r="80" spans="2:15" ht="18.75" customHeight="1" thickBot="1" x14ac:dyDescent="0.25">
      <c r="B80" s="342">
        <f>SUM(C80:D80)</f>
        <v>125</v>
      </c>
      <c r="C80" s="342">
        <f t="shared" si="23"/>
        <v>123</v>
      </c>
      <c r="D80" s="342">
        <f t="shared" si="23"/>
        <v>2</v>
      </c>
      <c r="E80" s="342">
        <f>SUM(F80:G80)</f>
        <v>39</v>
      </c>
      <c r="F80" s="342">
        <v>37</v>
      </c>
      <c r="G80" s="342">
        <v>2</v>
      </c>
      <c r="H80" s="342">
        <f>SUM(I80:J80)</f>
        <v>36</v>
      </c>
      <c r="I80" s="342">
        <v>36</v>
      </c>
      <c r="J80" s="342">
        <v>0</v>
      </c>
      <c r="K80" s="342">
        <f>SUM(L80:M80)</f>
        <v>50</v>
      </c>
      <c r="L80" s="342">
        <v>50</v>
      </c>
      <c r="M80" s="342">
        <v>0</v>
      </c>
      <c r="N80" s="203" t="s">
        <v>146</v>
      </c>
      <c r="O80" s="306"/>
    </row>
    <row r="81" spans="2:15" ht="18.75" customHeight="1" thickBot="1" x14ac:dyDescent="0.25">
      <c r="B81" s="342">
        <f>SUM(C81:D81)</f>
        <v>9</v>
      </c>
      <c r="C81" s="342">
        <f t="shared" si="23"/>
        <v>2</v>
      </c>
      <c r="D81" s="342">
        <f t="shared" si="23"/>
        <v>7</v>
      </c>
      <c r="E81" s="342">
        <f>SUM(F81:G81)</f>
        <v>0</v>
      </c>
      <c r="F81" s="342">
        <v>0</v>
      </c>
      <c r="G81" s="342">
        <v>0</v>
      </c>
      <c r="H81" s="342">
        <f>SUM(I81:J81)</f>
        <v>0</v>
      </c>
      <c r="I81" s="342">
        <v>0</v>
      </c>
      <c r="J81" s="342">
        <v>0</v>
      </c>
      <c r="K81" s="342">
        <f>SUM(L81:M81)</f>
        <v>9</v>
      </c>
      <c r="L81" s="342">
        <v>2</v>
      </c>
      <c r="M81" s="342">
        <v>7</v>
      </c>
      <c r="N81" s="203" t="s">
        <v>145</v>
      </c>
      <c r="O81" s="306" t="s">
        <v>355</v>
      </c>
    </row>
    <row r="82" spans="2:15" ht="18.75" customHeight="1" thickBot="1" x14ac:dyDescent="0.25">
      <c r="B82" s="342">
        <f t="shared" ref="B82:M82" si="27">SUM(B80:B81)</f>
        <v>134</v>
      </c>
      <c r="C82" s="342">
        <f t="shared" si="27"/>
        <v>125</v>
      </c>
      <c r="D82" s="342">
        <f t="shared" si="27"/>
        <v>9</v>
      </c>
      <c r="E82" s="342">
        <f t="shared" si="27"/>
        <v>39</v>
      </c>
      <c r="F82" s="342">
        <f t="shared" si="27"/>
        <v>37</v>
      </c>
      <c r="G82" s="342">
        <f t="shared" si="27"/>
        <v>2</v>
      </c>
      <c r="H82" s="342">
        <f t="shared" si="27"/>
        <v>36</v>
      </c>
      <c r="I82" s="342">
        <f t="shared" si="27"/>
        <v>36</v>
      </c>
      <c r="J82" s="342">
        <f t="shared" si="27"/>
        <v>0</v>
      </c>
      <c r="K82" s="342">
        <f t="shared" si="27"/>
        <v>59</v>
      </c>
      <c r="L82" s="342">
        <f t="shared" si="27"/>
        <v>52</v>
      </c>
      <c r="M82" s="342">
        <f t="shared" si="27"/>
        <v>7</v>
      </c>
      <c r="N82" s="203" t="s">
        <v>12</v>
      </c>
      <c r="O82" s="307"/>
    </row>
    <row r="83" spans="2:15" ht="18.75" customHeight="1" thickBot="1" x14ac:dyDescent="0.25">
      <c r="B83" s="342">
        <f>SUM(C83:D83)</f>
        <v>125</v>
      </c>
      <c r="C83" s="342">
        <f t="shared" si="23"/>
        <v>123</v>
      </c>
      <c r="D83" s="342">
        <f t="shared" si="23"/>
        <v>2</v>
      </c>
      <c r="E83" s="342">
        <f>SUM(F83:G83)</f>
        <v>39</v>
      </c>
      <c r="F83" s="342">
        <v>37</v>
      </c>
      <c r="G83" s="342">
        <v>2</v>
      </c>
      <c r="H83" s="342">
        <f>SUM(I83:J83)</f>
        <v>36</v>
      </c>
      <c r="I83" s="342">
        <v>36</v>
      </c>
      <c r="J83" s="342">
        <v>0</v>
      </c>
      <c r="K83" s="342">
        <f>SUM(L83:M83)</f>
        <v>50</v>
      </c>
      <c r="L83" s="342">
        <v>50</v>
      </c>
      <c r="M83" s="342">
        <v>0</v>
      </c>
      <c r="N83" s="203" t="s">
        <v>146</v>
      </c>
      <c r="O83" s="306"/>
    </row>
    <row r="84" spans="2:15" ht="18.75" customHeight="1" thickBot="1" x14ac:dyDescent="0.25">
      <c r="B84" s="342">
        <f>SUM(C84:D84)</f>
        <v>11</v>
      </c>
      <c r="C84" s="342">
        <f t="shared" si="23"/>
        <v>2</v>
      </c>
      <c r="D84" s="342">
        <f t="shared" si="23"/>
        <v>9</v>
      </c>
      <c r="E84" s="342">
        <f>SUM(F84:G84)</f>
        <v>0</v>
      </c>
      <c r="F84" s="342">
        <v>0</v>
      </c>
      <c r="G84" s="342">
        <v>0</v>
      </c>
      <c r="H84" s="342">
        <f>SUM(I84:J84)</f>
        <v>0</v>
      </c>
      <c r="I84" s="342">
        <v>0</v>
      </c>
      <c r="J84" s="342">
        <v>0</v>
      </c>
      <c r="K84" s="342">
        <f>SUM(L84:M84)</f>
        <v>11</v>
      </c>
      <c r="L84" s="342">
        <v>2</v>
      </c>
      <c r="M84" s="342">
        <v>9</v>
      </c>
      <c r="N84" s="203" t="s">
        <v>145</v>
      </c>
      <c r="O84" s="306" t="s">
        <v>750</v>
      </c>
    </row>
    <row r="85" spans="2:15" ht="18.75" customHeight="1" thickBot="1" x14ac:dyDescent="0.25">
      <c r="B85" s="342">
        <f t="shared" ref="B85:M85" si="28">SUM(B83:B84)</f>
        <v>136</v>
      </c>
      <c r="C85" s="342">
        <f t="shared" si="28"/>
        <v>125</v>
      </c>
      <c r="D85" s="342">
        <f t="shared" si="28"/>
        <v>11</v>
      </c>
      <c r="E85" s="342">
        <f t="shared" si="28"/>
        <v>39</v>
      </c>
      <c r="F85" s="342">
        <f t="shared" si="28"/>
        <v>37</v>
      </c>
      <c r="G85" s="342">
        <f t="shared" si="28"/>
        <v>2</v>
      </c>
      <c r="H85" s="342">
        <f t="shared" si="28"/>
        <v>36</v>
      </c>
      <c r="I85" s="342">
        <f t="shared" si="28"/>
        <v>36</v>
      </c>
      <c r="J85" s="342">
        <f t="shared" si="28"/>
        <v>0</v>
      </c>
      <c r="K85" s="342">
        <f t="shared" si="28"/>
        <v>61</v>
      </c>
      <c r="L85" s="342">
        <f t="shared" si="28"/>
        <v>52</v>
      </c>
      <c r="M85" s="342">
        <f t="shared" si="28"/>
        <v>9</v>
      </c>
      <c r="N85" s="203" t="s">
        <v>12</v>
      </c>
      <c r="O85" s="309"/>
    </row>
    <row r="86" spans="2:15" ht="18.75" customHeight="1" thickBot="1" x14ac:dyDescent="0.25">
      <c r="B86" s="342">
        <f t="shared" ref="B86:M88" si="29">B5+B8+B11+B14+B17+B20+B23+B26+B29+B32+B35+B38+B41+B44+B47+B50+B53+B56+B59+B62+B65+B68+B71+B74+B77+B80+B83</f>
        <v>2132</v>
      </c>
      <c r="C86" s="342">
        <f t="shared" si="29"/>
        <v>966</v>
      </c>
      <c r="D86" s="342">
        <f t="shared" si="29"/>
        <v>1166</v>
      </c>
      <c r="E86" s="342">
        <f t="shared" si="29"/>
        <v>944</v>
      </c>
      <c r="F86" s="342">
        <f t="shared" si="29"/>
        <v>539</v>
      </c>
      <c r="G86" s="342">
        <f t="shared" si="29"/>
        <v>405</v>
      </c>
      <c r="H86" s="342">
        <f t="shared" si="29"/>
        <v>255</v>
      </c>
      <c r="I86" s="342">
        <f t="shared" si="29"/>
        <v>161</v>
      </c>
      <c r="J86" s="342">
        <f t="shared" si="29"/>
        <v>94</v>
      </c>
      <c r="K86" s="342">
        <f t="shared" si="29"/>
        <v>933</v>
      </c>
      <c r="L86" s="342">
        <f t="shared" si="29"/>
        <v>266</v>
      </c>
      <c r="M86" s="342">
        <f t="shared" si="29"/>
        <v>667</v>
      </c>
      <c r="N86" s="203" t="s">
        <v>146</v>
      </c>
      <c r="O86" s="312"/>
    </row>
    <row r="87" spans="2:15" ht="18.75" customHeight="1" thickBot="1" x14ac:dyDescent="0.25">
      <c r="B87" s="342">
        <f t="shared" si="29"/>
        <v>579</v>
      </c>
      <c r="C87" s="342">
        <f t="shared" si="29"/>
        <v>120</v>
      </c>
      <c r="D87" s="342">
        <f t="shared" si="29"/>
        <v>459</v>
      </c>
      <c r="E87" s="342">
        <f t="shared" si="29"/>
        <v>49</v>
      </c>
      <c r="F87" s="342">
        <f t="shared" si="29"/>
        <v>10</v>
      </c>
      <c r="G87" s="342">
        <f t="shared" si="29"/>
        <v>39</v>
      </c>
      <c r="H87" s="342">
        <f t="shared" si="29"/>
        <v>90</v>
      </c>
      <c r="I87" s="342">
        <f t="shared" si="29"/>
        <v>17</v>
      </c>
      <c r="J87" s="342">
        <f t="shared" si="29"/>
        <v>73</v>
      </c>
      <c r="K87" s="342">
        <f t="shared" si="29"/>
        <v>440</v>
      </c>
      <c r="L87" s="342">
        <f t="shared" si="29"/>
        <v>93</v>
      </c>
      <c r="M87" s="342">
        <f t="shared" si="29"/>
        <v>347</v>
      </c>
      <c r="N87" s="203" t="s">
        <v>145</v>
      </c>
      <c r="O87" s="313" t="s">
        <v>188</v>
      </c>
    </row>
    <row r="88" spans="2:15" ht="18.75" customHeight="1" thickBot="1" x14ac:dyDescent="0.25">
      <c r="B88" s="342">
        <f t="shared" si="29"/>
        <v>2711</v>
      </c>
      <c r="C88" s="342">
        <f t="shared" si="29"/>
        <v>1086</v>
      </c>
      <c r="D88" s="342">
        <f t="shared" si="29"/>
        <v>1625</v>
      </c>
      <c r="E88" s="342">
        <f t="shared" si="29"/>
        <v>993</v>
      </c>
      <c r="F88" s="342">
        <f t="shared" si="29"/>
        <v>549</v>
      </c>
      <c r="G88" s="342">
        <f t="shared" si="29"/>
        <v>444</v>
      </c>
      <c r="H88" s="342">
        <f t="shared" si="29"/>
        <v>345</v>
      </c>
      <c r="I88" s="342">
        <f t="shared" si="29"/>
        <v>178</v>
      </c>
      <c r="J88" s="342">
        <f t="shared" si="29"/>
        <v>167</v>
      </c>
      <c r="K88" s="342">
        <f t="shared" si="29"/>
        <v>1373</v>
      </c>
      <c r="L88" s="342">
        <f t="shared" si="29"/>
        <v>359</v>
      </c>
      <c r="M88" s="342">
        <f t="shared" si="29"/>
        <v>1014</v>
      </c>
      <c r="N88" s="203" t="s">
        <v>12</v>
      </c>
      <c r="O88" s="315"/>
    </row>
    <row r="89" spans="2:15" ht="18.75" customHeight="1" thickBot="1" x14ac:dyDescent="0.25">
      <c r="B89" s="589"/>
      <c r="C89" s="589"/>
      <c r="D89" s="589"/>
      <c r="E89" s="589"/>
      <c r="F89" s="589"/>
      <c r="G89" s="589"/>
      <c r="H89" s="589"/>
      <c r="I89" s="589"/>
      <c r="J89" s="589"/>
      <c r="K89" s="589"/>
      <c r="L89" s="589"/>
    </row>
    <row r="90" spans="2:15" ht="18.75" customHeight="1" thickBot="1" x14ac:dyDescent="0.25">
      <c r="B90" s="482" t="s">
        <v>4</v>
      </c>
      <c r="C90" s="482"/>
      <c r="D90" s="482"/>
      <c r="E90" s="482" t="s">
        <v>60</v>
      </c>
      <c r="F90" s="482"/>
      <c r="G90" s="482"/>
      <c r="H90" s="482" t="s">
        <v>57</v>
      </c>
      <c r="I90" s="482"/>
      <c r="J90" s="482"/>
      <c r="K90" s="482" t="s">
        <v>56</v>
      </c>
      <c r="L90" s="482"/>
      <c r="M90" s="482"/>
      <c r="N90" s="575" t="s">
        <v>792</v>
      </c>
      <c r="O90" s="203" t="s">
        <v>144</v>
      </c>
    </row>
    <row r="91" spans="2:15" ht="18.75" customHeight="1" thickBot="1" x14ac:dyDescent="0.25">
      <c r="B91" s="203" t="s">
        <v>227</v>
      </c>
      <c r="C91" s="203" t="s">
        <v>10</v>
      </c>
      <c r="D91" s="203" t="s">
        <v>9</v>
      </c>
      <c r="E91" s="203" t="s">
        <v>227</v>
      </c>
      <c r="F91" s="203" t="s">
        <v>10</v>
      </c>
      <c r="G91" s="203" t="s">
        <v>9</v>
      </c>
      <c r="H91" s="203" t="s">
        <v>227</v>
      </c>
      <c r="I91" s="203" t="s">
        <v>10</v>
      </c>
      <c r="J91" s="203" t="s">
        <v>9</v>
      </c>
      <c r="K91" s="203" t="s">
        <v>227</v>
      </c>
      <c r="L91" s="203" t="s">
        <v>10</v>
      </c>
      <c r="M91" s="203" t="s">
        <v>9</v>
      </c>
      <c r="N91" s="481"/>
      <c r="O91" s="205" t="s">
        <v>207</v>
      </c>
    </row>
    <row r="92" spans="2:15" ht="18.75" customHeight="1" thickBot="1" x14ac:dyDescent="0.25">
      <c r="B92" s="342">
        <f>SUM(C92:D92)</f>
        <v>115</v>
      </c>
      <c r="C92" s="342">
        <f>L92+I92+F92</f>
        <v>0</v>
      </c>
      <c r="D92" s="342">
        <f>M92+J92+G92</f>
        <v>115</v>
      </c>
      <c r="E92" s="342">
        <f>SUM(F92:G92)</f>
        <v>66</v>
      </c>
      <c r="F92" s="342">
        <v>0</v>
      </c>
      <c r="G92" s="342">
        <v>66</v>
      </c>
      <c r="H92" s="342">
        <f>SUM(I92:J92)</f>
        <v>9</v>
      </c>
      <c r="I92" s="342">
        <v>0</v>
      </c>
      <c r="J92" s="342">
        <v>9</v>
      </c>
      <c r="K92" s="342">
        <f>SUM(L92:M92)</f>
        <v>40</v>
      </c>
      <c r="L92" s="342">
        <v>0</v>
      </c>
      <c r="M92" s="342">
        <v>40</v>
      </c>
      <c r="N92" s="203" t="s">
        <v>146</v>
      </c>
      <c r="O92" s="340"/>
    </row>
    <row r="93" spans="2:15" ht="18.75" customHeight="1" thickBot="1" x14ac:dyDescent="0.25">
      <c r="B93" s="342">
        <f>SUM(C93:D93)</f>
        <v>9</v>
      </c>
      <c r="C93" s="342">
        <f t="shared" ref="C93:D108" si="30">L93+I93+F93</f>
        <v>0</v>
      </c>
      <c r="D93" s="342">
        <f t="shared" si="30"/>
        <v>9</v>
      </c>
      <c r="E93" s="342">
        <f>SUM(F93:G93)</f>
        <v>0</v>
      </c>
      <c r="F93" s="342">
        <v>0</v>
      </c>
      <c r="G93" s="342">
        <v>0</v>
      </c>
      <c r="H93" s="342">
        <f>SUM(I93:J93)</f>
        <v>0</v>
      </c>
      <c r="I93" s="342">
        <v>0</v>
      </c>
      <c r="J93" s="342">
        <v>0</v>
      </c>
      <c r="K93" s="342">
        <f>SUM(L93:M93)</f>
        <v>9</v>
      </c>
      <c r="L93" s="342">
        <v>0</v>
      </c>
      <c r="M93" s="342">
        <v>9</v>
      </c>
      <c r="N93" s="203" t="s">
        <v>145</v>
      </c>
      <c r="O93" s="340" t="s">
        <v>751</v>
      </c>
    </row>
    <row r="94" spans="2:15" ht="18.75" customHeight="1" thickBot="1" x14ac:dyDescent="0.25">
      <c r="B94" s="342">
        <f t="shared" ref="B94:M94" si="31">SUM(B92:B93)</f>
        <v>124</v>
      </c>
      <c r="C94" s="342">
        <f t="shared" si="31"/>
        <v>0</v>
      </c>
      <c r="D94" s="342">
        <f t="shared" si="31"/>
        <v>124</v>
      </c>
      <c r="E94" s="342">
        <f t="shared" si="31"/>
        <v>66</v>
      </c>
      <c r="F94" s="342">
        <f t="shared" si="31"/>
        <v>0</v>
      </c>
      <c r="G94" s="342">
        <f t="shared" si="31"/>
        <v>66</v>
      </c>
      <c r="H94" s="342">
        <f t="shared" si="31"/>
        <v>9</v>
      </c>
      <c r="I94" s="342">
        <f t="shared" si="31"/>
        <v>0</v>
      </c>
      <c r="J94" s="342">
        <f t="shared" si="31"/>
        <v>9</v>
      </c>
      <c r="K94" s="342">
        <f t="shared" si="31"/>
        <v>49</v>
      </c>
      <c r="L94" s="342">
        <f t="shared" si="31"/>
        <v>0</v>
      </c>
      <c r="M94" s="342">
        <f t="shared" si="31"/>
        <v>49</v>
      </c>
      <c r="N94" s="203" t="s">
        <v>12</v>
      </c>
      <c r="O94" s="341"/>
    </row>
    <row r="95" spans="2:15" ht="18.75" customHeight="1" thickBot="1" x14ac:dyDescent="0.25">
      <c r="B95" s="342">
        <f>SUM(C95:D95)</f>
        <v>136</v>
      </c>
      <c r="C95" s="342">
        <f t="shared" si="30"/>
        <v>0</v>
      </c>
      <c r="D95" s="342">
        <f t="shared" si="30"/>
        <v>136</v>
      </c>
      <c r="E95" s="342">
        <f>SUM(F95:G95)</f>
        <v>68</v>
      </c>
      <c r="F95" s="342">
        <v>0</v>
      </c>
      <c r="G95" s="342">
        <v>68</v>
      </c>
      <c r="H95" s="342">
        <f>SUM(I95:J95)</f>
        <v>15</v>
      </c>
      <c r="I95" s="342">
        <v>0</v>
      </c>
      <c r="J95" s="342">
        <v>15</v>
      </c>
      <c r="K95" s="342">
        <f>SUM(L95:M95)</f>
        <v>53</v>
      </c>
      <c r="L95" s="342">
        <v>0</v>
      </c>
      <c r="M95" s="342">
        <v>53</v>
      </c>
      <c r="N95" s="203" t="s">
        <v>146</v>
      </c>
      <c r="O95" s="340"/>
    </row>
    <row r="96" spans="2:15" ht="18.75" customHeight="1" thickBot="1" x14ac:dyDescent="0.25">
      <c r="B96" s="342">
        <f>SUM(C96:D96)</f>
        <v>2</v>
      </c>
      <c r="C96" s="342">
        <f t="shared" si="30"/>
        <v>0</v>
      </c>
      <c r="D96" s="342">
        <f t="shared" si="30"/>
        <v>2</v>
      </c>
      <c r="E96" s="342">
        <f>SUM(F96:G96)</f>
        <v>0</v>
      </c>
      <c r="F96" s="342">
        <v>0</v>
      </c>
      <c r="G96" s="342">
        <v>0</v>
      </c>
      <c r="H96" s="342">
        <f>SUM(I96:J96)</f>
        <v>0</v>
      </c>
      <c r="I96" s="342">
        <v>0</v>
      </c>
      <c r="J96" s="342">
        <v>0</v>
      </c>
      <c r="K96" s="342">
        <f>SUM(L96:M96)</f>
        <v>2</v>
      </c>
      <c r="L96" s="342">
        <v>0</v>
      </c>
      <c r="M96" s="342">
        <v>2</v>
      </c>
      <c r="N96" s="203" t="s">
        <v>145</v>
      </c>
      <c r="O96" s="340" t="s">
        <v>752</v>
      </c>
    </row>
    <row r="97" spans="2:15" ht="18.75" customHeight="1" thickBot="1" x14ac:dyDescent="0.25">
      <c r="B97" s="342">
        <f t="shared" ref="B97:M97" si="32">SUM(B95:B96)</f>
        <v>138</v>
      </c>
      <c r="C97" s="342">
        <f t="shared" si="32"/>
        <v>0</v>
      </c>
      <c r="D97" s="342">
        <f t="shared" si="32"/>
        <v>138</v>
      </c>
      <c r="E97" s="342">
        <f t="shared" si="32"/>
        <v>68</v>
      </c>
      <c r="F97" s="342">
        <f t="shared" si="32"/>
        <v>0</v>
      </c>
      <c r="G97" s="342">
        <f t="shared" si="32"/>
        <v>68</v>
      </c>
      <c r="H97" s="342">
        <f t="shared" si="32"/>
        <v>15</v>
      </c>
      <c r="I97" s="342">
        <f t="shared" si="32"/>
        <v>0</v>
      </c>
      <c r="J97" s="342">
        <f t="shared" si="32"/>
        <v>15</v>
      </c>
      <c r="K97" s="342">
        <f t="shared" si="32"/>
        <v>55</v>
      </c>
      <c r="L97" s="342">
        <f t="shared" si="32"/>
        <v>0</v>
      </c>
      <c r="M97" s="342">
        <f t="shared" si="32"/>
        <v>55</v>
      </c>
      <c r="N97" s="203" t="s">
        <v>12</v>
      </c>
      <c r="O97" s="341"/>
    </row>
    <row r="98" spans="2:15" ht="18.75" customHeight="1" thickBot="1" x14ac:dyDescent="0.25">
      <c r="B98" s="342">
        <f>SUM(C98:D98)</f>
        <v>170</v>
      </c>
      <c r="C98" s="342">
        <f t="shared" si="30"/>
        <v>0</v>
      </c>
      <c r="D98" s="342">
        <f t="shared" si="30"/>
        <v>170</v>
      </c>
      <c r="E98" s="342">
        <f>SUM(F98:G98)</f>
        <v>69</v>
      </c>
      <c r="F98" s="342">
        <v>0</v>
      </c>
      <c r="G98" s="342">
        <v>69</v>
      </c>
      <c r="H98" s="342">
        <f>SUM(I98:J98)</f>
        <v>29</v>
      </c>
      <c r="I98" s="342">
        <v>0</v>
      </c>
      <c r="J98" s="342">
        <v>29</v>
      </c>
      <c r="K98" s="342">
        <f>SUM(L98:M98)</f>
        <v>72</v>
      </c>
      <c r="L98" s="342">
        <v>0</v>
      </c>
      <c r="M98" s="342">
        <v>72</v>
      </c>
      <c r="N98" s="203" t="s">
        <v>146</v>
      </c>
      <c r="O98" s="340"/>
    </row>
    <row r="99" spans="2:15" ht="18.75" customHeight="1" thickBot="1" x14ac:dyDescent="0.25">
      <c r="B99" s="342">
        <f>SUM(C99:D99)</f>
        <v>5</v>
      </c>
      <c r="C99" s="342">
        <f t="shared" si="30"/>
        <v>0</v>
      </c>
      <c r="D99" s="342">
        <f t="shared" si="30"/>
        <v>5</v>
      </c>
      <c r="E99" s="342">
        <f>SUM(F99:G99)</f>
        <v>0</v>
      </c>
      <c r="F99" s="342">
        <v>0</v>
      </c>
      <c r="G99" s="342">
        <v>0</v>
      </c>
      <c r="H99" s="342">
        <f>SUM(I99:J99)</f>
        <v>0</v>
      </c>
      <c r="I99" s="342">
        <v>0</v>
      </c>
      <c r="J99" s="342">
        <v>0</v>
      </c>
      <c r="K99" s="342">
        <f>SUM(L99:M99)</f>
        <v>5</v>
      </c>
      <c r="L99" s="342">
        <v>0</v>
      </c>
      <c r="M99" s="342">
        <v>5</v>
      </c>
      <c r="N99" s="203" t="s">
        <v>145</v>
      </c>
      <c r="O99" s="340" t="s">
        <v>358</v>
      </c>
    </row>
    <row r="100" spans="2:15" ht="18.75" customHeight="1" thickBot="1" x14ac:dyDescent="0.25">
      <c r="B100" s="342">
        <f t="shared" ref="B100:M100" si="33">SUM(B98:B99)</f>
        <v>175</v>
      </c>
      <c r="C100" s="342">
        <f t="shared" si="33"/>
        <v>0</v>
      </c>
      <c r="D100" s="342">
        <f t="shared" si="33"/>
        <v>175</v>
      </c>
      <c r="E100" s="342">
        <f t="shared" si="33"/>
        <v>69</v>
      </c>
      <c r="F100" s="342">
        <f t="shared" si="33"/>
        <v>0</v>
      </c>
      <c r="G100" s="342">
        <f t="shared" si="33"/>
        <v>69</v>
      </c>
      <c r="H100" s="342">
        <f t="shared" si="33"/>
        <v>29</v>
      </c>
      <c r="I100" s="342">
        <f t="shared" si="33"/>
        <v>0</v>
      </c>
      <c r="J100" s="342">
        <f t="shared" si="33"/>
        <v>29</v>
      </c>
      <c r="K100" s="342">
        <f t="shared" si="33"/>
        <v>77</v>
      </c>
      <c r="L100" s="342">
        <f t="shared" si="33"/>
        <v>0</v>
      </c>
      <c r="M100" s="342">
        <f t="shared" si="33"/>
        <v>77</v>
      </c>
      <c r="N100" s="203" t="s">
        <v>12</v>
      </c>
      <c r="O100" s="341"/>
    </row>
    <row r="101" spans="2:15" ht="18.75" customHeight="1" thickBot="1" x14ac:dyDescent="0.25">
      <c r="B101" s="342">
        <f>SUM(C101:D101)</f>
        <v>139</v>
      </c>
      <c r="C101" s="342">
        <f t="shared" si="30"/>
        <v>0</v>
      </c>
      <c r="D101" s="342">
        <f t="shared" si="30"/>
        <v>139</v>
      </c>
      <c r="E101" s="342">
        <f>SUM(F101:G101)</f>
        <v>50</v>
      </c>
      <c r="F101" s="342">
        <v>0</v>
      </c>
      <c r="G101" s="342">
        <v>50</v>
      </c>
      <c r="H101" s="342">
        <f>SUM(I101:J101)</f>
        <v>12</v>
      </c>
      <c r="I101" s="342">
        <v>0</v>
      </c>
      <c r="J101" s="342">
        <v>12</v>
      </c>
      <c r="K101" s="342">
        <f>SUM(L101:M101)</f>
        <v>77</v>
      </c>
      <c r="L101" s="342">
        <v>0</v>
      </c>
      <c r="M101" s="342">
        <v>77</v>
      </c>
      <c r="N101" s="203" t="s">
        <v>146</v>
      </c>
      <c r="O101" s="340"/>
    </row>
    <row r="102" spans="2:15" ht="18.75" customHeight="1" thickBot="1" x14ac:dyDescent="0.25">
      <c r="B102" s="342">
        <f>SUM(C102:D102)</f>
        <v>6</v>
      </c>
      <c r="C102" s="342">
        <f t="shared" si="30"/>
        <v>0</v>
      </c>
      <c r="D102" s="342">
        <f t="shared" si="30"/>
        <v>6</v>
      </c>
      <c r="E102" s="342">
        <f>SUM(F102:G102)</f>
        <v>0</v>
      </c>
      <c r="F102" s="342">
        <v>0</v>
      </c>
      <c r="G102" s="342">
        <v>0</v>
      </c>
      <c r="H102" s="342">
        <f>SUM(I102:J102)</f>
        <v>0</v>
      </c>
      <c r="I102" s="342">
        <v>0</v>
      </c>
      <c r="J102" s="342">
        <v>0</v>
      </c>
      <c r="K102" s="342">
        <f>SUM(L102:M102)</f>
        <v>6</v>
      </c>
      <c r="L102" s="342">
        <v>0</v>
      </c>
      <c r="M102" s="342">
        <v>6</v>
      </c>
      <c r="N102" s="203" t="s">
        <v>145</v>
      </c>
      <c r="O102" s="340" t="s">
        <v>346</v>
      </c>
    </row>
    <row r="103" spans="2:15" ht="18.75" customHeight="1" thickBot="1" x14ac:dyDescent="0.25">
      <c r="B103" s="342">
        <f t="shared" ref="B103:M103" si="34">SUM(B101:B102)</f>
        <v>145</v>
      </c>
      <c r="C103" s="342">
        <f t="shared" si="34"/>
        <v>0</v>
      </c>
      <c r="D103" s="342">
        <f t="shared" si="34"/>
        <v>145</v>
      </c>
      <c r="E103" s="342">
        <f t="shared" si="34"/>
        <v>50</v>
      </c>
      <c r="F103" s="342">
        <f t="shared" si="34"/>
        <v>0</v>
      </c>
      <c r="G103" s="342">
        <f t="shared" si="34"/>
        <v>50</v>
      </c>
      <c r="H103" s="342">
        <f t="shared" si="34"/>
        <v>12</v>
      </c>
      <c r="I103" s="342">
        <f t="shared" si="34"/>
        <v>0</v>
      </c>
      <c r="J103" s="342">
        <f t="shared" si="34"/>
        <v>12</v>
      </c>
      <c r="K103" s="342">
        <f t="shared" si="34"/>
        <v>83</v>
      </c>
      <c r="L103" s="342">
        <f t="shared" si="34"/>
        <v>0</v>
      </c>
      <c r="M103" s="342">
        <f t="shared" si="34"/>
        <v>83</v>
      </c>
      <c r="N103" s="203" t="s">
        <v>12</v>
      </c>
      <c r="O103" s="341"/>
    </row>
    <row r="104" spans="2:15" ht="18.75" customHeight="1" thickBot="1" x14ac:dyDescent="0.25">
      <c r="B104" s="342">
        <f>SUM(C104:D104)</f>
        <v>101</v>
      </c>
      <c r="C104" s="342">
        <f t="shared" si="30"/>
        <v>0</v>
      </c>
      <c r="D104" s="342">
        <f t="shared" si="30"/>
        <v>101</v>
      </c>
      <c r="E104" s="342">
        <f>SUM(F104:G104)</f>
        <v>47</v>
      </c>
      <c r="F104" s="342">
        <v>0</v>
      </c>
      <c r="G104" s="342">
        <v>47</v>
      </c>
      <c r="H104" s="342">
        <f>SUM(I104:J104)</f>
        <v>15</v>
      </c>
      <c r="I104" s="342">
        <v>0</v>
      </c>
      <c r="J104" s="342">
        <v>15</v>
      </c>
      <c r="K104" s="342">
        <f>SUM(L104:M104)</f>
        <v>39</v>
      </c>
      <c r="L104" s="342">
        <v>0</v>
      </c>
      <c r="M104" s="342">
        <v>39</v>
      </c>
      <c r="N104" s="203" t="s">
        <v>146</v>
      </c>
      <c r="O104" s="340"/>
    </row>
    <row r="105" spans="2:15" ht="18.75" customHeight="1" thickBot="1" x14ac:dyDescent="0.25">
      <c r="B105" s="342">
        <f>SUM(C105:D105)</f>
        <v>10</v>
      </c>
      <c r="C105" s="342">
        <f t="shared" si="30"/>
        <v>0</v>
      </c>
      <c r="D105" s="342">
        <f t="shared" si="30"/>
        <v>10</v>
      </c>
      <c r="E105" s="342">
        <f>SUM(F105:G105)</f>
        <v>0</v>
      </c>
      <c r="F105" s="342">
        <v>0</v>
      </c>
      <c r="G105" s="342">
        <v>0</v>
      </c>
      <c r="H105" s="342">
        <f>SUM(I105:J105)</f>
        <v>0</v>
      </c>
      <c r="I105" s="342">
        <v>0</v>
      </c>
      <c r="J105" s="342">
        <v>0</v>
      </c>
      <c r="K105" s="342">
        <f>SUM(L105:M105)</f>
        <v>10</v>
      </c>
      <c r="L105" s="342">
        <v>0</v>
      </c>
      <c r="M105" s="342">
        <v>10</v>
      </c>
      <c r="N105" s="203" t="s">
        <v>145</v>
      </c>
      <c r="O105" s="340" t="s">
        <v>360</v>
      </c>
    </row>
    <row r="106" spans="2:15" ht="18.75" customHeight="1" thickBot="1" x14ac:dyDescent="0.25">
      <c r="B106" s="342">
        <f t="shared" ref="B106:M106" si="35">SUM(B104:B105)</f>
        <v>111</v>
      </c>
      <c r="C106" s="342">
        <f t="shared" si="35"/>
        <v>0</v>
      </c>
      <c r="D106" s="342">
        <f t="shared" si="35"/>
        <v>111</v>
      </c>
      <c r="E106" s="342">
        <f t="shared" si="35"/>
        <v>47</v>
      </c>
      <c r="F106" s="342">
        <f t="shared" si="35"/>
        <v>0</v>
      </c>
      <c r="G106" s="342">
        <f t="shared" si="35"/>
        <v>47</v>
      </c>
      <c r="H106" s="342">
        <f t="shared" si="35"/>
        <v>15</v>
      </c>
      <c r="I106" s="342">
        <f t="shared" si="35"/>
        <v>0</v>
      </c>
      <c r="J106" s="342">
        <f t="shared" si="35"/>
        <v>15</v>
      </c>
      <c r="K106" s="342">
        <f t="shared" si="35"/>
        <v>49</v>
      </c>
      <c r="L106" s="342">
        <f t="shared" si="35"/>
        <v>0</v>
      </c>
      <c r="M106" s="342">
        <f t="shared" si="35"/>
        <v>49</v>
      </c>
      <c r="N106" s="203" t="s">
        <v>12</v>
      </c>
      <c r="O106" s="341"/>
    </row>
    <row r="107" spans="2:15" ht="18.75" customHeight="1" thickBot="1" x14ac:dyDescent="0.25">
      <c r="B107" s="342">
        <f>SUM(C107:D107)</f>
        <v>18</v>
      </c>
      <c r="C107" s="342">
        <f t="shared" si="30"/>
        <v>0</v>
      </c>
      <c r="D107" s="342">
        <f t="shared" si="30"/>
        <v>18</v>
      </c>
      <c r="E107" s="342">
        <f>SUM(F107:G107)</f>
        <v>15</v>
      </c>
      <c r="F107" s="342">
        <v>0</v>
      </c>
      <c r="G107" s="342">
        <v>15</v>
      </c>
      <c r="H107" s="342">
        <f>SUM(I107:J107)</f>
        <v>2</v>
      </c>
      <c r="I107" s="342">
        <v>0</v>
      </c>
      <c r="J107" s="342">
        <v>2</v>
      </c>
      <c r="K107" s="342">
        <f>SUM(L107:M107)</f>
        <v>1</v>
      </c>
      <c r="L107" s="342">
        <v>0</v>
      </c>
      <c r="M107" s="342">
        <v>1</v>
      </c>
      <c r="N107" s="203" t="s">
        <v>146</v>
      </c>
      <c r="O107" s="340"/>
    </row>
    <row r="108" spans="2:15" ht="18.75" customHeight="1" thickBot="1" x14ac:dyDescent="0.25">
      <c r="B108" s="342">
        <f>SUM(C108:D108)</f>
        <v>6</v>
      </c>
      <c r="C108" s="342">
        <f t="shared" si="30"/>
        <v>0</v>
      </c>
      <c r="D108" s="342">
        <f t="shared" si="30"/>
        <v>6</v>
      </c>
      <c r="E108" s="342">
        <f>SUM(F108:G108)</f>
        <v>0</v>
      </c>
      <c r="F108" s="342">
        <v>0</v>
      </c>
      <c r="G108" s="342">
        <v>0</v>
      </c>
      <c r="H108" s="342">
        <f>SUM(I108:J108)</f>
        <v>0</v>
      </c>
      <c r="I108" s="342">
        <v>0</v>
      </c>
      <c r="J108" s="342">
        <v>0</v>
      </c>
      <c r="K108" s="342">
        <f>SUM(L108:M108)</f>
        <v>6</v>
      </c>
      <c r="L108" s="342">
        <v>0</v>
      </c>
      <c r="M108" s="342">
        <v>6</v>
      </c>
      <c r="N108" s="203" t="s">
        <v>145</v>
      </c>
      <c r="O108" s="340" t="s">
        <v>249</v>
      </c>
    </row>
    <row r="109" spans="2:15" ht="18.75" customHeight="1" thickBot="1" x14ac:dyDescent="0.25">
      <c r="B109" s="342">
        <f t="shared" ref="B109:M109" si="36">SUM(B107:B108)</f>
        <v>24</v>
      </c>
      <c r="C109" s="342">
        <f t="shared" si="36"/>
        <v>0</v>
      </c>
      <c r="D109" s="342">
        <f t="shared" si="36"/>
        <v>24</v>
      </c>
      <c r="E109" s="342">
        <f t="shared" si="36"/>
        <v>15</v>
      </c>
      <c r="F109" s="342">
        <f t="shared" si="36"/>
        <v>0</v>
      </c>
      <c r="G109" s="342">
        <f t="shared" si="36"/>
        <v>15</v>
      </c>
      <c r="H109" s="342">
        <f t="shared" si="36"/>
        <v>2</v>
      </c>
      <c r="I109" s="342">
        <f t="shared" si="36"/>
        <v>0</v>
      </c>
      <c r="J109" s="342">
        <f t="shared" si="36"/>
        <v>2</v>
      </c>
      <c r="K109" s="342">
        <f t="shared" si="36"/>
        <v>7</v>
      </c>
      <c r="L109" s="342">
        <f t="shared" si="36"/>
        <v>0</v>
      </c>
      <c r="M109" s="342">
        <f t="shared" si="36"/>
        <v>7</v>
      </c>
      <c r="N109" s="203" t="s">
        <v>12</v>
      </c>
      <c r="O109" s="341"/>
    </row>
    <row r="110" spans="2:15" ht="18.75" customHeight="1" thickBot="1" x14ac:dyDescent="0.25">
      <c r="B110" s="342">
        <f t="shared" ref="B110:M112" si="37">B92+B95+B98+B101+B104+B107</f>
        <v>679</v>
      </c>
      <c r="C110" s="342">
        <f t="shared" si="37"/>
        <v>0</v>
      </c>
      <c r="D110" s="342">
        <f t="shared" si="37"/>
        <v>679</v>
      </c>
      <c r="E110" s="342">
        <f t="shared" si="37"/>
        <v>315</v>
      </c>
      <c r="F110" s="342">
        <f t="shared" si="37"/>
        <v>0</v>
      </c>
      <c r="G110" s="342">
        <f t="shared" si="37"/>
        <v>315</v>
      </c>
      <c r="H110" s="342">
        <f t="shared" si="37"/>
        <v>82</v>
      </c>
      <c r="I110" s="342">
        <f t="shared" si="37"/>
        <v>0</v>
      </c>
      <c r="J110" s="342">
        <f t="shared" si="37"/>
        <v>82</v>
      </c>
      <c r="K110" s="342">
        <f t="shared" si="37"/>
        <v>282</v>
      </c>
      <c r="L110" s="342">
        <f t="shared" si="37"/>
        <v>0</v>
      </c>
      <c r="M110" s="342">
        <f t="shared" si="37"/>
        <v>282</v>
      </c>
      <c r="N110" s="203" t="s">
        <v>146</v>
      </c>
      <c r="O110" s="308"/>
    </row>
    <row r="111" spans="2:15" ht="18.75" customHeight="1" thickBot="1" x14ac:dyDescent="0.25">
      <c r="B111" s="342">
        <f t="shared" si="37"/>
        <v>38</v>
      </c>
      <c r="C111" s="342">
        <f t="shared" si="37"/>
        <v>0</v>
      </c>
      <c r="D111" s="342">
        <f t="shared" si="37"/>
        <v>38</v>
      </c>
      <c r="E111" s="342">
        <f t="shared" si="37"/>
        <v>0</v>
      </c>
      <c r="F111" s="342">
        <f t="shared" si="37"/>
        <v>0</v>
      </c>
      <c r="G111" s="342">
        <f t="shared" si="37"/>
        <v>0</v>
      </c>
      <c r="H111" s="342">
        <f t="shared" si="37"/>
        <v>0</v>
      </c>
      <c r="I111" s="342">
        <f t="shared" si="37"/>
        <v>0</v>
      </c>
      <c r="J111" s="342">
        <f t="shared" si="37"/>
        <v>0</v>
      </c>
      <c r="K111" s="342">
        <f t="shared" si="37"/>
        <v>38</v>
      </c>
      <c r="L111" s="342">
        <f t="shared" si="37"/>
        <v>0</v>
      </c>
      <c r="M111" s="342">
        <f t="shared" si="37"/>
        <v>38</v>
      </c>
      <c r="N111" s="203" t="s">
        <v>145</v>
      </c>
      <c r="O111" s="336" t="s">
        <v>188</v>
      </c>
    </row>
    <row r="112" spans="2:15" ht="18.75" customHeight="1" thickBot="1" x14ac:dyDescent="0.25">
      <c r="B112" s="342">
        <f t="shared" si="37"/>
        <v>717</v>
      </c>
      <c r="C112" s="342">
        <f t="shared" si="37"/>
        <v>0</v>
      </c>
      <c r="D112" s="342">
        <f t="shared" si="37"/>
        <v>717</v>
      </c>
      <c r="E112" s="342">
        <f t="shared" si="37"/>
        <v>315</v>
      </c>
      <c r="F112" s="342">
        <f t="shared" si="37"/>
        <v>0</v>
      </c>
      <c r="G112" s="342">
        <f t="shared" si="37"/>
        <v>315</v>
      </c>
      <c r="H112" s="342">
        <f t="shared" si="37"/>
        <v>82</v>
      </c>
      <c r="I112" s="342">
        <f t="shared" si="37"/>
        <v>0</v>
      </c>
      <c r="J112" s="342">
        <f t="shared" si="37"/>
        <v>82</v>
      </c>
      <c r="K112" s="342">
        <f t="shared" si="37"/>
        <v>320</v>
      </c>
      <c r="L112" s="342">
        <f t="shared" si="37"/>
        <v>0</v>
      </c>
      <c r="M112" s="342">
        <f t="shared" si="37"/>
        <v>320</v>
      </c>
      <c r="N112" s="203" t="s">
        <v>12</v>
      </c>
      <c r="O112" s="205"/>
    </row>
    <row r="113" spans="2:15" ht="18.75" customHeight="1" thickBot="1" x14ac:dyDescent="0.25">
      <c r="B113" s="589"/>
      <c r="C113" s="589"/>
      <c r="D113" s="589"/>
      <c r="E113" s="589"/>
      <c r="F113" s="589"/>
      <c r="G113" s="589"/>
      <c r="H113" s="589"/>
      <c r="I113" s="589"/>
      <c r="J113" s="589"/>
      <c r="K113" s="589"/>
      <c r="L113" s="589"/>
    </row>
    <row r="114" spans="2:15" ht="18.75" customHeight="1" thickBot="1" x14ac:dyDescent="0.25">
      <c r="B114" s="482" t="s">
        <v>4</v>
      </c>
      <c r="C114" s="482"/>
      <c r="D114" s="482"/>
      <c r="E114" s="482" t="s">
        <v>60</v>
      </c>
      <c r="F114" s="482"/>
      <c r="G114" s="482"/>
      <c r="H114" s="482" t="s">
        <v>57</v>
      </c>
      <c r="I114" s="482"/>
      <c r="J114" s="482"/>
      <c r="K114" s="482" t="s">
        <v>56</v>
      </c>
      <c r="L114" s="482"/>
      <c r="M114" s="482"/>
      <c r="N114" s="575" t="s">
        <v>792</v>
      </c>
      <c r="O114" s="321" t="s">
        <v>144</v>
      </c>
    </row>
    <row r="115" spans="2:15" ht="18.75" customHeight="1" thickBot="1" x14ac:dyDescent="0.25">
      <c r="B115" s="203" t="s">
        <v>227</v>
      </c>
      <c r="C115" s="203" t="s">
        <v>10</v>
      </c>
      <c r="D115" s="203" t="s">
        <v>9</v>
      </c>
      <c r="E115" s="203" t="s">
        <v>227</v>
      </c>
      <c r="F115" s="203" t="s">
        <v>10</v>
      </c>
      <c r="G115" s="203" t="s">
        <v>9</v>
      </c>
      <c r="H115" s="203" t="s">
        <v>227</v>
      </c>
      <c r="I115" s="203" t="s">
        <v>10</v>
      </c>
      <c r="J115" s="203" t="s">
        <v>9</v>
      </c>
      <c r="K115" s="203" t="s">
        <v>227</v>
      </c>
      <c r="L115" s="203" t="s">
        <v>10</v>
      </c>
      <c r="M115" s="203" t="s">
        <v>9</v>
      </c>
      <c r="N115" s="481"/>
      <c r="O115" s="282" t="s">
        <v>793</v>
      </c>
    </row>
    <row r="116" spans="2:15" ht="18.75" customHeight="1" thickBot="1" x14ac:dyDescent="0.25">
      <c r="B116" s="342">
        <f>SUM(C116:D116)</f>
        <v>161</v>
      </c>
      <c r="C116" s="342">
        <f>L116+I116+F116</f>
        <v>1</v>
      </c>
      <c r="D116" s="342">
        <f>M116+J116+G116</f>
        <v>160</v>
      </c>
      <c r="E116" s="342">
        <f>SUM(F116:G116)</f>
        <v>78</v>
      </c>
      <c r="F116" s="342">
        <v>1</v>
      </c>
      <c r="G116" s="342">
        <v>77</v>
      </c>
      <c r="H116" s="342">
        <f>SUM(I116:J116)</f>
        <v>36</v>
      </c>
      <c r="I116" s="342">
        <v>0</v>
      </c>
      <c r="J116" s="342">
        <v>36</v>
      </c>
      <c r="K116" s="342">
        <f>SUM(L116:M116)</f>
        <v>47</v>
      </c>
      <c r="L116" s="342">
        <v>0</v>
      </c>
      <c r="M116" s="342">
        <v>47</v>
      </c>
      <c r="N116" s="203" t="s">
        <v>146</v>
      </c>
      <c r="O116" s="306"/>
    </row>
    <row r="117" spans="2:15" ht="18.75" customHeight="1" thickBot="1" x14ac:dyDescent="0.25">
      <c r="B117" s="342">
        <f>SUM(C117:D117)</f>
        <v>50</v>
      </c>
      <c r="C117" s="342">
        <f t="shared" ref="C117:D156" si="38">L117+I117+F117</f>
        <v>0</v>
      </c>
      <c r="D117" s="342">
        <f t="shared" si="38"/>
        <v>50</v>
      </c>
      <c r="E117" s="342">
        <f>SUM(F117:G117)</f>
        <v>0</v>
      </c>
      <c r="F117" s="342">
        <v>0</v>
      </c>
      <c r="G117" s="342">
        <v>0</v>
      </c>
      <c r="H117" s="342">
        <f>SUM(I117:J117)</f>
        <v>0</v>
      </c>
      <c r="I117" s="342">
        <v>0</v>
      </c>
      <c r="J117" s="342">
        <v>0</v>
      </c>
      <c r="K117" s="342">
        <f>SUM(L117:M117)</f>
        <v>50</v>
      </c>
      <c r="L117" s="342">
        <v>0</v>
      </c>
      <c r="M117" s="342">
        <v>50</v>
      </c>
      <c r="N117" s="203" t="s">
        <v>145</v>
      </c>
      <c r="O117" s="306" t="s">
        <v>366</v>
      </c>
    </row>
    <row r="118" spans="2:15" ht="18.75" customHeight="1" thickBot="1" x14ac:dyDescent="0.25">
      <c r="B118" s="342">
        <f t="shared" ref="B118:L118" si="39">SUM(B116:B117)</f>
        <v>211</v>
      </c>
      <c r="C118" s="342">
        <f t="shared" si="39"/>
        <v>1</v>
      </c>
      <c r="D118" s="342">
        <f t="shared" si="39"/>
        <v>210</v>
      </c>
      <c r="E118" s="342">
        <f t="shared" si="39"/>
        <v>78</v>
      </c>
      <c r="F118" s="342">
        <f t="shared" si="39"/>
        <v>1</v>
      </c>
      <c r="G118" s="342">
        <f t="shared" si="39"/>
        <v>77</v>
      </c>
      <c r="H118" s="342">
        <f t="shared" si="39"/>
        <v>36</v>
      </c>
      <c r="I118" s="342">
        <f t="shared" si="39"/>
        <v>0</v>
      </c>
      <c r="J118" s="342">
        <f t="shared" si="39"/>
        <v>36</v>
      </c>
      <c r="K118" s="342">
        <f t="shared" si="39"/>
        <v>97</v>
      </c>
      <c r="L118" s="342">
        <f t="shared" si="39"/>
        <v>0</v>
      </c>
      <c r="M118" s="342">
        <f>SUM(M116:M117)</f>
        <v>97</v>
      </c>
      <c r="N118" s="203" t="s">
        <v>12</v>
      </c>
      <c r="O118" s="307"/>
    </row>
    <row r="119" spans="2:15" ht="18.75" customHeight="1" thickBot="1" x14ac:dyDescent="0.25">
      <c r="B119" s="342">
        <f>SUM(C119:D119)</f>
        <v>169</v>
      </c>
      <c r="C119" s="342">
        <f t="shared" si="38"/>
        <v>44</v>
      </c>
      <c r="D119" s="342">
        <f t="shared" si="38"/>
        <v>125</v>
      </c>
      <c r="E119" s="342">
        <f>SUM(F119:G119)</f>
        <v>61</v>
      </c>
      <c r="F119" s="342">
        <v>19</v>
      </c>
      <c r="G119" s="342">
        <v>42</v>
      </c>
      <c r="H119" s="342">
        <f>SUM(I119:J119)</f>
        <v>33</v>
      </c>
      <c r="I119" s="342">
        <v>16</v>
      </c>
      <c r="J119" s="342">
        <v>17</v>
      </c>
      <c r="K119" s="342">
        <f>SUM(L119:M119)</f>
        <v>75</v>
      </c>
      <c r="L119" s="342">
        <v>9</v>
      </c>
      <c r="M119" s="342">
        <v>66</v>
      </c>
      <c r="N119" s="203" t="s">
        <v>146</v>
      </c>
      <c r="O119" s="306"/>
    </row>
    <row r="120" spans="2:15" ht="18.75" customHeight="1" thickBot="1" x14ac:dyDescent="0.25">
      <c r="B120" s="342">
        <f>SUM(C120:D120)</f>
        <v>2</v>
      </c>
      <c r="C120" s="342">
        <f t="shared" si="38"/>
        <v>0</v>
      </c>
      <c r="D120" s="342">
        <f t="shared" si="38"/>
        <v>2</v>
      </c>
      <c r="E120" s="342">
        <f>SUM(F120:G120)</f>
        <v>0</v>
      </c>
      <c r="F120" s="342">
        <v>0</v>
      </c>
      <c r="G120" s="342">
        <v>0</v>
      </c>
      <c r="H120" s="342">
        <f>SUM(I120:J120)</f>
        <v>0</v>
      </c>
      <c r="I120" s="342">
        <v>0</v>
      </c>
      <c r="J120" s="342">
        <v>0</v>
      </c>
      <c r="K120" s="342">
        <f>SUM(L120:M120)</f>
        <v>2</v>
      </c>
      <c r="L120" s="342">
        <v>0</v>
      </c>
      <c r="M120" s="342">
        <v>2</v>
      </c>
      <c r="N120" s="203" t="s">
        <v>145</v>
      </c>
      <c r="O120" s="306" t="s">
        <v>581</v>
      </c>
    </row>
    <row r="121" spans="2:15" ht="18.75" customHeight="1" thickBot="1" x14ac:dyDescent="0.25">
      <c r="B121" s="342">
        <f t="shared" ref="B121:L121" si="40">SUM(B119:B120)</f>
        <v>171</v>
      </c>
      <c r="C121" s="342">
        <f t="shared" si="40"/>
        <v>44</v>
      </c>
      <c r="D121" s="342">
        <f t="shared" si="40"/>
        <v>127</v>
      </c>
      <c r="E121" s="342">
        <f t="shared" si="40"/>
        <v>61</v>
      </c>
      <c r="F121" s="342">
        <f t="shared" si="40"/>
        <v>19</v>
      </c>
      <c r="G121" s="342">
        <f t="shared" si="40"/>
        <v>42</v>
      </c>
      <c r="H121" s="342">
        <f t="shared" si="40"/>
        <v>33</v>
      </c>
      <c r="I121" s="342">
        <f t="shared" si="40"/>
        <v>16</v>
      </c>
      <c r="J121" s="342">
        <f t="shared" si="40"/>
        <v>17</v>
      </c>
      <c r="K121" s="342">
        <f t="shared" si="40"/>
        <v>77</v>
      </c>
      <c r="L121" s="342">
        <f t="shared" si="40"/>
        <v>9</v>
      </c>
      <c r="M121" s="342">
        <f>SUM(M119:M120)</f>
        <v>68</v>
      </c>
      <c r="N121" s="203" t="s">
        <v>12</v>
      </c>
      <c r="O121" s="307"/>
    </row>
    <row r="122" spans="2:15" ht="18.75" customHeight="1" thickBot="1" x14ac:dyDescent="0.25">
      <c r="B122" s="342">
        <f>SUM(C122:D122)</f>
        <v>314</v>
      </c>
      <c r="C122" s="342">
        <f t="shared" si="38"/>
        <v>46</v>
      </c>
      <c r="D122" s="342">
        <f t="shared" si="38"/>
        <v>268</v>
      </c>
      <c r="E122" s="342">
        <f>SUM(F122:G122)</f>
        <v>95</v>
      </c>
      <c r="F122" s="342">
        <v>24</v>
      </c>
      <c r="G122" s="342">
        <v>71</v>
      </c>
      <c r="H122" s="342">
        <f>SUM(I122:J122)</f>
        <v>72</v>
      </c>
      <c r="I122" s="342">
        <v>12</v>
      </c>
      <c r="J122" s="342">
        <v>60</v>
      </c>
      <c r="K122" s="342">
        <f>SUM(L122:M122)</f>
        <v>147</v>
      </c>
      <c r="L122" s="342">
        <v>10</v>
      </c>
      <c r="M122" s="342">
        <v>137</v>
      </c>
      <c r="N122" s="203" t="s">
        <v>146</v>
      </c>
      <c r="O122" s="306"/>
    </row>
    <row r="123" spans="2:15" ht="18.75" customHeight="1" thickBot="1" x14ac:dyDescent="0.25">
      <c r="B123" s="342">
        <f>SUM(C123:D123)</f>
        <v>29</v>
      </c>
      <c r="C123" s="342">
        <f t="shared" si="38"/>
        <v>0</v>
      </c>
      <c r="D123" s="342">
        <f t="shared" si="38"/>
        <v>29</v>
      </c>
      <c r="E123" s="342">
        <f>SUM(F123:G123)</f>
        <v>0</v>
      </c>
      <c r="F123" s="342">
        <v>0</v>
      </c>
      <c r="G123" s="342">
        <v>0</v>
      </c>
      <c r="H123" s="342">
        <f>SUM(I123:J123)</f>
        <v>0</v>
      </c>
      <c r="I123" s="342">
        <v>0</v>
      </c>
      <c r="J123" s="342">
        <v>0</v>
      </c>
      <c r="K123" s="342">
        <f>SUM(L123:M123)</f>
        <v>29</v>
      </c>
      <c r="L123" s="342">
        <v>0</v>
      </c>
      <c r="M123" s="342">
        <v>29</v>
      </c>
      <c r="N123" s="203" t="s">
        <v>145</v>
      </c>
      <c r="O123" s="306" t="s">
        <v>361</v>
      </c>
    </row>
    <row r="124" spans="2:15" ht="18.75" customHeight="1" thickBot="1" x14ac:dyDescent="0.25">
      <c r="B124" s="342">
        <f t="shared" ref="B124:L124" si="41">SUM(B122:B123)</f>
        <v>343</v>
      </c>
      <c r="C124" s="342">
        <f t="shared" si="41"/>
        <v>46</v>
      </c>
      <c r="D124" s="342">
        <f t="shared" si="41"/>
        <v>297</v>
      </c>
      <c r="E124" s="342">
        <f t="shared" si="41"/>
        <v>95</v>
      </c>
      <c r="F124" s="342">
        <f t="shared" si="41"/>
        <v>24</v>
      </c>
      <c r="G124" s="342">
        <f t="shared" si="41"/>
        <v>71</v>
      </c>
      <c r="H124" s="342">
        <f t="shared" si="41"/>
        <v>72</v>
      </c>
      <c r="I124" s="342">
        <f t="shared" si="41"/>
        <v>12</v>
      </c>
      <c r="J124" s="342">
        <f t="shared" si="41"/>
        <v>60</v>
      </c>
      <c r="K124" s="342">
        <f t="shared" si="41"/>
        <v>176</v>
      </c>
      <c r="L124" s="342">
        <f t="shared" si="41"/>
        <v>10</v>
      </c>
      <c r="M124" s="342">
        <f>SUM(M122:M123)</f>
        <v>166</v>
      </c>
      <c r="N124" s="203" t="s">
        <v>12</v>
      </c>
      <c r="O124" s="307"/>
    </row>
    <row r="125" spans="2:15" ht="18.75" customHeight="1" thickBot="1" x14ac:dyDescent="0.25">
      <c r="B125" s="342">
        <f>SUM(C125:D125)</f>
        <v>72</v>
      </c>
      <c r="C125" s="342">
        <f t="shared" si="38"/>
        <v>0</v>
      </c>
      <c r="D125" s="342">
        <f t="shared" si="38"/>
        <v>72</v>
      </c>
      <c r="E125" s="342">
        <f>SUM(F125:G125)</f>
        <v>6</v>
      </c>
      <c r="F125" s="342">
        <v>0</v>
      </c>
      <c r="G125" s="342">
        <v>6</v>
      </c>
      <c r="H125" s="342">
        <f>SUM(I125:J125)</f>
        <v>14</v>
      </c>
      <c r="I125" s="342">
        <v>0</v>
      </c>
      <c r="J125" s="342">
        <v>14</v>
      </c>
      <c r="K125" s="342">
        <f>SUM(L125:M125)</f>
        <v>52</v>
      </c>
      <c r="L125" s="342">
        <v>0</v>
      </c>
      <c r="M125" s="342">
        <v>52</v>
      </c>
      <c r="N125" s="203" t="s">
        <v>146</v>
      </c>
      <c r="O125" s="306"/>
    </row>
    <row r="126" spans="2:15" ht="18.75" customHeight="1" thickBot="1" x14ac:dyDescent="0.25">
      <c r="B126" s="342">
        <f>SUM(C126:D126)</f>
        <v>16</v>
      </c>
      <c r="C126" s="342">
        <f t="shared" si="38"/>
        <v>0</v>
      </c>
      <c r="D126" s="342">
        <f t="shared" si="38"/>
        <v>16</v>
      </c>
      <c r="E126" s="342">
        <f>SUM(F126:G126)</f>
        <v>0</v>
      </c>
      <c r="F126" s="342">
        <v>0</v>
      </c>
      <c r="G126" s="342">
        <v>0</v>
      </c>
      <c r="H126" s="342">
        <f>SUM(I126:J126)</f>
        <v>0</v>
      </c>
      <c r="I126" s="342">
        <v>0</v>
      </c>
      <c r="J126" s="342">
        <v>0</v>
      </c>
      <c r="K126" s="342">
        <f>SUM(L126:M126)</f>
        <v>16</v>
      </c>
      <c r="L126" s="342">
        <v>0</v>
      </c>
      <c r="M126" s="342">
        <v>16</v>
      </c>
      <c r="N126" s="203" t="s">
        <v>145</v>
      </c>
      <c r="O126" s="306" t="s">
        <v>753</v>
      </c>
    </row>
    <row r="127" spans="2:15" ht="18.75" customHeight="1" thickBot="1" x14ac:dyDescent="0.25">
      <c r="B127" s="342">
        <f t="shared" ref="B127:L127" si="42">SUM(B125:B126)</f>
        <v>88</v>
      </c>
      <c r="C127" s="342">
        <f t="shared" si="42"/>
        <v>0</v>
      </c>
      <c r="D127" s="342">
        <f t="shared" si="42"/>
        <v>88</v>
      </c>
      <c r="E127" s="342">
        <f t="shared" si="42"/>
        <v>6</v>
      </c>
      <c r="F127" s="342">
        <f t="shared" si="42"/>
        <v>0</v>
      </c>
      <c r="G127" s="342">
        <f t="shared" si="42"/>
        <v>6</v>
      </c>
      <c r="H127" s="342">
        <f t="shared" si="42"/>
        <v>14</v>
      </c>
      <c r="I127" s="342">
        <f t="shared" si="42"/>
        <v>0</v>
      </c>
      <c r="J127" s="342">
        <f t="shared" si="42"/>
        <v>14</v>
      </c>
      <c r="K127" s="342">
        <f t="shared" si="42"/>
        <v>68</v>
      </c>
      <c r="L127" s="342">
        <f t="shared" si="42"/>
        <v>0</v>
      </c>
      <c r="M127" s="342">
        <f>SUM(M125:M126)</f>
        <v>68</v>
      </c>
      <c r="N127" s="203" t="s">
        <v>12</v>
      </c>
      <c r="O127" s="307"/>
    </row>
    <row r="128" spans="2:15" ht="18.75" customHeight="1" thickBot="1" x14ac:dyDescent="0.25">
      <c r="B128" s="342">
        <f>SUM(C128:D128)</f>
        <v>86</v>
      </c>
      <c r="C128" s="342">
        <f t="shared" si="38"/>
        <v>36</v>
      </c>
      <c r="D128" s="342">
        <f t="shared" si="38"/>
        <v>50</v>
      </c>
      <c r="E128" s="342">
        <f>SUM(F128:G128)</f>
        <v>52</v>
      </c>
      <c r="F128" s="342">
        <v>31</v>
      </c>
      <c r="G128" s="342">
        <v>21</v>
      </c>
      <c r="H128" s="342">
        <f>SUM(I128:J128)</f>
        <v>11</v>
      </c>
      <c r="I128" s="342">
        <v>5</v>
      </c>
      <c r="J128" s="342">
        <v>6</v>
      </c>
      <c r="K128" s="342">
        <f>SUM(L128:M128)</f>
        <v>23</v>
      </c>
      <c r="L128" s="342">
        <v>0</v>
      </c>
      <c r="M128" s="342">
        <v>23</v>
      </c>
      <c r="N128" s="203" t="s">
        <v>146</v>
      </c>
      <c r="O128" s="306"/>
    </row>
    <row r="129" spans="2:15" ht="18.75" customHeight="1" thickBot="1" x14ac:dyDescent="0.25">
      <c r="B129" s="342">
        <f>SUM(C129:D129)</f>
        <v>34</v>
      </c>
      <c r="C129" s="342">
        <f t="shared" si="38"/>
        <v>9</v>
      </c>
      <c r="D129" s="342">
        <f t="shared" si="38"/>
        <v>25</v>
      </c>
      <c r="E129" s="342">
        <f>SUM(F129:G129)</f>
        <v>0</v>
      </c>
      <c r="F129" s="342">
        <v>0</v>
      </c>
      <c r="G129" s="342">
        <v>0</v>
      </c>
      <c r="H129" s="342">
        <f>SUM(I129:J129)</f>
        <v>5</v>
      </c>
      <c r="I129" s="342">
        <v>2</v>
      </c>
      <c r="J129" s="342">
        <v>3</v>
      </c>
      <c r="K129" s="342">
        <f>SUM(L129:M129)</f>
        <v>29</v>
      </c>
      <c r="L129" s="342">
        <v>7</v>
      </c>
      <c r="M129" s="342">
        <v>22</v>
      </c>
      <c r="N129" s="203" t="s">
        <v>145</v>
      </c>
      <c r="O129" s="306" t="s">
        <v>364</v>
      </c>
    </row>
    <row r="130" spans="2:15" ht="18.75" customHeight="1" thickBot="1" x14ac:dyDescent="0.25">
      <c r="B130" s="342">
        <f t="shared" ref="B130:L130" si="43">SUM(B128:B129)</f>
        <v>120</v>
      </c>
      <c r="C130" s="342">
        <f t="shared" si="43"/>
        <v>45</v>
      </c>
      <c r="D130" s="342">
        <f t="shared" si="43"/>
        <v>75</v>
      </c>
      <c r="E130" s="342">
        <f t="shared" si="43"/>
        <v>52</v>
      </c>
      <c r="F130" s="342">
        <f t="shared" si="43"/>
        <v>31</v>
      </c>
      <c r="G130" s="342">
        <f t="shared" si="43"/>
        <v>21</v>
      </c>
      <c r="H130" s="342">
        <f t="shared" si="43"/>
        <v>16</v>
      </c>
      <c r="I130" s="342">
        <f t="shared" si="43"/>
        <v>7</v>
      </c>
      <c r="J130" s="342">
        <f t="shared" si="43"/>
        <v>9</v>
      </c>
      <c r="K130" s="342">
        <f t="shared" si="43"/>
        <v>52</v>
      </c>
      <c r="L130" s="342">
        <f t="shared" si="43"/>
        <v>7</v>
      </c>
      <c r="M130" s="342">
        <f>SUM(M128:M129)</f>
        <v>45</v>
      </c>
      <c r="N130" s="203" t="s">
        <v>12</v>
      </c>
      <c r="O130" s="307"/>
    </row>
    <row r="131" spans="2:15" ht="18.75" customHeight="1" thickBot="1" x14ac:dyDescent="0.25">
      <c r="B131" s="342">
        <f>SUM(C131:D131)</f>
        <v>78</v>
      </c>
      <c r="C131" s="342">
        <f t="shared" si="38"/>
        <v>40</v>
      </c>
      <c r="D131" s="342">
        <f t="shared" si="38"/>
        <v>38</v>
      </c>
      <c r="E131" s="342">
        <f>SUM(F131:G131)</f>
        <v>42</v>
      </c>
      <c r="F131" s="342">
        <v>28</v>
      </c>
      <c r="G131" s="342">
        <v>14</v>
      </c>
      <c r="H131" s="342">
        <f>SUM(I131:J131)</f>
        <v>14</v>
      </c>
      <c r="I131" s="342">
        <v>11</v>
      </c>
      <c r="J131" s="342">
        <v>3</v>
      </c>
      <c r="K131" s="342">
        <f>SUM(L131:M131)</f>
        <v>22</v>
      </c>
      <c r="L131" s="342">
        <v>1</v>
      </c>
      <c r="M131" s="342">
        <v>21</v>
      </c>
      <c r="N131" s="203" t="s">
        <v>146</v>
      </c>
      <c r="O131" s="306"/>
    </row>
    <row r="132" spans="2:15" ht="18.75" customHeight="1" thickBot="1" x14ac:dyDescent="0.25">
      <c r="B132" s="342">
        <f>SUM(C132:D132)</f>
        <v>61</v>
      </c>
      <c r="C132" s="342">
        <f t="shared" si="38"/>
        <v>13</v>
      </c>
      <c r="D132" s="342">
        <f t="shared" si="38"/>
        <v>48</v>
      </c>
      <c r="E132" s="342">
        <f>SUM(F132:G132)</f>
        <v>11</v>
      </c>
      <c r="F132" s="342">
        <v>0</v>
      </c>
      <c r="G132" s="342">
        <v>11</v>
      </c>
      <c r="H132" s="342">
        <f>SUM(I132:J132)</f>
        <v>17</v>
      </c>
      <c r="I132" s="342">
        <v>9</v>
      </c>
      <c r="J132" s="342">
        <v>8</v>
      </c>
      <c r="K132" s="342">
        <f>SUM(L132:M132)</f>
        <v>33</v>
      </c>
      <c r="L132" s="342">
        <v>4</v>
      </c>
      <c r="M132" s="342">
        <v>29</v>
      </c>
      <c r="N132" s="203" t="s">
        <v>145</v>
      </c>
      <c r="O132" s="306" t="s">
        <v>713</v>
      </c>
    </row>
    <row r="133" spans="2:15" ht="18.75" customHeight="1" thickBot="1" x14ac:dyDescent="0.25">
      <c r="B133" s="342">
        <f t="shared" ref="B133:L133" si="44">SUM(B131:B132)</f>
        <v>139</v>
      </c>
      <c r="C133" s="342">
        <f t="shared" si="44"/>
        <v>53</v>
      </c>
      <c r="D133" s="342">
        <f t="shared" si="44"/>
        <v>86</v>
      </c>
      <c r="E133" s="342">
        <f t="shared" si="44"/>
        <v>53</v>
      </c>
      <c r="F133" s="342">
        <f t="shared" si="44"/>
        <v>28</v>
      </c>
      <c r="G133" s="342">
        <f t="shared" si="44"/>
        <v>25</v>
      </c>
      <c r="H133" s="342">
        <f t="shared" si="44"/>
        <v>31</v>
      </c>
      <c r="I133" s="342">
        <f t="shared" si="44"/>
        <v>20</v>
      </c>
      <c r="J133" s="342">
        <f t="shared" si="44"/>
        <v>11</v>
      </c>
      <c r="K133" s="342">
        <f t="shared" si="44"/>
        <v>55</v>
      </c>
      <c r="L133" s="342">
        <f t="shared" si="44"/>
        <v>5</v>
      </c>
      <c r="M133" s="342">
        <f>SUM(M131:M132)</f>
        <v>50</v>
      </c>
      <c r="N133" s="203" t="s">
        <v>12</v>
      </c>
      <c r="O133" s="307"/>
    </row>
    <row r="134" spans="2:15" ht="18.75" customHeight="1" thickBot="1" x14ac:dyDescent="0.25">
      <c r="B134" s="342">
        <f>SUM(C134:D134)</f>
        <v>5</v>
      </c>
      <c r="C134" s="342">
        <f t="shared" si="38"/>
        <v>0</v>
      </c>
      <c r="D134" s="342">
        <f t="shared" si="38"/>
        <v>5</v>
      </c>
      <c r="E134" s="342">
        <f>SUM(F134:G134)</f>
        <v>0</v>
      </c>
      <c r="F134" s="342">
        <v>0</v>
      </c>
      <c r="G134" s="342">
        <v>0</v>
      </c>
      <c r="H134" s="342">
        <f>SUM(I134:J134)</f>
        <v>1</v>
      </c>
      <c r="I134" s="342">
        <v>0</v>
      </c>
      <c r="J134" s="342">
        <v>1</v>
      </c>
      <c r="K134" s="342">
        <f>SUM(L134:M134)</f>
        <v>4</v>
      </c>
      <c r="L134" s="342">
        <v>0</v>
      </c>
      <c r="M134" s="342">
        <v>4</v>
      </c>
      <c r="N134" s="203" t="s">
        <v>146</v>
      </c>
      <c r="O134" s="306"/>
    </row>
    <row r="135" spans="2:15" ht="18.75" customHeight="1" thickBot="1" x14ac:dyDescent="0.25">
      <c r="B135" s="342">
        <f>SUM(C135:D135)</f>
        <v>24</v>
      </c>
      <c r="C135" s="342">
        <f t="shared" si="38"/>
        <v>0</v>
      </c>
      <c r="D135" s="342">
        <f t="shared" si="38"/>
        <v>24</v>
      </c>
      <c r="E135" s="342">
        <f>SUM(F135:G135)</f>
        <v>0</v>
      </c>
      <c r="F135" s="342">
        <v>0</v>
      </c>
      <c r="G135" s="342">
        <v>0</v>
      </c>
      <c r="H135" s="342">
        <f>SUM(I135:J135)</f>
        <v>12</v>
      </c>
      <c r="I135" s="342">
        <v>0</v>
      </c>
      <c r="J135" s="342">
        <v>12</v>
      </c>
      <c r="K135" s="342">
        <f>SUM(L135:M135)</f>
        <v>12</v>
      </c>
      <c r="L135" s="342">
        <v>0</v>
      </c>
      <c r="M135" s="342">
        <v>12</v>
      </c>
      <c r="N135" s="203" t="s">
        <v>145</v>
      </c>
      <c r="O135" s="306" t="s">
        <v>81</v>
      </c>
    </row>
    <row r="136" spans="2:15" ht="18.75" customHeight="1" thickBot="1" x14ac:dyDescent="0.25">
      <c r="B136" s="342">
        <f t="shared" ref="B136:L136" si="45">SUM(B134:B135)</f>
        <v>29</v>
      </c>
      <c r="C136" s="342">
        <f t="shared" si="45"/>
        <v>0</v>
      </c>
      <c r="D136" s="342">
        <f t="shared" si="45"/>
        <v>29</v>
      </c>
      <c r="E136" s="342">
        <f t="shared" si="45"/>
        <v>0</v>
      </c>
      <c r="F136" s="342">
        <f t="shared" si="45"/>
        <v>0</v>
      </c>
      <c r="G136" s="342">
        <f t="shared" si="45"/>
        <v>0</v>
      </c>
      <c r="H136" s="342">
        <f t="shared" si="45"/>
        <v>13</v>
      </c>
      <c r="I136" s="342">
        <f t="shared" si="45"/>
        <v>0</v>
      </c>
      <c r="J136" s="342">
        <f t="shared" si="45"/>
        <v>13</v>
      </c>
      <c r="K136" s="342">
        <f t="shared" si="45"/>
        <v>16</v>
      </c>
      <c r="L136" s="342">
        <f t="shared" si="45"/>
        <v>0</v>
      </c>
      <c r="M136" s="342">
        <f>SUM(M134:M135)</f>
        <v>16</v>
      </c>
      <c r="N136" s="203" t="s">
        <v>12</v>
      </c>
      <c r="O136" s="307"/>
    </row>
    <row r="137" spans="2:15" ht="18.75" customHeight="1" thickBot="1" x14ac:dyDescent="0.25">
      <c r="B137" s="342">
        <f>SUM(C137:D137)</f>
        <v>31</v>
      </c>
      <c r="C137" s="342">
        <f t="shared" si="38"/>
        <v>2</v>
      </c>
      <c r="D137" s="342">
        <f t="shared" si="38"/>
        <v>29</v>
      </c>
      <c r="E137" s="342">
        <f>SUM(F137:G137)</f>
        <v>14</v>
      </c>
      <c r="F137" s="342">
        <v>2</v>
      </c>
      <c r="G137" s="342">
        <v>12</v>
      </c>
      <c r="H137" s="342">
        <f>SUM(I137:J137)</f>
        <v>7</v>
      </c>
      <c r="I137" s="342">
        <v>0</v>
      </c>
      <c r="J137" s="342">
        <v>7</v>
      </c>
      <c r="K137" s="342">
        <f>SUM(L137:M137)</f>
        <v>10</v>
      </c>
      <c r="L137" s="342">
        <v>0</v>
      </c>
      <c r="M137" s="342">
        <v>10</v>
      </c>
      <c r="N137" s="203" t="s">
        <v>146</v>
      </c>
      <c r="O137" s="306"/>
    </row>
    <row r="138" spans="2:15" ht="18.75" customHeight="1" thickBot="1" x14ac:dyDescent="0.25">
      <c r="B138" s="342">
        <f>SUM(C138:D138)</f>
        <v>9</v>
      </c>
      <c r="C138" s="342">
        <f t="shared" si="38"/>
        <v>0</v>
      </c>
      <c r="D138" s="342">
        <f t="shared" si="38"/>
        <v>9</v>
      </c>
      <c r="E138" s="342">
        <f>SUM(F138:G138)</f>
        <v>0</v>
      </c>
      <c r="F138" s="342">
        <v>0</v>
      </c>
      <c r="G138" s="342">
        <v>0</v>
      </c>
      <c r="H138" s="342">
        <f>SUM(I138:J138)</f>
        <v>0</v>
      </c>
      <c r="I138" s="342">
        <v>0</v>
      </c>
      <c r="J138" s="342">
        <v>0</v>
      </c>
      <c r="K138" s="342">
        <f>SUM(L138:M138)</f>
        <v>9</v>
      </c>
      <c r="L138" s="342">
        <v>0</v>
      </c>
      <c r="M138" s="342">
        <v>9</v>
      </c>
      <c r="N138" s="203" t="s">
        <v>145</v>
      </c>
      <c r="O138" s="306" t="s">
        <v>252</v>
      </c>
    </row>
    <row r="139" spans="2:15" ht="18.75" customHeight="1" thickBot="1" x14ac:dyDescent="0.25">
      <c r="B139" s="342">
        <f t="shared" ref="B139:L139" si="46">SUM(B137:B138)</f>
        <v>40</v>
      </c>
      <c r="C139" s="342">
        <f t="shared" si="46"/>
        <v>2</v>
      </c>
      <c r="D139" s="342">
        <f t="shared" si="46"/>
        <v>38</v>
      </c>
      <c r="E139" s="342">
        <f t="shared" si="46"/>
        <v>14</v>
      </c>
      <c r="F139" s="342">
        <f t="shared" si="46"/>
        <v>2</v>
      </c>
      <c r="G139" s="342">
        <f t="shared" si="46"/>
        <v>12</v>
      </c>
      <c r="H139" s="342">
        <f t="shared" si="46"/>
        <v>7</v>
      </c>
      <c r="I139" s="342">
        <f t="shared" si="46"/>
        <v>0</v>
      </c>
      <c r="J139" s="342">
        <f t="shared" si="46"/>
        <v>7</v>
      </c>
      <c r="K139" s="342">
        <f t="shared" si="46"/>
        <v>19</v>
      </c>
      <c r="L139" s="342">
        <f t="shared" si="46"/>
        <v>0</v>
      </c>
      <c r="M139" s="342">
        <f>SUM(M137:M138)</f>
        <v>19</v>
      </c>
      <c r="N139" s="203" t="s">
        <v>12</v>
      </c>
      <c r="O139" s="307"/>
    </row>
    <row r="140" spans="2:15" ht="18.75" customHeight="1" thickBot="1" x14ac:dyDescent="0.25">
      <c r="B140" s="342">
        <f>SUM(C140:D140)</f>
        <v>36</v>
      </c>
      <c r="C140" s="342">
        <f t="shared" si="38"/>
        <v>36</v>
      </c>
      <c r="D140" s="342">
        <f t="shared" si="38"/>
        <v>0</v>
      </c>
      <c r="E140" s="342">
        <f>SUM(F140:G140)</f>
        <v>20</v>
      </c>
      <c r="F140" s="342">
        <v>20</v>
      </c>
      <c r="G140" s="342">
        <v>0</v>
      </c>
      <c r="H140" s="342">
        <f>SUM(I140:J140)</f>
        <v>14</v>
      </c>
      <c r="I140" s="342">
        <v>14</v>
      </c>
      <c r="J140" s="342">
        <v>0</v>
      </c>
      <c r="K140" s="342">
        <f>SUM(L140:M140)</f>
        <v>2</v>
      </c>
      <c r="L140" s="342">
        <v>2</v>
      </c>
      <c r="M140" s="342">
        <v>0</v>
      </c>
      <c r="N140" s="203" t="s">
        <v>146</v>
      </c>
      <c r="O140" s="306"/>
    </row>
    <row r="141" spans="2:15" ht="18.75" customHeight="1" thickBot="1" x14ac:dyDescent="0.25">
      <c r="B141" s="342">
        <f>SUM(C141:D141)</f>
        <v>1</v>
      </c>
      <c r="C141" s="342">
        <f t="shared" si="38"/>
        <v>1</v>
      </c>
      <c r="D141" s="342">
        <f t="shared" si="38"/>
        <v>0</v>
      </c>
      <c r="E141" s="342">
        <f>SUM(F141:G141)</f>
        <v>0</v>
      </c>
      <c r="F141" s="342">
        <v>0</v>
      </c>
      <c r="G141" s="342">
        <v>0</v>
      </c>
      <c r="H141" s="342">
        <f>SUM(I141:J141)</f>
        <v>0</v>
      </c>
      <c r="I141" s="342">
        <v>0</v>
      </c>
      <c r="J141" s="342">
        <v>0</v>
      </c>
      <c r="K141" s="342">
        <f>SUM(L141:M141)</f>
        <v>1</v>
      </c>
      <c r="L141" s="342">
        <v>1</v>
      </c>
      <c r="M141" s="342">
        <v>0</v>
      </c>
      <c r="N141" s="203" t="s">
        <v>145</v>
      </c>
      <c r="O141" s="306" t="s">
        <v>579</v>
      </c>
    </row>
    <row r="142" spans="2:15" ht="18.75" customHeight="1" thickBot="1" x14ac:dyDescent="0.25">
      <c r="B142" s="342">
        <f t="shared" ref="B142:L142" si="47">SUM(B140:B141)</f>
        <v>37</v>
      </c>
      <c r="C142" s="342">
        <f t="shared" si="47"/>
        <v>37</v>
      </c>
      <c r="D142" s="342">
        <f t="shared" si="47"/>
        <v>0</v>
      </c>
      <c r="E142" s="342">
        <f t="shared" si="47"/>
        <v>20</v>
      </c>
      <c r="F142" s="342">
        <f t="shared" si="47"/>
        <v>20</v>
      </c>
      <c r="G142" s="342">
        <f t="shared" si="47"/>
        <v>0</v>
      </c>
      <c r="H142" s="342">
        <f t="shared" si="47"/>
        <v>14</v>
      </c>
      <c r="I142" s="342">
        <f t="shared" si="47"/>
        <v>14</v>
      </c>
      <c r="J142" s="342">
        <f t="shared" si="47"/>
        <v>0</v>
      </c>
      <c r="K142" s="342">
        <f t="shared" si="47"/>
        <v>3</v>
      </c>
      <c r="L142" s="342">
        <f t="shared" si="47"/>
        <v>3</v>
      </c>
      <c r="M142" s="342">
        <f>SUM(M140:M141)</f>
        <v>0</v>
      </c>
      <c r="N142" s="203" t="s">
        <v>12</v>
      </c>
      <c r="O142" s="307"/>
    </row>
    <row r="143" spans="2:15" ht="18.75" customHeight="1" thickBot="1" x14ac:dyDescent="0.25">
      <c r="B143" s="342">
        <f>SUM(C143:D143)</f>
        <v>269</v>
      </c>
      <c r="C143" s="342">
        <f t="shared" si="38"/>
        <v>50</v>
      </c>
      <c r="D143" s="342">
        <f t="shared" si="38"/>
        <v>219</v>
      </c>
      <c r="E143" s="342">
        <f>SUM(F143:G143)</f>
        <v>91</v>
      </c>
      <c r="F143" s="342">
        <v>29</v>
      </c>
      <c r="G143" s="342">
        <v>62</v>
      </c>
      <c r="H143" s="342">
        <f>SUM(I143:J143)</f>
        <v>58</v>
      </c>
      <c r="I143" s="342">
        <v>15</v>
      </c>
      <c r="J143" s="342">
        <v>43</v>
      </c>
      <c r="K143" s="342">
        <f>SUM(L143:M143)</f>
        <v>120</v>
      </c>
      <c r="L143" s="342">
        <v>6</v>
      </c>
      <c r="M143" s="342">
        <v>114</v>
      </c>
      <c r="N143" s="203" t="s">
        <v>146</v>
      </c>
      <c r="O143" s="306"/>
    </row>
    <row r="144" spans="2:15" ht="18.75" customHeight="1" thickBot="1" x14ac:dyDescent="0.25">
      <c r="B144" s="342">
        <f>SUM(C144:D144)</f>
        <v>16</v>
      </c>
      <c r="C144" s="342">
        <f t="shared" si="38"/>
        <v>1</v>
      </c>
      <c r="D144" s="342">
        <f t="shared" si="38"/>
        <v>15</v>
      </c>
      <c r="E144" s="342">
        <f>SUM(F144:G144)</f>
        <v>0</v>
      </c>
      <c r="F144" s="342">
        <v>0</v>
      </c>
      <c r="G144" s="342">
        <v>0</v>
      </c>
      <c r="H144" s="342">
        <f>SUM(I144:J144)</f>
        <v>0</v>
      </c>
      <c r="I144" s="342">
        <v>0</v>
      </c>
      <c r="J144" s="342">
        <v>0</v>
      </c>
      <c r="K144" s="342">
        <f>SUM(L144:M144)</f>
        <v>16</v>
      </c>
      <c r="L144" s="342">
        <v>1</v>
      </c>
      <c r="M144" s="342">
        <v>15</v>
      </c>
      <c r="N144" s="203" t="s">
        <v>145</v>
      </c>
      <c r="O144" s="306" t="s">
        <v>358</v>
      </c>
    </row>
    <row r="145" spans="2:15" ht="18.75" customHeight="1" thickBot="1" x14ac:dyDescent="0.25">
      <c r="B145" s="342">
        <f t="shared" ref="B145:L145" si="48">SUM(B143:B144)</f>
        <v>285</v>
      </c>
      <c r="C145" s="342">
        <f t="shared" si="48"/>
        <v>51</v>
      </c>
      <c r="D145" s="342">
        <f t="shared" si="48"/>
        <v>234</v>
      </c>
      <c r="E145" s="342">
        <f t="shared" si="48"/>
        <v>91</v>
      </c>
      <c r="F145" s="342">
        <f t="shared" si="48"/>
        <v>29</v>
      </c>
      <c r="G145" s="342">
        <f t="shared" si="48"/>
        <v>62</v>
      </c>
      <c r="H145" s="342">
        <f t="shared" si="48"/>
        <v>58</v>
      </c>
      <c r="I145" s="342">
        <f t="shared" si="48"/>
        <v>15</v>
      </c>
      <c r="J145" s="342">
        <f t="shared" si="48"/>
        <v>43</v>
      </c>
      <c r="K145" s="342">
        <f t="shared" si="48"/>
        <v>136</v>
      </c>
      <c r="L145" s="342">
        <f t="shared" si="48"/>
        <v>7</v>
      </c>
      <c r="M145" s="342">
        <f>SUM(M143:M144)</f>
        <v>129</v>
      </c>
      <c r="N145" s="203" t="s">
        <v>12</v>
      </c>
      <c r="O145" s="307"/>
    </row>
    <row r="146" spans="2:15" ht="18.75" customHeight="1" thickBot="1" x14ac:dyDescent="0.25">
      <c r="B146" s="342">
        <f>SUM(C146:D146)</f>
        <v>414</v>
      </c>
      <c r="C146" s="342">
        <f t="shared" si="38"/>
        <v>99</v>
      </c>
      <c r="D146" s="342">
        <f t="shared" si="38"/>
        <v>315</v>
      </c>
      <c r="E146" s="342">
        <f>SUM(F146:G146)</f>
        <v>180</v>
      </c>
      <c r="F146" s="342">
        <v>70</v>
      </c>
      <c r="G146" s="342">
        <v>110</v>
      </c>
      <c r="H146" s="342">
        <f>SUM(I146:J146)</f>
        <v>47</v>
      </c>
      <c r="I146" s="342">
        <v>24</v>
      </c>
      <c r="J146" s="342">
        <v>23</v>
      </c>
      <c r="K146" s="342">
        <f>SUM(L146:M146)</f>
        <v>187</v>
      </c>
      <c r="L146" s="342">
        <v>5</v>
      </c>
      <c r="M146" s="342">
        <v>182</v>
      </c>
      <c r="N146" s="203" t="s">
        <v>146</v>
      </c>
      <c r="O146" s="306"/>
    </row>
    <row r="147" spans="2:15" ht="18.75" customHeight="1" thickBot="1" x14ac:dyDescent="0.25">
      <c r="B147" s="342">
        <f>SUM(C147:D147)</f>
        <v>42</v>
      </c>
      <c r="C147" s="342">
        <f t="shared" si="38"/>
        <v>9</v>
      </c>
      <c r="D147" s="342">
        <f t="shared" si="38"/>
        <v>33</v>
      </c>
      <c r="E147" s="342">
        <f>SUM(F147:G147)</f>
        <v>0</v>
      </c>
      <c r="F147" s="342">
        <v>0</v>
      </c>
      <c r="G147" s="342">
        <v>0</v>
      </c>
      <c r="H147" s="342">
        <f>SUM(I147:J147)</f>
        <v>0</v>
      </c>
      <c r="I147" s="342">
        <v>0</v>
      </c>
      <c r="J147" s="342">
        <v>0</v>
      </c>
      <c r="K147" s="342">
        <f>SUM(L147:M147)</f>
        <v>42</v>
      </c>
      <c r="L147" s="342">
        <v>9</v>
      </c>
      <c r="M147" s="342">
        <v>33</v>
      </c>
      <c r="N147" s="203" t="s">
        <v>145</v>
      </c>
      <c r="O147" s="306" t="s">
        <v>363</v>
      </c>
    </row>
    <row r="148" spans="2:15" ht="18.75" customHeight="1" thickBot="1" x14ac:dyDescent="0.25">
      <c r="B148" s="342">
        <f t="shared" ref="B148:L148" si="49">SUM(B146:B147)</f>
        <v>456</v>
      </c>
      <c r="C148" s="342">
        <f t="shared" si="49"/>
        <v>108</v>
      </c>
      <c r="D148" s="342">
        <f t="shared" si="49"/>
        <v>348</v>
      </c>
      <c r="E148" s="342">
        <f t="shared" si="49"/>
        <v>180</v>
      </c>
      <c r="F148" s="342">
        <f t="shared" si="49"/>
        <v>70</v>
      </c>
      <c r="G148" s="342">
        <f t="shared" si="49"/>
        <v>110</v>
      </c>
      <c r="H148" s="342">
        <f t="shared" si="49"/>
        <v>47</v>
      </c>
      <c r="I148" s="342">
        <f t="shared" si="49"/>
        <v>24</v>
      </c>
      <c r="J148" s="342">
        <f t="shared" si="49"/>
        <v>23</v>
      </c>
      <c r="K148" s="342">
        <f t="shared" si="49"/>
        <v>229</v>
      </c>
      <c r="L148" s="342">
        <f t="shared" si="49"/>
        <v>14</v>
      </c>
      <c r="M148" s="342">
        <f>SUM(M146:M147)</f>
        <v>215</v>
      </c>
      <c r="N148" s="203" t="s">
        <v>12</v>
      </c>
      <c r="O148" s="307"/>
    </row>
    <row r="149" spans="2:15" ht="18.75" customHeight="1" thickBot="1" x14ac:dyDescent="0.25">
      <c r="B149" s="342">
        <f>SUM(C149:D149)</f>
        <v>4</v>
      </c>
      <c r="C149" s="342">
        <f t="shared" si="38"/>
        <v>0</v>
      </c>
      <c r="D149" s="342">
        <f t="shared" si="38"/>
        <v>4</v>
      </c>
      <c r="E149" s="342">
        <f>SUM(F149:G149)</f>
        <v>0</v>
      </c>
      <c r="F149" s="342">
        <v>0</v>
      </c>
      <c r="G149" s="342">
        <v>0</v>
      </c>
      <c r="H149" s="342">
        <f>SUM(I149:J149)</f>
        <v>3</v>
      </c>
      <c r="I149" s="342">
        <v>0</v>
      </c>
      <c r="J149" s="342">
        <v>3</v>
      </c>
      <c r="K149" s="342">
        <f>SUM(L149:M149)</f>
        <v>1</v>
      </c>
      <c r="L149" s="342">
        <v>0</v>
      </c>
      <c r="M149" s="342">
        <v>1</v>
      </c>
      <c r="N149" s="203" t="s">
        <v>146</v>
      </c>
      <c r="O149" s="306"/>
    </row>
    <row r="150" spans="2:15" ht="18.75" customHeight="1" thickBot="1" x14ac:dyDescent="0.25">
      <c r="B150" s="342">
        <f>SUM(C150:D150)</f>
        <v>22</v>
      </c>
      <c r="C150" s="342">
        <f t="shared" si="38"/>
        <v>0</v>
      </c>
      <c r="D150" s="342">
        <f t="shared" si="38"/>
        <v>22</v>
      </c>
      <c r="E150" s="342">
        <f>SUM(F150:G150)</f>
        <v>0</v>
      </c>
      <c r="F150" s="342">
        <v>0</v>
      </c>
      <c r="G150" s="342">
        <v>0</v>
      </c>
      <c r="H150" s="342">
        <f>SUM(I150:J150)</f>
        <v>9</v>
      </c>
      <c r="I150" s="342">
        <v>0</v>
      </c>
      <c r="J150" s="342">
        <v>9</v>
      </c>
      <c r="K150" s="342">
        <f>SUM(L150:M150)</f>
        <v>13</v>
      </c>
      <c r="L150" s="342">
        <v>0</v>
      </c>
      <c r="M150" s="342">
        <v>13</v>
      </c>
      <c r="N150" s="203" t="s">
        <v>145</v>
      </c>
      <c r="O150" s="306" t="s">
        <v>82</v>
      </c>
    </row>
    <row r="151" spans="2:15" ht="18.75" customHeight="1" thickBot="1" x14ac:dyDescent="0.25">
      <c r="B151" s="342">
        <f t="shared" ref="B151:L151" si="50">SUM(B149:B150)</f>
        <v>26</v>
      </c>
      <c r="C151" s="342">
        <f t="shared" si="50"/>
        <v>0</v>
      </c>
      <c r="D151" s="342">
        <f t="shared" si="50"/>
        <v>26</v>
      </c>
      <c r="E151" s="342">
        <f t="shared" si="50"/>
        <v>0</v>
      </c>
      <c r="F151" s="342">
        <f t="shared" si="50"/>
        <v>0</v>
      </c>
      <c r="G151" s="342">
        <f t="shared" si="50"/>
        <v>0</v>
      </c>
      <c r="H151" s="342">
        <f t="shared" si="50"/>
        <v>12</v>
      </c>
      <c r="I151" s="342">
        <f t="shared" si="50"/>
        <v>0</v>
      </c>
      <c r="J151" s="342">
        <f t="shared" si="50"/>
        <v>12</v>
      </c>
      <c r="K151" s="342">
        <f t="shared" si="50"/>
        <v>14</v>
      </c>
      <c r="L151" s="342">
        <f t="shared" si="50"/>
        <v>0</v>
      </c>
      <c r="M151" s="342">
        <f>SUM(M149:M150)</f>
        <v>14</v>
      </c>
      <c r="N151" s="203" t="s">
        <v>12</v>
      </c>
      <c r="O151" s="307"/>
    </row>
    <row r="152" spans="2:15" ht="18.75" customHeight="1" thickBot="1" x14ac:dyDescent="0.25">
      <c r="B152" s="342">
        <f>SUM(C152:D152)</f>
        <v>58</v>
      </c>
      <c r="C152" s="342">
        <f t="shared" si="38"/>
        <v>12</v>
      </c>
      <c r="D152" s="342">
        <f t="shared" si="38"/>
        <v>46</v>
      </c>
      <c r="E152" s="342">
        <f>SUM(F152:G152)</f>
        <v>21</v>
      </c>
      <c r="F152" s="342">
        <v>10</v>
      </c>
      <c r="G152" s="342">
        <v>11</v>
      </c>
      <c r="H152" s="342">
        <f>SUM(I152:J152)</f>
        <v>6</v>
      </c>
      <c r="I152" s="342">
        <v>2</v>
      </c>
      <c r="J152" s="342">
        <v>4</v>
      </c>
      <c r="K152" s="342">
        <f>SUM(L152:M152)</f>
        <v>31</v>
      </c>
      <c r="L152" s="342">
        <v>0</v>
      </c>
      <c r="M152" s="342">
        <v>31</v>
      </c>
      <c r="N152" s="203" t="s">
        <v>146</v>
      </c>
      <c r="O152" s="306"/>
    </row>
    <row r="153" spans="2:15" ht="18.75" customHeight="1" thickBot="1" x14ac:dyDescent="0.25">
      <c r="B153" s="342">
        <f>SUM(C153:D153)</f>
        <v>17</v>
      </c>
      <c r="C153" s="342">
        <f t="shared" si="38"/>
        <v>3</v>
      </c>
      <c r="D153" s="342">
        <f t="shared" si="38"/>
        <v>14</v>
      </c>
      <c r="E153" s="342">
        <f>SUM(F153:G153)</f>
        <v>0</v>
      </c>
      <c r="F153" s="342">
        <v>0</v>
      </c>
      <c r="G153" s="342">
        <v>0</v>
      </c>
      <c r="H153" s="342">
        <f>SUM(I153:J153)</f>
        <v>0</v>
      </c>
      <c r="I153" s="342">
        <v>0</v>
      </c>
      <c r="J153" s="342">
        <v>0</v>
      </c>
      <c r="K153" s="342">
        <f>SUM(L153:M153)</f>
        <v>17</v>
      </c>
      <c r="L153" s="342">
        <v>3</v>
      </c>
      <c r="M153" s="342">
        <v>14</v>
      </c>
      <c r="N153" s="203" t="s">
        <v>145</v>
      </c>
      <c r="O153" s="306" t="s">
        <v>368</v>
      </c>
    </row>
    <row r="154" spans="2:15" ht="18.75" customHeight="1" thickBot="1" x14ac:dyDescent="0.25">
      <c r="B154" s="342">
        <f t="shared" ref="B154:L154" si="51">SUM(B152:B153)</f>
        <v>75</v>
      </c>
      <c r="C154" s="342">
        <f t="shared" si="51"/>
        <v>15</v>
      </c>
      <c r="D154" s="342">
        <f t="shared" si="51"/>
        <v>60</v>
      </c>
      <c r="E154" s="342">
        <f t="shared" si="51"/>
        <v>21</v>
      </c>
      <c r="F154" s="342">
        <f t="shared" si="51"/>
        <v>10</v>
      </c>
      <c r="G154" s="342">
        <f t="shared" si="51"/>
        <v>11</v>
      </c>
      <c r="H154" s="342">
        <f t="shared" si="51"/>
        <v>6</v>
      </c>
      <c r="I154" s="342">
        <f t="shared" si="51"/>
        <v>2</v>
      </c>
      <c r="J154" s="342">
        <f t="shared" si="51"/>
        <v>4</v>
      </c>
      <c r="K154" s="342">
        <f t="shared" si="51"/>
        <v>48</v>
      </c>
      <c r="L154" s="342">
        <f t="shared" si="51"/>
        <v>3</v>
      </c>
      <c r="M154" s="342">
        <f>SUM(M152:M153)</f>
        <v>45</v>
      </c>
      <c r="N154" s="203" t="s">
        <v>12</v>
      </c>
      <c r="O154" s="307"/>
    </row>
    <row r="155" spans="2:15" ht="18.75" customHeight="1" thickBot="1" x14ac:dyDescent="0.25">
      <c r="B155" s="342">
        <f>SUM(C155:D155)</f>
        <v>33</v>
      </c>
      <c r="C155" s="342">
        <f t="shared" si="38"/>
        <v>22</v>
      </c>
      <c r="D155" s="342">
        <f t="shared" si="38"/>
        <v>11</v>
      </c>
      <c r="E155" s="342">
        <f>SUM(F155:G155)</f>
        <v>22</v>
      </c>
      <c r="F155" s="342">
        <v>16</v>
      </c>
      <c r="G155" s="342">
        <v>6</v>
      </c>
      <c r="H155" s="342">
        <f>SUM(I155:J155)</f>
        <v>10</v>
      </c>
      <c r="I155" s="342">
        <v>6</v>
      </c>
      <c r="J155" s="342">
        <v>4</v>
      </c>
      <c r="K155" s="342">
        <f>SUM(L155:M155)</f>
        <v>1</v>
      </c>
      <c r="L155" s="342">
        <v>0</v>
      </c>
      <c r="M155" s="342">
        <v>1</v>
      </c>
      <c r="N155" s="203" t="s">
        <v>146</v>
      </c>
      <c r="O155" s="306"/>
    </row>
    <row r="156" spans="2:15" ht="18.75" customHeight="1" thickBot="1" x14ac:dyDescent="0.25">
      <c r="B156" s="342">
        <f>SUM(C156:D156)</f>
        <v>39</v>
      </c>
      <c r="C156" s="342">
        <f t="shared" si="38"/>
        <v>11</v>
      </c>
      <c r="D156" s="342">
        <f t="shared" si="38"/>
        <v>28</v>
      </c>
      <c r="E156" s="342">
        <f>SUM(F156:G156)</f>
        <v>0</v>
      </c>
      <c r="F156" s="342">
        <v>0</v>
      </c>
      <c r="G156" s="342">
        <v>0</v>
      </c>
      <c r="H156" s="342">
        <f>SUM(I156:J156)</f>
        <v>5</v>
      </c>
      <c r="I156" s="342">
        <v>3</v>
      </c>
      <c r="J156" s="342">
        <v>2</v>
      </c>
      <c r="K156" s="342">
        <f>SUM(L156:M156)</f>
        <v>34</v>
      </c>
      <c r="L156" s="342">
        <v>8</v>
      </c>
      <c r="M156" s="342">
        <v>26</v>
      </c>
      <c r="N156" s="203" t="s">
        <v>145</v>
      </c>
      <c r="O156" s="306" t="s">
        <v>367</v>
      </c>
    </row>
    <row r="157" spans="2:15" ht="18.75" customHeight="1" thickBot="1" x14ac:dyDescent="0.25">
      <c r="B157" s="342">
        <f t="shared" ref="B157:L157" si="52">SUM(B155:B156)</f>
        <v>72</v>
      </c>
      <c r="C157" s="342">
        <f t="shared" si="52"/>
        <v>33</v>
      </c>
      <c r="D157" s="342">
        <f t="shared" si="52"/>
        <v>39</v>
      </c>
      <c r="E157" s="342">
        <f t="shared" si="52"/>
        <v>22</v>
      </c>
      <c r="F157" s="342">
        <f t="shared" si="52"/>
        <v>16</v>
      </c>
      <c r="G157" s="342">
        <f t="shared" si="52"/>
        <v>6</v>
      </c>
      <c r="H157" s="342">
        <f t="shared" si="52"/>
        <v>15</v>
      </c>
      <c r="I157" s="342">
        <f t="shared" si="52"/>
        <v>9</v>
      </c>
      <c r="J157" s="342">
        <f t="shared" si="52"/>
        <v>6</v>
      </c>
      <c r="K157" s="342">
        <f t="shared" si="52"/>
        <v>35</v>
      </c>
      <c r="L157" s="342">
        <f t="shared" si="52"/>
        <v>8</v>
      </c>
      <c r="M157" s="342">
        <f>SUM(M155:M156)</f>
        <v>27</v>
      </c>
      <c r="N157" s="203" t="s">
        <v>12</v>
      </c>
      <c r="O157" s="307"/>
    </row>
    <row r="158" spans="2:15" ht="18.75" customHeight="1" thickBot="1" x14ac:dyDescent="0.25">
      <c r="B158" s="342">
        <f t="shared" ref="B158:M160" si="53">B116+B119+B122+B125+B128+B131+B134+B137+B140+B143+B146+B149+B152+B155</f>
        <v>1730</v>
      </c>
      <c r="C158" s="342">
        <f t="shared" si="53"/>
        <v>388</v>
      </c>
      <c r="D158" s="342">
        <f t="shared" si="53"/>
        <v>1342</v>
      </c>
      <c r="E158" s="342">
        <f t="shared" si="53"/>
        <v>682</v>
      </c>
      <c r="F158" s="342">
        <f t="shared" si="53"/>
        <v>250</v>
      </c>
      <c r="G158" s="342">
        <f t="shared" si="53"/>
        <v>432</v>
      </c>
      <c r="H158" s="342">
        <f t="shared" si="53"/>
        <v>326</v>
      </c>
      <c r="I158" s="342">
        <f t="shared" si="53"/>
        <v>105</v>
      </c>
      <c r="J158" s="342">
        <f t="shared" si="53"/>
        <v>221</v>
      </c>
      <c r="K158" s="342">
        <f t="shared" si="53"/>
        <v>722</v>
      </c>
      <c r="L158" s="342">
        <f t="shared" si="53"/>
        <v>33</v>
      </c>
      <c r="M158" s="342">
        <f t="shared" si="53"/>
        <v>689</v>
      </c>
      <c r="N158" s="203" t="s">
        <v>146</v>
      </c>
      <c r="O158" s="280"/>
    </row>
    <row r="159" spans="2:15" ht="18.75" customHeight="1" thickBot="1" x14ac:dyDescent="0.25">
      <c r="B159" s="342">
        <f t="shared" si="53"/>
        <v>362</v>
      </c>
      <c r="C159" s="342">
        <f t="shared" si="53"/>
        <v>47</v>
      </c>
      <c r="D159" s="342">
        <f t="shared" si="53"/>
        <v>315</v>
      </c>
      <c r="E159" s="342">
        <f t="shared" si="53"/>
        <v>11</v>
      </c>
      <c r="F159" s="342">
        <f t="shared" si="53"/>
        <v>0</v>
      </c>
      <c r="G159" s="342">
        <f t="shared" si="53"/>
        <v>11</v>
      </c>
      <c r="H159" s="342">
        <f t="shared" si="53"/>
        <v>48</v>
      </c>
      <c r="I159" s="342">
        <f t="shared" si="53"/>
        <v>14</v>
      </c>
      <c r="J159" s="342">
        <f t="shared" si="53"/>
        <v>34</v>
      </c>
      <c r="K159" s="342">
        <f t="shared" si="53"/>
        <v>303</v>
      </c>
      <c r="L159" s="342">
        <f t="shared" si="53"/>
        <v>33</v>
      </c>
      <c r="M159" s="342">
        <f t="shared" si="53"/>
        <v>270</v>
      </c>
      <c r="N159" s="203" t="s">
        <v>145</v>
      </c>
      <c r="O159" s="281" t="s">
        <v>188</v>
      </c>
    </row>
    <row r="160" spans="2:15" ht="18.75" customHeight="1" thickBot="1" x14ac:dyDescent="0.25">
      <c r="B160" s="342">
        <f t="shared" si="53"/>
        <v>2092</v>
      </c>
      <c r="C160" s="342">
        <f t="shared" si="53"/>
        <v>435</v>
      </c>
      <c r="D160" s="342">
        <f t="shared" si="53"/>
        <v>1657</v>
      </c>
      <c r="E160" s="342">
        <f t="shared" si="53"/>
        <v>693</v>
      </c>
      <c r="F160" s="342">
        <f t="shared" si="53"/>
        <v>250</v>
      </c>
      <c r="G160" s="342">
        <f t="shared" si="53"/>
        <v>443</v>
      </c>
      <c r="H160" s="342">
        <f t="shared" si="53"/>
        <v>374</v>
      </c>
      <c r="I160" s="342">
        <f t="shared" si="53"/>
        <v>119</v>
      </c>
      <c r="J160" s="342">
        <f t="shared" si="53"/>
        <v>255</v>
      </c>
      <c r="K160" s="342">
        <f t="shared" si="53"/>
        <v>1025</v>
      </c>
      <c r="L160" s="342">
        <f t="shared" si="53"/>
        <v>66</v>
      </c>
      <c r="M160" s="342">
        <f t="shared" si="53"/>
        <v>959</v>
      </c>
      <c r="N160" s="203" t="s">
        <v>12</v>
      </c>
      <c r="O160" s="282"/>
    </row>
    <row r="161" spans="2:15" ht="18.75" customHeight="1" thickBot="1" x14ac:dyDescent="0.25">
      <c r="B161" s="589"/>
      <c r="C161" s="589"/>
      <c r="D161" s="589"/>
      <c r="E161" s="589"/>
      <c r="F161" s="589"/>
      <c r="G161" s="589"/>
      <c r="H161" s="589"/>
      <c r="I161" s="589"/>
      <c r="J161" s="589"/>
      <c r="K161" s="589"/>
      <c r="L161" s="589"/>
    </row>
    <row r="162" spans="2:15" ht="18.75" customHeight="1" thickBot="1" x14ac:dyDescent="0.25">
      <c r="B162" s="482" t="s">
        <v>4</v>
      </c>
      <c r="C162" s="482"/>
      <c r="D162" s="482"/>
      <c r="E162" s="482" t="s">
        <v>60</v>
      </c>
      <c r="F162" s="482"/>
      <c r="G162" s="482"/>
      <c r="H162" s="482" t="s">
        <v>57</v>
      </c>
      <c r="I162" s="482"/>
      <c r="J162" s="482"/>
      <c r="K162" s="482" t="s">
        <v>56</v>
      </c>
      <c r="L162" s="482"/>
      <c r="M162" s="482"/>
      <c r="N162" s="575" t="s">
        <v>792</v>
      </c>
      <c r="O162" s="304" t="s">
        <v>144</v>
      </c>
    </row>
    <row r="163" spans="2:15" ht="18.75" customHeight="1" thickBot="1" x14ac:dyDescent="0.25">
      <c r="B163" s="203" t="s">
        <v>227</v>
      </c>
      <c r="C163" s="203" t="s">
        <v>10</v>
      </c>
      <c r="D163" s="203" t="s">
        <v>9</v>
      </c>
      <c r="E163" s="203" t="s">
        <v>227</v>
      </c>
      <c r="F163" s="203" t="s">
        <v>10</v>
      </c>
      <c r="G163" s="203" t="s">
        <v>9</v>
      </c>
      <c r="H163" s="203" t="s">
        <v>227</v>
      </c>
      <c r="I163" s="203" t="s">
        <v>10</v>
      </c>
      <c r="J163" s="203" t="s">
        <v>9</v>
      </c>
      <c r="K163" s="203" t="s">
        <v>227</v>
      </c>
      <c r="L163" s="203" t="s">
        <v>10</v>
      </c>
      <c r="M163" s="203" t="s">
        <v>9</v>
      </c>
      <c r="N163" s="481"/>
      <c r="O163" s="282" t="s">
        <v>72</v>
      </c>
    </row>
    <row r="164" spans="2:15" ht="18.75" customHeight="1" thickBot="1" x14ac:dyDescent="0.25">
      <c r="B164" s="342">
        <f>SUM(C164:D164)</f>
        <v>196</v>
      </c>
      <c r="C164" s="342">
        <f>L164+I164+F164</f>
        <v>33</v>
      </c>
      <c r="D164" s="342">
        <f>M164+J164+G164</f>
        <v>163</v>
      </c>
      <c r="E164" s="342">
        <f>SUM(F164:G164)</f>
        <v>42</v>
      </c>
      <c r="F164" s="342">
        <v>18</v>
      </c>
      <c r="G164" s="342">
        <v>24</v>
      </c>
      <c r="H164" s="342">
        <f>SUM(I164:J164)</f>
        <v>25</v>
      </c>
      <c r="I164" s="342">
        <v>10</v>
      </c>
      <c r="J164" s="342">
        <v>15</v>
      </c>
      <c r="K164" s="342">
        <f>SUM(L164:M164)</f>
        <v>129</v>
      </c>
      <c r="L164" s="342">
        <v>5</v>
      </c>
      <c r="M164" s="342">
        <v>124</v>
      </c>
      <c r="N164" s="203" t="s">
        <v>146</v>
      </c>
      <c r="O164" s="306"/>
    </row>
    <row r="165" spans="2:15" ht="18.75" customHeight="1" thickBot="1" x14ac:dyDescent="0.25">
      <c r="B165" s="342">
        <f>SUM(C165:D165)</f>
        <v>111</v>
      </c>
      <c r="C165" s="342">
        <f t="shared" ref="C165:D228" si="54">L165+I165+F165</f>
        <v>19</v>
      </c>
      <c r="D165" s="342">
        <f t="shared" si="54"/>
        <v>92</v>
      </c>
      <c r="E165" s="342">
        <f>SUM(F165:G165)</f>
        <v>0</v>
      </c>
      <c r="F165" s="342">
        <v>0</v>
      </c>
      <c r="G165" s="342">
        <v>0</v>
      </c>
      <c r="H165" s="342">
        <f>SUM(I165:J165)</f>
        <v>73</v>
      </c>
      <c r="I165" s="342">
        <v>8</v>
      </c>
      <c r="J165" s="342">
        <v>65</v>
      </c>
      <c r="K165" s="342">
        <f>SUM(L165:M165)</f>
        <v>38</v>
      </c>
      <c r="L165" s="342">
        <v>11</v>
      </c>
      <c r="M165" s="342">
        <v>27</v>
      </c>
      <c r="N165" s="203" t="s">
        <v>145</v>
      </c>
      <c r="O165" s="306" t="s">
        <v>375</v>
      </c>
    </row>
    <row r="166" spans="2:15" ht="18.75" customHeight="1" thickBot="1" x14ac:dyDescent="0.25">
      <c r="B166" s="342">
        <f t="shared" ref="B166:L166" si="55">SUM(B164:B165)</f>
        <v>307</v>
      </c>
      <c r="C166" s="342">
        <f t="shared" si="55"/>
        <v>52</v>
      </c>
      <c r="D166" s="342">
        <f t="shared" si="55"/>
        <v>255</v>
      </c>
      <c r="E166" s="342">
        <f t="shared" si="55"/>
        <v>42</v>
      </c>
      <c r="F166" s="342">
        <f t="shared" si="55"/>
        <v>18</v>
      </c>
      <c r="G166" s="342">
        <f t="shared" si="55"/>
        <v>24</v>
      </c>
      <c r="H166" s="342">
        <f t="shared" si="55"/>
        <v>98</v>
      </c>
      <c r="I166" s="342">
        <f t="shared" si="55"/>
        <v>18</v>
      </c>
      <c r="J166" s="342">
        <f t="shared" si="55"/>
        <v>80</v>
      </c>
      <c r="K166" s="342">
        <f t="shared" si="55"/>
        <v>167</v>
      </c>
      <c r="L166" s="342">
        <f t="shared" si="55"/>
        <v>16</v>
      </c>
      <c r="M166" s="342">
        <f>SUM(M164:M165)</f>
        <v>151</v>
      </c>
      <c r="N166" s="203" t="s">
        <v>12</v>
      </c>
      <c r="O166" s="307"/>
    </row>
    <row r="167" spans="2:15" ht="18.75" customHeight="1" thickBot="1" x14ac:dyDescent="0.25">
      <c r="B167" s="342">
        <f>SUM(C167:D167)</f>
        <v>219</v>
      </c>
      <c r="C167" s="342">
        <f t="shared" si="54"/>
        <v>107</v>
      </c>
      <c r="D167" s="342">
        <f t="shared" si="54"/>
        <v>112</v>
      </c>
      <c r="E167" s="342">
        <f>SUM(F167:G167)</f>
        <v>114</v>
      </c>
      <c r="F167" s="342">
        <v>60</v>
      </c>
      <c r="G167" s="342">
        <v>54</v>
      </c>
      <c r="H167" s="342">
        <f>SUM(I167:J167)</f>
        <v>35</v>
      </c>
      <c r="I167" s="342">
        <v>33</v>
      </c>
      <c r="J167" s="342">
        <v>2</v>
      </c>
      <c r="K167" s="342">
        <f>SUM(L167:M167)</f>
        <v>70</v>
      </c>
      <c r="L167" s="342">
        <v>14</v>
      </c>
      <c r="M167" s="342">
        <v>56</v>
      </c>
      <c r="N167" s="203" t="s">
        <v>146</v>
      </c>
      <c r="O167" s="306"/>
    </row>
    <row r="168" spans="2:15" ht="18.75" customHeight="1" thickBot="1" x14ac:dyDescent="0.25">
      <c r="B168" s="342">
        <f>SUM(C168:D168)</f>
        <v>131</v>
      </c>
      <c r="C168" s="342">
        <f t="shared" si="54"/>
        <v>52</v>
      </c>
      <c r="D168" s="342">
        <f t="shared" si="54"/>
        <v>79</v>
      </c>
      <c r="E168" s="342">
        <f>SUM(F168:G168)</f>
        <v>0</v>
      </c>
      <c r="F168" s="342">
        <v>0</v>
      </c>
      <c r="G168" s="342">
        <v>0</v>
      </c>
      <c r="H168" s="342">
        <f>SUM(I168:J168)</f>
        <v>14</v>
      </c>
      <c r="I168" s="342">
        <v>12</v>
      </c>
      <c r="J168" s="342">
        <v>2</v>
      </c>
      <c r="K168" s="342">
        <f>SUM(L168:M168)</f>
        <v>117</v>
      </c>
      <c r="L168" s="342">
        <v>40</v>
      </c>
      <c r="M168" s="342">
        <v>77</v>
      </c>
      <c r="N168" s="203" t="s">
        <v>145</v>
      </c>
      <c r="O168" s="306" t="s">
        <v>348</v>
      </c>
    </row>
    <row r="169" spans="2:15" ht="18.75" customHeight="1" thickBot="1" x14ac:dyDescent="0.25">
      <c r="B169" s="342">
        <f t="shared" ref="B169:L169" si="56">SUM(B167:B168)</f>
        <v>350</v>
      </c>
      <c r="C169" s="342">
        <f t="shared" si="56"/>
        <v>159</v>
      </c>
      <c r="D169" s="342">
        <f t="shared" si="56"/>
        <v>191</v>
      </c>
      <c r="E169" s="342">
        <f t="shared" si="56"/>
        <v>114</v>
      </c>
      <c r="F169" s="342">
        <f t="shared" si="56"/>
        <v>60</v>
      </c>
      <c r="G169" s="342">
        <f t="shared" si="56"/>
        <v>54</v>
      </c>
      <c r="H169" s="342">
        <f t="shared" si="56"/>
        <v>49</v>
      </c>
      <c r="I169" s="342">
        <f t="shared" si="56"/>
        <v>45</v>
      </c>
      <c r="J169" s="342">
        <f t="shared" si="56"/>
        <v>4</v>
      </c>
      <c r="K169" s="342">
        <f t="shared" si="56"/>
        <v>187</v>
      </c>
      <c r="L169" s="342">
        <f t="shared" si="56"/>
        <v>54</v>
      </c>
      <c r="M169" s="342">
        <f>SUM(M167:M168)</f>
        <v>133</v>
      </c>
      <c r="N169" s="203" t="s">
        <v>12</v>
      </c>
      <c r="O169" s="307"/>
    </row>
    <row r="170" spans="2:15" ht="18.75" customHeight="1" thickBot="1" x14ac:dyDescent="0.25">
      <c r="B170" s="342">
        <f>SUM(C170:D170)</f>
        <v>156</v>
      </c>
      <c r="C170" s="342">
        <f t="shared" si="54"/>
        <v>72</v>
      </c>
      <c r="D170" s="342">
        <f t="shared" si="54"/>
        <v>84</v>
      </c>
      <c r="E170" s="342">
        <f>SUM(F170:G170)</f>
        <v>115</v>
      </c>
      <c r="F170" s="342">
        <v>50</v>
      </c>
      <c r="G170" s="342">
        <v>65</v>
      </c>
      <c r="H170" s="342">
        <f>SUM(I170:J170)</f>
        <v>21</v>
      </c>
      <c r="I170" s="342">
        <v>19</v>
      </c>
      <c r="J170" s="342">
        <v>2</v>
      </c>
      <c r="K170" s="342">
        <f>SUM(L170:M170)</f>
        <v>20</v>
      </c>
      <c r="L170" s="342">
        <v>3</v>
      </c>
      <c r="M170" s="342">
        <v>17</v>
      </c>
      <c r="N170" s="203" t="s">
        <v>146</v>
      </c>
      <c r="O170" s="306"/>
    </row>
    <row r="171" spans="2:15" ht="18.75" customHeight="1" thickBot="1" x14ac:dyDescent="0.25">
      <c r="B171" s="342">
        <f>SUM(C171:D171)</f>
        <v>229</v>
      </c>
      <c r="C171" s="342">
        <f t="shared" si="54"/>
        <v>66</v>
      </c>
      <c r="D171" s="342">
        <f t="shared" si="54"/>
        <v>163</v>
      </c>
      <c r="E171" s="342">
        <f>SUM(F171:G171)</f>
        <v>94</v>
      </c>
      <c r="F171" s="342">
        <v>45</v>
      </c>
      <c r="G171" s="342">
        <v>49</v>
      </c>
      <c r="H171" s="342">
        <f>SUM(I171:J171)</f>
        <v>6</v>
      </c>
      <c r="I171" s="342">
        <v>0</v>
      </c>
      <c r="J171" s="342">
        <v>6</v>
      </c>
      <c r="K171" s="342">
        <f>SUM(L171:M171)</f>
        <v>129</v>
      </c>
      <c r="L171" s="342">
        <v>21</v>
      </c>
      <c r="M171" s="342">
        <v>108</v>
      </c>
      <c r="N171" s="203" t="s">
        <v>145</v>
      </c>
      <c r="O171" s="306" t="s">
        <v>364</v>
      </c>
    </row>
    <row r="172" spans="2:15" ht="18.75" customHeight="1" thickBot="1" x14ac:dyDescent="0.25">
      <c r="B172" s="342">
        <f t="shared" ref="B172:L172" si="57">SUM(B170:B171)</f>
        <v>385</v>
      </c>
      <c r="C172" s="342">
        <f t="shared" si="57"/>
        <v>138</v>
      </c>
      <c r="D172" s="342">
        <f t="shared" si="57"/>
        <v>247</v>
      </c>
      <c r="E172" s="342">
        <f t="shared" si="57"/>
        <v>209</v>
      </c>
      <c r="F172" s="342">
        <f t="shared" si="57"/>
        <v>95</v>
      </c>
      <c r="G172" s="342">
        <f t="shared" si="57"/>
        <v>114</v>
      </c>
      <c r="H172" s="342">
        <f t="shared" si="57"/>
        <v>27</v>
      </c>
      <c r="I172" s="342">
        <f t="shared" si="57"/>
        <v>19</v>
      </c>
      <c r="J172" s="342">
        <f t="shared" si="57"/>
        <v>8</v>
      </c>
      <c r="K172" s="342">
        <f t="shared" si="57"/>
        <v>149</v>
      </c>
      <c r="L172" s="342">
        <f t="shared" si="57"/>
        <v>24</v>
      </c>
      <c r="M172" s="342">
        <f>SUM(M170:M171)</f>
        <v>125</v>
      </c>
      <c r="N172" s="203" t="s">
        <v>12</v>
      </c>
      <c r="O172" s="307"/>
    </row>
    <row r="173" spans="2:15" ht="18.75" customHeight="1" thickBot="1" x14ac:dyDescent="0.25">
      <c r="B173" s="342">
        <f>SUM(C173:D173)</f>
        <v>320</v>
      </c>
      <c r="C173" s="342">
        <f t="shared" si="54"/>
        <v>0</v>
      </c>
      <c r="D173" s="342">
        <f t="shared" si="54"/>
        <v>320</v>
      </c>
      <c r="E173" s="342">
        <f>SUM(F173:G173)</f>
        <v>161</v>
      </c>
      <c r="F173" s="342">
        <v>0</v>
      </c>
      <c r="G173" s="342">
        <v>161</v>
      </c>
      <c r="H173" s="342">
        <f>SUM(I173:J173)</f>
        <v>89</v>
      </c>
      <c r="I173" s="342">
        <v>0</v>
      </c>
      <c r="J173" s="342">
        <v>89</v>
      </c>
      <c r="K173" s="342">
        <f>SUM(L173:M173)</f>
        <v>70</v>
      </c>
      <c r="L173" s="342">
        <v>0</v>
      </c>
      <c r="M173" s="342">
        <v>70</v>
      </c>
      <c r="N173" s="203" t="s">
        <v>146</v>
      </c>
      <c r="O173" s="306"/>
    </row>
    <row r="174" spans="2:15" ht="18.75" customHeight="1" thickBot="1" x14ac:dyDescent="0.25">
      <c r="B174" s="342">
        <f>SUM(C174:D174)</f>
        <v>197</v>
      </c>
      <c r="C174" s="342">
        <f t="shared" si="54"/>
        <v>0</v>
      </c>
      <c r="D174" s="342">
        <f t="shared" si="54"/>
        <v>197</v>
      </c>
      <c r="E174" s="342">
        <f>SUM(F174:G174)</f>
        <v>10</v>
      </c>
      <c r="F174" s="342">
        <v>0</v>
      </c>
      <c r="G174" s="342">
        <v>10</v>
      </c>
      <c r="H174" s="342">
        <f>SUM(I174:J174)</f>
        <v>47</v>
      </c>
      <c r="I174" s="342">
        <v>0</v>
      </c>
      <c r="J174" s="342">
        <v>47</v>
      </c>
      <c r="K174" s="342">
        <f>SUM(L174:M174)</f>
        <v>140</v>
      </c>
      <c r="L174" s="342">
        <v>0</v>
      </c>
      <c r="M174" s="342">
        <v>140</v>
      </c>
      <c r="N174" s="203" t="s">
        <v>145</v>
      </c>
      <c r="O174" s="306" t="s">
        <v>754</v>
      </c>
    </row>
    <row r="175" spans="2:15" ht="18.75" customHeight="1" thickBot="1" x14ac:dyDescent="0.25">
      <c r="B175" s="342">
        <f t="shared" ref="B175:L175" si="58">SUM(B173:B174)</f>
        <v>517</v>
      </c>
      <c r="C175" s="342">
        <f t="shared" si="58"/>
        <v>0</v>
      </c>
      <c r="D175" s="342">
        <f t="shared" si="58"/>
        <v>517</v>
      </c>
      <c r="E175" s="342">
        <f t="shared" si="58"/>
        <v>171</v>
      </c>
      <c r="F175" s="342">
        <f t="shared" si="58"/>
        <v>0</v>
      </c>
      <c r="G175" s="342">
        <f t="shared" si="58"/>
        <v>171</v>
      </c>
      <c r="H175" s="342">
        <f t="shared" si="58"/>
        <v>136</v>
      </c>
      <c r="I175" s="342">
        <f t="shared" si="58"/>
        <v>0</v>
      </c>
      <c r="J175" s="342">
        <f t="shared" si="58"/>
        <v>136</v>
      </c>
      <c r="K175" s="342">
        <f t="shared" si="58"/>
        <v>210</v>
      </c>
      <c r="L175" s="342">
        <f t="shared" si="58"/>
        <v>0</v>
      </c>
      <c r="M175" s="342">
        <f>SUM(M173:M174)</f>
        <v>210</v>
      </c>
      <c r="N175" s="203" t="s">
        <v>12</v>
      </c>
      <c r="O175" s="307"/>
    </row>
    <row r="176" spans="2:15" ht="18.75" customHeight="1" thickBot="1" x14ac:dyDescent="0.25">
      <c r="B176" s="342">
        <f>SUM(C176:D176)</f>
        <v>10</v>
      </c>
      <c r="C176" s="342">
        <f t="shared" si="54"/>
        <v>0</v>
      </c>
      <c r="D176" s="342">
        <f t="shared" si="54"/>
        <v>10</v>
      </c>
      <c r="E176" s="342">
        <f>SUM(F176:G176)</f>
        <v>3</v>
      </c>
      <c r="F176" s="342">
        <v>0</v>
      </c>
      <c r="G176" s="342">
        <v>3</v>
      </c>
      <c r="H176" s="342">
        <f>SUM(I176:J176)</f>
        <v>6</v>
      </c>
      <c r="I176" s="342">
        <v>0</v>
      </c>
      <c r="J176" s="342">
        <v>6</v>
      </c>
      <c r="K176" s="342">
        <f>SUM(L176:M176)</f>
        <v>1</v>
      </c>
      <c r="L176" s="342">
        <v>0</v>
      </c>
      <c r="M176" s="342">
        <v>1</v>
      </c>
      <c r="N176" s="203" t="s">
        <v>146</v>
      </c>
      <c r="O176" s="306"/>
    </row>
    <row r="177" spans="2:15" ht="18.75" customHeight="1" thickBot="1" x14ac:dyDescent="0.25">
      <c r="B177" s="342">
        <f>SUM(C177:D177)</f>
        <v>60</v>
      </c>
      <c r="C177" s="342">
        <f t="shared" si="54"/>
        <v>0</v>
      </c>
      <c r="D177" s="342">
        <f t="shared" si="54"/>
        <v>60</v>
      </c>
      <c r="E177" s="342">
        <f>SUM(F177:G177)</f>
        <v>0</v>
      </c>
      <c r="F177" s="342">
        <v>0</v>
      </c>
      <c r="G177" s="342">
        <v>0</v>
      </c>
      <c r="H177" s="342">
        <f>SUM(I177:J177)</f>
        <v>10</v>
      </c>
      <c r="I177" s="342">
        <v>0</v>
      </c>
      <c r="J177" s="342">
        <v>10</v>
      </c>
      <c r="K177" s="342">
        <f>SUM(L177:M177)</f>
        <v>50</v>
      </c>
      <c r="L177" s="342">
        <v>0</v>
      </c>
      <c r="M177" s="342">
        <v>50</v>
      </c>
      <c r="N177" s="203" t="s">
        <v>145</v>
      </c>
      <c r="O177" s="306" t="s">
        <v>755</v>
      </c>
    </row>
    <row r="178" spans="2:15" ht="18.75" customHeight="1" thickBot="1" x14ac:dyDescent="0.25">
      <c r="B178" s="342">
        <f t="shared" ref="B178:L178" si="59">SUM(B176:B177)</f>
        <v>70</v>
      </c>
      <c r="C178" s="342">
        <f t="shared" si="59"/>
        <v>0</v>
      </c>
      <c r="D178" s="342">
        <f t="shared" si="59"/>
        <v>70</v>
      </c>
      <c r="E178" s="342">
        <f t="shared" si="59"/>
        <v>3</v>
      </c>
      <c r="F178" s="342">
        <f t="shared" si="59"/>
        <v>0</v>
      </c>
      <c r="G178" s="342">
        <f t="shared" si="59"/>
        <v>3</v>
      </c>
      <c r="H178" s="342">
        <f t="shared" si="59"/>
        <v>16</v>
      </c>
      <c r="I178" s="342">
        <f t="shared" si="59"/>
        <v>0</v>
      </c>
      <c r="J178" s="342">
        <f t="shared" si="59"/>
        <v>16</v>
      </c>
      <c r="K178" s="342">
        <f t="shared" si="59"/>
        <v>51</v>
      </c>
      <c r="L178" s="342">
        <f t="shared" si="59"/>
        <v>0</v>
      </c>
      <c r="M178" s="342">
        <f>SUM(M176:M177)</f>
        <v>51</v>
      </c>
      <c r="N178" s="203" t="s">
        <v>12</v>
      </c>
      <c r="O178" s="307"/>
    </row>
    <row r="179" spans="2:15" ht="18.75" customHeight="1" thickBot="1" x14ac:dyDescent="0.25">
      <c r="B179" s="342">
        <f>SUM(C179:D179)</f>
        <v>507</v>
      </c>
      <c r="C179" s="342">
        <f t="shared" si="54"/>
        <v>200</v>
      </c>
      <c r="D179" s="342">
        <f t="shared" si="54"/>
        <v>307</v>
      </c>
      <c r="E179" s="342">
        <f>SUM(F179:G179)</f>
        <v>198</v>
      </c>
      <c r="F179" s="342">
        <v>82</v>
      </c>
      <c r="G179" s="342">
        <v>116</v>
      </c>
      <c r="H179" s="342">
        <f>SUM(I179:J179)</f>
        <v>80</v>
      </c>
      <c r="I179" s="342">
        <v>56</v>
      </c>
      <c r="J179" s="342">
        <v>24</v>
      </c>
      <c r="K179" s="342">
        <f>SUM(L179:M179)</f>
        <v>229</v>
      </c>
      <c r="L179" s="342">
        <v>62</v>
      </c>
      <c r="M179" s="342">
        <v>167</v>
      </c>
      <c r="N179" s="203" t="s">
        <v>146</v>
      </c>
      <c r="O179" s="306"/>
    </row>
    <row r="180" spans="2:15" ht="18.75" customHeight="1" thickBot="1" x14ac:dyDescent="0.25">
      <c r="B180" s="342">
        <f>SUM(C180:D180)</f>
        <v>182</v>
      </c>
      <c r="C180" s="342">
        <f t="shared" si="54"/>
        <v>61</v>
      </c>
      <c r="D180" s="342">
        <f t="shared" si="54"/>
        <v>121</v>
      </c>
      <c r="E180" s="342">
        <f>SUM(F180:G180)</f>
        <v>10</v>
      </c>
      <c r="F180" s="342">
        <v>10</v>
      </c>
      <c r="G180" s="342">
        <v>0</v>
      </c>
      <c r="H180" s="342">
        <f>SUM(I180:J180)</f>
        <v>41</v>
      </c>
      <c r="I180" s="342">
        <v>17</v>
      </c>
      <c r="J180" s="342">
        <v>24</v>
      </c>
      <c r="K180" s="342">
        <f>SUM(L180:M180)</f>
        <v>131</v>
      </c>
      <c r="L180" s="342">
        <v>34</v>
      </c>
      <c r="M180" s="342">
        <v>97</v>
      </c>
      <c r="N180" s="203" t="s">
        <v>145</v>
      </c>
      <c r="O180" s="306" t="s">
        <v>371</v>
      </c>
    </row>
    <row r="181" spans="2:15" ht="18.75" customHeight="1" thickBot="1" x14ac:dyDescent="0.25">
      <c r="B181" s="342">
        <f t="shared" ref="B181:L181" si="60">SUM(B179:B180)</f>
        <v>689</v>
      </c>
      <c r="C181" s="342">
        <f t="shared" si="60"/>
        <v>261</v>
      </c>
      <c r="D181" s="342">
        <f t="shared" si="60"/>
        <v>428</v>
      </c>
      <c r="E181" s="342">
        <f t="shared" si="60"/>
        <v>208</v>
      </c>
      <c r="F181" s="342">
        <f t="shared" si="60"/>
        <v>92</v>
      </c>
      <c r="G181" s="342">
        <f t="shared" si="60"/>
        <v>116</v>
      </c>
      <c r="H181" s="342">
        <f t="shared" si="60"/>
        <v>121</v>
      </c>
      <c r="I181" s="342">
        <f t="shared" si="60"/>
        <v>73</v>
      </c>
      <c r="J181" s="342">
        <f t="shared" si="60"/>
        <v>48</v>
      </c>
      <c r="K181" s="342">
        <f t="shared" si="60"/>
        <v>360</v>
      </c>
      <c r="L181" s="342">
        <f t="shared" si="60"/>
        <v>96</v>
      </c>
      <c r="M181" s="342">
        <f>SUM(M179:M180)</f>
        <v>264</v>
      </c>
      <c r="N181" s="203" t="s">
        <v>12</v>
      </c>
      <c r="O181" s="307"/>
    </row>
    <row r="182" spans="2:15" ht="18.75" customHeight="1" thickBot="1" x14ac:dyDescent="0.25">
      <c r="B182" s="342">
        <f>SUM(C182:D182)</f>
        <v>693</v>
      </c>
      <c r="C182" s="342">
        <f t="shared" si="54"/>
        <v>344</v>
      </c>
      <c r="D182" s="342">
        <f t="shared" si="54"/>
        <v>349</v>
      </c>
      <c r="E182" s="342">
        <f>SUM(F182:G182)</f>
        <v>270</v>
      </c>
      <c r="F182" s="342">
        <v>185</v>
      </c>
      <c r="G182" s="342">
        <v>85</v>
      </c>
      <c r="H182" s="342">
        <f>SUM(I182:J182)</f>
        <v>129</v>
      </c>
      <c r="I182" s="342">
        <v>95</v>
      </c>
      <c r="J182" s="342">
        <v>34</v>
      </c>
      <c r="K182" s="342">
        <f>SUM(L182:M182)</f>
        <v>294</v>
      </c>
      <c r="L182" s="342">
        <v>64</v>
      </c>
      <c r="M182" s="342">
        <v>230</v>
      </c>
      <c r="N182" s="203" t="s">
        <v>146</v>
      </c>
      <c r="O182" s="306"/>
    </row>
    <row r="183" spans="2:15" ht="18.75" customHeight="1" thickBot="1" x14ac:dyDescent="0.25">
      <c r="B183" s="342">
        <f>SUM(C183:D183)</f>
        <v>138</v>
      </c>
      <c r="C183" s="342">
        <f t="shared" si="54"/>
        <v>52</v>
      </c>
      <c r="D183" s="342">
        <f t="shared" si="54"/>
        <v>86</v>
      </c>
      <c r="E183" s="342">
        <f>SUM(F183:G183)</f>
        <v>0</v>
      </c>
      <c r="F183" s="342">
        <v>0</v>
      </c>
      <c r="G183" s="342">
        <v>0</v>
      </c>
      <c r="H183" s="342">
        <f>SUM(I183:J183)</f>
        <v>9</v>
      </c>
      <c r="I183" s="342">
        <v>4</v>
      </c>
      <c r="J183" s="342">
        <v>5</v>
      </c>
      <c r="K183" s="342">
        <f>SUM(L183:M183)</f>
        <v>129</v>
      </c>
      <c r="L183" s="342">
        <v>48</v>
      </c>
      <c r="M183" s="342">
        <v>81</v>
      </c>
      <c r="N183" s="203" t="s">
        <v>145</v>
      </c>
      <c r="O183" s="306" t="s">
        <v>496</v>
      </c>
    </row>
    <row r="184" spans="2:15" ht="18.75" customHeight="1" thickBot="1" x14ac:dyDescent="0.25">
      <c r="B184" s="342">
        <f t="shared" ref="B184:L184" si="61">SUM(B182:B183)</f>
        <v>831</v>
      </c>
      <c r="C184" s="342">
        <f t="shared" si="61"/>
        <v>396</v>
      </c>
      <c r="D184" s="342">
        <f t="shared" si="61"/>
        <v>435</v>
      </c>
      <c r="E184" s="342">
        <f t="shared" si="61"/>
        <v>270</v>
      </c>
      <c r="F184" s="342">
        <f t="shared" si="61"/>
        <v>185</v>
      </c>
      <c r="G184" s="342">
        <f t="shared" si="61"/>
        <v>85</v>
      </c>
      <c r="H184" s="342">
        <f t="shared" si="61"/>
        <v>138</v>
      </c>
      <c r="I184" s="342">
        <f t="shared" si="61"/>
        <v>99</v>
      </c>
      <c r="J184" s="342">
        <f t="shared" si="61"/>
        <v>39</v>
      </c>
      <c r="K184" s="342">
        <f t="shared" si="61"/>
        <v>423</v>
      </c>
      <c r="L184" s="342">
        <f t="shared" si="61"/>
        <v>112</v>
      </c>
      <c r="M184" s="342">
        <f>SUM(M182:M183)</f>
        <v>311</v>
      </c>
      <c r="N184" s="203" t="s">
        <v>12</v>
      </c>
      <c r="O184" s="307"/>
    </row>
    <row r="185" spans="2:15" ht="18.75" customHeight="1" thickBot="1" x14ac:dyDescent="0.25">
      <c r="B185" s="342">
        <f>SUM(C185:D185)</f>
        <v>487</v>
      </c>
      <c r="C185" s="342">
        <f t="shared" si="54"/>
        <v>116</v>
      </c>
      <c r="D185" s="342">
        <f t="shared" si="54"/>
        <v>371</v>
      </c>
      <c r="E185" s="342">
        <f>SUM(F185:G185)</f>
        <v>228</v>
      </c>
      <c r="F185" s="342">
        <v>68</v>
      </c>
      <c r="G185" s="342">
        <v>160</v>
      </c>
      <c r="H185" s="342">
        <f>SUM(I185:J185)</f>
        <v>4</v>
      </c>
      <c r="I185" s="342">
        <v>2</v>
      </c>
      <c r="J185" s="342">
        <v>2</v>
      </c>
      <c r="K185" s="342">
        <f>SUM(L185:M185)</f>
        <v>255</v>
      </c>
      <c r="L185" s="342">
        <v>46</v>
      </c>
      <c r="M185" s="342">
        <v>209</v>
      </c>
      <c r="N185" s="203" t="s">
        <v>146</v>
      </c>
      <c r="O185" s="306"/>
    </row>
    <row r="186" spans="2:15" ht="18.75" customHeight="1" thickBot="1" x14ac:dyDescent="0.25">
      <c r="B186" s="342">
        <f>SUM(C186:D186)</f>
        <v>156</v>
      </c>
      <c r="C186" s="342">
        <f t="shared" si="54"/>
        <v>30</v>
      </c>
      <c r="D186" s="342">
        <f t="shared" si="54"/>
        <v>126</v>
      </c>
      <c r="E186" s="342">
        <f>SUM(F186:G186)</f>
        <v>0</v>
      </c>
      <c r="F186" s="342">
        <v>0</v>
      </c>
      <c r="G186" s="342">
        <v>0</v>
      </c>
      <c r="H186" s="342">
        <f>SUM(I186:J186)</f>
        <v>12</v>
      </c>
      <c r="I186" s="342">
        <v>4</v>
      </c>
      <c r="J186" s="342">
        <v>8</v>
      </c>
      <c r="K186" s="342">
        <f>SUM(L186:M186)</f>
        <v>144</v>
      </c>
      <c r="L186" s="342">
        <v>26</v>
      </c>
      <c r="M186" s="342">
        <v>118</v>
      </c>
      <c r="N186" s="203" t="s">
        <v>145</v>
      </c>
      <c r="O186" s="306" t="s">
        <v>344</v>
      </c>
    </row>
    <row r="187" spans="2:15" ht="18.75" customHeight="1" thickBot="1" x14ac:dyDescent="0.25">
      <c r="B187" s="342">
        <f t="shared" ref="B187:L187" si="62">SUM(B185:B186)</f>
        <v>643</v>
      </c>
      <c r="C187" s="342">
        <f t="shared" si="62"/>
        <v>146</v>
      </c>
      <c r="D187" s="342">
        <f t="shared" si="62"/>
        <v>497</v>
      </c>
      <c r="E187" s="342">
        <f t="shared" si="62"/>
        <v>228</v>
      </c>
      <c r="F187" s="342">
        <f t="shared" si="62"/>
        <v>68</v>
      </c>
      <c r="G187" s="342">
        <f t="shared" si="62"/>
        <v>160</v>
      </c>
      <c r="H187" s="342">
        <f t="shared" si="62"/>
        <v>16</v>
      </c>
      <c r="I187" s="342">
        <f t="shared" si="62"/>
        <v>6</v>
      </c>
      <c r="J187" s="342">
        <f t="shared" si="62"/>
        <v>10</v>
      </c>
      <c r="K187" s="342">
        <f t="shared" si="62"/>
        <v>399</v>
      </c>
      <c r="L187" s="342">
        <f t="shared" si="62"/>
        <v>72</v>
      </c>
      <c r="M187" s="342">
        <f>SUM(M185:M186)</f>
        <v>327</v>
      </c>
      <c r="N187" s="203" t="s">
        <v>12</v>
      </c>
      <c r="O187" s="307"/>
    </row>
    <row r="188" spans="2:15" ht="18.75" customHeight="1" thickBot="1" x14ac:dyDescent="0.25">
      <c r="B188" s="342">
        <f>SUM(C188:D188)</f>
        <v>217</v>
      </c>
      <c r="C188" s="342">
        <f t="shared" si="54"/>
        <v>117</v>
      </c>
      <c r="D188" s="342">
        <f t="shared" si="54"/>
        <v>100</v>
      </c>
      <c r="E188" s="342">
        <f>SUM(F188:G188)</f>
        <v>109</v>
      </c>
      <c r="F188" s="342">
        <v>75</v>
      </c>
      <c r="G188" s="342">
        <v>34</v>
      </c>
      <c r="H188" s="342">
        <f>SUM(I188:J188)</f>
        <v>7</v>
      </c>
      <c r="I188" s="342">
        <v>3</v>
      </c>
      <c r="J188" s="342">
        <v>4</v>
      </c>
      <c r="K188" s="342">
        <f>SUM(L188:M188)</f>
        <v>101</v>
      </c>
      <c r="L188" s="342">
        <v>39</v>
      </c>
      <c r="M188" s="342">
        <v>62</v>
      </c>
      <c r="N188" s="203" t="s">
        <v>146</v>
      </c>
      <c r="O188" s="306"/>
    </row>
    <row r="189" spans="2:15" ht="18.75" customHeight="1" thickBot="1" x14ac:dyDescent="0.25">
      <c r="B189" s="342">
        <f>SUM(C189:D189)</f>
        <v>49</v>
      </c>
      <c r="C189" s="342">
        <f t="shared" si="54"/>
        <v>9</v>
      </c>
      <c r="D189" s="342">
        <f t="shared" si="54"/>
        <v>40</v>
      </c>
      <c r="E189" s="342">
        <f>SUM(F189:G189)</f>
        <v>0</v>
      </c>
      <c r="F189" s="342">
        <v>0</v>
      </c>
      <c r="G189" s="342">
        <v>0</v>
      </c>
      <c r="H189" s="342">
        <f>SUM(I189:J189)</f>
        <v>4</v>
      </c>
      <c r="I189" s="342">
        <v>0</v>
      </c>
      <c r="J189" s="342">
        <v>4</v>
      </c>
      <c r="K189" s="342">
        <f>SUM(L189:M189)</f>
        <v>45</v>
      </c>
      <c r="L189" s="342">
        <v>9</v>
      </c>
      <c r="M189" s="342">
        <v>36</v>
      </c>
      <c r="N189" s="203" t="s">
        <v>145</v>
      </c>
      <c r="O189" s="306" t="s">
        <v>406</v>
      </c>
    </row>
    <row r="190" spans="2:15" ht="18.75" customHeight="1" thickBot="1" x14ac:dyDescent="0.25">
      <c r="B190" s="342">
        <f t="shared" ref="B190:L190" si="63">SUM(B188:B189)</f>
        <v>266</v>
      </c>
      <c r="C190" s="342">
        <f t="shared" si="63"/>
        <v>126</v>
      </c>
      <c r="D190" s="342">
        <f t="shared" si="63"/>
        <v>140</v>
      </c>
      <c r="E190" s="342">
        <f t="shared" si="63"/>
        <v>109</v>
      </c>
      <c r="F190" s="342">
        <f t="shared" si="63"/>
        <v>75</v>
      </c>
      <c r="G190" s="342">
        <f t="shared" si="63"/>
        <v>34</v>
      </c>
      <c r="H190" s="342">
        <f t="shared" si="63"/>
        <v>11</v>
      </c>
      <c r="I190" s="342">
        <f t="shared" si="63"/>
        <v>3</v>
      </c>
      <c r="J190" s="342">
        <f t="shared" si="63"/>
        <v>8</v>
      </c>
      <c r="K190" s="342">
        <f t="shared" si="63"/>
        <v>146</v>
      </c>
      <c r="L190" s="342">
        <f t="shared" si="63"/>
        <v>48</v>
      </c>
      <c r="M190" s="342">
        <f>SUM(M188:M189)</f>
        <v>98</v>
      </c>
      <c r="N190" s="203" t="s">
        <v>12</v>
      </c>
      <c r="O190" s="307"/>
    </row>
    <row r="191" spans="2:15" ht="18.75" customHeight="1" thickBot="1" x14ac:dyDescent="0.25">
      <c r="B191" s="342">
        <f>SUM(C191:D191)</f>
        <v>479</v>
      </c>
      <c r="C191" s="342">
        <f t="shared" si="54"/>
        <v>221</v>
      </c>
      <c r="D191" s="342">
        <f t="shared" si="54"/>
        <v>258</v>
      </c>
      <c r="E191" s="342">
        <f>SUM(F191:G191)</f>
        <v>186</v>
      </c>
      <c r="F191" s="342">
        <v>128</v>
      </c>
      <c r="G191" s="342">
        <v>58</v>
      </c>
      <c r="H191" s="342">
        <f>SUM(I191:J191)</f>
        <v>62</v>
      </c>
      <c r="I191" s="342">
        <v>49</v>
      </c>
      <c r="J191" s="342">
        <v>13</v>
      </c>
      <c r="K191" s="342">
        <f>SUM(L191:M191)</f>
        <v>231</v>
      </c>
      <c r="L191" s="342">
        <v>44</v>
      </c>
      <c r="M191" s="342">
        <v>187</v>
      </c>
      <c r="N191" s="203" t="s">
        <v>146</v>
      </c>
      <c r="O191" s="306"/>
    </row>
    <row r="192" spans="2:15" ht="18.75" customHeight="1" thickBot="1" x14ac:dyDescent="0.25">
      <c r="B192" s="342">
        <f>SUM(C192:D192)</f>
        <v>252</v>
      </c>
      <c r="C192" s="342">
        <f t="shared" si="54"/>
        <v>82</v>
      </c>
      <c r="D192" s="342">
        <f t="shared" si="54"/>
        <v>170</v>
      </c>
      <c r="E192" s="342">
        <f>SUM(F192:G192)</f>
        <v>0</v>
      </c>
      <c r="F192" s="342">
        <v>0</v>
      </c>
      <c r="G192" s="342">
        <v>0</v>
      </c>
      <c r="H192" s="342">
        <f>SUM(I192:J192)</f>
        <v>18</v>
      </c>
      <c r="I192" s="342">
        <v>14</v>
      </c>
      <c r="J192" s="342">
        <v>4</v>
      </c>
      <c r="K192" s="342">
        <f>SUM(L192:M192)</f>
        <v>234</v>
      </c>
      <c r="L192" s="342">
        <v>68</v>
      </c>
      <c r="M192" s="342">
        <v>166</v>
      </c>
      <c r="N192" s="203" t="s">
        <v>145</v>
      </c>
      <c r="O192" s="306" t="s">
        <v>455</v>
      </c>
    </row>
    <row r="193" spans="2:15" ht="18.75" customHeight="1" thickBot="1" x14ac:dyDescent="0.25">
      <c r="B193" s="342">
        <f t="shared" ref="B193:L193" si="64">SUM(B191:B192)</f>
        <v>731</v>
      </c>
      <c r="C193" s="342">
        <f t="shared" si="64"/>
        <v>303</v>
      </c>
      <c r="D193" s="342">
        <f t="shared" si="64"/>
        <v>428</v>
      </c>
      <c r="E193" s="342">
        <f t="shared" si="64"/>
        <v>186</v>
      </c>
      <c r="F193" s="342">
        <f t="shared" si="64"/>
        <v>128</v>
      </c>
      <c r="G193" s="342">
        <f t="shared" si="64"/>
        <v>58</v>
      </c>
      <c r="H193" s="342">
        <f t="shared" si="64"/>
        <v>80</v>
      </c>
      <c r="I193" s="342">
        <f t="shared" si="64"/>
        <v>63</v>
      </c>
      <c r="J193" s="342">
        <f t="shared" si="64"/>
        <v>17</v>
      </c>
      <c r="K193" s="342">
        <f t="shared" si="64"/>
        <v>465</v>
      </c>
      <c r="L193" s="342">
        <f t="shared" si="64"/>
        <v>112</v>
      </c>
      <c r="M193" s="342">
        <f>SUM(M191:M192)</f>
        <v>353</v>
      </c>
      <c r="N193" s="203" t="s">
        <v>12</v>
      </c>
      <c r="O193" s="307"/>
    </row>
    <row r="194" spans="2:15" ht="18.75" customHeight="1" thickBot="1" x14ac:dyDescent="0.25">
      <c r="B194" s="342">
        <f>SUM(C194:D194)</f>
        <v>305</v>
      </c>
      <c r="C194" s="342">
        <f t="shared" si="54"/>
        <v>150</v>
      </c>
      <c r="D194" s="342">
        <f t="shared" si="54"/>
        <v>155</v>
      </c>
      <c r="E194" s="342">
        <f>SUM(F194:G194)</f>
        <v>140</v>
      </c>
      <c r="F194" s="342">
        <v>96</v>
      </c>
      <c r="G194" s="342">
        <v>44</v>
      </c>
      <c r="H194" s="342">
        <f>SUM(I194:J194)</f>
        <v>65</v>
      </c>
      <c r="I194" s="342">
        <v>50</v>
      </c>
      <c r="J194" s="342">
        <v>15</v>
      </c>
      <c r="K194" s="342">
        <f>SUM(L194:M194)</f>
        <v>100</v>
      </c>
      <c r="L194" s="342">
        <v>4</v>
      </c>
      <c r="M194" s="342">
        <v>96</v>
      </c>
      <c r="N194" s="203" t="s">
        <v>146</v>
      </c>
      <c r="O194" s="306"/>
    </row>
    <row r="195" spans="2:15" ht="18.75" customHeight="1" thickBot="1" x14ac:dyDescent="0.25">
      <c r="B195" s="342">
        <f>SUM(C195:D195)</f>
        <v>93</v>
      </c>
      <c r="C195" s="342">
        <f t="shared" si="54"/>
        <v>24</v>
      </c>
      <c r="D195" s="342">
        <f t="shared" si="54"/>
        <v>69</v>
      </c>
      <c r="E195" s="342">
        <f>SUM(F195:G195)</f>
        <v>0</v>
      </c>
      <c r="F195" s="342">
        <v>0</v>
      </c>
      <c r="G195" s="342">
        <v>0</v>
      </c>
      <c r="H195" s="342">
        <f>SUM(I195:J195)</f>
        <v>8</v>
      </c>
      <c r="I195" s="342">
        <v>4</v>
      </c>
      <c r="J195" s="342">
        <v>4</v>
      </c>
      <c r="K195" s="342">
        <f>SUM(L195:M195)</f>
        <v>85</v>
      </c>
      <c r="L195" s="342">
        <v>20</v>
      </c>
      <c r="M195" s="342">
        <v>65</v>
      </c>
      <c r="N195" s="203" t="s">
        <v>145</v>
      </c>
      <c r="O195" s="306" t="s">
        <v>528</v>
      </c>
    </row>
    <row r="196" spans="2:15" ht="18.75" customHeight="1" thickBot="1" x14ac:dyDescent="0.25">
      <c r="B196" s="342">
        <f t="shared" ref="B196:L196" si="65">SUM(B194:B195)</f>
        <v>398</v>
      </c>
      <c r="C196" s="342">
        <f t="shared" si="65"/>
        <v>174</v>
      </c>
      <c r="D196" s="342">
        <f t="shared" si="65"/>
        <v>224</v>
      </c>
      <c r="E196" s="342">
        <f t="shared" si="65"/>
        <v>140</v>
      </c>
      <c r="F196" s="342">
        <f t="shared" si="65"/>
        <v>96</v>
      </c>
      <c r="G196" s="342">
        <f t="shared" si="65"/>
        <v>44</v>
      </c>
      <c r="H196" s="342">
        <f t="shared" si="65"/>
        <v>73</v>
      </c>
      <c r="I196" s="342">
        <f t="shared" si="65"/>
        <v>54</v>
      </c>
      <c r="J196" s="342">
        <f t="shared" si="65"/>
        <v>19</v>
      </c>
      <c r="K196" s="342">
        <f t="shared" si="65"/>
        <v>185</v>
      </c>
      <c r="L196" s="342">
        <f t="shared" si="65"/>
        <v>24</v>
      </c>
      <c r="M196" s="342">
        <f>SUM(M194:M195)</f>
        <v>161</v>
      </c>
      <c r="N196" s="203" t="s">
        <v>12</v>
      </c>
      <c r="O196" s="307"/>
    </row>
    <row r="197" spans="2:15" ht="18.75" customHeight="1" thickBot="1" x14ac:dyDescent="0.25">
      <c r="B197" s="342">
        <f>SUM(C197:D197)</f>
        <v>178</v>
      </c>
      <c r="C197" s="342">
        <f t="shared" si="54"/>
        <v>86</v>
      </c>
      <c r="D197" s="342">
        <f t="shared" si="54"/>
        <v>92</v>
      </c>
      <c r="E197" s="342">
        <f>SUM(F197:G197)</f>
        <v>105</v>
      </c>
      <c r="F197" s="342">
        <v>57</v>
      </c>
      <c r="G197" s="342">
        <v>48</v>
      </c>
      <c r="H197" s="342">
        <f>SUM(I197:J197)</f>
        <v>29</v>
      </c>
      <c r="I197" s="342">
        <v>22</v>
      </c>
      <c r="J197" s="342">
        <v>7</v>
      </c>
      <c r="K197" s="342">
        <f>SUM(L197:M197)</f>
        <v>44</v>
      </c>
      <c r="L197" s="342">
        <v>7</v>
      </c>
      <c r="M197" s="342">
        <v>37</v>
      </c>
      <c r="N197" s="203" t="s">
        <v>146</v>
      </c>
      <c r="O197" s="306"/>
    </row>
    <row r="198" spans="2:15" ht="18.75" customHeight="1" thickBot="1" x14ac:dyDescent="0.25">
      <c r="B198" s="342">
        <f>SUM(C198:D198)</f>
        <v>126</v>
      </c>
      <c r="C198" s="342">
        <f t="shared" si="54"/>
        <v>12</v>
      </c>
      <c r="D198" s="342">
        <f t="shared" si="54"/>
        <v>114</v>
      </c>
      <c r="E198" s="342">
        <f>SUM(F198:G198)</f>
        <v>0</v>
      </c>
      <c r="F198" s="342">
        <v>0</v>
      </c>
      <c r="G198" s="342">
        <v>0</v>
      </c>
      <c r="H198" s="342">
        <f>SUM(I198:J198)</f>
        <v>53</v>
      </c>
      <c r="I198" s="342">
        <v>0</v>
      </c>
      <c r="J198" s="342">
        <v>53</v>
      </c>
      <c r="K198" s="342">
        <f>SUM(L198:M198)</f>
        <v>73</v>
      </c>
      <c r="L198" s="342">
        <v>12</v>
      </c>
      <c r="M198" s="342">
        <v>61</v>
      </c>
      <c r="N198" s="203" t="s">
        <v>145</v>
      </c>
      <c r="O198" s="306" t="s">
        <v>713</v>
      </c>
    </row>
    <row r="199" spans="2:15" ht="18.75" customHeight="1" thickBot="1" x14ac:dyDescent="0.25">
      <c r="B199" s="342">
        <f t="shared" ref="B199:L199" si="66">SUM(B197:B198)</f>
        <v>304</v>
      </c>
      <c r="C199" s="342">
        <f t="shared" si="66"/>
        <v>98</v>
      </c>
      <c r="D199" s="342">
        <f t="shared" si="66"/>
        <v>206</v>
      </c>
      <c r="E199" s="342">
        <f t="shared" si="66"/>
        <v>105</v>
      </c>
      <c r="F199" s="342">
        <f t="shared" si="66"/>
        <v>57</v>
      </c>
      <c r="G199" s="342">
        <f t="shared" si="66"/>
        <v>48</v>
      </c>
      <c r="H199" s="342">
        <f t="shared" si="66"/>
        <v>82</v>
      </c>
      <c r="I199" s="342">
        <f t="shared" si="66"/>
        <v>22</v>
      </c>
      <c r="J199" s="342">
        <f t="shared" si="66"/>
        <v>60</v>
      </c>
      <c r="K199" s="342">
        <f t="shared" si="66"/>
        <v>117</v>
      </c>
      <c r="L199" s="342">
        <f t="shared" si="66"/>
        <v>19</v>
      </c>
      <c r="M199" s="342">
        <f>SUM(M197:M198)</f>
        <v>98</v>
      </c>
      <c r="N199" s="203" t="s">
        <v>12</v>
      </c>
      <c r="O199" s="307"/>
    </row>
    <row r="200" spans="2:15" ht="18.75" customHeight="1" thickBot="1" x14ac:dyDescent="0.25">
      <c r="B200" s="342">
        <f>SUM(C200:D200)</f>
        <v>111</v>
      </c>
      <c r="C200" s="342">
        <f t="shared" si="54"/>
        <v>0</v>
      </c>
      <c r="D200" s="342">
        <f t="shared" si="54"/>
        <v>111</v>
      </c>
      <c r="E200" s="342">
        <f>SUM(F200:G200)</f>
        <v>58</v>
      </c>
      <c r="F200" s="342">
        <v>0</v>
      </c>
      <c r="G200" s="342">
        <v>58</v>
      </c>
      <c r="H200" s="342">
        <f>SUM(I200:J200)</f>
        <v>2</v>
      </c>
      <c r="I200" s="342">
        <v>0</v>
      </c>
      <c r="J200" s="342">
        <v>2</v>
      </c>
      <c r="K200" s="342">
        <f>SUM(L200:M200)</f>
        <v>51</v>
      </c>
      <c r="L200" s="342">
        <v>0</v>
      </c>
      <c r="M200" s="342">
        <v>51</v>
      </c>
      <c r="N200" s="203" t="s">
        <v>146</v>
      </c>
      <c r="O200" s="306"/>
    </row>
    <row r="201" spans="2:15" ht="18.75" customHeight="1" thickBot="1" x14ac:dyDescent="0.25">
      <c r="B201" s="342">
        <f>SUM(C201:D201)</f>
        <v>50</v>
      </c>
      <c r="C201" s="342">
        <f t="shared" si="54"/>
        <v>0</v>
      </c>
      <c r="D201" s="342">
        <f t="shared" si="54"/>
        <v>50</v>
      </c>
      <c r="E201" s="342">
        <f>SUM(F201:G201)</f>
        <v>0</v>
      </c>
      <c r="F201" s="342">
        <v>0</v>
      </c>
      <c r="G201" s="342">
        <v>0</v>
      </c>
      <c r="H201" s="342">
        <f>SUM(I201:J201)</f>
        <v>0</v>
      </c>
      <c r="I201" s="342">
        <v>0</v>
      </c>
      <c r="J201" s="342">
        <v>0</v>
      </c>
      <c r="K201" s="342">
        <f>SUM(L201:M201)</f>
        <v>50</v>
      </c>
      <c r="L201" s="342">
        <v>0</v>
      </c>
      <c r="M201" s="342">
        <v>50</v>
      </c>
      <c r="N201" s="203" t="s">
        <v>145</v>
      </c>
      <c r="O201" s="306" t="s">
        <v>380</v>
      </c>
    </row>
    <row r="202" spans="2:15" ht="18.75" customHeight="1" thickBot="1" x14ac:dyDescent="0.25">
      <c r="B202" s="342">
        <f t="shared" ref="B202:L202" si="67">SUM(B200:B201)</f>
        <v>161</v>
      </c>
      <c r="C202" s="342">
        <f t="shared" si="67"/>
        <v>0</v>
      </c>
      <c r="D202" s="342">
        <f t="shared" si="67"/>
        <v>161</v>
      </c>
      <c r="E202" s="342">
        <f t="shared" si="67"/>
        <v>58</v>
      </c>
      <c r="F202" s="342">
        <f t="shared" si="67"/>
        <v>0</v>
      </c>
      <c r="G202" s="342">
        <f t="shared" si="67"/>
        <v>58</v>
      </c>
      <c r="H202" s="342">
        <f t="shared" si="67"/>
        <v>2</v>
      </c>
      <c r="I202" s="342">
        <f t="shared" si="67"/>
        <v>0</v>
      </c>
      <c r="J202" s="342">
        <f t="shared" si="67"/>
        <v>2</v>
      </c>
      <c r="K202" s="342">
        <f t="shared" si="67"/>
        <v>101</v>
      </c>
      <c r="L202" s="342">
        <f t="shared" si="67"/>
        <v>0</v>
      </c>
      <c r="M202" s="342">
        <f>SUM(M200:M201)</f>
        <v>101</v>
      </c>
      <c r="N202" s="203" t="s">
        <v>12</v>
      </c>
      <c r="O202" s="307"/>
    </row>
    <row r="203" spans="2:15" ht="18.75" customHeight="1" thickBot="1" x14ac:dyDescent="0.25">
      <c r="B203" s="342">
        <f>SUM(C203:D203)</f>
        <v>203</v>
      </c>
      <c r="C203" s="342">
        <f t="shared" si="54"/>
        <v>0</v>
      </c>
      <c r="D203" s="342">
        <f t="shared" si="54"/>
        <v>203</v>
      </c>
      <c r="E203" s="342">
        <f>SUM(F203:G203)</f>
        <v>58</v>
      </c>
      <c r="F203" s="342">
        <v>0</v>
      </c>
      <c r="G203" s="342">
        <v>58</v>
      </c>
      <c r="H203" s="342">
        <f>SUM(I203:J203)</f>
        <v>13</v>
      </c>
      <c r="I203" s="342">
        <v>0</v>
      </c>
      <c r="J203" s="342">
        <v>13</v>
      </c>
      <c r="K203" s="342">
        <f>SUM(L203:M203)</f>
        <v>132</v>
      </c>
      <c r="L203" s="342">
        <v>0</v>
      </c>
      <c r="M203" s="342">
        <v>132</v>
      </c>
      <c r="N203" s="203" t="s">
        <v>146</v>
      </c>
      <c r="O203" s="306"/>
    </row>
    <row r="204" spans="2:15" ht="18.75" customHeight="1" thickBot="1" x14ac:dyDescent="0.25">
      <c r="B204" s="342">
        <f>SUM(C204:D204)</f>
        <v>152</v>
      </c>
      <c r="C204" s="342">
        <f t="shared" si="54"/>
        <v>0</v>
      </c>
      <c r="D204" s="342">
        <f t="shared" si="54"/>
        <v>152</v>
      </c>
      <c r="E204" s="342">
        <f>SUM(F204:G204)</f>
        <v>0</v>
      </c>
      <c r="F204" s="342">
        <v>0</v>
      </c>
      <c r="G204" s="342">
        <v>0</v>
      </c>
      <c r="H204" s="342">
        <f>SUM(I204:J204)</f>
        <v>27</v>
      </c>
      <c r="I204" s="342">
        <v>0</v>
      </c>
      <c r="J204" s="342">
        <v>27</v>
      </c>
      <c r="K204" s="342">
        <f>SUM(L204:M204)</f>
        <v>125</v>
      </c>
      <c r="L204" s="342">
        <v>0</v>
      </c>
      <c r="M204" s="342">
        <v>125</v>
      </c>
      <c r="N204" s="203" t="s">
        <v>145</v>
      </c>
      <c r="O204" s="306" t="s">
        <v>454</v>
      </c>
    </row>
    <row r="205" spans="2:15" ht="18.75" customHeight="1" thickBot="1" x14ac:dyDescent="0.25">
      <c r="B205" s="342">
        <f t="shared" ref="B205:L205" si="68">SUM(B203:B204)</f>
        <v>355</v>
      </c>
      <c r="C205" s="342">
        <f t="shared" si="68"/>
        <v>0</v>
      </c>
      <c r="D205" s="342">
        <f t="shared" si="68"/>
        <v>355</v>
      </c>
      <c r="E205" s="342">
        <f t="shared" si="68"/>
        <v>58</v>
      </c>
      <c r="F205" s="342">
        <f t="shared" si="68"/>
        <v>0</v>
      </c>
      <c r="G205" s="342">
        <f t="shared" si="68"/>
        <v>58</v>
      </c>
      <c r="H205" s="342">
        <f t="shared" si="68"/>
        <v>40</v>
      </c>
      <c r="I205" s="342">
        <f t="shared" si="68"/>
        <v>0</v>
      </c>
      <c r="J205" s="342">
        <f t="shared" si="68"/>
        <v>40</v>
      </c>
      <c r="K205" s="342">
        <f t="shared" si="68"/>
        <v>257</v>
      </c>
      <c r="L205" s="342">
        <f t="shared" si="68"/>
        <v>0</v>
      </c>
      <c r="M205" s="342">
        <f>SUM(M203:M204)</f>
        <v>257</v>
      </c>
      <c r="N205" s="203" t="s">
        <v>12</v>
      </c>
      <c r="O205" s="307"/>
    </row>
    <row r="206" spans="2:15" ht="18.75" customHeight="1" thickBot="1" x14ac:dyDescent="0.25">
      <c r="B206" s="342">
        <f>SUM(C206:D206)</f>
        <v>227</v>
      </c>
      <c r="C206" s="342">
        <f t="shared" si="54"/>
        <v>153</v>
      </c>
      <c r="D206" s="342">
        <f t="shared" si="54"/>
        <v>74</v>
      </c>
      <c r="E206" s="342">
        <f>SUM(F206:G206)</f>
        <v>162</v>
      </c>
      <c r="F206" s="342">
        <v>125</v>
      </c>
      <c r="G206" s="342">
        <v>37</v>
      </c>
      <c r="H206" s="342">
        <f>SUM(I206:J206)</f>
        <v>18</v>
      </c>
      <c r="I206" s="342">
        <v>14</v>
      </c>
      <c r="J206" s="342">
        <v>4</v>
      </c>
      <c r="K206" s="342">
        <f>SUM(L206:M206)</f>
        <v>47</v>
      </c>
      <c r="L206" s="342">
        <v>14</v>
      </c>
      <c r="M206" s="342">
        <v>33</v>
      </c>
      <c r="N206" s="203" t="s">
        <v>146</v>
      </c>
      <c r="O206" s="306"/>
    </row>
    <row r="207" spans="2:15" ht="18.75" customHeight="1" thickBot="1" x14ac:dyDescent="0.25">
      <c r="B207" s="342">
        <f>SUM(C207:D207)</f>
        <v>112</v>
      </c>
      <c r="C207" s="342">
        <f t="shared" si="54"/>
        <v>42</v>
      </c>
      <c r="D207" s="342">
        <f t="shared" si="54"/>
        <v>70</v>
      </c>
      <c r="E207" s="342">
        <f>SUM(F207:G207)</f>
        <v>0</v>
      </c>
      <c r="F207" s="342">
        <v>0</v>
      </c>
      <c r="G207" s="342">
        <v>0</v>
      </c>
      <c r="H207" s="342">
        <f>SUM(I207:J207)</f>
        <v>24</v>
      </c>
      <c r="I207" s="342">
        <v>12</v>
      </c>
      <c r="J207" s="342">
        <v>12</v>
      </c>
      <c r="K207" s="342">
        <f>SUM(L207:M207)</f>
        <v>88</v>
      </c>
      <c r="L207" s="342">
        <v>30</v>
      </c>
      <c r="M207" s="342">
        <v>58</v>
      </c>
      <c r="N207" s="203" t="s">
        <v>145</v>
      </c>
      <c r="O207" s="306" t="s">
        <v>378</v>
      </c>
    </row>
    <row r="208" spans="2:15" ht="18.75" customHeight="1" thickBot="1" x14ac:dyDescent="0.25">
      <c r="B208" s="342">
        <f t="shared" ref="B208:L208" si="69">SUM(B206:B207)</f>
        <v>339</v>
      </c>
      <c r="C208" s="342">
        <f t="shared" si="69"/>
        <v>195</v>
      </c>
      <c r="D208" s="342">
        <f t="shared" si="69"/>
        <v>144</v>
      </c>
      <c r="E208" s="342">
        <f t="shared" si="69"/>
        <v>162</v>
      </c>
      <c r="F208" s="342">
        <f t="shared" si="69"/>
        <v>125</v>
      </c>
      <c r="G208" s="342">
        <f t="shared" si="69"/>
        <v>37</v>
      </c>
      <c r="H208" s="342">
        <f t="shared" si="69"/>
        <v>42</v>
      </c>
      <c r="I208" s="342">
        <f t="shared" si="69"/>
        <v>26</v>
      </c>
      <c r="J208" s="342">
        <f t="shared" si="69"/>
        <v>16</v>
      </c>
      <c r="K208" s="342">
        <f t="shared" si="69"/>
        <v>135</v>
      </c>
      <c r="L208" s="342">
        <f t="shared" si="69"/>
        <v>44</v>
      </c>
      <c r="M208" s="342">
        <f>SUM(M206:M207)</f>
        <v>91</v>
      </c>
      <c r="N208" s="203" t="s">
        <v>12</v>
      </c>
      <c r="O208" s="307"/>
    </row>
    <row r="209" spans="2:15" ht="18.75" customHeight="1" thickBot="1" x14ac:dyDescent="0.25">
      <c r="B209" s="342">
        <f>SUM(C209:D209)</f>
        <v>15</v>
      </c>
      <c r="C209" s="342">
        <f t="shared" si="54"/>
        <v>0</v>
      </c>
      <c r="D209" s="342">
        <f t="shared" si="54"/>
        <v>15</v>
      </c>
      <c r="E209" s="342">
        <f>SUM(F209:G209)</f>
        <v>0</v>
      </c>
      <c r="F209" s="342">
        <v>0</v>
      </c>
      <c r="G209" s="342">
        <v>0</v>
      </c>
      <c r="H209" s="342">
        <f>SUM(I209:J209)</f>
        <v>4</v>
      </c>
      <c r="I209" s="342">
        <v>0</v>
      </c>
      <c r="J209" s="342">
        <v>4</v>
      </c>
      <c r="K209" s="342">
        <f>SUM(L209:M209)</f>
        <v>11</v>
      </c>
      <c r="L209" s="342">
        <v>0</v>
      </c>
      <c r="M209" s="342">
        <v>11</v>
      </c>
      <c r="N209" s="203" t="s">
        <v>146</v>
      </c>
      <c r="O209" s="306"/>
    </row>
    <row r="210" spans="2:15" ht="18.75" customHeight="1" thickBot="1" x14ac:dyDescent="0.25">
      <c r="B210" s="342">
        <f>SUM(C210:D210)</f>
        <v>4</v>
      </c>
      <c r="C210" s="342">
        <f t="shared" si="54"/>
        <v>0</v>
      </c>
      <c r="D210" s="342">
        <f t="shared" si="54"/>
        <v>4</v>
      </c>
      <c r="E210" s="342">
        <f>SUM(F210:G210)</f>
        <v>4</v>
      </c>
      <c r="F210" s="342">
        <v>0</v>
      </c>
      <c r="G210" s="342">
        <v>4</v>
      </c>
      <c r="H210" s="342">
        <f>SUM(I210:J210)</f>
        <v>0</v>
      </c>
      <c r="I210" s="342">
        <v>0</v>
      </c>
      <c r="J210" s="342">
        <v>0</v>
      </c>
      <c r="K210" s="342">
        <f>SUM(L210:M210)</f>
        <v>0</v>
      </c>
      <c r="L210" s="342">
        <v>0</v>
      </c>
      <c r="M210" s="342">
        <v>0</v>
      </c>
      <c r="N210" s="203" t="s">
        <v>145</v>
      </c>
      <c r="O210" s="306" t="s">
        <v>254</v>
      </c>
    </row>
    <row r="211" spans="2:15" ht="18.75" customHeight="1" thickBot="1" x14ac:dyDescent="0.25">
      <c r="B211" s="342">
        <f t="shared" ref="B211:L211" si="70">SUM(B209:B210)</f>
        <v>19</v>
      </c>
      <c r="C211" s="342">
        <f t="shared" si="70"/>
        <v>0</v>
      </c>
      <c r="D211" s="342">
        <f t="shared" si="70"/>
        <v>19</v>
      </c>
      <c r="E211" s="342">
        <f t="shared" si="70"/>
        <v>4</v>
      </c>
      <c r="F211" s="342">
        <f t="shared" si="70"/>
        <v>0</v>
      </c>
      <c r="G211" s="342">
        <f t="shared" si="70"/>
        <v>4</v>
      </c>
      <c r="H211" s="342">
        <f t="shared" si="70"/>
        <v>4</v>
      </c>
      <c r="I211" s="342">
        <f t="shared" si="70"/>
        <v>0</v>
      </c>
      <c r="J211" s="342">
        <f t="shared" si="70"/>
        <v>4</v>
      </c>
      <c r="K211" s="342">
        <f t="shared" si="70"/>
        <v>11</v>
      </c>
      <c r="L211" s="342">
        <f t="shared" si="70"/>
        <v>0</v>
      </c>
      <c r="M211" s="342">
        <f>SUM(M209:M210)</f>
        <v>11</v>
      </c>
      <c r="N211" s="203" t="s">
        <v>12</v>
      </c>
      <c r="O211" s="307"/>
    </row>
    <row r="212" spans="2:15" ht="18.75" customHeight="1" thickBot="1" x14ac:dyDescent="0.25">
      <c r="B212" s="342">
        <f>SUM(C212:D212)</f>
        <v>4</v>
      </c>
      <c r="C212" s="342">
        <f t="shared" si="54"/>
        <v>4</v>
      </c>
      <c r="D212" s="342">
        <f t="shared" si="54"/>
        <v>0</v>
      </c>
      <c r="E212" s="342">
        <f>SUM(F212:G212)</f>
        <v>4</v>
      </c>
      <c r="F212" s="342">
        <v>4</v>
      </c>
      <c r="G212" s="342">
        <v>0</v>
      </c>
      <c r="H212" s="342">
        <f>SUM(I212:J212)</f>
        <v>0</v>
      </c>
      <c r="I212" s="342">
        <v>0</v>
      </c>
      <c r="J212" s="342">
        <v>0</v>
      </c>
      <c r="K212" s="342">
        <f>SUM(L212:M212)</f>
        <v>0</v>
      </c>
      <c r="L212" s="342">
        <v>0</v>
      </c>
      <c r="M212" s="342">
        <v>0</v>
      </c>
      <c r="N212" s="203" t="s">
        <v>146</v>
      </c>
      <c r="O212" s="306"/>
    </row>
    <row r="213" spans="2:15" ht="18.75" customHeight="1" thickBot="1" x14ac:dyDescent="0.25">
      <c r="B213" s="342">
        <f>SUM(C213:D213)</f>
        <v>8</v>
      </c>
      <c r="C213" s="342">
        <f t="shared" si="54"/>
        <v>8</v>
      </c>
      <c r="D213" s="342">
        <f t="shared" si="54"/>
        <v>0</v>
      </c>
      <c r="E213" s="342">
        <f>SUM(F213:G213)</f>
        <v>8</v>
      </c>
      <c r="F213" s="342">
        <v>8</v>
      </c>
      <c r="G213" s="342">
        <v>0</v>
      </c>
      <c r="H213" s="342">
        <f>SUM(I213:J213)</f>
        <v>0</v>
      </c>
      <c r="I213" s="342">
        <v>0</v>
      </c>
      <c r="J213" s="342">
        <v>0</v>
      </c>
      <c r="K213" s="342">
        <f>SUM(L213:M213)</f>
        <v>0</v>
      </c>
      <c r="L213" s="342">
        <v>0</v>
      </c>
      <c r="M213" s="342">
        <v>0</v>
      </c>
      <c r="N213" s="203" t="s">
        <v>145</v>
      </c>
      <c r="O213" s="306" t="s">
        <v>71</v>
      </c>
    </row>
    <row r="214" spans="2:15" ht="18.75" customHeight="1" thickBot="1" x14ac:dyDescent="0.25">
      <c r="B214" s="342">
        <f t="shared" ref="B214:L214" si="71">SUM(B212:B213)</f>
        <v>12</v>
      </c>
      <c r="C214" s="342">
        <f t="shared" si="71"/>
        <v>12</v>
      </c>
      <c r="D214" s="342">
        <f t="shared" si="71"/>
        <v>0</v>
      </c>
      <c r="E214" s="342">
        <f t="shared" si="71"/>
        <v>12</v>
      </c>
      <c r="F214" s="342">
        <f t="shared" si="71"/>
        <v>12</v>
      </c>
      <c r="G214" s="342">
        <f t="shared" si="71"/>
        <v>0</v>
      </c>
      <c r="H214" s="342">
        <f t="shared" si="71"/>
        <v>0</v>
      </c>
      <c r="I214" s="342">
        <f t="shared" si="71"/>
        <v>0</v>
      </c>
      <c r="J214" s="342">
        <f t="shared" si="71"/>
        <v>0</v>
      </c>
      <c r="K214" s="342">
        <f t="shared" si="71"/>
        <v>0</v>
      </c>
      <c r="L214" s="342">
        <f t="shared" si="71"/>
        <v>0</v>
      </c>
      <c r="M214" s="342">
        <f>SUM(M212:M213)</f>
        <v>0</v>
      </c>
      <c r="N214" s="203" t="s">
        <v>12</v>
      </c>
      <c r="O214" s="307"/>
    </row>
    <row r="215" spans="2:15" ht="18.75" customHeight="1" thickBot="1" x14ac:dyDescent="0.25">
      <c r="B215" s="342">
        <f>SUM(C215:D215)</f>
        <v>14</v>
      </c>
      <c r="C215" s="342">
        <f t="shared" si="54"/>
        <v>0</v>
      </c>
      <c r="D215" s="342">
        <f t="shared" si="54"/>
        <v>14</v>
      </c>
      <c r="E215" s="342">
        <f>SUM(F215:G215)</f>
        <v>3</v>
      </c>
      <c r="F215" s="342">
        <v>0</v>
      </c>
      <c r="G215" s="342">
        <v>3</v>
      </c>
      <c r="H215" s="342">
        <f>SUM(I215:J215)</f>
        <v>7</v>
      </c>
      <c r="I215" s="342">
        <v>0</v>
      </c>
      <c r="J215" s="342">
        <v>7</v>
      </c>
      <c r="K215" s="342">
        <f>SUM(L215:M215)</f>
        <v>4</v>
      </c>
      <c r="L215" s="342">
        <v>0</v>
      </c>
      <c r="M215" s="342">
        <v>4</v>
      </c>
      <c r="N215" s="203" t="s">
        <v>146</v>
      </c>
      <c r="O215" s="306"/>
    </row>
    <row r="216" spans="2:15" ht="18.75" customHeight="1" thickBot="1" x14ac:dyDescent="0.25">
      <c r="B216" s="342">
        <f>SUM(C216:D216)</f>
        <v>128</v>
      </c>
      <c r="C216" s="342">
        <f t="shared" si="54"/>
        <v>0</v>
      </c>
      <c r="D216" s="342">
        <f t="shared" si="54"/>
        <v>128</v>
      </c>
      <c r="E216" s="342">
        <f>SUM(F216:G216)</f>
        <v>1</v>
      </c>
      <c r="F216" s="342">
        <v>0</v>
      </c>
      <c r="G216" s="342">
        <v>1</v>
      </c>
      <c r="H216" s="342">
        <f>SUM(I216:J216)</f>
        <v>59</v>
      </c>
      <c r="I216" s="342">
        <v>0</v>
      </c>
      <c r="J216" s="342">
        <v>59</v>
      </c>
      <c r="K216" s="342">
        <f>SUM(L216:M216)</f>
        <v>68</v>
      </c>
      <c r="L216" s="342">
        <v>0</v>
      </c>
      <c r="M216" s="342">
        <v>68</v>
      </c>
      <c r="N216" s="203" t="s">
        <v>145</v>
      </c>
      <c r="O216" s="306" t="s">
        <v>83</v>
      </c>
    </row>
    <row r="217" spans="2:15" ht="18.75" customHeight="1" thickBot="1" x14ac:dyDescent="0.25">
      <c r="B217" s="342">
        <f t="shared" ref="B217:L217" si="72">SUM(B215:B216)</f>
        <v>142</v>
      </c>
      <c r="C217" s="342">
        <f t="shared" si="72"/>
        <v>0</v>
      </c>
      <c r="D217" s="342">
        <f t="shared" si="72"/>
        <v>142</v>
      </c>
      <c r="E217" s="342">
        <f t="shared" si="72"/>
        <v>4</v>
      </c>
      <c r="F217" s="342">
        <f t="shared" si="72"/>
        <v>0</v>
      </c>
      <c r="G217" s="342">
        <f t="shared" si="72"/>
        <v>4</v>
      </c>
      <c r="H217" s="342">
        <f t="shared" si="72"/>
        <v>66</v>
      </c>
      <c r="I217" s="342">
        <f t="shared" si="72"/>
        <v>0</v>
      </c>
      <c r="J217" s="342">
        <f t="shared" si="72"/>
        <v>66</v>
      </c>
      <c r="K217" s="342">
        <f t="shared" si="72"/>
        <v>72</v>
      </c>
      <c r="L217" s="342">
        <f t="shared" si="72"/>
        <v>0</v>
      </c>
      <c r="M217" s="342">
        <f>SUM(M215:M216)</f>
        <v>72</v>
      </c>
      <c r="N217" s="203" t="s">
        <v>12</v>
      </c>
      <c r="O217" s="307"/>
    </row>
    <row r="218" spans="2:15" ht="18.75" customHeight="1" thickBot="1" x14ac:dyDescent="0.25">
      <c r="B218" s="342">
        <f>SUM(C218:D218)</f>
        <v>43</v>
      </c>
      <c r="C218" s="342">
        <f t="shared" si="54"/>
        <v>0</v>
      </c>
      <c r="D218" s="342">
        <f t="shared" si="54"/>
        <v>43</v>
      </c>
      <c r="E218" s="342">
        <f>SUM(F218:G218)</f>
        <v>42</v>
      </c>
      <c r="F218" s="342">
        <v>0</v>
      </c>
      <c r="G218" s="342">
        <v>42</v>
      </c>
      <c r="H218" s="342">
        <f>SUM(I218:J218)</f>
        <v>0</v>
      </c>
      <c r="I218" s="342">
        <v>0</v>
      </c>
      <c r="J218" s="342">
        <v>0</v>
      </c>
      <c r="K218" s="342">
        <f>SUM(L218:M218)</f>
        <v>1</v>
      </c>
      <c r="L218" s="342">
        <v>0</v>
      </c>
      <c r="M218" s="342">
        <v>1</v>
      </c>
      <c r="N218" s="203" t="s">
        <v>146</v>
      </c>
      <c r="O218" s="306"/>
    </row>
    <row r="219" spans="2:15" ht="18.75" customHeight="1" thickBot="1" x14ac:dyDescent="0.25">
      <c r="B219" s="342">
        <f>SUM(C219:D219)</f>
        <v>13</v>
      </c>
      <c r="C219" s="342">
        <f t="shared" si="54"/>
        <v>0</v>
      </c>
      <c r="D219" s="342">
        <f t="shared" si="54"/>
        <v>13</v>
      </c>
      <c r="E219" s="342">
        <f>SUM(F219:G219)</f>
        <v>0</v>
      </c>
      <c r="F219" s="342">
        <v>0</v>
      </c>
      <c r="G219" s="342">
        <v>0</v>
      </c>
      <c r="H219" s="342">
        <f>SUM(I219:J219)</f>
        <v>0</v>
      </c>
      <c r="I219" s="342">
        <v>0</v>
      </c>
      <c r="J219" s="342">
        <v>0</v>
      </c>
      <c r="K219" s="342">
        <f>SUM(L219:M219)</f>
        <v>13</v>
      </c>
      <c r="L219" s="342">
        <v>0</v>
      </c>
      <c r="M219" s="342">
        <v>13</v>
      </c>
      <c r="N219" s="203" t="s">
        <v>145</v>
      </c>
      <c r="O219" s="306" t="s">
        <v>756</v>
      </c>
    </row>
    <row r="220" spans="2:15" ht="18.75" customHeight="1" thickBot="1" x14ac:dyDescent="0.25">
      <c r="B220" s="342">
        <f t="shared" ref="B220:L220" si="73">SUM(B218:B219)</f>
        <v>56</v>
      </c>
      <c r="C220" s="342">
        <f t="shared" si="73"/>
        <v>0</v>
      </c>
      <c r="D220" s="342">
        <f t="shared" si="73"/>
        <v>56</v>
      </c>
      <c r="E220" s="342">
        <f t="shared" si="73"/>
        <v>42</v>
      </c>
      <c r="F220" s="342">
        <f t="shared" si="73"/>
        <v>0</v>
      </c>
      <c r="G220" s="342">
        <f t="shared" si="73"/>
        <v>42</v>
      </c>
      <c r="H220" s="342">
        <f t="shared" si="73"/>
        <v>0</v>
      </c>
      <c r="I220" s="342">
        <f t="shared" si="73"/>
        <v>0</v>
      </c>
      <c r="J220" s="342">
        <f t="shared" si="73"/>
        <v>0</v>
      </c>
      <c r="K220" s="342">
        <f t="shared" si="73"/>
        <v>14</v>
      </c>
      <c r="L220" s="342">
        <f t="shared" si="73"/>
        <v>0</v>
      </c>
      <c r="M220" s="342">
        <f>SUM(M218:M219)</f>
        <v>14</v>
      </c>
      <c r="N220" s="203" t="s">
        <v>12</v>
      </c>
      <c r="O220" s="307"/>
    </row>
    <row r="221" spans="2:15" ht="18.75" customHeight="1" thickBot="1" x14ac:dyDescent="0.25">
      <c r="B221" s="342">
        <f>SUM(C221:D221)</f>
        <v>1</v>
      </c>
      <c r="C221" s="342">
        <f t="shared" si="54"/>
        <v>0</v>
      </c>
      <c r="D221" s="342">
        <f t="shared" si="54"/>
        <v>1</v>
      </c>
      <c r="E221" s="342">
        <f>SUM(F221:G221)</f>
        <v>0</v>
      </c>
      <c r="F221" s="342">
        <v>0</v>
      </c>
      <c r="G221" s="342">
        <v>0</v>
      </c>
      <c r="H221" s="342">
        <f>SUM(I221:J221)</f>
        <v>0</v>
      </c>
      <c r="I221" s="342">
        <v>0</v>
      </c>
      <c r="J221" s="342">
        <v>0</v>
      </c>
      <c r="K221" s="342">
        <f>SUM(L221:M221)</f>
        <v>1</v>
      </c>
      <c r="L221" s="342">
        <v>0</v>
      </c>
      <c r="M221" s="342">
        <v>1</v>
      </c>
      <c r="N221" s="203" t="s">
        <v>146</v>
      </c>
      <c r="O221" s="306"/>
    </row>
    <row r="222" spans="2:15" ht="18.75" customHeight="1" thickBot="1" x14ac:dyDescent="0.25">
      <c r="B222" s="342">
        <f>SUM(C222:D222)</f>
        <v>17</v>
      </c>
      <c r="C222" s="342">
        <f t="shared" si="54"/>
        <v>0</v>
      </c>
      <c r="D222" s="342">
        <f t="shared" si="54"/>
        <v>17</v>
      </c>
      <c r="E222" s="342">
        <f>SUM(F222:G222)</f>
        <v>0</v>
      </c>
      <c r="F222" s="342">
        <v>0</v>
      </c>
      <c r="G222" s="342">
        <v>0</v>
      </c>
      <c r="H222" s="342">
        <f>SUM(I222:J222)</f>
        <v>4</v>
      </c>
      <c r="I222" s="342">
        <v>0</v>
      </c>
      <c r="J222" s="342">
        <v>4</v>
      </c>
      <c r="K222" s="342">
        <f>SUM(L222:M222)</f>
        <v>13</v>
      </c>
      <c r="L222" s="342">
        <v>0</v>
      </c>
      <c r="M222" s="342">
        <v>13</v>
      </c>
      <c r="N222" s="203" t="s">
        <v>145</v>
      </c>
      <c r="O222" s="306" t="s">
        <v>757</v>
      </c>
    </row>
    <row r="223" spans="2:15" ht="18.75" customHeight="1" thickBot="1" x14ac:dyDescent="0.25">
      <c r="B223" s="342">
        <f t="shared" ref="B223:L223" si="74">SUM(B221:B222)</f>
        <v>18</v>
      </c>
      <c r="C223" s="342">
        <f t="shared" si="74"/>
        <v>0</v>
      </c>
      <c r="D223" s="342">
        <f t="shared" si="74"/>
        <v>18</v>
      </c>
      <c r="E223" s="342">
        <f t="shared" si="74"/>
        <v>0</v>
      </c>
      <c r="F223" s="342">
        <f t="shared" si="74"/>
        <v>0</v>
      </c>
      <c r="G223" s="342">
        <f t="shared" si="74"/>
        <v>0</v>
      </c>
      <c r="H223" s="342">
        <f t="shared" si="74"/>
        <v>4</v>
      </c>
      <c r="I223" s="342">
        <f t="shared" si="74"/>
        <v>0</v>
      </c>
      <c r="J223" s="342">
        <f t="shared" si="74"/>
        <v>4</v>
      </c>
      <c r="K223" s="342">
        <f t="shared" si="74"/>
        <v>14</v>
      </c>
      <c r="L223" s="342">
        <f t="shared" si="74"/>
        <v>0</v>
      </c>
      <c r="M223" s="342">
        <f>SUM(M221:M222)</f>
        <v>14</v>
      </c>
      <c r="N223" s="203" t="s">
        <v>12</v>
      </c>
      <c r="O223" s="307"/>
    </row>
    <row r="224" spans="2:15" ht="18.75" customHeight="1" thickBot="1" x14ac:dyDescent="0.25">
      <c r="B224" s="342">
        <f>SUM(C224:D224)</f>
        <v>43</v>
      </c>
      <c r="C224" s="342">
        <f t="shared" si="54"/>
        <v>40</v>
      </c>
      <c r="D224" s="342">
        <f t="shared" si="54"/>
        <v>3</v>
      </c>
      <c r="E224" s="342">
        <f>SUM(F224:G224)</f>
        <v>37</v>
      </c>
      <c r="F224" s="342">
        <v>34</v>
      </c>
      <c r="G224" s="342">
        <v>3</v>
      </c>
      <c r="H224" s="342">
        <f>SUM(I224:J224)</f>
        <v>5</v>
      </c>
      <c r="I224" s="342">
        <v>5</v>
      </c>
      <c r="J224" s="342">
        <v>0</v>
      </c>
      <c r="K224" s="342">
        <f>SUM(L224:M224)</f>
        <v>1</v>
      </c>
      <c r="L224" s="342">
        <v>1</v>
      </c>
      <c r="M224" s="342">
        <v>0</v>
      </c>
      <c r="N224" s="203" t="s">
        <v>146</v>
      </c>
      <c r="O224" s="306"/>
    </row>
    <row r="225" spans="2:15" ht="18.75" customHeight="1" thickBot="1" x14ac:dyDescent="0.25">
      <c r="B225" s="342">
        <f>SUM(C225:D225)</f>
        <v>43</v>
      </c>
      <c r="C225" s="342">
        <f t="shared" si="54"/>
        <v>31</v>
      </c>
      <c r="D225" s="342">
        <f t="shared" si="54"/>
        <v>12</v>
      </c>
      <c r="E225" s="342">
        <f>SUM(F225:G225)</f>
        <v>0</v>
      </c>
      <c r="F225" s="342">
        <v>0</v>
      </c>
      <c r="G225" s="342">
        <v>0</v>
      </c>
      <c r="H225" s="342">
        <f>SUM(I225:J225)</f>
        <v>16</v>
      </c>
      <c r="I225" s="342">
        <v>8</v>
      </c>
      <c r="J225" s="342">
        <v>8</v>
      </c>
      <c r="K225" s="342">
        <f>SUM(L225:M225)</f>
        <v>27</v>
      </c>
      <c r="L225" s="342">
        <v>23</v>
      </c>
      <c r="M225" s="342">
        <v>4</v>
      </c>
      <c r="N225" s="203" t="s">
        <v>145</v>
      </c>
      <c r="O225" s="306" t="s">
        <v>377</v>
      </c>
    </row>
    <row r="226" spans="2:15" ht="18.75" customHeight="1" thickBot="1" x14ac:dyDescent="0.25">
      <c r="B226" s="342">
        <f t="shared" ref="B226:L226" si="75">SUM(B224:B225)</f>
        <v>86</v>
      </c>
      <c r="C226" s="342">
        <f t="shared" si="75"/>
        <v>71</v>
      </c>
      <c r="D226" s="342">
        <f t="shared" si="75"/>
        <v>15</v>
      </c>
      <c r="E226" s="342">
        <f t="shared" si="75"/>
        <v>37</v>
      </c>
      <c r="F226" s="342">
        <f t="shared" si="75"/>
        <v>34</v>
      </c>
      <c r="G226" s="342">
        <f t="shared" si="75"/>
        <v>3</v>
      </c>
      <c r="H226" s="342">
        <f t="shared" si="75"/>
        <v>21</v>
      </c>
      <c r="I226" s="342">
        <f t="shared" si="75"/>
        <v>13</v>
      </c>
      <c r="J226" s="342">
        <f t="shared" si="75"/>
        <v>8</v>
      </c>
      <c r="K226" s="342">
        <f t="shared" si="75"/>
        <v>28</v>
      </c>
      <c r="L226" s="342">
        <f t="shared" si="75"/>
        <v>24</v>
      </c>
      <c r="M226" s="342">
        <f>SUM(M224:M225)</f>
        <v>4</v>
      </c>
      <c r="N226" s="203" t="s">
        <v>12</v>
      </c>
      <c r="O226" s="307"/>
    </row>
    <row r="227" spans="2:15" ht="18.75" customHeight="1" thickBot="1" x14ac:dyDescent="0.25">
      <c r="B227" s="342">
        <f>SUM(C227:D227)</f>
        <v>2</v>
      </c>
      <c r="C227" s="342">
        <f t="shared" si="54"/>
        <v>0</v>
      </c>
      <c r="D227" s="342">
        <f t="shared" si="54"/>
        <v>2</v>
      </c>
      <c r="E227" s="342">
        <f>SUM(F227:G227)</f>
        <v>0</v>
      </c>
      <c r="F227" s="342">
        <v>0</v>
      </c>
      <c r="G227" s="342">
        <v>0</v>
      </c>
      <c r="H227" s="342">
        <f>SUM(I227:J227)</f>
        <v>2</v>
      </c>
      <c r="I227" s="342">
        <v>0</v>
      </c>
      <c r="J227" s="342">
        <v>2</v>
      </c>
      <c r="K227" s="342">
        <f>SUM(L227:M227)</f>
        <v>0</v>
      </c>
      <c r="L227" s="342">
        <v>0</v>
      </c>
      <c r="M227" s="342">
        <v>0</v>
      </c>
      <c r="N227" s="203" t="s">
        <v>146</v>
      </c>
      <c r="O227" s="306"/>
    </row>
    <row r="228" spans="2:15" ht="18.75" customHeight="1" thickBot="1" x14ac:dyDescent="0.25">
      <c r="B228" s="342">
        <f>SUM(C228:D228)</f>
        <v>49</v>
      </c>
      <c r="C228" s="342">
        <f t="shared" si="54"/>
        <v>0</v>
      </c>
      <c r="D228" s="342">
        <f t="shared" si="54"/>
        <v>49</v>
      </c>
      <c r="E228" s="342">
        <f>SUM(F228:G228)</f>
        <v>0</v>
      </c>
      <c r="F228" s="342">
        <v>0</v>
      </c>
      <c r="G228" s="342">
        <v>0</v>
      </c>
      <c r="H228" s="342">
        <f>SUM(I228:J228)</f>
        <v>33</v>
      </c>
      <c r="I228" s="342">
        <v>0</v>
      </c>
      <c r="J228" s="342">
        <v>33</v>
      </c>
      <c r="K228" s="342">
        <f>SUM(L228:M228)</f>
        <v>16</v>
      </c>
      <c r="L228" s="342">
        <v>0</v>
      </c>
      <c r="M228" s="342">
        <v>16</v>
      </c>
      <c r="N228" s="203" t="s">
        <v>145</v>
      </c>
      <c r="O228" s="306" t="s">
        <v>84</v>
      </c>
    </row>
    <row r="229" spans="2:15" ht="18.75" customHeight="1" thickBot="1" x14ac:dyDescent="0.25">
      <c r="B229" s="342">
        <f t="shared" ref="B229:L229" si="76">SUM(B227:B228)</f>
        <v>51</v>
      </c>
      <c r="C229" s="342">
        <f t="shared" si="76"/>
        <v>0</v>
      </c>
      <c r="D229" s="342">
        <f t="shared" si="76"/>
        <v>51</v>
      </c>
      <c r="E229" s="342">
        <f t="shared" si="76"/>
        <v>0</v>
      </c>
      <c r="F229" s="342">
        <f t="shared" si="76"/>
        <v>0</v>
      </c>
      <c r="G229" s="342">
        <f t="shared" si="76"/>
        <v>0</v>
      </c>
      <c r="H229" s="342">
        <f t="shared" si="76"/>
        <v>35</v>
      </c>
      <c r="I229" s="342">
        <f t="shared" si="76"/>
        <v>0</v>
      </c>
      <c r="J229" s="342">
        <f t="shared" si="76"/>
        <v>35</v>
      </c>
      <c r="K229" s="342">
        <f t="shared" si="76"/>
        <v>16</v>
      </c>
      <c r="L229" s="342">
        <f t="shared" si="76"/>
        <v>0</v>
      </c>
      <c r="M229" s="342">
        <f>SUM(M227:M228)</f>
        <v>16</v>
      </c>
      <c r="N229" s="203" t="s">
        <v>12</v>
      </c>
      <c r="O229" s="307"/>
    </row>
    <row r="230" spans="2:15" ht="18.75" customHeight="1" thickBot="1" x14ac:dyDescent="0.25">
      <c r="B230" s="342">
        <f>SUM(C230:D230)</f>
        <v>5</v>
      </c>
      <c r="C230" s="342">
        <f t="shared" ref="C230:D249" si="77">L230+I230+F230</f>
        <v>0</v>
      </c>
      <c r="D230" s="342">
        <f t="shared" si="77"/>
        <v>5</v>
      </c>
      <c r="E230" s="342">
        <f>SUM(F230:G230)</f>
        <v>0</v>
      </c>
      <c r="F230" s="342">
        <v>0</v>
      </c>
      <c r="G230" s="342">
        <v>0</v>
      </c>
      <c r="H230" s="342">
        <f>SUM(I230:J230)</f>
        <v>4</v>
      </c>
      <c r="I230" s="342">
        <v>0</v>
      </c>
      <c r="J230" s="342">
        <v>4</v>
      </c>
      <c r="K230" s="342">
        <f>SUM(L230:M230)</f>
        <v>1</v>
      </c>
      <c r="L230" s="342">
        <v>0</v>
      </c>
      <c r="M230" s="342">
        <v>1</v>
      </c>
      <c r="N230" s="203" t="s">
        <v>146</v>
      </c>
      <c r="O230" s="306"/>
    </row>
    <row r="231" spans="2:15" ht="18.75" customHeight="1" thickBot="1" x14ac:dyDescent="0.25">
      <c r="B231" s="342">
        <f>SUM(C231:D231)</f>
        <v>54</v>
      </c>
      <c r="C231" s="342">
        <f t="shared" si="77"/>
        <v>0</v>
      </c>
      <c r="D231" s="342">
        <f t="shared" si="77"/>
        <v>54</v>
      </c>
      <c r="E231" s="342">
        <f>SUM(F231:G231)</f>
        <v>0</v>
      </c>
      <c r="F231" s="342">
        <v>0</v>
      </c>
      <c r="G231" s="342">
        <v>0</v>
      </c>
      <c r="H231" s="342">
        <f>SUM(I231:J231)</f>
        <v>37</v>
      </c>
      <c r="I231" s="342">
        <v>0</v>
      </c>
      <c r="J231" s="342">
        <v>37</v>
      </c>
      <c r="K231" s="342">
        <f>SUM(L231:M231)</f>
        <v>17</v>
      </c>
      <c r="L231" s="342">
        <v>0</v>
      </c>
      <c r="M231" s="342">
        <v>17</v>
      </c>
      <c r="N231" s="203" t="s">
        <v>145</v>
      </c>
      <c r="O231" s="306" t="s">
        <v>85</v>
      </c>
    </row>
    <row r="232" spans="2:15" ht="18.75" customHeight="1" thickBot="1" x14ac:dyDescent="0.25">
      <c r="B232" s="342">
        <f t="shared" ref="B232:L232" si="78">SUM(B230:B231)</f>
        <v>59</v>
      </c>
      <c r="C232" s="342">
        <f t="shared" si="78"/>
        <v>0</v>
      </c>
      <c r="D232" s="342">
        <f t="shared" si="78"/>
        <v>59</v>
      </c>
      <c r="E232" s="342">
        <f t="shared" si="78"/>
        <v>0</v>
      </c>
      <c r="F232" s="342">
        <f t="shared" si="78"/>
        <v>0</v>
      </c>
      <c r="G232" s="342">
        <f t="shared" si="78"/>
        <v>0</v>
      </c>
      <c r="H232" s="342">
        <f t="shared" si="78"/>
        <v>41</v>
      </c>
      <c r="I232" s="342">
        <f t="shared" si="78"/>
        <v>0</v>
      </c>
      <c r="J232" s="342">
        <f t="shared" si="78"/>
        <v>41</v>
      </c>
      <c r="K232" s="342">
        <f t="shared" si="78"/>
        <v>18</v>
      </c>
      <c r="L232" s="342">
        <f t="shared" si="78"/>
        <v>0</v>
      </c>
      <c r="M232" s="342">
        <f>SUM(M230:M231)</f>
        <v>18</v>
      </c>
      <c r="N232" s="203" t="s">
        <v>12</v>
      </c>
      <c r="O232" s="307"/>
    </row>
    <row r="233" spans="2:15" ht="18.75" customHeight="1" thickBot="1" x14ac:dyDescent="0.25">
      <c r="B233" s="342">
        <f>SUM(C233:D233)</f>
        <v>38</v>
      </c>
      <c r="C233" s="342">
        <f t="shared" si="77"/>
        <v>0</v>
      </c>
      <c r="D233" s="342">
        <f t="shared" si="77"/>
        <v>38</v>
      </c>
      <c r="E233" s="342">
        <f>SUM(F233:G233)</f>
        <v>10</v>
      </c>
      <c r="F233" s="342">
        <v>0</v>
      </c>
      <c r="G233" s="342">
        <v>10</v>
      </c>
      <c r="H233" s="342">
        <f>SUM(I233:J233)</f>
        <v>2</v>
      </c>
      <c r="I233" s="342">
        <v>0</v>
      </c>
      <c r="J233" s="342">
        <v>2</v>
      </c>
      <c r="K233" s="342">
        <f>SUM(L233:M233)</f>
        <v>26</v>
      </c>
      <c r="L233" s="342">
        <v>0</v>
      </c>
      <c r="M233" s="342">
        <v>26</v>
      </c>
      <c r="N233" s="203" t="s">
        <v>146</v>
      </c>
      <c r="O233" s="306"/>
    </row>
    <row r="234" spans="2:15" ht="18.75" customHeight="1" thickBot="1" x14ac:dyDescent="0.25">
      <c r="B234" s="342">
        <f>SUM(C234:D234)</f>
        <v>17</v>
      </c>
      <c r="C234" s="342">
        <f t="shared" si="77"/>
        <v>0</v>
      </c>
      <c r="D234" s="342">
        <f t="shared" si="77"/>
        <v>17</v>
      </c>
      <c r="E234" s="342">
        <f>SUM(F234:G234)</f>
        <v>0</v>
      </c>
      <c r="F234" s="342">
        <v>0</v>
      </c>
      <c r="G234" s="342">
        <v>0</v>
      </c>
      <c r="H234" s="342">
        <f>SUM(I234:J234)</f>
        <v>2</v>
      </c>
      <c r="I234" s="342">
        <v>0</v>
      </c>
      <c r="J234" s="342">
        <v>2</v>
      </c>
      <c r="K234" s="342">
        <f>SUM(L234:M234)</f>
        <v>15</v>
      </c>
      <c r="L234" s="342">
        <v>0</v>
      </c>
      <c r="M234" s="342">
        <v>15</v>
      </c>
      <c r="N234" s="203" t="s">
        <v>145</v>
      </c>
      <c r="O234" s="306" t="s">
        <v>379</v>
      </c>
    </row>
    <row r="235" spans="2:15" ht="18.75" customHeight="1" thickBot="1" x14ac:dyDescent="0.25">
      <c r="B235" s="342">
        <f t="shared" ref="B235:L235" si="79">SUM(B233:B234)</f>
        <v>55</v>
      </c>
      <c r="C235" s="342">
        <f t="shared" si="79"/>
        <v>0</v>
      </c>
      <c r="D235" s="342">
        <f t="shared" si="79"/>
        <v>55</v>
      </c>
      <c r="E235" s="342">
        <f t="shared" si="79"/>
        <v>10</v>
      </c>
      <c r="F235" s="342">
        <f t="shared" si="79"/>
        <v>0</v>
      </c>
      <c r="G235" s="342">
        <f t="shared" si="79"/>
        <v>10</v>
      </c>
      <c r="H235" s="342">
        <f t="shared" si="79"/>
        <v>4</v>
      </c>
      <c r="I235" s="342">
        <f t="shared" si="79"/>
        <v>0</v>
      </c>
      <c r="J235" s="342">
        <f t="shared" si="79"/>
        <v>4</v>
      </c>
      <c r="K235" s="342">
        <f t="shared" si="79"/>
        <v>41</v>
      </c>
      <c r="L235" s="342">
        <f t="shared" si="79"/>
        <v>0</v>
      </c>
      <c r="M235" s="342">
        <f>SUM(M233:M234)</f>
        <v>41</v>
      </c>
      <c r="N235" s="203" t="s">
        <v>12</v>
      </c>
      <c r="O235" s="307"/>
    </row>
    <row r="236" spans="2:15" ht="18.75" customHeight="1" thickBot="1" x14ac:dyDescent="0.25">
      <c r="B236" s="342">
        <f>SUM(C236:D236)</f>
        <v>77</v>
      </c>
      <c r="C236" s="342">
        <f t="shared" si="77"/>
        <v>0</v>
      </c>
      <c r="D236" s="342">
        <f t="shared" si="77"/>
        <v>77</v>
      </c>
      <c r="E236" s="342">
        <f>SUM(F236:G236)</f>
        <v>44</v>
      </c>
      <c r="F236" s="342">
        <v>0</v>
      </c>
      <c r="G236" s="342">
        <v>44</v>
      </c>
      <c r="H236" s="342">
        <f>SUM(I236:J236)</f>
        <v>2</v>
      </c>
      <c r="I236" s="342">
        <v>0</v>
      </c>
      <c r="J236" s="342">
        <v>2</v>
      </c>
      <c r="K236" s="342">
        <f>SUM(L236:M236)</f>
        <v>31</v>
      </c>
      <c r="L236" s="342">
        <v>0</v>
      </c>
      <c r="M236" s="342">
        <v>31</v>
      </c>
      <c r="N236" s="203" t="s">
        <v>146</v>
      </c>
      <c r="O236" s="306"/>
    </row>
    <row r="237" spans="2:15" ht="18.75" customHeight="1" thickBot="1" x14ac:dyDescent="0.25">
      <c r="B237" s="342">
        <f>SUM(C237:D237)</f>
        <v>51</v>
      </c>
      <c r="C237" s="342">
        <f t="shared" si="77"/>
        <v>10</v>
      </c>
      <c r="D237" s="342">
        <f t="shared" si="77"/>
        <v>41</v>
      </c>
      <c r="E237" s="342">
        <f>SUM(F237:G237)</f>
        <v>0</v>
      </c>
      <c r="F237" s="342">
        <v>0</v>
      </c>
      <c r="G237" s="342">
        <v>0</v>
      </c>
      <c r="H237" s="342">
        <f>SUM(I237:J237)</f>
        <v>0</v>
      </c>
      <c r="I237" s="342">
        <v>0</v>
      </c>
      <c r="J237" s="342">
        <v>0</v>
      </c>
      <c r="K237" s="342">
        <f>SUM(L237:M237)</f>
        <v>51</v>
      </c>
      <c r="L237" s="342">
        <v>10</v>
      </c>
      <c r="M237" s="342">
        <v>41</v>
      </c>
      <c r="N237" s="203" t="s">
        <v>145</v>
      </c>
      <c r="O237" s="306" t="s">
        <v>758</v>
      </c>
    </row>
    <row r="238" spans="2:15" ht="18.75" customHeight="1" thickBot="1" x14ac:dyDescent="0.25">
      <c r="B238" s="342">
        <f t="shared" ref="B238:L238" si="80">SUM(B236:B237)</f>
        <v>128</v>
      </c>
      <c r="C238" s="342">
        <f t="shared" si="80"/>
        <v>10</v>
      </c>
      <c r="D238" s="342">
        <f t="shared" si="80"/>
        <v>118</v>
      </c>
      <c r="E238" s="342">
        <f t="shared" si="80"/>
        <v>44</v>
      </c>
      <c r="F238" s="342">
        <f t="shared" si="80"/>
        <v>0</v>
      </c>
      <c r="G238" s="342">
        <f t="shared" si="80"/>
        <v>44</v>
      </c>
      <c r="H238" s="342">
        <f t="shared" si="80"/>
        <v>2</v>
      </c>
      <c r="I238" s="342">
        <f t="shared" si="80"/>
        <v>0</v>
      </c>
      <c r="J238" s="342">
        <f t="shared" si="80"/>
        <v>2</v>
      </c>
      <c r="K238" s="342">
        <f t="shared" si="80"/>
        <v>82</v>
      </c>
      <c r="L238" s="342">
        <f t="shared" si="80"/>
        <v>10</v>
      </c>
      <c r="M238" s="342">
        <f>SUM(M236:M237)</f>
        <v>72</v>
      </c>
      <c r="N238" s="203" t="s">
        <v>12</v>
      </c>
      <c r="O238" s="307"/>
    </row>
    <row r="239" spans="2:15" ht="18.75" customHeight="1" thickBot="1" x14ac:dyDescent="0.25">
      <c r="B239" s="342">
        <f>SUM(C239:D239)</f>
        <v>2</v>
      </c>
      <c r="C239" s="342">
        <f t="shared" si="77"/>
        <v>0</v>
      </c>
      <c r="D239" s="342">
        <f t="shared" si="77"/>
        <v>2</v>
      </c>
      <c r="E239" s="342">
        <f>SUM(F239:G239)</f>
        <v>0</v>
      </c>
      <c r="F239" s="342">
        <v>0</v>
      </c>
      <c r="G239" s="342">
        <v>0</v>
      </c>
      <c r="H239" s="342">
        <f>SUM(I239:J239)</f>
        <v>0</v>
      </c>
      <c r="I239" s="342">
        <v>0</v>
      </c>
      <c r="J239" s="342">
        <v>0</v>
      </c>
      <c r="K239" s="342">
        <f>SUM(L239:M239)</f>
        <v>2</v>
      </c>
      <c r="L239" s="342">
        <v>0</v>
      </c>
      <c r="M239" s="342">
        <v>2</v>
      </c>
      <c r="N239" s="203" t="s">
        <v>146</v>
      </c>
      <c r="O239" s="306"/>
    </row>
    <row r="240" spans="2:15" ht="18.75" customHeight="1" thickBot="1" x14ac:dyDescent="0.25">
      <c r="B240" s="342">
        <f>SUM(C240:D240)</f>
        <v>21</v>
      </c>
      <c r="C240" s="342">
        <f t="shared" si="77"/>
        <v>0</v>
      </c>
      <c r="D240" s="342">
        <f t="shared" si="77"/>
        <v>21</v>
      </c>
      <c r="E240" s="342">
        <f>SUM(F240:G240)</f>
        <v>0</v>
      </c>
      <c r="F240" s="342">
        <v>0</v>
      </c>
      <c r="G240" s="342">
        <v>0</v>
      </c>
      <c r="H240" s="342">
        <f>SUM(I240:J240)</f>
        <v>6</v>
      </c>
      <c r="I240" s="342">
        <v>0</v>
      </c>
      <c r="J240" s="342">
        <v>6</v>
      </c>
      <c r="K240" s="342">
        <f>SUM(L240:M240)</f>
        <v>15</v>
      </c>
      <c r="L240" s="342">
        <v>0</v>
      </c>
      <c r="M240" s="342">
        <v>15</v>
      </c>
      <c r="N240" s="203" t="s">
        <v>145</v>
      </c>
      <c r="O240" s="306" t="s">
        <v>86</v>
      </c>
    </row>
    <row r="241" spans="2:15" ht="18.75" customHeight="1" thickBot="1" x14ac:dyDescent="0.25">
      <c r="B241" s="342">
        <f t="shared" ref="B241:L241" si="81">SUM(B239:B240)</f>
        <v>23</v>
      </c>
      <c r="C241" s="342">
        <f t="shared" si="81"/>
        <v>0</v>
      </c>
      <c r="D241" s="342">
        <f t="shared" si="81"/>
        <v>23</v>
      </c>
      <c r="E241" s="342">
        <f t="shared" si="81"/>
        <v>0</v>
      </c>
      <c r="F241" s="342">
        <f t="shared" si="81"/>
        <v>0</v>
      </c>
      <c r="G241" s="342">
        <f t="shared" si="81"/>
        <v>0</v>
      </c>
      <c r="H241" s="342">
        <f t="shared" si="81"/>
        <v>6</v>
      </c>
      <c r="I241" s="342">
        <f t="shared" si="81"/>
        <v>0</v>
      </c>
      <c r="J241" s="342">
        <f t="shared" si="81"/>
        <v>6</v>
      </c>
      <c r="K241" s="342">
        <f t="shared" si="81"/>
        <v>17</v>
      </c>
      <c r="L241" s="342">
        <f t="shared" si="81"/>
        <v>0</v>
      </c>
      <c r="M241" s="342">
        <f>SUM(M239:M240)</f>
        <v>17</v>
      </c>
      <c r="N241" s="203" t="s">
        <v>12</v>
      </c>
      <c r="O241" s="307"/>
    </row>
    <row r="242" spans="2:15" ht="18.75" customHeight="1" thickBot="1" x14ac:dyDescent="0.25">
      <c r="B242" s="342">
        <f>SUM(C242:D242)</f>
        <v>1</v>
      </c>
      <c r="C242" s="342">
        <f t="shared" si="77"/>
        <v>0</v>
      </c>
      <c r="D242" s="342">
        <f t="shared" si="77"/>
        <v>1</v>
      </c>
      <c r="E242" s="342">
        <f>SUM(F242:G242)</f>
        <v>0</v>
      </c>
      <c r="F242" s="342">
        <v>0</v>
      </c>
      <c r="G242" s="342">
        <v>0</v>
      </c>
      <c r="H242" s="342">
        <f>SUM(I242:J242)</f>
        <v>0</v>
      </c>
      <c r="I242" s="342">
        <v>0</v>
      </c>
      <c r="J242" s="342">
        <v>0</v>
      </c>
      <c r="K242" s="342">
        <f>SUM(L242:M242)</f>
        <v>1</v>
      </c>
      <c r="L242" s="342">
        <v>0</v>
      </c>
      <c r="M242" s="342">
        <v>1</v>
      </c>
      <c r="N242" s="203" t="s">
        <v>146</v>
      </c>
      <c r="O242" s="306"/>
    </row>
    <row r="243" spans="2:15" ht="18.75" customHeight="1" thickBot="1" x14ac:dyDescent="0.25">
      <c r="B243" s="342">
        <f>SUM(C243:D243)</f>
        <v>4</v>
      </c>
      <c r="C243" s="342">
        <f t="shared" si="77"/>
        <v>0</v>
      </c>
      <c r="D243" s="342">
        <f t="shared" si="77"/>
        <v>4</v>
      </c>
      <c r="E243" s="342">
        <f>SUM(F243:G243)</f>
        <v>0</v>
      </c>
      <c r="F243" s="342">
        <v>0</v>
      </c>
      <c r="G243" s="342">
        <v>0</v>
      </c>
      <c r="H243" s="342">
        <f>SUM(I243:J243)</f>
        <v>0</v>
      </c>
      <c r="I243" s="342">
        <v>0</v>
      </c>
      <c r="J243" s="342">
        <v>0</v>
      </c>
      <c r="K243" s="342">
        <f>SUM(L243:M243)</f>
        <v>4</v>
      </c>
      <c r="L243" s="342">
        <v>0</v>
      </c>
      <c r="M243" s="342">
        <v>4</v>
      </c>
      <c r="N243" s="203" t="s">
        <v>145</v>
      </c>
      <c r="O243" s="306" t="s">
        <v>387</v>
      </c>
    </row>
    <row r="244" spans="2:15" ht="18.75" customHeight="1" thickBot="1" x14ac:dyDescent="0.25">
      <c r="B244" s="342">
        <f t="shared" ref="B244:L244" si="82">SUM(B242:B243)</f>
        <v>5</v>
      </c>
      <c r="C244" s="342">
        <f t="shared" si="82"/>
        <v>0</v>
      </c>
      <c r="D244" s="342">
        <f t="shared" si="82"/>
        <v>5</v>
      </c>
      <c r="E244" s="342">
        <f t="shared" si="82"/>
        <v>0</v>
      </c>
      <c r="F244" s="342">
        <f t="shared" si="82"/>
        <v>0</v>
      </c>
      <c r="G244" s="342">
        <f t="shared" si="82"/>
        <v>0</v>
      </c>
      <c r="H244" s="342">
        <f t="shared" si="82"/>
        <v>0</v>
      </c>
      <c r="I244" s="342">
        <f t="shared" si="82"/>
        <v>0</v>
      </c>
      <c r="J244" s="342">
        <f t="shared" si="82"/>
        <v>0</v>
      </c>
      <c r="K244" s="342">
        <f t="shared" si="82"/>
        <v>5</v>
      </c>
      <c r="L244" s="342">
        <f t="shared" si="82"/>
        <v>0</v>
      </c>
      <c r="M244" s="342">
        <f>SUM(M242:M243)</f>
        <v>5</v>
      </c>
      <c r="N244" s="203" t="s">
        <v>12</v>
      </c>
      <c r="O244" s="307"/>
    </row>
    <row r="245" spans="2:15" ht="18.75" customHeight="1" thickBot="1" x14ac:dyDescent="0.25">
      <c r="B245" s="342">
        <f>SUM(C245:D245)</f>
        <v>0</v>
      </c>
      <c r="C245" s="342">
        <f t="shared" si="77"/>
        <v>0</v>
      </c>
      <c r="D245" s="342">
        <f t="shared" si="77"/>
        <v>0</v>
      </c>
      <c r="E245" s="342">
        <f>SUM(F245:G245)</f>
        <v>0</v>
      </c>
      <c r="F245" s="342">
        <v>0</v>
      </c>
      <c r="G245" s="342">
        <v>0</v>
      </c>
      <c r="H245" s="342">
        <f>SUM(I245:J245)</f>
        <v>0</v>
      </c>
      <c r="I245" s="342">
        <v>0</v>
      </c>
      <c r="J245" s="342">
        <v>0</v>
      </c>
      <c r="K245" s="342">
        <f>SUM(L245:M245)</f>
        <v>0</v>
      </c>
      <c r="L245" s="342">
        <v>0</v>
      </c>
      <c r="M245" s="342">
        <v>0</v>
      </c>
      <c r="N245" s="203" t="s">
        <v>146</v>
      </c>
      <c r="O245" s="306"/>
    </row>
    <row r="246" spans="2:15" ht="18.75" customHeight="1" thickBot="1" x14ac:dyDescent="0.25">
      <c r="B246" s="342">
        <f>SUM(C246:D246)</f>
        <v>6</v>
      </c>
      <c r="C246" s="342">
        <f t="shared" si="77"/>
        <v>0</v>
      </c>
      <c r="D246" s="342">
        <f t="shared" si="77"/>
        <v>6</v>
      </c>
      <c r="E246" s="342">
        <f>SUM(F246:G246)</f>
        <v>0</v>
      </c>
      <c r="F246" s="342">
        <v>0</v>
      </c>
      <c r="G246" s="342">
        <v>0</v>
      </c>
      <c r="H246" s="342">
        <f>SUM(I246:J246)</f>
        <v>0</v>
      </c>
      <c r="I246" s="342">
        <v>0</v>
      </c>
      <c r="J246" s="342">
        <v>0</v>
      </c>
      <c r="K246" s="342">
        <f>SUM(L246:M246)</f>
        <v>6</v>
      </c>
      <c r="L246" s="342">
        <v>0</v>
      </c>
      <c r="M246" s="342">
        <v>6</v>
      </c>
      <c r="N246" s="203" t="s">
        <v>145</v>
      </c>
      <c r="O246" s="306" t="s">
        <v>759</v>
      </c>
    </row>
    <row r="247" spans="2:15" ht="18.75" customHeight="1" thickBot="1" x14ac:dyDescent="0.25">
      <c r="B247" s="342">
        <f t="shared" ref="B247:L247" si="83">SUM(B245:B246)</f>
        <v>6</v>
      </c>
      <c r="C247" s="342">
        <f t="shared" si="83"/>
        <v>0</v>
      </c>
      <c r="D247" s="342">
        <f t="shared" si="83"/>
        <v>6</v>
      </c>
      <c r="E247" s="342">
        <f t="shared" si="83"/>
        <v>0</v>
      </c>
      <c r="F247" s="342">
        <f t="shared" si="83"/>
        <v>0</v>
      </c>
      <c r="G247" s="342">
        <f t="shared" si="83"/>
        <v>0</v>
      </c>
      <c r="H247" s="342">
        <f t="shared" si="83"/>
        <v>0</v>
      </c>
      <c r="I247" s="342">
        <f t="shared" si="83"/>
        <v>0</v>
      </c>
      <c r="J247" s="342">
        <f t="shared" si="83"/>
        <v>0</v>
      </c>
      <c r="K247" s="342">
        <f t="shared" si="83"/>
        <v>6</v>
      </c>
      <c r="L247" s="342">
        <f t="shared" si="83"/>
        <v>0</v>
      </c>
      <c r="M247" s="342">
        <f>SUM(M245:M246)</f>
        <v>6</v>
      </c>
      <c r="N247" s="203" t="s">
        <v>12</v>
      </c>
      <c r="O247" s="307"/>
    </row>
    <row r="248" spans="2:15" ht="18.75" customHeight="1" thickBot="1" x14ac:dyDescent="0.25">
      <c r="B248" s="342">
        <f>SUM(C248:D248)</f>
        <v>20</v>
      </c>
      <c r="C248" s="342">
        <f t="shared" si="77"/>
        <v>0</v>
      </c>
      <c r="D248" s="342">
        <f t="shared" si="77"/>
        <v>20</v>
      </c>
      <c r="E248" s="342">
        <f>SUM(F248:G248)</f>
        <v>13</v>
      </c>
      <c r="F248" s="342">
        <v>0</v>
      </c>
      <c r="G248" s="342">
        <v>13</v>
      </c>
      <c r="H248" s="342">
        <f>SUM(I248:J248)</f>
        <v>6</v>
      </c>
      <c r="I248" s="342">
        <v>0</v>
      </c>
      <c r="J248" s="342">
        <v>6</v>
      </c>
      <c r="K248" s="342">
        <f>SUM(L248:M248)</f>
        <v>1</v>
      </c>
      <c r="L248" s="342">
        <v>0</v>
      </c>
      <c r="M248" s="342">
        <v>1</v>
      </c>
      <c r="N248" s="203" t="s">
        <v>146</v>
      </c>
      <c r="O248" s="306"/>
    </row>
    <row r="249" spans="2:15" ht="18.75" customHeight="1" thickBot="1" x14ac:dyDescent="0.25">
      <c r="B249" s="342">
        <f>SUM(C249:D249)</f>
        <v>32</v>
      </c>
      <c r="C249" s="342">
        <f t="shared" si="77"/>
        <v>0</v>
      </c>
      <c r="D249" s="342">
        <f t="shared" si="77"/>
        <v>32</v>
      </c>
      <c r="E249" s="342">
        <f>SUM(F249:G249)</f>
        <v>0</v>
      </c>
      <c r="F249" s="342">
        <v>0</v>
      </c>
      <c r="G249" s="342">
        <v>0</v>
      </c>
      <c r="H249" s="342">
        <f>SUM(I249:J249)</f>
        <v>10</v>
      </c>
      <c r="I249" s="342">
        <v>0</v>
      </c>
      <c r="J249" s="342">
        <v>10</v>
      </c>
      <c r="K249" s="342">
        <f>SUM(L249:M249)</f>
        <v>22</v>
      </c>
      <c r="L249" s="342">
        <v>0</v>
      </c>
      <c r="M249" s="342">
        <v>22</v>
      </c>
      <c r="N249" s="203" t="s">
        <v>145</v>
      </c>
      <c r="O249" s="306" t="s">
        <v>794</v>
      </c>
    </row>
    <row r="250" spans="2:15" ht="18.75" customHeight="1" thickBot="1" x14ac:dyDescent="0.25">
      <c r="B250" s="342">
        <f t="shared" ref="B250:L250" si="84">SUM(B248:B249)</f>
        <v>52</v>
      </c>
      <c r="C250" s="342">
        <f t="shared" si="84"/>
        <v>0</v>
      </c>
      <c r="D250" s="342">
        <f t="shared" si="84"/>
        <v>52</v>
      </c>
      <c r="E250" s="342">
        <f t="shared" si="84"/>
        <v>13</v>
      </c>
      <c r="F250" s="342">
        <f t="shared" si="84"/>
        <v>0</v>
      </c>
      <c r="G250" s="342">
        <f t="shared" si="84"/>
        <v>13</v>
      </c>
      <c r="H250" s="342">
        <f t="shared" si="84"/>
        <v>16</v>
      </c>
      <c r="I250" s="342">
        <f t="shared" si="84"/>
        <v>0</v>
      </c>
      <c r="J250" s="342">
        <f t="shared" si="84"/>
        <v>16</v>
      </c>
      <c r="K250" s="342">
        <f t="shared" si="84"/>
        <v>23</v>
      </c>
      <c r="L250" s="342">
        <f t="shared" si="84"/>
        <v>0</v>
      </c>
      <c r="M250" s="342">
        <f>SUM(M248:M249)</f>
        <v>23</v>
      </c>
      <c r="N250" s="203" t="s">
        <v>12</v>
      </c>
      <c r="O250" s="307"/>
    </row>
    <row r="251" spans="2:15" ht="18.75" customHeight="1" thickBot="1" x14ac:dyDescent="0.25">
      <c r="B251" s="342">
        <f t="shared" ref="B251:M253" si="85">B164+B167+B170+B173+B176+B179+B182+B185+B188+B191+B194+B197+B200+B203+B206+B209+B212+B215+B218+B221+B224+B227+B230+B233+B236+B239+B242+B245+B248</f>
        <v>4573</v>
      </c>
      <c r="C251" s="342">
        <f t="shared" si="85"/>
        <v>1643</v>
      </c>
      <c r="D251" s="342">
        <f t="shared" si="85"/>
        <v>2930</v>
      </c>
      <c r="E251" s="342">
        <f t="shared" si="85"/>
        <v>2102</v>
      </c>
      <c r="F251" s="342">
        <f t="shared" si="85"/>
        <v>982</v>
      </c>
      <c r="G251" s="342">
        <f t="shared" si="85"/>
        <v>1120</v>
      </c>
      <c r="H251" s="342">
        <f t="shared" si="85"/>
        <v>617</v>
      </c>
      <c r="I251" s="342">
        <f t="shared" si="85"/>
        <v>358</v>
      </c>
      <c r="J251" s="342">
        <f t="shared" si="85"/>
        <v>259</v>
      </c>
      <c r="K251" s="342">
        <f t="shared" si="85"/>
        <v>1854</v>
      </c>
      <c r="L251" s="342">
        <f t="shared" si="85"/>
        <v>303</v>
      </c>
      <c r="M251" s="342">
        <f t="shared" si="85"/>
        <v>1551</v>
      </c>
      <c r="N251" s="203" t="s">
        <v>146</v>
      </c>
      <c r="O251" s="280"/>
    </row>
    <row r="252" spans="2:15" ht="18.75" customHeight="1" thickBot="1" x14ac:dyDescent="0.25">
      <c r="B252" s="342">
        <f t="shared" si="85"/>
        <v>2485</v>
      </c>
      <c r="C252" s="342">
        <f t="shared" si="85"/>
        <v>498</v>
      </c>
      <c r="D252" s="342">
        <f t="shared" si="85"/>
        <v>1987</v>
      </c>
      <c r="E252" s="342">
        <f t="shared" si="85"/>
        <v>127</v>
      </c>
      <c r="F252" s="342">
        <f t="shared" si="85"/>
        <v>63</v>
      </c>
      <c r="G252" s="342">
        <f t="shared" si="85"/>
        <v>64</v>
      </c>
      <c r="H252" s="342">
        <f t="shared" si="85"/>
        <v>513</v>
      </c>
      <c r="I252" s="342">
        <f t="shared" si="85"/>
        <v>83</v>
      </c>
      <c r="J252" s="342">
        <f t="shared" si="85"/>
        <v>430</v>
      </c>
      <c r="K252" s="342">
        <f t="shared" si="85"/>
        <v>1845</v>
      </c>
      <c r="L252" s="342">
        <f t="shared" si="85"/>
        <v>352</v>
      </c>
      <c r="M252" s="342">
        <f t="shared" si="85"/>
        <v>1493</v>
      </c>
      <c r="N252" s="203" t="s">
        <v>145</v>
      </c>
      <c r="O252" s="281" t="s">
        <v>188</v>
      </c>
    </row>
    <row r="253" spans="2:15" ht="18.75" customHeight="1" thickBot="1" x14ac:dyDescent="0.25">
      <c r="B253" s="342">
        <f t="shared" si="85"/>
        <v>7058</v>
      </c>
      <c r="C253" s="342">
        <f t="shared" si="85"/>
        <v>2141</v>
      </c>
      <c r="D253" s="342">
        <f t="shared" si="85"/>
        <v>4917</v>
      </c>
      <c r="E253" s="342">
        <f t="shared" si="85"/>
        <v>2229</v>
      </c>
      <c r="F253" s="342">
        <f t="shared" si="85"/>
        <v>1045</v>
      </c>
      <c r="G253" s="342">
        <f t="shared" si="85"/>
        <v>1184</v>
      </c>
      <c r="H253" s="342">
        <f t="shared" si="85"/>
        <v>1130</v>
      </c>
      <c r="I253" s="342">
        <f t="shared" si="85"/>
        <v>441</v>
      </c>
      <c r="J253" s="342">
        <f t="shared" si="85"/>
        <v>689</v>
      </c>
      <c r="K253" s="342">
        <f t="shared" si="85"/>
        <v>3699</v>
      </c>
      <c r="L253" s="342">
        <f t="shared" si="85"/>
        <v>655</v>
      </c>
      <c r="M253" s="342">
        <f t="shared" si="85"/>
        <v>3044</v>
      </c>
      <c r="N253" s="203" t="s">
        <v>12</v>
      </c>
      <c r="O253" s="282"/>
    </row>
    <row r="254" spans="2:15" ht="18.75" customHeight="1" thickBot="1" x14ac:dyDescent="0.25">
      <c r="B254" s="589"/>
      <c r="C254" s="589"/>
      <c r="D254" s="589"/>
      <c r="E254" s="589"/>
      <c r="F254" s="589"/>
      <c r="G254" s="589"/>
      <c r="H254" s="589"/>
      <c r="I254" s="589"/>
      <c r="J254" s="589"/>
      <c r="K254" s="589"/>
      <c r="L254" s="589"/>
    </row>
    <row r="255" spans="2:15" ht="18.75" customHeight="1" thickBot="1" x14ac:dyDescent="0.25">
      <c r="B255" s="482" t="s">
        <v>4</v>
      </c>
      <c r="C255" s="482"/>
      <c r="D255" s="482"/>
      <c r="E255" s="482" t="s">
        <v>60</v>
      </c>
      <c r="F255" s="482"/>
      <c r="G255" s="482"/>
      <c r="H255" s="482" t="s">
        <v>57</v>
      </c>
      <c r="I255" s="482"/>
      <c r="J255" s="482"/>
      <c r="K255" s="482" t="s">
        <v>56</v>
      </c>
      <c r="L255" s="482"/>
      <c r="M255" s="482"/>
      <c r="N255" s="575" t="s">
        <v>792</v>
      </c>
      <c r="O255" s="304" t="s">
        <v>144</v>
      </c>
    </row>
    <row r="256" spans="2:15" ht="18.75" customHeight="1" thickBot="1" x14ac:dyDescent="0.25">
      <c r="B256" s="203" t="s">
        <v>227</v>
      </c>
      <c r="C256" s="203" t="s">
        <v>10</v>
      </c>
      <c r="D256" s="203" t="s">
        <v>9</v>
      </c>
      <c r="E256" s="203" t="s">
        <v>227</v>
      </c>
      <c r="F256" s="203" t="s">
        <v>10</v>
      </c>
      <c r="G256" s="203" t="s">
        <v>9</v>
      </c>
      <c r="H256" s="203" t="s">
        <v>227</v>
      </c>
      <c r="I256" s="203" t="s">
        <v>10</v>
      </c>
      <c r="J256" s="203" t="s">
        <v>9</v>
      </c>
      <c r="K256" s="203" t="s">
        <v>227</v>
      </c>
      <c r="L256" s="203" t="s">
        <v>10</v>
      </c>
      <c r="M256" s="203" t="s">
        <v>9</v>
      </c>
      <c r="N256" s="481"/>
      <c r="O256" s="282" t="s">
        <v>73</v>
      </c>
    </row>
    <row r="257" spans="2:15" ht="18.75" customHeight="1" thickBot="1" x14ac:dyDescent="0.25">
      <c r="B257" s="342">
        <f>SUM(C257:D257)</f>
        <v>544</v>
      </c>
      <c r="C257" s="342">
        <f>L257+I257+F257</f>
        <v>283</v>
      </c>
      <c r="D257" s="342">
        <f>M257+J257+G257</f>
        <v>261</v>
      </c>
      <c r="E257" s="342">
        <f>SUM(F257:G257)</f>
        <v>250</v>
      </c>
      <c r="F257" s="342">
        <v>146</v>
      </c>
      <c r="G257" s="342">
        <v>104</v>
      </c>
      <c r="H257" s="342">
        <f>SUM(I257:J257)</f>
        <v>72</v>
      </c>
      <c r="I257" s="342">
        <v>53</v>
      </c>
      <c r="J257" s="342">
        <v>19</v>
      </c>
      <c r="K257" s="342">
        <f>SUM(L257:M257)</f>
        <v>222</v>
      </c>
      <c r="L257" s="342">
        <v>84</v>
      </c>
      <c r="M257" s="342">
        <v>138</v>
      </c>
      <c r="N257" s="203" t="s">
        <v>146</v>
      </c>
      <c r="O257" s="306"/>
    </row>
    <row r="258" spans="2:15" ht="18.75" customHeight="1" thickBot="1" x14ac:dyDescent="0.25">
      <c r="B258" s="342">
        <f>SUM(C258:D258)</f>
        <v>310</v>
      </c>
      <c r="C258" s="342">
        <f t="shared" ref="C258:D321" si="86">L258+I258+F258</f>
        <v>79</v>
      </c>
      <c r="D258" s="342">
        <f t="shared" si="86"/>
        <v>231</v>
      </c>
      <c r="E258" s="342">
        <f>SUM(F258:G258)</f>
        <v>234</v>
      </c>
      <c r="F258" s="342">
        <v>61</v>
      </c>
      <c r="G258" s="342">
        <v>173</v>
      </c>
      <c r="H258" s="342">
        <f>SUM(I258:J258)</f>
        <v>10</v>
      </c>
      <c r="I258" s="342">
        <v>4</v>
      </c>
      <c r="J258" s="342">
        <v>6</v>
      </c>
      <c r="K258" s="342">
        <f>SUM(L258:M258)</f>
        <v>66</v>
      </c>
      <c r="L258" s="342">
        <v>14</v>
      </c>
      <c r="M258" s="342">
        <v>52</v>
      </c>
      <c r="N258" s="203" t="s">
        <v>145</v>
      </c>
      <c r="O258" s="306" t="s">
        <v>403</v>
      </c>
    </row>
    <row r="259" spans="2:15" ht="18.75" customHeight="1" thickBot="1" x14ac:dyDescent="0.25">
      <c r="B259" s="342">
        <f t="shared" ref="B259:M259" si="87">SUM(B257:B258)</f>
        <v>854</v>
      </c>
      <c r="C259" s="342">
        <f t="shared" si="87"/>
        <v>362</v>
      </c>
      <c r="D259" s="342">
        <f t="shared" si="87"/>
        <v>492</v>
      </c>
      <c r="E259" s="342">
        <f t="shared" si="87"/>
        <v>484</v>
      </c>
      <c r="F259" s="342">
        <f t="shared" si="87"/>
        <v>207</v>
      </c>
      <c r="G259" s="342">
        <f t="shared" si="87"/>
        <v>277</v>
      </c>
      <c r="H259" s="342">
        <f t="shared" si="87"/>
        <v>82</v>
      </c>
      <c r="I259" s="342">
        <f t="shared" si="87"/>
        <v>57</v>
      </c>
      <c r="J259" s="342">
        <f t="shared" si="87"/>
        <v>25</v>
      </c>
      <c r="K259" s="342">
        <f t="shared" si="87"/>
        <v>288</v>
      </c>
      <c r="L259" s="342">
        <f t="shared" si="87"/>
        <v>98</v>
      </c>
      <c r="M259" s="342">
        <f t="shared" si="87"/>
        <v>190</v>
      </c>
      <c r="N259" s="203" t="s">
        <v>12</v>
      </c>
      <c r="O259" s="307"/>
    </row>
    <row r="260" spans="2:15" ht="18.75" customHeight="1" thickBot="1" x14ac:dyDescent="0.25">
      <c r="B260" s="342">
        <f>SUM(C260:D260)</f>
        <v>477</v>
      </c>
      <c r="C260" s="342">
        <f t="shared" si="86"/>
        <v>174</v>
      </c>
      <c r="D260" s="342">
        <f t="shared" si="86"/>
        <v>303</v>
      </c>
      <c r="E260" s="342">
        <f>SUM(F260:G260)</f>
        <v>230</v>
      </c>
      <c r="F260" s="342">
        <v>92</v>
      </c>
      <c r="G260" s="342">
        <v>138</v>
      </c>
      <c r="H260" s="342">
        <f>SUM(I260:J260)</f>
        <v>12</v>
      </c>
      <c r="I260" s="342">
        <v>8</v>
      </c>
      <c r="J260" s="342">
        <v>4</v>
      </c>
      <c r="K260" s="342">
        <f>SUM(L260:M260)</f>
        <v>235</v>
      </c>
      <c r="L260" s="342">
        <v>74</v>
      </c>
      <c r="M260" s="342">
        <v>161</v>
      </c>
      <c r="N260" s="203" t="s">
        <v>146</v>
      </c>
      <c r="O260" s="306"/>
    </row>
    <row r="261" spans="2:15" ht="18.75" customHeight="1" thickBot="1" x14ac:dyDescent="0.25">
      <c r="B261" s="342">
        <f>SUM(C261:D261)</f>
        <v>59</v>
      </c>
      <c r="C261" s="342">
        <f t="shared" si="86"/>
        <v>25</v>
      </c>
      <c r="D261" s="342">
        <f t="shared" si="86"/>
        <v>34</v>
      </c>
      <c r="E261" s="342">
        <f>SUM(F261:G261)</f>
        <v>0</v>
      </c>
      <c r="F261" s="342">
        <v>0</v>
      </c>
      <c r="G261" s="342">
        <v>0</v>
      </c>
      <c r="H261" s="342">
        <f>SUM(I261:J261)</f>
        <v>3</v>
      </c>
      <c r="I261" s="342">
        <v>2</v>
      </c>
      <c r="J261" s="342">
        <v>1</v>
      </c>
      <c r="K261" s="342">
        <f>SUM(L261:M261)</f>
        <v>56</v>
      </c>
      <c r="L261" s="342">
        <v>23</v>
      </c>
      <c r="M261" s="342">
        <v>33</v>
      </c>
      <c r="N261" s="203" t="s">
        <v>145</v>
      </c>
      <c r="O261" s="306" t="s">
        <v>344</v>
      </c>
    </row>
    <row r="262" spans="2:15" ht="18.75" customHeight="1" thickBot="1" x14ac:dyDescent="0.25">
      <c r="B262" s="342">
        <f t="shared" ref="B262:M262" si="88">SUM(B260:B261)</f>
        <v>536</v>
      </c>
      <c r="C262" s="342">
        <f t="shared" si="88"/>
        <v>199</v>
      </c>
      <c r="D262" s="342">
        <f t="shared" si="88"/>
        <v>337</v>
      </c>
      <c r="E262" s="342">
        <f t="shared" si="88"/>
        <v>230</v>
      </c>
      <c r="F262" s="342">
        <f t="shared" si="88"/>
        <v>92</v>
      </c>
      <c r="G262" s="342">
        <f t="shared" si="88"/>
        <v>138</v>
      </c>
      <c r="H262" s="342">
        <f t="shared" si="88"/>
        <v>15</v>
      </c>
      <c r="I262" s="342">
        <f t="shared" si="88"/>
        <v>10</v>
      </c>
      <c r="J262" s="342">
        <f t="shared" si="88"/>
        <v>5</v>
      </c>
      <c r="K262" s="342">
        <f t="shared" si="88"/>
        <v>291</v>
      </c>
      <c r="L262" s="342">
        <f t="shared" si="88"/>
        <v>97</v>
      </c>
      <c r="M262" s="342">
        <f t="shared" si="88"/>
        <v>194</v>
      </c>
      <c r="N262" s="203" t="s">
        <v>12</v>
      </c>
      <c r="O262" s="307"/>
    </row>
    <row r="263" spans="2:15" ht="18.75" customHeight="1" thickBot="1" x14ac:dyDescent="0.25">
      <c r="B263" s="342">
        <f>SUM(C263:D263)</f>
        <v>164</v>
      </c>
      <c r="C263" s="342">
        <f t="shared" si="86"/>
        <v>80</v>
      </c>
      <c r="D263" s="342">
        <f t="shared" si="86"/>
        <v>84</v>
      </c>
      <c r="E263" s="342">
        <f>SUM(F263:G263)</f>
        <v>121</v>
      </c>
      <c r="F263" s="342">
        <v>62</v>
      </c>
      <c r="G263" s="342">
        <v>59</v>
      </c>
      <c r="H263" s="342">
        <f>SUM(I263:J263)</f>
        <v>3</v>
      </c>
      <c r="I263" s="342">
        <v>3</v>
      </c>
      <c r="J263" s="342">
        <v>0</v>
      </c>
      <c r="K263" s="342">
        <f>SUM(L263:M263)</f>
        <v>40</v>
      </c>
      <c r="L263" s="342">
        <v>15</v>
      </c>
      <c r="M263" s="342">
        <v>25</v>
      </c>
      <c r="N263" s="203" t="s">
        <v>146</v>
      </c>
      <c r="O263" s="306"/>
    </row>
    <row r="264" spans="2:15" ht="18.75" customHeight="1" thickBot="1" x14ac:dyDescent="0.25">
      <c r="B264" s="342">
        <f>SUM(C264:D264)</f>
        <v>55</v>
      </c>
      <c r="C264" s="342">
        <f t="shared" si="86"/>
        <v>7</v>
      </c>
      <c r="D264" s="342">
        <f t="shared" si="86"/>
        <v>48</v>
      </c>
      <c r="E264" s="342">
        <f>SUM(F264:G264)</f>
        <v>0</v>
      </c>
      <c r="F264" s="342">
        <v>0</v>
      </c>
      <c r="G264" s="342">
        <v>0</v>
      </c>
      <c r="H264" s="342">
        <f>SUM(I264:J264)</f>
        <v>1</v>
      </c>
      <c r="I264" s="342">
        <v>1</v>
      </c>
      <c r="J264" s="342">
        <v>0</v>
      </c>
      <c r="K264" s="342">
        <f>SUM(L264:M264)</f>
        <v>54</v>
      </c>
      <c r="L264" s="342">
        <v>6</v>
      </c>
      <c r="M264" s="342">
        <v>48</v>
      </c>
      <c r="N264" s="203" t="s">
        <v>145</v>
      </c>
      <c r="O264" s="306" t="s">
        <v>255</v>
      </c>
    </row>
    <row r="265" spans="2:15" ht="18.75" customHeight="1" thickBot="1" x14ac:dyDescent="0.25">
      <c r="B265" s="342">
        <f t="shared" ref="B265:M265" si="89">SUM(B263:B264)</f>
        <v>219</v>
      </c>
      <c r="C265" s="342">
        <f t="shared" si="89"/>
        <v>87</v>
      </c>
      <c r="D265" s="342">
        <f t="shared" si="89"/>
        <v>132</v>
      </c>
      <c r="E265" s="342">
        <f t="shared" si="89"/>
        <v>121</v>
      </c>
      <c r="F265" s="342">
        <f t="shared" si="89"/>
        <v>62</v>
      </c>
      <c r="G265" s="342">
        <f t="shared" si="89"/>
        <v>59</v>
      </c>
      <c r="H265" s="342">
        <f t="shared" si="89"/>
        <v>4</v>
      </c>
      <c r="I265" s="342">
        <f t="shared" si="89"/>
        <v>4</v>
      </c>
      <c r="J265" s="342">
        <f t="shared" si="89"/>
        <v>0</v>
      </c>
      <c r="K265" s="342">
        <f t="shared" si="89"/>
        <v>94</v>
      </c>
      <c r="L265" s="342">
        <f t="shared" si="89"/>
        <v>21</v>
      </c>
      <c r="M265" s="342">
        <f t="shared" si="89"/>
        <v>73</v>
      </c>
      <c r="N265" s="203" t="s">
        <v>12</v>
      </c>
      <c r="O265" s="307"/>
    </row>
    <row r="266" spans="2:15" ht="18.75" customHeight="1" thickBot="1" x14ac:dyDescent="0.25">
      <c r="B266" s="342">
        <f>SUM(C266:D266)</f>
        <v>623</v>
      </c>
      <c r="C266" s="342">
        <f t="shared" si="86"/>
        <v>386</v>
      </c>
      <c r="D266" s="342">
        <f t="shared" si="86"/>
        <v>237</v>
      </c>
      <c r="E266" s="342">
        <f>SUM(F266:G266)</f>
        <v>319</v>
      </c>
      <c r="F266" s="342">
        <v>245</v>
      </c>
      <c r="G266" s="342">
        <v>74</v>
      </c>
      <c r="H266" s="342">
        <f>SUM(I266:J266)</f>
        <v>77</v>
      </c>
      <c r="I266" s="342">
        <v>59</v>
      </c>
      <c r="J266" s="342">
        <v>18</v>
      </c>
      <c r="K266" s="342">
        <f>SUM(L266:M266)</f>
        <v>227</v>
      </c>
      <c r="L266" s="342">
        <v>82</v>
      </c>
      <c r="M266" s="342">
        <v>145</v>
      </c>
      <c r="N266" s="203" t="s">
        <v>146</v>
      </c>
      <c r="O266" s="306"/>
    </row>
    <row r="267" spans="2:15" ht="18.75" customHeight="1" thickBot="1" x14ac:dyDescent="0.25">
      <c r="B267" s="342">
        <f>SUM(C267:D267)</f>
        <v>119</v>
      </c>
      <c r="C267" s="342">
        <f t="shared" si="86"/>
        <v>32</v>
      </c>
      <c r="D267" s="342">
        <f t="shared" si="86"/>
        <v>87</v>
      </c>
      <c r="E267" s="342">
        <f>SUM(F267:G267)</f>
        <v>0</v>
      </c>
      <c r="F267" s="342">
        <v>0</v>
      </c>
      <c r="G267" s="342">
        <v>0</v>
      </c>
      <c r="H267" s="342">
        <f>SUM(I267:J267)</f>
        <v>8</v>
      </c>
      <c r="I267" s="342">
        <v>4</v>
      </c>
      <c r="J267" s="342">
        <v>4</v>
      </c>
      <c r="K267" s="342">
        <f>SUM(L267:M267)</f>
        <v>111</v>
      </c>
      <c r="L267" s="342">
        <v>28</v>
      </c>
      <c r="M267" s="342">
        <v>83</v>
      </c>
      <c r="N267" s="203" t="s">
        <v>145</v>
      </c>
      <c r="O267" s="306" t="s">
        <v>367</v>
      </c>
    </row>
    <row r="268" spans="2:15" ht="18.75" customHeight="1" thickBot="1" x14ac:dyDescent="0.25">
      <c r="B268" s="342">
        <f t="shared" ref="B268:M268" si="90">SUM(B266:B267)</f>
        <v>742</v>
      </c>
      <c r="C268" s="342">
        <f t="shared" si="90"/>
        <v>418</v>
      </c>
      <c r="D268" s="342">
        <f t="shared" si="90"/>
        <v>324</v>
      </c>
      <c r="E268" s="342">
        <f t="shared" si="90"/>
        <v>319</v>
      </c>
      <c r="F268" s="342">
        <f t="shared" si="90"/>
        <v>245</v>
      </c>
      <c r="G268" s="342">
        <f t="shared" si="90"/>
        <v>74</v>
      </c>
      <c r="H268" s="342">
        <f t="shared" si="90"/>
        <v>85</v>
      </c>
      <c r="I268" s="342">
        <f t="shared" si="90"/>
        <v>63</v>
      </c>
      <c r="J268" s="342">
        <f t="shared" si="90"/>
        <v>22</v>
      </c>
      <c r="K268" s="342">
        <f t="shared" si="90"/>
        <v>338</v>
      </c>
      <c r="L268" s="342">
        <f t="shared" si="90"/>
        <v>110</v>
      </c>
      <c r="M268" s="342">
        <f t="shared" si="90"/>
        <v>228</v>
      </c>
      <c r="N268" s="203" t="s">
        <v>12</v>
      </c>
      <c r="O268" s="307"/>
    </row>
    <row r="269" spans="2:15" ht="18.75" customHeight="1" thickBot="1" x14ac:dyDescent="0.25">
      <c r="B269" s="342">
        <f>SUM(C269:D269)</f>
        <v>195</v>
      </c>
      <c r="C269" s="342">
        <f t="shared" si="86"/>
        <v>0</v>
      </c>
      <c r="D269" s="342">
        <f t="shared" si="86"/>
        <v>195</v>
      </c>
      <c r="E269" s="342">
        <f>SUM(F269:G269)</f>
        <v>61</v>
      </c>
      <c r="F269" s="342">
        <v>0</v>
      </c>
      <c r="G269" s="342">
        <v>61</v>
      </c>
      <c r="H269" s="342">
        <f>SUM(I269:J269)</f>
        <v>8</v>
      </c>
      <c r="I269" s="342">
        <v>0</v>
      </c>
      <c r="J269" s="342">
        <v>8</v>
      </c>
      <c r="K269" s="342">
        <f>SUM(L269:M269)</f>
        <v>126</v>
      </c>
      <c r="L269" s="342">
        <v>0</v>
      </c>
      <c r="M269" s="342">
        <v>126</v>
      </c>
      <c r="N269" s="203" t="s">
        <v>146</v>
      </c>
      <c r="O269" s="306"/>
    </row>
    <row r="270" spans="2:15" ht="18.75" customHeight="1" thickBot="1" x14ac:dyDescent="0.25">
      <c r="B270" s="342">
        <f>SUM(C270:D270)</f>
        <v>126</v>
      </c>
      <c r="C270" s="342">
        <f t="shared" si="86"/>
        <v>0</v>
      </c>
      <c r="D270" s="342">
        <f t="shared" si="86"/>
        <v>126</v>
      </c>
      <c r="E270" s="342">
        <f>SUM(F270:G270)</f>
        <v>0</v>
      </c>
      <c r="F270" s="342">
        <v>0</v>
      </c>
      <c r="G270" s="342">
        <v>0</v>
      </c>
      <c r="H270" s="342">
        <f>SUM(I270:J270)</f>
        <v>28</v>
      </c>
      <c r="I270" s="342">
        <v>0</v>
      </c>
      <c r="J270" s="342">
        <v>28</v>
      </c>
      <c r="K270" s="342">
        <f>SUM(L270:M270)</f>
        <v>98</v>
      </c>
      <c r="L270" s="342">
        <v>0</v>
      </c>
      <c r="M270" s="342">
        <v>98</v>
      </c>
      <c r="N270" s="203" t="s">
        <v>145</v>
      </c>
      <c r="O270" s="306" t="s">
        <v>454</v>
      </c>
    </row>
    <row r="271" spans="2:15" ht="18.75" customHeight="1" thickBot="1" x14ac:dyDescent="0.25">
      <c r="B271" s="342">
        <f t="shared" ref="B271:M271" si="91">SUM(B269:B270)</f>
        <v>321</v>
      </c>
      <c r="C271" s="342">
        <f t="shared" si="91"/>
        <v>0</v>
      </c>
      <c r="D271" s="342">
        <f t="shared" si="91"/>
        <v>321</v>
      </c>
      <c r="E271" s="342">
        <f t="shared" si="91"/>
        <v>61</v>
      </c>
      <c r="F271" s="342">
        <f t="shared" si="91"/>
        <v>0</v>
      </c>
      <c r="G271" s="342">
        <f t="shared" si="91"/>
        <v>61</v>
      </c>
      <c r="H271" s="342">
        <f t="shared" si="91"/>
        <v>36</v>
      </c>
      <c r="I271" s="342">
        <f t="shared" si="91"/>
        <v>0</v>
      </c>
      <c r="J271" s="342">
        <f t="shared" si="91"/>
        <v>36</v>
      </c>
      <c r="K271" s="342">
        <f t="shared" si="91"/>
        <v>224</v>
      </c>
      <c r="L271" s="342">
        <f t="shared" si="91"/>
        <v>0</v>
      </c>
      <c r="M271" s="342">
        <f t="shared" si="91"/>
        <v>224</v>
      </c>
      <c r="N271" s="203" t="s">
        <v>12</v>
      </c>
      <c r="O271" s="307"/>
    </row>
    <row r="272" spans="2:15" ht="18.75" customHeight="1" thickBot="1" x14ac:dyDescent="0.25">
      <c r="B272" s="342">
        <f>SUM(C272:D272)</f>
        <v>314</v>
      </c>
      <c r="C272" s="342">
        <f t="shared" si="86"/>
        <v>137</v>
      </c>
      <c r="D272" s="342">
        <f t="shared" si="86"/>
        <v>177</v>
      </c>
      <c r="E272" s="342">
        <f>SUM(F272:G272)</f>
        <v>103</v>
      </c>
      <c r="F272" s="342">
        <v>52</v>
      </c>
      <c r="G272" s="342">
        <v>51</v>
      </c>
      <c r="H272" s="342">
        <f>SUM(I272:J272)</f>
        <v>75</v>
      </c>
      <c r="I272" s="342">
        <v>54</v>
      </c>
      <c r="J272" s="342">
        <v>21</v>
      </c>
      <c r="K272" s="342">
        <f>SUM(L272:M272)</f>
        <v>136</v>
      </c>
      <c r="L272" s="342">
        <v>31</v>
      </c>
      <c r="M272" s="342">
        <v>105</v>
      </c>
      <c r="N272" s="203" t="s">
        <v>146</v>
      </c>
      <c r="O272" s="306"/>
    </row>
    <row r="273" spans="2:15" ht="18.75" customHeight="1" thickBot="1" x14ac:dyDescent="0.25">
      <c r="B273" s="342">
        <f>SUM(C273:D273)</f>
        <v>68</v>
      </c>
      <c r="C273" s="342">
        <f t="shared" si="86"/>
        <v>33</v>
      </c>
      <c r="D273" s="342">
        <f t="shared" si="86"/>
        <v>35</v>
      </c>
      <c r="E273" s="342">
        <f>SUM(F273:G273)</f>
        <v>0</v>
      </c>
      <c r="F273" s="342">
        <v>0</v>
      </c>
      <c r="G273" s="342">
        <v>0</v>
      </c>
      <c r="H273" s="342">
        <f>SUM(I273:J273)</f>
        <v>0</v>
      </c>
      <c r="I273" s="342">
        <v>0</v>
      </c>
      <c r="J273" s="342">
        <v>0</v>
      </c>
      <c r="K273" s="342">
        <f>SUM(L273:M273)</f>
        <v>68</v>
      </c>
      <c r="L273" s="342">
        <v>33</v>
      </c>
      <c r="M273" s="342">
        <v>35</v>
      </c>
      <c r="N273" s="203" t="s">
        <v>145</v>
      </c>
      <c r="O273" s="306" t="s">
        <v>402</v>
      </c>
    </row>
    <row r="274" spans="2:15" ht="18.75" customHeight="1" thickBot="1" x14ac:dyDescent="0.25">
      <c r="B274" s="342">
        <f t="shared" ref="B274:M274" si="92">SUM(B272:B273)</f>
        <v>382</v>
      </c>
      <c r="C274" s="342">
        <f t="shared" si="92"/>
        <v>170</v>
      </c>
      <c r="D274" s="342">
        <f t="shared" si="92"/>
        <v>212</v>
      </c>
      <c r="E274" s="342">
        <f t="shared" si="92"/>
        <v>103</v>
      </c>
      <c r="F274" s="342">
        <f t="shared" si="92"/>
        <v>52</v>
      </c>
      <c r="G274" s="342">
        <f t="shared" si="92"/>
        <v>51</v>
      </c>
      <c r="H274" s="342">
        <f t="shared" si="92"/>
        <v>75</v>
      </c>
      <c r="I274" s="342">
        <f t="shared" si="92"/>
        <v>54</v>
      </c>
      <c r="J274" s="342">
        <f t="shared" si="92"/>
        <v>21</v>
      </c>
      <c r="K274" s="342">
        <f t="shared" si="92"/>
        <v>204</v>
      </c>
      <c r="L274" s="342">
        <f t="shared" si="92"/>
        <v>64</v>
      </c>
      <c r="M274" s="342">
        <f t="shared" si="92"/>
        <v>140</v>
      </c>
      <c r="N274" s="203" t="s">
        <v>12</v>
      </c>
      <c r="O274" s="307"/>
    </row>
    <row r="275" spans="2:15" ht="18.75" customHeight="1" thickBot="1" x14ac:dyDescent="0.25">
      <c r="B275" s="342">
        <f>SUM(C275:D275)</f>
        <v>79</v>
      </c>
      <c r="C275" s="342">
        <f t="shared" si="86"/>
        <v>0</v>
      </c>
      <c r="D275" s="342">
        <f t="shared" si="86"/>
        <v>79</v>
      </c>
      <c r="E275" s="342">
        <f>SUM(F275:G275)</f>
        <v>43</v>
      </c>
      <c r="F275" s="342">
        <v>0</v>
      </c>
      <c r="G275" s="342">
        <v>43</v>
      </c>
      <c r="H275" s="342">
        <f>SUM(I275:J275)</f>
        <v>5</v>
      </c>
      <c r="I275" s="342">
        <v>0</v>
      </c>
      <c r="J275" s="342">
        <v>5</v>
      </c>
      <c r="K275" s="342">
        <f>SUM(L275:M275)</f>
        <v>31</v>
      </c>
      <c r="L275" s="342">
        <v>0</v>
      </c>
      <c r="M275" s="342">
        <v>31</v>
      </c>
      <c r="N275" s="203" t="s">
        <v>146</v>
      </c>
      <c r="O275" s="306"/>
    </row>
    <row r="276" spans="2:15" ht="18.75" customHeight="1" thickBot="1" x14ac:dyDescent="0.25">
      <c r="B276" s="342">
        <f>SUM(C276:D276)</f>
        <v>45</v>
      </c>
      <c r="C276" s="342">
        <f t="shared" si="86"/>
        <v>0</v>
      </c>
      <c r="D276" s="342">
        <f t="shared" si="86"/>
        <v>45</v>
      </c>
      <c r="E276" s="342">
        <f>SUM(F276:G276)</f>
        <v>0</v>
      </c>
      <c r="F276" s="342">
        <v>0</v>
      </c>
      <c r="G276" s="342">
        <v>0</v>
      </c>
      <c r="H276" s="342">
        <f>SUM(I276:J276)</f>
        <v>4</v>
      </c>
      <c r="I276" s="342">
        <v>0</v>
      </c>
      <c r="J276" s="342">
        <v>4</v>
      </c>
      <c r="K276" s="342">
        <f>SUM(L276:M276)</f>
        <v>41</v>
      </c>
      <c r="L276" s="342">
        <v>0</v>
      </c>
      <c r="M276" s="342">
        <v>41</v>
      </c>
      <c r="N276" s="203" t="s">
        <v>145</v>
      </c>
      <c r="O276" s="306" t="s">
        <v>405</v>
      </c>
    </row>
    <row r="277" spans="2:15" ht="18.75" customHeight="1" thickBot="1" x14ac:dyDescent="0.25">
      <c r="B277" s="342">
        <f t="shared" ref="B277:M277" si="93">SUM(B275:B276)</f>
        <v>124</v>
      </c>
      <c r="C277" s="342">
        <f t="shared" si="93"/>
        <v>0</v>
      </c>
      <c r="D277" s="342">
        <f t="shared" si="93"/>
        <v>124</v>
      </c>
      <c r="E277" s="342">
        <f t="shared" si="93"/>
        <v>43</v>
      </c>
      <c r="F277" s="342">
        <f t="shared" si="93"/>
        <v>0</v>
      </c>
      <c r="G277" s="342">
        <f t="shared" si="93"/>
        <v>43</v>
      </c>
      <c r="H277" s="342">
        <f t="shared" si="93"/>
        <v>9</v>
      </c>
      <c r="I277" s="342">
        <f t="shared" si="93"/>
        <v>0</v>
      </c>
      <c r="J277" s="342">
        <f t="shared" si="93"/>
        <v>9</v>
      </c>
      <c r="K277" s="342">
        <f t="shared" si="93"/>
        <v>72</v>
      </c>
      <c r="L277" s="342">
        <f t="shared" si="93"/>
        <v>0</v>
      </c>
      <c r="M277" s="342">
        <f t="shared" si="93"/>
        <v>72</v>
      </c>
      <c r="N277" s="203" t="s">
        <v>12</v>
      </c>
      <c r="O277" s="307"/>
    </row>
    <row r="278" spans="2:15" ht="18.75" customHeight="1" thickBot="1" x14ac:dyDescent="0.25">
      <c r="B278" s="342">
        <f>SUM(C278:D278)</f>
        <v>68</v>
      </c>
      <c r="C278" s="342">
        <f t="shared" si="86"/>
        <v>0</v>
      </c>
      <c r="D278" s="342">
        <f t="shared" si="86"/>
        <v>68</v>
      </c>
      <c r="E278" s="342">
        <f>SUM(F278:G278)</f>
        <v>21</v>
      </c>
      <c r="F278" s="342">
        <v>0</v>
      </c>
      <c r="G278" s="342">
        <v>21</v>
      </c>
      <c r="H278" s="342">
        <f>SUM(I278:J278)</f>
        <v>9</v>
      </c>
      <c r="I278" s="342">
        <v>0</v>
      </c>
      <c r="J278" s="342">
        <v>9</v>
      </c>
      <c r="K278" s="342">
        <f>SUM(L278:M278)</f>
        <v>38</v>
      </c>
      <c r="L278" s="342">
        <v>0</v>
      </c>
      <c r="M278" s="342">
        <v>38</v>
      </c>
      <c r="N278" s="203" t="s">
        <v>146</v>
      </c>
      <c r="O278" s="306"/>
    </row>
    <row r="279" spans="2:15" ht="18.75" customHeight="1" thickBot="1" x14ac:dyDescent="0.25">
      <c r="B279" s="342">
        <f>SUM(C279:D279)</f>
        <v>35</v>
      </c>
      <c r="C279" s="342">
        <f t="shared" si="86"/>
        <v>0</v>
      </c>
      <c r="D279" s="342">
        <f t="shared" si="86"/>
        <v>35</v>
      </c>
      <c r="E279" s="342">
        <f>SUM(F279:G279)</f>
        <v>0</v>
      </c>
      <c r="F279" s="342">
        <v>0</v>
      </c>
      <c r="G279" s="342">
        <v>0</v>
      </c>
      <c r="H279" s="342">
        <f>SUM(I279:J279)</f>
        <v>3</v>
      </c>
      <c r="I279" s="342">
        <v>0</v>
      </c>
      <c r="J279" s="342">
        <v>3</v>
      </c>
      <c r="K279" s="342">
        <f>SUM(L279:M279)</f>
        <v>32</v>
      </c>
      <c r="L279" s="342">
        <v>0</v>
      </c>
      <c r="M279" s="342">
        <v>32</v>
      </c>
      <c r="N279" s="203" t="s">
        <v>145</v>
      </c>
      <c r="O279" s="306" t="s">
        <v>407</v>
      </c>
    </row>
    <row r="280" spans="2:15" ht="18.75" customHeight="1" thickBot="1" x14ac:dyDescent="0.25">
      <c r="B280" s="342">
        <f t="shared" ref="B280:M280" si="94">SUM(B278:B279)</f>
        <v>103</v>
      </c>
      <c r="C280" s="342">
        <f t="shared" si="94"/>
        <v>0</v>
      </c>
      <c r="D280" s="342">
        <f t="shared" si="94"/>
        <v>103</v>
      </c>
      <c r="E280" s="342">
        <f t="shared" si="94"/>
        <v>21</v>
      </c>
      <c r="F280" s="342">
        <f t="shared" si="94"/>
        <v>0</v>
      </c>
      <c r="G280" s="342">
        <f t="shared" si="94"/>
        <v>21</v>
      </c>
      <c r="H280" s="342">
        <f t="shared" si="94"/>
        <v>12</v>
      </c>
      <c r="I280" s="342">
        <f t="shared" si="94"/>
        <v>0</v>
      </c>
      <c r="J280" s="342">
        <f t="shared" si="94"/>
        <v>12</v>
      </c>
      <c r="K280" s="342">
        <f t="shared" si="94"/>
        <v>70</v>
      </c>
      <c r="L280" s="342">
        <f t="shared" si="94"/>
        <v>0</v>
      </c>
      <c r="M280" s="342">
        <f t="shared" si="94"/>
        <v>70</v>
      </c>
      <c r="N280" s="203" t="s">
        <v>12</v>
      </c>
      <c r="O280" s="307"/>
    </row>
    <row r="281" spans="2:15" ht="18.75" customHeight="1" thickBot="1" x14ac:dyDescent="0.25">
      <c r="B281" s="342">
        <f>SUM(C281:D281)</f>
        <v>54</v>
      </c>
      <c r="C281" s="342">
        <f t="shared" si="86"/>
        <v>0</v>
      </c>
      <c r="D281" s="342">
        <f t="shared" si="86"/>
        <v>54</v>
      </c>
      <c r="E281" s="342">
        <f>SUM(F281:G281)</f>
        <v>16</v>
      </c>
      <c r="F281" s="342">
        <v>0</v>
      </c>
      <c r="G281" s="342">
        <v>16</v>
      </c>
      <c r="H281" s="342">
        <f>SUM(I281:J281)</f>
        <v>7</v>
      </c>
      <c r="I281" s="342">
        <v>0</v>
      </c>
      <c r="J281" s="342">
        <v>7</v>
      </c>
      <c r="K281" s="342">
        <f>SUM(L281:M281)</f>
        <v>31</v>
      </c>
      <c r="L281" s="342">
        <v>0</v>
      </c>
      <c r="M281" s="342">
        <v>31</v>
      </c>
      <c r="N281" s="203" t="s">
        <v>146</v>
      </c>
      <c r="O281" s="306"/>
    </row>
    <row r="282" spans="2:15" ht="18.75" customHeight="1" thickBot="1" x14ac:dyDescent="0.25">
      <c r="B282" s="342">
        <f>SUM(C282:D282)</f>
        <v>31</v>
      </c>
      <c r="C282" s="342">
        <f t="shared" si="86"/>
        <v>0</v>
      </c>
      <c r="D282" s="342">
        <f t="shared" si="86"/>
        <v>31</v>
      </c>
      <c r="E282" s="342">
        <f>SUM(F282:G282)</f>
        <v>0</v>
      </c>
      <c r="F282" s="342">
        <v>0</v>
      </c>
      <c r="G282" s="342">
        <v>0</v>
      </c>
      <c r="H282" s="342">
        <f>SUM(I282:J282)</f>
        <v>0</v>
      </c>
      <c r="I282" s="342">
        <v>0</v>
      </c>
      <c r="J282" s="342">
        <v>0</v>
      </c>
      <c r="K282" s="342">
        <f>SUM(L282:M282)</f>
        <v>31</v>
      </c>
      <c r="L282" s="342">
        <v>0</v>
      </c>
      <c r="M282" s="342">
        <v>31</v>
      </c>
      <c r="N282" s="203" t="s">
        <v>145</v>
      </c>
      <c r="O282" s="306" t="s">
        <v>589</v>
      </c>
    </row>
    <row r="283" spans="2:15" ht="18.75" customHeight="1" thickBot="1" x14ac:dyDescent="0.25">
      <c r="B283" s="342">
        <f t="shared" ref="B283:M283" si="95">SUM(B281:B282)</f>
        <v>85</v>
      </c>
      <c r="C283" s="342">
        <f t="shared" si="95"/>
        <v>0</v>
      </c>
      <c r="D283" s="342">
        <f t="shared" si="95"/>
        <v>85</v>
      </c>
      <c r="E283" s="342">
        <f t="shared" si="95"/>
        <v>16</v>
      </c>
      <c r="F283" s="342">
        <f t="shared" si="95"/>
        <v>0</v>
      </c>
      <c r="G283" s="342">
        <f t="shared" si="95"/>
        <v>16</v>
      </c>
      <c r="H283" s="342">
        <f t="shared" si="95"/>
        <v>7</v>
      </c>
      <c r="I283" s="342">
        <f t="shared" si="95"/>
        <v>0</v>
      </c>
      <c r="J283" s="342">
        <f t="shared" si="95"/>
        <v>7</v>
      </c>
      <c r="K283" s="342">
        <f t="shared" si="95"/>
        <v>62</v>
      </c>
      <c r="L283" s="342">
        <f t="shared" si="95"/>
        <v>0</v>
      </c>
      <c r="M283" s="342">
        <f t="shared" si="95"/>
        <v>62</v>
      </c>
      <c r="N283" s="203" t="s">
        <v>12</v>
      </c>
      <c r="O283" s="307"/>
    </row>
    <row r="284" spans="2:15" ht="18.75" customHeight="1" thickBot="1" x14ac:dyDescent="0.25">
      <c r="B284" s="342">
        <f>SUM(C284:D284)</f>
        <v>54</v>
      </c>
      <c r="C284" s="342">
        <f t="shared" si="86"/>
        <v>0</v>
      </c>
      <c r="D284" s="342">
        <f t="shared" si="86"/>
        <v>54</v>
      </c>
      <c r="E284" s="342">
        <f>SUM(F284:G284)</f>
        <v>21</v>
      </c>
      <c r="F284" s="342">
        <v>0</v>
      </c>
      <c r="G284" s="342">
        <v>21</v>
      </c>
      <c r="H284" s="342">
        <f>SUM(I284:J284)</f>
        <v>2</v>
      </c>
      <c r="I284" s="342">
        <v>0</v>
      </c>
      <c r="J284" s="342">
        <v>2</v>
      </c>
      <c r="K284" s="342">
        <f>SUM(L284:M284)</f>
        <v>31</v>
      </c>
      <c r="L284" s="342">
        <v>0</v>
      </c>
      <c r="M284" s="342">
        <v>31</v>
      </c>
      <c r="N284" s="203" t="s">
        <v>146</v>
      </c>
      <c r="O284" s="306"/>
    </row>
    <row r="285" spans="2:15" ht="18.75" customHeight="1" thickBot="1" x14ac:dyDescent="0.25">
      <c r="B285" s="342">
        <f>SUM(C285:D285)</f>
        <v>25</v>
      </c>
      <c r="C285" s="342">
        <f t="shared" si="86"/>
        <v>0</v>
      </c>
      <c r="D285" s="342">
        <f t="shared" si="86"/>
        <v>25</v>
      </c>
      <c r="E285" s="342">
        <f>SUM(F285:G285)</f>
        <v>0</v>
      </c>
      <c r="F285" s="342">
        <v>0</v>
      </c>
      <c r="G285" s="342">
        <v>0</v>
      </c>
      <c r="H285" s="342">
        <f>SUM(I285:J285)</f>
        <v>9</v>
      </c>
      <c r="I285" s="342">
        <v>0</v>
      </c>
      <c r="J285" s="342">
        <v>9</v>
      </c>
      <c r="K285" s="342">
        <f>SUM(L285:M285)</f>
        <v>16</v>
      </c>
      <c r="L285" s="342">
        <v>0</v>
      </c>
      <c r="M285" s="342">
        <v>16</v>
      </c>
      <c r="N285" s="203" t="s">
        <v>145</v>
      </c>
      <c r="O285" s="306" t="s">
        <v>590</v>
      </c>
    </row>
    <row r="286" spans="2:15" ht="18.75" customHeight="1" thickBot="1" x14ac:dyDescent="0.25">
      <c r="B286" s="342">
        <f t="shared" ref="B286:M286" si="96">SUM(B284:B285)</f>
        <v>79</v>
      </c>
      <c r="C286" s="342">
        <f t="shared" si="96"/>
        <v>0</v>
      </c>
      <c r="D286" s="342">
        <f t="shared" si="96"/>
        <v>79</v>
      </c>
      <c r="E286" s="342">
        <f t="shared" si="96"/>
        <v>21</v>
      </c>
      <c r="F286" s="342">
        <f t="shared" si="96"/>
        <v>0</v>
      </c>
      <c r="G286" s="342">
        <f t="shared" si="96"/>
        <v>21</v>
      </c>
      <c r="H286" s="342">
        <f t="shared" si="96"/>
        <v>11</v>
      </c>
      <c r="I286" s="342">
        <f t="shared" si="96"/>
        <v>0</v>
      </c>
      <c r="J286" s="342">
        <f t="shared" si="96"/>
        <v>11</v>
      </c>
      <c r="K286" s="342">
        <f t="shared" si="96"/>
        <v>47</v>
      </c>
      <c r="L286" s="342">
        <f t="shared" si="96"/>
        <v>0</v>
      </c>
      <c r="M286" s="342">
        <f t="shared" si="96"/>
        <v>47</v>
      </c>
      <c r="N286" s="203" t="s">
        <v>12</v>
      </c>
      <c r="O286" s="307"/>
    </row>
    <row r="287" spans="2:15" ht="18.75" customHeight="1" thickBot="1" x14ac:dyDescent="0.25">
      <c r="B287" s="342">
        <f>SUM(C287:D287)</f>
        <v>125</v>
      </c>
      <c r="C287" s="342">
        <f t="shared" si="86"/>
        <v>125</v>
      </c>
      <c r="D287" s="342">
        <f t="shared" si="86"/>
        <v>0</v>
      </c>
      <c r="E287" s="342">
        <f>SUM(F287:G287)</f>
        <v>77</v>
      </c>
      <c r="F287" s="342">
        <v>77</v>
      </c>
      <c r="G287" s="342">
        <v>0</v>
      </c>
      <c r="H287" s="342">
        <f>SUM(I287:J287)</f>
        <v>25</v>
      </c>
      <c r="I287" s="342">
        <v>25</v>
      </c>
      <c r="J287" s="342">
        <v>0</v>
      </c>
      <c r="K287" s="342">
        <f>SUM(L287:M287)</f>
        <v>23</v>
      </c>
      <c r="L287" s="342">
        <v>23</v>
      </c>
      <c r="M287" s="342">
        <v>0</v>
      </c>
      <c r="N287" s="203" t="s">
        <v>146</v>
      </c>
      <c r="O287" s="306"/>
    </row>
    <row r="288" spans="2:15" ht="18.75" customHeight="1" thickBot="1" x14ac:dyDescent="0.25">
      <c r="B288" s="342">
        <f>SUM(C288:D288)</f>
        <v>44</v>
      </c>
      <c r="C288" s="342">
        <f t="shared" si="86"/>
        <v>44</v>
      </c>
      <c r="D288" s="342">
        <f t="shared" si="86"/>
        <v>0</v>
      </c>
      <c r="E288" s="342">
        <f>SUM(F288:G288)</f>
        <v>0</v>
      </c>
      <c r="F288" s="342">
        <v>0</v>
      </c>
      <c r="G288" s="342">
        <v>0</v>
      </c>
      <c r="H288" s="342">
        <f>SUM(I288:J288)</f>
        <v>0</v>
      </c>
      <c r="I288" s="342">
        <v>0</v>
      </c>
      <c r="J288" s="342">
        <v>0</v>
      </c>
      <c r="K288" s="342">
        <f>SUM(L288:M288)</f>
        <v>44</v>
      </c>
      <c r="L288" s="342">
        <v>44</v>
      </c>
      <c r="M288" s="342">
        <v>0</v>
      </c>
      <c r="N288" s="203" t="s">
        <v>145</v>
      </c>
      <c r="O288" s="129" t="s">
        <v>408</v>
      </c>
    </row>
    <row r="289" spans="2:15" ht="18.75" customHeight="1" thickBot="1" x14ac:dyDescent="0.25">
      <c r="B289" s="342">
        <f t="shared" ref="B289:M289" si="97">SUM(B287:B288)</f>
        <v>169</v>
      </c>
      <c r="C289" s="342">
        <f t="shared" si="97"/>
        <v>169</v>
      </c>
      <c r="D289" s="342">
        <f t="shared" si="97"/>
        <v>0</v>
      </c>
      <c r="E289" s="342">
        <f t="shared" si="97"/>
        <v>77</v>
      </c>
      <c r="F289" s="342">
        <f t="shared" si="97"/>
        <v>77</v>
      </c>
      <c r="G289" s="342">
        <f t="shared" si="97"/>
        <v>0</v>
      </c>
      <c r="H289" s="342">
        <f t="shared" si="97"/>
        <v>25</v>
      </c>
      <c r="I289" s="342">
        <f t="shared" si="97"/>
        <v>25</v>
      </c>
      <c r="J289" s="342">
        <f t="shared" si="97"/>
        <v>0</v>
      </c>
      <c r="K289" s="342">
        <f t="shared" si="97"/>
        <v>67</v>
      </c>
      <c r="L289" s="342">
        <f t="shared" si="97"/>
        <v>67</v>
      </c>
      <c r="M289" s="342">
        <f t="shared" si="97"/>
        <v>0</v>
      </c>
      <c r="N289" s="203" t="s">
        <v>12</v>
      </c>
      <c r="O289" s="307"/>
    </row>
    <row r="290" spans="2:15" ht="18.75" customHeight="1" thickBot="1" x14ac:dyDescent="0.25">
      <c r="B290" s="342">
        <f>SUM(C290:D290)</f>
        <v>99</v>
      </c>
      <c r="C290" s="342">
        <f t="shared" si="86"/>
        <v>67</v>
      </c>
      <c r="D290" s="342">
        <f t="shared" si="86"/>
        <v>32</v>
      </c>
      <c r="E290" s="342">
        <f>SUM(F290:G290)</f>
        <v>74</v>
      </c>
      <c r="F290" s="342">
        <v>59</v>
      </c>
      <c r="G290" s="342">
        <v>15</v>
      </c>
      <c r="H290" s="342">
        <f>SUM(I290:J290)</f>
        <v>5</v>
      </c>
      <c r="I290" s="342">
        <v>3</v>
      </c>
      <c r="J290" s="342">
        <v>2</v>
      </c>
      <c r="K290" s="342">
        <f>SUM(L290:M290)</f>
        <v>20</v>
      </c>
      <c r="L290" s="342">
        <v>5</v>
      </c>
      <c r="M290" s="342">
        <v>15</v>
      </c>
      <c r="N290" s="203" t="s">
        <v>146</v>
      </c>
      <c r="O290" s="306"/>
    </row>
    <row r="291" spans="2:15" ht="18.75" customHeight="1" thickBot="1" x14ac:dyDescent="0.25">
      <c r="B291" s="342">
        <f>SUM(C291:D291)</f>
        <v>22</v>
      </c>
      <c r="C291" s="342">
        <f t="shared" si="86"/>
        <v>13</v>
      </c>
      <c r="D291" s="342">
        <f t="shared" si="86"/>
        <v>9</v>
      </c>
      <c r="E291" s="342">
        <f>SUM(F291:G291)</f>
        <v>0</v>
      </c>
      <c r="F291" s="342">
        <v>0</v>
      </c>
      <c r="G291" s="342">
        <v>0</v>
      </c>
      <c r="H291" s="342">
        <f>SUM(I291:J291)</f>
        <v>3</v>
      </c>
      <c r="I291" s="342">
        <v>3</v>
      </c>
      <c r="J291" s="342">
        <v>0</v>
      </c>
      <c r="K291" s="342">
        <f>SUM(L291:M291)</f>
        <v>19</v>
      </c>
      <c r="L291" s="342">
        <v>10</v>
      </c>
      <c r="M291" s="342">
        <v>9</v>
      </c>
      <c r="N291" s="203" t="s">
        <v>145</v>
      </c>
      <c r="O291" s="306" t="s">
        <v>347</v>
      </c>
    </row>
    <row r="292" spans="2:15" ht="18.75" customHeight="1" thickBot="1" x14ac:dyDescent="0.25">
      <c r="B292" s="342">
        <f t="shared" ref="B292:M292" si="98">SUM(B290:B291)</f>
        <v>121</v>
      </c>
      <c r="C292" s="342">
        <f t="shared" si="98"/>
        <v>80</v>
      </c>
      <c r="D292" s="342">
        <f t="shared" si="98"/>
        <v>41</v>
      </c>
      <c r="E292" s="342">
        <f t="shared" si="98"/>
        <v>74</v>
      </c>
      <c r="F292" s="342">
        <f t="shared" si="98"/>
        <v>59</v>
      </c>
      <c r="G292" s="342">
        <f t="shared" si="98"/>
        <v>15</v>
      </c>
      <c r="H292" s="342">
        <f t="shared" si="98"/>
        <v>8</v>
      </c>
      <c r="I292" s="342">
        <f t="shared" si="98"/>
        <v>6</v>
      </c>
      <c r="J292" s="342">
        <f t="shared" si="98"/>
        <v>2</v>
      </c>
      <c r="K292" s="342">
        <f t="shared" si="98"/>
        <v>39</v>
      </c>
      <c r="L292" s="342">
        <f t="shared" si="98"/>
        <v>15</v>
      </c>
      <c r="M292" s="342">
        <f t="shared" si="98"/>
        <v>24</v>
      </c>
      <c r="N292" s="203" t="s">
        <v>12</v>
      </c>
      <c r="O292" s="307"/>
    </row>
    <row r="293" spans="2:15" ht="18.75" customHeight="1" thickBot="1" x14ac:dyDescent="0.25">
      <c r="B293" s="342">
        <f>SUM(C293:D293)</f>
        <v>31</v>
      </c>
      <c r="C293" s="342">
        <f t="shared" si="86"/>
        <v>13</v>
      </c>
      <c r="D293" s="342">
        <f t="shared" si="86"/>
        <v>18</v>
      </c>
      <c r="E293" s="342">
        <f>SUM(F293:G293)</f>
        <v>25</v>
      </c>
      <c r="F293" s="342">
        <v>10</v>
      </c>
      <c r="G293" s="342">
        <v>15</v>
      </c>
      <c r="H293" s="342">
        <f>SUM(I293:J293)</f>
        <v>1</v>
      </c>
      <c r="I293" s="342">
        <v>1</v>
      </c>
      <c r="J293" s="342">
        <v>0</v>
      </c>
      <c r="K293" s="342">
        <f>SUM(L293:M293)</f>
        <v>5</v>
      </c>
      <c r="L293" s="342">
        <v>2</v>
      </c>
      <c r="M293" s="342">
        <v>3</v>
      </c>
      <c r="N293" s="203" t="s">
        <v>146</v>
      </c>
      <c r="O293" s="306"/>
    </row>
    <row r="294" spans="2:15" ht="18.75" customHeight="1" thickBot="1" x14ac:dyDescent="0.25">
      <c r="B294" s="342">
        <f>SUM(C294:D294)</f>
        <v>31</v>
      </c>
      <c r="C294" s="342">
        <f t="shared" si="86"/>
        <v>12</v>
      </c>
      <c r="D294" s="342">
        <f t="shared" si="86"/>
        <v>19</v>
      </c>
      <c r="E294" s="342">
        <f>SUM(F294:G294)</f>
        <v>0</v>
      </c>
      <c r="F294" s="342">
        <v>0</v>
      </c>
      <c r="G294" s="342">
        <v>0</v>
      </c>
      <c r="H294" s="342">
        <f>SUM(I294:J294)</f>
        <v>0</v>
      </c>
      <c r="I294" s="342">
        <v>0</v>
      </c>
      <c r="J294" s="342">
        <v>0</v>
      </c>
      <c r="K294" s="342">
        <f>SUM(L294:M294)</f>
        <v>31</v>
      </c>
      <c r="L294" s="342">
        <v>12</v>
      </c>
      <c r="M294" s="342">
        <v>19</v>
      </c>
      <c r="N294" s="203" t="s">
        <v>145</v>
      </c>
      <c r="O294" s="306" t="s">
        <v>348</v>
      </c>
    </row>
    <row r="295" spans="2:15" ht="18.75" customHeight="1" thickBot="1" x14ac:dyDescent="0.25">
      <c r="B295" s="342">
        <f t="shared" ref="B295:M295" si="99">SUM(B293:B294)</f>
        <v>62</v>
      </c>
      <c r="C295" s="342">
        <f t="shared" si="99"/>
        <v>25</v>
      </c>
      <c r="D295" s="342">
        <f t="shared" si="99"/>
        <v>37</v>
      </c>
      <c r="E295" s="342">
        <f t="shared" si="99"/>
        <v>25</v>
      </c>
      <c r="F295" s="342">
        <f t="shared" si="99"/>
        <v>10</v>
      </c>
      <c r="G295" s="342">
        <f t="shared" si="99"/>
        <v>15</v>
      </c>
      <c r="H295" s="342">
        <f t="shared" si="99"/>
        <v>1</v>
      </c>
      <c r="I295" s="342">
        <f t="shared" si="99"/>
        <v>1</v>
      </c>
      <c r="J295" s="342">
        <f t="shared" si="99"/>
        <v>0</v>
      </c>
      <c r="K295" s="342">
        <f t="shared" si="99"/>
        <v>36</v>
      </c>
      <c r="L295" s="342">
        <f t="shared" si="99"/>
        <v>14</v>
      </c>
      <c r="M295" s="342">
        <f t="shared" si="99"/>
        <v>22</v>
      </c>
      <c r="N295" s="203" t="s">
        <v>12</v>
      </c>
      <c r="O295" s="307"/>
    </row>
    <row r="296" spans="2:15" ht="18.75" customHeight="1" thickBot="1" x14ac:dyDescent="0.25">
      <c r="B296" s="342">
        <f>SUM(C296:D296)</f>
        <v>12</v>
      </c>
      <c r="C296" s="342">
        <f t="shared" si="86"/>
        <v>0</v>
      </c>
      <c r="D296" s="342">
        <f t="shared" si="86"/>
        <v>12</v>
      </c>
      <c r="E296" s="342">
        <f>SUM(F296:G296)</f>
        <v>3</v>
      </c>
      <c r="F296" s="342">
        <v>0</v>
      </c>
      <c r="G296" s="342">
        <v>3</v>
      </c>
      <c r="H296" s="342">
        <f>SUM(I296:J296)</f>
        <v>4</v>
      </c>
      <c r="I296" s="342">
        <v>0</v>
      </c>
      <c r="J296" s="342">
        <v>4</v>
      </c>
      <c r="K296" s="342">
        <f>SUM(L296:M296)</f>
        <v>5</v>
      </c>
      <c r="L296" s="342">
        <v>0</v>
      </c>
      <c r="M296" s="342">
        <v>5</v>
      </c>
      <c r="N296" s="203" t="s">
        <v>146</v>
      </c>
      <c r="O296" s="306"/>
    </row>
    <row r="297" spans="2:15" ht="18.75" customHeight="1" thickBot="1" x14ac:dyDescent="0.25">
      <c r="B297" s="342">
        <f>SUM(C297:D297)</f>
        <v>42</v>
      </c>
      <c r="C297" s="342">
        <f t="shared" si="86"/>
        <v>0</v>
      </c>
      <c r="D297" s="342">
        <f t="shared" si="86"/>
        <v>42</v>
      </c>
      <c r="E297" s="342">
        <f>SUM(F297:G297)</f>
        <v>0</v>
      </c>
      <c r="F297" s="342">
        <v>0</v>
      </c>
      <c r="G297" s="342">
        <v>0</v>
      </c>
      <c r="H297" s="342">
        <f>SUM(I297:J297)</f>
        <v>19</v>
      </c>
      <c r="I297" s="342">
        <v>0</v>
      </c>
      <c r="J297" s="342">
        <v>19</v>
      </c>
      <c r="K297" s="342">
        <f>SUM(L297:M297)</f>
        <v>23</v>
      </c>
      <c r="L297" s="342">
        <v>0</v>
      </c>
      <c r="M297" s="342">
        <v>23</v>
      </c>
      <c r="N297" s="203" t="s">
        <v>145</v>
      </c>
      <c r="O297" s="306" t="s">
        <v>88</v>
      </c>
    </row>
    <row r="298" spans="2:15" ht="18.75" customHeight="1" thickBot="1" x14ac:dyDescent="0.25">
      <c r="B298" s="342">
        <f t="shared" ref="B298:M298" si="100">SUM(B296:B297)</f>
        <v>54</v>
      </c>
      <c r="C298" s="342">
        <f t="shared" si="100"/>
        <v>0</v>
      </c>
      <c r="D298" s="342">
        <f t="shared" si="100"/>
        <v>54</v>
      </c>
      <c r="E298" s="342">
        <f t="shared" si="100"/>
        <v>3</v>
      </c>
      <c r="F298" s="342">
        <f t="shared" si="100"/>
        <v>0</v>
      </c>
      <c r="G298" s="342">
        <f t="shared" si="100"/>
        <v>3</v>
      </c>
      <c r="H298" s="342">
        <f t="shared" si="100"/>
        <v>23</v>
      </c>
      <c r="I298" s="342">
        <f t="shared" si="100"/>
        <v>0</v>
      </c>
      <c r="J298" s="342">
        <f t="shared" si="100"/>
        <v>23</v>
      </c>
      <c r="K298" s="342">
        <f t="shared" si="100"/>
        <v>28</v>
      </c>
      <c r="L298" s="342">
        <f t="shared" si="100"/>
        <v>0</v>
      </c>
      <c r="M298" s="342">
        <f t="shared" si="100"/>
        <v>28</v>
      </c>
      <c r="N298" s="203" t="s">
        <v>12</v>
      </c>
      <c r="O298" s="307"/>
    </row>
    <row r="299" spans="2:15" ht="18.75" customHeight="1" thickBot="1" x14ac:dyDescent="0.25">
      <c r="B299" s="342">
        <f>SUM(C299:D299)</f>
        <v>150</v>
      </c>
      <c r="C299" s="342">
        <f t="shared" si="86"/>
        <v>81</v>
      </c>
      <c r="D299" s="342">
        <f t="shared" si="86"/>
        <v>69</v>
      </c>
      <c r="E299" s="342">
        <f>SUM(F299:G299)</f>
        <v>113</v>
      </c>
      <c r="F299" s="342">
        <v>70</v>
      </c>
      <c r="G299" s="342">
        <v>43</v>
      </c>
      <c r="H299" s="342">
        <f>SUM(I299:J299)</f>
        <v>10</v>
      </c>
      <c r="I299" s="342">
        <v>3</v>
      </c>
      <c r="J299" s="342">
        <v>7</v>
      </c>
      <c r="K299" s="342">
        <f>SUM(L299:M299)</f>
        <v>27</v>
      </c>
      <c r="L299" s="342">
        <v>8</v>
      </c>
      <c r="M299" s="342">
        <v>19</v>
      </c>
      <c r="N299" s="203" t="s">
        <v>146</v>
      </c>
      <c r="O299" s="306"/>
    </row>
    <row r="300" spans="2:15" ht="18.75" customHeight="1" thickBot="1" x14ac:dyDescent="0.25">
      <c r="B300" s="342">
        <f>SUM(C300:D300)</f>
        <v>37</v>
      </c>
      <c r="C300" s="342">
        <f t="shared" si="86"/>
        <v>8</v>
      </c>
      <c r="D300" s="342">
        <f t="shared" si="86"/>
        <v>29</v>
      </c>
      <c r="E300" s="342">
        <f>SUM(F300:G300)</f>
        <v>0</v>
      </c>
      <c r="F300" s="342">
        <v>0</v>
      </c>
      <c r="G300" s="342">
        <v>0</v>
      </c>
      <c r="H300" s="342">
        <f>SUM(I300:J300)</f>
        <v>5</v>
      </c>
      <c r="I300" s="342">
        <v>1</v>
      </c>
      <c r="J300" s="342">
        <v>4</v>
      </c>
      <c r="K300" s="342">
        <f>SUM(L300:M300)</f>
        <v>32</v>
      </c>
      <c r="L300" s="342">
        <v>7</v>
      </c>
      <c r="M300" s="342">
        <v>25</v>
      </c>
      <c r="N300" s="203" t="s">
        <v>145</v>
      </c>
      <c r="O300" s="306" t="s">
        <v>587</v>
      </c>
    </row>
    <row r="301" spans="2:15" ht="18.75" customHeight="1" thickBot="1" x14ac:dyDescent="0.25">
      <c r="B301" s="342">
        <f t="shared" ref="B301:M301" si="101">SUM(B299:B300)</f>
        <v>187</v>
      </c>
      <c r="C301" s="342">
        <f t="shared" si="101"/>
        <v>89</v>
      </c>
      <c r="D301" s="342">
        <f t="shared" si="101"/>
        <v>98</v>
      </c>
      <c r="E301" s="342">
        <f t="shared" si="101"/>
        <v>113</v>
      </c>
      <c r="F301" s="342">
        <f t="shared" si="101"/>
        <v>70</v>
      </c>
      <c r="G301" s="342">
        <f t="shared" si="101"/>
        <v>43</v>
      </c>
      <c r="H301" s="342">
        <f t="shared" si="101"/>
        <v>15</v>
      </c>
      <c r="I301" s="342">
        <f t="shared" si="101"/>
        <v>4</v>
      </c>
      <c r="J301" s="342">
        <f t="shared" si="101"/>
        <v>11</v>
      </c>
      <c r="K301" s="342">
        <f t="shared" si="101"/>
        <v>59</v>
      </c>
      <c r="L301" s="342">
        <f t="shared" si="101"/>
        <v>15</v>
      </c>
      <c r="M301" s="342">
        <f t="shared" si="101"/>
        <v>44</v>
      </c>
      <c r="N301" s="203" t="s">
        <v>12</v>
      </c>
      <c r="O301" s="307"/>
    </row>
    <row r="302" spans="2:15" ht="18.75" customHeight="1" thickBot="1" x14ac:dyDescent="0.25">
      <c r="B302" s="342">
        <f>SUM(C302:D302)</f>
        <v>224</v>
      </c>
      <c r="C302" s="342">
        <f t="shared" si="86"/>
        <v>224</v>
      </c>
      <c r="D302" s="342">
        <f t="shared" si="86"/>
        <v>0</v>
      </c>
      <c r="E302" s="342">
        <f>SUM(F302:G302)</f>
        <v>92</v>
      </c>
      <c r="F302" s="342">
        <v>92</v>
      </c>
      <c r="G302" s="342">
        <v>0</v>
      </c>
      <c r="H302" s="342">
        <f>SUM(I302:J302)</f>
        <v>38</v>
      </c>
      <c r="I302" s="342">
        <v>38</v>
      </c>
      <c r="J302" s="342">
        <v>0</v>
      </c>
      <c r="K302" s="342">
        <f>SUM(L302:M302)</f>
        <v>94</v>
      </c>
      <c r="L302" s="342">
        <v>94</v>
      </c>
      <c r="M302" s="342">
        <v>0</v>
      </c>
      <c r="N302" s="203" t="s">
        <v>146</v>
      </c>
      <c r="O302" s="306"/>
    </row>
    <row r="303" spans="2:15" ht="18.75" customHeight="1" thickBot="1" x14ac:dyDescent="0.25">
      <c r="B303" s="342">
        <f>SUM(C303:D303)</f>
        <v>29</v>
      </c>
      <c r="C303" s="342">
        <f t="shared" si="86"/>
        <v>22</v>
      </c>
      <c r="D303" s="342">
        <f t="shared" si="86"/>
        <v>7</v>
      </c>
      <c r="E303" s="342">
        <f>SUM(F303:G303)</f>
        <v>0</v>
      </c>
      <c r="F303" s="342">
        <v>0</v>
      </c>
      <c r="G303" s="342">
        <v>0</v>
      </c>
      <c r="H303" s="342">
        <f>SUM(I303:J303)</f>
        <v>0</v>
      </c>
      <c r="I303" s="342">
        <v>0</v>
      </c>
      <c r="J303" s="342">
        <v>0</v>
      </c>
      <c r="K303" s="342">
        <f>SUM(L303:M303)</f>
        <v>29</v>
      </c>
      <c r="L303" s="342">
        <v>22</v>
      </c>
      <c r="M303" s="342">
        <v>7</v>
      </c>
      <c r="N303" s="203" t="s">
        <v>145</v>
      </c>
      <c r="O303" s="306" t="s">
        <v>676</v>
      </c>
    </row>
    <row r="304" spans="2:15" ht="18.75" customHeight="1" thickBot="1" x14ac:dyDescent="0.25">
      <c r="B304" s="342">
        <f t="shared" ref="B304:M304" si="102">SUM(B302:B303)</f>
        <v>253</v>
      </c>
      <c r="C304" s="342">
        <f t="shared" si="102"/>
        <v>246</v>
      </c>
      <c r="D304" s="342">
        <f t="shared" si="102"/>
        <v>7</v>
      </c>
      <c r="E304" s="342">
        <f t="shared" si="102"/>
        <v>92</v>
      </c>
      <c r="F304" s="342">
        <f t="shared" si="102"/>
        <v>92</v>
      </c>
      <c r="G304" s="342">
        <f t="shared" si="102"/>
        <v>0</v>
      </c>
      <c r="H304" s="342">
        <f t="shared" si="102"/>
        <v>38</v>
      </c>
      <c r="I304" s="342">
        <f t="shared" si="102"/>
        <v>38</v>
      </c>
      <c r="J304" s="342">
        <f t="shared" si="102"/>
        <v>0</v>
      </c>
      <c r="K304" s="342">
        <f t="shared" si="102"/>
        <v>123</v>
      </c>
      <c r="L304" s="342">
        <f t="shared" si="102"/>
        <v>116</v>
      </c>
      <c r="M304" s="342">
        <f t="shared" si="102"/>
        <v>7</v>
      </c>
      <c r="N304" s="203" t="s">
        <v>12</v>
      </c>
      <c r="O304" s="307"/>
    </row>
    <row r="305" spans="2:15" ht="18.75" customHeight="1" thickBot="1" x14ac:dyDescent="0.25">
      <c r="B305" s="342">
        <f>SUM(C305:D305)</f>
        <v>115</v>
      </c>
      <c r="C305" s="342">
        <f t="shared" si="86"/>
        <v>115</v>
      </c>
      <c r="D305" s="342">
        <f t="shared" si="86"/>
        <v>0</v>
      </c>
      <c r="E305" s="342">
        <f>SUM(F305:G305)</f>
        <v>67</v>
      </c>
      <c r="F305" s="342">
        <v>67</v>
      </c>
      <c r="G305" s="342">
        <v>0</v>
      </c>
      <c r="H305" s="342">
        <f>SUM(I305:J305)</f>
        <v>27</v>
      </c>
      <c r="I305" s="342">
        <v>27</v>
      </c>
      <c r="J305" s="342">
        <v>0</v>
      </c>
      <c r="K305" s="342">
        <f>SUM(L305:M305)</f>
        <v>21</v>
      </c>
      <c r="L305" s="342">
        <v>21</v>
      </c>
      <c r="M305" s="342">
        <v>0</v>
      </c>
      <c r="N305" s="203" t="s">
        <v>146</v>
      </c>
      <c r="O305" s="306"/>
    </row>
    <row r="306" spans="2:15" ht="18.75" customHeight="1" thickBot="1" x14ac:dyDescent="0.25">
      <c r="B306" s="342">
        <f>SUM(C306:D306)</f>
        <v>14</v>
      </c>
      <c r="C306" s="342">
        <f t="shared" si="86"/>
        <v>14</v>
      </c>
      <c r="D306" s="342">
        <f t="shared" si="86"/>
        <v>0</v>
      </c>
      <c r="E306" s="342">
        <f>SUM(F306:G306)</f>
        <v>0</v>
      </c>
      <c r="F306" s="342">
        <v>0</v>
      </c>
      <c r="G306" s="342">
        <v>0</v>
      </c>
      <c r="H306" s="342">
        <f>SUM(I306:J306)</f>
        <v>0</v>
      </c>
      <c r="I306" s="342">
        <v>0</v>
      </c>
      <c r="J306" s="342">
        <v>0</v>
      </c>
      <c r="K306" s="342">
        <f>SUM(L306:M306)</f>
        <v>14</v>
      </c>
      <c r="L306" s="342">
        <v>14</v>
      </c>
      <c r="M306" s="342">
        <v>0</v>
      </c>
      <c r="N306" s="203" t="s">
        <v>145</v>
      </c>
      <c r="O306" s="306" t="s">
        <v>795</v>
      </c>
    </row>
    <row r="307" spans="2:15" ht="18.75" customHeight="1" thickBot="1" x14ac:dyDescent="0.25">
      <c r="B307" s="342">
        <f t="shared" ref="B307:M307" si="103">SUM(B305:B306)</f>
        <v>129</v>
      </c>
      <c r="C307" s="342">
        <f t="shared" si="103"/>
        <v>129</v>
      </c>
      <c r="D307" s="342">
        <f t="shared" si="103"/>
        <v>0</v>
      </c>
      <c r="E307" s="342">
        <f t="shared" si="103"/>
        <v>67</v>
      </c>
      <c r="F307" s="342">
        <f t="shared" si="103"/>
        <v>67</v>
      </c>
      <c r="G307" s="342">
        <f t="shared" si="103"/>
        <v>0</v>
      </c>
      <c r="H307" s="342">
        <f t="shared" si="103"/>
        <v>27</v>
      </c>
      <c r="I307" s="342">
        <f t="shared" si="103"/>
        <v>27</v>
      </c>
      <c r="J307" s="342">
        <f t="shared" si="103"/>
        <v>0</v>
      </c>
      <c r="K307" s="342">
        <f t="shared" si="103"/>
        <v>35</v>
      </c>
      <c r="L307" s="342">
        <f t="shared" si="103"/>
        <v>35</v>
      </c>
      <c r="M307" s="342">
        <f t="shared" si="103"/>
        <v>0</v>
      </c>
      <c r="N307" s="203" t="s">
        <v>12</v>
      </c>
      <c r="O307" s="307"/>
    </row>
    <row r="308" spans="2:15" ht="18.75" customHeight="1" thickBot="1" x14ac:dyDescent="0.25">
      <c r="B308" s="342">
        <f>SUM(C308:D308)</f>
        <v>114</v>
      </c>
      <c r="C308" s="342">
        <f t="shared" si="86"/>
        <v>114</v>
      </c>
      <c r="D308" s="342">
        <f t="shared" si="86"/>
        <v>0</v>
      </c>
      <c r="E308" s="342">
        <f>SUM(F308:G308)</f>
        <v>64</v>
      </c>
      <c r="F308" s="342">
        <v>64</v>
      </c>
      <c r="G308" s="342">
        <v>0</v>
      </c>
      <c r="H308" s="342">
        <f>SUM(I308:J308)</f>
        <v>25</v>
      </c>
      <c r="I308" s="342">
        <v>25</v>
      </c>
      <c r="J308" s="342">
        <v>0</v>
      </c>
      <c r="K308" s="342">
        <f>SUM(L308:M308)</f>
        <v>25</v>
      </c>
      <c r="L308" s="342">
        <v>25</v>
      </c>
      <c r="M308" s="342">
        <v>0</v>
      </c>
      <c r="N308" s="203" t="s">
        <v>146</v>
      </c>
      <c r="O308" s="306"/>
    </row>
    <row r="309" spans="2:15" ht="18.75" customHeight="1" thickBot="1" x14ac:dyDescent="0.25">
      <c r="B309" s="342">
        <f>SUM(C309:D309)</f>
        <v>27</v>
      </c>
      <c r="C309" s="342">
        <f t="shared" si="86"/>
        <v>22</v>
      </c>
      <c r="D309" s="342">
        <f t="shared" si="86"/>
        <v>5</v>
      </c>
      <c r="E309" s="342">
        <f>SUM(F309:G309)</f>
        <v>0</v>
      </c>
      <c r="F309" s="342">
        <v>0</v>
      </c>
      <c r="G309" s="342">
        <v>0</v>
      </c>
      <c r="H309" s="342">
        <f>SUM(I309:J309)</f>
        <v>1</v>
      </c>
      <c r="I309" s="342">
        <v>0</v>
      </c>
      <c r="J309" s="342">
        <v>1</v>
      </c>
      <c r="K309" s="342">
        <f>SUM(L309:M309)</f>
        <v>26</v>
      </c>
      <c r="L309" s="342">
        <v>22</v>
      </c>
      <c r="M309" s="342">
        <v>4</v>
      </c>
      <c r="N309" s="203" t="s">
        <v>145</v>
      </c>
      <c r="O309" s="306" t="s">
        <v>411</v>
      </c>
    </row>
    <row r="310" spans="2:15" ht="18.75" customHeight="1" thickBot="1" x14ac:dyDescent="0.25">
      <c r="B310" s="342">
        <f t="shared" ref="B310:M310" si="104">SUM(B308:B309)</f>
        <v>141</v>
      </c>
      <c r="C310" s="342">
        <f t="shared" si="104"/>
        <v>136</v>
      </c>
      <c r="D310" s="342">
        <f t="shared" si="104"/>
        <v>5</v>
      </c>
      <c r="E310" s="342">
        <f t="shared" si="104"/>
        <v>64</v>
      </c>
      <c r="F310" s="342">
        <f t="shared" si="104"/>
        <v>64</v>
      </c>
      <c r="G310" s="342">
        <f t="shared" si="104"/>
        <v>0</v>
      </c>
      <c r="H310" s="342">
        <f t="shared" si="104"/>
        <v>26</v>
      </c>
      <c r="I310" s="342">
        <f t="shared" si="104"/>
        <v>25</v>
      </c>
      <c r="J310" s="342">
        <f t="shared" si="104"/>
        <v>1</v>
      </c>
      <c r="K310" s="342">
        <f t="shared" si="104"/>
        <v>51</v>
      </c>
      <c r="L310" s="342">
        <f t="shared" si="104"/>
        <v>47</v>
      </c>
      <c r="M310" s="342">
        <f t="shared" si="104"/>
        <v>4</v>
      </c>
      <c r="N310" s="203" t="s">
        <v>12</v>
      </c>
      <c r="O310" s="307"/>
    </row>
    <row r="311" spans="2:15" ht="18.75" customHeight="1" thickBot="1" x14ac:dyDescent="0.25">
      <c r="B311" s="342">
        <f>SUM(C311:D311)</f>
        <v>290</v>
      </c>
      <c r="C311" s="342">
        <f t="shared" si="86"/>
        <v>290</v>
      </c>
      <c r="D311" s="342">
        <f t="shared" si="86"/>
        <v>0</v>
      </c>
      <c r="E311" s="342">
        <f>SUM(F311:G311)</f>
        <v>116</v>
      </c>
      <c r="F311" s="342">
        <v>116</v>
      </c>
      <c r="G311" s="342">
        <v>0</v>
      </c>
      <c r="H311" s="342">
        <f>SUM(I311:J311)</f>
        <v>57</v>
      </c>
      <c r="I311" s="342">
        <v>57</v>
      </c>
      <c r="J311" s="342">
        <v>0</v>
      </c>
      <c r="K311" s="342">
        <f>SUM(L311:M311)</f>
        <v>117</v>
      </c>
      <c r="L311" s="342">
        <v>117</v>
      </c>
      <c r="M311" s="342">
        <v>0</v>
      </c>
      <c r="N311" s="203" t="s">
        <v>146</v>
      </c>
      <c r="O311" s="306"/>
    </row>
    <row r="312" spans="2:15" ht="18.75" customHeight="1" thickBot="1" x14ac:dyDescent="0.25">
      <c r="B312" s="342">
        <f>SUM(C312:D312)</f>
        <v>32</v>
      </c>
      <c r="C312" s="342">
        <f t="shared" si="86"/>
        <v>18</v>
      </c>
      <c r="D312" s="342">
        <f t="shared" si="86"/>
        <v>14</v>
      </c>
      <c r="E312" s="342">
        <f>SUM(F312:G312)</f>
        <v>0</v>
      </c>
      <c r="F312" s="342">
        <v>0</v>
      </c>
      <c r="G312" s="342">
        <v>0</v>
      </c>
      <c r="H312" s="342">
        <f>SUM(I312:J312)</f>
        <v>0</v>
      </c>
      <c r="I312" s="342">
        <v>0</v>
      </c>
      <c r="J312" s="342">
        <v>0</v>
      </c>
      <c r="K312" s="342">
        <f>SUM(L312:M312)</f>
        <v>32</v>
      </c>
      <c r="L312" s="342">
        <v>18</v>
      </c>
      <c r="M312" s="342">
        <v>14</v>
      </c>
      <c r="N312" s="203" t="s">
        <v>145</v>
      </c>
      <c r="O312" s="306" t="s">
        <v>410</v>
      </c>
    </row>
    <row r="313" spans="2:15" ht="18.75" customHeight="1" thickBot="1" x14ac:dyDescent="0.25">
      <c r="B313" s="342">
        <f t="shared" ref="B313:M313" si="105">SUM(B311:B312)</f>
        <v>322</v>
      </c>
      <c r="C313" s="342">
        <f t="shared" si="105"/>
        <v>308</v>
      </c>
      <c r="D313" s="342">
        <f t="shared" si="105"/>
        <v>14</v>
      </c>
      <c r="E313" s="342">
        <f t="shared" si="105"/>
        <v>116</v>
      </c>
      <c r="F313" s="342">
        <f t="shared" si="105"/>
        <v>116</v>
      </c>
      <c r="G313" s="342">
        <f t="shared" si="105"/>
        <v>0</v>
      </c>
      <c r="H313" s="342">
        <f t="shared" si="105"/>
        <v>57</v>
      </c>
      <c r="I313" s="342">
        <f t="shared" si="105"/>
        <v>57</v>
      </c>
      <c r="J313" s="342">
        <f t="shared" si="105"/>
        <v>0</v>
      </c>
      <c r="K313" s="342">
        <f t="shared" si="105"/>
        <v>149</v>
      </c>
      <c r="L313" s="342">
        <f t="shared" si="105"/>
        <v>135</v>
      </c>
      <c r="M313" s="342">
        <f t="shared" si="105"/>
        <v>14</v>
      </c>
      <c r="N313" s="203" t="s">
        <v>12</v>
      </c>
      <c r="O313" s="307"/>
    </row>
    <row r="314" spans="2:15" ht="18.75" customHeight="1" thickBot="1" x14ac:dyDescent="0.25">
      <c r="B314" s="342">
        <f>SUM(C314:D314)</f>
        <v>0</v>
      </c>
      <c r="C314" s="342">
        <f t="shared" si="86"/>
        <v>0</v>
      </c>
      <c r="D314" s="342">
        <f t="shared" si="86"/>
        <v>0</v>
      </c>
      <c r="E314" s="342">
        <f>SUM(F314:G314)</f>
        <v>0</v>
      </c>
      <c r="F314" s="342">
        <v>0</v>
      </c>
      <c r="G314" s="342">
        <v>0</v>
      </c>
      <c r="H314" s="342">
        <f>SUM(I314:J314)</f>
        <v>0</v>
      </c>
      <c r="I314" s="342">
        <v>0</v>
      </c>
      <c r="J314" s="342">
        <v>0</v>
      </c>
      <c r="K314" s="342">
        <f>SUM(L314:M314)</f>
        <v>0</v>
      </c>
      <c r="L314" s="342">
        <v>0</v>
      </c>
      <c r="M314" s="342">
        <v>0</v>
      </c>
      <c r="N314" s="203" t="s">
        <v>146</v>
      </c>
      <c r="O314" s="306"/>
    </row>
    <row r="315" spans="2:15" ht="18.75" customHeight="1" thickBot="1" x14ac:dyDescent="0.25">
      <c r="B315" s="342">
        <f>SUM(C315:D315)</f>
        <v>1</v>
      </c>
      <c r="C315" s="342">
        <f t="shared" si="86"/>
        <v>0</v>
      </c>
      <c r="D315" s="342">
        <f t="shared" si="86"/>
        <v>1</v>
      </c>
      <c r="E315" s="342">
        <f>SUM(F315:G315)</f>
        <v>0</v>
      </c>
      <c r="F315" s="342">
        <v>0</v>
      </c>
      <c r="G315" s="342">
        <v>0</v>
      </c>
      <c r="H315" s="342">
        <f>SUM(I315:J315)</f>
        <v>1</v>
      </c>
      <c r="I315" s="342">
        <v>0</v>
      </c>
      <c r="J315" s="342">
        <v>1</v>
      </c>
      <c r="K315" s="342">
        <f>SUM(L315:M315)</f>
        <v>0</v>
      </c>
      <c r="L315" s="342">
        <v>0</v>
      </c>
      <c r="M315" s="342">
        <v>0</v>
      </c>
      <c r="N315" s="203" t="s">
        <v>145</v>
      </c>
      <c r="O315" s="306" t="s">
        <v>198</v>
      </c>
    </row>
    <row r="316" spans="2:15" ht="18.75" customHeight="1" thickBot="1" x14ac:dyDescent="0.25">
      <c r="B316" s="342">
        <f t="shared" ref="B316:M316" si="106">SUM(B314:B315)</f>
        <v>1</v>
      </c>
      <c r="C316" s="342">
        <f t="shared" si="106"/>
        <v>0</v>
      </c>
      <c r="D316" s="342">
        <f t="shared" si="106"/>
        <v>1</v>
      </c>
      <c r="E316" s="342">
        <f t="shared" si="106"/>
        <v>0</v>
      </c>
      <c r="F316" s="342">
        <f t="shared" si="106"/>
        <v>0</v>
      </c>
      <c r="G316" s="342">
        <f t="shared" si="106"/>
        <v>0</v>
      </c>
      <c r="H316" s="342">
        <f t="shared" si="106"/>
        <v>1</v>
      </c>
      <c r="I316" s="342">
        <f t="shared" si="106"/>
        <v>0</v>
      </c>
      <c r="J316" s="342">
        <f t="shared" si="106"/>
        <v>1</v>
      </c>
      <c r="K316" s="342">
        <f t="shared" si="106"/>
        <v>0</v>
      </c>
      <c r="L316" s="342">
        <f t="shared" si="106"/>
        <v>0</v>
      </c>
      <c r="M316" s="342">
        <f t="shared" si="106"/>
        <v>0</v>
      </c>
      <c r="N316" s="203" t="s">
        <v>12</v>
      </c>
      <c r="O316" s="307"/>
    </row>
    <row r="317" spans="2:15" ht="18.75" customHeight="1" thickBot="1" x14ac:dyDescent="0.25">
      <c r="B317" s="342">
        <f>SUM(C317:D317)</f>
        <v>150</v>
      </c>
      <c r="C317" s="342">
        <f t="shared" si="86"/>
        <v>0</v>
      </c>
      <c r="D317" s="342">
        <f t="shared" si="86"/>
        <v>150</v>
      </c>
      <c r="E317" s="342">
        <f>SUM(F317:G317)</f>
        <v>65</v>
      </c>
      <c r="F317" s="342">
        <v>0</v>
      </c>
      <c r="G317" s="342">
        <v>65</v>
      </c>
      <c r="H317" s="342">
        <f>SUM(I317:J317)</f>
        <v>51</v>
      </c>
      <c r="I317" s="342">
        <v>0</v>
      </c>
      <c r="J317" s="342">
        <v>51</v>
      </c>
      <c r="K317" s="342">
        <f>SUM(L317:M317)</f>
        <v>34</v>
      </c>
      <c r="L317" s="342">
        <v>0</v>
      </c>
      <c r="M317" s="342">
        <v>34</v>
      </c>
      <c r="N317" s="203" t="s">
        <v>146</v>
      </c>
      <c r="O317" s="306"/>
    </row>
    <row r="318" spans="2:15" ht="18.75" customHeight="1" thickBot="1" x14ac:dyDescent="0.25">
      <c r="B318" s="342">
        <f>SUM(C318:D318)</f>
        <v>19</v>
      </c>
      <c r="C318" s="342">
        <f t="shared" si="86"/>
        <v>0</v>
      </c>
      <c r="D318" s="342">
        <f t="shared" si="86"/>
        <v>19</v>
      </c>
      <c r="E318" s="342">
        <f>SUM(F318:G318)</f>
        <v>0</v>
      </c>
      <c r="F318" s="342">
        <v>0</v>
      </c>
      <c r="G318" s="342">
        <v>0</v>
      </c>
      <c r="H318" s="342">
        <f>SUM(I318:J318)</f>
        <v>0</v>
      </c>
      <c r="I318" s="342">
        <v>0</v>
      </c>
      <c r="J318" s="342">
        <v>0</v>
      </c>
      <c r="K318" s="342">
        <f>SUM(L318:M318)</f>
        <v>19</v>
      </c>
      <c r="L318" s="342">
        <v>0</v>
      </c>
      <c r="M318" s="342">
        <v>19</v>
      </c>
      <c r="N318" s="203" t="s">
        <v>145</v>
      </c>
      <c r="O318" s="306" t="s">
        <v>416</v>
      </c>
    </row>
    <row r="319" spans="2:15" ht="18.75" customHeight="1" thickBot="1" x14ac:dyDescent="0.25">
      <c r="B319" s="342">
        <f t="shared" ref="B319:M319" si="107">SUM(B317:B318)</f>
        <v>169</v>
      </c>
      <c r="C319" s="342">
        <f t="shared" si="107"/>
        <v>0</v>
      </c>
      <c r="D319" s="342">
        <f t="shared" si="107"/>
        <v>169</v>
      </c>
      <c r="E319" s="342">
        <f t="shared" si="107"/>
        <v>65</v>
      </c>
      <c r="F319" s="342">
        <f t="shared" si="107"/>
        <v>0</v>
      </c>
      <c r="G319" s="342">
        <f t="shared" si="107"/>
        <v>65</v>
      </c>
      <c r="H319" s="342">
        <f t="shared" si="107"/>
        <v>51</v>
      </c>
      <c r="I319" s="342">
        <f t="shared" si="107"/>
        <v>0</v>
      </c>
      <c r="J319" s="342">
        <f t="shared" si="107"/>
        <v>51</v>
      </c>
      <c r="K319" s="342">
        <f t="shared" si="107"/>
        <v>53</v>
      </c>
      <c r="L319" s="342">
        <f t="shared" si="107"/>
        <v>0</v>
      </c>
      <c r="M319" s="342">
        <f t="shared" si="107"/>
        <v>53</v>
      </c>
      <c r="N319" s="203" t="s">
        <v>12</v>
      </c>
      <c r="O319" s="307"/>
    </row>
    <row r="320" spans="2:15" ht="18.75" customHeight="1" thickBot="1" x14ac:dyDescent="0.25">
      <c r="B320" s="342">
        <f>SUM(C320:D320)</f>
        <v>40</v>
      </c>
      <c r="C320" s="342">
        <f t="shared" si="86"/>
        <v>28</v>
      </c>
      <c r="D320" s="342">
        <f t="shared" si="86"/>
        <v>12</v>
      </c>
      <c r="E320" s="342">
        <f>SUM(F320:G320)</f>
        <v>31</v>
      </c>
      <c r="F320" s="342">
        <v>26</v>
      </c>
      <c r="G320" s="342">
        <v>5</v>
      </c>
      <c r="H320" s="342">
        <f>SUM(I320:J320)</f>
        <v>7</v>
      </c>
      <c r="I320" s="342">
        <v>2</v>
      </c>
      <c r="J320" s="342">
        <v>5</v>
      </c>
      <c r="K320" s="342">
        <f>SUM(L320:M320)</f>
        <v>2</v>
      </c>
      <c r="L320" s="342">
        <v>0</v>
      </c>
      <c r="M320" s="342">
        <v>2</v>
      </c>
      <c r="N320" s="203" t="s">
        <v>146</v>
      </c>
      <c r="O320" s="306"/>
    </row>
    <row r="321" spans="2:15" ht="18.75" customHeight="1" thickBot="1" x14ac:dyDescent="0.25">
      <c r="B321" s="342">
        <f>SUM(C321:D321)</f>
        <v>14</v>
      </c>
      <c r="C321" s="342">
        <f t="shared" si="86"/>
        <v>7</v>
      </c>
      <c r="D321" s="342">
        <f t="shared" si="86"/>
        <v>7</v>
      </c>
      <c r="E321" s="342">
        <f>SUM(F321:G321)</f>
        <v>0</v>
      </c>
      <c r="F321" s="342">
        <v>0</v>
      </c>
      <c r="G321" s="342">
        <v>0</v>
      </c>
      <c r="H321" s="342">
        <f>SUM(I321:J321)</f>
        <v>6</v>
      </c>
      <c r="I321" s="342">
        <v>3</v>
      </c>
      <c r="J321" s="342">
        <v>3</v>
      </c>
      <c r="K321" s="342">
        <f>SUM(L321:M321)</f>
        <v>8</v>
      </c>
      <c r="L321" s="342">
        <v>4</v>
      </c>
      <c r="M321" s="342">
        <v>4</v>
      </c>
      <c r="N321" s="203" t="s">
        <v>145</v>
      </c>
      <c r="O321" s="306" t="s">
        <v>622</v>
      </c>
    </row>
    <row r="322" spans="2:15" ht="18.75" customHeight="1" thickBot="1" x14ac:dyDescent="0.25">
      <c r="B322" s="342">
        <f t="shared" ref="B322:M322" si="108">SUM(B320:B321)</f>
        <v>54</v>
      </c>
      <c r="C322" s="342">
        <f t="shared" si="108"/>
        <v>35</v>
      </c>
      <c r="D322" s="342">
        <f t="shared" si="108"/>
        <v>19</v>
      </c>
      <c r="E322" s="342">
        <f t="shared" si="108"/>
        <v>31</v>
      </c>
      <c r="F322" s="342">
        <f t="shared" si="108"/>
        <v>26</v>
      </c>
      <c r="G322" s="342">
        <f t="shared" si="108"/>
        <v>5</v>
      </c>
      <c r="H322" s="342">
        <f t="shared" si="108"/>
        <v>13</v>
      </c>
      <c r="I322" s="342">
        <f t="shared" si="108"/>
        <v>5</v>
      </c>
      <c r="J322" s="342">
        <f t="shared" si="108"/>
        <v>8</v>
      </c>
      <c r="K322" s="342">
        <f t="shared" si="108"/>
        <v>10</v>
      </c>
      <c r="L322" s="342">
        <f t="shared" si="108"/>
        <v>4</v>
      </c>
      <c r="M322" s="342">
        <f t="shared" si="108"/>
        <v>6</v>
      </c>
      <c r="N322" s="203" t="s">
        <v>12</v>
      </c>
      <c r="O322" s="307"/>
    </row>
    <row r="323" spans="2:15" ht="18.75" customHeight="1" thickBot="1" x14ac:dyDescent="0.25">
      <c r="B323" s="342">
        <f t="shared" ref="B323:M325" si="109">B257+B260+B263+B266+B269+B272+B275+B278+B281+B284+B287+B290+B293+B296+B299+B302+B305+B308+B311+B314+B317+B320</f>
        <v>3922</v>
      </c>
      <c r="C323" s="342">
        <f t="shared" si="109"/>
        <v>2117</v>
      </c>
      <c r="D323" s="342">
        <f t="shared" si="109"/>
        <v>1805</v>
      </c>
      <c r="E323" s="342">
        <f t="shared" si="109"/>
        <v>1912</v>
      </c>
      <c r="F323" s="342">
        <f t="shared" si="109"/>
        <v>1178</v>
      </c>
      <c r="G323" s="342">
        <f t="shared" si="109"/>
        <v>734</v>
      </c>
      <c r="H323" s="342">
        <f t="shared" si="109"/>
        <v>520</v>
      </c>
      <c r="I323" s="342">
        <f t="shared" si="109"/>
        <v>358</v>
      </c>
      <c r="J323" s="342">
        <f t="shared" si="109"/>
        <v>162</v>
      </c>
      <c r="K323" s="342">
        <f t="shared" si="109"/>
        <v>1490</v>
      </c>
      <c r="L323" s="342">
        <f t="shared" si="109"/>
        <v>581</v>
      </c>
      <c r="M323" s="342">
        <f t="shared" si="109"/>
        <v>909</v>
      </c>
      <c r="N323" s="203" t="s">
        <v>146</v>
      </c>
      <c r="O323" s="280"/>
    </row>
    <row r="324" spans="2:15" ht="18.75" customHeight="1" thickBot="1" x14ac:dyDescent="0.25">
      <c r="B324" s="342">
        <f t="shared" si="109"/>
        <v>1185</v>
      </c>
      <c r="C324" s="342">
        <f t="shared" si="109"/>
        <v>336</v>
      </c>
      <c r="D324" s="342">
        <f t="shared" si="109"/>
        <v>849</v>
      </c>
      <c r="E324" s="342">
        <f t="shared" si="109"/>
        <v>234</v>
      </c>
      <c r="F324" s="342">
        <f t="shared" si="109"/>
        <v>61</v>
      </c>
      <c r="G324" s="342">
        <f t="shared" si="109"/>
        <v>173</v>
      </c>
      <c r="H324" s="342">
        <f t="shared" si="109"/>
        <v>101</v>
      </c>
      <c r="I324" s="342">
        <f t="shared" si="109"/>
        <v>18</v>
      </c>
      <c r="J324" s="342">
        <f t="shared" si="109"/>
        <v>83</v>
      </c>
      <c r="K324" s="342">
        <f t="shared" si="109"/>
        <v>850</v>
      </c>
      <c r="L324" s="342">
        <f t="shared" si="109"/>
        <v>257</v>
      </c>
      <c r="M324" s="342">
        <f t="shared" si="109"/>
        <v>593</v>
      </c>
      <c r="N324" s="203" t="s">
        <v>145</v>
      </c>
      <c r="O324" s="281" t="s">
        <v>188</v>
      </c>
    </row>
    <row r="325" spans="2:15" ht="18.75" customHeight="1" thickBot="1" x14ac:dyDescent="0.25">
      <c r="B325" s="342">
        <f t="shared" si="109"/>
        <v>5107</v>
      </c>
      <c r="C325" s="342">
        <f t="shared" si="109"/>
        <v>2453</v>
      </c>
      <c r="D325" s="342">
        <f t="shared" si="109"/>
        <v>2654</v>
      </c>
      <c r="E325" s="342">
        <f t="shared" si="109"/>
        <v>2146</v>
      </c>
      <c r="F325" s="342">
        <f t="shared" si="109"/>
        <v>1239</v>
      </c>
      <c r="G325" s="342">
        <f t="shared" si="109"/>
        <v>907</v>
      </c>
      <c r="H325" s="342">
        <f t="shared" si="109"/>
        <v>621</v>
      </c>
      <c r="I325" s="342">
        <f t="shared" si="109"/>
        <v>376</v>
      </c>
      <c r="J325" s="342">
        <f t="shared" si="109"/>
        <v>245</v>
      </c>
      <c r="K325" s="342">
        <f t="shared" si="109"/>
        <v>2340</v>
      </c>
      <c r="L325" s="342">
        <f t="shared" si="109"/>
        <v>838</v>
      </c>
      <c r="M325" s="342">
        <f t="shared" si="109"/>
        <v>1502</v>
      </c>
      <c r="N325" s="203" t="s">
        <v>12</v>
      </c>
      <c r="O325" s="282"/>
    </row>
    <row r="326" spans="2:15" ht="18.75" customHeight="1" thickBot="1" x14ac:dyDescent="0.25">
      <c r="B326" s="589"/>
      <c r="C326" s="589"/>
      <c r="D326" s="589"/>
      <c r="E326" s="589"/>
      <c r="F326" s="589"/>
      <c r="G326" s="589"/>
      <c r="H326" s="589"/>
      <c r="I326" s="589"/>
      <c r="J326" s="589"/>
      <c r="K326" s="589"/>
      <c r="L326" s="589"/>
    </row>
    <row r="327" spans="2:15" ht="18.75" customHeight="1" thickBot="1" x14ac:dyDescent="0.25">
      <c r="B327" s="482" t="s">
        <v>4</v>
      </c>
      <c r="C327" s="482"/>
      <c r="D327" s="482"/>
      <c r="E327" s="482" t="s">
        <v>60</v>
      </c>
      <c r="F327" s="482"/>
      <c r="G327" s="482"/>
      <c r="H327" s="482" t="s">
        <v>57</v>
      </c>
      <c r="I327" s="482"/>
      <c r="J327" s="482"/>
      <c r="K327" s="482" t="s">
        <v>56</v>
      </c>
      <c r="L327" s="482"/>
      <c r="M327" s="482"/>
      <c r="N327" s="575" t="s">
        <v>792</v>
      </c>
      <c r="O327" s="304" t="s">
        <v>144</v>
      </c>
    </row>
    <row r="328" spans="2:15" ht="18.75" customHeight="1" thickBot="1" x14ac:dyDescent="0.25">
      <c r="B328" s="203" t="s">
        <v>227</v>
      </c>
      <c r="C328" s="203" t="s">
        <v>10</v>
      </c>
      <c r="D328" s="203" t="s">
        <v>9</v>
      </c>
      <c r="E328" s="203" t="s">
        <v>227</v>
      </c>
      <c r="F328" s="203" t="s">
        <v>10</v>
      </c>
      <c r="G328" s="203" t="s">
        <v>9</v>
      </c>
      <c r="H328" s="203" t="s">
        <v>227</v>
      </c>
      <c r="I328" s="203" t="s">
        <v>10</v>
      </c>
      <c r="J328" s="203" t="s">
        <v>9</v>
      </c>
      <c r="K328" s="203" t="s">
        <v>227</v>
      </c>
      <c r="L328" s="203" t="s">
        <v>10</v>
      </c>
      <c r="M328" s="203" t="s">
        <v>9</v>
      </c>
      <c r="N328" s="481"/>
      <c r="O328" s="282" t="s">
        <v>90</v>
      </c>
    </row>
    <row r="329" spans="2:15" ht="18.75" customHeight="1" thickBot="1" x14ac:dyDescent="0.25">
      <c r="B329" s="342">
        <f>SUM(C329:D329)</f>
        <v>117</v>
      </c>
      <c r="C329" s="342">
        <f>L329+I329+F329</f>
        <v>0</v>
      </c>
      <c r="D329" s="342">
        <f>M329+J329+G329</f>
        <v>117</v>
      </c>
      <c r="E329" s="342">
        <f>SUM(F329:G329)</f>
        <v>14</v>
      </c>
      <c r="F329" s="342">
        <v>0</v>
      </c>
      <c r="G329" s="342">
        <v>14</v>
      </c>
      <c r="H329" s="342">
        <f>SUM(I329:J329)</f>
        <v>11</v>
      </c>
      <c r="I329" s="342">
        <v>0</v>
      </c>
      <c r="J329" s="342">
        <v>11</v>
      </c>
      <c r="K329" s="342">
        <f>SUM(L329:M329)</f>
        <v>92</v>
      </c>
      <c r="L329" s="342">
        <v>0</v>
      </c>
      <c r="M329" s="342">
        <v>92</v>
      </c>
      <c r="N329" s="203" t="s">
        <v>146</v>
      </c>
      <c r="O329" s="306"/>
    </row>
    <row r="330" spans="2:15" ht="18.75" customHeight="1" thickBot="1" x14ac:dyDescent="0.25">
      <c r="B330" s="342">
        <f>SUM(C330:D330)</f>
        <v>120</v>
      </c>
      <c r="C330" s="342">
        <f t="shared" ref="C330:D357" si="110">L330+I330+F330</f>
        <v>0</v>
      </c>
      <c r="D330" s="342">
        <f t="shared" si="110"/>
        <v>120</v>
      </c>
      <c r="E330" s="342">
        <f>SUM(F330:G330)</f>
        <v>0</v>
      </c>
      <c r="F330" s="342">
        <v>0</v>
      </c>
      <c r="G330" s="342">
        <v>0</v>
      </c>
      <c r="H330" s="342">
        <f>SUM(I330:J330)</f>
        <v>26</v>
      </c>
      <c r="I330" s="342">
        <v>0</v>
      </c>
      <c r="J330" s="342">
        <v>26</v>
      </c>
      <c r="K330" s="342">
        <f>SUM(L330:M330)</f>
        <v>94</v>
      </c>
      <c r="L330" s="342">
        <v>0</v>
      </c>
      <c r="M330" s="342">
        <v>94</v>
      </c>
      <c r="N330" s="203" t="s">
        <v>145</v>
      </c>
      <c r="O330" s="306" t="s">
        <v>420</v>
      </c>
    </row>
    <row r="331" spans="2:15" ht="18.75" customHeight="1" thickBot="1" x14ac:dyDescent="0.25">
      <c r="B331" s="342">
        <f t="shared" ref="B331:L331" si="111">SUM(B329:B330)</f>
        <v>237</v>
      </c>
      <c r="C331" s="342">
        <f t="shared" si="111"/>
        <v>0</v>
      </c>
      <c r="D331" s="342">
        <f t="shared" si="111"/>
        <v>237</v>
      </c>
      <c r="E331" s="342">
        <f t="shared" si="111"/>
        <v>14</v>
      </c>
      <c r="F331" s="342">
        <f t="shared" si="111"/>
        <v>0</v>
      </c>
      <c r="G331" s="342">
        <f t="shared" si="111"/>
        <v>14</v>
      </c>
      <c r="H331" s="342">
        <f t="shared" si="111"/>
        <v>37</v>
      </c>
      <c r="I331" s="342">
        <f t="shared" si="111"/>
        <v>0</v>
      </c>
      <c r="J331" s="342">
        <f t="shared" si="111"/>
        <v>37</v>
      </c>
      <c r="K331" s="342">
        <f t="shared" si="111"/>
        <v>186</v>
      </c>
      <c r="L331" s="342">
        <f t="shared" si="111"/>
        <v>0</v>
      </c>
      <c r="M331" s="342">
        <f>SUM(M329:M330)</f>
        <v>186</v>
      </c>
      <c r="N331" s="203" t="s">
        <v>12</v>
      </c>
      <c r="O331" s="307"/>
    </row>
    <row r="332" spans="2:15" ht="18.75" customHeight="1" thickBot="1" x14ac:dyDescent="0.25">
      <c r="B332" s="342">
        <f>SUM(C332:D332)</f>
        <v>50</v>
      </c>
      <c r="C332" s="342">
        <f t="shared" si="110"/>
        <v>0</v>
      </c>
      <c r="D332" s="342">
        <f t="shared" si="110"/>
        <v>50</v>
      </c>
      <c r="E332" s="342">
        <f>SUM(F332:G332)</f>
        <v>14</v>
      </c>
      <c r="F332" s="342">
        <v>0</v>
      </c>
      <c r="G332" s="342">
        <v>14</v>
      </c>
      <c r="H332" s="342">
        <f>SUM(I332:J332)</f>
        <v>9</v>
      </c>
      <c r="I332" s="342">
        <v>0</v>
      </c>
      <c r="J332" s="342">
        <v>9</v>
      </c>
      <c r="K332" s="342">
        <f>SUM(L332:M332)</f>
        <v>27</v>
      </c>
      <c r="L332" s="342">
        <v>0</v>
      </c>
      <c r="M332" s="342">
        <v>27</v>
      </c>
      <c r="N332" s="203" t="s">
        <v>146</v>
      </c>
      <c r="O332" s="306"/>
    </row>
    <row r="333" spans="2:15" ht="18.75" customHeight="1" thickBot="1" x14ac:dyDescent="0.25">
      <c r="B333" s="342">
        <f>SUM(C333:D333)</f>
        <v>47</v>
      </c>
      <c r="C333" s="342">
        <f t="shared" si="110"/>
        <v>0</v>
      </c>
      <c r="D333" s="342">
        <f t="shared" si="110"/>
        <v>47</v>
      </c>
      <c r="E333" s="342">
        <f>SUM(F333:G333)</f>
        <v>2</v>
      </c>
      <c r="F333" s="342">
        <v>0</v>
      </c>
      <c r="G333" s="342">
        <v>2</v>
      </c>
      <c r="H333" s="342">
        <f>SUM(I333:J333)</f>
        <v>9</v>
      </c>
      <c r="I333" s="342">
        <v>0</v>
      </c>
      <c r="J333" s="342">
        <v>9</v>
      </c>
      <c r="K333" s="342">
        <f>SUM(L333:M333)</f>
        <v>36</v>
      </c>
      <c r="L333" s="342">
        <v>0</v>
      </c>
      <c r="M333" s="342">
        <v>36</v>
      </c>
      <c r="N333" s="203" t="s">
        <v>145</v>
      </c>
      <c r="O333" s="306" t="s">
        <v>648</v>
      </c>
    </row>
    <row r="334" spans="2:15" ht="18.75" customHeight="1" thickBot="1" x14ac:dyDescent="0.25">
      <c r="B334" s="342">
        <f t="shared" ref="B334:L334" si="112">SUM(B332:B333)</f>
        <v>97</v>
      </c>
      <c r="C334" s="342">
        <f t="shared" si="112"/>
        <v>0</v>
      </c>
      <c r="D334" s="342">
        <f t="shared" si="112"/>
        <v>97</v>
      </c>
      <c r="E334" s="342">
        <f t="shared" si="112"/>
        <v>16</v>
      </c>
      <c r="F334" s="342">
        <f t="shared" si="112"/>
        <v>0</v>
      </c>
      <c r="G334" s="342">
        <f t="shared" si="112"/>
        <v>16</v>
      </c>
      <c r="H334" s="342">
        <f t="shared" si="112"/>
        <v>18</v>
      </c>
      <c r="I334" s="342">
        <f t="shared" si="112"/>
        <v>0</v>
      </c>
      <c r="J334" s="342">
        <f t="shared" si="112"/>
        <v>18</v>
      </c>
      <c r="K334" s="342">
        <f t="shared" si="112"/>
        <v>63</v>
      </c>
      <c r="L334" s="342">
        <f t="shared" si="112"/>
        <v>0</v>
      </c>
      <c r="M334" s="342">
        <f>SUM(M332:M333)</f>
        <v>63</v>
      </c>
      <c r="N334" s="203" t="s">
        <v>12</v>
      </c>
      <c r="O334" s="307"/>
    </row>
    <row r="335" spans="2:15" ht="18.75" customHeight="1" thickBot="1" x14ac:dyDescent="0.25">
      <c r="B335" s="342">
        <f>SUM(C335:D335)</f>
        <v>46</v>
      </c>
      <c r="C335" s="342">
        <f t="shared" si="110"/>
        <v>0</v>
      </c>
      <c r="D335" s="342">
        <f t="shared" si="110"/>
        <v>46</v>
      </c>
      <c r="E335" s="342">
        <f>SUM(F335:G335)</f>
        <v>16</v>
      </c>
      <c r="F335" s="342">
        <v>0</v>
      </c>
      <c r="G335" s="342">
        <v>16</v>
      </c>
      <c r="H335" s="342">
        <f>SUM(I335:J335)</f>
        <v>4</v>
      </c>
      <c r="I335" s="342">
        <v>0</v>
      </c>
      <c r="J335" s="342">
        <v>4</v>
      </c>
      <c r="K335" s="342">
        <f>SUM(L335:M335)</f>
        <v>26</v>
      </c>
      <c r="L335" s="342">
        <v>0</v>
      </c>
      <c r="M335" s="342">
        <v>26</v>
      </c>
      <c r="N335" s="203" t="s">
        <v>146</v>
      </c>
      <c r="O335" s="306"/>
    </row>
    <row r="336" spans="2:15" ht="18.75" customHeight="1" thickBot="1" x14ac:dyDescent="0.25">
      <c r="B336" s="342">
        <f>SUM(C336:D336)</f>
        <v>74</v>
      </c>
      <c r="C336" s="342">
        <f t="shared" si="110"/>
        <v>0</v>
      </c>
      <c r="D336" s="342">
        <f t="shared" si="110"/>
        <v>74</v>
      </c>
      <c r="E336" s="342">
        <f>SUM(F336:G336)</f>
        <v>0</v>
      </c>
      <c r="F336" s="342">
        <v>0</v>
      </c>
      <c r="G336" s="342">
        <v>0</v>
      </c>
      <c r="H336" s="342">
        <f>SUM(I336:J336)</f>
        <v>21</v>
      </c>
      <c r="I336" s="342">
        <v>0</v>
      </c>
      <c r="J336" s="342">
        <v>21</v>
      </c>
      <c r="K336" s="342">
        <f>SUM(L336:M336)</f>
        <v>53</v>
      </c>
      <c r="L336" s="342">
        <v>0</v>
      </c>
      <c r="M336" s="342">
        <v>53</v>
      </c>
      <c r="N336" s="203" t="s">
        <v>145</v>
      </c>
      <c r="O336" s="306" t="s">
        <v>514</v>
      </c>
    </row>
    <row r="337" spans="2:15" ht="18.75" customHeight="1" thickBot="1" x14ac:dyDescent="0.25">
      <c r="B337" s="342">
        <f t="shared" ref="B337:L337" si="113">SUM(B335:B336)</f>
        <v>120</v>
      </c>
      <c r="C337" s="342">
        <f t="shared" si="113"/>
        <v>0</v>
      </c>
      <c r="D337" s="342">
        <f t="shared" si="113"/>
        <v>120</v>
      </c>
      <c r="E337" s="342">
        <f t="shared" si="113"/>
        <v>16</v>
      </c>
      <c r="F337" s="342">
        <f t="shared" si="113"/>
        <v>0</v>
      </c>
      <c r="G337" s="342">
        <f t="shared" si="113"/>
        <v>16</v>
      </c>
      <c r="H337" s="342">
        <f t="shared" si="113"/>
        <v>25</v>
      </c>
      <c r="I337" s="342">
        <f t="shared" si="113"/>
        <v>0</v>
      </c>
      <c r="J337" s="342">
        <f t="shared" si="113"/>
        <v>25</v>
      </c>
      <c r="K337" s="342">
        <f t="shared" si="113"/>
        <v>79</v>
      </c>
      <c r="L337" s="342">
        <f t="shared" si="113"/>
        <v>0</v>
      </c>
      <c r="M337" s="342">
        <f>SUM(M335:M336)</f>
        <v>79</v>
      </c>
      <c r="N337" s="203" t="s">
        <v>12</v>
      </c>
      <c r="O337" s="307"/>
    </row>
    <row r="338" spans="2:15" ht="18.75" customHeight="1" thickBot="1" x14ac:dyDescent="0.25">
      <c r="B338" s="342">
        <f>SUM(C338:D338)</f>
        <v>1</v>
      </c>
      <c r="C338" s="342">
        <f t="shared" si="110"/>
        <v>0</v>
      </c>
      <c r="D338" s="342">
        <f t="shared" si="110"/>
        <v>1</v>
      </c>
      <c r="E338" s="342">
        <f>SUM(F338:G338)</f>
        <v>0</v>
      </c>
      <c r="F338" s="342">
        <v>0</v>
      </c>
      <c r="G338" s="342">
        <v>0</v>
      </c>
      <c r="H338" s="342">
        <f>SUM(I338:J338)</f>
        <v>0</v>
      </c>
      <c r="I338" s="342">
        <v>0</v>
      </c>
      <c r="J338" s="342">
        <v>0</v>
      </c>
      <c r="K338" s="342">
        <f>SUM(L338:M338)</f>
        <v>1</v>
      </c>
      <c r="L338" s="342">
        <v>0</v>
      </c>
      <c r="M338" s="342">
        <v>1</v>
      </c>
      <c r="N338" s="203" t="s">
        <v>146</v>
      </c>
      <c r="O338" s="306"/>
    </row>
    <row r="339" spans="2:15" ht="18.75" customHeight="1" thickBot="1" x14ac:dyDescent="0.25">
      <c r="B339" s="342">
        <f>SUM(C339:D339)</f>
        <v>43</v>
      </c>
      <c r="C339" s="342">
        <f t="shared" si="110"/>
        <v>0</v>
      </c>
      <c r="D339" s="342">
        <f t="shared" si="110"/>
        <v>43</v>
      </c>
      <c r="E339" s="342">
        <f>SUM(F339:G339)</f>
        <v>0</v>
      </c>
      <c r="F339" s="342">
        <v>0</v>
      </c>
      <c r="G339" s="342">
        <v>0</v>
      </c>
      <c r="H339" s="342">
        <f>SUM(I339:J339)</f>
        <v>33</v>
      </c>
      <c r="I339" s="342">
        <v>0</v>
      </c>
      <c r="J339" s="342">
        <v>33</v>
      </c>
      <c r="K339" s="342">
        <f>SUM(L339:M339)</f>
        <v>10</v>
      </c>
      <c r="L339" s="342">
        <v>0</v>
      </c>
      <c r="M339" s="342">
        <v>10</v>
      </c>
      <c r="N339" s="203" t="s">
        <v>145</v>
      </c>
      <c r="O339" s="306" t="s">
        <v>89</v>
      </c>
    </row>
    <row r="340" spans="2:15" ht="18.75" customHeight="1" thickBot="1" x14ac:dyDescent="0.25">
      <c r="B340" s="342">
        <f t="shared" ref="B340:L340" si="114">SUM(B338:B339)</f>
        <v>44</v>
      </c>
      <c r="C340" s="342">
        <f t="shared" si="114"/>
        <v>0</v>
      </c>
      <c r="D340" s="342">
        <f t="shared" si="114"/>
        <v>44</v>
      </c>
      <c r="E340" s="342">
        <f t="shared" si="114"/>
        <v>0</v>
      </c>
      <c r="F340" s="342">
        <f t="shared" si="114"/>
        <v>0</v>
      </c>
      <c r="G340" s="342">
        <f t="shared" si="114"/>
        <v>0</v>
      </c>
      <c r="H340" s="342">
        <f t="shared" si="114"/>
        <v>33</v>
      </c>
      <c r="I340" s="342">
        <f t="shared" si="114"/>
        <v>0</v>
      </c>
      <c r="J340" s="342">
        <f t="shared" si="114"/>
        <v>33</v>
      </c>
      <c r="K340" s="342">
        <f t="shared" si="114"/>
        <v>11</v>
      </c>
      <c r="L340" s="342">
        <f t="shared" si="114"/>
        <v>0</v>
      </c>
      <c r="M340" s="342">
        <f>SUM(M338:M339)</f>
        <v>11</v>
      </c>
      <c r="N340" s="203" t="s">
        <v>12</v>
      </c>
      <c r="O340" s="307"/>
    </row>
    <row r="341" spans="2:15" ht="18.75" customHeight="1" thickBot="1" x14ac:dyDescent="0.25">
      <c r="B341" s="342">
        <f>SUM(C341:D341)</f>
        <v>61</v>
      </c>
      <c r="C341" s="342">
        <f t="shared" si="110"/>
        <v>0</v>
      </c>
      <c r="D341" s="342">
        <f t="shared" si="110"/>
        <v>61</v>
      </c>
      <c r="E341" s="342">
        <f>SUM(F341:G341)</f>
        <v>1</v>
      </c>
      <c r="F341" s="342">
        <v>0</v>
      </c>
      <c r="G341" s="342">
        <v>1</v>
      </c>
      <c r="H341" s="342">
        <f>SUM(I341:J341)</f>
        <v>11</v>
      </c>
      <c r="I341" s="342">
        <v>0</v>
      </c>
      <c r="J341" s="342">
        <v>11</v>
      </c>
      <c r="K341" s="342">
        <f>SUM(L341:M341)</f>
        <v>49</v>
      </c>
      <c r="L341" s="342">
        <v>0</v>
      </c>
      <c r="M341" s="342">
        <v>49</v>
      </c>
      <c r="N341" s="203" t="s">
        <v>146</v>
      </c>
      <c r="O341" s="306"/>
    </row>
    <row r="342" spans="2:15" ht="18.75" customHeight="1" thickBot="1" x14ac:dyDescent="0.25">
      <c r="B342" s="342">
        <f>SUM(C342:D342)</f>
        <v>114</v>
      </c>
      <c r="C342" s="342">
        <f t="shared" si="110"/>
        <v>0</v>
      </c>
      <c r="D342" s="342">
        <f t="shared" si="110"/>
        <v>114</v>
      </c>
      <c r="E342" s="342">
        <f>SUM(F342:G342)</f>
        <v>0</v>
      </c>
      <c r="F342" s="342">
        <v>0</v>
      </c>
      <c r="G342" s="342">
        <v>0</v>
      </c>
      <c r="H342" s="342">
        <f>SUM(I342:J342)</f>
        <v>17</v>
      </c>
      <c r="I342" s="342">
        <v>0</v>
      </c>
      <c r="J342" s="342">
        <v>17</v>
      </c>
      <c r="K342" s="342">
        <f>SUM(L342:M342)</f>
        <v>97</v>
      </c>
      <c r="L342" s="342">
        <v>0</v>
      </c>
      <c r="M342" s="342">
        <v>97</v>
      </c>
      <c r="N342" s="203" t="s">
        <v>145</v>
      </c>
      <c r="O342" s="306" t="s">
        <v>367</v>
      </c>
    </row>
    <row r="343" spans="2:15" ht="18.75" customHeight="1" thickBot="1" x14ac:dyDescent="0.25">
      <c r="B343" s="342">
        <f t="shared" ref="B343:L343" si="115">SUM(B341:B342)</f>
        <v>175</v>
      </c>
      <c r="C343" s="342">
        <f t="shared" si="115"/>
        <v>0</v>
      </c>
      <c r="D343" s="342">
        <f t="shared" si="115"/>
        <v>175</v>
      </c>
      <c r="E343" s="342">
        <f t="shared" si="115"/>
        <v>1</v>
      </c>
      <c r="F343" s="342">
        <f t="shared" si="115"/>
        <v>0</v>
      </c>
      <c r="G343" s="342">
        <f t="shared" si="115"/>
        <v>1</v>
      </c>
      <c r="H343" s="342">
        <f t="shared" si="115"/>
        <v>28</v>
      </c>
      <c r="I343" s="342">
        <f t="shared" si="115"/>
        <v>0</v>
      </c>
      <c r="J343" s="342">
        <f t="shared" si="115"/>
        <v>28</v>
      </c>
      <c r="K343" s="342">
        <f t="shared" si="115"/>
        <v>146</v>
      </c>
      <c r="L343" s="342">
        <f t="shared" si="115"/>
        <v>0</v>
      </c>
      <c r="M343" s="342">
        <f>SUM(M341:M342)</f>
        <v>146</v>
      </c>
      <c r="N343" s="203" t="s">
        <v>12</v>
      </c>
      <c r="O343" s="307"/>
    </row>
    <row r="344" spans="2:15" ht="18.75" customHeight="1" thickBot="1" x14ac:dyDescent="0.25">
      <c r="B344" s="342">
        <f>SUM(C344:D344)</f>
        <v>23</v>
      </c>
      <c r="C344" s="342">
        <f t="shared" si="110"/>
        <v>0</v>
      </c>
      <c r="D344" s="342">
        <f t="shared" si="110"/>
        <v>23</v>
      </c>
      <c r="E344" s="342">
        <f>SUM(F344:G344)</f>
        <v>4</v>
      </c>
      <c r="F344" s="342">
        <v>0</v>
      </c>
      <c r="G344" s="342">
        <v>4</v>
      </c>
      <c r="H344" s="342">
        <f>SUM(I344:J344)</f>
        <v>4</v>
      </c>
      <c r="I344" s="342">
        <v>0</v>
      </c>
      <c r="J344" s="342">
        <v>4</v>
      </c>
      <c r="K344" s="342">
        <f>SUM(L344:M344)</f>
        <v>15</v>
      </c>
      <c r="L344" s="342">
        <v>0</v>
      </c>
      <c r="M344" s="342">
        <v>15</v>
      </c>
      <c r="N344" s="203" t="s">
        <v>146</v>
      </c>
      <c r="O344" s="306"/>
    </row>
    <row r="345" spans="2:15" ht="18.75" customHeight="1" thickBot="1" x14ac:dyDescent="0.25">
      <c r="B345" s="342">
        <f>SUM(C345:D345)</f>
        <v>13</v>
      </c>
      <c r="C345" s="342">
        <f t="shared" si="110"/>
        <v>0</v>
      </c>
      <c r="D345" s="342">
        <f t="shared" si="110"/>
        <v>13</v>
      </c>
      <c r="E345" s="342">
        <f>SUM(F345:G345)</f>
        <v>0</v>
      </c>
      <c r="F345" s="342">
        <v>0</v>
      </c>
      <c r="G345" s="342">
        <v>0</v>
      </c>
      <c r="H345" s="342">
        <f>SUM(I345:J345)</f>
        <v>5</v>
      </c>
      <c r="I345" s="342">
        <v>0</v>
      </c>
      <c r="J345" s="342">
        <v>5</v>
      </c>
      <c r="K345" s="342">
        <f>SUM(L345:M345)</f>
        <v>8</v>
      </c>
      <c r="L345" s="342">
        <v>0</v>
      </c>
      <c r="M345" s="342">
        <v>8</v>
      </c>
      <c r="N345" s="203" t="s">
        <v>145</v>
      </c>
      <c r="O345" s="306" t="s">
        <v>405</v>
      </c>
    </row>
    <row r="346" spans="2:15" ht="18.75" customHeight="1" thickBot="1" x14ac:dyDescent="0.25">
      <c r="B346" s="342">
        <f t="shared" ref="B346:L346" si="116">SUM(B344:B345)</f>
        <v>36</v>
      </c>
      <c r="C346" s="342">
        <f t="shared" si="116"/>
        <v>0</v>
      </c>
      <c r="D346" s="342">
        <f t="shared" si="116"/>
        <v>36</v>
      </c>
      <c r="E346" s="342">
        <f t="shared" si="116"/>
        <v>4</v>
      </c>
      <c r="F346" s="342">
        <f t="shared" si="116"/>
        <v>0</v>
      </c>
      <c r="G346" s="342">
        <f t="shared" si="116"/>
        <v>4</v>
      </c>
      <c r="H346" s="342">
        <f t="shared" si="116"/>
        <v>9</v>
      </c>
      <c r="I346" s="342">
        <f t="shared" si="116"/>
        <v>0</v>
      </c>
      <c r="J346" s="342">
        <f t="shared" si="116"/>
        <v>9</v>
      </c>
      <c r="K346" s="342">
        <f t="shared" si="116"/>
        <v>23</v>
      </c>
      <c r="L346" s="342">
        <f t="shared" si="116"/>
        <v>0</v>
      </c>
      <c r="M346" s="342">
        <f>SUM(M344:M345)</f>
        <v>23</v>
      </c>
      <c r="N346" s="203" t="s">
        <v>12</v>
      </c>
      <c r="O346" s="307"/>
    </row>
    <row r="347" spans="2:15" ht="18.75" customHeight="1" thickBot="1" x14ac:dyDescent="0.25">
      <c r="B347" s="342">
        <f>SUM(C347:D347)</f>
        <v>2</v>
      </c>
      <c r="C347" s="342">
        <f t="shared" si="110"/>
        <v>0</v>
      </c>
      <c r="D347" s="342">
        <f t="shared" si="110"/>
        <v>2</v>
      </c>
      <c r="E347" s="342">
        <f>SUM(F347:G347)</f>
        <v>0</v>
      </c>
      <c r="F347" s="342">
        <v>0</v>
      </c>
      <c r="G347" s="342">
        <v>0</v>
      </c>
      <c r="H347" s="342">
        <f>SUM(I347:J347)</f>
        <v>2</v>
      </c>
      <c r="I347" s="342">
        <v>0</v>
      </c>
      <c r="J347" s="342">
        <v>2</v>
      </c>
      <c r="K347" s="342">
        <f>SUM(L347:M347)</f>
        <v>0</v>
      </c>
      <c r="L347" s="342">
        <v>0</v>
      </c>
      <c r="M347" s="342">
        <v>0</v>
      </c>
      <c r="N347" s="203" t="s">
        <v>146</v>
      </c>
      <c r="O347" s="306"/>
    </row>
    <row r="348" spans="2:15" ht="18.75" customHeight="1" thickBot="1" x14ac:dyDescent="0.25">
      <c r="B348" s="342">
        <f>SUM(C348:D348)</f>
        <v>70</v>
      </c>
      <c r="C348" s="342">
        <f t="shared" si="110"/>
        <v>0</v>
      </c>
      <c r="D348" s="342">
        <f t="shared" si="110"/>
        <v>70</v>
      </c>
      <c r="E348" s="342">
        <f>SUM(F348:G348)</f>
        <v>47</v>
      </c>
      <c r="F348" s="342">
        <v>0</v>
      </c>
      <c r="G348" s="342">
        <v>47</v>
      </c>
      <c r="H348" s="342">
        <f>SUM(I348:J348)</f>
        <v>16</v>
      </c>
      <c r="I348" s="342">
        <v>0</v>
      </c>
      <c r="J348" s="342">
        <v>16</v>
      </c>
      <c r="K348" s="342">
        <f>SUM(L348:M348)</f>
        <v>7</v>
      </c>
      <c r="L348" s="342">
        <v>0</v>
      </c>
      <c r="M348" s="342">
        <v>7</v>
      </c>
      <c r="N348" s="203" t="s">
        <v>145</v>
      </c>
      <c r="O348" s="306" t="s">
        <v>91</v>
      </c>
    </row>
    <row r="349" spans="2:15" ht="18.75" customHeight="1" thickBot="1" x14ac:dyDescent="0.25">
      <c r="B349" s="342">
        <f t="shared" ref="B349:L349" si="117">SUM(B347:B348)</f>
        <v>72</v>
      </c>
      <c r="C349" s="342">
        <f t="shared" si="117"/>
        <v>0</v>
      </c>
      <c r="D349" s="342">
        <f t="shared" si="117"/>
        <v>72</v>
      </c>
      <c r="E349" s="342">
        <f t="shared" si="117"/>
        <v>47</v>
      </c>
      <c r="F349" s="342">
        <f t="shared" si="117"/>
        <v>0</v>
      </c>
      <c r="G349" s="342">
        <f t="shared" si="117"/>
        <v>47</v>
      </c>
      <c r="H349" s="342">
        <f t="shared" si="117"/>
        <v>18</v>
      </c>
      <c r="I349" s="342">
        <f t="shared" si="117"/>
        <v>0</v>
      </c>
      <c r="J349" s="342">
        <f t="shared" si="117"/>
        <v>18</v>
      </c>
      <c r="K349" s="342">
        <f t="shared" si="117"/>
        <v>7</v>
      </c>
      <c r="L349" s="342">
        <f t="shared" si="117"/>
        <v>0</v>
      </c>
      <c r="M349" s="342">
        <f>SUM(M347:M348)</f>
        <v>7</v>
      </c>
      <c r="N349" s="203" t="s">
        <v>12</v>
      </c>
      <c r="O349" s="307"/>
    </row>
    <row r="350" spans="2:15" ht="18.75" customHeight="1" thickBot="1" x14ac:dyDescent="0.25">
      <c r="B350" s="342">
        <f>SUM(C350:D350)</f>
        <v>0</v>
      </c>
      <c r="C350" s="342">
        <f t="shared" si="110"/>
        <v>0</v>
      </c>
      <c r="D350" s="342">
        <f t="shared" si="110"/>
        <v>0</v>
      </c>
      <c r="E350" s="342">
        <f>SUM(F350:G350)</f>
        <v>0</v>
      </c>
      <c r="F350" s="342">
        <v>0</v>
      </c>
      <c r="G350" s="342">
        <v>0</v>
      </c>
      <c r="H350" s="342">
        <f>SUM(I350:J350)</f>
        <v>0</v>
      </c>
      <c r="I350" s="342">
        <v>0</v>
      </c>
      <c r="J350" s="342">
        <v>0</v>
      </c>
      <c r="K350" s="342">
        <f>SUM(L350:M350)</f>
        <v>0</v>
      </c>
      <c r="L350" s="342">
        <v>0</v>
      </c>
      <c r="M350" s="342">
        <v>0</v>
      </c>
      <c r="N350" s="203" t="s">
        <v>146</v>
      </c>
      <c r="O350" s="306"/>
    </row>
    <row r="351" spans="2:15" ht="18.75" customHeight="1" thickBot="1" x14ac:dyDescent="0.25">
      <c r="B351" s="342">
        <f>SUM(C351:D351)</f>
        <v>3</v>
      </c>
      <c r="C351" s="342">
        <f t="shared" si="110"/>
        <v>0</v>
      </c>
      <c r="D351" s="342">
        <f t="shared" si="110"/>
        <v>3</v>
      </c>
      <c r="E351" s="342">
        <f>SUM(F351:G351)</f>
        <v>0</v>
      </c>
      <c r="F351" s="342">
        <v>0</v>
      </c>
      <c r="G351" s="342">
        <v>0</v>
      </c>
      <c r="H351" s="342">
        <f>SUM(I351:J351)</f>
        <v>3</v>
      </c>
      <c r="I351" s="342">
        <v>0</v>
      </c>
      <c r="J351" s="342">
        <v>3</v>
      </c>
      <c r="K351" s="342">
        <f>SUM(L351:M351)</f>
        <v>0</v>
      </c>
      <c r="L351" s="342">
        <v>0</v>
      </c>
      <c r="M351" s="342">
        <v>0</v>
      </c>
      <c r="N351" s="203" t="s">
        <v>145</v>
      </c>
      <c r="O351" s="306" t="s">
        <v>744</v>
      </c>
    </row>
    <row r="352" spans="2:15" ht="18.75" customHeight="1" thickBot="1" x14ac:dyDescent="0.25">
      <c r="B352" s="342">
        <f t="shared" ref="B352:L352" si="118">SUM(B350:B351)</f>
        <v>3</v>
      </c>
      <c r="C352" s="342">
        <f t="shared" si="118"/>
        <v>0</v>
      </c>
      <c r="D352" s="342">
        <f t="shared" si="118"/>
        <v>3</v>
      </c>
      <c r="E352" s="342">
        <f t="shared" si="118"/>
        <v>0</v>
      </c>
      <c r="F352" s="342">
        <f t="shared" si="118"/>
        <v>0</v>
      </c>
      <c r="G352" s="342">
        <f t="shared" si="118"/>
        <v>0</v>
      </c>
      <c r="H352" s="342">
        <f t="shared" si="118"/>
        <v>3</v>
      </c>
      <c r="I352" s="342">
        <f t="shared" si="118"/>
        <v>0</v>
      </c>
      <c r="J352" s="342">
        <f t="shared" si="118"/>
        <v>3</v>
      </c>
      <c r="K352" s="342">
        <f t="shared" si="118"/>
        <v>0</v>
      </c>
      <c r="L352" s="342">
        <f t="shared" si="118"/>
        <v>0</v>
      </c>
      <c r="M352" s="342">
        <f>SUM(M350:M351)</f>
        <v>0</v>
      </c>
      <c r="N352" s="203" t="s">
        <v>12</v>
      </c>
      <c r="O352" s="307"/>
    </row>
    <row r="353" spans="2:15" ht="18.75" customHeight="1" thickBot="1" x14ac:dyDescent="0.25">
      <c r="B353" s="342">
        <f>SUM(C353:D353)</f>
        <v>0</v>
      </c>
      <c r="C353" s="342">
        <f t="shared" si="110"/>
        <v>0</v>
      </c>
      <c r="D353" s="342">
        <f t="shared" si="110"/>
        <v>0</v>
      </c>
      <c r="E353" s="342">
        <f>SUM(F353:G353)</f>
        <v>0</v>
      </c>
      <c r="F353" s="342">
        <v>0</v>
      </c>
      <c r="G353" s="342">
        <v>0</v>
      </c>
      <c r="H353" s="342">
        <f>SUM(I353:J353)</f>
        <v>0</v>
      </c>
      <c r="I353" s="342">
        <v>0</v>
      </c>
      <c r="J353" s="342">
        <v>0</v>
      </c>
      <c r="K353" s="342">
        <f>SUM(L353:M353)</f>
        <v>0</v>
      </c>
      <c r="L353" s="342">
        <v>0</v>
      </c>
      <c r="M353" s="342">
        <v>0</v>
      </c>
      <c r="N353" s="203" t="s">
        <v>146</v>
      </c>
      <c r="O353" s="306"/>
    </row>
    <row r="354" spans="2:15" ht="18.75" customHeight="1" thickBot="1" x14ac:dyDescent="0.25">
      <c r="B354" s="342">
        <f>SUM(C354:D354)</f>
        <v>2</v>
      </c>
      <c r="C354" s="342">
        <f t="shared" si="110"/>
        <v>0</v>
      </c>
      <c r="D354" s="342">
        <f t="shared" si="110"/>
        <v>2</v>
      </c>
      <c r="E354" s="342">
        <f>SUM(F354:G354)</f>
        <v>0</v>
      </c>
      <c r="F354" s="342">
        <v>0</v>
      </c>
      <c r="G354" s="342">
        <v>0</v>
      </c>
      <c r="H354" s="342">
        <f>SUM(I354:J354)</f>
        <v>2</v>
      </c>
      <c r="I354" s="342">
        <v>0</v>
      </c>
      <c r="J354" s="342">
        <v>2</v>
      </c>
      <c r="K354" s="342">
        <f>SUM(L354:M354)</f>
        <v>0</v>
      </c>
      <c r="L354" s="342">
        <v>0</v>
      </c>
      <c r="M354" s="342">
        <v>0</v>
      </c>
      <c r="N354" s="203" t="s">
        <v>145</v>
      </c>
      <c r="O354" s="306" t="s">
        <v>763</v>
      </c>
    </row>
    <row r="355" spans="2:15" ht="18.75" customHeight="1" thickBot="1" x14ac:dyDescent="0.25">
      <c r="B355" s="342">
        <f t="shared" ref="B355:L355" si="119">SUM(B353:B354)</f>
        <v>2</v>
      </c>
      <c r="C355" s="342">
        <f t="shared" si="119"/>
        <v>0</v>
      </c>
      <c r="D355" s="342">
        <f t="shared" si="119"/>
        <v>2</v>
      </c>
      <c r="E355" s="342">
        <f t="shared" si="119"/>
        <v>0</v>
      </c>
      <c r="F355" s="342">
        <f t="shared" si="119"/>
        <v>0</v>
      </c>
      <c r="G355" s="342">
        <f t="shared" si="119"/>
        <v>0</v>
      </c>
      <c r="H355" s="342">
        <f t="shared" si="119"/>
        <v>2</v>
      </c>
      <c r="I355" s="342">
        <f t="shared" si="119"/>
        <v>0</v>
      </c>
      <c r="J355" s="342">
        <f t="shared" si="119"/>
        <v>2</v>
      </c>
      <c r="K355" s="342">
        <f t="shared" si="119"/>
        <v>0</v>
      </c>
      <c r="L355" s="342">
        <f t="shared" si="119"/>
        <v>0</v>
      </c>
      <c r="M355" s="342">
        <f>SUM(M353:M354)</f>
        <v>0</v>
      </c>
      <c r="N355" s="203" t="s">
        <v>12</v>
      </c>
      <c r="O355" s="307"/>
    </row>
    <row r="356" spans="2:15" ht="18.75" customHeight="1" thickBot="1" x14ac:dyDescent="0.25">
      <c r="B356" s="342">
        <f>SUM(C356:D356)</f>
        <v>43</v>
      </c>
      <c r="C356" s="342">
        <f t="shared" si="110"/>
        <v>0</v>
      </c>
      <c r="D356" s="342">
        <f t="shared" si="110"/>
        <v>43</v>
      </c>
      <c r="E356" s="342">
        <f>SUM(F356:G356)</f>
        <v>1</v>
      </c>
      <c r="F356" s="342">
        <v>0</v>
      </c>
      <c r="G356" s="342">
        <v>1</v>
      </c>
      <c r="H356" s="342">
        <f>SUM(I356:J356)</f>
        <v>15</v>
      </c>
      <c r="I356" s="342">
        <v>0</v>
      </c>
      <c r="J356" s="342">
        <v>15</v>
      </c>
      <c r="K356" s="342">
        <f>SUM(L356:M356)</f>
        <v>27</v>
      </c>
      <c r="L356" s="342">
        <v>0</v>
      </c>
      <c r="M356" s="342">
        <v>27</v>
      </c>
      <c r="N356" s="203" t="s">
        <v>146</v>
      </c>
      <c r="O356" s="306"/>
    </row>
    <row r="357" spans="2:15" ht="18.75" customHeight="1" thickBot="1" x14ac:dyDescent="0.25">
      <c r="B357" s="342">
        <f>SUM(C357:D357)</f>
        <v>129</v>
      </c>
      <c r="C357" s="342">
        <f t="shared" si="110"/>
        <v>0</v>
      </c>
      <c r="D357" s="342">
        <f t="shared" si="110"/>
        <v>129</v>
      </c>
      <c r="E357" s="342">
        <f>SUM(F357:G357)</f>
        <v>0</v>
      </c>
      <c r="F357" s="342">
        <v>0</v>
      </c>
      <c r="G357" s="342">
        <v>0</v>
      </c>
      <c r="H357" s="342">
        <f>SUM(I357:J357)</f>
        <v>113</v>
      </c>
      <c r="I357" s="342">
        <v>0</v>
      </c>
      <c r="J357" s="342">
        <v>113</v>
      </c>
      <c r="K357" s="342">
        <f>SUM(L357:M357)</f>
        <v>16</v>
      </c>
      <c r="L357" s="342">
        <v>0</v>
      </c>
      <c r="M357" s="342">
        <v>16</v>
      </c>
      <c r="N357" s="203" t="s">
        <v>145</v>
      </c>
      <c r="O357" s="306" t="s">
        <v>764</v>
      </c>
    </row>
    <row r="358" spans="2:15" ht="18.75" customHeight="1" thickBot="1" x14ac:dyDescent="0.25">
      <c r="B358" s="342">
        <f t="shared" ref="B358:L358" si="120">SUM(B356:B357)</f>
        <v>172</v>
      </c>
      <c r="C358" s="342">
        <f t="shared" si="120"/>
        <v>0</v>
      </c>
      <c r="D358" s="342">
        <f t="shared" si="120"/>
        <v>172</v>
      </c>
      <c r="E358" s="342">
        <f t="shared" si="120"/>
        <v>1</v>
      </c>
      <c r="F358" s="342">
        <f t="shared" si="120"/>
        <v>0</v>
      </c>
      <c r="G358" s="342">
        <f t="shared" si="120"/>
        <v>1</v>
      </c>
      <c r="H358" s="342">
        <f t="shared" si="120"/>
        <v>128</v>
      </c>
      <c r="I358" s="342">
        <f t="shared" si="120"/>
        <v>0</v>
      </c>
      <c r="J358" s="342">
        <f t="shared" si="120"/>
        <v>128</v>
      </c>
      <c r="K358" s="342">
        <f t="shared" si="120"/>
        <v>43</v>
      </c>
      <c r="L358" s="342">
        <f t="shared" si="120"/>
        <v>0</v>
      </c>
      <c r="M358" s="342">
        <f>SUM(M356:M357)</f>
        <v>43</v>
      </c>
      <c r="N358" s="203" t="s">
        <v>12</v>
      </c>
      <c r="O358" s="307"/>
    </row>
    <row r="359" spans="2:15" ht="18.75" customHeight="1" thickBot="1" x14ac:dyDescent="0.25">
      <c r="B359" s="342">
        <f t="shared" ref="B359:M361" si="121">B329+B332+B335+B338+B341+B344+B347+B350+B353+B356</f>
        <v>343</v>
      </c>
      <c r="C359" s="342">
        <f t="shared" si="121"/>
        <v>0</v>
      </c>
      <c r="D359" s="342">
        <f t="shared" si="121"/>
        <v>343</v>
      </c>
      <c r="E359" s="342">
        <f t="shared" si="121"/>
        <v>50</v>
      </c>
      <c r="F359" s="342">
        <f t="shared" si="121"/>
        <v>0</v>
      </c>
      <c r="G359" s="342">
        <f t="shared" si="121"/>
        <v>50</v>
      </c>
      <c r="H359" s="342">
        <f t="shared" si="121"/>
        <v>56</v>
      </c>
      <c r="I359" s="342">
        <f t="shared" si="121"/>
        <v>0</v>
      </c>
      <c r="J359" s="342">
        <f t="shared" si="121"/>
        <v>56</v>
      </c>
      <c r="K359" s="342">
        <f t="shared" si="121"/>
        <v>237</v>
      </c>
      <c r="L359" s="342">
        <f t="shared" si="121"/>
        <v>0</v>
      </c>
      <c r="M359" s="342">
        <f t="shared" si="121"/>
        <v>237</v>
      </c>
      <c r="N359" s="203" t="s">
        <v>146</v>
      </c>
      <c r="O359" s="280"/>
    </row>
    <row r="360" spans="2:15" ht="18.75" customHeight="1" thickBot="1" x14ac:dyDescent="0.25">
      <c r="B360" s="342">
        <f t="shared" si="121"/>
        <v>615</v>
      </c>
      <c r="C360" s="342">
        <f t="shared" si="121"/>
        <v>0</v>
      </c>
      <c r="D360" s="342">
        <f t="shared" si="121"/>
        <v>615</v>
      </c>
      <c r="E360" s="342">
        <f t="shared" si="121"/>
        <v>49</v>
      </c>
      <c r="F360" s="342">
        <f t="shared" si="121"/>
        <v>0</v>
      </c>
      <c r="G360" s="342">
        <f t="shared" si="121"/>
        <v>49</v>
      </c>
      <c r="H360" s="342">
        <f t="shared" si="121"/>
        <v>245</v>
      </c>
      <c r="I360" s="342">
        <f t="shared" si="121"/>
        <v>0</v>
      </c>
      <c r="J360" s="342">
        <f t="shared" si="121"/>
        <v>245</v>
      </c>
      <c r="K360" s="342">
        <f t="shared" si="121"/>
        <v>321</v>
      </c>
      <c r="L360" s="342">
        <f t="shared" si="121"/>
        <v>0</v>
      </c>
      <c r="M360" s="342">
        <f t="shared" si="121"/>
        <v>321</v>
      </c>
      <c r="N360" s="203" t="s">
        <v>145</v>
      </c>
      <c r="O360" s="281" t="s">
        <v>188</v>
      </c>
    </row>
    <row r="361" spans="2:15" ht="18.75" customHeight="1" thickBot="1" x14ac:dyDescent="0.25">
      <c r="B361" s="342">
        <f t="shared" si="121"/>
        <v>958</v>
      </c>
      <c r="C361" s="342">
        <f t="shared" si="121"/>
        <v>0</v>
      </c>
      <c r="D361" s="342">
        <f t="shared" si="121"/>
        <v>958</v>
      </c>
      <c r="E361" s="342">
        <f t="shared" si="121"/>
        <v>99</v>
      </c>
      <c r="F361" s="342">
        <f t="shared" si="121"/>
        <v>0</v>
      </c>
      <c r="G361" s="342">
        <f t="shared" si="121"/>
        <v>99</v>
      </c>
      <c r="H361" s="342">
        <f t="shared" si="121"/>
        <v>301</v>
      </c>
      <c r="I361" s="342">
        <f t="shared" si="121"/>
        <v>0</v>
      </c>
      <c r="J361" s="342">
        <f t="shared" si="121"/>
        <v>301</v>
      </c>
      <c r="K361" s="342">
        <f t="shared" si="121"/>
        <v>558</v>
      </c>
      <c r="L361" s="342">
        <f t="shared" si="121"/>
        <v>0</v>
      </c>
      <c r="M361" s="342">
        <f t="shared" si="121"/>
        <v>558</v>
      </c>
      <c r="N361" s="203" t="s">
        <v>12</v>
      </c>
      <c r="O361" s="282"/>
    </row>
    <row r="362" spans="2:15" ht="18.75" customHeight="1" thickBot="1" x14ac:dyDescent="0.25">
      <c r="B362" s="589"/>
      <c r="C362" s="589"/>
      <c r="D362" s="589"/>
      <c r="E362" s="589"/>
      <c r="F362" s="589"/>
      <c r="G362" s="589"/>
      <c r="H362" s="589"/>
      <c r="I362" s="589"/>
      <c r="J362" s="589"/>
      <c r="K362" s="589"/>
      <c r="L362" s="589"/>
    </row>
    <row r="363" spans="2:15" ht="18.75" customHeight="1" thickBot="1" x14ac:dyDescent="0.25">
      <c r="B363" s="482" t="s">
        <v>4</v>
      </c>
      <c r="C363" s="482"/>
      <c r="D363" s="482"/>
      <c r="E363" s="482" t="s">
        <v>60</v>
      </c>
      <c r="F363" s="482"/>
      <c r="G363" s="482"/>
      <c r="H363" s="482" t="s">
        <v>57</v>
      </c>
      <c r="I363" s="482"/>
      <c r="J363" s="482"/>
      <c r="K363" s="482" t="s">
        <v>56</v>
      </c>
      <c r="L363" s="482"/>
      <c r="M363" s="482"/>
      <c r="N363" s="575" t="s">
        <v>792</v>
      </c>
      <c r="O363" s="304" t="s">
        <v>144</v>
      </c>
    </row>
    <row r="364" spans="2:15" ht="18.75" customHeight="1" thickBot="1" x14ac:dyDescent="0.25">
      <c r="B364" s="203" t="s">
        <v>227</v>
      </c>
      <c r="C364" s="203" t="s">
        <v>10</v>
      </c>
      <c r="D364" s="203" t="s">
        <v>9</v>
      </c>
      <c r="E364" s="203" t="s">
        <v>227</v>
      </c>
      <c r="F364" s="203" t="s">
        <v>10</v>
      </c>
      <c r="G364" s="203" t="s">
        <v>9</v>
      </c>
      <c r="H364" s="203" t="s">
        <v>227</v>
      </c>
      <c r="I364" s="203" t="s">
        <v>10</v>
      </c>
      <c r="J364" s="203" t="s">
        <v>9</v>
      </c>
      <c r="K364" s="203" t="s">
        <v>227</v>
      </c>
      <c r="L364" s="203" t="s">
        <v>10</v>
      </c>
      <c r="M364" s="203" t="s">
        <v>9</v>
      </c>
      <c r="N364" s="481"/>
      <c r="O364" s="282" t="s">
        <v>74</v>
      </c>
    </row>
    <row r="365" spans="2:15" ht="18.75" customHeight="1" thickBot="1" x14ac:dyDescent="0.25">
      <c r="B365" s="342">
        <f>SUM(C365:D365)</f>
        <v>121</v>
      </c>
      <c r="C365" s="342">
        <f>L365+I365+F365</f>
        <v>0</v>
      </c>
      <c r="D365" s="342">
        <f>M365+J365+G365</f>
        <v>121</v>
      </c>
      <c r="E365" s="342">
        <f>SUM(F365:G365)</f>
        <v>37</v>
      </c>
      <c r="F365" s="342">
        <v>0</v>
      </c>
      <c r="G365" s="342">
        <v>37</v>
      </c>
      <c r="H365" s="342">
        <f>SUM(I365:J365)</f>
        <v>72</v>
      </c>
      <c r="I365" s="342">
        <v>0</v>
      </c>
      <c r="J365" s="342">
        <v>72</v>
      </c>
      <c r="K365" s="342">
        <f>SUM(L365:M365)</f>
        <v>12</v>
      </c>
      <c r="L365" s="342">
        <v>0</v>
      </c>
      <c r="M365" s="342">
        <v>12</v>
      </c>
      <c r="N365" s="203" t="s">
        <v>146</v>
      </c>
      <c r="O365" s="306"/>
    </row>
    <row r="366" spans="2:15" ht="18.75" customHeight="1" thickBot="1" x14ac:dyDescent="0.25">
      <c r="B366" s="342">
        <f>SUM(C366:D366)</f>
        <v>70</v>
      </c>
      <c r="C366" s="342">
        <f t="shared" ref="C366:D429" si="122">L366+I366+F366</f>
        <v>0</v>
      </c>
      <c r="D366" s="342">
        <f t="shared" si="122"/>
        <v>70</v>
      </c>
      <c r="E366" s="342">
        <f>SUM(F366:G366)</f>
        <v>18</v>
      </c>
      <c r="F366" s="342">
        <v>0</v>
      </c>
      <c r="G366" s="342">
        <v>18</v>
      </c>
      <c r="H366" s="342">
        <f>SUM(I366:J366)</f>
        <v>4</v>
      </c>
      <c r="I366" s="342">
        <v>0</v>
      </c>
      <c r="J366" s="342">
        <v>4</v>
      </c>
      <c r="K366" s="342">
        <f>SUM(L366:M366)</f>
        <v>48</v>
      </c>
      <c r="L366" s="342">
        <v>0</v>
      </c>
      <c r="M366" s="342">
        <v>48</v>
      </c>
      <c r="N366" s="203" t="s">
        <v>145</v>
      </c>
      <c r="O366" s="306" t="s">
        <v>649</v>
      </c>
    </row>
    <row r="367" spans="2:15" ht="18.75" customHeight="1" thickBot="1" x14ac:dyDescent="0.25">
      <c r="B367" s="342">
        <f t="shared" ref="B367:L367" si="123">SUM(B365:B366)</f>
        <v>191</v>
      </c>
      <c r="C367" s="342">
        <f t="shared" si="123"/>
        <v>0</v>
      </c>
      <c r="D367" s="342">
        <f t="shared" si="123"/>
        <v>191</v>
      </c>
      <c r="E367" s="342">
        <f t="shared" si="123"/>
        <v>55</v>
      </c>
      <c r="F367" s="342">
        <f t="shared" si="123"/>
        <v>0</v>
      </c>
      <c r="G367" s="342">
        <f t="shared" si="123"/>
        <v>55</v>
      </c>
      <c r="H367" s="342">
        <f t="shared" si="123"/>
        <v>76</v>
      </c>
      <c r="I367" s="342">
        <f t="shared" si="123"/>
        <v>0</v>
      </c>
      <c r="J367" s="342">
        <f t="shared" si="123"/>
        <v>76</v>
      </c>
      <c r="K367" s="342">
        <f t="shared" si="123"/>
        <v>60</v>
      </c>
      <c r="L367" s="342">
        <f t="shared" si="123"/>
        <v>0</v>
      </c>
      <c r="M367" s="342">
        <f>SUM(M365:M366)</f>
        <v>60</v>
      </c>
      <c r="N367" s="203" t="s">
        <v>12</v>
      </c>
      <c r="O367" s="307"/>
    </row>
    <row r="368" spans="2:15" ht="18.75" customHeight="1" thickBot="1" x14ac:dyDescent="0.25">
      <c r="B368" s="342">
        <f>SUM(C368:D368)</f>
        <v>42</v>
      </c>
      <c r="C368" s="342">
        <f t="shared" si="122"/>
        <v>0</v>
      </c>
      <c r="D368" s="342">
        <f t="shared" si="122"/>
        <v>42</v>
      </c>
      <c r="E368" s="342">
        <f>SUM(F368:G368)</f>
        <v>10</v>
      </c>
      <c r="F368" s="342">
        <v>0</v>
      </c>
      <c r="G368" s="342">
        <v>10</v>
      </c>
      <c r="H368" s="342">
        <f>SUM(I368:J368)</f>
        <v>0</v>
      </c>
      <c r="I368" s="342">
        <v>0</v>
      </c>
      <c r="J368" s="342">
        <v>0</v>
      </c>
      <c r="K368" s="342">
        <f>SUM(L368:M368)</f>
        <v>32</v>
      </c>
      <c r="L368" s="342">
        <v>0</v>
      </c>
      <c r="M368" s="342">
        <v>32</v>
      </c>
      <c r="N368" s="203" t="s">
        <v>146</v>
      </c>
      <c r="O368" s="306"/>
    </row>
    <row r="369" spans="2:15" ht="18.75" customHeight="1" thickBot="1" x14ac:dyDescent="0.25">
      <c r="B369" s="342">
        <f>SUM(C369:D369)</f>
        <v>15</v>
      </c>
      <c r="C369" s="342">
        <f t="shared" si="122"/>
        <v>0</v>
      </c>
      <c r="D369" s="342">
        <f t="shared" si="122"/>
        <v>15</v>
      </c>
      <c r="E369" s="342">
        <f>SUM(F369:G369)</f>
        <v>0</v>
      </c>
      <c r="F369" s="342">
        <v>0</v>
      </c>
      <c r="G369" s="342">
        <v>0</v>
      </c>
      <c r="H369" s="342">
        <f>SUM(I369:J369)</f>
        <v>0</v>
      </c>
      <c r="I369" s="342">
        <v>0</v>
      </c>
      <c r="J369" s="342">
        <v>0</v>
      </c>
      <c r="K369" s="342">
        <f>SUM(L369:M369)</f>
        <v>15</v>
      </c>
      <c r="L369" s="342">
        <v>0</v>
      </c>
      <c r="M369" s="342">
        <v>15</v>
      </c>
      <c r="N369" s="203" t="s">
        <v>145</v>
      </c>
      <c r="O369" s="306" t="s">
        <v>426</v>
      </c>
    </row>
    <row r="370" spans="2:15" ht="18.75" customHeight="1" thickBot="1" x14ac:dyDescent="0.25">
      <c r="B370" s="342">
        <f t="shared" ref="B370:L370" si="124">SUM(B368:B369)</f>
        <v>57</v>
      </c>
      <c r="C370" s="342">
        <f t="shared" si="124"/>
        <v>0</v>
      </c>
      <c r="D370" s="342">
        <f t="shared" si="124"/>
        <v>57</v>
      </c>
      <c r="E370" s="342">
        <f t="shared" si="124"/>
        <v>10</v>
      </c>
      <c r="F370" s="342">
        <f t="shared" si="124"/>
        <v>0</v>
      </c>
      <c r="G370" s="342">
        <f t="shared" si="124"/>
        <v>10</v>
      </c>
      <c r="H370" s="342">
        <f t="shared" si="124"/>
        <v>0</v>
      </c>
      <c r="I370" s="342">
        <f t="shared" si="124"/>
        <v>0</v>
      </c>
      <c r="J370" s="342">
        <f t="shared" si="124"/>
        <v>0</v>
      </c>
      <c r="K370" s="342">
        <f t="shared" si="124"/>
        <v>47</v>
      </c>
      <c r="L370" s="342">
        <f t="shared" si="124"/>
        <v>0</v>
      </c>
      <c r="M370" s="342">
        <f>SUM(M368:M369)</f>
        <v>47</v>
      </c>
      <c r="N370" s="203" t="s">
        <v>12</v>
      </c>
      <c r="O370" s="307"/>
    </row>
    <row r="371" spans="2:15" ht="18.75" customHeight="1" thickBot="1" x14ac:dyDescent="0.25">
      <c r="B371" s="342">
        <f>SUM(C371:D371)</f>
        <v>118</v>
      </c>
      <c r="C371" s="342">
        <f t="shared" si="122"/>
        <v>26</v>
      </c>
      <c r="D371" s="342">
        <f t="shared" si="122"/>
        <v>92</v>
      </c>
      <c r="E371" s="342">
        <f>SUM(F371:G371)</f>
        <v>31</v>
      </c>
      <c r="F371" s="342">
        <v>9</v>
      </c>
      <c r="G371" s="342">
        <v>22</v>
      </c>
      <c r="H371" s="342">
        <f>SUM(I371:J371)</f>
        <v>27</v>
      </c>
      <c r="I371" s="342">
        <v>15</v>
      </c>
      <c r="J371" s="342">
        <v>12</v>
      </c>
      <c r="K371" s="342">
        <f>SUM(L371:M371)</f>
        <v>60</v>
      </c>
      <c r="L371" s="342">
        <v>2</v>
      </c>
      <c r="M371" s="342">
        <v>58</v>
      </c>
      <c r="N371" s="203" t="s">
        <v>146</v>
      </c>
      <c r="O371" s="306"/>
    </row>
    <row r="372" spans="2:15" ht="18.75" customHeight="1" thickBot="1" x14ac:dyDescent="0.25">
      <c r="B372" s="342">
        <f>SUM(C372:D372)</f>
        <v>29</v>
      </c>
      <c r="C372" s="342">
        <f t="shared" si="122"/>
        <v>13</v>
      </c>
      <c r="D372" s="342">
        <f t="shared" si="122"/>
        <v>16</v>
      </c>
      <c r="E372" s="342">
        <f>SUM(F372:G372)</f>
        <v>3</v>
      </c>
      <c r="F372" s="342">
        <v>0</v>
      </c>
      <c r="G372" s="342">
        <v>3</v>
      </c>
      <c r="H372" s="342">
        <f>SUM(I372:J372)</f>
        <v>3</v>
      </c>
      <c r="I372" s="342">
        <v>0</v>
      </c>
      <c r="J372" s="342">
        <v>3</v>
      </c>
      <c r="K372" s="342">
        <f>SUM(L372:M372)</f>
        <v>23</v>
      </c>
      <c r="L372" s="342">
        <v>13</v>
      </c>
      <c r="M372" s="342">
        <v>10</v>
      </c>
      <c r="N372" s="203" t="s">
        <v>145</v>
      </c>
      <c r="O372" s="306" t="s">
        <v>427</v>
      </c>
    </row>
    <row r="373" spans="2:15" ht="18.75" customHeight="1" thickBot="1" x14ac:dyDescent="0.25">
      <c r="B373" s="342">
        <f t="shared" ref="B373:D373" si="125">SUM(B371:B372)</f>
        <v>147</v>
      </c>
      <c r="C373" s="342">
        <f t="shared" si="125"/>
        <v>39</v>
      </c>
      <c r="D373" s="342">
        <f t="shared" si="125"/>
        <v>108</v>
      </c>
      <c r="E373" s="342">
        <f t="shared" ref="E373" si="126">SUM(E371:E372)</f>
        <v>34</v>
      </c>
      <c r="F373" s="342">
        <f t="shared" ref="F373:L373" si="127">SUM(F371:F372)</f>
        <v>9</v>
      </c>
      <c r="G373" s="342">
        <f t="shared" si="127"/>
        <v>25</v>
      </c>
      <c r="H373" s="342">
        <f t="shared" si="127"/>
        <v>30</v>
      </c>
      <c r="I373" s="342">
        <f t="shared" si="127"/>
        <v>15</v>
      </c>
      <c r="J373" s="342">
        <f t="shared" si="127"/>
        <v>15</v>
      </c>
      <c r="K373" s="342">
        <f t="shared" si="127"/>
        <v>83</v>
      </c>
      <c r="L373" s="342">
        <f t="shared" si="127"/>
        <v>15</v>
      </c>
      <c r="M373" s="342">
        <f>SUM(M371:M372)</f>
        <v>68</v>
      </c>
      <c r="N373" s="203" t="s">
        <v>12</v>
      </c>
      <c r="O373" s="307"/>
    </row>
    <row r="374" spans="2:15" ht="18.75" customHeight="1" thickBot="1" x14ac:dyDescent="0.25">
      <c r="B374" s="342">
        <f>SUM(C374:D374)</f>
        <v>145</v>
      </c>
      <c r="C374" s="342">
        <f t="shared" si="122"/>
        <v>69</v>
      </c>
      <c r="D374" s="342">
        <f t="shared" si="122"/>
        <v>76</v>
      </c>
      <c r="E374" s="342">
        <f>SUM(F374:G374)</f>
        <v>65</v>
      </c>
      <c r="F374" s="342">
        <v>43</v>
      </c>
      <c r="G374" s="342">
        <v>22</v>
      </c>
      <c r="H374" s="342">
        <f>SUM(I374:J374)</f>
        <v>23</v>
      </c>
      <c r="I374" s="342">
        <v>11</v>
      </c>
      <c r="J374" s="342">
        <v>12</v>
      </c>
      <c r="K374" s="342">
        <f>SUM(L374:M374)</f>
        <v>57</v>
      </c>
      <c r="L374" s="342">
        <v>15</v>
      </c>
      <c r="M374" s="342">
        <v>42</v>
      </c>
      <c r="N374" s="203" t="s">
        <v>146</v>
      </c>
      <c r="O374" s="306"/>
    </row>
    <row r="375" spans="2:15" ht="18.75" customHeight="1" thickBot="1" x14ac:dyDescent="0.25">
      <c r="B375" s="342">
        <f>SUM(C375:D375)</f>
        <v>58</v>
      </c>
      <c r="C375" s="342">
        <f t="shared" si="122"/>
        <v>22</v>
      </c>
      <c r="D375" s="342">
        <f t="shared" si="122"/>
        <v>36</v>
      </c>
      <c r="E375" s="342">
        <f>SUM(F375:G375)</f>
        <v>0</v>
      </c>
      <c r="F375" s="342">
        <v>0</v>
      </c>
      <c r="G375" s="342">
        <v>0</v>
      </c>
      <c r="H375" s="342">
        <f>SUM(I375:J375)</f>
        <v>4</v>
      </c>
      <c r="I375" s="342">
        <v>1</v>
      </c>
      <c r="J375" s="342">
        <v>3</v>
      </c>
      <c r="K375" s="342">
        <f>SUM(L375:M375)</f>
        <v>54</v>
      </c>
      <c r="L375" s="342">
        <v>21</v>
      </c>
      <c r="M375" s="342">
        <v>33</v>
      </c>
      <c r="N375" s="203" t="s">
        <v>145</v>
      </c>
      <c r="O375" s="306" t="s">
        <v>429</v>
      </c>
    </row>
    <row r="376" spans="2:15" ht="18.75" customHeight="1" thickBot="1" x14ac:dyDescent="0.25">
      <c r="B376" s="342">
        <f t="shared" ref="B376:L376" si="128">SUM(B374:B375)</f>
        <v>203</v>
      </c>
      <c r="C376" s="342">
        <f t="shared" si="128"/>
        <v>91</v>
      </c>
      <c r="D376" s="342">
        <f t="shared" si="128"/>
        <v>112</v>
      </c>
      <c r="E376" s="342">
        <f t="shared" si="128"/>
        <v>65</v>
      </c>
      <c r="F376" s="342">
        <f t="shared" si="128"/>
        <v>43</v>
      </c>
      <c r="G376" s="342">
        <f t="shared" si="128"/>
        <v>22</v>
      </c>
      <c r="H376" s="342">
        <f t="shared" si="128"/>
        <v>27</v>
      </c>
      <c r="I376" s="342">
        <f t="shared" si="128"/>
        <v>12</v>
      </c>
      <c r="J376" s="342">
        <f t="shared" si="128"/>
        <v>15</v>
      </c>
      <c r="K376" s="342">
        <f t="shared" si="128"/>
        <v>111</v>
      </c>
      <c r="L376" s="342">
        <f t="shared" si="128"/>
        <v>36</v>
      </c>
      <c r="M376" s="342">
        <f>SUM(M374:M375)</f>
        <v>75</v>
      </c>
      <c r="N376" s="203" t="s">
        <v>12</v>
      </c>
      <c r="O376" s="307"/>
    </row>
    <row r="377" spans="2:15" ht="18.75" customHeight="1" thickBot="1" x14ac:dyDescent="0.25">
      <c r="B377" s="342">
        <f>SUM(C377:D377)</f>
        <v>69</v>
      </c>
      <c r="C377" s="342">
        <f t="shared" si="122"/>
        <v>7</v>
      </c>
      <c r="D377" s="342">
        <f t="shared" si="122"/>
        <v>62</v>
      </c>
      <c r="E377" s="342">
        <f>SUM(F377:G377)</f>
        <v>31</v>
      </c>
      <c r="F377" s="342">
        <v>7</v>
      </c>
      <c r="G377" s="342">
        <v>24</v>
      </c>
      <c r="H377" s="342">
        <f>SUM(I377:J377)</f>
        <v>13</v>
      </c>
      <c r="I377" s="342">
        <v>0</v>
      </c>
      <c r="J377" s="342">
        <v>13</v>
      </c>
      <c r="K377" s="342">
        <f>SUM(L377:M377)</f>
        <v>25</v>
      </c>
      <c r="L377" s="342">
        <v>0</v>
      </c>
      <c r="M377" s="342">
        <v>25</v>
      </c>
      <c r="N377" s="203" t="s">
        <v>146</v>
      </c>
      <c r="O377" s="306"/>
    </row>
    <row r="378" spans="2:15" ht="18.75" customHeight="1" thickBot="1" x14ac:dyDescent="0.25">
      <c r="B378" s="342">
        <f>SUM(C378:D378)</f>
        <v>25</v>
      </c>
      <c r="C378" s="342">
        <f t="shared" si="122"/>
        <v>0</v>
      </c>
      <c r="D378" s="342">
        <f t="shared" si="122"/>
        <v>25</v>
      </c>
      <c r="E378" s="342">
        <f>SUM(F378:G378)</f>
        <v>0</v>
      </c>
      <c r="F378" s="342">
        <v>0</v>
      </c>
      <c r="G378" s="342">
        <v>0</v>
      </c>
      <c r="H378" s="342">
        <f>SUM(I378:J378)</f>
        <v>0</v>
      </c>
      <c r="I378" s="342">
        <v>0</v>
      </c>
      <c r="J378" s="342">
        <v>0</v>
      </c>
      <c r="K378" s="342">
        <f>SUM(L378:M378)</f>
        <v>25</v>
      </c>
      <c r="L378" s="342">
        <v>0</v>
      </c>
      <c r="M378" s="342">
        <v>25</v>
      </c>
      <c r="N378" s="203" t="s">
        <v>145</v>
      </c>
      <c r="O378" s="306" t="s">
        <v>430</v>
      </c>
    </row>
    <row r="379" spans="2:15" ht="18.75" customHeight="1" thickBot="1" x14ac:dyDescent="0.25">
      <c r="B379" s="342">
        <f t="shared" ref="B379:L379" si="129">SUM(B377:B378)</f>
        <v>94</v>
      </c>
      <c r="C379" s="342">
        <f t="shared" si="129"/>
        <v>7</v>
      </c>
      <c r="D379" s="342">
        <f t="shared" si="129"/>
        <v>87</v>
      </c>
      <c r="E379" s="342">
        <f t="shared" si="129"/>
        <v>31</v>
      </c>
      <c r="F379" s="342">
        <f t="shared" si="129"/>
        <v>7</v>
      </c>
      <c r="G379" s="342">
        <f t="shared" si="129"/>
        <v>24</v>
      </c>
      <c r="H379" s="342">
        <f t="shared" si="129"/>
        <v>13</v>
      </c>
      <c r="I379" s="342">
        <f t="shared" si="129"/>
        <v>0</v>
      </c>
      <c r="J379" s="342">
        <f t="shared" si="129"/>
        <v>13</v>
      </c>
      <c r="K379" s="342">
        <f t="shared" si="129"/>
        <v>50</v>
      </c>
      <c r="L379" s="342">
        <f t="shared" si="129"/>
        <v>0</v>
      </c>
      <c r="M379" s="342">
        <f>SUM(M377:M378)</f>
        <v>50</v>
      </c>
      <c r="N379" s="203" t="s">
        <v>12</v>
      </c>
      <c r="O379" s="307"/>
    </row>
    <row r="380" spans="2:15" ht="18.75" customHeight="1" thickBot="1" x14ac:dyDescent="0.25">
      <c r="B380" s="342">
        <f>SUM(C380:D380)</f>
        <v>7</v>
      </c>
      <c r="C380" s="342">
        <f t="shared" si="122"/>
        <v>1</v>
      </c>
      <c r="D380" s="342">
        <f t="shared" si="122"/>
        <v>6</v>
      </c>
      <c r="E380" s="342">
        <f>SUM(F380:G380)</f>
        <v>7</v>
      </c>
      <c r="F380" s="342">
        <v>1</v>
      </c>
      <c r="G380" s="342">
        <v>6</v>
      </c>
      <c r="H380" s="342">
        <f>SUM(I380:J380)</f>
        <v>0</v>
      </c>
      <c r="I380" s="342">
        <v>0</v>
      </c>
      <c r="J380" s="342">
        <v>0</v>
      </c>
      <c r="K380" s="342">
        <f>SUM(L380:M380)</f>
        <v>0</v>
      </c>
      <c r="L380" s="342">
        <v>0</v>
      </c>
      <c r="M380" s="342">
        <v>0</v>
      </c>
      <c r="N380" s="203" t="s">
        <v>146</v>
      </c>
      <c r="O380" s="306"/>
    </row>
    <row r="381" spans="2:15" ht="18.75" customHeight="1" thickBot="1" x14ac:dyDescent="0.25">
      <c r="B381" s="342">
        <f>SUM(C381:D381)</f>
        <v>55</v>
      </c>
      <c r="C381" s="342">
        <f t="shared" si="122"/>
        <v>13</v>
      </c>
      <c r="D381" s="342">
        <f t="shared" si="122"/>
        <v>42</v>
      </c>
      <c r="E381" s="342">
        <f>SUM(F381:G381)</f>
        <v>0</v>
      </c>
      <c r="F381" s="342">
        <v>0</v>
      </c>
      <c r="G381" s="342">
        <v>0</v>
      </c>
      <c r="H381" s="342">
        <f>SUM(I381:J381)</f>
        <v>0</v>
      </c>
      <c r="I381" s="342">
        <v>0</v>
      </c>
      <c r="J381" s="342">
        <v>0</v>
      </c>
      <c r="K381" s="342">
        <f>SUM(L381:M381)</f>
        <v>55</v>
      </c>
      <c r="L381" s="342">
        <v>13</v>
      </c>
      <c r="M381" s="342">
        <v>42</v>
      </c>
      <c r="N381" s="203" t="s">
        <v>145</v>
      </c>
      <c r="O381" s="306" t="s">
        <v>431</v>
      </c>
    </row>
    <row r="382" spans="2:15" ht="18.75" customHeight="1" thickBot="1" x14ac:dyDescent="0.25">
      <c r="B382" s="342">
        <f t="shared" ref="B382:L382" si="130">SUM(B380:B381)</f>
        <v>62</v>
      </c>
      <c r="C382" s="342">
        <f t="shared" si="130"/>
        <v>14</v>
      </c>
      <c r="D382" s="342">
        <f t="shared" si="130"/>
        <v>48</v>
      </c>
      <c r="E382" s="342">
        <f t="shared" si="130"/>
        <v>7</v>
      </c>
      <c r="F382" s="342">
        <f t="shared" si="130"/>
        <v>1</v>
      </c>
      <c r="G382" s="342">
        <f t="shared" si="130"/>
        <v>6</v>
      </c>
      <c r="H382" s="342">
        <f t="shared" si="130"/>
        <v>0</v>
      </c>
      <c r="I382" s="342">
        <f t="shared" si="130"/>
        <v>0</v>
      </c>
      <c r="J382" s="342">
        <f t="shared" si="130"/>
        <v>0</v>
      </c>
      <c r="K382" s="342">
        <f t="shared" si="130"/>
        <v>55</v>
      </c>
      <c r="L382" s="342">
        <f t="shared" si="130"/>
        <v>13</v>
      </c>
      <c r="M382" s="342">
        <f>SUM(M380:M381)</f>
        <v>42</v>
      </c>
      <c r="N382" s="203" t="s">
        <v>12</v>
      </c>
      <c r="O382" s="307"/>
    </row>
    <row r="383" spans="2:15" ht="18.75" customHeight="1" thickBot="1" x14ac:dyDescent="0.25">
      <c r="B383" s="342">
        <f>SUM(C383:D383)</f>
        <v>51</v>
      </c>
      <c r="C383" s="342">
        <f t="shared" si="122"/>
        <v>28</v>
      </c>
      <c r="D383" s="342">
        <f t="shared" si="122"/>
        <v>23</v>
      </c>
      <c r="E383" s="342">
        <f>SUM(F383:G383)</f>
        <v>32</v>
      </c>
      <c r="F383" s="342">
        <v>25</v>
      </c>
      <c r="G383" s="342">
        <v>7</v>
      </c>
      <c r="H383" s="342">
        <f>SUM(I383:J383)</f>
        <v>3</v>
      </c>
      <c r="I383" s="342">
        <v>3</v>
      </c>
      <c r="J383" s="342">
        <v>0</v>
      </c>
      <c r="K383" s="342">
        <f>SUM(L383:M383)</f>
        <v>16</v>
      </c>
      <c r="L383" s="342">
        <v>0</v>
      </c>
      <c r="M383" s="342">
        <v>16</v>
      </c>
      <c r="N383" s="203" t="s">
        <v>146</v>
      </c>
      <c r="O383" s="306"/>
    </row>
    <row r="384" spans="2:15" ht="18.75" customHeight="1" thickBot="1" x14ac:dyDescent="0.25">
      <c r="B384" s="342">
        <f>SUM(C384:D384)</f>
        <v>47</v>
      </c>
      <c r="C384" s="342">
        <f t="shared" si="122"/>
        <v>14</v>
      </c>
      <c r="D384" s="342">
        <f t="shared" si="122"/>
        <v>33</v>
      </c>
      <c r="E384" s="342">
        <f>SUM(F384:G384)</f>
        <v>0</v>
      </c>
      <c r="F384" s="342">
        <v>0</v>
      </c>
      <c r="G384" s="342">
        <v>0</v>
      </c>
      <c r="H384" s="342">
        <f>SUM(I384:J384)</f>
        <v>1</v>
      </c>
      <c r="I384" s="342">
        <v>0</v>
      </c>
      <c r="J384" s="342">
        <v>1</v>
      </c>
      <c r="K384" s="342">
        <f>SUM(L384:M384)</f>
        <v>46</v>
      </c>
      <c r="L384" s="342">
        <v>14</v>
      </c>
      <c r="M384" s="342">
        <v>32</v>
      </c>
      <c r="N384" s="203" t="s">
        <v>145</v>
      </c>
      <c r="O384" s="306" t="s">
        <v>432</v>
      </c>
    </row>
    <row r="385" spans="2:15" ht="18.75" customHeight="1" thickBot="1" x14ac:dyDescent="0.25">
      <c r="B385" s="342">
        <f t="shared" ref="B385:L385" si="131">SUM(B383:B384)</f>
        <v>98</v>
      </c>
      <c r="C385" s="342">
        <f t="shared" si="131"/>
        <v>42</v>
      </c>
      <c r="D385" s="342">
        <f t="shared" si="131"/>
        <v>56</v>
      </c>
      <c r="E385" s="342">
        <f t="shared" si="131"/>
        <v>32</v>
      </c>
      <c r="F385" s="342">
        <f t="shared" si="131"/>
        <v>25</v>
      </c>
      <c r="G385" s="342">
        <f t="shared" si="131"/>
        <v>7</v>
      </c>
      <c r="H385" s="342">
        <f t="shared" si="131"/>
        <v>4</v>
      </c>
      <c r="I385" s="342">
        <f t="shared" si="131"/>
        <v>3</v>
      </c>
      <c r="J385" s="342">
        <f t="shared" si="131"/>
        <v>1</v>
      </c>
      <c r="K385" s="342">
        <f t="shared" si="131"/>
        <v>62</v>
      </c>
      <c r="L385" s="342">
        <f t="shared" si="131"/>
        <v>14</v>
      </c>
      <c r="M385" s="342">
        <f>SUM(M383:M384)</f>
        <v>48</v>
      </c>
      <c r="N385" s="203" t="s">
        <v>12</v>
      </c>
      <c r="O385" s="307"/>
    </row>
    <row r="386" spans="2:15" ht="18.75" customHeight="1" thickBot="1" x14ac:dyDescent="0.25">
      <c r="B386" s="342">
        <f>SUM(C386:D386)</f>
        <v>8</v>
      </c>
      <c r="C386" s="342">
        <f t="shared" si="122"/>
        <v>0</v>
      </c>
      <c r="D386" s="342">
        <f t="shared" si="122"/>
        <v>8</v>
      </c>
      <c r="E386" s="342">
        <f>SUM(F386:G386)</f>
        <v>2</v>
      </c>
      <c r="F386" s="342">
        <v>0</v>
      </c>
      <c r="G386" s="342">
        <v>2</v>
      </c>
      <c r="H386" s="342">
        <f>SUM(I386:J386)</f>
        <v>0</v>
      </c>
      <c r="I386" s="342">
        <v>0</v>
      </c>
      <c r="J386" s="342">
        <v>0</v>
      </c>
      <c r="K386" s="342">
        <f>SUM(L386:M386)</f>
        <v>6</v>
      </c>
      <c r="L386" s="342">
        <v>0</v>
      </c>
      <c r="M386" s="342">
        <v>6</v>
      </c>
      <c r="N386" s="203" t="s">
        <v>146</v>
      </c>
      <c r="O386" s="306"/>
    </row>
    <row r="387" spans="2:15" ht="18.75" customHeight="1" thickBot="1" x14ac:dyDescent="0.25">
      <c r="B387" s="342">
        <f>SUM(C387:D387)</f>
        <v>11</v>
      </c>
      <c r="C387" s="342">
        <f t="shared" si="122"/>
        <v>0</v>
      </c>
      <c r="D387" s="342">
        <f t="shared" si="122"/>
        <v>11</v>
      </c>
      <c r="E387" s="342">
        <f>SUM(F387:G387)</f>
        <v>0</v>
      </c>
      <c r="F387" s="342">
        <v>0</v>
      </c>
      <c r="G387" s="342">
        <v>0</v>
      </c>
      <c r="H387" s="342">
        <f>SUM(I387:J387)</f>
        <v>2</v>
      </c>
      <c r="I387" s="342">
        <v>0</v>
      </c>
      <c r="J387" s="342">
        <v>2</v>
      </c>
      <c r="K387" s="342">
        <f>SUM(L387:M387)</f>
        <v>9</v>
      </c>
      <c r="L387" s="342">
        <v>0</v>
      </c>
      <c r="M387" s="342">
        <v>9</v>
      </c>
      <c r="N387" s="203" t="s">
        <v>145</v>
      </c>
      <c r="O387" s="306" t="s">
        <v>433</v>
      </c>
    </row>
    <row r="388" spans="2:15" ht="18.75" customHeight="1" thickBot="1" x14ac:dyDescent="0.25">
      <c r="B388" s="342">
        <f t="shared" ref="B388:L388" si="132">SUM(B386:B387)</f>
        <v>19</v>
      </c>
      <c r="C388" s="342">
        <f t="shared" si="132"/>
        <v>0</v>
      </c>
      <c r="D388" s="342">
        <f t="shared" si="132"/>
        <v>19</v>
      </c>
      <c r="E388" s="342">
        <f t="shared" si="132"/>
        <v>2</v>
      </c>
      <c r="F388" s="342">
        <f t="shared" si="132"/>
        <v>0</v>
      </c>
      <c r="G388" s="342">
        <f t="shared" si="132"/>
        <v>2</v>
      </c>
      <c r="H388" s="342">
        <f t="shared" si="132"/>
        <v>2</v>
      </c>
      <c r="I388" s="342">
        <f t="shared" si="132"/>
        <v>0</v>
      </c>
      <c r="J388" s="342">
        <f t="shared" si="132"/>
        <v>2</v>
      </c>
      <c r="K388" s="342">
        <f t="shared" si="132"/>
        <v>15</v>
      </c>
      <c r="L388" s="342">
        <f t="shared" si="132"/>
        <v>0</v>
      </c>
      <c r="M388" s="342">
        <f>SUM(M386:M387)</f>
        <v>15</v>
      </c>
      <c r="N388" s="203" t="s">
        <v>12</v>
      </c>
      <c r="O388" s="307"/>
    </row>
    <row r="389" spans="2:15" ht="18.75" customHeight="1" thickBot="1" x14ac:dyDescent="0.25">
      <c r="B389" s="342">
        <f>SUM(C389:D389)</f>
        <v>86</v>
      </c>
      <c r="C389" s="342">
        <f t="shared" si="122"/>
        <v>15</v>
      </c>
      <c r="D389" s="342">
        <f t="shared" si="122"/>
        <v>71</v>
      </c>
      <c r="E389" s="342">
        <f>SUM(F389:G389)</f>
        <v>25</v>
      </c>
      <c r="F389" s="342">
        <v>13</v>
      </c>
      <c r="G389" s="342">
        <v>12</v>
      </c>
      <c r="H389" s="342">
        <f>SUM(I389:J389)</f>
        <v>7</v>
      </c>
      <c r="I389" s="342">
        <v>1</v>
      </c>
      <c r="J389" s="342">
        <v>6</v>
      </c>
      <c r="K389" s="342">
        <f>SUM(L389:M389)</f>
        <v>54</v>
      </c>
      <c r="L389" s="342">
        <v>1</v>
      </c>
      <c r="M389" s="342">
        <v>53</v>
      </c>
      <c r="N389" s="203" t="s">
        <v>146</v>
      </c>
      <c r="O389" s="306"/>
    </row>
    <row r="390" spans="2:15" ht="18.75" customHeight="1" thickBot="1" x14ac:dyDescent="0.25">
      <c r="B390" s="342">
        <f>SUM(C390:D390)</f>
        <v>22</v>
      </c>
      <c r="C390" s="342">
        <f t="shared" si="122"/>
        <v>0</v>
      </c>
      <c r="D390" s="342">
        <f t="shared" si="122"/>
        <v>22</v>
      </c>
      <c r="E390" s="342">
        <f>SUM(F390:G390)</f>
        <v>1</v>
      </c>
      <c r="F390" s="342">
        <v>0</v>
      </c>
      <c r="G390" s="342">
        <v>1</v>
      </c>
      <c r="H390" s="342">
        <f>SUM(I390:J390)</f>
        <v>5</v>
      </c>
      <c r="I390" s="342">
        <v>0</v>
      </c>
      <c r="J390" s="342">
        <v>5</v>
      </c>
      <c r="K390" s="342">
        <f>SUM(L390:M390)</f>
        <v>16</v>
      </c>
      <c r="L390" s="342">
        <v>0</v>
      </c>
      <c r="M390" s="342">
        <v>16</v>
      </c>
      <c r="N390" s="203" t="s">
        <v>145</v>
      </c>
      <c r="O390" s="306" t="s">
        <v>434</v>
      </c>
    </row>
    <row r="391" spans="2:15" ht="18.75" customHeight="1" thickBot="1" x14ac:dyDescent="0.25">
      <c r="B391" s="342">
        <f t="shared" ref="B391" si="133">SUM(B389:B390)</f>
        <v>108</v>
      </c>
      <c r="C391" s="342">
        <f t="shared" ref="C391" si="134">SUM(C389:C390)</f>
        <v>15</v>
      </c>
      <c r="D391" s="342">
        <f t="shared" ref="D391:L391" si="135">SUM(D389:D390)</f>
        <v>93</v>
      </c>
      <c r="E391" s="342">
        <f t="shared" si="135"/>
        <v>26</v>
      </c>
      <c r="F391" s="342">
        <f t="shared" si="135"/>
        <v>13</v>
      </c>
      <c r="G391" s="342">
        <f t="shared" si="135"/>
        <v>13</v>
      </c>
      <c r="H391" s="342">
        <f t="shared" si="135"/>
        <v>12</v>
      </c>
      <c r="I391" s="342">
        <f t="shared" si="135"/>
        <v>1</v>
      </c>
      <c r="J391" s="342">
        <f t="shared" si="135"/>
        <v>11</v>
      </c>
      <c r="K391" s="342">
        <f t="shared" si="135"/>
        <v>70</v>
      </c>
      <c r="L391" s="342">
        <f t="shared" si="135"/>
        <v>1</v>
      </c>
      <c r="M391" s="342">
        <f>SUM(M389:M390)</f>
        <v>69</v>
      </c>
      <c r="N391" s="203" t="s">
        <v>12</v>
      </c>
      <c r="O391" s="307"/>
    </row>
    <row r="392" spans="2:15" ht="18.75" customHeight="1" thickBot="1" x14ac:dyDescent="0.25">
      <c r="B392" s="342">
        <f>SUM(C392:D392)</f>
        <v>175</v>
      </c>
      <c r="C392" s="342">
        <f t="shared" si="122"/>
        <v>73</v>
      </c>
      <c r="D392" s="342">
        <f t="shared" si="122"/>
        <v>102</v>
      </c>
      <c r="E392" s="342">
        <f>SUM(F392:G392)</f>
        <v>83</v>
      </c>
      <c r="F392" s="342">
        <v>46</v>
      </c>
      <c r="G392" s="342">
        <v>37</v>
      </c>
      <c r="H392" s="342">
        <f>SUM(I392:J392)</f>
        <v>5</v>
      </c>
      <c r="I392" s="342">
        <v>5</v>
      </c>
      <c r="J392" s="342">
        <v>0</v>
      </c>
      <c r="K392" s="342">
        <f>SUM(L392:M392)</f>
        <v>87</v>
      </c>
      <c r="L392" s="342">
        <v>22</v>
      </c>
      <c r="M392" s="342">
        <v>65</v>
      </c>
      <c r="N392" s="203" t="s">
        <v>146</v>
      </c>
      <c r="O392" s="306"/>
    </row>
    <row r="393" spans="2:15" ht="18.75" customHeight="1" thickBot="1" x14ac:dyDescent="0.25">
      <c r="B393" s="342">
        <f>SUM(C393:D393)</f>
        <v>111</v>
      </c>
      <c r="C393" s="342">
        <f t="shared" si="122"/>
        <v>26</v>
      </c>
      <c r="D393" s="342">
        <f t="shared" si="122"/>
        <v>85</v>
      </c>
      <c r="E393" s="342">
        <f>SUM(F393:G393)</f>
        <v>9</v>
      </c>
      <c r="F393" s="342">
        <v>1</v>
      </c>
      <c r="G393" s="342">
        <v>8</v>
      </c>
      <c r="H393" s="342">
        <f>SUM(I393:J393)</f>
        <v>4</v>
      </c>
      <c r="I393" s="342">
        <v>2</v>
      </c>
      <c r="J393" s="342">
        <v>2</v>
      </c>
      <c r="K393" s="342">
        <f>SUM(L393:M393)</f>
        <v>98</v>
      </c>
      <c r="L393" s="342">
        <v>23</v>
      </c>
      <c r="M393" s="342">
        <v>75</v>
      </c>
      <c r="N393" s="203" t="s">
        <v>145</v>
      </c>
      <c r="O393" s="306" t="s">
        <v>435</v>
      </c>
    </row>
    <row r="394" spans="2:15" ht="18.75" customHeight="1" thickBot="1" x14ac:dyDescent="0.25">
      <c r="B394" s="342">
        <f t="shared" ref="B394:L394" si="136">SUM(B392:B393)</f>
        <v>286</v>
      </c>
      <c r="C394" s="342">
        <f t="shared" si="136"/>
        <v>99</v>
      </c>
      <c r="D394" s="342">
        <f t="shared" si="136"/>
        <v>187</v>
      </c>
      <c r="E394" s="342">
        <f t="shared" si="136"/>
        <v>92</v>
      </c>
      <c r="F394" s="342">
        <f t="shared" si="136"/>
        <v>47</v>
      </c>
      <c r="G394" s="342">
        <f t="shared" si="136"/>
        <v>45</v>
      </c>
      <c r="H394" s="342">
        <f t="shared" si="136"/>
        <v>9</v>
      </c>
      <c r="I394" s="342">
        <f t="shared" si="136"/>
        <v>7</v>
      </c>
      <c r="J394" s="342">
        <f t="shared" si="136"/>
        <v>2</v>
      </c>
      <c r="K394" s="342">
        <f t="shared" si="136"/>
        <v>185</v>
      </c>
      <c r="L394" s="342">
        <f t="shared" si="136"/>
        <v>45</v>
      </c>
      <c r="M394" s="342">
        <f>SUM(M392:M393)</f>
        <v>140</v>
      </c>
      <c r="N394" s="203" t="s">
        <v>12</v>
      </c>
      <c r="O394" s="307"/>
    </row>
    <row r="395" spans="2:15" ht="18.75" customHeight="1" thickBot="1" x14ac:dyDescent="0.25">
      <c r="B395" s="342">
        <f>SUM(C395:D395)</f>
        <v>26</v>
      </c>
      <c r="C395" s="342">
        <f t="shared" si="122"/>
        <v>13</v>
      </c>
      <c r="D395" s="342">
        <f t="shared" si="122"/>
        <v>13</v>
      </c>
      <c r="E395" s="342">
        <f>SUM(F395:G395)</f>
        <v>19</v>
      </c>
      <c r="F395" s="342">
        <v>12</v>
      </c>
      <c r="G395" s="342">
        <v>7</v>
      </c>
      <c r="H395" s="342">
        <f>SUM(I395:J395)</f>
        <v>0</v>
      </c>
      <c r="I395" s="342">
        <v>0</v>
      </c>
      <c r="J395" s="342">
        <v>0</v>
      </c>
      <c r="K395" s="342">
        <f>SUM(L395:M395)</f>
        <v>7</v>
      </c>
      <c r="L395" s="342">
        <v>1</v>
      </c>
      <c r="M395" s="342">
        <v>6</v>
      </c>
      <c r="N395" s="203" t="s">
        <v>146</v>
      </c>
      <c r="O395" s="306"/>
    </row>
    <row r="396" spans="2:15" ht="18.75" customHeight="1" thickBot="1" x14ac:dyDescent="0.25">
      <c r="B396" s="342">
        <f>SUM(C396:D396)</f>
        <v>19</v>
      </c>
      <c r="C396" s="342">
        <f t="shared" si="122"/>
        <v>4</v>
      </c>
      <c r="D396" s="342">
        <f t="shared" si="122"/>
        <v>15</v>
      </c>
      <c r="E396" s="342">
        <f>SUM(F396:G396)</f>
        <v>0</v>
      </c>
      <c r="F396" s="342">
        <v>0</v>
      </c>
      <c r="G396" s="342">
        <v>0</v>
      </c>
      <c r="H396" s="342">
        <f>SUM(I396:J396)</f>
        <v>1</v>
      </c>
      <c r="I396" s="342">
        <v>0</v>
      </c>
      <c r="J396" s="342">
        <v>1</v>
      </c>
      <c r="K396" s="342">
        <f>SUM(L396:M396)</f>
        <v>18</v>
      </c>
      <c r="L396" s="342">
        <v>4</v>
      </c>
      <c r="M396" s="342">
        <v>14</v>
      </c>
      <c r="N396" s="203" t="s">
        <v>145</v>
      </c>
      <c r="O396" s="306" t="s">
        <v>436</v>
      </c>
    </row>
    <row r="397" spans="2:15" ht="18.75" customHeight="1" thickBot="1" x14ac:dyDescent="0.25">
      <c r="B397" s="342">
        <f t="shared" ref="B397:L397" si="137">SUM(B395:B396)</f>
        <v>45</v>
      </c>
      <c r="C397" s="342">
        <f t="shared" si="137"/>
        <v>17</v>
      </c>
      <c r="D397" s="342">
        <f t="shared" si="137"/>
        <v>28</v>
      </c>
      <c r="E397" s="342">
        <f t="shared" si="137"/>
        <v>19</v>
      </c>
      <c r="F397" s="342">
        <f t="shared" si="137"/>
        <v>12</v>
      </c>
      <c r="G397" s="342">
        <f t="shared" si="137"/>
        <v>7</v>
      </c>
      <c r="H397" s="342">
        <f t="shared" si="137"/>
        <v>1</v>
      </c>
      <c r="I397" s="342">
        <f t="shared" si="137"/>
        <v>0</v>
      </c>
      <c r="J397" s="342">
        <f t="shared" si="137"/>
        <v>1</v>
      </c>
      <c r="K397" s="342">
        <f t="shared" si="137"/>
        <v>25</v>
      </c>
      <c r="L397" s="342">
        <f t="shared" si="137"/>
        <v>5</v>
      </c>
      <c r="M397" s="342">
        <f>SUM(M395:M396)</f>
        <v>20</v>
      </c>
      <c r="N397" s="203" t="s">
        <v>12</v>
      </c>
      <c r="O397" s="307"/>
    </row>
    <row r="398" spans="2:15" ht="18.75" customHeight="1" thickBot="1" x14ac:dyDescent="0.25">
      <c r="B398" s="342">
        <f>SUM(C398:D398)</f>
        <v>52</v>
      </c>
      <c r="C398" s="342">
        <f t="shared" si="122"/>
        <v>24</v>
      </c>
      <c r="D398" s="342">
        <f t="shared" si="122"/>
        <v>28</v>
      </c>
      <c r="E398" s="342">
        <f>SUM(F398:G398)</f>
        <v>38</v>
      </c>
      <c r="F398" s="342">
        <v>22</v>
      </c>
      <c r="G398" s="342">
        <v>16</v>
      </c>
      <c r="H398" s="342">
        <f>SUM(I398:J398)</f>
        <v>10</v>
      </c>
      <c r="I398" s="342">
        <v>0</v>
      </c>
      <c r="J398" s="342">
        <v>10</v>
      </c>
      <c r="K398" s="342">
        <f>SUM(L398:M398)</f>
        <v>4</v>
      </c>
      <c r="L398" s="342">
        <v>2</v>
      </c>
      <c r="M398" s="342">
        <v>2</v>
      </c>
      <c r="N398" s="203" t="s">
        <v>146</v>
      </c>
      <c r="O398" s="306"/>
    </row>
    <row r="399" spans="2:15" ht="18.75" customHeight="1" thickBot="1" x14ac:dyDescent="0.25">
      <c r="B399" s="342">
        <f>SUM(C399:D399)</f>
        <v>29</v>
      </c>
      <c r="C399" s="342">
        <f t="shared" si="122"/>
        <v>3</v>
      </c>
      <c r="D399" s="342">
        <f t="shared" si="122"/>
        <v>26</v>
      </c>
      <c r="E399" s="342">
        <f>SUM(F399:G399)</f>
        <v>4</v>
      </c>
      <c r="F399" s="342">
        <v>0</v>
      </c>
      <c r="G399" s="342">
        <v>4</v>
      </c>
      <c r="H399" s="342">
        <f>SUM(I399:J399)</f>
        <v>2</v>
      </c>
      <c r="I399" s="342">
        <v>0</v>
      </c>
      <c r="J399" s="342">
        <v>2</v>
      </c>
      <c r="K399" s="342">
        <f>SUM(L399:M399)</f>
        <v>23</v>
      </c>
      <c r="L399" s="342">
        <v>3</v>
      </c>
      <c r="M399" s="342">
        <v>20</v>
      </c>
      <c r="N399" s="203" t="s">
        <v>145</v>
      </c>
      <c r="O399" s="306" t="s">
        <v>437</v>
      </c>
    </row>
    <row r="400" spans="2:15" ht="18.75" customHeight="1" thickBot="1" x14ac:dyDescent="0.25">
      <c r="B400" s="342">
        <f t="shared" ref="B400:L400" si="138">SUM(B398:B399)</f>
        <v>81</v>
      </c>
      <c r="C400" s="342">
        <f t="shared" si="138"/>
        <v>27</v>
      </c>
      <c r="D400" s="342">
        <f t="shared" si="138"/>
        <v>54</v>
      </c>
      <c r="E400" s="342">
        <f t="shared" si="138"/>
        <v>42</v>
      </c>
      <c r="F400" s="342">
        <f t="shared" si="138"/>
        <v>22</v>
      </c>
      <c r="G400" s="342">
        <f t="shared" si="138"/>
        <v>20</v>
      </c>
      <c r="H400" s="342">
        <f t="shared" si="138"/>
        <v>12</v>
      </c>
      <c r="I400" s="342">
        <f t="shared" si="138"/>
        <v>0</v>
      </c>
      <c r="J400" s="342">
        <f t="shared" si="138"/>
        <v>12</v>
      </c>
      <c r="K400" s="342">
        <f t="shared" si="138"/>
        <v>27</v>
      </c>
      <c r="L400" s="342">
        <f t="shared" si="138"/>
        <v>5</v>
      </c>
      <c r="M400" s="342">
        <f>SUM(M398:M399)</f>
        <v>22</v>
      </c>
      <c r="N400" s="203" t="s">
        <v>12</v>
      </c>
      <c r="O400" s="307"/>
    </row>
    <row r="401" spans="2:15" ht="18.75" customHeight="1" thickBot="1" x14ac:dyDescent="0.25">
      <c r="B401" s="342">
        <f>SUM(C401:D401)</f>
        <v>12</v>
      </c>
      <c r="C401" s="342">
        <f t="shared" si="122"/>
        <v>12</v>
      </c>
      <c r="D401" s="342">
        <f t="shared" si="122"/>
        <v>0</v>
      </c>
      <c r="E401" s="342">
        <f>SUM(F401:G401)</f>
        <v>12</v>
      </c>
      <c r="F401" s="342">
        <v>12</v>
      </c>
      <c r="G401" s="342">
        <v>0</v>
      </c>
      <c r="H401" s="342">
        <f>SUM(I401:J401)</f>
        <v>0</v>
      </c>
      <c r="I401" s="342">
        <v>0</v>
      </c>
      <c r="J401" s="342">
        <v>0</v>
      </c>
      <c r="K401" s="342">
        <f>SUM(L401:M401)</f>
        <v>0</v>
      </c>
      <c r="L401" s="342">
        <v>0</v>
      </c>
      <c r="M401" s="342">
        <v>0</v>
      </c>
      <c r="N401" s="203" t="s">
        <v>146</v>
      </c>
      <c r="O401" s="306"/>
    </row>
    <row r="402" spans="2:15" ht="18.75" customHeight="1" thickBot="1" x14ac:dyDescent="0.25">
      <c r="B402" s="342">
        <f>SUM(C402:D402)</f>
        <v>14</v>
      </c>
      <c r="C402" s="342">
        <f t="shared" si="122"/>
        <v>14</v>
      </c>
      <c r="D402" s="342">
        <f t="shared" si="122"/>
        <v>0</v>
      </c>
      <c r="E402" s="342">
        <f>SUM(F402:G402)</f>
        <v>0</v>
      </c>
      <c r="F402" s="342">
        <v>0</v>
      </c>
      <c r="G402" s="342">
        <v>0</v>
      </c>
      <c r="H402" s="342">
        <f>SUM(I402:J402)</f>
        <v>0</v>
      </c>
      <c r="I402" s="342">
        <v>0</v>
      </c>
      <c r="J402" s="342">
        <v>0</v>
      </c>
      <c r="K402" s="342">
        <f>SUM(L402:M402)</f>
        <v>14</v>
      </c>
      <c r="L402" s="342">
        <v>14</v>
      </c>
      <c r="M402" s="342">
        <v>0</v>
      </c>
      <c r="N402" s="203" t="s">
        <v>145</v>
      </c>
      <c r="O402" s="306" t="s">
        <v>438</v>
      </c>
    </row>
    <row r="403" spans="2:15" ht="18.75" customHeight="1" thickBot="1" x14ac:dyDescent="0.25">
      <c r="B403" s="342">
        <f t="shared" ref="B403:L403" si="139">SUM(B401:B402)</f>
        <v>26</v>
      </c>
      <c r="C403" s="342">
        <f t="shared" si="139"/>
        <v>26</v>
      </c>
      <c r="D403" s="342">
        <f t="shared" si="139"/>
        <v>0</v>
      </c>
      <c r="E403" s="342">
        <f t="shared" si="139"/>
        <v>12</v>
      </c>
      <c r="F403" s="342">
        <f t="shared" si="139"/>
        <v>12</v>
      </c>
      <c r="G403" s="342">
        <f t="shared" si="139"/>
        <v>0</v>
      </c>
      <c r="H403" s="342">
        <f t="shared" si="139"/>
        <v>0</v>
      </c>
      <c r="I403" s="342">
        <f t="shared" si="139"/>
        <v>0</v>
      </c>
      <c r="J403" s="342">
        <f t="shared" si="139"/>
        <v>0</v>
      </c>
      <c r="K403" s="342">
        <f t="shared" si="139"/>
        <v>14</v>
      </c>
      <c r="L403" s="342">
        <f t="shared" si="139"/>
        <v>14</v>
      </c>
      <c r="M403" s="342">
        <f>SUM(M401:M402)</f>
        <v>0</v>
      </c>
      <c r="N403" s="203" t="s">
        <v>12</v>
      </c>
      <c r="O403" s="307"/>
    </row>
    <row r="404" spans="2:15" ht="18.75" customHeight="1" thickBot="1" x14ac:dyDescent="0.25">
      <c r="B404" s="342">
        <f>SUM(C404:D404)</f>
        <v>1</v>
      </c>
      <c r="C404" s="342">
        <f t="shared" si="122"/>
        <v>1</v>
      </c>
      <c r="D404" s="342">
        <f t="shared" si="122"/>
        <v>0</v>
      </c>
      <c r="E404" s="342">
        <f>SUM(F404:G404)</f>
        <v>1</v>
      </c>
      <c r="F404" s="342">
        <v>1</v>
      </c>
      <c r="G404" s="342">
        <v>0</v>
      </c>
      <c r="H404" s="342">
        <f>SUM(I404:J404)</f>
        <v>0</v>
      </c>
      <c r="I404" s="342">
        <v>0</v>
      </c>
      <c r="J404" s="342">
        <v>0</v>
      </c>
      <c r="K404" s="342">
        <f>SUM(L404:M404)</f>
        <v>0</v>
      </c>
      <c r="L404" s="342">
        <v>0</v>
      </c>
      <c r="M404" s="342">
        <v>0</v>
      </c>
      <c r="N404" s="203" t="s">
        <v>146</v>
      </c>
      <c r="O404" s="306"/>
    </row>
    <row r="405" spans="2:15" ht="18.75" customHeight="1" thickBot="1" x14ac:dyDescent="0.25">
      <c r="B405" s="342">
        <f>SUM(C405:D405)</f>
        <v>47</v>
      </c>
      <c r="C405" s="342">
        <f t="shared" si="122"/>
        <v>23</v>
      </c>
      <c r="D405" s="342">
        <f t="shared" si="122"/>
        <v>24</v>
      </c>
      <c r="E405" s="342">
        <f>SUM(F405:G405)</f>
        <v>1</v>
      </c>
      <c r="F405" s="342">
        <v>1</v>
      </c>
      <c r="G405" s="342">
        <v>0</v>
      </c>
      <c r="H405" s="342">
        <f>SUM(I405:J405)</f>
        <v>7</v>
      </c>
      <c r="I405" s="342">
        <v>4</v>
      </c>
      <c r="J405" s="342">
        <v>3</v>
      </c>
      <c r="K405" s="342">
        <f>SUM(L405:M405)</f>
        <v>39</v>
      </c>
      <c r="L405" s="342">
        <v>18</v>
      </c>
      <c r="M405" s="342">
        <v>21</v>
      </c>
      <c r="N405" s="203" t="s">
        <v>145</v>
      </c>
      <c r="O405" s="306" t="s">
        <v>71</v>
      </c>
    </row>
    <row r="406" spans="2:15" ht="18.75" customHeight="1" thickBot="1" x14ac:dyDescent="0.25">
      <c r="B406" s="342">
        <f t="shared" ref="B406:L406" si="140">SUM(B404:B405)</f>
        <v>48</v>
      </c>
      <c r="C406" s="342">
        <f t="shared" si="140"/>
        <v>24</v>
      </c>
      <c r="D406" s="342">
        <f t="shared" si="140"/>
        <v>24</v>
      </c>
      <c r="E406" s="342">
        <f t="shared" si="140"/>
        <v>2</v>
      </c>
      <c r="F406" s="342">
        <f t="shared" si="140"/>
        <v>2</v>
      </c>
      <c r="G406" s="342">
        <f t="shared" si="140"/>
        <v>0</v>
      </c>
      <c r="H406" s="342">
        <f t="shared" si="140"/>
        <v>7</v>
      </c>
      <c r="I406" s="342">
        <f t="shared" si="140"/>
        <v>4</v>
      </c>
      <c r="J406" s="342">
        <f t="shared" si="140"/>
        <v>3</v>
      </c>
      <c r="K406" s="342">
        <f t="shared" si="140"/>
        <v>39</v>
      </c>
      <c r="L406" s="342">
        <f t="shared" si="140"/>
        <v>18</v>
      </c>
      <c r="M406" s="342">
        <f>SUM(M404:M405)</f>
        <v>21</v>
      </c>
      <c r="N406" s="203" t="s">
        <v>12</v>
      </c>
      <c r="O406" s="307"/>
    </row>
    <row r="407" spans="2:15" ht="18.75" customHeight="1" thickBot="1" x14ac:dyDescent="0.25">
      <c r="B407" s="342">
        <f>SUM(C407:D407)</f>
        <v>6</v>
      </c>
      <c r="C407" s="342">
        <f t="shared" si="122"/>
        <v>0</v>
      </c>
      <c r="D407" s="342">
        <f t="shared" si="122"/>
        <v>6</v>
      </c>
      <c r="E407" s="342">
        <f>SUM(F407:G407)</f>
        <v>6</v>
      </c>
      <c r="F407" s="342">
        <v>0</v>
      </c>
      <c r="G407" s="342">
        <v>6</v>
      </c>
      <c r="H407" s="342">
        <f>SUM(I407:J407)</f>
        <v>0</v>
      </c>
      <c r="I407" s="342">
        <v>0</v>
      </c>
      <c r="J407" s="342">
        <v>0</v>
      </c>
      <c r="K407" s="342">
        <f>SUM(L407:M407)</f>
        <v>0</v>
      </c>
      <c r="L407" s="342">
        <v>0</v>
      </c>
      <c r="M407" s="342">
        <v>0</v>
      </c>
      <c r="N407" s="203" t="s">
        <v>146</v>
      </c>
      <c r="O407" s="306"/>
    </row>
    <row r="408" spans="2:15" ht="18.75" customHeight="1" thickBot="1" x14ac:dyDescent="0.25">
      <c r="B408" s="342">
        <f>SUM(C408:D408)</f>
        <v>9</v>
      </c>
      <c r="C408" s="342">
        <f t="shared" si="122"/>
        <v>0</v>
      </c>
      <c r="D408" s="342">
        <f t="shared" si="122"/>
        <v>9</v>
      </c>
      <c r="E408" s="342">
        <f>SUM(F408:G408)</f>
        <v>0</v>
      </c>
      <c r="F408" s="342">
        <v>0</v>
      </c>
      <c r="G408" s="342">
        <v>0</v>
      </c>
      <c r="H408" s="342">
        <f>SUM(I408:J408)</f>
        <v>0</v>
      </c>
      <c r="I408" s="342">
        <v>0</v>
      </c>
      <c r="J408" s="342">
        <v>0</v>
      </c>
      <c r="K408" s="342">
        <f>SUM(L408:M408)</f>
        <v>9</v>
      </c>
      <c r="L408" s="342">
        <v>0</v>
      </c>
      <c r="M408" s="342">
        <v>9</v>
      </c>
      <c r="N408" s="203" t="s">
        <v>145</v>
      </c>
      <c r="O408" s="306" t="s">
        <v>439</v>
      </c>
    </row>
    <row r="409" spans="2:15" ht="18.75" customHeight="1" thickBot="1" x14ac:dyDescent="0.25">
      <c r="B409" s="342">
        <f t="shared" ref="B409:L409" si="141">SUM(B407:B408)</f>
        <v>15</v>
      </c>
      <c r="C409" s="342">
        <f t="shared" si="141"/>
        <v>0</v>
      </c>
      <c r="D409" s="342">
        <f t="shared" si="141"/>
        <v>15</v>
      </c>
      <c r="E409" s="342">
        <f t="shared" si="141"/>
        <v>6</v>
      </c>
      <c r="F409" s="342">
        <f t="shared" si="141"/>
        <v>0</v>
      </c>
      <c r="G409" s="342">
        <f t="shared" si="141"/>
        <v>6</v>
      </c>
      <c r="H409" s="342">
        <f t="shared" si="141"/>
        <v>0</v>
      </c>
      <c r="I409" s="342">
        <f t="shared" si="141"/>
        <v>0</v>
      </c>
      <c r="J409" s="342">
        <f t="shared" si="141"/>
        <v>0</v>
      </c>
      <c r="K409" s="342">
        <f t="shared" si="141"/>
        <v>9</v>
      </c>
      <c r="L409" s="342">
        <f t="shared" si="141"/>
        <v>0</v>
      </c>
      <c r="M409" s="342">
        <f>SUM(M407:M408)</f>
        <v>9</v>
      </c>
      <c r="N409" s="203" t="s">
        <v>12</v>
      </c>
      <c r="O409" s="307"/>
    </row>
    <row r="410" spans="2:15" ht="18.75" customHeight="1" thickBot="1" x14ac:dyDescent="0.25">
      <c r="B410" s="342">
        <f>SUM(C410:D410)</f>
        <v>61</v>
      </c>
      <c r="C410" s="342">
        <f t="shared" si="122"/>
        <v>59</v>
      </c>
      <c r="D410" s="342">
        <f t="shared" si="122"/>
        <v>2</v>
      </c>
      <c r="E410" s="342">
        <f>SUM(F410:G410)</f>
        <v>26</v>
      </c>
      <c r="F410" s="342">
        <v>26</v>
      </c>
      <c r="G410" s="342">
        <v>0</v>
      </c>
      <c r="H410" s="342">
        <f>SUM(I410:J410)</f>
        <v>29</v>
      </c>
      <c r="I410" s="342">
        <v>29</v>
      </c>
      <c r="J410" s="342">
        <v>0</v>
      </c>
      <c r="K410" s="342">
        <f>SUM(L410:M410)</f>
        <v>6</v>
      </c>
      <c r="L410" s="342">
        <v>4</v>
      </c>
      <c r="M410" s="342">
        <v>2</v>
      </c>
      <c r="N410" s="203" t="s">
        <v>146</v>
      </c>
      <c r="O410" s="306"/>
    </row>
    <row r="411" spans="2:15" ht="18.75" customHeight="1" thickBot="1" x14ac:dyDescent="0.25">
      <c r="B411" s="342">
        <f>SUM(C411:D411)</f>
        <v>36</v>
      </c>
      <c r="C411" s="342">
        <f t="shared" si="122"/>
        <v>18</v>
      </c>
      <c r="D411" s="342">
        <f t="shared" si="122"/>
        <v>18</v>
      </c>
      <c r="E411" s="342">
        <f>SUM(F411:G411)</f>
        <v>0</v>
      </c>
      <c r="F411" s="342">
        <v>0</v>
      </c>
      <c r="G411" s="342">
        <v>0</v>
      </c>
      <c r="H411" s="342">
        <f>SUM(I411:J411)</f>
        <v>1</v>
      </c>
      <c r="I411" s="342">
        <v>1</v>
      </c>
      <c r="J411" s="342">
        <v>0</v>
      </c>
      <c r="K411" s="342">
        <f>SUM(L411:M411)</f>
        <v>35</v>
      </c>
      <c r="L411" s="342">
        <v>17</v>
      </c>
      <c r="M411" s="342">
        <v>18</v>
      </c>
      <c r="N411" s="203" t="s">
        <v>145</v>
      </c>
      <c r="O411" s="306" t="s">
        <v>650</v>
      </c>
    </row>
    <row r="412" spans="2:15" ht="18.75" customHeight="1" thickBot="1" x14ac:dyDescent="0.25">
      <c r="B412" s="342">
        <f t="shared" ref="B412:L412" si="142">SUM(B410:B411)</f>
        <v>97</v>
      </c>
      <c r="C412" s="342">
        <f t="shared" si="142"/>
        <v>77</v>
      </c>
      <c r="D412" s="342">
        <f t="shared" si="142"/>
        <v>20</v>
      </c>
      <c r="E412" s="342">
        <f t="shared" si="142"/>
        <v>26</v>
      </c>
      <c r="F412" s="342">
        <f t="shared" si="142"/>
        <v>26</v>
      </c>
      <c r="G412" s="342">
        <f t="shared" si="142"/>
        <v>0</v>
      </c>
      <c r="H412" s="342">
        <f t="shared" si="142"/>
        <v>30</v>
      </c>
      <c r="I412" s="342">
        <f t="shared" si="142"/>
        <v>30</v>
      </c>
      <c r="J412" s="342">
        <f t="shared" si="142"/>
        <v>0</v>
      </c>
      <c r="K412" s="342">
        <f t="shared" si="142"/>
        <v>41</v>
      </c>
      <c r="L412" s="342">
        <f t="shared" si="142"/>
        <v>21</v>
      </c>
      <c r="M412" s="342">
        <f>SUM(M410:M411)</f>
        <v>20</v>
      </c>
      <c r="N412" s="203" t="s">
        <v>12</v>
      </c>
      <c r="O412" s="307"/>
    </row>
    <row r="413" spans="2:15" ht="18.75" customHeight="1" thickBot="1" x14ac:dyDescent="0.25">
      <c r="B413" s="342">
        <f>SUM(C413:D413)</f>
        <v>38</v>
      </c>
      <c r="C413" s="342">
        <f t="shared" si="122"/>
        <v>38</v>
      </c>
      <c r="D413" s="342">
        <f t="shared" si="122"/>
        <v>0</v>
      </c>
      <c r="E413" s="342">
        <f>SUM(F413:G413)</f>
        <v>17</v>
      </c>
      <c r="F413" s="342">
        <v>17</v>
      </c>
      <c r="G413" s="342">
        <v>0</v>
      </c>
      <c r="H413" s="342">
        <f>SUM(I413:J413)</f>
        <v>16</v>
      </c>
      <c r="I413" s="342">
        <v>16</v>
      </c>
      <c r="J413" s="342">
        <v>0</v>
      </c>
      <c r="K413" s="342">
        <f>SUM(L413:M413)</f>
        <v>5</v>
      </c>
      <c r="L413" s="342">
        <v>5</v>
      </c>
      <c r="M413" s="342">
        <v>0</v>
      </c>
      <c r="N413" s="203" t="s">
        <v>146</v>
      </c>
      <c r="O413" s="306"/>
    </row>
    <row r="414" spans="2:15" ht="18.75" customHeight="1" thickBot="1" x14ac:dyDescent="0.25">
      <c r="B414" s="342">
        <f>SUM(C414:D414)</f>
        <v>23</v>
      </c>
      <c r="C414" s="342">
        <f t="shared" si="122"/>
        <v>12</v>
      </c>
      <c r="D414" s="342">
        <f t="shared" si="122"/>
        <v>11</v>
      </c>
      <c r="E414" s="342">
        <f>SUM(F414:G414)</f>
        <v>0</v>
      </c>
      <c r="F414" s="342">
        <v>0</v>
      </c>
      <c r="G414" s="342">
        <v>0</v>
      </c>
      <c r="H414" s="342">
        <f>SUM(I414:J414)</f>
        <v>2</v>
      </c>
      <c r="I414" s="342">
        <v>2</v>
      </c>
      <c r="J414" s="342">
        <v>0</v>
      </c>
      <c r="K414" s="342">
        <f>SUM(L414:M414)</f>
        <v>21</v>
      </c>
      <c r="L414" s="342">
        <v>10</v>
      </c>
      <c r="M414" s="342">
        <v>11</v>
      </c>
      <c r="N414" s="203" t="s">
        <v>145</v>
      </c>
      <c r="O414" s="306" t="s">
        <v>441</v>
      </c>
    </row>
    <row r="415" spans="2:15" ht="18.75" customHeight="1" thickBot="1" x14ac:dyDescent="0.25">
      <c r="B415" s="342">
        <f t="shared" ref="B415:L415" si="143">SUM(B413:B414)</f>
        <v>61</v>
      </c>
      <c r="C415" s="342">
        <f t="shared" si="143"/>
        <v>50</v>
      </c>
      <c r="D415" s="342">
        <f t="shared" si="143"/>
        <v>11</v>
      </c>
      <c r="E415" s="342">
        <f t="shared" si="143"/>
        <v>17</v>
      </c>
      <c r="F415" s="342">
        <f t="shared" si="143"/>
        <v>17</v>
      </c>
      <c r="G415" s="342">
        <f t="shared" si="143"/>
        <v>0</v>
      </c>
      <c r="H415" s="342">
        <f t="shared" si="143"/>
        <v>18</v>
      </c>
      <c r="I415" s="342">
        <f t="shared" si="143"/>
        <v>18</v>
      </c>
      <c r="J415" s="342">
        <f t="shared" si="143"/>
        <v>0</v>
      </c>
      <c r="K415" s="342">
        <f t="shared" si="143"/>
        <v>26</v>
      </c>
      <c r="L415" s="342">
        <f t="shared" si="143"/>
        <v>15</v>
      </c>
      <c r="M415" s="342">
        <f>SUM(M413:M414)</f>
        <v>11</v>
      </c>
      <c r="N415" s="203" t="s">
        <v>12</v>
      </c>
      <c r="O415" s="307"/>
    </row>
    <row r="416" spans="2:15" ht="18.75" customHeight="1" thickBot="1" x14ac:dyDescent="0.25">
      <c r="B416" s="342">
        <f>SUM(C416:D416)</f>
        <v>13</v>
      </c>
      <c r="C416" s="342">
        <f t="shared" si="122"/>
        <v>13</v>
      </c>
      <c r="D416" s="342">
        <f t="shared" si="122"/>
        <v>0</v>
      </c>
      <c r="E416" s="342">
        <f>SUM(F416:G416)</f>
        <v>13</v>
      </c>
      <c r="F416" s="342">
        <v>13</v>
      </c>
      <c r="G416" s="342">
        <v>0</v>
      </c>
      <c r="H416" s="342">
        <f>SUM(I416:J416)</f>
        <v>0</v>
      </c>
      <c r="I416" s="342">
        <v>0</v>
      </c>
      <c r="J416" s="342">
        <v>0</v>
      </c>
      <c r="K416" s="342">
        <f>SUM(L416:M416)</f>
        <v>0</v>
      </c>
      <c r="L416" s="342">
        <v>0</v>
      </c>
      <c r="M416" s="342">
        <v>0</v>
      </c>
      <c r="N416" s="203" t="s">
        <v>146</v>
      </c>
      <c r="O416" s="306"/>
    </row>
    <row r="417" spans="2:15" ht="18.75" customHeight="1" thickBot="1" x14ac:dyDescent="0.25">
      <c r="B417" s="342">
        <f>SUM(C417:D417)</f>
        <v>18</v>
      </c>
      <c r="C417" s="342">
        <f t="shared" si="122"/>
        <v>11</v>
      </c>
      <c r="D417" s="342">
        <f t="shared" si="122"/>
        <v>7</v>
      </c>
      <c r="E417" s="342">
        <f>SUM(F417:G417)</f>
        <v>0</v>
      </c>
      <c r="F417" s="342">
        <v>0</v>
      </c>
      <c r="G417" s="342">
        <v>0</v>
      </c>
      <c r="H417" s="342">
        <f>SUM(I417:J417)</f>
        <v>4</v>
      </c>
      <c r="I417" s="342">
        <v>4</v>
      </c>
      <c r="J417" s="342">
        <v>0</v>
      </c>
      <c r="K417" s="342">
        <f>SUM(L417:M417)</f>
        <v>14</v>
      </c>
      <c r="L417" s="342">
        <v>7</v>
      </c>
      <c r="M417" s="342">
        <v>7</v>
      </c>
      <c r="N417" s="203" t="s">
        <v>145</v>
      </c>
      <c r="O417" s="306" t="s">
        <v>442</v>
      </c>
    </row>
    <row r="418" spans="2:15" ht="18.75" customHeight="1" thickBot="1" x14ac:dyDescent="0.25">
      <c r="B418" s="342">
        <f t="shared" ref="B418:L418" si="144">SUM(B416:B417)</f>
        <v>31</v>
      </c>
      <c r="C418" s="342">
        <f t="shared" si="144"/>
        <v>24</v>
      </c>
      <c r="D418" s="342">
        <f t="shared" si="144"/>
        <v>7</v>
      </c>
      <c r="E418" s="342">
        <f t="shared" si="144"/>
        <v>13</v>
      </c>
      <c r="F418" s="342">
        <f t="shared" si="144"/>
        <v>13</v>
      </c>
      <c r="G418" s="342">
        <f t="shared" si="144"/>
        <v>0</v>
      </c>
      <c r="H418" s="342">
        <f t="shared" si="144"/>
        <v>4</v>
      </c>
      <c r="I418" s="342">
        <f t="shared" si="144"/>
        <v>4</v>
      </c>
      <c r="J418" s="342">
        <f t="shared" si="144"/>
        <v>0</v>
      </c>
      <c r="K418" s="342">
        <f t="shared" si="144"/>
        <v>14</v>
      </c>
      <c r="L418" s="342">
        <f t="shared" si="144"/>
        <v>7</v>
      </c>
      <c r="M418" s="342">
        <f>SUM(M416:M417)</f>
        <v>7</v>
      </c>
      <c r="N418" s="203" t="s">
        <v>12</v>
      </c>
      <c r="O418" s="307"/>
    </row>
    <row r="419" spans="2:15" ht="18.75" customHeight="1" thickBot="1" x14ac:dyDescent="0.25">
      <c r="B419" s="342">
        <f>SUM(C419:D419)</f>
        <v>14</v>
      </c>
      <c r="C419" s="342">
        <f t="shared" si="122"/>
        <v>14</v>
      </c>
      <c r="D419" s="342">
        <f t="shared" si="122"/>
        <v>0</v>
      </c>
      <c r="E419" s="342">
        <f>SUM(F419:G419)</f>
        <v>13</v>
      </c>
      <c r="F419" s="342">
        <v>13</v>
      </c>
      <c r="G419" s="342">
        <v>0</v>
      </c>
      <c r="H419" s="342">
        <f>SUM(I419:J419)</f>
        <v>0</v>
      </c>
      <c r="I419" s="342">
        <v>0</v>
      </c>
      <c r="J419" s="342">
        <v>0</v>
      </c>
      <c r="K419" s="342">
        <f>SUM(L419:M419)</f>
        <v>1</v>
      </c>
      <c r="L419" s="342">
        <v>1</v>
      </c>
      <c r="M419" s="342">
        <v>0</v>
      </c>
      <c r="N419" s="203" t="s">
        <v>146</v>
      </c>
      <c r="O419" s="306"/>
    </row>
    <row r="420" spans="2:15" ht="18.75" customHeight="1" thickBot="1" x14ac:dyDescent="0.25">
      <c r="B420" s="342">
        <f>SUM(C420:D420)</f>
        <v>28</v>
      </c>
      <c r="C420" s="342">
        <f t="shared" si="122"/>
        <v>15</v>
      </c>
      <c r="D420" s="342">
        <f t="shared" si="122"/>
        <v>13</v>
      </c>
      <c r="E420" s="342">
        <f>SUM(F420:G420)</f>
        <v>0</v>
      </c>
      <c r="F420" s="342">
        <v>0</v>
      </c>
      <c r="G420" s="342">
        <v>0</v>
      </c>
      <c r="H420" s="342">
        <f>SUM(I420:J420)</f>
        <v>7</v>
      </c>
      <c r="I420" s="342">
        <v>6</v>
      </c>
      <c r="J420" s="342">
        <v>1</v>
      </c>
      <c r="K420" s="342">
        <f>SUM(L420:M420)</f>
        <v>21</v>
      </c>
      <c r="L420" s="342">
        <v>9</v>
      </c>
      <c r="M420" s="342">
        <v>12</v>
      </c>
      <c r="N420" s="203" t="s">
        <v>145</v>
      </c>
      <c r="O420" s="306" t="s">
        <v>651</v>
      </c>
    </row>
    <row r="421" spans="2:15" ht="18.75" customHeight="1" thickBot="1" x14ac:dyDescent="0.25">
      <c r="B421" s="342">
        <f t="shared" ref="B421:L421" si="145">SUM(B419:B420)</f>
        <v>42</v>
      </c>
      <c r="C421" s="342">
        <f t="shared" si="145"/>
        <v>29</v>
      </c>
      <c r="D421" s="342">
        <f t="shared" si="145"/>
        <v>13</v>
      </c>
      <c r="E421" s="342">
        <f t="shared" si="145"/>
        <v>13</v>
      </c>
      <c r="F421" s="342">
        <f t="shared" si="145"/>
        <v>13</v>
      </c>
      <c r="G421" s="342">
        <f t="shared" si="145"/>
        <v>0</v>
      </c>
      <c r="H421" s="342">
        <f t="shared" si="145"/>
        <v>7</v>
      </c>
      <c r="I421" s="342">
        <f t="shared" si="145"/>
        <v>6</v>
      </c>
      <c r="J421" s="342">
        <f t="shared" si="145"/>
        <v>1</v>
      </c>
      <c r="K421" s="342">
        <f t="shared" si="145"/>
        <v>22</v>
      </c>
      <c r="L421" s="342">
        <f t="shared" si="145"/>
        <v>10</v>
      </c>
      <c r="M421" s="342">
        <f>SUM(M419:M420)</f>
        <v>12</v>
      </c>
      <c r="N421" s="203" t="s">
        <v>12</v>
      </c>
      <c r="O421" s="307"/>
    </row>
    <row r="422" spans="2:15" ht="18.75" customHeight="1" thickBot="1" x14ac:dyDescent="0.25">
      <c r="B422" s="342">
        <f>SUM(C422:D422)</f>
        <v>151</v>
      </c>
      <c r="C422" s="342">
        <f t="shared" si="122"/>
        <v>151</v>
      </c>
      <c r="D422" s="342">
        <f t="shared" si="122"/>
        <v>0</v>
      </c>
      <c r="E422" s="342">
        <f>SUM(F422:G422)</f>
        <v>24</v>
      </c>
      <c r="F422" s="342">
        <v>24</v>
      </c>
      <c r="G422" s="342">
        <v>0</v>
      </c>
      <c r="H422" s="342">
        <f>SUM(I422:J422)</f>
        <v>58</v>
      </c>
      <c r="I422" s="342">
        <v>58</v>
      </c>
      <c r="J422" s="342">
        <v>0</v>
      </c>
      <c r="K422" s="342">
        <f>SUM(L422:M422)</f>
        <v>69</v>
      </c>
      <c r="L422" s="342">
        <v>69</v>
      </c>
      <c r="M422" s="342">
        <v>0</v>
      </c>
      <c r="N422" s="203" t="s">
        <v>146</v>
      </c>
      <c r="O422" s="306"/>
    </row>
    <row r="423" spans="2:15" ht="18.75" customHeight="1" thickBot="1" x14ac:dyDescent="0.25">
      <c r="B423" s="342">
        <f>SUM(C423:D423)</f>
        <v>42</v>
      </c>
      <c r="C423" s="342">
        <f t="shared" si="122"/>
        <v>20</v>
      </c>
      <c r="D423" s="342">
        <f t="shared" si="122"/>
        <v>22</v>
      </c>
      <c r="E423" s="342">
        <f>SUM(F423:G423)</f>
        <v>7</v>
      </c>
      <c r="F423" s="342">
        <v>7</v>
      </c>
      <c r="G423" s="342">
        <v>0</v>
      </c>
      <c r="H423" s="342">
        <f>SUM(I423:J423)</f>
        <v>1</v>
      </c>
      <c r="I423" s="342">
        <v>1</v>
      </c>
      <c r="J423" s="342">
        <v>0</v>
      </c>
      <c r="K423" s="342">
        <f>SUM(L423:M423)</f>
        <v>34</v>
      </c>
      <c r="L423" s="342">
        <v>12</v>
      </c>
      <c r="M423" s="342">
        <v>22</v>
      </c>
      <c r="N423" s="203" t="s">
        <v>145</v>
      </c>
      <c r="O423" s="306" t="s">
        <v>765</v>
      </c>
    </row>
    <row r="424" spans="2:15" ht="18.75" customHeight="1" thickBot="1" x14ac:dyDescent="0.25">
      <c r="B424" s="342">
        <f t="shared" ref="B424:L424" si="146">SUM(B422:B423)</f>
        <v>193</v>
      </c>
      <c r="C424" s="342">
        <f t="shared" si="146"/>
        <v>171</v>
      </c>
      <c r="D424" s="342">
        <f t="shared" si="146"/>
        <v>22</v>
      </c>
      <c r="E424" s="342">
        <f t="shared" si="146"/>
        <v>31</v>
      </c>
      <c r="F424" s="342">
        <f t="shared" si="146"/>
        <v>31</v>
      </c>
      <c r="G424" s="342">
        <f t="shared" si="146"/>
        <v>0</v>
      </c>
      <c r="H424" s="342">
        <f t="shared" si="146"/>
        <v>59</v>
      </c>
      <c r="I424" s="342">
        <f t="shared" si="146"/>
        <v>59</v>
      </c>
      <c r="J424" s="342">
        <f t="shared" si="146"/>
        <v>0</v>
      </c>
      <c r="K424" s="342">
        <f t="shared" si="146"/>
        <v>103</v>
      </c>
      <c r="L424" s="342">
        <f t="shared" si="146"/>
        <v>81</v>
      </c>
      <c r="M424" s="342">
        <f>SUM(M422:M423)</f>
        <v>22</v>
      </c>
      <c r="N424" s="203" t="s">
        <v>12</v>
      </c>
      <c r="O424" s="307"/>
    </row>
    <row r="425" spans="2:15" ht="18.75" customHeight="1" thickBot="1" x14ac:dyDescent="0.25">
      <c r="B425" s="342">
        <f>SUM(C425:D425)</f>
        <v>8</v>
      </c>
      <c r="C425" s="342">
        <f t="shared" si="122"/>
        <v>8</v>
      </c>
      <c r="D425" s="342">
        <f t="shared" si="122"/>
        <v>0</v>
      </c>
      <c r="E425" s="342">
        <f>SUM(F425:G425)</f>
        <v>6</v>
      </c>
      <c r="F425" s="342">
        <v>6</v>
      </c>
      <c r="G425" s="342">
        <v>0</v>
      </c>
      <c r="H425" s="342">
        <f>SUM(I425:J425)</f>
        <v>0</v>
      </c>
      <c r="I425" s="342">
        <v>0</v>
      </c>
      <c r="J425" s="342">
        <v>0</v>
      </c>
      <c r="K425" s="342">
        <f>SUM(L425:M425)</f>
        <v>2</v>
      </c>
      <c r="L425" s="342">
        <v>2</v>
      </c>
      <c r="M425" s="342">
        <v>0</v>
      </c>
      <c r="N425" s="203" t="s">
        <v>146</v>
      </c>
      <c r="O425" s="306"/>
    </row>
    <row r="426" spans="2:15" ht="18.75" customHeight="1" thickBot="1" x14ac:dyDescent="0.25">
      <c r="B426" s="342">
        <f>SUM(C426:D426)</f>
        <v>3</v>
      </c>
      <c r="C426" s="342">
        <f t="shared" si="122"/>
        <v>3</v>
      </c>
      <c r="D426" s="342">
        <f t="shared" si="122"/>
        <v>0</v>
      </c>
      <c r="E426" s="342">
        <f>SUM(F426:G426)</f>
        <v>0</v>
      </c>
      <c r="F426" s="342">
        <v>0</v>
      </c>
      <c r="G426" s="342">
        <v>0</v>
      </c>
      <c r="H426" s="342">
        <f>SUM(I426:J426)</f>
        <v>3</v>
      </c>
      <c r="I426" s="342">
        <v>3</v>
      </c>
      <c r="J426" s="342">
        <v>0</v>
      </c>
      <c r="K426" s="342">
        <f>SUM(L426:M426)</f>
        <v>0</v>
      </c>
      <c r="L426" s="342">
        <v>0</v>
      </c>
      <c r="M426" s="342">
        <v>0</v>
      </c>
      <c r="N426" s="203" t="s">
        <v>145</v>
      </c>
      <c r="O426" s="306" t="s">
        <v>92</v>
      </c>
    </row>
    <row r="427" spans="2:15" ht="18.75" customHeight="1" thickBot="1" x14ac:dyDescent="0.25">
      <c r="B427" s="342">
        <f t="shared" ref="B427:L427" si="147">SUM(B425:B426)</f>
        <v>11</v>
      </c>
      <c r="C427" s="342">
        <f t="shared" si="147"/>
        <v>11</v>
      </c>
      <c r="D427" s="342">
        <f t="shared" si="147"/>
        <v>0</v>
      </c>
      <c r="E427" s="342">
        <f t="shared" si="147"/>
        <v>6</v>
      </c>
      <c r="F427" s="342">
        <f t="shared" si="147"/>
        <v>6</v>
      </c>
      <c r="G427" s="342">
        <f t="shared" si="147"/>
        <v>0</v>
      </c>
      <c r="H427" s="342">
        <f t="shared" si="147"/>
        <v>3</v>
      </c>
      <c r="I427" s="342">
        <f t="shared" si="147"/>
        <v>3</v>
      </c>
      <c r="J427" s="342">
        <f t="shared" si="147"/>
        <v>0</v>
      </c>
      <c r="K427" s="342">
        <f t="shared" si="147"/>
        <v>2</v>
      </c>
      <c r="L427" s="342">
        <f t="shared" si="147"/>
        <v>2</v>
      </c>
      <c r="M427" s="342">
        <f>SUM(M425:M426)</f>
        <v>0</v>
      </c>
      <c r="N427" s="203" t="s">
        <v>12</v>
      </c>
      <c r="O427" s="307"/>
    </row>
    <row r="428" spans="2:15" ht="18.75" customHeight="1" thickBot="1" x14ac:dyDescent="0.25">
      <c r="B428" s="342">
        <f>SUM(C428:D428)</f>
        <v>5</v>
      </c>
      <c r="C428" s="342">
        <f t="shared" si="122"/>
        <v>5</v>
      </c>
      <c r="D428" s="342">
        <f t="shared" si="122"/>
        <v>0</v>
      </c>
      <c r="E428" s="342">
        <f>SUM(F428:G428)</f>
        <v>2</v>
      </c>
      <c r="F428" s="342">
        <v>2</v>
      </c>
      <c r="G428" s="342">
        <v>0</v>
      </c>
      <c r="H428" s="342">
        <f>SUM(I428:J428)</f>
        <v>3</v>
      </c>
      <c r="I428" s="342">
        <v>3</v>
      </c>
      <c r="J428" s="342">
        <v>0</v>
      </c>
      <c r="K428" s="342">
        <f>SUM(L428:M428)</f>
        <v>0</v>
      </c>
      <c r="L428" s="342">
        <v>0</v>
      </c>
      <c r="M428" s="342">
        <v>0</v>
      </c>
      <c r="N428" s="203" t="s">
        <v>146</v>
      </c>
      <c r="O428" s="306"/>
    </row>
    <row r="429" spans="2:15" ht="18.75" customHeight="1" thickBot="1" x14ac:dyDescent="0.25">
      <c r="B429" s="342">
        <f>SUM(C429:D429)</f>
        <v>1</v>
      </c>
      <c r="C429" s="342">
        <f t="shared" si="122"/>
        <v>1</v>
      </c>
      <c r="D429" s="342">
        <f t="shared" si="122"/>
        <v>0</v>
      </c>
      <c r="E429" s="342">
        <f>SUM(F429:G429)</f>
        <v>0</v>
      </c>
      <c r="F429" s="342">
        <v>0</v>
      </c>
      <c r="G429" s="342">
        <v>0</v>
      </c>
      <c r="H429" s="342">
        <f>SUM(I429:J429)</f>
        <v>1</v>
      </c>
      <c r="I429" s="342">
        <v>1</v>
      </c>
      <c r="J429" s="342">
        <v>0</v>
      </c>
      <c r="K429" s="342">
        <f>SUM(L429:M429)</f>
        <v>0</v>
      </c>
      <c r="L429" s="342">
        <v>0</v>
      </c>
      <c r="M429" s="342">
        <v>0</v>
      </c>
      <c r="N429" s="203" t="s">
        <v>145</v>
      </c>
      <c r="O429" s="306" t="s">
        <v>93</v>
      </c>
    </row>
    <row r="430" spans="2:15" ht="18.75" customHeight="1" thickBot="1" x14ac:dyDescent="0.25">
      <c r="B430" s="342">
        <f t="shared" ref="B430:L430" si="148">SUM(B428:B429)</f>
        <v>6</v>
      </c>
      <c r="C430" s="342">
        <f t="shared" si="148"/>
        <v>6</v>
      </c>
      <c r="D430" s="342">
        <f t="shared" si="148"/>
        <v>0</v>
      </c>
      <c r="E430" s="342">
        <f t="shared" si="148"/>
        <v>2</v>
      </c>
      <c r="F430" s="342">
        <f t="shared" si="148"/>
        <v>2</v>
      </c>
      <c r="G430" s="342">
        <f t="shared" si="148"/>
        <v>0</v>
      </c>
      <c r="H430" s="342">
        <f t="shared" si="148"/>
        <v>4</v>
      </c>
      <c r="I430" s="342">
        <f t="shared" si="148"/>
        <v>4</v>
      </c>
      <c r="J430" s="342">
        <f t="shared" si="148"/>
        <v>0</v>
      </c>
      <c r="K430" s="342">
        <f t="shared" si="148"/>
        <v>0</v>
      </c>
      <c r="L430" s="342">
        <f t="shared" si="148"/>
        <v>0</v>
      </c>
      <c r="M430" s="342">
        <f>SUM(M428:M429)</f>
        <v>0</v>
      </c>
      <c r="N430" s="203" t="s">
        <v>12</v>
      </c>
      <c r="O430" s="307"/>
    </row>
    <row r="431" spans="2:15" ht="18.75" customHeight="1" thickBot="1" x14ac:dyDescent="0.25">
      <c r="B431" s="342">
        <f>SUM(C431:D431)</f>
        <v>16</v>
      </c>
      <c r="C431" s="342">
        <f t="shared" ref="C431:D453" si="149">L431+I431+F431</f>
        <v>16</v>
      </c>
      <c r="D431" s="342">
        <f t="shared" si="149"/>
        <v>0</v>
      </c>
      <c r="E431" s="342">
        <f>SUM(F431:G431)</f>
        <v>13</v>
      </c>
      <c r="F431" s="342">
        <v>13</v>
      </c>
      <c r="G431" s="342">
        <v>0</v>
      </c>
      <c r="H431" s="342">
        <f>SUM(I431:J431)</f>
        <v>3</v>
      </c>
      <c r="I431" s="342">
        <v>3</v>
      </c>
      <c r="J431" s="342">
        <v>0</v>
      </c>
      <c r="K431" s="342">
        <f>SUM(L431:M431)</f>
        <v>0</v>
      </c>
      <c r="L431" s="342">
        <v>0</v>
      </c>
      <c r="M431" s="342">
        <v>0</v>
      </c>
      <c r="N431" s="203" t="s">
        <v>146</v>
      </c>
      <c r="O431" s="306"/>
    </row>
    <row r="432" spans="2:15" ht="18.75" customHeight="1" thickBot="1" x14ac:dyDescent="0.25">
      <c r="B432" s="342">
        <f>SUM(C432:D432)</f>
        <v>14</v>
      </c>
      <c r="C432" s="342">
        <f t="shared" si="149"/>
        <v>11</v>
      </c>
      <c r="D432" s="342">
        <f t="shared" si="149"/>
        <v>3</v>
      </c>
      <c r="E432" s="342">
        <f>SUM(F432:G432)</f>
        <v>0</v>
      </c>
      <c r="F432" s="342">
        <v>0</v>
      </c>
      <c r="G432" s="342">
        <v>0</v>
      </c>
      <c r="H432" s="342">
        <f>SUM(I432:J432)</f>
        <v>3</v>
      </c>
      <c r="I432" s="342">
        <v>3</v>
      </c>
      <c r="J432" s="342">
        <v>0</v>
      </c>
      <c r="K432" s="342">
        <f>SUM(L432:M432)</f>
        <v>11</v>
      </c>
      <c r="L432" s="342">
        <v>8</v>
      </c>
      <c r="M432" s="342">
        <v>3</v>
      </c>
      <c r="N432" s="203" t="s">
        <v>145</v>
      </c>
      <c r="O432" s="306" t="s">
        <v>445</v>
      </c>
    </row>
    <row r="433" spans="2:15" ht="18.75" customHeight="1" thickBot="1" x14ac:dyDescent="0.25">
      <c r="B433" s="342">
        <f t="shared" ref="B433:L433" si="150">SUM(B431:B432)</f>
        <v>30</v>
      </c>
      <c r="C433" s="342">
        <f t="shared" si="150"/>
        <v>27</v>
      </c>
      <c r="D433" s="342">
        <f t="shared" si="150"/>
        <v>3</v>
      </c>
      <c r="E433" s="342">
        <f t="shared" si="150"/>
        <v>13</v>
      </c>
      <c r="F433" s="342">
        <f t="shared" si="150"/>
        <v>13</v>
      </c>
      <c r="G433" s="342">
        <f t="shared" si="150"/>
        <v>0</v>
      </c>
      <c r="H433" s="342">
        <f t="shared" si="150"/>
        <v>6</v>
      </c>
      <c r="I433" s="342">
        <f t="shared" si="150"/>
        <v>6</v>
      </c>
      <c r="J433" s="342">
        <f t="shared" si="150"/>
        <v>0</v>
      </c>
      <c r="K433" s="342">
        <f t="shared" si="150"/>
        <v>11</v>
      </c>
      <c r="L433" s="342">
        <f t="shared" si="150"/>
        <v>8</v>
      </c>
      <c r="M433" s="342">
        <f>SUM(M431:M432)</f>
        <v>3</v>
      </c>
      <c r="N433" s="203" t="s">
        <v>12</v>
      </c>
      <c r="O433" s="307"/>
    </row>
    <row r="434" spans="2:15" ht="18.75" customHeight="1" thickBot="1" x14ac:dyDescent="0.25">
      <c r="B434" s="342">
        <f>SUM(C434:D434)</f>
        <v>137</v>
      </c>
      <c r="C434" s="342">
        <f t="shared" si="149"/>
        <v>137</v>
      </c>
      <c r="D434" s="342">
        <f t="shared" si="149"/>
        <v>0</v>
      </c>
      <c r="E434" s="342">
        <f>SUM(F434:G434)</f>
        <v>25</v>
      </c>
      <c r="F434" s="342">
        <v>25</v>
      </c>
      <c r="G434" s="342">
        <v>0</v>
      </c>
      <c r="H434" s="342">
        <f>SUM(I434:J434)</f>
        <v>56</v>
      </c>
      <c r="I434" s="342">
        <v>56</v>
      </c>
      <c r="J434" s="342">
        <v>0</v>
      </c>
      <c r="K434" s="342">
        <f>SUM(L434:M434)</f>
        <v>56</v>
      </c>
      <c r="L434" s="342">
        <v>56</v>
      </c>
      <c r="M434" s="342">
        <v>0</v>
      </c>
      <c r="N434" s="203" t="s">
        <v>146</v>
      </c>
      <c r="O434" s="306"/>
    </row>
    <row r="435" spans="2:15" ht="18.75" customHeight="1" thickBot="1" x14ac:dyDescent="0.25">
      <c r="B435" s="342">
        <f>SUM(C435:D435)</f>
        <v>39</v>
      </c>
      <c r="C435" s="342">
        <f t="shared" si="149"/>
        <v>21</v>
      </c>
      <c r="D435" s="342">
        <f t="shared" si="149"/>
        <v>18</v>
      </c>
      <c r="E435" s="342">
        <f>SUM(F435:G435)</f>
        <v>0</v>
      </c>
      <c r="F435" s="342">
        <v>0</v>
      </c>
      <c r="G435" s="342">
        <v>0</v>
      </c>
      <c r="H435" s="342">
        <f>SUM(I435:J435)</f>
        <v>1</v>
      </c>
      <c r="I435" s="342">
        <v>1</v>
      </c>
      <c r="J435" s="342">
        <v>0</v>
      </c>
      <c r="K435" s="342">
        <f>SUM(L435:M435)</f>
        <v>38</v>
      </c>
      <c r="L435" s="342">
        <v>20</v>
      </c>
      <c r="M435" s="342">
        <v>18</v>
      </c>
      <c r="N435" s="203" t="s">
        <v>145</v>
      </c>
      <c r="O435" s="306" t="s">
        <v>446</v>
      </c>
    </row>
    <row r="436" spans="2:15" ht="18.75" customHeight="1" thickBot="1" x14ac:dyDescent="0.25">
      <c r="B436" s="342">
        <f t="shared" ref="B436:L436" si="151">SUM(B434:B435)</f>
        <v>176</v>
      </c>
      <c r="C436" s="342">
        <f t="shared" si="151"/>
        <v>158</v>
      </c>
      <c r="D436" s="342">
        <f t="shared" si="151"/>
        <v>18</v>
      </c>
      <c r="E436" s="342">
        <f t="shared" si="151"/>
        <v>25</v>
      </c>
      <c r="F436" s="342">
        <f t="shared" si="151"/>
        <v>25</v>
      </c>
      <c r="G436" s="342">
        <f t="shared" si="151"/>
        <v>0</v>
      </c>
      <c r="H436" s="342">
        <f t="shared" si="151"/>
        <v>57</v>
      </c>
      <c r="I436" s="342">
        <f t="shared" si="151"/>
        <v>57</v>
      </c>
      <c r="J436" s="342">
        <f t="shared" si="151"/>
        <v>0</v>
      </c>
      <c r="K436" s="342">
        <f t="shared" si="151"/>
        <v>94</v>
      </c>
      <c r="L436" s="342">
        <f t="shared" si="151"/>
        <v>76</v>
      </c>
      <c r="M436" s="342">
        <f>SUM(M434:M435)</f>
        <v>18</v>
      </c>
      <c r="N436" s="203" t="s">
        <v>12</v>
      </c>
      <c r="O436" s="307"/>
    </row>
    <row r="437" spans="2:15" ht="18.75" customHeight="1" thickBot="1" x14ac:dyDescent="0.25">
      <c r="B437" s="342">
        <f>SUM(C437:D437)</f>
        <v>7</v>
      </c>
      <c r="C437" s="342">
        <f t="shared" si="149"/>
        <v>7</v>
      </c>
      <c r="D437" s="342">
        <f t="shared" si="149"/>
        <v>0</v>
      </c>
      <c r="E437" s="342">
        <f>SUM(F437:G437)</f>
        <v>7</v>
      </c>
      <c r="F437" s="342">
        <v>7</v>
      </c>
      <c r="G437" s="342">
        <v>0</v>
      </c>
      <c r="H437" s="342">
        <f>SUM(I437:J437)</f>
        <v>0</v>
      </c>
      <c r="I437" s="342">
        <v>0</v>
      </c>
      <c r="J437" s="342">
        <v>0</v>
      </c>
      <c r="K437" s="342">
        <f>SUM(L437:M437)</f>
        <v>0</v>
      </c>
      <c r="L437" s="342">
        <v>0</v>
      </c>
      <c r="M437" s="342">
        <v>0</v>
      </c>
      <c r="N437" s="203" t="s">
        <v>146</v>
      </c>
      <c r="O437" s="306"/>
    </row>
    <row r="438" spans="2:15" ht="18.75" customHeight="1" thickBot="1" x14ac:dyDescent="0.25">
      <c r="B438" s="342">
        <f>SUM(C438:D438)</f>
        <v>19</v>
      </c>
      <c r="C438" s="342">
        <f t="shared" si="149"/>
        <v>13</v>
      </c>
      <c r="D438" s="342">
        <f t="shared" si="149"/>
        <v>6</v>
      </c>
      <c r="E438" s="342">
        <f>SUM(F438:G438)</f>
        <v>0</v>
      </c>
      <c r="F438" s="342">
        <v>0</v>
      </c>
      <c r="G438" s="342">
        <v>0</v>
      </c>
      <c r="H438" s="342">
        <f>SUM(I438:J438)</f>
        <v>9</v>
      </c>
      <c r="I438" s="342">
        <v>8</v>
      </c>
      <c r="J438" s="342">
        <v>1</v>
      </c>
      <c r="K438" s="342">
        <f>SUM(L438:M438)</f>
        <v>10</v>
      </c>
      <c r="L438" s="342">
        <v>5</v>
      </c>
      <c r="M438" s="342">
        <v>5</v>
      </c>
      <c r="N438" s="203" t="s">
        <v>145</v>
      </c>
      <c r="O438" s="306" t="s">
        <v>447</v>
      </c>
    </row>
    <row r="439" spans="2:15" ht="18.75" customHeight="1" thickBot="1" x14ac:dyDescent="0.25">
      <c r="B439" s="342">
        <f t="shared" ref="B439:L439" si="152">SUM(B437:B438)</f>
        <v>26</v>
      </c>
      <c r="C439" s="342">
        <f t="shared" si="152"/>
        <v>20</v>
      </c>
      <c r="D439" s="342">
        <f t="shared" si="152"/>
        <v>6</v>
      </c>
      <c r="E439" s="342">
        <f t="shared" si="152"/>
        <v>7</v>
      </c>
      <c r="F439" s="342">
        <f t="shared" si="152"/>
        <v>7</v>
      </c>
      <c r="G439" s="342">
        <f t="shared" si="152"/>
        <v>0</v>
      </c>
      <c r="H439" s="342">
        <f t="shared" si="152"/>
        <v>9</v>
      </c>
      <c r="I439" s="342">
        <f t="shared" si="152"/>
        <v>8</v>
      </c>
      <c r="J439" s="342">
        <f t="shared" si="152"/>
        <v>1</v>
      </c>
      <c r="K439" s="342">
        <f t="shared" si="152"/>
        <v>10</v>
      </c>
      <c r="L439" s="342">
        <f t="shared" si="152"/>
        <v>5</v>
      </c>
      <c r="M439" s="342">
        <f>SUM(M437:M438)</f>
        <v>5</v>
      </c>
      <c r="N439" s="203" t="s">
        <v>12</v>
      </c>
      <c r="O439" s="307"/>
    </row>
    <row r="440" spans="2:15" ht="18.75" customHeight="1" thickBot="1" x14ac:dyDescent="0.25">
      <c r="B440" s="342">
        <f>SUM(C440:D440)</f>
        <v>55</v>
      </c>
      <c r="C440" s="342">
        <f t="shared" si="149"/>
        <v>55</v>
      </c>
      <c r="D440" s="342">
        <f t="shared" si="149"/>
        <v>0</v>
      </c>
      <c r="E440" s="342">
        <f>SUM(F440:G440)</f>
        <v>47</v>
      </c>
      <c r="F440" s="342">
        <v>47</v>
      </c>
      <c r="G440" s="342">
        <v>0</v>
      </c>
      <c r="H440" s="342">
        <f>SUM(I440:J440)</f>
        <v>8</v>
      </c>
      <c r="I440" s="342">
        <v>8</v>
      </c>
      <c r="J440" s="342">
        <v>0</v>
      </c>
      <c r="K440" s="342">
        <f>SUM(L440:M440)</f>
        <v>0</v>
      </c>
      <c r="L440" s="342">
        <v>0</v>
      </c>
      <c r="M440" s="342">
        <v>0</v>
      </c>
      <c r="N440" s="203" t="s">
        <v>146</v>
      </c>
      <c r="O440" s="306"/>
    </row>
    <row r="441" spans="2:15" ht="18.75" customHeight="1" thickBot="1" x14ac:dyDescent="0.25">
      <c r="B441" s="342">
        <f>SUM(C441:D441)</f>
        <v>32</v>
      </c>
      <c r="C441" s="342">
        <f t="shared" si="149"/>
        <v>25</v>
      </c>
      <c r="D441" s="342">
        <f t="shared" si="149"/>
        <v>7</v>
      </c>
      <c r="E441" s="342">
        <f>SUM(F441:G441)</f>
        <v>1</v>
      </c>
      <c r="F441" s="342">
        <v>1</v>
      </c>
      <c r="G441" s="342">
        <v>0</v>
      </c>
      <c r="H441" s="342">
        <f>SUM(I441:J441)</f>
        <v>1</v>
      </c>
      <c r="I441" s="342">
        <v>1</v>
      </c>
      <c r="J441" s="342">
        <v>0</v>
      </c>
      <c r="K441" s="342">
        <f>SUM(L441:M441)</f>
        <v>30</v>
      </c>
      <c r="L441" s="342">
        <v>23</v>
      </c>
      <c r="M441" s="342">
        <v>7</v>
      </c>
      <c r="N441" s="203" t="s">
        <v>145</v>
      </c>
      <c r="O441" s="306" t="s">
        <v>652</v>
      </c>
    </row>
    <row r="442" spans="2:15" ht="18.75" customHeight="1" thickBot="1" x14ac:dyDescent="0.25">
      <c r="B442" s="342">
        <f t="shared" ref="B442:L442" si="153">SUM(B440:B441)</f>
        <v>87</v>
      </c>
      <c r="C442" s="342">
        <f t="shared" si="153"/>
        <v>80</v>
      </c>
      <c r="D442" s="342">
        <f t="shared" si="153"/>
        <v>7</v>
      </c>
      <c r="E442" s="342">
        <f t="shared" si="153"/>
        <v>48</v>
      </c>
      <c r="F442" s="342">
        <f t="shared" si="153"/>
        <v>48</v>
      </c>
      <c r="G442" s="342">
        <f t="shared" si="153"/>
        <v>0</v>
      </c>
      <c r="H442" s="342">
        <f t="shared" si="153"/>
        <v>9</v>
      </c>
      <c r="I442" s="342">
        <f t="shared" si="153"/>
        <v>9</v>
      </c>
      <c r="J442" s="342">
        <f t="shared" si="153"/>
        <v>0</v>
      </c>
      <c r="K442" s="342">
        <f t="shared" si="153"/>
        <v>30</v>
      </c>
      <c r="L442" s="342">
        <f t="shared" si="153"/>
        <v>23</v>
      </c>
      <c r="M442" s="342">
        <f>SUM(M440:M441)</f>
        <v>7</v>
      </c>
      <c r="N442" s="203" t="s">
        <v>12</v>
      </c>
      <c r="O442" s="307"/>
    </row>
    <row r="443" spans="2:15" ht="18.75" customHeight="1" thickBot="1" x14ac:dyDescent="0.25">
      <c r="B443" s="342">
        <f>SUM(C443:D443)</f>
        <v>29</v>
      </c>
      <c r="C443" s="342">
        <f t="shared" si="149"/>
        <v>17</v>
      </c>
      <c r="D443" s="342">
        <f t="shared" si="149"/>
        <v>12</v>
      </c>
      <c r="E443" s="342">
        <f>SUM(F443:G443)</f>
        <v>19</v>
      </c>
      <c r="F443" s="342">
        <v>13</v>
      </c>
      <c r="G443" s="342">
        <v>6</v>
      </c>
      <c r="H443" s="342">
        <f>SUM(I443:J443)</f>
        <v>9</v>
      </c>
      <c r="I443" s="342">
        <v>3</v>
      </c>
      <c r="J443" s="342">
        <v>6</v>
      </c>
      <c r="K443" s="342">
        <f>SUM(L443:M443)</f>
        <v>1</v>
      </c>
      <c r="L443" s="342">
        <v>1</v>
      </c>
      <c r="M443" s="342">
        <v>0</v>
      </c>
      <c r="N443" s="203" t="s">
        <v>146</v>
      </c>
      <c r="O443" s="306"/>
    </row>
    <row r="444" spans="2:15" ht="18.75" customHeight="1" thickBot="1" x14ac:dyDescent="0.25">
      <c r="B444" s="342">
        <f>SUM(C444:D444)</f>
        <v>35</v>
      </c>
      <c r="C444" s="342">
        <f t="shared" si="149"/>
        <v>10</v>
      </c>
      <c r="D444" s="342">
        <f t="shared" si="149"/>
        <v>25</v>
      </c>
      <c r="E444" s="342">
        <f>SUM(F444:G444)</f>
        <v>20</v>
      </c>
      <c r="F444" s="342">
        <v>6</v>
      </c>
      <c r="G444" s="342">
        <v>14</v>
      </c>
      <c r="H444" s="342">
        <f>SUM(I444:J444)</f>
        <v>6</v>
      </c>
      <c r="I444" s="342">
        <v>2</v>
      </c>
      <c r="J444" s="342">
        <v>4</v>
      </c>
      <c r="K444" s="342">
        <f>SUM(L444:M444)</f>
        <v>9</v>
      </c>
      <c r="L444" s="342">
        <v>2</v>
      </c>
      <c r="M444" s="342">
        <v>7</v>
      </c>
      <c r="N444" s="203" t="s">
        <v>145</v>
      </c>
      <c r="O444" s="306" t="s">
        <v>264</v>
      </c>
    </row>
    <row r="445" spans="2:15" ht="18.75" customHeight="1" thickBot="1" x14ac:dyDescent="0.25">
      <c r="B445" s="342">
        <f t="shared" ref="B445:L445" si="154">SUM(B443:B444)</f>
        <v>64</v>
      </c>
      <c r="C445" s="342">
        <f t="shared" si="154"/>
        <v>27</v>
      </c>
      <c r="D445" s="342">
        <f t="shared" si="154"/>
        <v>37</v>
      </c>
      <c r="E445" s="342">
        <f t="shared" si="154"/>
        <v>39</v>
      </c>
      <c r="F445" s="342">
        <f t="shared" si="154"/>
        <v>19</v>
      </c>
      <c r="G445" s="342">
        <f t="shared" si="154"/>
        <v>20</v>
      </c>
      <c r="H445" s="342">
        <f t="shared" si="154"/>
        <v>15</v>
      </c>
      <c r="I445" s="342">
        <f t="shared" si="154"/>
        <v>5</v>
      </c>
      <c r="J445" s="342">
        <f t="shared" si="154"/>
        <v>10</v>
      </c>
      <c r="K445" s="342">
        <f t="shared" si="154"/>
        <v>10</v>
      </c>
      <c r="L445" s="342">
        <f t="shared" si="154"/>
        <v>3</v>
      </c>
      <c r="M445" s="342">
        <f>SUM(M443:M444)</f>
        <v>7</v>
      </c>
      <c r="N445" s="203" t="s">
        <v>12</v>
      </c>
      <c r="O445" s="307"/>
    </row>
    <row r="446" spans="2:15" ht="18.75" customHeight="1" thickBot="1" x14ac:dyDescent="0.25">
      <c r="B446" s="342">
        <f>SUM(C446:D446)</f>
        <v>3</v>
      </c>
      <c r="C446" s="342">
        <f t="shared" si="149"/>
        <v>3</v>
      </c>
      <c r="D446" s="342">
        <f t="shared" si="149"/>
        <v>0</v>
      </c>
      <c r="E446" s="342">
        <f>SUM(F446:G446)</f>
        <v>3</v>
      </c>
      <c r="F446" s="342">
        <v>3</v>
      </c>
      <c r="G446" s="342">
        <v>0</v>
      </c>
      <c r="H446" s="342">
        <f>SUM(I446:J446)</f>
        <v>0</v>
      </c>
      <c r="I446" s="342">
        <v>0</v>
      </c>
      <c r="J446" s="342">
        <v>0</v>
      </c>
      <c r="K446" s="342">
        <f>SUM(L446:M446)</f>
        <v>0</v>
      </c>
      <c r="L446" s="342">
        <v>0</v>
      </c>
      <c r="M446" s="342">
        <v>0</v>
      </c>
      <c r="N446" s="203" t="s">
        <v>146</v>
      </c>
      <c r="O446" s="306"/>
    </row>
    <row r="447" spans="2:15" ht="18.75" customHeight="1" thickBot="1" x14ac:dyDescent="0.25">
      <c r="B447" s="342">
        <f>SUM(C447:D447)</f>
        <v>9</v>
      </c>
      <c r="C447" s="342">
        <f t="shared" si="149"/>
        <v>9</v>
      </c>
      <c r="D447" s="342">
        <f t="shared" si="149"/>
        <v>0</v>
      </c>
      <c r="E447" s="342">
        <f>SUM(F447:G447)</f>
        <v>7</v>
      </c>
      <c r="F447" s="342">
        <v>7</v>
      </c>
      <c r="G447" s="342">
        <v>0</v>
      </c>
      <c r="H447" s="342">
        <f>SUM(I447:J447)</f>
        <v>0</v>
      </c>
      <c r="I447" s="342">
        <v>0</v>
      </c>
      <c r="J447" s="342">
        <v>0</v>
      </c>
      <c r="K447" s="342">
        <f>SUM(L447:M447)</f>
        <v>2</v>
      </c>
      <c r="L447" s="342">
        <v>2</v>
      </c>
      <c r="M447" s="342">
        <v>0</v>
      </c>
      <c r="N447" s="203" t="s">
        <v>145</v>
      </c>
      <c r="O447" s="306" t="s">
        <v>265</v>
      </c>
    </row>
    <row r="448" spans="2:15" ht="18.75" customHeight="1" thickBot="1" x14ac:dyDescent="0.25">
      <c r="B448" s="342">
        <f t="shared" ref="B448:L448" si="155">SUM(B446:B447)</f>
        <v>12</v>
      </c>
      <c r="C448" s="342">
        <f t="shared" si="155"/>
        <v>12</v>
      </c>
      <c r="D448" s="342">
        <f t="shared" si="155"/>
        <v>0</v>
      </c>
      <c r="E448" s="342">
        <f t="shared" si="155"/>
        <v>10</v>
      </c>
      <c r="F448" s="342">
        <f t="shared" si="155"/>
        <v>10</v>
      </c>
      <c r="G448" s="342">
        <f t="shared" si="155"/>
        <v>0</v>
      </c>
      <c r="H448" s="342">
        <f t="shared" si="155"/>
        <v>0</v>
      </c>
      <c r="I448" s="342">
        <f t="shared" si="155"/>
        <v>0</v>
      </c>
      <c r="J448" s="342">
        <f t="shared" si="155"/>
        <v>0</v>
      </c>
      <c r="K448" s="342">
        <f t="shared" si="155"/>
        <v>2</v>
      </c>
      <c r="L448" s="342">
        <f t="shared" si="155"/>
        <v>2</v>
      </c>
      <c r="M448" s="342">
        <f>SUM(M446:M447)</f>
        <v>0</v>
      </c>
      <c r="N448" s="203" t="s">
        <v>12</v>
      </c>
      <c r="O448" s="307"/>
    </row>
    <row r="449" spans="2:15" ht="18.75" customHeight="1" thickBot="1" x14ac:dyDescent="0.25">
      <c r="B449" s="342">
        <f>SUM(C449:D449)</f>
        <v>10</v>
      </c>
      <c r="C449" s="342">
        <f t="shared" si="149"/>
        <v>5</v>
      </c>
      <c r="D449" s="342">
        <f t="shared" si="149"/>
        <v>5</v>
      </c>
      <c r="E449" s="342">
        <f>SUM(F449:G449)</f>
        <v>7</v>
      </c>
      <c r="F449" s="342">
        <v>2</v>
      </c>
      <c r="G449" s="342">
        <v>5</v>
      </c>
      <c r="H449" s="342">
        <f>SUM(I449:J449)</f>
        <v>3</v>
      </c>
      <c r="I449" s="342">
        <v>3</v>
      </c>
      <c r="J449" s="342">
        <v>0</v>
      </c>
      <c r="K449" s="342">
        <f>SUM(L449:M449)</f>
        <v>0</v>
      </c>
      <c r="L449" s="342">
        <v>0</v>
      </c>
      <c r="M449" s="342">
        <v>0</v>
      </c>
      <c r="N449" s="203" t="s">
        <v>146</v>
      </c>
      <c r="O449" s="306"/>
    </row>
    <row r="450" spans="2:15" ht="18.75" customHeight="1" thickBot="1" x14ac:dyDescent="0.25">
      <c r="B450" s="342">
        <f>SUM(C450:D450)</f>
        <v>15</v>
      </c>
      <c r="C450" s="342">
        <f t="shared" si="149"/>
        <v>3</v>
      </c>
      <c r="D450" s="342">
        <f t="shared" si="149"/>
        <v>12</v>
      </c>
      <c r="E450" s="342">
        <f>SUM(F450:G450)</f>
        <v>6</v>
      </c>
      <c r="F450" s="342">
        <v>2</v>
      </c>
      <c r="G450" s="342">
        <v>4</v>
      </c>
      <c r="H450" s="342">
        <f>SUM(I450:J450)</f>
        <v>2</v>
      </c>
      <c r="I450" s="342">
        <v>0</v>
      </c>
      <c r="J450" s="342">
        <v>2</v>
      </c>
      <c r="K450" s="342">
        <f>SUM(L450:M450)</f>
        <v>7</v>
      </c>
      <c r="L450" s="342">
        <v>1</v>
      </c>
      <c r="M450" s="342">
        <v>6</v>
      </c>
      <c r="N450" s="203" t="s">
        <v>145</v>
      </c>
      <c r="O450" s="306" t="s">
        <v>796</v>
      </c>
    </row>
    <row r="451" spans="2:15" ht="18.75" customHeight="1" thickBot="1" x14ac:dyDescent="0.25">
      <c r="B451" s="342">
        <f t="shared" ref="B451:L451" si="156">SUM(B449:B450)</f>
        <v>25</v>
      </c>
      <c r="C451" s="342">
        <f t="shared" si="156"/>
        <v>8</v>
      </c>
      <c r="D451" s="342">
        <f t="shared" si="156"/>
        <v>17</v>
      </c>
      <c r="E451" s="342">
        <f t="shared" si="156"/>
        <v>13</v>
      </c>
      <c r="F451" s="342">
        <f t="shared" si="156"/>
        <v>4</v>
      </c>
      <c r="G451" s="342">
        <f t="shared" si="156"/>
        <v>9</v>
      </c>
      <c r="H451" s="342">
        <f t="shared" si="156"/>
        <v>5</v>
      </c>
      <c r="I451" s="342">
        <f t="shared" si="156"/>
        <v>3</v>
      </c>
      <c r="J451" s="342">
        <f t="shared" si="156"/>
        <v>2</v>
      </c>
      <c r="K451" s="342">
        <f t="shared" si="156"/>
        <v>7</v>
      </c>
      <c r="L451" s="342">
        <f t="shared" si="156"/>
        <v>1</v>
      </c>
      <c r="M451" s="342">
        <f>SUM(M449:M450)</f>
        <v>6</v>
      </c>
      <c r="N451" s="203" t="s">
        <v>12</v>
      </c>
      <c r="O451" s="307"/>
    </row>
    <row r="452" spans="2:15" ht="18.75" customHeight="1" thickBot="1" x14ac:dyDescent="0.25">
      <c r="B452" s="342">
        <f>SUM(C452:D452)</f>
        <v>10</v>
      </c>
      <c r="C452" s="342">
        <f t="shared" si="149"/>
        <v>10</v>
      </c>
      <c r="D452" s="342">
        <f t="shared" si="149"/>
        <v>0</v>
      </c>
      <c r="E452" s="342">
        <f>SUM(F452:G452)</f>
        <v>10</v>
      </c>
      <c r="F452" s="342">
        <v>10</v>
      </c>
      <c r="G452" s="342">
        <v>0</v>
      </c>
      <c r="H452" s="342">
        <f>SUM(I452:J452)</f>
        <v>0</v>
      </c>
      <c r="I452" s="342">
        <v>0</v>
      </c>
      <c r="J452" s="342">
        <v>0</v>
      </c>
      <c r="K452" s="342">
        <f>SUM(L452:M452)</f>
        <v>0</v>
      </c>
      <c r="L452" s="342">
        <v>0</v>
      </c>
      <c r="M452" s="342">
        <v>0</v>
      </c>
      <c r="N452" s="203" t="s">
        <v>146</v>
      </c>
      <c r="O452" s="306"/>
    </row>
    <row r="453" spans="2:15" ht="18.75" customHeight="1" thickBot="1" x14ac:dyDescent="0.25">
      <c r="B453" s="342">
        <f>SUM(C453:D453)</f>
        <v>7</v>
      </c>
      <c r="C453" s="342">
        <f t="shared" si="149"/>
        <v>4</v>
      </c>
      <c r="D453" s="342">
        <f t="shared" si="149"/>
        <v>3</v>
      </c>
      <c r="E453" s="342">
        <f>SUM(F453:G453)</f>
        <v>5</v>
      </c>
      <c r="F453" s="342">
        <v>2</v>
      </c>
      <c r="G453" s="342">
        <v>3</v>
      </c>
      <c r="H453" s="342">
        <f>SUM(I453:J453)</f>
        <v>1</v>
      </c>
      <c r="I453" s="342">
        <v>1</v>
      </c>
      <c r="J453" s="342">
        <v>0</v>
      </c>
      <c r="K453" s="342">
        <f>SUM(L453:M453)</f>
        <v>1</v>
      </c>
      <c r="L453" s="342">
        <v>1</v>
      </c>
      <c r="M453" s="342">
        <v>0</v>
      </c>
      <c r="N453" s="203" t="s">
        <v>145</v>
      </c>
      <c r="O453" s="306" t="s">
        <v>267</v>
      </c>
    </row>
    <row r="454" spans="2:15" ht="18.75" customHeight="1" thickBot="1" x14ac:dyDescent="0.25">
      <c r="B454" s="342">
        <f t="shared" ref="B454:L454" si="157">SUM(B452:B453)</f>
        <v>17</v>
      </c>
      <c r="C454" s="342">
        <f t="shared" si="157"/>
        <v>14</v>
      </c>
      <c r="D454" s="342">
        <f t="shared" si="157"/>
        <v>3</v>
      </c>
      <c r="E454" s="342">
        <f t="shared" si="157"/>
        <v>15</v>
      </c>
      <c r="F454" s="342">
        <f t="shared" si="157"/>
        <v>12</v>
      </c>
      <c r="G454" s="342">
        <f t="shared" si="157"/>
        <v>3</v>
      </c>
      <c r="H454" s="342">
        <f t="shared" si="157"/>
        <v>1</v>
      </c>
      <c r="I454" s="342">
        <f t="shared" si="157"/>
        <v>1</v>
      </c>
      <c r="J454" s="342">
        <f t="shared" si="157"/>
        <v>0</v>
      </c>
      <c r="K454" s="342">
        <f t="shared" si="157"/>
        <v>1</v>
      </c>
      <c r="L454" s="342">
        <f t="shared" si="157"/>
        <v>1</v>
      </c>
      <c r="M454" s="342">
        <f>SUM(M452:M453)</f>
        <v>0</v>
      </c>
      <c r="N454" s="203" t="s">
        <v>12</v>
      </c>
      <c r="O454" s="307"/>
    </row>
    <row r="455" spans="2:15" ht="18.75" customHeight="1" thickBot="1" x14ac:dyDescent="0.25">
      <c r="B455" s="342">
        <f t="shared" ref="B455:M457" si="158">B365+B368+B371+B374+B377+B380+B383+B386+B389+B392+B395+B398+B401+B404+B407+B410+B413+B416+B419+B422+B425+B428+B431+B434+B437+B440+B443+B446+B449+B452</f>
        <v>1476</v>
      </c>
      <c r="C455" s="342">
        <f t="shared" si="158"/>
        <v>807</v>
      </c>
      <c r="D455" s="342">
        <f t="shared" si="158"/>
        <v>669</v>
      </c>
      <c r="E455" s="342">
        <f t="shared" si="158"/>
        <v>631</v>
      </c>
      <c r="F455" s="342">
        <f t="shared" si="158"/>
        <v>412</v>
      </c>
      <c r="G455" s="342">
        <f t="shared" si="158"/>
        <v>219</v>
      </c>
      <c r="H455" s="342">
        <f t="shared" si="158"/>
        <v>345</v>
      </c>
      <c r="I455" s="342">
        <f t="shared" si="158"/>
        <v>214</v>
      </c>
      <c r="J455" s="342">
        <f t="shared" si="158"/>
        <v>131</v>
      </c>
      <c r="K455" s="342">
        <f t="shared" si="158"/>
        <v>500</v>
      </c>
      <c r="L455" s="342">
        <f t="shared" si="158"/>
        <v>181</v>
      </c>
      <c r="M455" s="342">
        <f t="shared" si="158"/>
        <v>319</v>
      </c>
      <c r="N455" s="203" t="s">
        <v>146</v>
      </c>
      <c r="O455" s="280"/>
    </row>
    <row r="456" spans="2:15" ht="18.75" customHeight="1" thickBot="1" x14ac:dyDescent="0.25">
      <c r="B456" s="342">
        <f t="shared" si="158"/>
        <v>882</v>
      </c>
      <c r="C456" s="342">
        <f t="shared" si="158"/>
        <v>308</v>
      </c>
      <c r="D456" s="342">
        <f t="shared" si="158"/>
        <v>574</v>
      </c>
      <c r="E456" s="342">
        <f t="shared" si="158"/>
        <v>82</v>
      </c>
      <c r="F456" s="342">
        <f t="shared" si="158"/>
        <v>27</v>
      </c>
      <c r="G456" s="342">
        <f t="shared" si="158"/>
        <v>55</v>
      </c>
      <c r="H456" s="342">
        <f t="shared" si="158"/>
        <v>75</v>
      </c>
      <c r="I456" s="342">
        <f t="shared" si="158"/>
        <v>41</v>
      </c>
      <c r="J456" s="342">
        <f t="shared" si="158"/>
        <v>34</v>
      </c>
      <c r="K456" s="342">
        <f t="shared" si="158"/>
        <v>725</v>
      </c>
      <c r="L456" s="342">
        <f t="shared" si="158"/>
        <v>240</v>
      </c>
      <c r="M456" s="342">
        <f t="shared" si="158"/>
        <v>485</v>
      </c>
      <c r="N456" s="203" t="s">
        <v>145</v>
      </c>
      <c r="O456" s="281" t="s">
        <v>188</v>
      </c>
    </row>
    <row r="457" spans="2:15" ht="18.75" customHeight="1" thickBot="1" x14ac:dyDescent="0.25">
      <c r="B457" s="342">
        <f t="shared" si="158"/>
        <v>2358</v>
      </c>
      <c r="C457" s="342">
        <f t="shared" si="158"/>
        <v>1115</v>
      </c>
      <c r="D457" s="342">
        <f t="shared" si="158"/>
        <v>1243</v>
      </c>
      <c r="E457" s="342">
        <f t="shared" si="158"/>
        <v>713</v>
      </c>
      <c r="F457" s="342">
        <f t="shared" si="158"/>
        <v>439</v>
      </c>
      <c r="G457" s="342">
        <f t="shared" si="158"/>
        <v>274</v>
      </c>
      <c r="H457" s="342">
        <f t="shared" si="158"/>
        <v>420</v>
      </c>
      <c r="I457" s="342">
        <f t="shared" si="158"/>
        <v>255</v>
      </c>
      <c r="J457" s="342">
        <f t="shared" si="158"/>
        <v>165</v>
      </c>
      <c r="K457" s="342">
        <f t="shared" si="158"/>
        <v>1225</v>
      </c>
      <c r="L457" s="342">
        <f t="shared" si="158"/>
        <v>421</v>
      </c>
      <c r="M457" s="342">
        <f t="shared" si="158"/>
        <v>804</v>
      </c>
      <c r="N457" s="203" t="s">
        <v>12</v>
      </c>
      <c r="O457" s="282"/>
    </row>
    <row r="458" spans="2:15" ht="18.75" customHeight="1" thickBot="1" x14ac:dyDescent="0.25">
      <c r="B458" s="589"/>
      <c r="C458" s="589"/>
      <c r="D458" s="589"/>
      <c r="E458" s="589"/>
      <c r="F458" s="589"/>
      <c r="G458" s="589"/>
      <c r="H458" s="589"/>
      <c r="I458" s="589"/>
      <c r="J458" s="589"/>
      <c r="K458" s="589"/>
      <c r="L458" s="589"/>
    </row>
    <row r="459" spans="2:15" ht="18.75" customHeight="1" thickBot="1" x14ac:dyDescent="0.25">
      <c r="B459" s="482" t="s">
        <v>4</v>
      </c>
      <c r="C459" s="482"/>
      <c r="D459" s="482"/>
      <c r="E459" s="482" t="s">
        <v>60</v>
      </c>
      <c r="F459" s="482"/>
      <c r="G459" s="482"/>
      <c r="H459" s="482" t="s">
        <v>57</v>
      </c>
      <c r="I459" s="482"/>
      <c r="J459" s="482"/>
      <c r="K459" s="482" t="s">
        <v>56</v>
      </c>
      <c r="L459" s="482"/>
      <c r="M459" s="482"/>
      <c r="N459" s="575" t="s">
        <v>792</v>
      </c>
      <c r="O459" s="304" t="s">
        <v>144</v>
      </c>
    </row>
    <row r="460" spans="2:15" ht="18.75" customHeight="1" thickBot="1" x14ac:dyDescent="0.25">
      <c r="B460" s="203" t="s">
        <v>227</v>
      </c>
      <c r="C460" s="203" t="s">
        <v>10</v>
      </c>
      <c r="D460" s="203" t="s">
        <v>9</v>
      </c>
      <c r="E460" s="203" t="s">
        <v>227</v>
      </c>
      <c r="F460" s="203" t="s">
        <v>10</v>
      </c>
      <c r="G460" s="203" t="s">
        <v>9</v>
      </c>
      <c r="H460" s="203" t="s">
        <v>227</v>
      </c>
      <c r="I460" s="203" t="s">
        <v>10</v>
      </c>
      <c r="J460" s="203" t="s">
        <v>9</v>
      </c>
      <c r="K460" s="203" t="s">
        <v>227</v>
      </c>
      <c r="L460" s="203" t="s">
        <v>10</v>
      </c>
      <c r="M460" s="203" t="s">
        <v>9</v>
      </c>
      <c r="N460" s="481"/>
      <c r="O460" s="282" t="s">
        <v>75</v>
      </c>
    </row>
    <row r="461" spans="2:15" ht="18.75" customHeight="1" thickBot="1" x14ac:dyDescent="0.25">
      <c r="B461" s="342">
        <f>SUM(C461:D461)</f>
        <v>39</v>
      </c>
      <c r="C461" s="342">
        <f>L461+I461+F461</f>
        <v>0</v>
      </c>
      <c r="D461" s="342">
        <f>M461+J461+G461</f>
        <v>39</v>
      </c>
      <c r="E461" s="342">
        <f>SUM(F461:G461)</f>
        <v>20</v>
      </c>
      <c r="F461" s="342">
        <v>0</v>
      </c>
      <c r="G461" s="342">
        <v>20</v>
      </c>
      <c r="H461" s="342">
        <f>SUM(I461:J461)</f>
        <v>3</v>
      </c>
      <c r="I461" s="342">
        <v>0</v>
      </c>
      <c r="J461" s="342">
        <v>3</v>
      </c>
      <c r="K461" s="342">
        <f>SUM(L461:M461)</f>
        <v>16</v>
      </c>
      <c r="L461" s="342">
        <v>0</v>
      </c>
      <c r="M461" s="342">
        <v>16</v>
      </c>
      <c r="N461" s="203" t="s">
        <v>146</v>
      </c>
      <c r="O461" s="306"/>
    </row>
    <row r="462" spans="2:15" ht="18.75" customHeight="1" thickBot="1" x14ac:dyDescent="0.25">
      <c r="B462" s="342">
        <f>SUM(C462:D462)</f>
        <v>50</v>
      </c>
      <c r="C462" s="342">
        <f t="shared" ref="C462:D525" si="159">L462+I462+F462</f>
        <v>0</v>
      </c>
      <c r="D462" s="342">
        <f t="shared" si="159"/>
        <v>50</v>
      </c>
      <c r="E462" s="342">
        <f>SUM(F462:G462)</f>
        <v>0</v>
      </c>
      <c r="F462" s="342">
        <v>0</v>
      </c>
      <c r="G462" s="342">
        <v>0</v>
      </c>
      <c r="H462" s="342">
        <f>SUM(I462:J462)</f>
        <v>3</v>
      </c>
      <c r="I462" s="342">
        <v>0</v>
      </c>
      <c r="J462" s="342">
        <v>3</v>
      </c>
      <c r="K462" s="342">
        <f>SUM(L462:M462)</f>
        <v>47</v>
      </c>
      <c r="L462" s="342">
        <v>0</v>
      </c>
      <c r="M462" s="342">
        <v>47</v>
      </c>
      <c r="N462" s="203" t="s">
        <v>145</v>
      </c>
      <c r="O462" s="306" t="s">
        <v>376</v>
      </c>
    </row>
    <row r="463" spans="2:15" ht="18.75" customHeight="1" thickBot="1" x14ac:dyDescent="0.25">
      <c r="B463" s="342">
        <f t="shared" ref="B463:L463" si="160">SUM(B461:B462)</f>
        <v>89</v>
      </c>
      <c r="C463" s="342">
        <f t="shared" si="160"/>
        <v>0</v>
      </c>
      <c r="D463" s="342">
        <f t="shared" si="160"/>
        <v>89</v>
      </c>
      <c r="E463" s="342">
        <f t="shared" si="160"/>
        <v>20</v>
      </c>
      <c r="F463" s="342">
        <f t="shared" si="160"/>
        <v>0</v>
      </c>
      <c r="G463" s="342">
        <f t="shared" si="160"/>
        <v>20</v>
      </c>
      <c r="H463" s="342">
        <f t="shared" si="160"/>
        <v>6</v>
      </c>
      <c r="I463" s="342">
        <f t="shared" si="160"/>
        <v>0</v>
      </c>
      <c r="J463" s="342">
        <f t="shared" si="160"/>
        <v>6</v>
      </c>
      <c r="K463" s="342">
        <f t="shared" si="160"/>
        <v>63</v>
      </c>
      <c r="L463" s="342">
        <f t="shared" si="160"/>
        <v>0</v>
      </c>
      <c r="M463" s="342">
        <f>SUM(M461:M462)</f>
        <v>63</v>
      </c>
      <c r="N463" s="203" t="s">
        <v>12</v>
      </c>
      <c r="O463" s="307"/>
    </row>
    <row r="464" spans="2:15" ht="18.75" customHeight="1" thickBot="1" x14ac:dyDescent="0.25">
      <c r="B464" s="342">
        <f>SUM(C464:D464)</f>
        <v>17</v>
      </c>
      <c r="C464" s="342">
        <f t="shared" si="159"/>
        <v>0</v>
      </c>
      <c r="D464" s="342">
        <f t="shared" si="159"/>
        <v>17</v>
      </c>
      <c r="E464" s="342">
        <f>SUM(F464:G464)</f>
        <v>17</v>
      </c>
      <c r="F464" s="342">
        <v>0</v>
      </c>
      <c r="G464" s="342">
        <v>17</v>
      </c>
      <c r="H464" s="342">
        <f>SUM(I464:J464)</f>
        <v>0</v>
      </c>
      <c r="I464" s="342">
        <v>0</v>
      </c>
      <c r="J464" s="342">
        <v>0</v>
      </c>
      <c r="K464" s="342">
        <f>SUM(L464:M464)</f>
        <v>0</v>
      </c>
      <c r="L464" s="342">
        <v>0</v>
      </c>
      <c r="M464" s="342">
        <v>0</v>
      </c>
      <c r="N464" s="203" t="s">
        <v>146</v>
      </c>
      <c r="O464" s="306"/>
    </row>
    <row r="465" spans="2:15" ht="18.75" customHeight="1" thickBot="1" x14ac:dyDescent="0.25">
      <c r="B465" s="342">
        <f>SUM(C465:D465)</f>
        <v>44</v>
      </c>
      <c r="C465" s="342">
        <f t="shared" si="159"/>
        <v>0</v>
      </c>
      <c r="D465" s="342">
        <f t="shared" si="159"/>
        <v>44</v>
      </c>
      <c r="E465" s="342">
        <f>SUM(F465:G465)</f>
        <v>0</v>
      </c>
      <c r="F465" s="342">
        <v>0</v>
      </c>
      <c r="G465" s="342">
        <v>0</v>
      </c>
      <c r="H465" s="342">
        <f>SUM(I465:J465)</f>
        <v>15</v>
      </c>
      <c r="I465" s="342">
        <v>0</v>
      </c>
      <c r="J465" s="342">
        <v>15</v>
      </c>
      <c r="K465" s="342">
        <f>SUM(L465:M465)</f>
        <v>29</v>
      </c>
      <c r="L465" s="342">
        <v>0</v>
      </c>
      <c r="M465" s="342">
        <v>29</v>
      </c>
      <c r="N465" s="203" t="s">
        <v>145</v>
      </c>
      <c r="O465" s="306" t="s">
        <v>451</v>
      </c>
    </row>
    <row r="466" spans="2:15" ht="18.75" customHeight="1" thickBot="1" x14ac:dyDescent="0.25">
      <c r="B466" s="342">
        <f t="shared" ref="B466:L466" si="161">SUM(B464:B465)</f>
        <v>61</v>
      </c>
      <c r="C466" s="342">
        <f t="shared" si="161"/>
        <v>0</v>
      </c>
      <c r="D466" s="342">
        <f t="shared" si="161"/>
        <v>61</v>
      </c>
      <c r="E466" s="342">
        <f t="shared" si="161"/>
        <v>17</v>
      </c>
      <c r="F466" s="342">
        <f t="shared" si="161"/>
        <v>0</v>
      </c>
      <c r="G466" s="342">
        <f t="shared" si="161"/>
        <v>17</v>
      </c>
      <c r="H466" s="342">
        <f t="shared" si="161"/>
        <v>15</v>
      </c>
      <c r="I466" s="342">
        <f t="shared" si="161"/>
        <v>0</v>
      </c>
      <c r="J466" s="342">
        <f t="shared" si="161"/>
        <v>15</v>
      </c>
      <c r="K466" s="342">
        <f t="shared" si="161"/>
        <v>29</v>
      </c>
      <c r="L466" s="342">
        <f t="shared" si="161"/>
        <v>0</v>
      </c>
      <c r="M466" s="342">
        <f>SUM(M464:M465)</f>
        <v>29</v>
      </c>
      <c r="N466" s="203" t="s">
        <v>12</v>
      </c>
      <c r="O466" s="307"/>
    </row>
    <row r="467" spans="2:15" ht="18.75" customHeight="1" thickBot="1" x14ac:dyDescent="0.25">
      <c r="B467" s="342">
        <f>SUM(C467:D467)</f>
        <v>31</v>
      </c>
      <c r="C467" s="342">
        <f t="shared" si="159"/>
        <v>0</v>
      </c>
      <c r="D467" s="342">
        <f t="shared" si="159"/>
        <v>31</v>
      </c>
      <c r="E467" s="342">
        <f>SUM(F467:G467)</f>
        <v>8</v>
      </c>
      <c r="F467" s="342">
        <v>0</v>
      </c>
      <c r="G467" s="342">
        <v>8</v>
      </c>
      <c r="H467" s="342">
        <f>SUM(I467:J467)</f>
        <v>15</v>
      </c>
      <c r="I467" s="342">
        <v>0</v>
      </c>
      <c r="J467" s="342">
        <v>15</v>
      </c>
      <c r="K467" s="342">
        <f>SUM(L467:M467)</f>
        <v>8</v>
      </c>
      <c r="L467" s="342">
        <v>0</v>
      </c>
      <c r="M467" s="342">
        <v>8</v>
      </c>
      <c r="N467" s="203" t="s">
        <v>146</v>
      </c>
      <c r="O467" s="306"/>
    </row>
    <row r="468" spans="2:15" ht="18.75" customHeight="1" thickBot="1" x14ac:dyDescent="0.25">
      <c r="B468" s="342">
        <f>SUM(C468:D468)</f>
        <v>8</v>
      </c>
      <c r="C468" s="342">
        <f t="shared" si="159"/>
        <v>0</v>
      </c>
      <c r="D468" s="342">
        <f t="shared" si="159"/>
        <v>8</v>
      </c>
      <c r="E468" s="342">
        <f>SUM(F468:G468)</f>
        <v>0</v>
      </c>
      <c r="F468" s="342">
        <v>0</v>
      </c>
      <c r="G468" s="342">
        <v>0</v>
      </c>
      <c r="H468" s="342">
        <f>SUM(I468:J468)</f>
        <v>3</v>
      </c>
      <c r="I468" s="342">
        <v>0</v>
      </c>
      <c r="J468" s="342">
        <v>3</v>
      </c>
      <c r="K468" s="342">
        <f>SUM(L468:M468)</f>
        <v>5</v>
      </c>
      <c r="L468" s="342">
        <v>0</v>
      </c>
      <c r="M468" s="342">
        <v>5</v>
      </c>
      <c r="N468" s="203" t="s">
        <v>145</v>
      </c>
      <c r="O468" s="306" t="s">
        <v>797</v>
      </c>
    </row>
    <row r="469" spans="2:15" ht="18.75" customHeight="1" thickBot="1" x14ac:dyDescent="0.25">
      <c r="B469" s="342">
        <f t="shared" ref="B469:L469" si="162">SUM(B467:B468)</f>
        <v>39</v>
      </c>
      <c r="C469" s="342">
        <f t="shared" si="162"/>
        <v>0</v>
      </c>
      <c r="D469" s="342">
        <f t="shared" si="162"/>
        <v>39</v>
      </c>
      <c r="E469" s="342">
        <f t="shared" si="162"/>
        <v>8</v>
      </c>
      <c r="F469" s="342">
        <f t="shared" si="162"/>
        <v>0</v>
      </c>
      <c r="G469" s="342">
        <f t="shared" si="162"/>
        <v>8</v>
      </c>
      <c r="H469" s="342">
        <f t="shared" si="162"/>
        <v>18</v>
      </c>
      <c r="I469" s="342">
        <f t="shared" si="162"/>
        <v>0</v>
      </c>
      <c r="J469" s="342">
        <f t="shared" si="162"/>
        <v>18</v>
      </c>
      <c r="K469" s="342">
        <f t="shared" si="162"/>
        <v>13</v>
      </c>
      <c r="L469" s="342">
        <f t="shared" si="162"/>
        <v>0</v>
      </c>
      <c r="M469" s="342">
        <f>SUM(M467:M468)</f>
        <v>13</v>
      </c>
      <c r="N469" s="203" t="s">
        <v>12</v>
      </c>
      <c r="O469" s="307"/>
    </row>
    <row r="470" spans="2:15" ht="18.75" customHeight="1" thickBot="1" x14ac:dyDescent="0.25">
      <c r="B470" s="342">
        <f>SUM(C470:D470)</f>
        <v>67</v>
      </c>
      <c r="C470" s="342">
        <f t="shared" si="159"/>
        <v>0</v>
      </c>
      <c r="D470" s="342">
        <f t="shared" si="159"/>
        <v>67</v>
      </c>
      <c r="E470" s="342">
        <f>SUM(F470:G470)</f>
        <v>24</v>
      </c>
      <c r="F470" s="342">
        <v>0</v>
      </c>
      <c r="G470" s="342">
        <v>24</v>
      </c>
      <c r="H470" s="342">
        <f>SUM(I470:J470)</f>
        <v>19</v>
      </c>
      <c r="I470" s="342">
        <v>0</v>
      </c>
      <c r="J470" s="342">
        <v>19</v>
      </c>
      <c r="K470" s="342">
        <f>SUM(L470:M470)</f>
        <v>24</v>
      </c>
      <c r="L470" s="342">
        <v>0</v>
      </c>
      <c r="M470" s="342">
        <v>24</v>
      </c>
      <c r="N470" s="203" t="s">
        <v>146</v>
      </c>
      <c r="O470" s="306"/>
    </row>
    <row r="471" spans="2:15" ht="18.75" customHeight="1" thickBot="1" x14ac:dyDescent="0.25">
      <c r="B471" s="342">
        <f>SUM(C471:D471)</f>
        <v>1</v>
      </c>
      <c r="C471" s="342">
        <f t="shared" si="159"/>
        <v>0</v>
      </c>
      <c r="D471" s="342">
        <f t="shared" si="159"/>
        <v>1</v>
      </c>
      <c r="E471" s="342">
        <f>SUM(F471:G471)</f>
        <v>0</v>
      </c>
      <c r="F471" s="342">
        <v>0</v>
      </c>
      <c r="G471" s="342">
        <v>0</v>
      </c>
      <c r="H471" s="342">
        <f>SUM(I471:J471)</f>
        <v>0</v>
      </c>
      <c r="I471" s="342">
        <v>0</v>
      </c>
      <c r="J471" s="342">
        <v>0</v>
      </c>
      <c r="K471" s="342">
        <f>SUM(L471:M471)</f>
        <v>1</v>
      </c>
      <c r="L471" s="342">
        <v>0</v>
      </c>
      <c r="M471" s="342">
        <v>1</v>
      </c>
      <c r="N471" s="203" t="s">
        <v>145</v>
      </c>
      <c r="O471" s="306" t="s">
        <v>624</v>
      </c>
    </row>
    <row r="472" spans="2:15" ht="18.75" customHeight="1" thickBot="1" x14ac:dyDescent="0.25">
      <c r="B472" s="342">
        <f t="shared" ref="B472:L472" si="163">SUM(B470:B471)</f>
        <v>68</v>
      </c>
      <c r="C472" s="342">
        <f t="shared" si="163"/>
        <v>0</v>
      </c>
      <c r="D472" s="342">
        <f t="shared" si="163"/>
        <v>68</v>
      </c>
      <c r="E472" s="342">
        <f t="shared" si="163"/>
        <v>24</v>
      </c>
      <c r="F472" s="342">
        <f t="shared" si="163"/>
        <v>0</v>
      </c>
      <c r="G472" s="342">
        <f t="shared" si="163"/>
        <v>24</v>
      </c>
      <c r="H472" s="342">
        <f t="shared" si="163"/>
        <v>19</v>
      </c>
      <c r="I472" s="342">
        <f t="shared" si="163"/>
        <v>0</v>
      </c>
      <c r="J472" s="342">
        <f t="shared" si="163"/>
        <v>19</v>
      </c>
      <c r="K472" s="342">
        <f t="shared" si="163"/>
        <v>25</v>
      </c>
      <c r="L472" s="342">
        <f t="shared" si="163"/>
        <v>0</v>
      </c>
      <c r="M472" s="342">
        <f>SUM(M470:M471)</f>
        <v>25</v>
      </c>
      <c r="N472" s="203" t="s">
        <v>12</v>
      </c>
      <c r="O472" s="307"/>
    </row>
    <row r="473" spans="2:15" ht="18.75" customHeight="1" thickBot="1" x14ac:dyDescent="0.25">
      <c r="B473" s="342">
        <f>SUM(C473:D473)</f>
        <v>89</v>
      </c>
      <c r="C473" s="342">
        <f t="shared" si="159"/>
        <v>0</v>
      </c>
      <c r="D473" s="342">
        <f t="shared" si="159"/>
        <v>89</v>
      </c>
      <c r="E473" s="342">
        <f>SUM(F473:G473)</f>
        <v>42</v>
      </c>
      <c r="F473" s="342">
        <v>0</v>
      </c>
      <c r="G473" s="342">
        <v>42</v>
      </c>
      <c r="H473" s="342">
        <f>SUM(I473:J473)</f>
        <v>2</v>
      </c>
      <c r="I473" s="342">
        <v>0</v>
      </c>
      <c r="J473" s="342">
        <v>2</v>
      </c>
      <c r="K473" s="342">
        <f>SUM(L473:M473)</f>
        <v>45</v>
      </c>
      <c r="L473" s="342">
        <v>0</v>
      </c>
      <c r="M473" s="342">
        <v>45</v>
      </c>
      <c r="N473" s="203" t="s">
        <v>146</v>
      </c>
      <c r="O473" s="306"/>
    </row>
    <row r="474" spans="2:15" ht="18.75" customHeight="1" thickBot="1" x14ac:dyDescent="0.25">
      <c r="B474" s="342">
        <f>SUM(C474:D474)</f>
        <v>58</v>
      </c>
      <c r="C474" s="342">
        <f t="shared" si="159"/>
        <v>0</v>
      </c>
      <c r="D474" s="342">
        <f t="shared" si="159"/>
        <v>58</v>
      </c>
      <c r="E474" s="342">
        <f>SUM(F474:G474)</f>
        <v>0</v>
      </c>
      <c r="F474" s="342">
        <v>0</v>
      </c>
      <c r="G474" s="342">
        <v>0</v>
      </c>
      <c r="H474" s="342">
        <f>SUM(I474:J474)</f>
        <v>1</v>
      </c>
      <c r="I474" s="342">
        <v>0</v>
      </c>
      <c r="J474" s="342">
        <v>1</v>
      </c>
      <c r="K474" s="342">
        <f>SUM(L474:M474)</f>
        <v>57</v>
      </c>
      <c r="L474" s="342">
        <v>0</v>
      </c>
      <c r="M474" s="342">
        <v>57</v>
      </c>
      <c r="N474" s="203" t="s">
        <v>145</v>
      </c>
      <c r="O474" s="306" t="s">
        <v>452</v>
      </c>
    </row>
    <row r="475" spans="2:15" ht="18.75" customHeight="1" thickBot="1" x14ac:dyDescent="0.25">
      <c r="B475" s="342">
        <f t="shared" ref="B475:L475" si="164">SUM(B473:B474)</f>
        <v>147</v>
      </c>
      <c r="C475" s="342">
        <f t="shared" si="164"/>
        <v>0</v>
      </c>
      <c r="D475" s="342">
        <f t="shared" si="164"/>
        <v>147</v>
      </c>
      <c r="E475" s="342">
        <f t="shared" si="164"/>
        <v>42</v>
      </c>
      <c r="F475" s="342">
        <f t="shared" si="164"/>
        <v>0</v>
      </c>
      <c r="G475" s="342">
        <f t="shared" si="164"/>
        <v>42</v>
      </c>
      <c r="H475" s="342">
        <f t="shared" si="164"/>
        <v>3</v>
      </c>
      <c r="I475" s="342">
        <f t="shared" si="164"/>
        <v>0</v>
      </c>
      <c r="J475" s="342">
        <f t="shared" si="164"/>
        <v>3</v>
      </c>
      <c r="K475" s="342">
        <f t="shared" si="164"/>
        <v>102</v>
      </c>
      <c r="L475" s="342">
        <f t="shared" si="164"/>
        <v>0</v>
      </c>
      <c r="M475" s="342">
        <f>SUM(M473:M474)</f>
        <v>102</v>
      </c>
      <c r="N475" s="203" t="s">
        <v>12</v>
      </c>
      <c r="O475" s="307"/>
    </row>
    <row r="476" spans="2:15" ht="18.75" customHeight="1" thickBot="1" x14ac:dyDescent="0.25">
      <c r="B476" s="342">
        <f>SUM(C476:D476)</f>
        <v>100</v>
      </c>
      <c r="C476" s="342">
        <f t="shared" si="159"/>
        <v>1</v>
      </c>
      <c r="D476" s="342">
        <f t="shared" si="159"/>
        <v>99</v>
      </c>
      <c r="E476" s="342">
        <f>SUM(F476:G476)</f>
        <v>50</v>
      </c>
      <c r="F476" s="342">
        <v>1</v>
      </c>
      <c r="G476" s="342">
        <v>49</v>
      </c>
      <c r="H476" s="342">
        <f>SUM(I476:J476)</f>
        <v>0</v>
      </c>
      <c r="I476" s="342">
        <v>0</v>
      </c>
      <c r="J476" s="342">
        <v>0</v>
      </c>
      <c r="K476" s="342">
        <f>SUM(L476:M476)</f>
        <v>50</v>
      </c>
      <c r="L476" s="342">
        <v>0</v>
      </c>
      <c r="M476" s="342">
        <v>50</v>
      </c>
      <c r="N476" s="203" t="s">
        <v>146</v>
      </c>
      <c r="O476" s="306"/>
    </row>
    <row r="477" spans="2:15" ht="18.75" customHeight="1" thickBot="1" x14ac:dyDescent="0.25">
      <c r="B477" s="342">
        <f>SUM(C477:D477)</f>
        <v>55</v>
      </c>
      <c r="C477" s="342">
        <f t="shared" si="159"/>
        <v>0</v>
      </c>
      <c r="D477" s="342">
        <f t="shared" si="159"/>
        <v>55</v>
      </c>
      <c r="E477" s="342">
        <f>SUM(F477:G477)</f>
        <v>0</v>
      </c>
      <c r="F477" s="342">
        <v>0</v>
      </c>
      <c r="G477" s="342">
        <v>0</v>
      </c>
      <c r="H477" s="342">
        <f>SUM(I477:J477)</f>
        <v>1</v>
      </c>
      <c r="I477" s="342">
        <v>0</v>
      </c>
      <c r="J477" s="342">
        <v>1</v>
      </c>
      <c r="K477" s="342">
        <f>SUM(L477:M477)</f>
        <v>54</v>
      </c>
      <c r="L477" s="342">
        <v>0</v>
      </c>
      <c r="M477" s="342">
        <v>54</v>
      </c>
      <c r="N477" s="203" t="s">
        <v>145</v>
      </c>
      <c r="O477" s="306" t="s">
        <v>453</v>
      </c>
    </row>
    <row r="478" spans="2:15" ht="18.75" customHeight="1" thickBot="1" x14ac:dyDescent="0.25">
      <c r="B478" s="342">
        <f t="shared" ref="B478:L478" si="165">SUM(B476:B477)</f>
        <v>155</v>
      </c>
      <c r="C478" s="342">
        <f t="shared" si="165"/>
        <v>1</v>
      </c>
      <c r="D478" s="342">
        <f t="shared" si="165"/>
        <v>154</v>
      </c>
      <c r="E478" s="342">
        <f t="shared" si="165"/>
        <v>50</v>
      </c>
      <c r="F478" s="342">
        <f t="shared" si="165"/>
        <v>1</v>
      </c>
      <c r="G478" s="342">
        <f t="shared" si="165"/>
        <v>49</v>
      </c>
      <c r="H478" s="342">
        <f t="shared" si="165"/>
        <v>1</v>
      </c>
      <c r="I478" s="342">
        <f t="shared" si="165"/>
        <v>0</v>
      </c>
      <c r="J478" s="342">
        <f t="shared" si="165"/>
        <v>1</v>
      </c>
      <c r="K478" s="342">
        <f t="shared" si="165"/>
        <v>104</v>
      </c>
      <c r="L478" s="342">
        <f t="shared" si="165"/>
        <v>0</v>
      </c>
      <c r="M478" s="342">
        <f>SUM(M476:M477)</f>
        <v>104</v>
      </c>
      <c r="N478" s="203" t="s">
        <v>12</v>
      </c>
      <c r="O478" s="307"/>
    </row>
    <row r="479" spans="2:15" ht="18.75" customHeight="1" thickBot="1" x14ac:dyDescent="0.25">
      <c r="B479" s="342">
        <f>SUM(C479:D479)</f>
        <v>11</v>
      </c>
      <c r="C479" s="342">
        <f t="shared" si="159"/>
        <v>0</v>
      </c>
      <c r="D479" s="342">
        <f t="shared" si="159"/>
        <v>11</v>
      </c>
      <c r="E479" s="342">
        <f>SUM(F479:G479)</f>
        <v>10</v>
      </c>
      <c r="F479" s="342">
        <v>0</v>
      </c>
      <c r="G479" s="342">
        <v>10</v>
      </c>
      <c r="H479" s="342">
        <f>SUM(I479:J479)</f>
        <v>0</v>
      </c>
      <c r="I479" s="342">
        <v>0</v>
      </c>
      <c r="J479" s="342">
        <v>0</v>
      </c>
      <c r="K479" s="342">
        <f>SUM(L479:M479)</f>
        <v>1</v>
      </c>
      <c r="L479" s="342">
        <v>0</v>
      </c>
      <c r="M479" s="342">
        <v>1</v>
      </c>
      <c r="N479" s="203" t="s">
        <v>146</v>
      </c>
      <c r="O479" s="306"/>
    </row>
    <row r="480" spans="2:15" ht="18.75" customHeight="1" thickBot="1" x14ac:dyDescent="0.25">
      <c r="B480" s="342">
        <f>SUM(C480:D480)</f>
        <v>39</v>
      </c>
      <c r="C480" s="342">
        <f t="shared" si="159"/>
        <v>0</v>
      </c>
      <c r="D480" s="342">
        <f t="shared" si="159"/>
        <v>39</v>
      </c>
      <c r="E480" s="342">
        <f>SUM(F480:G480)</f>
        <v>0</v>
      </c>
      <c r="F480" s="342">
        <v>0</v>
      </c>
      <c r="G480" s="342">
        <v>0</v>
      </c>
      <c r="H480" s="342">
        <f>SUM(I480:J480)</f>
        <v>4</v>
      </c>
      <c r="I480" s="342">
        <v>0</v>
      </c>
      <c r="J480" s="342">
        <v>4</v>
      </c>
      <c r="K480" s="342">
        <f>SUM(L480:M480)</f>
        <v>35</v>
      </c>
      <c r="L480" s="342">
        <v>0</v>
      </c>
      <c r="M480" s="342">
        <v>35</v>
      </c>
      <c r="N480" s="203" t="s">
        <v>145</v>
      </c>
      <c r="O480" s="306" t="s">
        <v>406</v>
      </c>
    </row>
    <row r="481" spans="2:15" ht="18.75" customHeight="1" thickBot="1" x14ac:dyDescent="0.25">
      <c r="B481" s="342">
        <f t="shared" ref="B481:L481" si="166">SUM(B479:B480)</f>
        <v>50</v>
      </c>
      <c r="C481" s="342">
        <f t="shared" si="166"/>
        <v>0</v>
      </c>
      <c r="D481" s="342">
        <f t="shared" si="166"/>
        <v>50</v>
      </c>
      <c r="E481" s="342">
        <f t="shared" si="166"/>
        <v>10</v>
      </c>
      <c r="F481" s="342">
        <f t="shared" si="166"/>
        <v>0</v>
      </c>
      <c r="G481" s="342">
        <f t="shared" si="166"/>
        <v>10</v>
      </c>
      <c r="H481" s="342">
        <f t="shared" si="166"/>
        <v>4</v>
      </c>
      <c r="I481" s="342">
        <f t="shared" si="166"/>
        <v>0</v>
      </c>
      <c r="J481" s="342">
        <f t="shared" si="166"/>
        <v>4</v>
      </c>
      <c r="K481" s="342">
        <f t="shared" si="166"/>
        <v>36</v>
      </c>
      <c r="L481" s="342">
        <f t="shared" si="166"/>
        <v>0</v>
      </c>
      <c r="M481" s="342">
        <f>SUM(M479:M480)</f>
        <v>36</v>
      </c>
      <c r="N481" s="203" t="s">
        <v>12</v>
      </c>
      <c r="O481" s="307"/>
    </row>
    <row r="482" spans="2:15" ht="18.75" customHeight="1" thickBot="1" x14ac:dyDescent="0.25">
      <c r="B482" s="342">
        <f>SUM(C482:D482)</f>
        <v>17</v>
      </c>
      <c r="C482" s="342">
        <f t="shared" si="159"/>
        <v>0</v>
      </c>
      <c r="D482" s="342">
        <f t="shared" si="159"/>
        <v>17</v>
      </c>
      <c r="E482" s="342">
        <f>SUM(F482:G482)</f>
        <v>15</v>
      </c>
      <c r="F482" s="342">
        <v>0</v>
      </c>
      <c r="G482" s="342">
        <v>15</v>
      </c>
      <c r="H482" s="342">
        <f>SUM(I482:J482)</f>
        <v>0</v>
      </c>
      <c r="I482" s="342">
        <v>0</v>
      </c>
      <c r="J482" s="342">
        <v>0</v>
      </c>
      <c r="K482" s="342">
        <f>SUM(L482:M482)</f>
        <v>2</v>
      </c>
      <c r="L482" s="342">
        <v>0</v>
      </c>
      <c r="M482" s="342">
        <v>2</v>
      </c>
      <c r="N482" s="203" t="s">
        <v>146</v>
      </c>
      <c r="O482" s="306"/>
    </row>
    <row r="483" spans="2:15" ht="18.75" customHeight="1" thickBot="1" x14ac:dyDescent="0.25">
      <c r="B483" s="342">
        <f>SUM(C483:D483)</f>
        <v>26</v>
      </c>
      <c r="C483" s="342">
        <f t="shared" si="159"/>
        <v>4</v>
      </c>
      <c r="D483" s="342">
        <f t="shared" si="159"/>
        <v>22</v>
      </c>
      <c r="E483" s="342">
        <f>SUM(F483:G483)</f>
        <v>0</v>
      </c>
      <c r="F483" s="342">
        <v>0</v>
      </c>
      <c r="G483" s="342">
        <v>0</v>
      </c>
      <c r="H483" s="342">
        <f>SUM(I483:J483)</f>
        <v>7</v>
      </c>
      <c r="I483" s="342">
        <v>1</v>
      </c>
      <c r="J483" s="342">
        <v>6</v>
      </c>
      <c r="K483" s="342">
        <f>SUM(L483:M483)</f>
        <v>19</v>
      </c>
      <c r="L483" s="342">
        <v>3</v>
      </c>
      <c r="M483" s="342">
        <v>16</v>
      </c>
      <c r="N483" s="203" t="s">
        <v>145</v>
      </c>
      <c r="O483" s="306" t="s">
        <v>348</v>
      </c>
    </row>
    <row r="484" spans="2:15" ht="18.75" customHeight="1" thickBot="1" x14ac:dyDescent="0.25">
      <c r="B484" s="342">
        <f t="shared" ref="B484:L484" si="167">SUM(B482:B483)</f>
        <v>43</v>
      </c>
      <c r="C484" s="342">
        <f t="shared" si="167"/>
        <v>4</v>
      </c>
      <c r="D484" s="342">
        <f t="shared" si="167"/>
        <v>39</v>
      </c>
      <c r="E484" s="342">
        <f t="shared" si="167"/>
        <v>15</v>
      </c>
      <c r="F484" s="342">
        <f t="shared" si="167"/>
        <v>0</v>
      </c>
      <c r="G484" s="342">
        <f t="shared" si="167"/>
        <v>15</v>
      </c>
      <c r="H484" s="342">
        <f t="shared" si="167"/>
        <v>7</v>
      </c>
      <c r="I484" s="342">
        <f t="shared" si="167"/>
        <v>1</v>
      </c>
      <c r="J484" s="342">
        <f t="shared" si="167"/>
        <v>6</v>
      </c>
      <c r="K484" s="342">
        <f t="shared" si="167"/>
        <v>21</v>
      </c>
      <c r="L484" s="342">
        <f t="shared" si="167"/>
        <v>3</v>
      </c>
      <c r="M484" s="342">
        <f>SUM(M482:M483)</f>
        <v>18</v>
      </c>
      <c r="N484" s="203" t="s">
        <v>12</v>
      </c>
      <c r="O484" s="307"/>
    </row>
    <row r="485" spans="2:15" ht="18.75" customHeight="1" thickBot="1" x14ac:dyDescent="0.25">
      <c r="B485" s="342">
        <f>SUM(C485:D485)</f>
        <v>18</v>
      </c>
      <c r="C485" s="342">
        <f t="shared" si="159"/>
        <v>0</v>
      </c>
      <c r="D485" s="342">
        <f t="shared" si="159"/>
        <v>18</v>
      </c>
      <c r="E485" s="342">
        <f>SUM(F485:G485)</f>
        <v>17</v>
      </c>
      <c r="F485" s="342">
        <v>0</v>
      </c>
      <c r="G485" s="342">
        <v>17</v>
      </c>
      <c r="H485" s="342">
        <f>SUM(I485:J485)</f>
        <v>1</v>
      </c>
      <c r="I485" s="342">
        <v>0</v>
      </c>
      <c r="J485" s="342">
        <v>1</v>
      </c>
      <c r="K485" s="342">
        <f>SUM(L485:M485)</f>
        <v>0</v>
      </c>
      <c r="L485" s="342">
        <v>0</v>
      </c>
      <c r="M485" s="342">
        <v>0</v>
      </c>
      <c r="N485" s="203" t="s">
        <v>146</v>
      </c>
      <c r="O485" s="306"/>
    </row>
    <row r="486" spans="2:15" ht="18.75" customHeight="1" thickBot="1" x14ac:dyDescent="0.25">
      <c r="B486" s="342">
        <f>SUM(C486:D486)</f>
        <v>12</v>
      </c>
      <c r="C486" s="342">
        <f t="shared" si="159"/>
        <v>2</v>
      </c>
      <c r="D486" s="342">
        <f t="shared" si="159"/>
        <v>10</v>
      </c>
      <c r="E486" s="342">
        <f>SUM(F486:G486)</f>
        <v>0</v>
      </c>
      <c r="F486" s="342">
        <v>0</v>
      </c>
      <c r="G486" s="342">
        <v>0</v>
      </c>
      <c r="H486" s="342">
        <f>SUM(I486:J486)</f>
        <v>3</v>
      </c>
      <c r="I486" s="342">
        <v>0</v>
      </c>
      <c r="J486" s="342">
        <v>3</v>
      </c>
      <c r="K486" s="342">
        <f>SUM(L486:M486)</f>
        <v>9</v>
      </c>
      <c r="L486" s="342">
        <v>2</v>
      </c>
      <c r="M486" s="342">
        <v>7</v>
      </c>
      <c r="N486" s="203" t="s">
        <v>145</v>
      </c>
      <c r="O486" s="306" t="s">
        <v>347</v>
      </c>
    </row>
    <row r="487" spans="2:15" ht="18.75" customHeight="1" thickBot="1" x14ac:dyDescent="0.25">
      <c r="B487" s="342">
        <f t="shared" ref="B487:L487" si="168">SUM(B485:B486)</f>
        <v>30</v>
      </c>
      <c r="C487" s="342">
        <f t="shared" si="168"/>
        <v>2</v>
      </c>
      <c r="D487" s="342">
        <f t="shared" si="168"/>
        <v>28</v>
      </c>
      <c r="E487" s="342">
        <f t="shared" si="168"/>
        <v>17</v>
      </c>
      <c r="F487" s="342">
        <f t="shared" si="168"/>
        <v>0</v>
      </c>
      <c r="G487" s="342">
        <f t="shared" si="168"/>
        <v>17</v>
      </c>
      <c r="H487" s="342">
        <f t="shared" si="168"/>
        <v>4</v>
      </c>
      <c r="I487" s="342">
        <f t="shared" si="168"/>
        <v>0</v>
      </c>
      <c r="J487" s="342">
        <f t="shared" si="168"/>
        <v>4</v>
      </c>
      <c r="K487" s="342">
        <f t="shared" si="168"/>
        <v>9</v>
      </c>
      <c r="L487" s="342">
        <f t="shared" si="168"/>
        <v>2</v>
      </c>
      <c r="M487" s="342">
        <f>SUM(M485:M486)</f>
        <v>7</v>
      </c>
      <c r="N487" s="203" t="s">
        <v>12</v>
      </c>
      <c r="O487" s="307"/>
    </row>
    <row r="488" spans="2:15" ht="18.75" customHeight="1" thickBot="1" x14ac:dyDescent="0.25">
      <c r="B488" s="342">
        <f>SUM(C488:D488)</f>
        <v>13</v>
      </c>
      <c r="C488" s="342">
        <f t="shared" si="159"/>
        <v>0</v>
      </c>
      <c r="D488" s="342">
        <f t="shared" si="159"/>
        <v>13</v>
      </c>
      <c r="E488" s="342">
        <f>SUM(F488:G488)</f>
        <v>13</v>
      </c>
      <c r="F488" s="342">
        <v>0</v>
      </c>
      <c r="G488" s="342">
        <v>13</v>
      </c>
      <c r="H488" s="342">
        <f>SUM(I488:J488)</f>
        <v>0</v>
      </c>
      <c r="I488" s="342">
        <v>0</v>
      </c>
      <c r="J488" s="342">
        <v>0</v>
      </c>
      <c r="K488" s="342">
        <f>SUM(L488:M488)</f>
        <v>0</v>
      </c>
      <c r="L488" s="342">
        <v>0</v>
      </c>
      <c r="M488" s="342">
        <v>0</v>
      </c>
      <c r="N488" s="203" t="s">
        <v>146</v>
      </c>
      <c r="O488" s="306"/>
    </row>
    <row r="489" spans="2:15" ht="18.75" customHeight="1" thickBot="1" x14ac:dyDescent="0.25">
      <c r="B489" s="342">
        <f>SUM(C489:D489)</f>
        <v>45</v>
      </c>
      <c r="C489" s="342">
        <f t="shared" si="159"/>
        <v>0</v>
      </c>
      <c r="D489" s="342">
        <f t="shared" si="159"/>
        <v>45</v>
      </c>
      <c r="E489" s="342">
        <f>SUM(F489:G489)</f>
        <v>0</v>
      </c>
      <c r="F489" s="342">
        <v>0</v>
      </c>
      <c r="G489" s="342">
        <v>0</v>
      </c>
      <c r="H489" s="342">
        <f>SUM(I489:J489)</f>
        <v>8</v>
      </c>
      <c r="I489" s="342">
        <v>0</v>
      </c>
      <c r="J489" s="342">
        <v>8</v>
      </c>
      <c r="K489" s="342">
        <f>SUM(L489:M489)</f>
        <v>37</v>
      </c>
      <c r="L489" s="342">
        <v>0</v>
      </c>
      <c r="M489" s="342">
        <v>37</v>
      </c>
      <c r="N489" s="203" t="s">
        <v>145</v>
      </c>
      <c r="O489" s="306" t="s">
        <v>454</v>
      </c>
    </row>
    <row r="490" spans="2:15" ht="18.75" customHeight="1" thickBot="1" x14ac:dyDescent="0.25">
      <c r="B490" s="342">
        <f t="shared" ref="B490:L490" si="169">SUM(B488:B489)</f>
        <v>58</v>
      </c>
      <c r="C490" s="342">
        <f t="shared" si="169"/>
        <v>0</v>
      </c>
      <c r="D490" s="342">
        <f t="shared" si="169"/>
        <v>58</v>
      </c>
      <c r="E490" s="342">
        <f t="shared" si="169"/>
        <v>13</v>
      </c>
      <c r="F490" s="342">
        <f t="shared" si="169"/>
        <v>0</v>
      </c>
      <c r="G490" s="342">
        <f t="shared" si="169"/>
        <v>13</v>
      </c>
      <c r="H490" s="342">
        <f t="shared" si="169"/>
        <v>8</v>
      </c>
      <c r="I490" s="342">
        <f t="shared" si="169"/>
        <v>0</v>
      </c>
      <c r="J490" s="342">
        <f t="shared" si="169"/>
        <v>8</v>
      </c>
      <c r="K490" s="342">
        <f t="shared" si="169"/>
        <v>37</v>
      </c>
      <c r="L490" s="342">
        <f t="shared" si="169"/>
        <v>0</v>
      </c>
      <c r="M490" s="342">
        <f>SUM(M488:M489)</f>
        <v>37</v>
      </c>
      <c r="N490" s="203" t="s">
        <v>12</v>
      </c>
      <c r="O490" s="307"/>
    </row>
    <row r="491" spans="2:15" ht="18.75" customHeight="1" thickBot="1" x14ac:dyDescent="0.25">
      <c r="B491" s="342">
        <f>SUM(C491:D491)</f>
        <v>38</v>
      </c>
      <c r="C491" s="342">
        <f t="shared" si="159"/>
        <v>0</v>
      </c>
      <c r="D491" s="342">
        <f t="shared" si="159"/>
        <v>38</v>
      </c>
      <c r="E491" s="342">
        <f>SUM(F491:G491)</f>
        <v>26</v>
      </c>
      <c r="F491" s="342">
        <v>0</v>
      </c>
      <c r="G491" s="342">
        <v>26</v>
      </c>
      <c r="H491" s="342">
        <f>SUM(I491:J491)</f>
        <v>0</v>
      </c>
      <c r="I491" s="342">
        <v>0</v>
      </c>
      <c r="J491" s="342">
        <v>0</v>
      </c>
      <c r="K491" s="342">
        <f>SUM(L491:M491)</f>
        <v>12</v>
      </c>
      <c r="L491" s="342">
        <v>0</v>
      </c>
      <c r="M491" s="342">
        <v>12</v>
      </c>
      <c r="N491" s="203" t="s">
        <v>146</v>
      </c>
      <c r="O491" s="306"/>
    </row>
    <row r="492" spans="2:15" ht="18.75" customHeight="1" thickBot="1" x14ac:dyDescent="0.25">
      <c r="B492" s="342">
        <f>SUM(C492:D492)</f>
        <v>65</v>
      </c>
      <c r="C492" s="342">
        <f t="shared" si="159"/>
        <v>0</v>
      </c>
      <c r="D492" s="342">
        <f t="shared" si="159"/>
        <v>65</v>
      </c>
      <c r="E492" s="342">
        <f>SUM(F492:G492)</f>
        <v>0</v>
      </c>
      <c r="F492" s="342">
        <v>0</v>
      </c>
      <c r="G492" s="342">
        <v>0</v>
      </c>
      <c r="H492" s="342">
        <f>SUM(I492:J492)</f>
        <v>22</v>
      </c>
      <c r="I492" s="342">
        <v>0</v>
      </c>
      <c r="J492" s="342">
        <v>22</v>
      </c>
      <c r="K492" s="342">
        <f>SUM(L492:M492)</f>
        <v>43</v>
      </c>
      <c r="L492" s="342">
        <v>0</v>
      </c>
      <c r="M492" s="342">
        <v>43</v>
      </c>
      <c r="N492" s="203" t="s">
        <v>145</v>
      </c>
      <c r="O492" s="306" t="s">
        <v>364</v>
      </c>
    </row>
    <row r="493" spans="2:15" ht="18.75" customHeight="1" thickBot="1" x14ac:dyDescent="0.25">
      <c r="B493" s="342">
        <f t="shared" ref="B493:L493" si="170">SUM(B491:B492)</f>
        <v>103</v>
      </c>
      <c r="C493" s="342">
        <f t="shared" si="170"/>
        <v>0</v>
      </c>
      <c r="D493" s="342">
        <f t="shared" si="170"/>
        <v>103</v>
      </c>
      <c r="E493" s="342">
        <f t="shared" si="170"/>
        <v>26</v>
      </c>
      <c r="F493" s="342">
        <f t="shared" si="170"/>
        <v>0</v>
      </c>
      <c r="G493" s="342">
        <f t="shared" si="170"/>
        <v>26</v>
      </c>
      <c r="H493" s="342">
        <f t="shared" si="170"/>
        <v>22</v>
      </c>
      <c r="I493" s="342">
        <f t="shared" si="170"/>
        <v>0</v>
      </c>
      <c r="J493" s="342">
        <f t="shared" si="170"/>
        <v>22</v>
      </c>
      <c r="K493" s="342">
        <f t="shared" si="170"/>
        <v>55</v>
      </c>
      <c r="L493" s="342">
        <f t="shared" si="170"/>
        <v>0</v>
      </c>
      <c r="M493" s="342">
        <f>SUM(M491:M492)</f>
        <v>55</v>
      </c>
      <c r="N493" s="203" t="s">
        <v>12</v>
      </c>
      <c r="O493" s="307"/>
    </row>
    <row r="494" spans="2:15" ht="18.75" customHeight="1" thickBot="1" x14ac:dyDescent="0.25">
      <c r="B494" s="342">
        <f>SUM(C494:D494)</f>
        <v>2</v>
      </c>
      <c r="C494" s="342">
        <f t="shared" si="159"/>
        <v>0</v>
      </c>
      <c r="D494" s="342">
        <f t="shared" si="159"/>
        <v>2</v>
      </c>
      <c r="E494" s="342">
        <f>SUM(F494:G494)</f>
        <v>0</v>
      </c>
      <c r="F494" s="342">
        <v>0</v>
      </c>
      <c r="G494" s="342">
        <v>0</v>
      </c>
      <c r="H494" s="342">
        <f>SUM(I494:J494)</f>
        <v>1</v>
      </c>
      <c r="I494" s="342">
        <v>0</v>
      </c>
      <c r="J494" s="342">
        <v>1</v>
      </c>
      <c r="K494" s="342">
        <f>SUM(L494:M494)</f>
        <v>1</v>
      </c>
      <c r="L494" s="342">
        <v>0</v>
      </c>
      <c r="M494" s="342">
        <v>1</v>
      </c>
      <c r="N494" s="203" t="s">
        <v>146</v>
      </c>
      <c r="O494" s="306"/>
    </row>
    <row r="495" spans="2:15" ht="18.75" customHeight="1" thickBot="1" x14ac:dyDescent="0.25">
      <c r="B495" s="342">
        <f>SUM(C495:D495)</f>
        <v>19</v>
      </c>
      <c r="C495" s="342">
        <f t="shared" si="159"/>
        <v>0</v>
      </c>
      <c r="D495" s="342">
        <f t="shared" si="159"/>
        <v>19</v>
      </c>
      <c r="E495" s="342">
        <f>SUM(F495:G495)</f>
        <v>0</v>
      </c>
      <c r="F495" s="342">
        <v>0</v>
      </c>
      <c r="G495" s="342">
        <v>0</v>
      </c>
      <c r="H495" s="342">
        <f>SUM(I495:J495)</f>
        <v>10</v>
      </c>
      <c r="I495" s="342">
        <v>0</v>
      </c>
      <c r="J495" s="342">
        <v>10</v>
      </c>
      <c r="K495" s="342">
        <f>SUM(L495:M495)</f>
        <v>9</v>
      </c>
      <c r="L495" s="342">
        <v>0</v>
      </c>
      <c r="M495" s="342">
        <v>9</v>
      </c>
      <c r="N495" s="203" t="s">
        <v>145</v>
      </c>
      <c r="O495" s="306" t="s">
        <v>94</v>
      </c>
    </row>
    <row r="496" spans="2:15" ht="18.75" customHeight="1" thickBot="1" x14ac:dyDescent="0.25">
      <c r="B496" s="342">
        <f t="shared" ref="B496:L496" si="171">SUM(B494:B495)</f>
        <v>21</v>
      </c>
      <c r="C496" s="342">
        <f t="shared" si="171"/>
        <v>0</v>
      </c>
      <c r="D496" s="342">
        <f t="shared" si="171"/>
        <v>21</v>
      </c>
      <c r="E496" s="342">
        <f t="shared" si="171"/>
        <v>0</v>
      </c>
      <c r="F496" s="342">
        <f t="shared" si="171"/>
        <v>0</v>
      </c>
      <c r="G496" s="342">
        <f t="shared" si="171"/>
        <v>0</v>
      </c>
      <c r="H496" s="342">
        <f t="shared" si="171"/>
        <v>11</v>
      </c>
      <c r="I496" s="342">
        <f t="shared" si="171"/>
        <v>0</v>
      </c>
      <c r="J496" s="342">
        <f t="shared" si="171"/>
        <v>11</v>
      </c>
      <c r="K496" s="342">
        <f t="shared" si="171"/>
        <v>10</v>
      </c>
      <c r="L496" s="342">
        <f t="shared" si="171"/>
        <v>0</v>
      </c>
      <c r="M496" s="342">
        <f>SUM(M494:M495)</f>
        <v>10</v>
      </c>
      <c r="N496" s="203" t="s">
        <v>12</v>
      </c>
      <c r="O496" s="307"/>
    </row>
    <row r="497" spans="2:15" ht="18.75" customHeight="1" thickBot="1" x14ac:dyDescent="0.25">
      <c r="B497" s="342">
        <f>SUM(C497:D497)</f>
        <v>32</v>
      </c>
      <c r="C497" s="342">
        <f t="shared" si="159"/>
        <v>27</v>
      </c>
      <c r="D497" s="342">
        <f t="shared" si="159"/>
        <v>5</v>
      </c>
      <c r="E497" s="342">
        <f>SUM(F497:G497)</f>
        <v>29</v>
      </c>
      <c r="F497" s="342">
        <v>27</v>
      </c>
      <c r="G497" s="342">
        <v>2</v>
      </c>
      <c r="H497" s="342">
        <f>SUM(I497:J497)</f>
        <v>1</v>
      </c>
      <c r="I497" s="342">
        <v>0</v>
      </c>
      <c r="J497" s="342">
        <v>1</v>
      </c>
      <c r="K497" s="342">
        <f>SUM(L497:M497)</f>
        <v>2</v>
      </c>
      <c r="L497" s="342">
        <v>0</v>
      </c>
      <c r="M497" s="342">
        <v>2</v>
      </c>
      <c r="N497" s="203" t="s">
        <v>146</v>
      </c>
      <c r="O497" s="306"/>
    </row>
    <row r="498" spans="2:15" ht="18.75" customHeight="1" thickBot="1" x14ac:dyDescent="0.25">
      <c r="B498" s="342">
        <f>SUM(C498:D498)</f>
        <v>158</v>
      </c>
      <c r="C498" s="342">
        <f t="shared" si="159"/>
        <v>153</v>
      </c>
      <c r="D498" s="342">
        <f t="shared" si="159"/>
        <v>5</v>
      </c>
      <c r="E498" s="342">
        <f>SUM(F498:G498)</f>
        <v>0</v>
      </c>
      <c r="F498" s="342">
        <v>0</v>
      </c>
      <c r="G498" s="342">
        <v>0</v>
      </c>
      <c r="H498" s="342">
        <f>SUM(I498:J498)</f>
        <v>43</v>
      </c>
      <c r="I498" s="342">
        <v>41</v>
      </c>
      <c r="J498" s="342">
        <v>2</v>
      </c>
      <c r="K498" s="342">
        <f>SUM(L498:M498)</f>
        <v>115</v>
      </c>
      <c r="L498" s="342">
        <v>112</v>
      </c>
      <c r="M498" s="342">
        <v>3</v>
      </c>
      <c r="N498" s="203" t="s">
        <v>145</v>
      </c>
      <c r="O498" s="306" t="s">
        <v>756</v>
      </c>
    </row>
    <row r="499" spans="2:15" ht="18.75" customHeight="1" thickBot="1" x14ac:dyDescent="0.25">
      <c r="B499" s="342">
        <f t="shared" ref="B499:L499" si="172">SUM(B497:B498)</f>
        <v>190</v>
      </c>
      <c r="C499" s="342">
        <f t="shared" si="172"/>
        <v>180</v>
      </c>
      <c r="D499" s="342">
        <f t="shared" si="172"/>
        <v>10</v>
      </c>
      <c r="E499" s="342">
        <f t="shared" si="172"/>
        <v>29</v>
      </c>
      <c r="F499" s="342">
        <f t="shared" si="172"/>
        <v>27</v>
      </c>
      <c r="G499" s="342">
        <f t="shared" si="172"/>
        <v>2</v>
      </c>
      <c r="H499" s="342">
        <f t="shared" si="172"/>
        <v>44</v>
      </c>
      <c r="I499" s="342">
        <f t="shared" si="172"/>
        <v>41</v>
      </c>
      <c r="J499" s="342">
        <f t="shared" si="172"/>
        <v>3</v>
      </c>
      <c r="K499" s="342">
        <f t="shared" si="172"/>
        <v>117</v>
      </c>
      <c r="L499" s="342">
        <f t="shared" si="172"/>
        <v>112</v>
      </c>
      <c r="M499" s="342">
        <f>SUM(M497:M498)</f>
        <v>5</v>
      </c>
      <c r="N499" s="203" t="s">
        <v>12</v>
      </c>
      <c r="O499" s="307"/>
    </row>
    <row r="500" spans="2:15" ht="18.75" customHeight="1" thickBot="1" x14ac:dyDescent="0.25">
      <c r="B500" s="342">
        <f>SUM(C500:D500)</f>
        <v>42</v>
      </c>
      <c r="C500" s="342">
        <f t="shared" si="159"/>
        <v>0</v>
      </c>
      <c r="D500" s="342">
        <f t="shared" si="159"/>
        <v>42</v>
      </c>
      <c r="E500" s="342">
        <f>SUM(F500:G500)</f>
        <v>25</v>
      </c>
      <c r="F500" s="342">
        <v>0</v>
      </c>
      <c r="G500" s="342">
        <v>25</v>
      </c>
      <c r="H500" s="342">
        <f>SUM(I500:J500)</f>
        <v>1</v>
      </c>
      <c r="I500" s="342">
        <v>0</v>
      </c>
      <c r="J500" s="342">
        <v>1</v>
      </c>
      <c r="K500" s="342">
        <f>SUM(L500:M500)</f>
        <v>16</v>
      </c>
      <c r="L500" s="342">
        <v>0</v>
      </c>
      <c r="M500" s="342">
        <v>16</v>
      </c>
      <c r="N500" s="203" t="s">
        <v>146</v>
      </c>
      <c r="O500" s="306"/>
    </row>
    <row r="501" spans="2:15" ht="18.75" customHeight="1" thickBot="1" x14ac:dyDescent="0.25">
      <c r="B501" s="342">
        <f>SUM(C501:D501)</f>
        <v>102</v>
      </c>
      <c r="C501" s="342">
        <f t="shared" si="159"/>
        <v>0</v>
      </c>
      <c r="D501" s="342">
        <f t="shared" si="159"/>
        <v>102</v>
      </c>
      <c r="E501" s="342">
        <f>SUM(F501:G501)</f>
        <v>0</v>
      </c>
      <c r="F501" s="342">
        <v>0</v>
      </c>
      <c r="G501" s="342">
        <v>0</v>
      </c>
      <c r="H501" s="342">
        <f>SUM(I501:J501)</f>
        <v>16</v>
      </c>
      <c r="I501" s="342">
        <v>0</v>
      </c>
      <c r="J501" s="342">
        <v>16</v>
      </c>
      <c r="K501" s="342">
        <f>SUM(L501:M501)</f>
        <v>86</v>
      </c>
      <c r="L501" s="342">
        <v>0</v>
      </c>
      <c r="M501" s="342">
        <v>86</v>
      </c>
      <c r="N501" s="203" t="s">
        <v>145</v>
      </c>
      <c r="O501" s="306" t="s">
        <v>455</v>
      </c>
    </row>
    <row r="502" spans="2:15" ht="18.75" customHeight="1" thickBot="1" x14ac:dyDescent="0.25">
      <c r="B502" s="342">
        <f t="shared" ref="B502:L502" si="173">SUM(B500:B501)</f>
        <v>144</v>
      </c>
      <c r="C502" s="342">
        <f t="shared" si="173"/>
        <v>0</v>
      </c>
      <c r="D502" s="342">
        <f t="shared" si="173"/>
        <v>144</v>
      </c>
      <c r="E502" s="342">
        <f t="shared" si="173"/>
        <v>25</v>
      </c>
      <c r="F502" s="342">
        <f t="shared" si="173"/>
        <v>0</v>
      </c>
      <c r="G502" s="342">
        <f t="shared" si="173"/>
        <v>25</v>
      </c>
      <c r="H502" s="342">
        <f t="shared" si="173"/>
        <v>17</v>
      </c>
      <c r="I502" s="342">
        <f t="shared" si="173"/>
        <v>0</v>
      </c>
      <c r="J502" s="342">
        <f t="shared" si="173"/>
        <v>17</v>
      </c>
      <c r="K502" s="342">
        <f t="shared" si="173"/>
        <v>102</v>
      </c>
      <c r="L502" s="342">
        <f t="shared" si="173"/>
        <v>0</v>
      </c>
      <c r="M502" s="342">
        <f>SUM(M500:M501)</f>
        <v>102</v>
      </c>
      <c r="N502" s="203" t="s">
        <v>12</v>
      </c>
      <c r="O502" s="307"/>
    </row>
    <row r="503" spans="2:15" ht="18.75" customHeight="1" thickBot="1" x14ac:dyDescent="0.25">
      <c r="B503" s="342">
        <f>SUM(C503:D503)</f>
        <v>94</v>
      </c>
      <c r="C503" s="342">
        <f t="shared" si="159"/>
        <v>4</v>
      </c>
      <c r="D503" s="342">
        <f t="shared" si="159"/>
        <v>90</v>
      </c>
      <c r="E503" s="342">
        <f>SUM(F503:G503)</f>
        <v>49</v>
      </c>
      <c r="F503" s="342">
        <v>2</v>
      </c>
      <c r="G503" s="342">
        <v>47</v>
      </c>
      <c r="H503" s="342">
        <f>SUM(I503:J503)</f>
        <v>0</v>
      </c>
      <c r="I503" s="342">
        <v>0</v>
      </c>
      <c r="J503" s="342">
        <v>0</v>
      </c>
      <c r="K503" s="342">
        <f>SUM(L503:M503)</f>
        <v>45</v>
      </c>
      <c r="L503" s="342">
        <v>2</v>
      </c>
      <c r="M503" s="342">
        <v>43</v>
      </c>
      <c r="N503" s="203" t="s">
        <v>146</v>
      </c>
      <c r="O503" s="306"/>
    </row>
    <row r="504" spans="2:15" ht="18.75" customHeight="1" thickBot="1" x14ac:dyDescent="0.25">
      <c r="B504" s="342">
        <f>SUM(C504:D504)</f>
        <v>100</v>
      </c>
      <c r="C504" s="342">
        <f t="shared" si="159"/>
        <v>4</v>
      </c>
      <c r="D504" s="342">
        <f t="shared" si="159"/>
        <v>96</v>
      </c>
      <c r="E504" s="342">
        <f>SUM(F504:G504)</f>
        <v>0</v>
      </c>
      <c r="F504" s="342">
        <v>0</v>
      </c>
      <c r="G504" s="342">
        <v>0</v>
      </c>
      <c r="H504" s="342">
        <f>SUM(I504:J504)</f>
        <v>13</v>
      </c>
      <c r="I504" s="342">
        <v>1</v>
      </c>
      <c r="J504" s="342">
        <v>12</v>
      </c>
      <c r="K504" s="342">
        <f>SUM(L504:M504)</f>
        <v>87</v>
      </c>
      <c r="L504" s="342">
        <v>3</v>
      </c>
      <c r="M504" s="342">
        <v>84</v>
      </c>
      <c r="N504" s="203" t="s">
        <v>145</v>
      </c>
      <c r="O504" s="306" t="s">
        <v>344</v>
      </c>
    </row>
    <row r="505" spans="2:15" ht="18.75" customHeight="1" thickBot="1" x14ac:dyDescent="0.25">
      <c r="B505" s="342">
        <f t="shared" ref="B505:L505" si="174">SUM(B503:B504)</f>
        <v>194</v>
      </c>
      <c r="C505" s="342">
        <f t="shared" si="174"/>
        <v>8</v>
      </c>
      <c r="D505" s="342">
        <f t="shared" si="174"/>
        <v>186</v>
      </c>
      <c r="E505" s="342">
        <f t="shared" si="174"/>
        <v>49</v>
      </c>
      <c r="F505" s="342">
        <f t="shared" si="174"/>
        <v>2</v>
      </c>
      <c r="G505" s="342">
        <f t="shared" si="174"/>
        <v>47</v>
      </c>
      <c r="H505" s="342">
        <f t="shared" si="174"/>
        <v>13</v>
      </c>
      <c r="I505" s="342">
        <f t="shared" si="174"/>
        <v>1</v>
      </c>
      <c r="J505" s="342">
        <f t="shared" si="174"/>
        <v>12</v>
      </c>
      <c r="K505" s="342">
        <f t="shared" si="174"/>
        <v>132</v>
      </c>
      <c r="L505" s="342">
        <f t="shared" si="174"/>
        <v>5</v>
      </c>
      <c r="M505" s="342">
        <f>SUM(M503:M504)</f>
        <v>127</v>
      </c>
      <c r="N505" s="203" t="s">
        <v>12</v>
      </c>
      <c r="O505" s="307"/>
    </row>
    <row r="506" spans="2:15" ht="18.75" customHeight="1" thickBot="1" x14ac:dyDescent="0.25">
      <c r="B506" s="342">
        <f>SUM(C506:D506)</f>
        <v>0</v>
      </c>
      <c r="C506" s="342">
        <f t="shared" si="159"/>
        <v>0</v>
      </c>
      <c r="D506" s="342">
        <f t="shared" si="159"/>
        <v>0</v>
      </c>
      <c r="E506" s="342">
        <f>SUM(F506:G506)</f>
        <v>0</v>
      </c>
      <c r="F506" s="342">
        <v>0</v>
      </c>
      <c r="G506" s="342">
        <v>0</v>
      </c>
      <c r="H506" s="342">
        <f>SUM(I506:J506)</f>
        <v>0</v>
      </c>
      <c r="I506" s="342">
        <v>0</v>
      </c>
      <c r="J506" s="342">
        <v>0</v>
      </c>
      <c r="K506" s="342">
        <f>SUM(L506:M506)</f>
        <v>0</v>
      </c>
      <c r="L506" s="342">
        <v>0</v>
      </c>
      <c r="M506" s="342">
        <v>0</v>
      </c>
      <c r="N506" s="203" t="s">
        <v>146</v>
      </c>
      <c r="O506" s="306"/>
    </row>
    <row r="507" spans="2:15" ht="18.75" customHeight="1" thickBot="1" x14ac:dyDescent="0.25">
      <c r="B507" s="342">
        <f>SUM(C507:D507)</f>
        <v>29</v>
      </c>
      <c r="C507" s="342">
        <f t="shared" si="159"/>
        <v>0</v>
      </c>
      <c r="D507" s="342">
        <f t="shared" si="159"/>
        <v>29</v>
      </c>
      <c r="E507" s="342">
        <f>SUM(F507:G507)</f>
        <v>0</v>
      </c>
      <c r="F507" s="342">
        <v>0</v>
      </c>
      <c r="G507" s="342">
        <v>0</v>
      </c>
      <c r="H507" s="342">
        <f>SUM(I507:J507)</f>
        <v>12</v>
      </c>
      <c r="I507" s="342">
        <v>0</v>
      </c>
      <c r="J507" s="342">
        <v>12</v>
      </c>
      <c r="K507" s="342">
        <f>SUM(L507:M507)</f>
        <v>17</v>
      </c>
      <c r="L507" s="342">
        <v>0</v>
      </c>
      <c r="M507" s="342">
        <v>17</v>
      </c>
      <c r="N507" s="203" t="s">
        <v>145</v>
      </c>
      <c r="O507" s="306" t="s">
        <v>95</v>
      </c>
    </row>
    <row r="508" spans="2:15" ht="18.75" customHeight="1" thickBot="1" x14ac:dyDescent="0.25">
      <c r="B508" s="342">
        <f t="shared" ref="B508:L508" si="175">SUM(B506:B507)</f>
        <v>29</v>
      </c>
      <c r="C508" s="342">
        <f t="shared" si="175"/>
        <v>0</v>
      </c>
      <c r="D508" s="342">
        <f t="shared" si="175"/>
        <v>29</v>
      </c>
      <c r="E508" s="342">
        <f t="shared" si="175"/>
        <v>0</v>
      </c>
      <c r="F508" s="342">
        <f t="shared" si="175"/>
        <v>0</v>
      </c>
      <c r="G508" s="342">
        <f t="shared" si="175"/>
        <v>0</v>
      </c>
      <c r="H508" s="342">
        <f t="shared" si="175"/>
        <v>12</v>
      </c>
      <c r="I508" s="342">
        <f t="shared" si="175"/>
        <v>0</v>
      </c>
      <c r="J508" s="342">
        <f t="shared" si="175"/>
        <v>12</v>
      </c>
      <c r="K508" s="342">
        <f t="shared" si="175"/>
        <v>17</v>
      </c>
      <c r="L508" s="342">
        <f t="shared" si="175"/>
        <v>0</v>
      </c>
      <c r="M508" s="342">
        <f>SUM(M506:M507)</f>
        <v>17</v>
      </c>
      <c r="N508" s="203" t="s">
        <v>12</v>
      </c>
      <c r="O508" s="307"/>
    </row>
    <row r="509" spans="2:15" ht="18.75" customHeight="1" thickBot="1" x14ac:dyDescent="0.25">
      <c r="B509" s="342">
        <f>SUM(C509:D509)</f>
        <v>26</v>
      </c>
      <c r="C509" s="342">
        <f t="shared" si="159"/>
        <v>24</v>
      </c>
      <c r="D509" s="342">
        <f t="shared" si="159"/>
        <v>2</v>
      </c>
      <c r="E509" s="342">
        <f>SUM(F509:G509)</f>
        <v>24</v>
      </c>
      <c r="F509" s="342">
        <v>22</v>
      </c>
      <c r="G509" s="342">
        <v>2</v>
      </c>
      <c r="H509" s="342">
        <f>SUM(I509:J509)</f>
        <v>2</v>
      </c>
      <c r="I509" s="342">
        <v>2</v>
      </c>
      <c r="J509" s="342">
        <v>0</v>
      </c>
      <c r="K509" s="342">
        <f>SUM(L509:M509)</f>
        <v>0</v>
      </c>
      <c r="L509" s="342">
        <v>0</v>
      </c>
      <c r="M509" s="342">
        <v>0</v>
      </c>
      <c r="N509" s="203" t="s">
        <v>146</v>
      </c>
      <c r="O509" s="306"/>
    </row>
    <row r="510" spans="2:15" ht="18.75" customHeight="1" thickBot="1" x14ac:dyDescent="0.25">
      <c r="B510" s="342">
        <f>SUM(C510:D510)</f>
        <v>5</v>
      </c>
      <c r="C510" s="342">
        <f t="shared" si="159"/>
        <v>2</v>
      </c>
      <c r="D510" s="342">
        <f t="shared" si="159"/>
        <v>3</v>
      </c>
      <c r="E510" s="342">
        <f>SUM(F510:G510)</f>
        <v>0</v>
      </c>
      <c r="F510" s="342">
        <v>0</v>
      </c>
      <c r="G510" s="342">
        <v>0</v>
      </c>
      <c r="H510" s="342">
        <f>SUM(I510:J510)</f>
        <v>2</v>
      </c>
      <c r="I510" s="342">
        <v>2</v>
      </c>
      <c r="J510" s="342">
        <v>0</v>
      </c>
      <c r="K510" s="342">
        <f>SUM(L510:M510)</f>
        <v>3</v>
      </c>
      <c r="L510" s="342">
        <v>0</v>
      </c>
      <c r="M510" s="342">
        <v>3</v>
      </c>
      <c r="N510" s="203" t="s">
        <v>145</v>
      </c>
      <c r="O510" s="306" t="s">
        <v>456</v>
      </c>
    </row>
    <row r="511" spans="2:15" ht="18.75" customHeight="1" thickBot="1" x14ac:dyDescent="0.25">
      <c r="B511" s="342">
        <f t="shared" ref="B511:L511" si="176">SUM(B509:B510)</f>
        <v>31</v>
      </c>
      <c r="C511" s="342">
        <f t="shared" si="176"/>
        <v>26</v>
      </c>
      <c r="D511" s="342">
        <f t="shared" si="176"/>
        <v>5</v>
      </c>
      <c r="E511" s="342">
        <f t="shared" si="176"/>
        <v>24</v>
      </c>
      <c r="F511" s="342">
        <f t="shared" si="176"/>
        <v>22</v>
      </c>
      <c r="G511" s="342">
        <f t="shared" si="176"/>
        <v>2</v>
      </c>
      <c r="H511" s="342">
        <f t="shared" si="176"/>
        <v>4</v>
      </c>
      <c r="I511" s="342">
        <f t="shared" si="176"/>
        <v>4</v>
      </c>
      <c r="J511" s="342">
        <f t="shared" si="176"/>
        <v>0</v>
      </c>
      <c r="K511" s="342">
        <f t="shared" si="176"/>
        <v>3</v>
      </c>
      <c r="L511" s="342">
        <f t="shared" si="176"/>
        <v>0</v>
      </c>
      <c r="M511" s="342">
        <f>SUM(M509:M510)</f>
        <v>3</v>
      </c>
      <c r="N511" s="203" t="s">
        <v>12</v>
      </c>
      <c r="O511" s="307"/>
    </row>
    <row r="512" spans="2:15" ht="18.75" customHeight="1" thickBot="1" x14ac:dyDescent="0.25">
      <c r="B512" s="342">
        <f>SUM(C512:D512)</f>
        <v>39</v>
      </c>
      <c r="C512" s="342">
        <f t="shared" si="159"/>
        <v>39</v>
      </c>
      <c r="D512" s="342">
        <f t="shared" si="159"/>
        <v>0</v>
      </c>
      <c r="E512" s="342">
        <f>SUM(F512:G512)</f>
        <v>24</v>
      </c>
      <c r="F512" s="342">
        <v>24</v>
      </c>
      <c r="G512" s="342">
        <v>0</v>
      </c>
      <c r="H512" s="342">
        <f>SUM(I512:J512)</f>
        <v>9</v>
      </c>
      <c r="I512" s="342">
        <v>9</v>
      </c>
      <c r="J512" s="342">
        <v>0</v>
      </c>
      <c r="K512" s="342">
        <f>SUM(L512:M512)</f>
        <v>6</v>
      </c>
      <c r="L512" s="342">
        <v>6</v>
      </c>
      <c r="M512" s="342">
        <v>0</v>
      </c>
      <c r="N512" s="203" t="s">
        <v>146</v>
      </c>
      <c r="O512" s="306"/>
    </row>
    <row r="513" spans="2:15" ht="18.75" customHeight="1" thickBot="1" x14ac:dyDescent="0.25">
      <c r="B513" s="342">
        <f>SUM(C513:D513)</f>
        <v>36</v>
      </c>
      <c r="C513" s="342">
        <f t="shared" si="159"/>
        <v>24</v>
      </c>
      <c r="D513" s="342">
        <f t="shared" si="159"/>
        <v>12</v>
      </c>
      <c r="E513" s="342">
        <f>SUM(F513:G513)</f>
        <v>0</v>
      </c>
      <c r="F513" s="342">
        <v>0</v>
      </c>
      <c r="G513" s="342">
        <v>0</v>
      </c>
      <c r="H513" s="342">
        <f>SUM(I513:J513)</f>
        <v>5</v>
      </c>
      <c r="I513" s="342">
        <v>5</v>
      </c>
      <c r="J513" s="342">
        <v>0</v>
      </c>
      <c r="K513" s="342">
        <f>SUM(L513:M513)</f>
        <v>31</v>
      </c>
      <c r="L513" s="342">
        <v>19</v>
      </c>
      <c r="M513" s="342">
        <v>12</v>
      </c>
      <c r="N513" s="203" t="s">
        <v>145</v>
      </c>
      <c r="O513" s="306" t="s">
        <v>457</v>
      </c>
    </row>
    <row r="514" spans="2:15" ht="18.75" customHeight="1" thickBot="1" x14ac:dyDescent="0.25">
      <c r="B514" s="342">
        <f t="shared" ref="B514:L514" si="177">SUM(B512:B513)</f>
        <v>75</v>
      </c>
      <c r="C514" s="342">
        <f t="shared" si="177"/>
        <v>63</v>
      </c>
      <c r="D514" s="342">
        <f t="shared" si="177"/>
        <v>12</v>
      </c>
      <c r="E514" s="342">
        <f t="shared" si="177"/>
        <v>24</v>
      </c>
      <c r="F514" s="342">
        <f t="shared" si="177"/>
        <v>24</v>
      </c>
      <c r="G514" s="342">
        <f t="shared" si="177"/>
        <v>0</v>
      </c>
      <c r="H514" s="342">
        <f t="shared" si="177"/>
        <v>14</v>
      </c>
      <c r="I514" s="342">
        <f t="shared" si="177"/>
        <v>14</v>
      </c>
      <c r="J514" s="342">
        <f t="shared" si="177"/>
        <v>0</v>
      </c>
      <c r="K514" s="342">
        <f t="shared" si="177"/>
        <v>37</v>
      </c>
      <c r="L514" s="342">
        <f t="shared" si="177"/>
        <v>25</v>
      </c>
      <c r="M514" s="342">
        <f>SUM(M512:M513)</f>
        <v>12</v>
      </c>
      <c r="N514" s="203" t="s">
        <v>12</v>
      </c>
      <c r="O514" s="307"/>
    </row>
    <row r="515" spans="2:15" ht="18.75" customHeight="1" thickBot="1" x14ac:dyDescent="0.25">
      <c r="B515" s="342">
        <f>SUM(C515:D515)</f>
        <v>63</v>
      </c>
      <c r="C515" s="342">
        <f t="shared" si="159"/>
        <v>61</v>
      </c>
      <c r="D515" s="342">
        <f t="shared" si="159"/>
        <v>2</v>
      </c>
      <c r="E515" s="342">
        <f>SUM(F515:G515)</f>
        <v>34</v>
      </c>
      <c r="F515" s="342">
        <v>32</v>
      </c>
      <c r="G515" s="342">
        <v>2</v>
      </c>
      <c r="H515" s="342">
        <f>SUM(I515:J515)</f>
        <v>17</v>
      </c>
      <c r="I515" s="342">
        <v>17</v>
      </c>
      <c r="J515" s="342">
        <v>0</v>
      </c>
      <c r="K515" s="342">
        <f>SUM(L515:M515)</f>
        <v>12</v>
      </c>
      <c r="L515" s="342">
        <v>12</v>
      </c>
      <c r="M515" s="342">
        <v>0</v>
      </c>
      <c r="N515" s="203" t="s">
        <v>146</v>
      </c>
      <c r="O515" s="306"/>
    </row>
    <row r="516" spans="2:15" ht="18.75" customHeight="1" thickBot="1" x14ac:dyDescent="0.25">
      <c r="B516" s="342">
        <f>SUM(C516:D516)</f>
        <v>74</v>
      </c>
      <c r="C516" s="342">
        <f t="shared" si="159"/>
        <v>49</v>
      </c>
      <c r="D516" s="342">
        <f t="shared" si="159"/>
        <v>25</v>
      </c>
      <c r="E516" s="342">
        <f>SUM(F516:G516)</f>
        <v>0</v>
      </c>
      <c r="F516" s="342">
        <v>0</v>
      </c>
      <c r="G516" s="342">
        <v>0</v>
      </c>
      <c r="H516" s="342">
        <f>SUM(I516:J516)</f>
        <v>8</v>
      </c>
      <c r="I516" s="342">
        <v>6</v>
      </c>
      <c r="J516" s="342">
        <v>2</v>
      </c>
      <c r="K516" s="342">
        <f>SUM(L516:M516)</f>
        <v>66</v>
      </c>
      <c r="L516" s="342">
        <v>43</v>
      </c>
      <c r="M516" s="342">
        <v>23</v>
      </c>
      <c r="N516" s="203" t="s">
        <v>145</v>
      </c>
      <c r="O516" s="306" t="s">
        <v>458</v>
      </c>
    </row>
    <row r="517" spans="2:15" ht="18.75" customHeight="1" thickBot="1" x14ac:dyDescent="0.25">
      <c r="B517" s="342">
        <f t="shared" ref="B517:L517" si="178">SUM(B515:B516)</f>
        <v>137</v>
      </c>
      <c r="C517" s="342">
        <f t="shared" si="178"/>
        <v>110</v>
      </c>
      <c r="D517" s="342">
        <f t="shared" si="178"/>
        <v>27</v>
      </c>
      <c r="E517" s="342">
        <f t="shared" si="178"/>
        <v>34</v>
      </c>
      <c r="F517" s="342">
        <f t="shared" si="178"/>
        <v>32</v>
      </c>
      <c r="G517" s="342">
        <f t="shared" si="178"/>
        <v>2</v>
      </c>
      <c r="H517" s="342">
        <f t="shared" si="178"/>
        <v>25</v>
      </c>
      <c r="I517" s="342">
        <f t="shared" si="178"/>
        <v>23</v>
      </c>
      <c r="J517" s="342">
        <f t="shared" si="178"/>
        <v>2</v>
      </c>
      <c r="K517" s="342">
        <f t="shared" si="178"/>
        <v>78</v>
      </c>
      <c r="L517" s="342">
        <f t="shared" si="178"/>
        <v>55</v>
      </c>
      <c r="M517" s="342">
        <f>SUM(M515:M516)</f>
        <v>23</v>
      </c>
      <c r="N517" s="203" t="s">
        <v>12</v>
      </c>
      <c r="O517" s="307"/>
    </row>
    <row r="518" spans="2:15" ht="18.75" customHeight="1" thickBot="1" x14ac:dyDescent="0.25">
      <c r="B518" s="342">
        <f>SUM(C518:D518)</f>
        <v>19</v>
      </c>
      <c r="C518" s="342">
        <f t="shared" si="159"/>
        <v>19</v>
      </c>
      <c r="D518" s="342">
        <f t="shared" si="159"/>
        <v>0</v>
      </c>
      <c r="E518" s="342">
        <f>SUM(F518:G518)</f>
        <v>18</v>
      </c>
      <c r="F518" s="342">
        <v>18</v>
      </c>
      <c r="G518" s="342">
        <v>0</v>
      </c>
      <c r="H518" s="342">
        <f>SUM(I518:J518)</f>
        <v>1</v>
      </c>
      <c r="I518" s="342">
        <v>1</v>
      </c>
      <c r="J518" s="342">
        <v>0</v>
      </c>
      <c r="K518" s="342">
        <f>SUM(L518:M518)</f>
        <v>0</v>
      </c>
      <c r="L518" s="342">
        <v>0</v>
      </c>
      <c r="M518" s="342">
        <v>0</v>
      </c>
      <c r="N518" s="203" t="s">
        <v>146</v>
      </c>
      <c r="O518" s="306"/>
    </row>
    <row r="519" spans="2:15" ht="18.75" customHeight="1" thickBot="1" x14ac:dyDescent="0.25">
      <c r="B519" s="342">
        <f>SUM(C519:D519)</f>
        <v>4</v>
      </c>
      <c r="C519" s="342">
        <f t="shared" si="159"/>
        <v>4</v>
      </c>
      <c r="D519" s="342">
        <f t="shared" si="159"/>
        <v>0</v>
      </c>
      <c r="E519" s="342">
        <f>SUM(F519:G519)</f>
        <v>0</v>
      </c>
      <c r="F519" s="342">
        <v>0</v>
      </c>
      <c r="G519" s="342">
        <v>0</v>
      </c>
      <c r="H519" s="342">
        <f>SUM(I519:J519)</f>
        <v>4</v>
      </c>
      <c r="I519" s="342">
        <v>4</v>
      </c>
      <c r="J519" s="342">
        <v>0</v>
      </c>
      <c r="K519" s="342">
        <f>SUM(L519:M519)</f>
        <v>0</v>
      </c>
      <c r="L519" s="342">
        <v>0</v>
      </c>
      <c r="M519" s="342">
        <v>0</v>
      </c>
      <c r="N519" s="203" t="s">
        <v>145</v>
      </c>
      <c r="O519" s="306" t="s">
        <v>459</v>
      </c>
    </row>
    <row r="520" spans="2:15" ht="18.75" customHeight="1" thickBot="1" x14ac:dyDescent="0.25">
      <c r="B520" s="342">
        <f t="shared" ref="B520:L520" si="179">SUM(B518:B519)</f>
        <v>23</v>
      </c>
      <c r="C520" s="342">
        <f t="shared" si="179"/>
        <v>23</v>
      </c>
      <c r="D520" s="342">
        <f t="shared" si="179"/>
        <v>0</v>
      </c>
      <c r="E520" s="342">
        <f t="shared" si="179"/>
        <v>18</v>
      </c>
      <c r="F520" s="342">
        <f t="shared" si="179"/>
        <v>18</v>
      </c>
      <c r="G520" s="342">
        <f t="shared" si="179"/>
        <v>0</v>
      </c>
      <c r="H520" s="342">
        <f t="shared" si="179"/>
        <v>5</v>
      </c>
      <c r="I520" s="342">
        <f t="shared" si="179"/>
        <v>5</v>
      </c>
      <c r="J520" s="342">
        <f t="shared" si="179"/>
        <v>0</v>
      </c>
      <c r="K520" s="342">
        <f t="shared" si="179"/>
        <v>0</v>
      </c>
      <c r="L520" s="342">
        <f t="shared" si="179"/>
        <v>0</v>
      </c>
      <c r="M520" s="342">
        <f>SUM(M518:M519)</f>
        <v>0</v>
      </c>
      <c r="N520" s="203" t="s">
        <v>12</v>
      </c>
      <c r="O520" s="307"/>
    </row>
    <row r="521" spans="2:15" ht="18.75" customHeight="1" thickBot="1" x14ac:dyDescent="0.25">
      <c r="B521" s="342">
        <f>SUM(C521:D521)</f>
        <v>20</v>
      </c>
      <c r="C521" s="342">
        <f t="shared" si="159"/>
        <v>20</v>
      </c>
      <c r="D521" s="342">
        <f t="shared" si="159"/>
        <v>0</v>
      </c>
      <c r="E521" s="342">
        <f>SUM(F521:G521)</f>
        <v>20</v>
      </c>
      <c r="F521" s="342">
        <v>20</v>
      </c>
      <c r="G521" s="342">
        <v>0</v>
      </c>
      <c r="H521" s="342">
        <f>SUM(I521:J521)</f>
        <v>0</v>
      </c>
      <c r="I521" s="342">
        <v>0</v>
      </c>
      <c r="J521" s="342">
        <v>0</v>
      </c>
      <c r="K521" s="342">
        <f>SUM(L521:M521)</f>
        <v>0</v>
      </c>
      <c r="L521" s="342">
        <v>0</v>
      </c>
      <c r="M521" s="342">
        <v>0</v>
      </c>
      <c r="N521" s="203" t="s">
        <v>146</v>
      </c>
      <c r="O521" s="306"/>
    </row>
    <row r="522" spans="2:15" ht="18.75" customHeight="1" thickBot="1" x14ac:dyDescent="0.25">
      <c r="B522" s="342">
        <f>SUM(C522:D522)</f>
        <v>2</v>
      </c>
      <c r="C522" s="342">
        <f t="shared" si="159"/>
        <v>1</v>
      </c>
      <c r="D522" s="342">
        <f t="shared" si="159"/>
        <v>1</v>
      </c>
      <c r="E522" s="342">
        <f>SUM(F522:G522)</f>
        <v>0</v>
      </c>
      <c r="F522" s="342">
        <v>0</v>
      </c>
      <c r="G522" s="342">
        <v>0</v>
      </c>
      <c r="H522" s="342">
        <f>SUM(I522:J522)</f>
        <v>1</v>
      </c>
      <c r="I522" s="342">
        <v>1</v>
      </c>
      <c r="J522" s="342">
        <v>0</v>
      </c>
      <c r="K522" s="342">
        <f>SUM(L522:M522)</f>
        <v>1</v>
      </c>
      <c r="L522" s="342">
        <v>0</v>
      </c>
      <c r="M522" s="342">
        <v>1</v>
      </c>
      <c r="N522" s="203" t="s">
        <v>145</v>
      </c>
      <c r="O522" s="306" t="s">
        <v>460</v>
      </c>
    </row>
    <row r="523" spans="2:15" ht="18.75" customHeight="1" thickBot="1" x14ac:dyDescent="0.25">
      <c r="B523" s="342">
        <f t="shared" ref="B523:L523" si="180">SUM(B521:B522)</f>
        <v>22</v>
      </c>
      <c r="C523" s="342">
        <f t="shared" si="180"/>
        <v>21</v>
      </c>
      <c r="D523" s="342">
        <f t="shared" si="180"/>
        <v>1</v>
      </c>
      <c r="E523" s="342">
        <f t="shared" si="180"/>
        <v>20</v>
      </c>
      <c r="F523" s="342">
        <f t="shared" si="180"/>
        <v>20</v>
      </c>
      <c r="G523" s="342">
        <f t="shared" si="180"/>
        <v>0</v>
      </c>
      <c r="H523" s="342">
        <f t="shared" si="180"/>
        <v>1</v>
      </c>
      <c r="I523" s="342">
        <f t="shared" si="180"/>
        <v>1</v>
      </c>
      <c r="J523" s="342">
        <f t="shared" si="180"/>
        <v>0</v>
      </c>
      <c r="K523" s="342">
        <f t="shared" si="180"/>
        <v>1</v>
      </c>
      <c r="L523" s="342">
        <f t="shared" si="180"/>
        <v>0</v>
      </c>
      <c r="M523" s="342">
        <f>SUM(M521:M522)</f>
        <v>1</v>
      </c>
      <c r="N523" s="203" t="s">
        <v>12</v>
      </c>
      <c r="O523" s="307"/>
    </row>
    <row r="524" spans="2:15" ht="18.75" customHeight="1" thickBot="1" x14ac:dyDescent="0.25">
      <c r="B524" s="342">
        <f>SUM(C524:D524)</f>
        <v>9</v>
      </c>
      <c r="C524" s="342">
        <f t="shared" si="159"/>
        <v>9</v>
      </c>
      <c r="D524" s="342">
        <f t="shared" si="159"/>
        <v>0</v>
      </c>
      <c r="E524" s="342">
        <f>SUM(F524:G524)</f>
        <v>9</v>
      </c>
      <c r="F524" s="342">
        <v>9</v>
      </c>
      <c r="G524" s="342">
        <v>0</v>
      </c>
      <c r="H524" s="342">
        <f>SUM(I524:J524)</f>
        <v>0</v>
      </c>
      <c r="I524" s="342">
        <v>0</v>
      </c>
      <c r="J524" s="342">
        <v>0</v>
      </c>
      <c r="K524" s="342">
        <f>SUM(L524:M524)</f>
        <v>0</v>
      </c>
      <c r="L524" s="342">
        <v>0</v>
      </c>
      <c r="M524" s="342">
        <v>0</v>
      </c>
      <c r="N524" s="203" t="s">
        <v>146</v>
      </c>
      <c r="O524" s="306"/>
    </row>
    <row r="525" spans="2:15" ht="18.75" customHeight="1" thickBot="1" x14ac:dyDescent="0.25">
      <c r="B525" s="342">
        <f>SUM(C525:D525)</f>
        <v>15</v>
      </c>
      <c r="C525" s="342">
        <f t="shared" si="159"/>
        <v>12</v>
      </c>
      <c r="D525" s="342">
        <f t="shared" si="159"/>
        <v>3</v>
      </c>
      <c r="E525" s="342">
        <f>SUM(F525:G525)</f>
        <v>0</v>
      </c>
      <c r="F525" s="342">
        <v>0</v>
      </c>
      <c r="G525" s="342">
        <v>0</v>
      </c>
      <c r="H525" s="342">
        <f>SUM(I525:J525)</f>
        <v>5</v>
      </c>
      <c r="I525" s="342">
        <v>4</v>
      </c>
      <c r="J525" s="342">
        <v>1</v>
      </c>
      <c r="K525" s="342">
        <f>SUM(L525:M525)</f>
        <v>10</v>
      </c>
      <c r="L525" s="342">
        <v>8</v>
      </c>
      <c r="M525" s="342">
        <v>2</v>
      </c>
      <c r="N525" s="203" t="s">
        <v>145</v>
      </c>
      <c r="O525" s="306" t="s">
        <v>461</v>
      </c>
    </row>
    <row r="526" spans="2:15" ht="18.75" customHeight="1" thickBot="1" x14ac:dyDescent="0.25">
      <c r="B526" s="342">
        <f t="shared" ref="B526:L526" si="181">SUM(B524:B525)</f>
        <v>24</v>
      </c>
      <c r="C526" s="342">
        <f t="shared" si="181"/>
        <v>21</v>
      </c>
      <c r="D526" s="342">
        <f t="shared" si="181"/>
        <v>3</v>
      </c>
      <c r="E526" s="342">
        <f t="shared" si="181"/>
        <v>9</v>
      </c>
      <c r="F526" s="342">
        <f t="shared" si="181"/>
        <v>9</v>
      </c>
      <c r="G526" s="342">
        <f t="shared" si="181"/>
        <v>0</v>
      </c>
      <c r="H526" s="342">
        <f t="shared" si="181"/>
        <v>5</v>
      </c>
      <c r="I526" s="342">
        <f t="shared" si="181"/>
        <v>4</v>
      </c>
      <c r="J526" s="342">
        <f t="shared" si="181"/>
        <v>1</v>
      </c>
      <c r="K526" s="342">
        <f t="shared" si="181"/>
        <v>10</v>
      </c>
      <c r="L526" s="342">
        <f t="shared" si="181"/>
        <v>8</v>
      </c>
      <c r="M526" s="342">
        <f>SUM(M524:M525)</f>
        <v>2</v>
      </c>
      <c r="N526" s="203" t="s">
        <v>12</v>
      </c>
      <c r="O526" s="307"/>
    </row>
    <row r="527" spans="2:15" ht="18.75" customHeight="1" thickBot="1" x14ac:dyDescent="0.25">
      <c r="B527" s="342">
        <f>SUM(C527:D527)</f>
        <v>24</v>
      </c>
      <c r="C527" s="342">
        <f t="shared" ref="C527:D558" si="182">L527+I527+F527</f>
        <v>24</v>
      </c>
      <c r="D527" s="342">
        <f t="shared" si="182"/>
        <v>0</v>
      </c>
      <c r="E527" s="342">
        <f>SUM(F527:G527)</f>
        <v>24</v>
      </c>
      <c r="F527" s="342">
        <v>24</v>
      </c>
      <c r="G527" s="342">
        <v>0</v>
      </c>
      <c r="H527" s="342">
        <f>SUM(I527:J527)</f>
        <v>0</v>
      </c>
      <c r="I527" s="342">
        <v>0</v>
      </c>
      <c r="J527" s="342">
        <v>0</v>
      </c>
      <c r="K527" s="342">
        <f>SUM(L527:M527)</f>
        <v>0</v>
      </c>
      <c r="L527" s="342">
        <v>0</v>
      </c>
      <c r="M527" s="342">
        <v>0</v>
      </c>
      <c r="N527" s="203" t="s">
        <v>146</v>
      </c>
      <c r="O527" s="306"/>
    </row>
    <row r="528" spans="2:15" ht="18.75" customHeight="1" thickBot="1" x14ac:dyDescent="0.25">
      <c r="B528" s="342">
        <f>SUM(C528:D528)</f>
        <v>11</v>
      </c>
      <c r="C528" s="342">
        <f t="shared" si="182"/>
        <v>7</v>
      </c>
      <c r="D528" s="342">
        <f t="shared" si="182"/>
        <v>4</v>
      </c>
      <c r="E528" s="342">
        <f>SUM(F528:G528)</f>
        <v>0</v>
      </c>
      <c r="F528" s="342">
        <v>0</v>
      </c>
      <c r="G528" s="342">
        <v>0</v>
      </c>
      <c r="H528" s="342">
        <f>SUM(I528:J528)</f>
        <v>3</v>
      </c>
      <c r="I528" s="342">
        <v>2</v>
      </c>
      <c r="J528" s="342">
        <v>1</v>
      </c>
      <c r="K528" s="342">
        <f>SUM(L528:M528)</f>
        <v>8</v>
      </c>
      <c r="L528" s="342">
        <v>5</v>
      </c>
      <c r="M528" s="342">
        <v>3</v>
      </c>
      <c r="N528" s="203" t="s">
        <v>145</v>
      </c>
      <c r="O528" s="306" t="s">
        <v>462</v>
      </c>
    </row>
    <row r="529" spans="2:15" ht="18.75" customHeight="1" thickBot="1" x14ac:dyDescent="0.25">
      <c r="B529" s="342">
        <f t="shared" ref="B529:L529" si="183">SUM(B527:B528)</f>
        <v>35</v>
      </c>
      <c r="C529" s="342">
        <f t="shared" si="183"/>
        <v>31</v>
      </c>
      <c r="D529" s="342">
        <f t="shared" si="183"/>
        <v>4</v>
      </c>
      <c r="E529" s="342">
        <f t="shared" si="183"/>
        <v>24</v>
      </c>
      <c r="F529" s="342">
        <f t="shared" si="183"/>
        <v>24</v>
      </c>
      <c r="G529" s="342">
        <f t="shared" si="183"/>
        <v>0</v>
      </c>
      <c r="H529" s="342">
        <f t="shared" si="183"/>
        <v>3</v>
      </c>
      <c r="I529" s="342">
        <f t="shared" si="183"/>
        <v>2</v>
      </c>
      <c r="J529" s="342">
        <f t="shared" si="183"/>
        <v>1</v>
      </c>
      <c r="K529" s="342">
        <f t="shared" si="183"/>
        <v>8</v>
      </c>
      <c r="L529" s="342">
        <f t="shared" si="183"/>
        <v>5</v>
      </c>
      <c r="M529" s="342">
        <f>SUM(M527:M528)</f>
        <v>3</v>
      </c>
      <c r="N529" s="203" t="s">
        <v>12</v>
      </c>
      <c r="O529" s="307"/>
    </row>
    <row r="530" spans="2:15" ht="18.75" customHeight="1" thickBot="1" x14ac:dyDescent="0.25">
      <c r="B530" s="342">
        <f>SUM(C530:D530)</f>
        <v>6</v>
      </c>
      <c r="C530" s="342">
        <f t="shared" si="182"/>
        <v>6</v>
      </c>
      <c r="D530" s="342">
        <f t="shared" si="182"/>
        <v>0</v>
      </c>
      <c r="E530" s="342">
        <f>SUM(F530:G530)</f>
        <v>4</v>
      </c>
      <c r="F530" s="342">
        <v>4</v>
      </c>
      <c r="G530" s="342">
        <v>0</v>
      </c>
      <c r="H530" s="342">
        <f>SUM(I530:J530)</f>
        <v>0</v>
      </c>
      <c r="I530" s="342">
        <v>0</v>
      </c>
      <c r="J530" s="342">
        <v>0</v>
      </c>
      <c r="K530" s="342">
        <f>SUM(L530:M530)</f>
        <v>2</v>
      </c>
      <c r="L530" s="342">
        <v>2</v>
      </c>
      <c r="M530" s="342">
        <v>0</v>
      </c>
      <c r="N530" s="203" t="s">
        <v>146</v>
      </c>
      <c r="O530" s="306"/>
    </row>
    <row r="531" spans="2:15" ht="18.75" customHeight="1" thickBot="1" x14ac:dyDescent="0.25">
      <c r="B531" s="342">
        <f>SUM(C531:D531)</f>
        <v>44</v>
      </c>
      <c r="C531" s="342">
        <f t="shared" si="182"/>
        <v>38</v>
      </c>
      <c r="D531" s="342">
        <f t="shared" si="182"/>
        <v>6</v>
      </c>
      <c r="E531" s="342">
        <f>SUM(F531:G531)</f>
        <v>0</v>
      </c>
      <c r="F531" s="342">
        <v>0</v>
      </c>
      <c r="G531" s="342">
        <v>0</v>
      </c>
      <c r="H531" s="342">
        <f>SUM(I531:J531)</f>
        <v>19</v>
      </c>
      <c r="I531" s="342">
        <v>16</v>
      </c>
      <c r="J531" s="342">
        <v>3</v>
      </c>
      <c r="K531" s="342">
        <f>SUM(L531:M531)</f>
        <v>25</v>
      </c>
      <c r="L531" s="342">
        <v>22</v>
      </c>
      <c r="M531" s="342">
        <v>3</v>
      </c>
      <c r="N531" s="203" t="s">
        <v>145</v>
      </c>
      <c r="O531" s="306" t="s">
        <v>96</v>
      </c>
    </row>
    <row r="532" spans="2:15" ht="18.75" customHeight="1" thickBot="1" x14ac:dyDescent="0.25">
      <c r="B532" s="342">
        <f t="shared" ref="B532:L532" si="184">SUM(B530:B531)</f>
        <v>50</v>
      </c>
      <c r="C532" s="342">
        <f t="shared" si="184"/>
        <v>44</v>
      </c>
      <c r="D532" s="342">
        <f t="shared" si="184"/>
        <v>6</v>
      </c>
      <c r="E532" s="342">
        <f t="shared" si="184"/>
        <v>4</v>
      </c>
      <c r="F532" s="342">
        <f t="shared" si="184"/>
        <v>4</v>
      </c>
      <c r="G532" s="342">
        <f t="shared" si="184"/>
        <v>0</v>
      </c>
      <c r="H532" s="342">
        <f t="shared" si="184"/>
        <v>19</v>
      </c>
      <c r="I532" s="342">
        <f t="shared" si="184"/>
        <v>16</v>
      </c>
      <c r="J532" s="342">
        <f t="shared" si="184"/>
        <v>3</v>
      </c>
      <c r="K532" s="342">
        <f t="shared" si="184"/>
        <v>27</v>
      </c>
      <c r="L532" s="342">
        <f t="shared" si="184"/>
        <v>24</v>
      </c>
      <c r="M532" s="342">
        <f>SUM(M530:M531)</f>
        <v>3</v>
      </c>
      <c r="N532" s="203" t="s">
        <v>12</v>
      </c>
      <c r="O532" s="307"/>
    </row>
    <row r="533" spans="2:15" ht="18.75" customHeight="1" thickBot="1" x14ac:dyDescent="0.25">
      <c r="B533" s="342">
        <f>SUM(C533:D533)</f>
        <v>27</v>
      </c>
      <c r="C533" s="342">
        <f t="shared" si="182"/>
        <v>27</v>
      </c>
      <c r="D533" s="342">
        <f t="shared" si="182"/>
        <v>0</v>
      </c>
      <c r="E533" s="342">
        <f>SUM(F533:G533)</f>
        <v>27</v>
      </c>
      <c r="F533" s="342">
        <v>27</v>
      </c>
      <c r="G533" s="342">
        <v>0</v>
      </c>
      <c r="H533" s="342">
        <f>SUM(I533:J533)</f>
        <v>0</v>
      </c>
      <c r="I533" s="342">
        <v>0</v>
      </c>
      <c r="J533" s="342">
        <v>0</v>
      </c>
      <c r="K533" s="342">
        <f>SUM(L533:M533)</f>
        <v>0</v>
      </c>
      <c r="L533" s="342">
        <v>0</v>
      </c>
      <c r="M533" s="342">
        <v>0</v>
      </c>
      <c r="N533" s="203" t="s">
        <v>146</v>
      </c>
      <c r="O533" s="306"/>
    </row>
    <row r="534" spans="2:15" ht="18.75" customHeight="1" thickBot="1" x14ac:dyDescent="0.25">
      <c r="B534" s="342">
        <f>SUM(C534:D534)</f>
        <v>10</v>
      </c>
      <c r="C534" s="342">
        <f t="shared" si="182"/>
        <v>9</v>
      </c>
      <c r="D534" s="342">
        <f t="shared" si="182"/>
        <v>1</v>
      </c>
      <c r="E534" s="342">
        <f>SUM(F534:G534)</f>
        <v>0</v>
      </c>
      <c r="F534" s="342">
        <v>0</v>
      </c>
      <c r="G534" s="342">
        <v>0</v>
      </c>
      <c r="H534" s="342">
        <f>SUM(I534:J534)</f>
        <v>1</v>
      </c>
      <c r="I534" s="342">
        <v>1</v>
      </c>
      <c r="J534" s="342">
        <v>0</v>
      </c>
      <c r="K534" s="342">
        <f>SUM(L534:M534)</f>
        <v>9</v>
      </c>
      <c r="L534" s="342">
        <v>8</v>
      </c>
      <c r="M534" s="342">
        <v>1</v>
      </c>
      <c r="N534" s="203" t="s">
        <v>145</v>
      </c>
      <c r="O534" s="306" t="s">
        <v>463</v>
      </c>
    </row>
    <row r="535" spans="2:15" ht="18.75" customHeight="1" thickBot="1" x14ac:dyDescent="0.25">
      <c r="B535" s="342">
        <f t="shared" ref="B535:L535" si="185">SUM(B533:B534)</f>
        <v>37</v>
      </c>
      <c r="C535" s="342">
        <f t="shared" si="185"/>
        <v>36</v>
      </c>
      <c r="D535" s="342">
        <f t="shared" si="185"/>
        <v>1</v>
      </c>
      <c r="E535" s="342">
        <f t="shared" si="185"/>
        <v>27</v>
      </c>
      <c r="F535" s="342">
        <f t="shared" si="185"/>
        <v>27</v>
      </c>
      <c r="G535" s="342">
        <f t="shared" si="185"/>
        <v>0</v>
      </c>
      <c r="H535" s="342">
        <f t="shared" si="185"/>
        <v>1</v>
      </c>
      <c r="I535" s="342">
        <f t="shared" si="185"/>
        <v>1</v>
      </c>
      <c r="J535" s="342">
        <f t="shared" si="185"/>
        <v>0</v>
      </c>
      <c r="K535" s="342">
        <f t="shared" si="185"/>
        <v>9</v>
      </c>
      <c r="L535" s="342">
        <f t="shared" si="185"/>
        <v>8</v>
      </c>
      <c r="M535" s="342">
        <f>SUM(M533:M534)</f>
        <v>1</v>
      </c>
      <c r="N535" s="203" t="s">
        <v>12</v>
      </c>
      <c r="O535" s="307"/>
    </row>
    <row r="536" spans="2:15" ht="18.75" customHeight="1" thickBot="1" x14ac:dyDescent="0.25">
      <c r="B536" s="342">
        <f>SUM(C536:D536)</f>
        <v>1</v>
      </c>
      <c r="C536" s="342">
        <f t="shared" si="182"/>
        <v>1</v>
      </c>
      <c r="D536" s="342">
        <f t="shared" si="182"/>
        <v>0</v>
      </c>
      <c r="E536" s="342">
        <f>SUM(F536:G536)</f>
        <v>1</v>
      </c>
      <c r="F536" s="342">
        <v>1</v>
      </c>
      <c r="G536" s="342">
        <v>0</v>
      </c>
      <c r="H536" s="342">
        <f>SUM(I536:J536)</f>
        <v>0</v>
      </c>
      <c r="I536" s="342">
        <v>0</v>
      </c>
      <c r="J536" s="342">
        <v>0</v>
      </c>
      <c r="K536" s="342">
        <f>SUM(L536:M536)</f>
        <v>0</v>
      </c>
      <c r="L536" s="342">
        <v>0</v>
      </c>
      <c r="M536" s="342">
        <v>0</v>
      </c>
      <c r="N536" s="203" t="s">
        <v>146</v>
      </c>
      <c r="O536" s="306"/>
    </row>
    <row r="537" spans="2:15" ht="18.75" customHeight="1" thickBot="1" x14ac:dyDescent="0.25">
      <c r="B537" s="342">
        <f>SUM(C537:D537)</f>
        <v>4</v>
      </c>
      <c r="C537" s="342">
        <f t="shared" si="182"/>
        <v>4</v>
      </c>
      <c r="D537" s="342">
        <f t="shared" si="182"/>
        <v>0</v>
      </c>
      <c r="E537" s="342">
        <f>SUM(F537:G537)</f>
        <v>0</v>
      </c>
      <c r="F537" s="342">
        <v>0</v>
      </c>
      <c r="G537" s="342">
        <v>0</v>
      </c>
      <c r="H537" s="342">
        <f>SUM(I537:J537)</f>
        <v>2</v>
      </c>
      <c r="I537" s="342">
        <v>2</v>
      </c>
      <c r="J537" s="342">
        <v>0</v>
      </c>
      <c r="K537" s="342">
        <f>SUM(L537:M537)</f>
        <v>2</v>
      </c>
      <c r="L537" s="342">
        <v>2</v>
      </c>
      <c r="M537" s="342">
        <v>0</v>
      </c>
      <c r="N537" s="203" t="s">
        <v>145</v>
      </c>
      <c r="O537" s="306" t="s">
        <v>271</v>
      </c>
    </row>
    <row r="538" spans="2:15" ht="18.75" customHeight="1" thickBot="1" x14ac:dyDescent="0.25">
      <c r="B538" s="342">
        <f t="shared" ref="B538:L538" si="186">SUM(B536:B537)</f>
        <v>5</v>
      </c>
      <c r="C538" s="342">
        <f t="shared" si="186"/>
        <v>5</v>
      </c>
      <c r="D538" s="342">
        <f t="shared" si="186"/>
        <v>0</v>
      </c>
      <c r="E538" s="342">
        <f t="shared" si="186"/>
        <v>1</v>
      </c>
      <c r="F538" s="342">
        <f t="shared" si="186"/>
        <v>1</v>
      </c>
      <c r="G538" s="342">
        <f t="shared" si="186"/>
        <v>0</v>
      </c>
      <c r="H538" s="342">
        <f t="shared" si="186"/>
        <v>2</v>
      </c>
      <c r="I538" s="342">
        <f t="shared" si="186"/>
        <v>2</v>
      </c>
      <c r="J538" s="342">
        <f t="shared" si="186"/>
        <v>0</v>
      </c>
      <c r="K538" s="342">
        <f t="shared" si="186"/>
        <v>2</v>
      </c>
      <c r="L538" s="342">
        <f t="shared" si="186"/>
        <v>2</v>
      </c>
      <c r="M538" s="342">
        <f>SUM(M536:M537)</f>
        <v>0</v>
      </c>
      <c r="N538" s="203" t="s">
        <v>12</v>
      </c>
      <c r="O538" s="307"/>
    </row>
    <row r="539" spans="2:15" ht="18.75" customHeight="1" thickBot="1" x14ac:dyDescent="0.25">
      <c r="B539" s="342">
        <f>SUM(C539:D539)</f>
        <v>3</v>
      </c>
      <c r="C539" s="342">
        <f t="shared" si="182"/>
        <v>2</v>
      </c>
      <c r="D539" s="342">
        <f t="shared" si="182"/>
        <v>1</v>
      </c>
      <c r="E539" s="342">
        <f>SUM(F539:G539)</f>
        <v>3</v>
      </c>
      <c r="F539" s="342">
        <v>2</v>
      </c>
      <c r="G539" s="342">
        <v>1</v>
      </c>
      <c r="H539" s="342">
        <f>SUM(I539:J539)</f>
        <v>0</v>
      </c>
      <c r="I539" s="342">
        <v>0</v>
      </c>
      <c r="J539" s="342">
        <v>0</v>
      </c>
      <c r="K539" s="342">
        <f>SUM(L539:M539)</f>
        <v>0</v>
      </c>
      <c r="L539" s="342">
        <v>0</v>
      </c>
      <c r="M539" s="342">
        <v>0</v>
      </c>
      <c r="N539" s="203" t="s">
        <v>146</v>
      </c>
      <c r="O539" s="306"/>
    </row>
    <row r="540" spans="2:15" ht="18.75" customHeight="1" thickBot="1" x14ac:dyDescent="0.25">
      <c r="B540" s="342">
        <f>SUM(C540:D540)</f>
        <v>4</v>
      </c>
      <c r="C540" s="342">
        <f t="shared" si="182"/>
        <v>0</v>
      </c>
      <c r="D540" s="342">
        <f t="shared" si="182"/>
        <v>4</v>
      </c>
      <c r="E540" s="342">
        <f>SUM(F540:G540)</f>
        <v>0</v>
      </c>
      <c r="F540" s="342">
        <v>0</v>
      </c>
      <c r="G540" s="342">
        <v>0</v>
      </c>
      <c r="H540" s="342">
        <f>SUM(I540:J540)</f>
        <v>1</v>
      </c>
      <c r="I540" s="342">
        <v>0</v>
      </c>
      <c r="J540" s="342">
        <v>1</v>
      </c>
      <c r="K540" s="342">
        <f>SUM(L540:M540)</f>
        <v>3</v>
      </c>
      <c r="L540" s="342">
        <v>0</v>
      </c>
      <c r="M540" s="342">
        <v>3</v>
      </c>
      <c r="N540" s="203" t="s">
        <v>145</v>
      </c>
      <c r="O540" s="306" t="s">
        <v>269</v>
      </c>
    </row>
    <row r="541" spans="2:15" ht="18.75" customHeight="1" thickBot="1" x14ac:dyDescent="0.25">
      <c r="B541" s="342">
        <f t="shared" ref="B541:L541" si="187">SUM(B539:B540)</f>
        <v>7</v>
      </c>
      <c r="C541" s="342">
        <f t="shared" si="187"/>
        <v>2</v>
      </c>
      <c r="D541" s="342">
        <f t="shared" si="187"/>
        <v>5</v>
      </c>
      <c r="E541" s="342">
        <f t="shared" si="187"/>
        <v>3</v>
      </c>
      <c r="F541" s="342">
        <f t="shared" si="187"/>
        <v>2</v>
      </c>
      <c r="G541" s="342">
        <f t="shared" si="187"/>
        <v>1</v>
      </c>
      <c r="H541" s="342">
        <f t="shared" si="187"/>
        <v>1</v>
      </c>
      <c r="I541" s="342">
        <f t="shared" si="187"/>
        <v>0</v>
      </c>
      <c r="J541" s="342">
        <f t="shared" si="187"/>
        <v>1</v>
      </c>
      <c r="K541" s="342">
        <f t="shared" si="187"/>
        <v>3</v>
      </c>
      <c r="L541" s="342">
        <f t="shared" si="187"/>
        <v>0</v>
      </c>
      <c r="M541" s="342">
        <f>SUM(M539:M540)</f>
        <v>3</v>
      </c>
      <c r="N541" s="203" t="s">
        <v>12</v>
      </c>
      <c r="O541" s="307"/>
    </row>
    <row r="542" spans="2:15" ht="18.75" customHeight="1" thickBot="1" x14ac:dyDescent="0.25">
      <c r="B542" s="342">
        <f>SUM(C542:D542)</f>
        <v>18</v>
      </c>
      <c r="C542" s="342">
        <f t="shared" si="182"/>
        <v>18</v>
      </c>
      <c r="D542" s="342">
        <f t="shared" si="182"/>
        <v>0</v>
      </c>
      <c r="E542" s="342">
        <f>SUM(F542:G542)</f>
        <v>18</v>
      </c>
      <c r="F542" s="342">
        <v>18</v>
      </c>
      <c r="G542" s="342">
        <v>0</v>
      </c>
      <c r="H542" s="342">
        <f>SUM(I542:J542)</f>
        <v>0</v>
      </c>
      <c r="I542" s="342">
        <v>0</v>
      </c>
      <c r="J542" s="342">
        <v>0</v>
      </c>
      <c r="K542" s="342">
        <f>SUM(L542:M542)</f>
        <v>0</v>
      </c>
      <c r="L542" s="342">
        <v>0</v>
      </c>
      <c r="M542" s="342">
        <v>0</v>
      </c>
      <c r="N542" s="203" t="s">
        <v>146</v>
      </c>
      <c r="O542" s="306"/>
    </row>
    <row r="543" spans="2:15" ht="18.75" customHeight="1" thickBot="1" x14ac:dyDescent="0.25">
      <c r="B543" s="342">
        <f>SUM(C543:D543)</f>
        <v>23</v>
      </c>
      <c r="C543" s="342">
        <f t="shared" si="182"/>
        <v>16</v>
      </c>
      <c r="D543" s="342">
        <f t="shared" si="182"/>
        <v>7</v>
      </c>
      <c r="E543" s="342">
        <f>SUM(F543:G543)</f>
        <v>0</v>
      </c>
      <c r="F543" s="342">
        <v>0</v>
      </c>
      <c r="G543" s="342">
        <v>0</v>
      </c>
      <c r="H543" s="342">
        <f>SUM(I543:J543)</f>
        <v>9</v>
      </c>
      <c r="I543" s="342">
        <v>9</v>
      </c>
      <c r="J543" s="342">
        <v>0</v>
      </c>
      <c r="K543" s="342">
        <f>SUM(L543:M543)</f>
        <v>14</v>
      </c>
      <c r="L543" s="342">
        <v>7</v>
      </c>
      <c r="M543" s="342">
        <v>7</v>
      </c>
      <c r="N543" s="203" t="s">
        <v>145</v>
      </c>
      <c r="O543" s="306" t="s">
        <v>465</v>
      </c>
    </row>
    <row r="544" spans="2:15" ht="18.75" customHeight="1" thickBot="1" x14ac:dyDescent="0.25">
      <c r="B544" s="342">
        <f t="shared" ref="B544:L544" si="188">SUM(B542:B543)</f>
        <v>41</v>
      </c>
      <c r="C544" s="342">
        <f t="shared" si="188"/>
        <v>34</v>
      </c>
      <c r="D544" s="342">
        <f t="shared" si="188"/>
        <v>7</v>
      </c>
      <c r="E544" s="342">
        <f t="shared" si="188"/>
        <v>18</v>
      </c>
      <c r="F544" s="342">
        <f t="shared" si="188"/>
        <v>18</v>
      </c>
      <c r="G544" s="342">
        <f t="shared" si="188"/>
        <v>0</v>
      </c>
      <c r="H544" s="342">
        <f t="shared" si="188"/>
        <v>9</v>
      </c>
      <c r="I544" s="342">
        <f t="shared" si="188"/>
        <v>9</v>
      </c>
      <c r="J544" s="342">
        <f t="shared" si="188"/>
        <v>0</v>
      </c>
      <c r="K544" s="342">
        <f t="shared" si="188"/>
        <v>14</v>
      </c>
      <c r="L544" s="342">
        <f t="shared" si="188"/>
        <v>7</v>
      </c>
      <c r="M544" s="342">
        <f>SUM(M542:M543)</f>
        <v>7</v>
      </c>
      <c r="N544" s="203" t="s">
        <v>12</v>
      </c>
      <c r="O544" s="307"/>
    </row>
    <row r="545" spans="2:15" ht="18.75" customHeight="1" thickBot="1" x14ac:dyDescent="0.25">
      <c r="B545" s="342">
        <f>SUM(C545:D545)</f>
        <v>15</v>
      </c>
      <c r="C545" s="342">
        <f t="shared" si="182"/>
        <v>15</v>
      </c>
      <c r="D545" s="342">
        <f t="shared" si="182"/>
        <v>0</v>
      </c>
      <c r="E545" s="342">
        <f>SUM(F545:G545)</f>
        <v>15</v>
      </c>
      <c r="F545" s="342">
        <v>15</v>
      </c>
      <c r="G545" s="342">
        <v>0</v>
      </c>
      <c r="H545" s="342">
        <f>SUM(I545:J545)</f>
        <v>0</v>
      </c>
      <c r="I545" s="342">
        <v>0</v>
      </c>
      <c r="J545" s="342">
        <v>0</v>
      </c>
      <c r="K545" s="342">
        <f>SUM(L545:M545)</f>
        <v>0</v>
      </c>
      <c r="L545" s="342">
        <v>0</v>
      </c>
      <c r="M545" s="342">
        <v>0</v>
      </c>
      <c r="N545" s="203" t="s">
        <v>146</v>
      </c>
      <c r="O545" s="306"/>
    </row>
    <row r="546" spans="2:15" ht="18.75" customHeight="1" thickBot="1" x14ac:dyDescent="0.25">
      <c r="B546" s="342">
        <f>SUM(C546:D546)</f>
        <v>5</v>
      </c>
      <c r="C546" s="342">
        <f t="shared" si="182"/>
        <v>4</v>
      </c>
      <c r="D546" s="342">
        <f t="shared" si="182"/>
        <v>1</v>
      </c>
      <c r="E546" s="342">
        <f>SUM(F546:G546)</f>
        <v>0</v>
      </c>
      <c r="F546" s="342">
        <v>0</v>
      </c>
      <c r="G546" s="342">
        <v>0</v>
      </c>
      <c r="H546" s="342">
        <f>SUM(I546:J546)</f>
        <v>1</v>
      </c>
      <c r="I546" s="342">
        <v>1</v>
      </c>
      <c r="J546" s="342">
        <v>0</v>
      </c>
      <c r="K546" s="342">
        <f>SUM(L546:M546)</f>
        <v>4</v>
      </c>
      <c r="L546" s="342">
        <v>3</v>
      </c>
      <c r="M546" s="342">
        <v>1</v>
      </c>
      <c r="N546" s="203" t="s">
        <v>145</v>
      </c>
      <c r="O546" s="306" t="s">
        <v>464</v>
      </c>
    </row>
    <row r="547" spans="2:15" ht="18.75" customHeight="1" thickBot="1" x14ac:dyDescent="0.25">
      <c r="B547" s="342">
        <f t="shared" ref="B547:L547" si="189">SUM(B545:B546)</f>
        <v>20</v>
      </c>
      <c r="C547" s="342">
        <f t="shared" si="189"/>
        <v>19</v>
      </c>
      <c r="D547" s="342">
        <f t="shared" si="189"/>
        <v>1</v>
      </c>
      <c r="E547" s="342">
        <f t="shared" si="189"/>
        <v>15</v>
      </c>
      <c r="F547" s="342">
        <f t="shared" si="189"/>
        <v>15</v>
      </c>
      <c r="G547" s="342">
        <f t="shared" si="189"/>
        <v>0</v>
      </c>
      <c r="H547" s="342">
        <f t="shared" si="189"/>
        <v>1</v>
      </c>
      <c r="I547" s="342">
        <f t="shared" si="189"/>
        <v>1</v>
      </c>
      <c r="J547" s="342">
        <f t="shared" si="189"/>
        <v>0</v>
      </c>
      <c r="K547" s="342">
        <f t="shared" si="189"/>
        <v>4</v>
      </c>
      <c r="L547" s="342">
        <f t="shared" si="189"/>
        <v>3</v>
      </c>
      <c r="M547" s="342">
        <f>SUM(M545:M546)</f>
        <v>1</v>
      </c>
      <c r="N547" s="203" t="s">
        <v>12</v>
      </c>
      <c r="O547" s="307"/>
    </row>
    <row r="548" spans="2:15" ht="18.75" customHeight="1" thickBot="1" x14ac:dyDescent="0.25">
      <c r="B548" s="342">
        <f>SUM(C548:D548)</f>
        <v>6</v>
      </c>
      <c r="C548" s="342">
        <f t="shared" si="182"/>
        <v>3</v>
      </c>
      <c r="D548" s="342">
        <f t="shared" si="182"/>
        <v>3</v>
      </c>
      <c r="E548" s="342">
        <f>SUM(F548:G548)</f>
        <v>5</v>
      </c>
      <c r="F548" s="342">
        <v>3</v>
      </c>
      <c r="G548" s="342">
        <v>2</v>
      </c>
      <c r="H548" s="342">
        <f>SUM(I548:J548)</f>
        <v>1</v>
      </c>
      <c r="I548" s="342">
        <v>0</v>
      </c>
      <c r="J548" s="342">
        <v>1</v>
      </c>
      <c r="K548" s="342">
        <f>SUM(L548:M548)</f>
        <v>0</v>
      </c>
      <c r="L548" s="342">
        <v>0</v>
      </c>
      <c r="M548" s="342">
        <v>0</v>
      </c>
      <c r="N548" s="203" t="s">
        <v>146</v>
      </c>
      <c r="O548" s="306"/>
    </row>
    <row r="549" spans="2:15" ht="18.75" customHeight="1" thickBot="1" x14ac:dyDescent="0.25">
      <c r="B549" s="342">
        <f>SUM(C549:D549)</f>
        <v>19</v>
      </c>
      <c r="C549" s="342">
        <f t="shared" si="182"/>
        <v>7</v>
      </c>
      <c r="D549" s="342">
        <f t="shared" si="182"/>
        <v>12</v>
      </c>
      <c r="E549" s="342">
        <f>SUM(F549:G549)</f>
        <v>0</v>
      </c>
      <c r="F549" s="342">
        <v>0</v>
      </c>
      <c r="G549" s="342">
        <v>0</v>
      </c>
      <c r="H549" s="342">
        <f>SUM(I549:J549)</f>
        <v>11</v>
      </c>
      <c r="I549" s="342">
        <v>4</v>
      </c>
      <c r="J549" s="342">
        <v>7</v>
      </c>
      <c r="K549" s="342">
        <f>SUM(L549:M549)</f>
        <v>8</v>
      </c>
      <c r="L549" s="342">
        <v>3</v>
      </c>
      <c r="M549" s="342">
        <v>5</v>
      </c>
      <c r="N549" s="203" t="s">
        <v>145</v>
      </c>
      <c r="O549" s="306" t="s">
        <v>270</v>
      </c>
    </row>
    <row r="550" spans="2:15" ht="18.75" customHeight="1" thickBot="1" x14ac:dyDescent="0.25">
      <c r="B550" s="342">
        <f t="shared" ref="B550:L550" si="190">SUM(B548:B549)</f>
        <v>25</v>
      </c>
      <c r="C550" s="342">
        <f t="shared" si="190"/>
        <v>10</v>
      </c>
      <c r="D550" s="342">
        <f t="shared" si="190"/>
        <v>15</v>
      </c>
      <c r="E550" s="342">
        <f t="shared" si="190"/>
        <v>5</v>
      </c>
      <c r="F550" s="342">
        <f t="shared" si="190"/>
        <v>3</v>
      </c>
      <c r="G550" s="342">
        <f t="shared" si="190"/>
        <v>2</v>
      </c>
      <c r="H550" s="342">
        <f t="shared" si="190"/>
        <v>12</v>
      </c>
      <c r="I550" s="342">
        <f t="shared" si="190"/>
        <v>4</v>
      </c>
      <c r="J550" s="342">
        <f t="shared" si="190"/>
        <v>8</v>
      </c>
      <c r="K550" s="342">
        <f t="shared" si="190"/>
        <v>8</v>
      </c>
      <c r="L550" s="342">
        <f t="shared" si="190"/>
        <v>3</v>
      </c>
      <c r="M550" s="342">
        <f>SUM(M548:M549)</f>
        <v>5</v>
      </c>
      <c r="N550" s="203" t="s">
        <v>12</v>
      </c>
      <c r="O550" s="307"/>
    </row>
    <row r="551" spans="2:15" ht="18.75" customHeight="1" thickBot="1" x14ac:dyDescent="0.25">
      <c r="B551" s="342">
        <f>SUM(C551:D551)</f>
        <v>4</v>
      </c>
      <c r="C551" s="342">
        <f t="shared" si="182"/>
        <v>0</v>
      </c>
      <c r="D551" s="342">
        <f t="shared" si="182"/>
        <v>4</v>
      </c>
      <c r="E551" s="342">
        <f>SUM(F551:G551)</f>
        <v>4</v>
      </c>
      <c r="F551" s="342">
        <v>0</v>
      </c>
      <c r="G551" s="342">
        <v>4</v>
      </c>
      <c r="H551" s="342">
        <f>SUM(I551:J551)</f>
        <v>0</v>
      </c>
      <c r="I551" s="342">
        <v>0</v>
      </c>
      <c r="J551" s="342">
        <v>0</v>
      </c>
      <c r="K551" s="342">
        <f>SUM(L551:M551)</f>
        <v>0</v>
      </c>
      <c r="L551" s="342">
        <v>0</v>
      </c>
      <c r="M551" s="342">
        <v>0</v>
      </c>
      <c r="N551" s="203" t="s">
        <v>146</v>
      </c>
      <c r="O551" s="306"/>
    </row>
    <row r="552" spans="2:15" ht="18.75" customHeight="1" thickBot="1" x14ac:dyDescent="0.25">
      <c r="B552" s="342">
        <f>SUM(C552:D552)</f>
        <v>4</v>
      </c>
      <c r="C552" s="342">
        <f t="shared" si="182"/>
        <v>0</v>
      </c>
      <c r="D552" s="342">
        <f t="shared" si="182"/>
        <v>4</v>
      </c>
      <c r="E552" s="342">
        <f>SUM(F552:G552)</f>
        <v>0</v>
      </c>
      <c r="F552" s="342">
        <v>0</v>
      </c>
      <c r="G552" s="342">
        <v>0</v>
      </c>
      <c r="H552" s="342">
        <f>SUM(I552:J552)</f>
        <v>3</v>
      </c>
      <c r="I552" s="342">
        <v>0</v>
      </c>
      <c r="J552" s="342">
        <v>3</v>
      </c>
      <c r="K552" s="342">
        <f>SUM(L552:M552)</f>
        <v>1</v>
      </c>
      <c r="L552" s="342">
        <v>0</v>
      </c>
      <c r="M552" s="342">
        <v>1</v>
      </c>
      <c r="N552" s="203" t="s">
        <v>145</v>
      </c>
      <c r="O552" s="306" t="s">
        <v>798</v>
      </c>
    </row>
    <row r="553" spans="2:15" ht="18.75" customHeight="1" thickBot="1" x14ac:dyDescent="0.25">
      <c r="B553" s="342">
        <f t="shared" ref="B553:L553" si="191">SUM(B551:B552)</f>
        <v>8</v>
      </c>
      <c r="C553" s="342">
        <f t="shared" si="191"/>
        <v>0</v>
      </c>
      <c r="D553" s="342">
        <f t="shared" si="191"/>
        <v>8</v>
      </c>
      <c r="E553" s="342">
        <f t="shared" si="191"/>
        <v>4</v>
      </c>
      <c r="F553" s="342">
        <f t="shared" si="191"/>
        <v>0</v>
      </c>
      <c r="G553" s="342">
        <f t="shared" si="191"/>
        <v>4</v>
      </c>
      <c r="H553" s="342">
        <f t="shared" si="191"/>
        <v>3</v>
      </c>
      <c r="I553" s="342">
        <f t="shared" si="191"/>
        <v>0</v>
      </c>
      <c r="J553" s="342">
        <f t="shared" si="191"/>
        <v>3</v>
      </c>
      <c r="K553" s="342">
        <f t="shared" si="191"/>
        <v>1</v>
      </c>
      <c r="L553" s="342">
        <f t="shared" si="191"/>
        <v>0</v>
      </c>
      <c r="M553" s="342">
        <f>SUM(M551:M552)</f>
        <v>1</v>
      </c>
      <c r="N553" s="203" t="s">
        <v>12</v>
      </c>
      <c r="O553" s="307"/>
    </row>
    <row r="554" spans="2:15" ht="18.75" customHeight="1" thickBot="1" x14ac:dyDescent="0.25">
      <c r="B554" s="342">
        <f>SUM(C554:D554)</f>
        <v>0</v>
      </c>
      <c r="C554" s="342">
        <f t="shared" si="182"/>
        <v>0</v>
      </c>
      <c r="D554" s="342">
        <f t="shared" si="182"/>
        <v>0</v>
      </c>
      <c r="E554" s="342">
        <f>SUM(F554:G554)</f>
        <v>0</v>
      </c>
      <c r="F554" s="342">
        <v>0</v>
      </c>
      <c r="G554" s="342">
        <v>0</v>
      </c>
      <c r="H554" s="342">
        <f>SUM(I554:J554)</f>
        <v>0</v>
      </c>
      <c r="I554" s="342">
        <v>0</v>
      </c>
      <c r="J554" s="342">
        <v>0</v>
      </c>
      <c r="K554" s="342">
        <f>SUM(L554:M554)</f>
        <v>0</v>
      </c>
      <c r="L554" s="342">
        <v>0</v>
      </c>
      <c r="M554" s="342">
        <v>0</v>
      </c>
      <c r="N554" s="203" t="s">
        <v>146</v>
      </c>
      <c r="O554" s="306"/>
    </row>
    <row r="555" spans="2:15" ht="18.75" customHeight="1" thickBot="1" x14ac:dyDescent="0.25">
      <c r="B555" s="342">
        <f>SUM(C555:D555)</f>
        <v>14</v>
      </c>
      <c r="C555" s="342">
        <f t="shared" si="182"/>
        <v>0</v>
      </c>
      <c r="D555" s="342">
        <f t="shared" si="182"/>
        <v>14</v>
      </c>
      <c r="E555" s="342">
        <f>SUM(F555:G555)</f>
        <v>0</v>
      </c>
      <c r="F555" s="342">
        <v>0</v>
      </c>
      <c r="G555" s="342">
        <v>0</v>
      </c>
      <c r="H555" s="342">
        <f>SUM(I555:J555)</f>
        <v>3</v>
      </c>
      <c r="I555" s="342">
        <v>0</v>
      </c>
      <c r="J555" s="342">
        <v>3</v>
      </c>
      <c r="K555" s="342">
        <f>SUM(L555:M555)</f>
        <v>11</v>
      </c>
      <c r="L555" s="342">
        <v>0</v>
      </c>
      <c r="M555" s="342">
        <v>11</v>
      </c>
      <c r="N555" s="203" t="s">
        <v>145</v>
      </c>
      <c r="O555" s="306" t="s">
        <v>97</v>
      </c>
    </row>
    <row r="556" spans="2:15" ht="18.75" customHeight="1" thickBot="1" x14ac:dyDescent="0.25">
      <c r="B556" s="342">
        <f t="shared" ref="B556:L556" si="192">SUM(B554:B555)</f>
        <v>14</v>
      </c>
      <c r="C556" s="342">
        <f t="shared" si="192"/>
        <v>0</v>
      </c>
      <c r="D556" s="342">
        <f t="shared" si="192"/>
        <v>14</v>
      </c>
      <c r="E556" s="342">
        <f t="shared" si="192"/>
        <v>0</v>
      </c>
      <c r="F556" s="342">
        <f t="shared" si="192"/>
        <v>0</v>
      </c>
      <c r="G556" s="342">
        <f t="shared" si="192"/>
        <v>0</v>
      </c>
      <c r="H556" s="342">
        <f t="shared" si="192"/>
        <v>3</v>
      </c>
      <c r="I556" s="342">
        <f t="shared" si="192"/>
        <v>0</v>
      </c>
      <c r="J556" s="342">
        <f t="shared" si="192"/>
        <v>3</v>
      </c>
      <c r="K556" s="342">
        <f t="shared" si="192"/>
        <v>11</v>
      </c>
      <c r="L556" s="342">
        <f t="shared" si="192"/>
        <v>0</v>
      </c>
      <c r="M556" s="342">
        <f>SUM(M554:M555)</f>
        <v>11</v>
      </c>
      <c r="N556" s="203" t="s">
        <v>12</v>
      </c>
      <c r="O556" s="307"/>
    </row>
    <row r="557" spans="2:15" ht="18.75" customHeight="1" thickBot="1" x14ac:dyDescent="0.25">
      <c r="B557" s="342">
        <f>SUM(C557:D557)</f>
        <v>0</v>
      </c>
      <c r="C557" s="342">
        <f t="shared" si="182"/>
        <v>0</v>
      </c>
      <c r="D557" s="342">
        <f t="shared" si="182"/>
        <v>0</v>
      </c>
      <c r="E557" s="342">
        <f>SUM(F557:G557)</f>
        <v>0</v>
      </c>
      <c r="F557" s="342">
        <v>0</v>
      </c>
      <c r="G557" s="342">
        <v>0</v>
      </c>
      <c r="H557" s="342">
        <f>SUM(I557:J557)</f>
        <v>0</v>
      </c>
      <c r="I557" s="342">
        <v>0</v>
      </c>
      <c r="J557" s="342">
        <v>0</v>
      </c>
      <c r="K557" s="342">
        <f>SUM(L557:M557)</f>
        <v>0</v>
      </c>
      <c r="L557" s="342">
        <v>0</v>
      </c>
      <c r="M557" s="342">
        <v>0</v>
      </c>
      <c r="N557" s="203" t="s">
        <v>146</v>
      </c>
      <c r="O557" s="306"/>
    </row>
    <row r="558" spans="2:15" ht="18.75" customHeight="1" thickBot="1" x14ac:dyDescent="0.25">
      <c r="B558" s="342">
        <f>SUM(C558:D558)</f>
        <v>9</v>
      </c>
      <c r="C558" s="342">
        <f t="shared" si="182"/>
        <v>2</v>
      </c>
      <c r="D558" s="342">
        <f t="shared" si="182"/>
        <v>7</v>
      </c>
      <c r="E558" s="342">
        <f>SUM(F558:G558)</f>
        <v>0</v>
      </c>
      <c r="F558" s="342">
        <v>0</v>
      </c>
      <c r="G558" s="342">
        <v>0</v>
      </c>
      <c r="H558" s="342">
        <f>SUM(I558:J558)</f>
        <v>2</v>
      </c>
      <c r="I558" s="342">
        <v>0</v>
      </c>
      <c r="J558" s="342">
        <v>2</v>
      </c>
      <c r="K558" s="342">
        <f>SUM(L558:M558)</f>
        <v>7</v>
      </c>
      <c r="L558" s="342">
        <v>2</v>
      </c>
      <c r="M558" s="342">
        <v>5</v>
      </c>
      <c r="N558" s="203" t="s">
        <v>145</v>
      </c>
      <c r="O558" s="306" t="s">
        <v>468</v>
      </c>
    </row>
    <row r="559" spans="2:15" ht="18.75" customHeight="1" thickBot="1" x14ac:dyDescent="0.25">
      <c r="B559" s="342">
        <f t="shared" ref="B559:L559" si="193">SUM(B557:B558)</f>
        <v>9</v>
      </c>
      <c r="C559" s="342">
        <f t="shared" si="193"/>
        <v>2</v>
      </c>
      <c r="D559" s="342">
        <f t="shared" si="193"/>
        <v>7</v>
      </c>
      <c r="E559" s="342">
        <f t="shared" si="193"/>
        <v>0</v>
      </c>
      <c r="F559" s="342">
        <f t="shared" si="193"/>
        <v>0</v>
      </c>
      <c r="G559" s="342">
        <f t="shared" si="193"/>
        <v>0</v>
      </c>
      <c r="H559" s="342">
        <f t="shared" si="193"/>
        <v>2</v>
      </c>
      <c r="I559" s="342">
        <f t="shared" si="193"/>
        <v>0</v>
      </c>
      <c r="J559" s="342">
        <f t="shared" si="193"/>
        <v>2</v>
      </c>
      <c r="K559" s="342">
        <f t="shared" si="193"/>
        <v>7</v>
      </c>
      <c r="L559" s="342">
        <f t="shared" si="193"/>
        <v>2</v>
      </c>
      <c r="M559" s="342">
        <f>SUM(M557:M558)</f>
        <v>5</v>
      </c>
      <c r="N559" s="203" t="s">
        <v>12</v>
      </c>
      <c r="O559" s="307"/>
    </row>
    <row r="560" spans="2:15" ht="18.75" customHeight="1" thickBot="1" x14ac:dyDescent="0.25">
      <c r="B560" s="342">
        <f t="shared" ref="B560:M562" si="194">B461+B464+B467+B470+B473+B476+B479+B482+B485+B488+B491+B494+B497+B500+B503+B506+B509+B512+B515+B518+B521+B524+B527+B530+B533+B536+B539+B542+B545+B548+B551+B554+B557</f>
        <v>890</v>
      </c>
      <c r="C560" s="342">
        <f t="shared" si="194"/>
        <v>300</v>
      </c>
      <c r="D560" s="342">
        <f t="shared" si="194"/>
        <v>590</v>
      </c>
      <c r="E560" s="342">
        <f t="shared" si="194"/>
        <v>575</v>
      </c>
      <c r="F560" s="342">
        <f t="shared" si="194"/>
        <v>249</v>
      </c>
      <c r="G560" s="342">
        <f t="shared" si="194"/>
        <v>326</v>
      </c>
      <c r="H560" s="342">
        <f t="shared" si="194"/>
        <v>73</v>
      </c>
      <c r="I560" s="342">
        <f t="shared" si="194"/>
        <v>29</v>
      </c>
      <c r="J560" s="342">
        <f t="shared" si="194"/>
        <v>44</v>
      </c>
      <c r="K560" s="342">
        <f t="shared" si="194"/>
        <v>242</v>
      </c>
      <c r="L560" s="342">
        <f t="shared" si="194"/>
        <v>22</v>
      </c>
      <c r="M560" s="342">
        <f>M461+M464+M467+M470+M473+M476+M479+M482+M485+M488+M491+M494+M497+M500+M503+M506+M509+M512+M515+M518+M521+M524+M527+M530+M533+M536+M539+M542+M545+M548+M551+M554+M557</f>
        <v>220</v>
      </c>
      <c r="N560" s="203" t="s">
        <v>146</v>
      </c>
      <c r="O560" s="280"/>
    </row>
    <row r="561" spans="2:15" ht="18.75" customHeight="1" thickBot="1" x14ac:dyDescent="0.25">
      <c r="B561" s="342">
        <f t="shared" si="194"/>
        <v>1094</v>
      </c>
      <c r="C561" s="342">
        <f t="shared" si="194"/>
        <v>342</v>
      </c>
      <c r="D561" s="342">
        <f t="shared" si="194"/>
        <v>752</v>
      </c>
      <c r="E561" s="342">
        <f t="shared" si="194"/>
        <v>0</v>
      </c>
      <c r="F561" s="342">
        <f t="shared" si="194"/>
        <v>0</v>
      </c>
      <c r="G561" s="342">
        <f t="shared" si="194"/>
        <v>0</v>
      </c>
      <c r="H561" s="342">
        <f t="shared" si="194"/>
        <v>241</v>
      </c>
      <c r="I561" s="342">
        <f t="shared" si="194"/>
        <v>100</v>
      </c>
      <c r="J561" s="342">
        <f t="shared" si="194"/>
        <v>141</v>
      </c>
      <c r="K561" s="342">
        <f t="shared" si="194"/>
        <v>853</v>
      </c>
      <c r="L561" s="342">
        <f t="shared" si="194"/>
        <v>242</v>
      </c>
      <c r="M561" s="342">
        <f t="shared" si="194"/>
        <v>611</v>
      </c>
      <c r="N561" s="203" t="s">
        <v>145</v>
      </c>
      <c r="O561" s="281" t="s">
        <v>188</v>
      </c>
    </row>
    <row r="562" spans="2:15" ht="18.75" customHeight="1" thickBot="1" x14ac:dyDescent="0.25">
      <c r="B562" s="342">
        <f t="shared" si="194"/>
        <v>1984</v>
      </c>
      <c r="C562" s="342">
        <f t="shared" si="194"/>
        <v>642</v>
      </c>
      <c r="D562" s="342">
        <f t="shared" si="194"/>
        <v>1342</v>
      </c>
      <c r="E562" s="342">
        <f t="shared" si="194"/>
        <v>575</v>
      </c>
      <c r="F562" s="342">
        <f t="shared" si="194"/>
        <v>249</v>
      </c>
      <c r="G562" s="342">
        <f t="shared" si="194"/>
        <v>326</v>
      </c>
      <c r="H562" s="342">
        <f t="shared" si="194"/>
        <v>314</v>
      </c>
      <c r="I562" s="342">
        <f t="shared" si="194"/>
        <v>129</v>
      </c>
      <c r="J562" s="342">
        <f t="shared" si="194"/>
        <v>185</v>
      </c>
      <c r="K562" s="342">
        <f t="shared" si="194"/>
        <v>1095</v>
      </c>
      <c r="L562" s="342">
        <f t="shared" si="194"/>
        <v>264</v>
      </c>
      <c r="M562" s="342">
        <f t="shared" si="194"/>
        <v>831</v>
      </c>
      <c r="N562" s="203" t="s">
        <v>12</v>
      </c>
      <c r="O562" s="282"/>
    </row>
    <row r="563" spans="2:15" ht="18.75" customHeight="1" thickBot="1" x14ac:dyDescent="0.25">
      <c r="B563" s="589"/>
      <c r="C563" s="589"/>
      <c r="D563" s="589"/>
      <c r="E563" s="589"/>
      <c r="F563" s="589"/>
      <c r="G563" s="589"/>
      <c r="H563" s="589"/>
      <c r="I563" s="589"/>
      <c r="J563" s="589"/>
      <c r="K563" s="589"/>
      <c r="L563" s="589"/>
    </row>
    <row r="564" spans="2:15" ht="18.75" customHeight="1" thickBot="1" x14ac:dyDescent="0.25">
      <c r="B564" s="482" t="s">
        <v>4</v>
      </c>
      <c r="C564" s="482"/>
      <c r="D564" s="482"/>
      <c r="E564" s="482" t="s">
        <v>60</v>
      </c>
      <c r="F564" s="482"/>
      <c r="G564" s="482"/>
      <c r="H564" s="482" t="s">
        <v>57</v>
      </c>
      <c r="I564" s="482"/>
      <c r="J564" s="482"/>
      <c r="K564" s="482" t="s">
        <v>56</v>
      </c>
      <c r="L564" s="482"/>
      <c r="M564" s="482"/>
      <c r="N564" s="575" t="s">
        <v>792</v>
      </c>
      <c r="O564" s="304" t="s">
        <v>144</v>
      </c>
    </row>
    <row r="565" spans="2:15" ht="18.75" customHeight="1" thickBot="1" x14ac:dyDescent="0.25">
      <c r="B565" s="203" t="s">
        <v>227</v>
      </c>
      <c r="C565" s="203" t="s">
        <v>10</v>
      </c>
      <c r="D565" s="203" t="s">
        <v>9</v>
      </c>
      <c r="E565" s="203" t="s">
        <v>227</v>
      </c>
      <c r="F565" s="203" t="s">
        <v>10</v>
      </c>
      <c r="G565" s="203" t="s">
        <v>9</v>
      </c>
      <c r="H565" s="203" t="s">
        <v>227</v>
      </c>
      <c r="I565" s="203" t="s">
        <v>10</v>
      </c>
      <c r="J565" s="203" t="s">
        <v>9</v>
      </c>
      <c r="K565" s="203" t="s">
        <v>227</v>
      </c>
      <c r="L565" s="203" t="s">
        <v>10</v>
      </c>
      <c r="M565" s="203" t="s">
        <v>9</v>
      </c>
      <c r="N565" s="481"/>
      <c r="O565" s="282" t="s">
        <v>100</v>
      </c>
    </row>
    <row r="566" spans="2:15" ht="18.75" customHeight="1" thickBot="1" x14ac:dyDescent="0.25">
      <c r="B566" s="342">
        <f>SUM(C566:D566)</f>
        <v>62</v>
      </c>
      <c r="C566" s="342">
        <f>L566+I566+F566</f>
        <v>0</v>
      </c>
      <c r="D566" s="342">
        <f>M566+J566+G566</f>
        <v>62</v>
      </c>
      <c r="E566" s="342">
        <f>SUM(F566:G566)</f>
        <v>20</v>
      </c>
      <c r="F566" s="342">
        <v>0</v>
      </c>
      <c r="G566" s="342">
        <v>20</v>
      </c>
      <c r="H566" s="342">
        <f>SUM(I566:J566)</f>
        <v>11</v>
      </c>
      <c r="I566" s="342">
        <v>0</v>
      </c>
      <c r="J566" s="342">
        <v>11</v>
      </c>
      <c r="K566" s="342">
        <f>SUM(L566:M566)</f>
        <v>31</v>
      </c>
      <c r="L566" s="342">
        <v>0</v>
      </c>
      <c r="M566" s="342">
        <v>31</v>
      </c>
      <c r="N566" s="203" t="s">
        <v>146</v>
      </c>
      <c r="O566" s="306"/>
    </row>
    <row r="567" spans="2:15" ht="18.75" customHeight="1" thickBot="1" x14ac:dyDescent="0.25">
      <c r="B567" s="342">
        <f>SUM(C567:D567)</f>
        <v>58</v>
      </c>
      <c r="C567" s="342">
        <f t="shared" ref="C567:D627" si="195">L567+I567+F567</f>
        <v>0</v>
      </c>
      <c r="D567" s="342">
        <f t="shared" si="195"/>
        <v>58</v>
      </c>
      <c r="E567" s="342">
        <f>SUM(F567:G567)</f>
        <v>16</v>
      </c>
      <c r="F567" s="342">
        <v>0</v>
      </c>
      <c r="G567" s="342">
        <v>16</v>
      </c>
      <c r="H567" s="342">
        <f>SUM(I567:J567)</f>
        <v>9</v>
      </c>
      <c r="I567" s="342">
        <v>0</v>
      </c>
      <c r="J567" s="342">
        <v>9</v>
      </c>
      <c r="K567" s="342">
        <f>SUM(L567:M567)</f>
        <v>33</v>
      </c>
      <c r="L567" s="342">
        <v>0</v>
      </c>
      <c r="M567" s="342">
        <v>33</v>
      </c>
      <c r="N567" s="203" t="s">
        <v>145</v>
      </c>
      <c r="O567" s="306" t="s">
        <v>469</v>
      </c>
    </row>
    <row r="568" spans="2:15" ht="18.75" customHeight="1" thickBot="1" x14ac:dyDescent="0.25">
      <c r="B568" s="342">
        <f t="shared" ref="B568:L568" si="196">SUM(B566:B567)</f>
        <v>120</v>
      </c>
      <c r="C568" s="342">
        <f t="shared" si="196"/>
        <v>0</v>
      </c>
      <c r="D568" s="342">
        <f t="shared" si="196"/>
        <v>120</v>
      </c>
      <c r="E568" s="342">
        <f t="shared" si="196"/>
        <v>36</v>
      </c>
      <c r="F568" s="342">
        <f t="shared" si="196"/>
        <v>0</v>
      </c>
      <c r="G568" s="342">
        <f t="shared" si="196"/>
        <v>36</v>
      </c>
      <c r="H568" s="342">
        <f t="shared" si="196"/>
        <v>20</v>
      </c>
      <c r="I568" s="342">
        <f t="shared" si="196"/>
        <v>0</v>
      </c>
      <c r="J568" s="342">
        <f t="shared" si="196"/>
        <v>20</v>
      </c>
      <c r="K568" s="342">
        <f t="shared" si="196"/>
        <v>64</v>
      </c>
      <c r="L568" s="342">
        <f t="shared" si="196"/>
        <v>0</v>
      </c>
      <c r="M568" s="342">
        <f>SUM(M566:M567)</f>
        <v>64</v>
      </c>
      <c r="N568" s="203" t="s">
        <v>12</v>
      </c>
      <c r="O568" s="307"/>
    </row>
    <row r="569" spans="2:15" ht="18.75" customHeight="1" thickBot="1" x14ac:dyDescent="0.25">
      <c r="B569" s="342">
        <f>SUM(C569:D569)</f>
        <v>210</v>
      </c>
      <c r="C569" s="342">
        <f t="shared" si="195"/>
        <v>0</v>
      </c>
      <c r="D569" s="342">
        <f t="shared" si="195"/>
        <v>210</v>
      </c>
      <c r="E569" s="342">
        <f>SUM(F569:G569)</f>
        <v>95</v>
      </c>
      <c r="F569" s="342">
        <v>0</v>
      </c>
      <c r="G569" s="342">
        <v>95</v>
      </c>
      <c r="H569" s="342">
        <f>SUM(I569:J569)</f>
        <v>10</v>
      </c>
      <c r="I569" s="342">
        <v>0</v>
      </c>
      <c r="J569" s="342">
        <v>10</v>
      </c>
      <c r="K569" s="342">
        <f>SUM(L569:M569)</f>
        <v>105</v>
      </c>
      <c r="L569" s="342">
        <v>0</v>
      </c>
      <c r="M569" s="342">
        <v>105</v>
      </c>
      <c r="N569" s="203" t="s">
        <v>146</v>
      </c>
      <c r="O569" s="306"/>
    </row>
    <row r="570" spans="2:15" ht="18.75" customHeight="1" thickBot="1" x14ac:dyDescent="0.25">
      <c r="B570" s="342">
        <f>SUM(C570:D570)</f>
        <v>7</v>
      </c>
      <c r="C570" s="342">
        <f t="shared" si="195"/>
        <v>0</v>
      </c>
      <c r="D570" s="342">
        <f t="shared" si="195"/>
        <v>7</v>
      </c>
      <c r="E570" s="342">
        <f>SUM(F570:G570)</f>
        <v>1</v>
      </c>
      <c r="F570" s="342">
        <v>0</v>
      </c>
      <c r="G570" s="342">
        <v>1</v>
      </c>
      <c r="H570" s="342">
        <f>SUM(I570:J570)</f>
        <v>1</v>
      </c>
      <c r="I570" s="342">
        <v>0</v>
      </c>
      <c r="J570" s="342">
        <v>1</v>
      </c>
      <c r="K570" s="342">
        <f>SUM(L570:M570)</f>
        <v>5</v>
      </c>
      <c r="L570" s="342">
        <v>0</v>
      </c>
      <c r="M570" s="342">
        <v>5</v>
      </c>
      <c r="N570" s="203" t="s">
        <v>145</v>
      </c>
      <c r="O570" s="306" t="s">
        <v>453</v>
      </c>
    </row>
    <row r="571" spans="2:15" ht="18.75" customHeight="1" thickBot="1" x14ac:dyDescent="0.25">
      <c r="B571" s="342">
        <f t="shared" ref="B571:L571" si="197">SUM(B569:B570)</f>
        <v>217</v>
      </c>
      <c r="C571" s="342">
        <f t="shared" si="197"/>
        <v>0</v>
      </c>
      <c r="D571" s="342">
        <f t="shared" si="197"/>
        <v>217</v>
      </c>
      <c r="E571" s="342">
        <f t="shared" si="197"/>
        <v>96</v>
      </c>
      <c r="F571" s="342">
        <f t="shared" si="197"/>
        <v>0</v>
      </c>
      <c r="G571" s="342">
        <f t="shared" si="197"/>
        <v>96</v>
      </c>
      <c r="H571" s="342">
        <f t="shared" si="197"/>
        <v>11</v>
      </c>
      <c r="I571" s="342">
        <f t="shared" si="197"/>
        <v>0</v>
      </c>
      <c r="J571" s="342">
        <f t="shared" si="197"/>
        <v>11</v>
      </c>
      <c r="K571" s="342">
        <f t="shared" si="197"/>
        <v>110</v>
      </c>
      <c r="L571" s="342">
        <f t="shared" si="197"/>
        <v>0</v>
      </c>
      <c r="M571" s="342">
        <f>SUM(M569:M570)</f>
        <v>110</v>
      </c>
      <c r="N571" s="203" t="s">
        <v>12</v>
      </c>
      <c r="O571" s="307"/>
    </row>
    <row r="572" spans="2:15" ht="18.75" customHeight="1" thickBot="1" x14ac:dyDescent="0.25">
      <c r="B572" s="342">
        <f>SUM(C572:D572)</f>
        <v>133</v>
      </c>
      <c r="C572" s="342">
        <f t="shared" si="195"/>
        <v>1</v>
      </c>
      <c r="D572" s="342">
        <f t="shared" si="195"/>
        <v>132</v>
      </c>
      <c r="E572" s="342">
        <f>SUM(F572:G572)</f>
        <v>48</v>
      </c>
      <c r="F572" s="342">
        <v>0</v>
      </c>
      <c r="G572" s="342">
        <v>48</v>
      </c>
      <c r="H572" s="342">
        <f>SUM(I572:J572)</f>
        <v>5</v>
      </c>
      <c r="I572" s="342">
        <v>1</v>
      </c>
      <c r="J572" s="342">
        <v>4</v>
      </c>
      <c r="K572" s="342">
        <f>SUM(L572:M572)</f>
        <v>80</v>
      </c>
      <c r="L572" s="342">
        <v>0</v>
      </c>
      <c r="M572" s="342">
        <v>80</v>
      </c>
      <c r="N572" s="203" t="s">
        <v>146</v>
      </c>
      <c r="O572" s="306"/>
    </row>
    <row r="573" spans="2:15" ht="18.75" customHeight="1" thickBot="1" x14ac:dyDescent="0.25">
      <c r="B573" s="342">
        <f>SUM(C573:D573)</f>
        <v>39</v>
      </c>
      <c r="C573" s="342">
        <f t="shared" si="195"/>
        <v>0</v>
      </c>
      <c r="D573" s="342">
        <f t="shared" si="195"/>
        <v>39</v>
      </c>
      <c r="E573" s="342">
        <f>SUM(F573:G573)</f>
        <v>1</v>
      </c>
      <c r="F573" s="342">
        <v>0</v>
      </c>
      <c r="G573" s="342">
        <v>1</v>
      </c>
      <c r="H573" s="342">
        <f>SUM(I573:J573)</f>
        <v>7</v>
      </c>
      <c r="I573" s="342">
        <v>0</v>
      </c>
      <c r="J573" s="342">
        <v>7</v>
      </c>
      <c r="K573" s="342">
        <f>SUM(L573:M573)</f>
        <v>31</v>
      </c>
      <c r="L573" s="342">
        <v>0</v>
      </c>
      <c r="M573" s="342">
        <v>31</v>
      </c>
      <c r="N573" s="203" t="s">
        <v>145</v>
      </c>
      <c r="O573" s="306" t="s">
        <v>470</v>
      </c>
    </row>
    <row r="574" spans="2:15" ht="18.75" customHeight="1" thickBot="1" x14ac:dyDescent="0.25">
      <c r="B574" s="342">
        <f t="shared" ref="B574:L574" si="198">SUM(B572:B573)</f>
        <v>172</v>
      </c>
      <c r="C574" s="342">
        <f t="shared" si="198"/>
        <v>1</v>
      </c>
      <c r="D574" s="342">
        <f t="shared" si="198"/>
        <v>171</v>
      </c>
      <c r="E574" s="342">
        <f t="shared" si="198"/>
        <v>49</v>
      </c>
      <c r="F574" s="342">
        <f t="shared" si="198"/>
        <v>0</v>
      </c>
      <c r="G574" s="342">
        <f t="shared" si="198"/>
        <v>49</v>
      </c>
      <c r="H574" s="342">
        <f t="shared" si="198"/>
        <v>12</v>
      </c>
      <c r="I574" s="342">
        <f t="shared" si="198"/>
        <v>1</v>
      </c>
      <c r="J574" s="342">
        <f t="shared" si="198"/>
        <v>11</v>
      </c>
      <c r="K574" s="342">
        <f t="shared" si="198"/>
        <v>111</v>
      </c>
      <c r="L574" s="342">
        <f t="shared" si="198"/>
        <v>0</v>
      </c>
      <c r="M574" s="342">
        <f>SUM(M572:M573)</f>
        <v>111</v>
      </c>
      <c r="N574" s="203" t="s">
        <v>12</v>
      </c>
      <c r="O574" s="307"/>
    </row>
    <row r="575" spans="2:15" ht="18.75" customHeight="1" thickBot="1" x14ac:dyDescent="0.25">
      <c r="B575" s="342">
        <f>SUM(C575:D575)</f>
        <v>172</v>
      </c>
      <c r="C575" s="342">
        <f t="shared" si="195"/>
        <v>85</v>
      </c>
      <c r="D575" s="342">
        <f t="shared" si="195"/>
        <v>87</v>
      </c>
      <c r="E575" s="342">
        <f>SUM(F575:G575)</f>
        <v>123</v>
      </c>
      <c r="F575" s="342">
        <v>73</v>
      </c>
      <c r="G575" s="342">
        <v>50</v>
      </c>
      <c r="H575" s="342">
        <f>SUM(I575:J575)</f>
        <v>10</v>
      </c>
      <c r="I575" s="342">
        <v>10</v>
      </c>
      <c r="J575" s="342">
        <v>0</v>
      </c>
      <c r="K575" s="342">
        <f>SUM(L575:M575)</f>
        <v>39</v>
      </c>
      <c r="L575" s="342">
        <v>2</v>
      </c>
      <c r="M575" s="342">
        <v>37</v>
      </c>
      <c r="N575" s="203" t="s">
        <v>146</v>
      </c>
      <c r="O575" s="306"/>
    </row>
    <row r="576" spans="2:15" ht="18.75" customHeight="1" thickBot="1" x14ac:dyDescent="0.25">
      <c r="B576" s="342">
        <f>SUM(C576:D576)</f>
        <v>209</v>
      </c>
      <c r="C576" s="342">
        <f t="shared" si="195"/>
        <v>88</v>
      </c>
      <c r="D576" s="342">
        <f t="shared" si="195"/>
        <v>121</v>
      </c>
      <c r="E576" s="342">
        <f>SUM(F576:G576)</f>
        <v>31</v>
      </c>
      <c r="F576" s="342">
        <v>15</v>
      </c>
      <c r="G576" s="342">
        <v>16</v>
      </c>
      <c r="H576" s="342">
        <f>SUM(I576:J576)</f>
        <v>53</v>
      </c>
      <c r="I576" s="342">
        <v>28</v>
      </c>
      <c r="J576" s="342">
        <v>25</v>
      </c>
      <c r="K576" s="342">
        <f>SUM(L576:M576)</f>
        <v>125</v>
      </c>
      <c r="L576" s="342">
        <v>45</v>
      </c>
      <c r="M576" s="342">
        <v>80</v>
      </c>
      <c r="N576" s="203" t="s">
        <v>145</v>
      </c>
      <c r="O576" s="306" t="s">
        <v>402</v>
      </c>
    </row>
    <row r="577" spans="2:15" ht="18.75" customHeight="1" thickBot="1" x14ac:dyDescent="0.25">
      <c r="B577" s="342">
        <f t="shared" ref="B577:L577" si="199">SUM(B575:B576)</f>
        <v>381</v>
      </c>
      <c r="C577" s="342">
        <f t="shared" si="199"/>
        <v>173</v>
      </c>
      <c r="D577" s="342">
        <f t="shared" si="199"/>
        <v>208</v>
      </c>
      <c r="E577" s="342">
        <f t="shared" si="199"/>
        <v>154</v>
      </c>
      <c r="F577" s="342">
        <f t="shared" si="199"/>
        <v>88</v>
      </c>
      <c r="G577" s="342">
        <f t="shared" si="199"/>
        <v>66</v>
      </c>
      <c r="H577" s="342">
        <f t="shared" si="199"/>
        <v>63</v>
      </c>
      <c r="I577" s="342">
        <f t="shared" si="199"/>
        <v>38</v>
      </c>
      <c r="J577" s="342">
        <f t="shared" si="199"/>
        <v>25</v>
      </c>
      <c r="K577" s="342">
        <f t="shared" si="199"/>
        <v>164</v>
      </c>
      <c r="L577" s="342">
        <f t="shared" si="199"/>
        <v>47</v>
      </c>
      <c r="M577" s="342">
        <f>SUM(M575:M576)</f>
        <v>117</v>
      </c>
      <c r="N577" s="203" t="s">
        <v>12</v>
      </c>
      <c r="O577" s="307"/>
    </row>
    <row r="578" spans="2:15" ht="18.75" customHeight="1" thickBot="1" x14ac:dyDescent="0.25">
      <c r="B578" s="342">
        <f>SUM(C578:D578)</f>
        <v>43</v>
      </c>
      <c r="C578" s="342">
        <f t="shared" si="195"/>
        <v>0</v>
      </c>
      <c r="D578" s="342">
        <f t="shared" si="195"/>
        <v>43</v>
      </c>
      <c r="E578" s="342">
        <f>SUM(F578:G578)</f>
        <v>8</v>
      </c>
      <c r="F578" s="342">
        <v>0</v>
      </c>
      <c r="G578" s="342">
        <v>8</v>
      </c>
      <c r="H578" s="342">
        <f>SUM(I578:J578)</f>
        <v>2</v>
      </c>
      <c r="I578" s="342">
        <v>0</v>
      </c>
      <c r="J578" s="342">
        <v>2</v>
      </c>
      <c r="K578" s="342">
        <f>SUM(L578:M578)</f>
        <v>33</v>
      </c>
      <c r="L578" s="342">
        <v>0</v>
      </c>
      <c r="M578" s="342">
        <v>33</v>
      </c>
      <c r="N578" s="203" t="s">
        <v>146</v>
      </c>
      <c r="O578" s="306"/>
    </row>
    <row r="579" spans="2:15" ht="18.75" customHeight="1" thickBot="1" x14ac:dyDescent="0.25">
      <c r="B579" s="342">
        <f>SUM(C579:D579)</f>
        <v>49</v>
      </c>
      <c r="C579" s="342">
        <f t="shared" si="195"/>
        <v>0</v>
      </c>
      <c r="D579" s="342">
        <f t="shared" si="195"/>
        <v>49</v>
      </c>
      <c r="E579" s="342">
        <f>SUM(F579:G579)</f>
        <v>11.999999999999998</v>
      </c>
      <c r="F579" s="342">
        <v>0</v>
      </c>
      <c r="G579" s="342">
        <v>11.999999999999998</v>
      </c>
      <c r="H579" s="342">
        <f>SUM(I579:J579)</f>
        <v>0</v>
      </c>
      <c r="I579" s="342">
        <v>0</v>
      </c>
      <c r="J579" s="342">
        <v>0</v>
      </c>
      <c r="K579" s="342">
        <f>SUM(L579:M579)</f>
        <v>37</v>
      </c>
      <c r="L579" s="342">
        <v>0</v>
      </c>
      <c r="M579" s="342">
        <v>37</v>
      </c>
      <c r="N579" s="203" t="s">
        <v>145</v>
      </c>
      <c r="O579" s="306" t="s">
        <v>472</v>
      </c>
    </row>
    <row r="580" spans="2:15" ht="18.75" customHeight="1" thickBot="1" x14ac:dyDescent="0.25">
      <c r="B580" s="342">
        <f t="shared" ref="B580:L580" si="200">SUM(B578:B579)</f>
        <v>92</v>
      </c>
      <c r="C580" s="342">
        <f t="shared" si="200"/>
        <v>0</v>
      </c>
      <c r="D580" s="342">
        <f t="shared" si="200"/>
        <v>92</v>
      </c>
      <c r="E580" s="342">
        <f t="shared" si="200"/>
        <v>20</v>
      </c>
      <c r="F580" s="342">
        <f t="shared" si="200"/>
        <v>0</v>
      </c>
      <c r="G580" s="342">
        <f t="shared" si="200"/>
        <v>20</v>
      </c>
      <c r="H580" s="342">
        <f t="shared" si="200"/>
        <v>2</v>
      </c>
      <c r="I580" s="342">
        <f t="shared" si="200"/>
        <v>0</v>
      </c>
      <c r="J580" s="342">
        <f t="shared" si="200"/>
        <v>2</v>
      </c>
      <c r="K580" s="342">
        <f t="shared" si="200"/>
        <v>70</v>
      </c>
      <c r="L580" s="342">
        <f t="shared" si="200"/>
        <v>0</v>
      </c>
      <c r="M580" s="342">
        <f>SUM(M578:M579)</f>
        <v>70</v>
      </c>
      <c r="N580" s="203" t="s">
        <v>12</v>
      </c>
      <c r="O580" s="307"/>
    </row>
    <row r="581" spans="2:15" ht="18.75" customHeight="1" thickBot="1" x14ac:dyDescent="0.25">
      <c r="B581" s="342">
        <f>SUM(C581:D581)</f>
        <v>35</v>
      </c>
      <c r="C581" s="342">
        <f t="shared" si="195"/>
        <v>5</v>
      </c>
      <c r="D581" s="342">
        <f t="shared" si="195"/>
        <v>30</v>
      </c>
      <c r="E581" s="342">
        <f>SUM(F581:G581)</f>
        <v>27</v>
      </c>
      <c r="F581" s="342">
        <v>5</v>
      </c>
      <c r="G581" s="342">
        <v>22</v>
      </c>
      <c r="H581" s="342">
        <f>SUM(I581:J581)</f>
        <v>0</v>
      </c>
      <c r="I581" s="342">
        <v>0</v>
      </c>
      <c r="J581" s="342">
        <v>0</v>
      </c>
      <c r="K581" s="342">
        <f>SUM(L581:M581)</f>
        <v>8</v>
      </c>
      <c r="L581" s="342">
        <v>0</v>
      </c>
      <c r="M581" s="342">
        <v>8</v>
      </c>
      <c r="N581" s="203" t="s">
        <v>146</v>
      </c>
      <c r="O581" s="306"/>
    </row>
    <row r="582" spans="2:15" ht="18.75" customHeight="1" thickBot="1" x14ac:dyDescent="0.25">
      <c r="B582" s="342">
        <f>SUM(C582:D582)</f>
        <v>71</v>
      </c>
      <c r="C582" s="342">
        <f t="shared" si="195"/>
        <v>21</v>
      </c>
      <c r="D582" s="342">
        <f t="shared" si="195"/>
        <v>50</v>
      </c>
      <c r="E582" s="342">
        <f>SUM(F582:G582)</f>
        <v>0</v>
      </c>
      <c r="F582" s="342">
        <v>0</v>
      </c>
      <c r="G582" s="342">
        <v>0</v>
      </c>
      <c r="H582" s="342">
        <f>SUM(I582:J582)</f>
        <v>0</v>
      </c>
      <c r="I582" s="342">
        <v>0</v>
      </c>
      <c r="J582" s="342">
        <v>0</v>
      </c>
      <c r="K582" s="342">
        <f>SUM(L582:M582)</f>
        <v>71</v>
      </c>
      <c r="L582" s="342">
        <v>21</v>
      </c>
      <c r="M582" s="342">
        <v>50</v>
      </c>
      <c r="N582" s="203" t="s">
        <v>145</v>
      </c>
      <c r="O582" s="306" t="s">
        <v>417</v>
      </c>
    </row>
    <row r="583" spans="2:15" ht="18.75" customHeight="1" thickBot="1" x14ac:dyDescent="0.25">
      <c r="B583" s="342">
        <f t="shared" ref="B583:L583" si="201">SUM(B581:B582)</f>
        <v>106</v>
      </c>
      <c r="C583" s="342">
        <f t="shared" si="201"/>
        <v>26</v>
      </c>
      <c r="D583" s="342">
        <f t="shared" si="201"/>
        <v>80</v>
      </c>
      <c r="E583" s="342">
        <f t="shared" si="201"/>
        <v>27</v>
      </c>
      <c r="F583" s="342">
        <f t="shared" si="201"/>
        <v>5</v>
      </c>
      <c r="G583" s="342">
        <f t="shared" si="201"/>
        <v>22</v>
      </c>
      <c r="H583" s="342">
        <f t="shared" si="201"/>
        <v>0</v>
      </c>
      <c r="I583" s="342">
        <f t="shared" si="201"/>
        <v>0</v>
      </c>
      <c r="J583" s="342">
        <f t="shared" si="201"/>
        <v>0</v>
      </c>
      <c r="K583" s="342">
        <f t="shared" si="201"/>
        <v>79</v>
      </c>
      <c r="L583" s="342">
        <f t="shared" si="201"/>
        <v>21</v>
      </c>
      <c r="M583" s="342">
        <f>SUM(M581:M582)</f>
        <v>58</v>
      </c>
      <c r="N583" s="203" t="s">
        <v>12</v>
      </c>
      <c r="O583" s="307"/>
    </row>
    <row r="584" spans="2:15" ht="18.75" customHeight="1" thickBot="1" x14ac:dyDescent="0.25">
      <c r="B584" s="342">
        <f>SUM(C584:D584)</f>
        <v>8</v>
      </c>
      <c r="C584" s="342">
        <f t="shared" si="195"/>
        <v>0</v>
      </c>
      <c r="D584" s="342">
        <f t="shared" si="195"/>
        <v>8</v>
      </c>
      <c r="E584" s="342">
        <f>SUM(F584:G584)</f>
        <v>2</v>
      </c>
      <c r="F584" s="342">
        <v>0</v>
      </c>
      <c r="G584" s="342">
        <v>2</v>
      </c>
      <c r="H584" s="342">
        <f>SUM(I584:J584)</f>
        <v>0</v>
      </c>
      <c r="I584" s="342">
        <v>0</v>
      </c>
      <c r="J584" s="342">
        <v>0</v>
      </c>
      <c r="K584" s="342">
        <f>SUM(L584:M584)</f>
        <v>6</v>
      </c>
      <c r="L584" s="342">
        <v>0</v>
      </c>
      <c r="M584" s="342">
        <v>6</v>
      </c>
      <c r="N584" s="203" t="s">
        <v>146</v>
      </c>
      <c r="O584" s="306"/>
    </row>
    <row r="585" spans="2:15" ht="18.75" customHeight="1" thickBot="1" x14ac:dyDescent="0.25">
      <c r="B585" s="342">
        <f>SUM(C585:D585)</f>
        <v>42</v>
      </c>
      <c r="C585" s="342">
        <f t="shared" si="195"/>
        <v>0</v>
      </c>
      <c r="D585" s="342">
        <f t="shared" si="195"/>
        <v>42</v>
      </c>
      <c r="E585" s="342">
        <f>SUM(F585:G585)</f>
        <v>1</v>
      </c>
      <c r="F585" s="342">
        <v>0</v>
      </c>
      <c r="G585" s="342">
        <v>1</v>
      </c>
      <c r="H585" s="342">
        <f>SUM(I585:J585)</f>
        <v>1</v>
      </c>
      <c r="I585" s="342">
        <v>0</v>
      </c>
      <c r="J585" s="342">
        <v>1</v>
      </c>
      <c r="K585" s="342">
        <f>SUM(L585:M585)</f>
        <v>40</v>
      </c>
      <c r="L585" s="342">
        <v>0</v>
      </c>
      <c r="M585" s="342">
        <v>40</v>
      </c>
      <c r="N585" s="203" t="s">
        <v>145</v>
      </c>
      <c r="O585" s="306" t="s">
        <v>454</v>
      </c>
    </row>
    <row r="586" spans="2:15" ht="18.75" customHeight="1" thickBot="1" x14ac:dyDescent="0.25">
      <c r="B586" s="342">
        <f t="shared" ref="B586:L586" si="202">SUM(B584:B585)</f>
        <v>50</v>
      </c>
      <c r="C586" s="342">
        <f t="shared" si="202"/>
        <v>0</v>
      </c>
      <c r="D586" s="342">
        <f t="shared" si="202"/>
        <v>50</v>
      </c>
      <c r="E586" s="342">
        <f t="shared" si="202"/>
        <v>3</v>
      </c>
      <c r="F586" s="342">
        <f t="shared" si="202"/>
        <v>0</v>
      </c>
      <c r="G586" s="342">
        <f t="shared" si="202"/>
        <v>3</v>
      </c>
      <c r="H586" s="342">
        <f t="shared" si="202"/>
        <v>1</v>
      </c>
      <c r="I586" s="342">
        <f t="shared" si="202"/>
        <v>0</v>
      </c>
      <c r="J586" s="342">
        <f t="shared" si="202"/>
        <v>1</v>
      </c>
      <c r="K586" s="342">
        <f t="shared" si="202"/>
        <v>46</v>
      </c>
      <c r="L586" s="342">
        <f t="shared" si="202"/>
        <v>0</v>
      </c>
      <c r="M586" s="342">
        <f>SUM(M584:M585)</f>
        <v>46</v>
      </c>
      <c r="N586" s="203" t="s">
        <v>12</v>
      </c>
      <c r="O586" s="307"/>
    </row>
    <row r="587" spans="2:15" ht="18.75" customHeight="1" thickBot="1" x14ac:dyDescent="0.25">
      <c r="B587" s="342">
        <f>SUM(C587:D587)</f>
        <v>9</v>
      </c>
      <c r="C587" s="342">
        <f t="shared" si="195"/>
        <v>1</v>
      </c>
      <c r="D587" s="342">
        <f t="shared" si="195"/>
        <v>8</v>
      </c>
      <c r="E587" s="342">
        <f>SUM(F587:G587)</f>
        <v>5</v>
      </c>
      <c r="F587" s="342">
        <v>1</v>
      </c>
      <c r="G587" s="342">
        <v>4</v>
      </c>
      <c r="H587" s="342">
        <f>SUM(I587:J587)</f>
        <v>1</v>
      </c>
      <c r="I587" s="342">
        <v>0</v>
      </c>
      <c r="J587" s="342">
        <v>1</v>
      </c>
      <c r="K587" s="342">
        <f>SUM(L587:M587)</f>
        <v>3</v>
      </c>
      <c r="L587" s="342">
        <v>0</v>
      </c>
      <c r="M587" s="342">
        <v>3</v>
      </c>
      <c r="N587" s="203" t="s">
        <v>146</v>
      </c>
      <c r="O587" s="306"/>
    </row>
    <row r="588" spans="2:15" ht="18.75" customHeight="1" thickBot="1" x14ac:dyDescent="0.25">
      <c r="B588" s="342">
        <f>SUM(C588:D588)</f>
        <v>42</v>
      </c>
      <c r="C588" s="342">
        <f t="shared" si="195"/>
        <v>4</v>
      </c>
      <c r="D588" s="342">
        <f t="shared" si="195"/>
        <v>38</v>
      </c>
      <c r="E588" s="342">
        <f>SUM(F588:G588)</f>
        <v>8</v>
      </c>
      <c r="F588" s="342">
        <v>0</v>
      </c>
      <c r="G588" s="342">
        <v>8</v>
      </c>
      <c r="H588" s="342">
        <f>SUM(I588:J588)</f>
        <v>2</v>
      </c>
      <c r="I588" s="342">
        <v>1</v>
      </c>
      <c r="J588" s="342">
        <v>1</v>
      </c>
      <c r="K588" s="342">
        <f>SUM(L588:M588)</f>
        <v>32</v>
      </c>
      <c r="L588" s="342">
        <v>3</v>
      </c>
      <c r="M588" s="342">
        <v>29</v>
      </c>
      <c r="N588" s="203" t="s">
        <v>145</v>
      </c>
      <c r="O588" s="306" t="s">
        <v>367</v>
      </c>
    </row>
    <row r="589" spans="2:15" ht="18.75" customHeight="1" thickBot="1" x14ac:dyDescent="0.25">
      <c r="B589" s="342">
        <f t="shared" ref="B589:L589" si="203">SUM(B587:B588)</f>
        <v>51</v>
      </c>
      <c r="C589" s="342">
        <f t="shared" si="203"/>
        <v>5</v>
      </c>
      <c r="D589" s="342">
        <f t="shared" si="203"/>
        <v>46</v>
      </c>
      <c r="E589" s="342">
        <f t="shared" si="203"/>
        <v>13</v>
      </c>
      <c r="F589" s="342">
        <f t="shared" si="203"/>
        <v>1</v>
      </c>
      <c r="G589" s="342">
        <f t="shared" si="203"/>
        <v>12</v>
      </c>
      <c r="H589" s="342">
        <f t="shared" si="203"/>
        <v>3</v>
      </c>
      <c r="I589" s="342">
        <f t="shared" si="203"/>
        <v>1</v>
      </c>
      <c r="J589" s="342">
        <f t="shared" si="203"/>
        <v>2</v>
      </c>
      <c r="K589" s="342">
        <f t="shared" si="203"/>
        <v>35</v>
      </c>
      <c r="L589" s="342">
        <f t="shared" si="203"/>
        <v>3</v>
      </c>
      <c r="M589" s="342">
        <f>SUM(M587:M588)</f>
        <v>32</v>
      </c>
      <c r="N589" s="203" t="s">
        <v>12</v>
      </c>
      <c r="O589" s="307"/>
    </row>
    <row r="590" spans="2:15" ht="18.75" customHeight="1" thickBot="1" x14ac:dyDescent="0.25">
      <c r="B590" s="342">
        <f>SUM(C590:D590)</f>
        <v>4</v>
      </c>
      <c r="C590" s="342">
        <f t="shared" si="195"/>
        <v>0</v>
      </c>
      <c r="D590" s="342">
        <f t="shared" si="195"/>
        <v>4</v>
      </c>
      <c r="E590" s="342">
        <f>SUM(F590:G590)</f>
        <v>2</v>
      </c>
      <c r="F590" s="342">
        <v>0</v>
      </c>
      <c r="G590" s="342">
        <v>2</v>
      </c>
      <c r="H590" s="342">
        <f>SUM(I590:J590)</f>
        <v>1</v>
      </c>
      <c r="I590" s="342">
        <v>0</v>
      </c>
      <c r="J590" s="342">
        <v>1</v>
      </c>
      <c r="K590" s="342">
        <f>SUM(L590:M590)</f>
        <v>1</v>
      </c>
      <c r="L590" s="342">
        <v>0</v>
      </c>
      <c r="M590" s="342">
        <v>1</v>
      </c>
      <c r="N590" s="203" t="s">
        <v>146</v>
      </c>
      <c r="O590" s="306"/>
    </row>
    <row r="591" spans="2:15" ht="18.75" customHeight="1" thickBot="1" x14ac:dyDescent="0.25">
      <c r="B591" s="342">
        <f>SUM(C591:D591)</f>
        <v>27</v>
      </c>
      <c r="C591" s="342">
        <f t="shared" si="195"/>
        <v>0</v>
      </c>
      <c r="D591" s="342">
        <f t="shared" si="195"/>
        <v>27</v>
      </c>
      <c r="E591" s="342">
        <f>SUM(F591:G591)</f>
        <v>0</v>
      </c>
      <c r="F591" s="342">
        <v>0</v>
      </c>
      <c r="G591" s="342">
        <v>0</v>
      </c>
      <c r="H591" s="342">
        <f>SUM(I591:J591)</f>
        <v>6</v>
      </c>
      <c r="I591" s="342">
        <v>0</v>
      </c>
      <c r="J591" s="342">
        <v>6</v>
      </c>
      <c r="K591" s="342">
        <f>SUM(L591:M591)</f>
        <v>21</v>
      </c>
      <c r="L591" s="342">
        <v>0</v>
      </c>
      <c r="M591" s="342">
        <v>21</v>
      </c>
      <c r="N591" s="203" t="s">
        <v>145</v>
      </c>
      <c r="O591" s="306" t="s">
        <v>473</v>
      </c>
    </row>
    <row r="592" spans="2:15" ht="18.75" customHeight="1" thickBot="1" x14ac:dyDescent="0.25">
      <c r="B592" s="342">
        <f t="shared" ref="B592:L592" si="204">SUM(B590:B591)</f>
        <v>31</v>
      </c>
      <c r="C592" s="342">
        <f t="shared" si="204"/>
        <v>0</v>
      </c>
      <c r="D592" s="342">
        <f t="shared" si="204"/>
        <v>31</v>
      </c>
      <c r="E592" s="342">
        <f t="shared" si="204"/>
        <v>2</v>
      </c>
      <c r="F592" s="342">
        <f t="shared" si="204"/>
        <v>0</v>
      </c>
      <c r="G592" s="342">
        <f t="shared" si="204"/>
        <v>2</v>
      </c>
      <c r="H592" s="342">
        <f t="shared" si="204"/>
        <v>7</v>
      </c>
      <c r="I592" s="342">
        <f t="shared" si="204"/>
        <v>0</v>
      </c>
      <c r="J592" s="342">
        <f t="shared" si="204"/>
        <v>7</v>
      </c>
      <c r="K592" s="342">
        <f t="shared" si="204"/>
        <v>22</v>
      </c>
      <c r="L592" s="342">
        <f t="shared" si="204"/>
        <v>0</v>
      </c>
      <c r="M592" s="342">
        <f>SUM(M590:M591)</f>
        <v>22</v>
      </c>
      <c r="N592" s="203" t="s">
        <v>12</v>
      </c>
      <c r="O592" s="307"/>
    </row>
    <row r="593" spans="2:15" ht="18.75" customHeight="1" thickBot="1" x14ac:dyDescent="0.25">
      <c r="B593" s="342">
        <f>SUM(C593:D593)</f>
        <v>5</v>
      </c>
      <c r="C593" s="342">
        <f t="shared" si="195"/>
        <v>0</v>
      </c>
      <c r="D593" s="342">
        <f t="shared" si="195"/>
        <v>5</v>
      </c>
      <c r="E593" s="342">
        <f>SUM(F593:G593)</f>
        <v>3</v>
      </c>
      <c r="F593" s="342">
        <v>0</v>
      </c>
      <c r="G593" s="342">
        <v>3</v>
      </c>
      <c r="H593" s="342">
        <f>SUM(I593:J593)</f>
        <v>0</v>
      </c>
      <c r="I593" s="342">
        <v>0</v>
      </c>
      <c r="J593" s="342">
        <v>0</v>
      </c>
      <c r="K593" s="342">
        <f>SUM(L593:M593)</f>
        <v>2</v>
      </c>
      <c r="L593" s="342">
        <v>0</v>
      </c>
      <c r="M593" s="342">
        <v>2</v>
      </c>
      <c r="N593" s="203" t="s">
        <v>146</v>
      </c>
      <c r="O593" s="306"/>
    </row>
    <row r="594" spans="2:15" ht="18.75" customHeight="1" thickBot="1" x14ac:dyDescent="0.25">
      <c r="B594" s="342">
        <f>SUM(C594:D594)</f>
        <v>25</v>
      </c>
      <c r="C594" s="342">
        <f t="shared" si="195"/>
        <v>0</v>
      </c>
      <c r="D594" s="342">
        <f t="shared" si="195"/>
        <v>25</v>
      </c>
      <c r="E594" s="342">
        <f>SUM(F594:G594)</f>
        <v>0</v>
      </c>
      <c r="F594" s="342">
        <v>0</v>
      </c>
      <c r="G594" s="342">
        <v>0</v>
      </c>
      <c r="H594" s="342">
        <f>SUM(I594:J594)</f>
        <v>0</v>
      </c>
      <c r="I594" s="342">
        <v>0</v>
      </c>
      <c r="J594" s="342">
        <v>0</v>
      </c>
      <c r="K594" s="342">
        <f>SUM(L594:M594)</f>
        <v>25</v>
      </c>
      <c r="L594" s="342">
        <v>0</v>
      </c>
      <c r="M594" s="342">
        <v>25</v>
      </c>
      <c r="N594" s="203" t="s">
        <v>145</v>
      </c>
      <c r="O594" s="306" t="s">
        <v>769</v>
      </c>
    </row>
    <row r="595" spans="2:15" ht="18.75" customHeight="1" thickBot="1" x14ac:dyDescent="0.25">
      <c r="B595" s="342">
        <f t="shared" ref="B595:L595" si="205">SUM(B593:B594)</f>
        <v>30</v>
      </c>
      <c r="C595" s="342">
        <f t="shared" si="205"/>
        <v>0</v>
      </c>
      <c r="D595" s="342">
        <f t="shared" si="205"/>
        <v>30</v>
      </c>
      <c r="E595" s="342">
        <f t="shared" si="205"/>
        <v>3</v>
      </c>
      <c r="F595" s="342">
        <f t="shared" si="205"/>
        <v>0</v>
      </c>
      <c r="G595" s="342">
        <f t="shared" si="205"/>
        <v>3</v>
      </c>
      <c r="H595" s="342">
        <f t="shared" si="205"/>
        <v>0</v>
      </c>
      <c r="I595" s="342">
        <f t="shared" si="205"/>
        <v>0</v>
      </c>
      <c r="J595" s="342">
        <f t="shared" si="205"/>
        <v>0</v>
      </c>
      <c r="K595" s="342">
        <f t="shared" si="205"/>
        <v>27</v>
      </c>
      <c r="L595" s="342">
        <f t="shared" si="205"/>
        <v>0</v>
      </c>
      <c r="M595" s="342">
        <f>SUM(M593:M594)</f>
        <v>27</v>
      </c>
      <c r="N595" s="203" t="s">
        <v>12</v>
      </c>
      <c r="O595" s="307"/>
    </row>
    <row r="596" spans="2:15" ht="18.75" customHeight="1" thickBot="1" x14ac:dyDescent="0.25">
      <c r="B596" s="342">
        <f>SUM(C596:D596)</f>
        <v>8</v>
      </c>
      <c r="C596" s="342">
        <f t="shared" si="195"/>
        <v>0</v>
      </c>
      <c r="D596" s="342">
        <f t="shared" si="195"/>
        <v>8</v>
      </c>
      <c r="E596" s="342">
        <f>SUM(F596:G596)</f>
        <v>3</v>
      </c>
      <c r="F596" s="342">
        <v>0</v>
      </c>
      <c r="G596" s="342">
        <v>3</v>
      </c>
      <c r="H596" s="342">
        <f>SUM(I596:J596)</f>
        <v>0</v>
      </c>
      <c r="I596" s="342">
        <v>0</v>
      </c>
      <c r="J596" s="342">
        <v>0</v>
      </c>
      <c r="K596" s="342">
        <f>SUM(L596:M596)</f>
        <v>5</v>
      </c>
      <c r="L596" s="342">
        <v>0</v>
      </c>
      <c r="M596" s="342">
        <v>5</v>
      </c>
      <c r="N596" s="203" t="s">
        <v>146</v>
      </c>
      <c r="O596" s="306"/>
    </row>
    <row r="597" spans="2:15" ht="18.75" customHeight="1" thickBot="1" x14ac:dyDescent="0.25">
      <c r="B597" s="342">
        <f>SUM(C597:D597)</f>
        <v>11</v>
      </c>
      <c r="C597" s="342">
        <f t="shared" si="195"/>
        <v>0</v>
      </c>
      <c r="D597" s="342">
        <f t="shared" si="195"/>
        <v>11</v>
      </c>
      <c r="E597" s="342">
        <f>SUM(F597:G597)</f>
        <v>0</v>
      </c>
      <c r="F597" s="342">
        <v>0</v>
      </c>
      <c r="G597" s="342">
        <v>0</v>
      </c>
      <c r="H597" s="342">
        <f>SUM(I597:J597)</f>
        <v>0</v>
      </c>
      <c r="I597" s="342">
        <v>0</v>
      </c>
      <c r="J597" s="342">
        <v>0</v>
      </c>
      <c r="K597" s="342">
        <f>SUM(L597:M597)</f>
        <v>11</v>
      </c>
      <c r="L597" s="342">
        <v>0</v>
      </c>
      <c r="M597" s="342">
        <v>11</v>
      </c>
      <c r="N597" s="203" t="s">
        <v>145</v>
      </c>
      <c r="O597" s="306" t="s">
        <v>347</v>
      </c>
    </row>
    <row r="598" spans="2:15" ht="18.75" customHeight="1" thickBot="1" x14ac:dyDescent="0.25">
      <c r="B598" s="342">
        <f t="shared" ref="B598:L598" si="206">SUM(B596:B597)</f>
        <v>19</v>
      </c>
      <c r="C598" s="342">
        <f t="shared" si="206"/>
        <v>0</v>
      </c>
      <c r="D598" s="342">
        <f t="shared" si="206"/>
        <v>19</v>
      </c>
      <c r="E598" s="342">
        <f t="shared" si="206"/>
        <v>3</v>
      </c>
      <c r="F598" s="342">
        <f t="shared" si="206"/>
        <v>0</v>
      </c>
      <c r="G598" s="342">
        <f t="shared" si="206"/>
        <v>3</v>
      </c>
      <c r="H598" s="342">
        <f t="shared" si="206"/>
        <v>0</v>
      </c>
      <c r="I598" s="342">
        <f t="shared" si="206"/>
        <v>0</v>
      </c>
      <c r="J598" s="342">
        <f t="shared" si="206"/>
        <v>0</v>
      </c>
      <c r="K598" s="342">
        <f t="shared" si="206"/>
        <v>16</v>
      </c>
      <c r="L598" s="342">
        <f t="shared" si="206"/>
        <v>0</v>
      </c>
      <c r="M598" s="342">
        <f>SUM(M596:M597)</f>
        <v>16</v>
      </c>
      <c r="N598" s="203" t="s">
        <v>12</v>
      </c>
      <c r="O598" s="307"/>
    </row>
    <row r="599" spans="2:15" ht="18.75" customHeight="1" thickBot="1" x14ac:dyDescent="0.25">
      <c r="B599" s="342">
        <f>SUM(C599:D599)</f>
        <v>4</v>
      </c>
      <c r="C599" s="342">
        <f t="shared" si="195"/>
        <v>0</v>
      </c>
      <c r="D599" s="342">
        <f t="shared" si="195"/>
        <v>4</v>
      </c>
      <c r="E599" s="342">
        <f>SUM(F599:G599)</f>
        <v>2</v>
      </c>
      <c r="F599" s="342">
        <v>0</v>
      </c>
      <c r="G599" s="342">
        <v>2</v>
      </c>
      <c r="H599" s="342">
        <f>SUM(I599:J599)</f>
        <v>1</v>
      </c>
      <c r="I599" s="342">
        <v>0</v>
      </c>
      <c r="J599" s="342">
        <v>1</v>
      </c>
      <c r="K599" s="342">
        <f>SUM(L599:M599)</f>
        <v>1</v>
      </c>
      <c r="L599" s="342">
        <v>0</v>
      </c>
      <c r="M599" s="342">
        <v>1</v>
      </c>
      <c r="N599" s="203" t="s">
        <v>146</v>
      </c>
      <c r="O599" s="306"/>
    </row>
    <row r="600" spans="2:15" ht="18.75" customHeight="1" thickBot="1" x14ac:dyDescent="0.25">
      <c r="B600" s="342">
        <f>SUM(C600:D600)</f>
        <v>6</v>
      </c>
      <c r="C600" s="342">
        <f t="shared" si="195"/>
        <v>0</v>
      </c>
      <c r="D600" s="342">
        <f t="shared" si="195"/>
        <v>6</v>
      </c>
      <c r="E600" s="342">
        <f>SUM(F600:G600)</f>
        <v>0</v>
      </c>
      <c r="F600" s="342">
        <v>0</v>
      </c>
      <c r="G600" s="342">
        <v>0</v>
      </c>
      <c r="H600" s="342">
        <f>SUM(I600:J600)</f>
        <v>2</v>
      </c>
      <c r="I600" s="342">
        <v>0</v>
      </c>
      <c r="J600" s="342">
        <v>2</v>
      </c>
      <c r="K600" s="342">
        <f>SUM(L600:M600)</f>
        <v>4</v>
      </c>
      <c r="L600" s="342">
        <v>0</v>
      </c>
      <c r="M600" s="342">
        <v>4</v>
      </c>
      <c r="N600" s="203" t="s">
        <v>145</v>
      </c>
      <c r="O600" s="306" t="s">
        <v>99</v>
      </c>
    </row>
    <row r="601" spans="2:15" ht="18.75" customHeight="1" thickBot="1" x14ac:dyDescent="0.25">
      <c r="B601" s="342">
        <f t="shared" ref="B601:L601" si="207">SUM(B599:B600)</f>
        <v>10</v>
      </c>
      <c r="C601" s="342">
        <f t="shared" si="207"/>
        <v>0</v>
      </c>
      <c r="D601" s="342">
        <f t="shared" si="207"/>
        <v>10</v>
      </c>
      <c r="E601" s="342">
        <f t="shared" si="207"/>
        <v>2</v>
      </c>
      <c r="F601" s="342">
        <f t="shared" si="207"/>
        <v>0</v>
      </c>
      <c r="G601" s="342">
        <f t="shared" si="207"/>
        <v>2</v>
      </c>
      <c r="H601" s="342">
        <f t="shared" si="207"/>
        <v>3</v>
      </c>
      <c r="I601" s="342">
        <f t="shared" si="207"/>
        <v>0</v>
      </c>
      <c r="J601" s="342">
        <f t="shared" si="207"/>
        <v>3</v>
      </c>
      <c r="K601" s="342">
        <f t="shared" si="207"/>
        <v>5</v>
      </c>
      <c r="L601" s="342">
        <f t="shared" si="207"/>
        <v>0</v>
      </c>
      <c r="M601" s="342">
        <f>SUM(M599:M600)</f>
        <v>5</v>
      </c>
      <c r="N601" s="203" t="s">
        <v>12</v>
      </c>
      <c r="O601" s="307"/>
    </row>
    <row r="602" spans="2:15" ht="18.75" customHeight="1" thickBot="1" x14ac:dyDescent="0.25">
      <c r="B602" s="342">
        <f>SUM(C602:D602)</f>
        <v>54</v>
      </c>
      <c r="C602" s="342">
        <f t="shared" si="195"/>
        <v>53</v>
      </c>
      <c r="D602" s="342">
        <f t="shared" si="195"/>
        <v>1</v>
      </c>
      <c r="E602" s="342">
        <f>SUM(F602:G602)</f>
        <v>15</v>
      </c>
      <c r="F602" s="342">
        <v>15</v>
      </c>
      <c r="G602" s="342">
        <v>0</v>
      </c>
      <c r="H602" s="342">
        <f>SUM(I602:J602)</f>
        <v>22</v>
      </c>
      <c r="I602" s="342">
        <v>22</v>
      </c>
      <c r="J602" s="342">
        <v>0</v>
      </c>
      <c r="K602" s="342">
        <f>SUM(L602:M602)</f>
        <v>17</v>
      </c>
      <c r="L602" s="342">
        <v>16</v>
      </c>
      <c r="M602" s="342">
        <v>1</v>
      </c>
      <c r="N602" s="203" t="s">
        <v>146</v>
      </c>
      <c r="O602" s="306"/>
    </row>
    <row r="603" spans="2:15" ht="18.75" customHeight="1" thickBot="1" x14ac:dyDescent="0.25">
      <c r="B603" s="342">
        <f>SUM(C603:D603)</f>
        <v>33</v>
      </c>
      <c r="C603" s="342">
        <f t="shared" si="195"/>
        <v>20</v>
      </c>
      <c r="D603" s="342">
        <f t="shared" si="195"/>
        <v>13</v>
      </c>
      <c r="E603" s="342">
        <f>SUM(F603:G603)</f>
        <v>0</v>
      </c>
      <c r="F603" s="342">
        <v>0</v>
      </c>
      <c r="G603" s="342">
        <v>0</v>
      </c>
      <c r="H603" s="342">
        <f>SUM(I603:J603)</f>
        <v>8</v>
      </c>
      <c r="I603" s="342">
        <v>6</v>
      </c>
      <c r="J603" s="342">
        <v>2</v>
      </c>
      <c r="K603" s="342">
        <f>SUM(L603:M603)</f>
        <v>25</v>
      </c>
      <c r="L603" s="342">
        <v>14</v>
      </c>
      <c r="M603" s="342">
        <v>11</v>
      </c>
      <c r="N603" s="203" t="s">
        <v>145</v>
      </c>
      <c r="O603" s="306" t="s">
        <v>656</v>
      </c>
    </row>
    <row r="604" spans="2:15" ht="18.75" customHeight="1" thickBot="1" x14ac:dyDescent="0.25">
      <c r="B604" s="342">
        <f t="shared" ref="B604:L604" si="208">SUM(B602:B603)</f>
        <v>87</v>
      </c>
      <c r="C604" s="342">
        <f t="shared" si="208"/>
        <v>73</v>
      </c>
      <c r="D604" s="342">
        <f t="shared" si="208"/>
        <v>14</v>
      </c>
      <c r="E604" s="342">
        <f t="shared" si="208"/>
        <v>15</v>
      </c>
      <c r="F604" s="342">
        <f t="shared" si="208"/>
        <v>15</v>
      </c>
      <c r="G604" s="342">
        <f t="shared" si="208"/>
        <v>0</v>
      </c>
      <c r="H604" s="342">
        <f t="shared" si="208"/>
        <v>30</v>
      </c>
      <c r="I604" s="342">
        <f t="shared" si="208"/>
        <v>28</v>
      </c>
      <c r="J604" s="342">
        <f t="shared" si="208"/>
        <v>2</v>
      </c>
      <c r="K604" s="342">
        <f t="shared" si="208"/>
        <v>42</v>
      </c>
      <c r="L604" s="342">
        <f t="shared" si="208"/>
        <v>30</v>
      </c>
      <c r="M604" s="342">
        <f>SUM(M602:M603)</f>
        <v>12</v>
      </c>
      <c r="N604" s="203" t="s">
        <v>12</v>
      </c>
      <c r="O604" s="307"/>
    </row>
    <row r="605" spans="2:15" ht="18.75" customHeight="1" thickBot="1" x14ac:dyDescent="0.25">
      <c r="B605" s="342">
        <f>SUM(C605:D605)</f>
        <v>45</v>
      </c>
      <c r="C605" s="342">
        <f t="shared" si="195"/>
        <v>45</v>
      </c>
      <c r="D605" s="342">
        <f t="shared" si="195"/>
        <v>0</v>
      </c>
      <c r="E605" s="342">
        <f>SUM(F605:G605)</f>
        <v>28</v>
      </c>
      <c r="F605" s="342">
        <v>28</v>
      </c>
      <c r="G605" s="342">
        <v>0</v>
      </c>
      <c r="H605" s="342">
        <f>SUM(I605:J605)</f>
        <v>6</v>
      </c>
      <c r="I605" s="342">
        <v>6</v>
      </c>
      <c r="J605" s="342">
        <v>0</v>
      </c>
      <c r="K605" s="342">
        <f>SUM(L605:M605)</f>
        <v>11</v>
      </c>
      <c r="L605" s="342">
        <v>11</v>
      </c>
      <c r="M605" s="342">
        <v>0</v>
      </c>
      <c r="N605" s="203" t="s">
        <v>146</v>
      </c>
      <c r="O605" s="306"/>
    </row>
    <row r="606" spans="2:15" ht="18.75" customHeight="1" thickBot="1" x14ac:dyDescent="0.25">
      <c r="B606" s="342">
        <f>SUM(C606:D606)</f>
        <v>37</v>
      </c>
      <c r="C606" s="342">
        <f t="shared" si="195"/>
        <v>31</v>
      </c>
      <c r="D606" s="342">
        <f t="shared" si="195"/>
        <v>6</v>
      </c>
      <c r="E606" s="342">
        <f>SUM(F606:G606)</f>
        <v>1</v>
      </c>
      <c r="F606" s="342">
        <v>0</v>
      </c>
      <c r="G606" s="342">
        <v>1</v>
      </c>
      <c r="H606" s="342">
        <f>SUM(I606:J606)</f>
        <v>4</v>
      </c>
      <c r="I606" s="342">
        <v>3</v>
      </c>
      <c r="J606" s="342">
        <v>1</v>
      </c>
      <c r="K606" s="342">
        <f>SUM(L606:M606)</f>
        <v>32</v>
      </c>
      <c r="L606" s="342">
        <v>28</v>
      </c>
      <c r="M606" s="342">
        <v>4</v>
      </c>
      <c r="N606" s="203" t="s">
        <v>145</v>
      </c>
      <c r="O606" s="306" t="s">
        <v>475</v>
      </c>
    </row>
    <row r="607" spans="2:15" ht="18.75" customHeight="1" thickBot="1" x14ac:dyDescent="0.25">
      <c r="B607" s="342">
        <f t="shared" ref="B607:L607" si="209">SUM(B605:B606)</f>
        <v>82</v>
      </c>
      <c r="C607" s="342">
        <f t="shared" si="209"/>
        <v>76</v>
      </c>
      <c r="D607" s="342">
        <f t="shared" si="209"/>
        <v>6</v>
      </c>
      <c r="E607" s="342">
        <f t="shared" si="209"/>
        <v>29</v>
      </c>
      <c r="F607" s="342">
        <f t="shared" si="209"/>
        <v>28</v>
      </c>
      <c r="G607" s="342">
        <f t="shared" si="209"/>
        <v>1</v>
      </c>
      <c r="H607" s="342">
        <f t="shared" si="209"/>
        <v>10</v>
      </c>
      <c r="I607" s="342">
        <f t="shared" si="209"/>
        <v>9</v>
      </c>
      <c r="J607" s="342">
        <f t="shared" si="209"/>
        <v>1</v>
      </c>
      <c r="K607" s="342">
        <f t="shared" si="209"/>
        <v>43</v>
      </c>
      <c r="L607" s="342">
        <f t="shared" si="209"/>
        <v>39</v>
      </c>
      <c r="M607" s="342">
        <f>SUM(M605:M606)</f>
        <v>4</v>
      </c>
      <c r="N607" s="203" t="s">
        <v>12</v>
      </c>
      <c r="O607" s="307"/>
    </row>
    <row r="608" spans="2:15" ht="18.75" customHeight="1" thickBot="1" x14ac:dyDescent="0.25">
      <c r="B608" s="342">
        <f>SUM(C608:D608)</f>
        <v>38</v>
      </c>
      <c r="C608" s="342">
        <f t="shared" si="195"/>
        <v>38</v>
      </c>
      <c r="D608" s="342">
        <f t="shared" si="195"/>
        <v>0</v>
      </c>
      <c r="E608" s="342">
        <f>SUM(F608:G608)</f>
        <v>37</v>
      </c>
      <c r="F608" s="342">
        <v>37</v>
      </c>
      <c r="G608" s="342">
        <v>0</v>
      </c>
      <c r="H608" s="342">
        <f>SUM(I608:J608)</f>
        <v>1</v>
      </c>
      <c r="I608" s="342">
        <v>1</v>
      </c>
      <c r="J608" s="342">
        <v>0</v>
      </c>
      <c r="K608" s="342">
        <f>SUM(L608:M608)</f>
        <v>0</v>
      </c>
      <c r="L608" s="342">
        <v>0</v>
      </c>
      <c r="M608" s="342">
        <v>0</v>
      </c>
      <c r="N608" s="203" t="s">
        <v>146</v>
      </c>
      <c r="O608" s="306"/>
    </row>
    <row r="609" spans="2:15" ht="18.75" customHeight="1" thickBot="1" x14ac:dyDescent="0.25">
      <c r="B609" s="342">
        <f>SUM(C609:D609)</f>
        <v>38</v>
      </c>
      <c r="C609" s="342">
        <f t="shared" si="195"/>
        <v>32</v>
      </c>
      <c r="D609" s="342">
        <f t="shared" si="195"/>
        <v>6</v>
      </c>
      <c r="E609" s="342">
        <f>SUM(F609:G609)</f>
        <v>0</v>
      </c>
      <c r="F609" s="342">
        <v>0</v>
      </c>
      <c r="G609" s="342">
        <v>0</v>
      </c>
      <c r="H609" s="342">
        <f>SUM(I609:J609)</f>
        <v>16</v>
      </c>
      <c r="I609" s="342">
        <v>15</v>
      </c>
      <c r="J609" s="342">
        <v>1</v>
      </c>
      <c r="K609" s="342">
        <f>SUM(L609:M609)</f>
        <v>22</v>
      </c>
      <c r="L609" s="342">
        <v>17</v>
      </c>
      <c r="M609" s="342">
        <v>5</v>
      </c>
      <c r="N609" s="203" t="s">
        <v>145</v>
      </c>
      <c r="O609" s="306" t="s">
        <v>481</v>
      </c>
    </row>
    <row r="610" spans="2:15" ht="18.75" customHeight="1" thickBot="1" x14ac:dyDescent="0.25">
      <c r="B610" s="342">
        <f t="shared" ref="B610:L610" si="210">SUM(B608:B609)</f>
        <v>76</v>
      </c>
      <c r="C610" s="342">
        <f t="shared" si="210"/>
        <v>70</v>
      </c>
      <c r="D610" s="342">
        <f t="shared" si="210"/>
        <v>6</v>
      </c>
      <c r="E610" s="342">
        <f t="shared" si="210"/>
        <v>37</v>
      </c>
      <c r="F610" s="342">
        <f t="shared" si="210"/>
        <v>37</v>
      </c>
      <c r="G610" s="342">
        <f t="shared" si="210"/>
        <v>0</v>
      </c>
      <c r="H610" s="342">
        <f t="shared" si="210"/>
        <v>17</v>
      </c>
      <c r="I610" s="342">
        <f t="shared" si="210"/>
        <v>16</v>
      </c>
      <c r="J610" s="342">
        <f t="shared" si="210"/>
        <v>1</v>
      </c>
      <c r="K610" s="342">
        <f t="shared" si="210"/>
        <v>22</v>
      </c>
      <c r="L610" s="342">
        <f t="shared" si="210"/>
        <v>17</v>
      </c>
      <c r="M610" s="342">
        <f>SUM(M608:M609)</f>
        <v>5</v>
      </c>
      <c r="N610" s="203" t="s">
        <v>12</v>
      </c>
      <c r="O610" s="307"/>
    </row>
    <row r="611" spans="2:15" ht="18.75" customHeight="1" thickBot="1" x14ac:dyDescent="0.25">
      <c r="B611" s="342">
        <f>SUM(C611:D611)</f>
        <v>14</v>
      </c>
      <c r="C611" s="342">
        <f t="shared" si="195"/>
        <v>14</v>
      </c>
      <c r="D611" s="342">
        <f t="shared" si="195"/>
        <v>0</v>
      </c>
      <c r="E611" s="342">
        <f>SUM(F611:G611)</f>
        <v>12</v>
      </c>
      <c r="F611" s="342">
        <v>12</v>
      </c>
      <c r="G611" s="342">
        <v>0</v>
      </c>
      <c r="H611" s="342">
        <f>SUM(I611:J611)</f>
        <v>1</v>
      </c>
      <c r="I611" s="342">
        <v>1</v>
      </c>
      <c r="J611" s="342">
        <v>0</v>
      </c>
      <c r="K611" s="342">
        <f>SUM(L611:M611)</f>
        <v>1</v>
      </c>
      <c r="L611" s="342">
        <v>1</v>
      </c>
      <c r="M611" s="342">
        <v>0</v>
      </c>
      <c r="N611" s="203" t="s">
        <v>146</v>
      </c>
      <c r="O611" s="306"/>
    </row>
    <row r="612" spans="2:15" ht="18.75" customHeight="1" thickBot="1" x14ac:dyDescent="0.25">
      <c r="B612" s="342">
        <f>SUM(C612:D612)</f>
        <v>17</v>
      </c>
      <c r="C612" s="342">
        <f t="shared" si="195"/>
        <v>11</v>
      </c>
      <c r="D612" s="342">
        <f t="shared" si="195"/>
        <v>6</v>
      </c>
      <c r="E612" s="342">
        <f>SUM(F612:G612)</f>
        <v>0</v>
      </c>
      <c r="F612" s="342">
        <v>0</v>
      </c>
      <c r="G612" s="342">
        <v>0</v>
      </c>
      <c r="H612" s="342">
        <f>SUM(I612:J612)</f>
        <v>6</v>
      </c>
      <c r="I612" s="342">
        <v>6</v>
      </c>
      <c r="J612" s="342">
        <v>0</v>
      </c>
      <c r="K612" s="342">
        <f>SUM(L612:M612)</f>
        <v>11</v>
      </c>
      <c r="L612" s="342">
        <v>5</v>
      </c>
      <c r="M612" s="342">
        <v>6</v>
      </c>
      <c r="N612" s="203" t="s">
        <v>145</v>
      </c>
      <c r="O612" s="306" t="s">
        <v>799</v>
      </c>
    </row>
    <row r="613" spans="2:15" ht="18.75" customHeight="1" thickBot="1" x14ac:dyDescent="0.25">
      <c r="B613" s="342">
        <f t="shared" ref="B613:J613" si="211">SUM(B611:B612)</f>
        <v>31</v>
      </c>
      <c r="C613" s="342">
        <f t="shared" si="211"/>
        <v>25</v>
      </c>
      <c r="D613" s="342">
        <f t="shared" si="211"/>
        <v>6</v>
      </c>
      <c r="E613" s="342">
        <f t="shared" si="211"/>
        <v>12</v>
      </c>
      <c r="F613" s="342">
        <f t="shared" si="211"/>
        <v>12</v>
      </c>
      <c r="G613" s="342">
        <f t="shared" si="211"/>
        <v>0</v>
      </c>
      <c r="H613" s="342">
        <f t="shared" si="211"/>
        <v>7</v>
      </c>
      <c r="I613" s="342">
        <f t="shared" si="211"/>
        <v>7</v>
      </c>
      <c r="J613" s="342">
        <f t="shared" si="211"/>
        <v>0</v>
      </c>
      <c r="K613" s="342">
        <f t="shared" ref="K613" si="212">SUM(K611:K612)</f>
        <v>12</v>
      </c>
      <c r="L613" s="342">
        <f t="shared" ref="L613" si="213">SUM(L611:L612)</f>
        <v>6</v>
      </c>
      <c r="M613" s="342">
        <f>SUM(M611:M612)</f>
        <v>6</v>
      </c>
      <c r="N613" s="203" t="s">
        <v>12</v>
      </c>
      <c r="O613" s="307"/>
    </row>
    <row r="614" spans="2:15" ht="18.75" customHeight="1" thickBot="1" x14ac:dyDescent="0.25">
      <c r="B614" s="342">
        <f>SUM(C614:D614)</f>
        <v>57</v>
      </c>
      <c r="C614" s="342">
        <f t="shared" si="195"/>
        <v>57</v>
      </c>
      <c r="D614" s="342">
        <f t="shared" si="195"/>
        <v>0</v>
      </c>
      <c r="E614" s="342">
        <f>SUM(F614:G614)</f>
        <v>47</v>
      </c>
      <c r="F614" s="342">
        <v>47</v>
      </c>
      <c r="G614" s="342">
        <v>0</v>
      </c>
      <c r="H614" s="342">
        <f>SUM(I614:J614)</f>
        <v>3</v>
      </c>
      <c r="I614" s="342">
        <v>3</v>
      </c>
      <c r="J614" s="342">
        <v>0</v>
      </c>
      <c r="K614" s="342">
        <f>SUM(L614:M614)</f>
        <v>7</v>
      </c>
      <c r="L614" s="342">
        <v>7</v>
      </c>
      <c r="M614" s="342">
        <v>0</v>
      </c>
      <c r="N614" s="203" t="s">
        <v>146</v>
      </c>
      <c r="O614" s="306"/>
    </row>
    <row r="615" spans="2:15" ht="18.75" customHeight="1" thickBot="1" x14ac:dyDescent="0.25">
      <c r="B615" s="342">
        <f>SUM(C615:D615)</f>
        <v>72</v>
      </c>
      <c r="C615" s="342">
        <f t="shared" si="195"/>
        <v>48</v>
      </c>
      <c r="D615" s="342">
        <f t="shared" si="195"/>
        <v>24</v>
      </c>
      <c r="E615" s="342">
        <f>SUM(F615:G615)</f>
        <v>0</v>
      </c>
      <c r="F615" s="342">
        <v>0</v>
      </c>
      <c r="G615" s="342">
        <v>0</v>
      </c>
      <c r="H615" s="342">
        <f>SUM(I615:J615)</f>
        <v>34</v>
      </c>
      <c r="I615" s="342">
        <v>27</v>
      </c>
      <c r="J615" s="342">
        <v>7</v>
      </c>
      <c r="K615" s="342">
        <f>SUM(L615:M615)</f>
        <v>38</v>
      </c>
      <c r="L615" s="342">
        <v>21</v>
      </c>
      <c r="M615" s="342">
        <v>17</v>
      </c>
      <c r="N615" s="203" t="s">
        <v>145</v>
      </c>
      <c r="O615" s="306" t="s">
        <v>479</v>
      </c>
    </row>
    <row r="616" spans="2:15" ht="18.75" customHeight="1" thickBot="1" x14ac:dyDescent="0.25">
      <c r="B616" s="342">
        <f t="shared" ref="B616:L616" si="214">SUM(B614:B615)</f>
        <v>129</v>
      </c>
      <c r="C616" s="342">
        <f t="shared" si="214"/>
        <v>105</v>
      </c>
      <c r="D616" s="342">
        <f t="shared" si="214"/>
        <v>24</v>
      </c>
      <c r="E616" s="342">
        <f t="shared" si="214"/>
        <v>47</v>
      </c>
      <c r="F616" s="342">
        <f t="shared" si="214"/>
        <v>47</v>
      </c>
      <c r="G616" s="342">
        <f t="shared" si="214"/>
        <v>0</v>
      </c>
      <c r="H616" s="342">
        <f t="shared" si="214"/>
        <v>37</v>
      </c>
      <c r="I616" s="342">
        <f t="shared" si="214"/>
        <v>30</v>
      </c>
      <c r="J616" s="342">
        <f t="shared" si="214"/>
        <v>7</v>
      </c>
      <c r="K616" s="342">
        <f t="shared" si="214"/>
        <v>45</v>
      </c>
      <c r="L616" s="342">
        <f t="shared" si="214"/>
        <v>28</v>
      </c>
      <c r="M616" s="342">
        <f>SUM(M614:M615)</f>
        <v>17</v>
      </c>
      <c r="N616" s="203" t="s">
        <v>12</v>
      </c>
      <c r="O616" s="307"/>
    </row>
    <row r="617" spans="2:15" ht="18.75" customHeight="1" thickBot="1" x14ac:dyDescent="0.25">
      <c r="B617" s="342">
        <f>SUM(C617:D617)</f>
        <v>3</v>
      </c>
      <c r="C617" s="342">
        <f t="shared" si="195"/>
        <v>0</v>
      </c>
      <c r="D617" s="342">
        <f t="shared" si="195"/>
        <v>3</v>
      </c>
      <c r="E617" s="342">
        <f>SUM(F617:G617)</f>
        <v>0</v>
      </c>
      <c r="F617" s="342">
        <v>0</v>
      </c>
      <c r="G617" s="342">
        <v>0</v>
      </c>
      <c r="H617" s="342">
        <f>SUM(I617:J617)</f>
        <v>0</v>
      </c>
      <c r="I617" s="342">
        <v>0</v>
      </c>
      <c r="J617" s="342">
        <v>0</v>
      </c>
      <c r="K617" s="342">
        <f>SUM(L617:M617)</f>
        <v>3</v>
      </c>
      <c r="L617" s="342">
        <v>0</v>
      </c>
      <c r="M617" s="342">
        <v>3</v>
      </c>
      <c r="N617" s="203" t="s">
        <v>146</v>
      </c>
      <c r="O617" s="306"/>
    </row>
    <row r="618" spans="2:15" ht="18.75" customHeight="1" thickBot="1" x14ac:dyDescent="0.25">
      <c r="B618" s="342">
        <f>SUM(C618:D618)</f>
        <v>8</v>
      </c>
      <c r="C618" s="342">
        <f t="shared" si="195"/>
        <v>0</v>
      </c>
      <c r="D618" s="342">
        <f t="shared" si="195"/>
        <v>8</v>
      </c>
      <c r="E618" s="342">
        <f>SUM(F618:G618)</f>
        <v>0</v>
      </c>
      <c r="F618" s="342">
        <v>0</v>
      </c>
      <c r="G618" s="342">
        <v>0</v>
      </c>
      <c r="H618" s="342">
        <f>SUM(I618:J618)</f>
        <v>0</v>
      </c>
      <c r="I618" s="342">
        <v>0</v>
      </c>
      <c r="J618" s="342">
        <v>0</v>
      </c>
      <c r="K618" s="342">
        <f>SUM(L618:M618)</f>
        <v>8</v>
      </c>
      <c r="L618" s="342">
        <v>0</v>
      </c>
      <c r="M618" s="342">
        <v>8</v>
      </c>
      <c r="N618" s="203" t="s">
        <v>145</v>
      </c>
      <c r="O618" s="306" t="s">
        <v>496</v>
      </c>
    </row>
    <row r="619" spans="2:15" ht="18.75" customHeight="1" thickBot="1" x14ac:dyDescent="0.25">
      <c r="B619" s="342">
        <f t="shared" ref="B619:L619" si="215">SUM(B617:B618)</f>
        <v>11</v>
      </c>
      <c r="C619" s="342">
        <f t="shared" si="215"/>
        <v>0</v>
      </c>
      <c r="D619" s="342">
        <f t="shared" si="215"/>
        <v>11</v>
      </c>
      <c r="E619" s="342">
        <f t="shared" si="215"/>
        <v>0</v>
      </c>
      <c r="F619" s="342">
        <f t="shared" si="215"/>
        <v>0</v>
      </c>
      <c r="G619" s="342">
        <f t="shared" si="215"/>
        <v>0</v>
      </c>
      <c r="H619" s="342">
        <f t="shared" si="215"/>
        <v>0</v>
      </c>
      <c r="I619" s="342">
        <f t="shared" si="215"/>
        <v>0</v>
      </c>
      <c r="J619" s="342">
        <f t="shared" si="215"/>
        <v>0</v>
      </c>
      <c r="K619" s="342">
        <f t="shared" si="215"/>
        <v>11</v>
      </c>
      <c r="L619" s="342">
        <f t="shared" si="215"/>
        <v>0</v>
      </c>
      <c r="M619" s="342">
        <f>SUM(M617:M618)</f>
        <v>11</v>
      </c>
      <c r="N619" s="203" t="s">
        <v>12</v>
      </c>
      <c r="O619" s="307"/>
    </row>
    <row r="620" spans="2:15" ht="18.75" customHeight="1" thickBot="1" x14ac:dyDescent="0.25">
      <c r="B620" s="342">
        <f>SUM(C620:D620)</f>
        <v>0</v>
      </c>
      <c r="C620" s="342">
        <f t="shared" si="195"/>
        <v>0</v>
      </c>
      <c r="D620" s="342">
        <f t="shared" si="195"/>
        <v>0</v>
      </c>
      <c r="E620" s="342">
        <f>SUM(F620:G620)</f>
        <v>0</v>
      </c>
      <c r="F620" s="342">
        <v>0</v>
      </c>
      <c r="G620" s="342">
        <v>0</v>
      </c>
      <c r="H620" s="342">
        <f>SUM(I620:J620)</f>
        <v>0</v>
      </c>
      <c r="I620" s="342">
        <v>0</v>
      </c>
      <c r="J620" s="342">
        <v>0</v>
      </c>
      <c r="K620" s="342">
        <f>SUM(L620:M620)</f>
        <v>0</v>
      </c>
      <c r="L620" s="342">
        <v>0</v>
      </c>
      <c r="M620" s="342">
        <v>0</v>
      </c>
      <c r="N620" s="203" t="s">
        <v>146</v>
      </c>
      <c r="O620" s="306"/>
    </row>
    <row r="621" spans="2:15" ht="18.75" customHeight="1" thickBot="1" x14ac:dyDescent="0.25">
      <c r="B621" s="342">
        <f>SUM(C621:D621)</f>
        <v>53</v>
      </c>
      <c r="C621" s="342">
        <f t="shared" si="195"/>
        <v>0</v>
      </c>
      <c r="D621" s="342">
        <f t="shared" si="195"/>
        <v>53</v>
      </c>
      <c r="E621" s="342">
        <f>SUM(F621:G621)</f>
        <v>26</v>
      </c>
      <c r="F621" s="342">
        <v>0</v>
      </c>
      <c r="G621" s="342">
        <v>26</v>
      </c>
      <c r="H621" s="342">
        <f>SUM(I621:J621)</f>
        <v>15</v>
      </c>
      <c r="I621" s="342">
        <v>0</v>
      </c>
      <c r="J621" s="342">
        <v>15</v>
      </c>
      <c r="K621" s="342">
        <f>SUM(L621:M621)</f>
        <v>12</v>
      </c>
      <c r="L621" s="342">
        <v>0</v>
      </c>
      <c r="M621" s="342">
        <v>12</v>
      </c>
      <c r="N621" s="203" t="s">
        <v>145</v>
      </c>
      <c r="O621" s="306" t="s">
        <v>424</v>
      </c>
    </row>
    <row r="622" spans="2:15" ht="18.75" customHeight="1" thickBot="1" x14ac:dyDescent="0.25">
      <c r="B622" s="342">
        <f t="shared" ref="B622:L622" si="216">SUM(B620:B621)</f>
        <v>53</v>
      </c>
      <c r="C622" s="342">
        <f t="shared" si="216"/>
        <v>0</v>
      </c>
      <c r="D622" s="342">
        <f t="shared" si="216"/>
        <v>53</v>
      </c>
      <c r="E622" s="342">
        <f t="shared" si="216"/>
        <v>26</v>
      </c>
      <c r="F622" s="342">
        <f t="shared" si="216"/>
        <v>0</v>
      </c>
      <c r="G622" s="342">
        <f t="shared" si="216"/>
        <v>26</v>
      </c>
      <c r="H622" s="342">
        <f t="shared" si="216"/>
        <v>15</v>
      </c>
      <c r="I622" s="342">
        <f t="shared" si="216"/>
        <v>0</v>
      </c>
      <c r="J622" s="342">
        <f t="shared" si="216"/>
        <v>15</v>
      </c>
      <c r="K622" s="342">
        <f t="shared" si="216"/>
        <v>12</v>
      </c>
      <c r="L622" s="342">
        <f t="shared" si="216"/>
        <v>0</v>
      </c>
      <c r="M622" s="342">
        <f>SUM(M620:M621)</f>
        <v>12</v>
      </c>
      <c r="N622" s="203" t="s">
        <v>12</v>
      </c>
      <c r="O622" s="307"/>
    </row>
    <row r="623" spans="2:15" ht="18.75" customHeight="1" thickBot="1" x14ac:dyDescent="0.25">
      <c r="B623" s="342">
        <f>SUM(C623:D623)</f>
        <v>0</v>
      </c>
      <c r="C623" s="342">
        <f t="shared" si="195"/>
        <v>0</v>
      </c>
      <c r="D623" s="342">
        <f t="shared" si="195"/>
        <v>0</v>
      </c>
      <c r="E623" s="342">
        <f>SUM(F623:G623)</f>
        <v>0</v>
      </c>
      <c r="F623" s="342">
        <v>0</v>
      </c>
      <c r="G623" s="342">
        <v>0</v>
      </c>
      <c r="H623" s="342">
        <f>SUM(I623:J623)</f>
        <v>0</v>
      </c>
      <c r="I623" s="342">
        <v>0</v>
      </c>
      <c r="J623" s="342">
        <v>0</v>
      </c>
      <c r="K623" s="342">
        <f>SUM(L623:M623)</f>
        <v>0</v>
      </c>
      <c r="L623" s="342">
        <v>0</v>
      </c>
      <c r="M623" s="342">
        <v>0</v>
      </c>
      <c r="N623" s="203" t="s">
        <v>146</v>
      </c>
      <c r="O623" s="306"/>
    </row>
    <row r="624" spans="2:15" ht="18.75" customHeight="1" thickBot="1" x14ac:dyDescent="0.25">
      <c r="B624" s="342">
        <f>SUM(C624:D624)</f>
        <v>1</v>
      </c>
      <c r="C624" s="342">
        <f t="shared" si="195"/>
        <v>0</v>
      </c>
      <c r="D624" s="342">
        <f t="shared" si="195"/>
        <v>1</v>
      </c>
      <c r="E624" s="342">
        <f>SUM(F624:G624)</f>
        <v>0</v>
      </c>
      <c r="F624" s="342">
        <v>0</v>
      </c>
      <c r="G624" s="342">
        <v>0</v>
      </c>
      <c r="H624" s="342">
        <f>SUM(I624:J624)</f>
        <v>0</v>
      </c>
      <c r="I624" s="342">
        <v>0</v>
      </c>
      <c r="J624" s="342">
        <v>0</v>
      </c>
      <c r="K624" s="342">
        <f>SUM(L624:M624)</f>
        <v>1</v>
      </c>
      <c r="L624" s="342">
        <v>0</v>
      </c>
      <c r="M624" s="342">
        <v>1</v>
      </c>
      <c r="N624" s="203" t="s">
        <v>145</v>
      </c>
      <c r="O624" s="306" t="s">
        <v>406</v>
      </c>
    </row>
    <row r="625" spans="2:15" ht="18.75" customHeight="1" thickBot="1" x14ac:dyDescent="0.25">
      <c r="B625" s="342">
        <f t="shared" ref="B625:L625" si="217">SUM(B623:B624)</f>
        <v>1</v>
      </c>
      <c r="C625" s="342">
        <f t="shared" si="217"/>
        <v>0</v>
      </c>
      <c r="D625" s="342">
        <f t="shared" si="217"/>
        <v>1</v>
      </c>
      <c r="E625" s="342">
        <f t="shared" si="217"/>
        <v>0</v>
      </c>
      <c r="F625" s="342">
        <f t="shared" si="217"/>
        <v>0</v>
      </c>
      <c r="G625" s="342">
        <f t="shared" si="217"/>
        <v>0</v>
      </c>
      <c r="H625" s="342">
        <f t="shared" si="217"/>
        <v>0</v>
      </c>
      <c r="I625" s="342">
        <f t="shared" si="217"/>
        <v>0</v>
      </c>
      <c r="J625" s="342">
        <f t="shared" si="217"/>
        <v>0</v>
      </c>
      <c r="K625" s="342">
        <f t="shared" si="217"/>
        <v>1</v>
      </c>
      <c r="L625" s="342">
        <f t="shared" si="217"/>
        <v>0</v>
      </c>
      <c r="M625" s="342">
        <f>SUM(M623:M624)</f>
        <v>1</v>
      </c>
      <c r="N625" s="203" t="s">
        <v>12</v>
      </c>
      <c r="O625" s="307"/>
    </row>
    <row r="626" spans="2:15" ht="18.75" customHeight="1" thickBot="1" x14ac:dyDescent="0.25">
      <c r="B626" s="342">
        <f>SUM(C626:D626)</f>
        <v>0</v>
      </c>
      <c r="C626" s="342">
        <f t="shared" si="195"/>
        <v>0</v>
      </c>
      <c r="D626" s="342">
        <f t="shared" si="195"/>
        <v>0</v>
      </c>
      <c r="E626" s="342">
        <f>SUM(F626:G626)</f>
        <v>0</v>
      </c>
      <c r="F626" s="342">
        <v>0</v>
      </c>
      <c r="G626" s="342">
        <v>0</v>
      </c>
      <c r="H626" s="342">
        <f>SUM(I626:J626)</f>
        <v>0</v>
      </c>
      <c r="I626" s="342">
        <v>0</v>
      </c>
      <c r="J626" s="342">
        <v>0</v>
      </c>
      <c r="K626" s="342">
        <f>SUM(L626:M626)</f>
        <v>0</v>
      </c>
      <c r="L626" s="342">
        <v>0</v>
      </c>
      <c r="M626" s="342">
        <v>0</v>
      </c>
      <c r="N626" s="203" t="s">
        <v>146</v>
      </c>
      <c r="O626" s="306"/>
    </row>
    <row r="627" spans="2:15" ht="18.75" customHeight="1" thickBot="1" x14ac:dyDescent="0.25">
      <c r="B627" s="342">
        <f>SUM(C627:D627)</f>
        <v>12</v>
      </c>
      <c r="C627" s="342">
        <f t="shared" si="195"/>
        <v>0</v>
      </c>
      <c r="D627" s="342">
        <f t="shared" si="195"/>
        <v>12</v>
      </c>
      <c r="E627" s="342">
        <f>SUM(F627:G627)</f>
        <v>4</v>
      </c>
      <c r="F627" s="342">
        <v>0</v>
      </c>
      <c r="G627" s="342">
        <v>4</v>
      </c>
      <c r="H627" s="342">
        <f>SUM(I627:J627)</f>
        <v>0</v>
      </c>
      <c r="I627" s="342">
        <v>0</v>
      </c>
      <c r="J627" s="342">
        <v>0</v>
      </c>
      <c r="K627" s="342">
        <f>SUM(L627:M627)</f>
        <v>8</v>
      </c>
      <c r="L627" s="342">
        <v>0</v>
      </c>
      <c r="M627" s="342">
        <v>8</v>
      </c>
      <c r="N627" s="203" t="s">
        <v>145</v>
      </c>
      <c r="O627" s="306" t="s">
        <v>101</v>
      </c>
    </row>
    <row r="628" spans="2:15" ht="18.75" customHeight="1" thickBot="1" x14ac:dyDescent="0.25">
      <c r="B628" s="342">
        <f t="shared" ref="B628:L628" si="218">SUM(B626:B627)</f>
        <v>12</v>
      </c>
      <c r="C628" s="342">
        <f t="shared" si="218"/>
        <v>0</v>
      </c>
      <c r="D628" s="342">
        <f t="shared" si="218"/>
        <v>12</v>
      </c>
      <c r="E628" s="342">
        <f t="shared" si="218"/>
        <v>4</v>
      </c>
      <c r="F628" s="342">
        <f t="shared" si="218"/>
        <v>0</v>
      </c>
      <c r="G628" s="342">
        <f t="shared" si="218"/>
        <v>4</v>
      </c>
      <c r="H628" s="342">
        <f t="shared" si="218"/>
        <v>0</v>
      </c>
      <c r="I628" s="342">
        <f t="shared" si="218"/>
        <v>0</v>
      </c>
      <c r="J628" s="342">
        <f t="shared" si="218"/>
        <v>0</v>
      </c>
      <c r="K628" s="342">
        <f t="shared" si="218"/>
        <v>8</v>
      </c>
      <c r="L628" s="342">
        <f t="shared" si="218"/>
        <v>0</v>
      </c>
      <c r="M628" s="342">
        <f>SUM(M626:M627)</f>
        <v>8</v>
      </c>
      <c r="N628" s="203" t="s">
        <v>12</v>
      </c>
      <c r="O628" s="307"/>
    </row>
    <row r="629" spans="2:15" ht="18.75" customHeight="1" thickBot="1" x14ac:dyDescent="0.25">
      <c r="B629" s="342">
        <f t="shared" ref="B629:M631" si="219">B566+B569+B572+B575+B578+B581+B584+B587+B590+B593+B596+B599+B602+B605+B608+B611+B614+B617+B620+B623+B626</f>
        <v>904</v>
      </c>
      <c r="C629" s="342">
        <f t="shared" si="219"/>
        <v>299</v>
      </c>
      <c r="D629" s="342">
        <f t="shared" si="219"/>
        <v>605</v>
      </c>
      <c r="E629" s="342">
        <f t="shared" si="219"/>
        <v>477</v>
      </c>
      <c r="F629" s="342">
        <f t="shared" si="219"/>
        <v>218</v>
      </c>
      <c r="G629" s="342">
        <f t="shared" si="219"/>
        <v>259</v>
      </c>
      <c r="H629" s="342">
        <f t="shared" si="219"/>
        <v>74</v>
      </c>
      <c r="I629" s="342">
        <f t="shared" si="219"/>
        <v>44</v>
      </c>
      <c r="J629" s="342">
        <f t="shared" si="219"/>
        <v>30</v>
      </c>
      <c r="K629" s="342">
        <f t="shared" si="219"/>
        <v>353</v>
      </c>
      <c r="L629" s="342">
        <f t="shared" si="219"/>
        <v>37</v>
      </c>
      <c r="M629" s="342">
        <f t="shared" si="219"/>
        <v>316</v>
      </c>
      <c r="N629" s="203" t="s">
        <v>146</v>
      </c>
      <c r="O629" s="280"/>
    </row>
    <row r="630" spans="2:15" ht="18.75" customHeight="1" thickBot="1" x14ac:dyDescent="0.25">
      <c r="B630" s="342">
        <f t="shared" si="219"/>
        <v>857</v>
      </c>
      <c r="C630" s="342">
        <f t="shared" si="219"/>
        <v>255</v>
      </c>
      <c r="D630" s="342">
        <f t="shared" si="219"/>
        <v>602</v>
      </c>
      <c r="E630" s="342">
        <f t="shared" si="219"/>
        <v>101</v>
      </c>
      <c r="F630" s="342">
        <f t="shared" si="219"/>
        <v>15</v>
      </c>
      <c r="G630" s="342">
        <f t="shared" si="219"/>
        <v>86</v>
      </c>
      <c r="H630" s="342">
        <f t="shared" si="219"/>
        <v>164</v>
      </c>
      <c r="I630" s="342">
        <f t="shared" si="219"/>
        <v>86</v>
      </c>
      <c r="J630" s="342">
        <f t="shared" si="219"/>
        <v>78</v>
      </c>
      <c r="K630" s="342">
        <f t="shared" si="219"/>
        <v>592</v>
      </c>
      <c r="L630" s="342">
        <f t="shared" si="219"/>
        <v>154</v>
      </c>
      <c r="M630" s="342">
        <f t="shared" si="219"/>
        <v>438</v>
      </c>
      <c r="N630" s="203" t="s">
        <v>145</v>
      </c>
      <c r="O630" s="281" t="s">
        <v>188</v>
      </c>
    </row>
    <row r="631" spans="2:15" ht="18.75" customHeight="1" thickBot="1" x14ac:dyDescent="0.25">
      <c r="B631" s="342">
        <f t="shared" si="219"/>
        <v>1761</v>
      </c>
      <c r="C631" s="342">
        <f t="shared" si="219"/>
        <v>554</v>
      </c>
      <c r="D631" s="342">
        <f t="shared" si="219"/>
        <v>1207</v>
      </c>
      <c r="E631" s="342">
        <f t="shared" si="219"/>
        <v>578</v>
      </c>
      <c r="F631" s="342">
        <f t="shared" si="219"/>
        <v>233</v>
      </c>
      <c r="G631" s="342">
        <f t="shared" si="219"/>
        <v>345</v>
      </c>
      <c r="H631" s="342">
        <f t="shared" si="219"/>
        <v>238</v>
      </c>
      <c r="I631" s="342">
        <f t="shared" si="219"/>
        <v>130</v>
      </c>
      <c r="J631" s="342">
        <f t="shared" si="219"/>
        <v>108</v>
      </c>
      <c r="K631" s="342">
        <f t="shared" si="219"/>
        <v>945</v>
      </c>
      <c r="L631" s="342">
        <f t="shared" si="219"/>
        <v>191</v>
      </c>
      <c r="M631" s="342">
        <f t="shared" si="219"/>
        <v>754</v>
      </c>
      <c r="N631" s="203" t="s">
        <v>12</v>
      </c>
      <c r="O631" s="282"/>
    </row>
    <row r="632" spans="2:15" ht="18.75" customHeight="1" thickBot="1" x14ac:dyDescent="0.25">
      <c r="B632" s="589"/>
      <c r="C632" s="589"/>
      <c r="D632" s="589"/>
      <c r="E632" s="589"/>
      <c r="F632" s="589"/>
      <c r="G632" s="589"/>
      <c r="H632" s="589"/>
      <c r="I632" s="589"/>
      <c r="J632" s="589"/>
      <c r="K632" s="589"/>
      <c r="L632" s="589"/>
    </row>
    <row r="633" spans="2:15" ht="18.75" customHeight="1" thickBot="1" x14ac:dyDescent="0.25">
      <c r="B633" s="482" t="s">
        <v>4</v>
      </c>
      <c r="C633" s="482"/>
      <c r="D633" s="482"/>
      <c r="E633" s="482" t="s">
        <v>60</v>
      </c>
      <c r="F633" s="482"/>
      <c r="G633" s="482"/>
      <c r="H633" s="482" t="s">
        <v>57</v>
      </c>
      <c r="I633" s="482"/>
      <c r="J633" s="482"/>
      <c r="K633" s="482" t="s">
        <v>56</v>
      </c>
      <c r="L633" s="482"/>
      <c r="M633" s="482"/>
      <c r="N633" s="575" t="s">
        <v>792</v>
      </c>
      <c r="O633" s="304" t="s">
        <v>144</v>
      </c>
    </row>
    <row r="634" spans="2:15" ht="18.75" customHeight="1" thickBot="1" x14ac:dyDescent="0.25">
      <c r="B634" s="203" t="s">
        <v>227</v>
      </c>
      <c r="C634" s="203" t="s">
        <v>10</v>
      </c>
      <c r="D634" s="203" t="s">
        <v>9</v>
      </c>
      <c r="E634" s="203" t="s">
        <v>227</v>
      </c>
      <c r="F634" s="203" t="s">
        <v>10</v>
      </c>
      <c r="G634" s="203" t="s">
        <v>9</v>
      </c>
      <c r="H634" s="203" t="s">
        <v>227</v>
      </c>
      <c r="I634" s="203" t="s">
        <v>10</v>
      </c>
      <c r="J634" s="203" t="s">
        <v>9</v>
      </c>
      <c r="K634" s="203" t="s">
        <v>227</v>
      </c>
      <c r="L634" s="203" t="s">
        <v>10</v>
      </c>
      <c r="M634" s="203" t="s">
        <v>9</v>
      </c>
      <c r="N634" s="481"/>
      <c r="O634" s="282" t="s">
        <v>76</v>
      </c>
    </row>
    <row r="635" spans="2:15" ht="18.75" customHeight="1" thickBot="1" x14ac:dyDescent="0.25">
      <c r="B635" s="342">
        <f>SUM(C635:D635)</f>
        <v>309</v>
      </c>
      <c r="C635" s="342">
        <f>L635+I635+F635</f>
        <v>171</v>
      </c>
      <c r="D635" s="342">
        <f>M635+J635+G635</f>
        <v>138</v>
      </c>
      <c r="E635" s="342">
        <f>SUM(F635:G635)</f>
        <v>147</v>
      </c>
      <c r="F635" s="342">
        <v>118</v>
      </c>
      <c r="G635" s="342">
        <v>29</v>
      </c>
      <c r="H635" s="342">
        <f>SUM(I635:J635)</f>
        <v>44</v>
      </c>
      <c r="I635" s="342">
        <v>22</v>
      </c>
      <c r="J635" s="342">
        <v>22</v>
      </c>
      <c r="K635" s="342">
        <f>SUM(L635:M635)</f>
        <v>118</v>
      </c>
      <c r="L635" s="342">
        <v>31</v>
      </c>
      <c r="M635" s="342">
        <v>87</v>
      </c>
      <c r="N635" s="203" t="s">
        <v>146</v>
      </c>
      <c r="O635" s="306"/>
    </row>
    <row r="636" spans="2:15" ht="18.75" customHeight="1" thickBot="1" x14ac:dyDescent="0.25">
      <c r="B636" s="342">
        <f>SUM(C636:D636)</f>
        <v>321</v>
      </c>
      <c r="C636" s="342">
        <f t="shared" ref="C636:D654" si="220">L636+I636+F636</f>
        <v>76</v>
      </c>
      <c r="D636" s="342">
        <f t="shared" si="220"/>
        <v>245</v>
      </c>
      <c r="E636" s="342">
        <f>SUM(F636:G636)</f>
        <v>44</v>
      </c>
      <c r="F636" s="342">
        <v>0</v>
      </c>
      <c r="G636" s="342">
        <v>44</v>
      </c>
      <c r="H636" s="342">
        <f>SUM(I636:J636)</f>
        <v>36</v>
      </c>
      <c r="I636" s="342">
        <v>22</v>
      </c>
      <c r="J636" s="342">
        <v>14</v>
      </c>
      <c r="K636" s="342">
        <f>SUM(L636:M636)</f>
        <v>241</v>
      </c>
      <c r="L636" s="342">
        <v>54</v>
      </c>
      <c r="M636" s="342">
        <v>187</v>
      </c>
      <c r="N636" s="203" t="s">
        <v>145</v>
      </c>
      <c r="O636" s="306" t="s">
        <v>658</v>
      </c>
    </row>
    <row r="637" spans="2:15" ht="18.75" customHeight="1" thickBot="1" x14ac:dyDescent="0.25">
      <c r="B637" s="342">
        <f t="shared" ref="B637:L637" si="221">SUM(B635:B636)</f>
        <v>630</v>
      </c>
      <c r="C637" s="342">
        <f t="shared" si="221"/>
        <v>247</v>
      </c>
      <c r="D637" s="342">
        <f t="shared" si="221"/>
        <v>383</v>
      </c>
      <c r="E637" s="342">
        <f t="shared" si="221"/>
        <v>191</v>
      </c>
      <c r="F637" s="342">
        <f t="shared" si="221"/>
        <v>118</v>
      </c>
      <c r="G637" s="342">
        <f t="shared" si="221"/>
        <v>73</v>
      </c>
      <c r="H637" s="342">
        <f t="shared" si="221"/>
        <v>80</v>
      </c>
      <c r="I637" s="342">
        <f t="shared" si="221"/>
        <v>44</v>
      </c>
      <c r="J637" s="342">
        <f t="shared" si="221"/>
        <v>36</v>
      </c>
      <c r="K637" s="342">
        <f t="shared" si="221"/>
        <v>359</v>
      </c>
      <c r="L637" s="342">
        <f t="shared" si="221"/>
        <v>85</v>
      </c>
      <c r="M637" s="342">
        <f>SUM(M635:M636)</f>
        <v>274</v>
      </c>
      <c r="N637" s="203" t="s">
        <v>12</v>
      </c>
      <c r="O637" s="307"/>
    </row>
    <row r="638" spans="2:15" ht="18.75" customHeight="1" thickBot="1" x14ac:dyDescent="0.25">
      <c r="B638" s="342">
        <f>SUM(C638:D638)</f>
        <v>182</v>
      </c>
      <c r="C638" s="342">
        <f t="shared" si="220"/>
        <v>99</v>
      </c>
      <c r="D638" s="342">
        <f t="shared" si="220"/>
        <v>83</v>
      </c>
      <c r="E638" s="342">
        <f>SUM(F638:G638)</f>
        <v>66</v>
      </c>
      <c r="F638" s="342">
        <v>56</v>
      </c>
      <c r="G638" s="342">
        <v>10</v>
      </c>
      <c r="H638" s="342">
        <f>SUM(I638:J638)</f>
        <v>32</v>
      </c>
      <c r="I638" s="342">
        <v>18</v>
      </c>
      <c r="J638" s="342">
        <v>14</v>
      </c>
      <c r="K638" s="342">
        <f>SUM(L638:M638)</f>
        <v>84</v>
      </c>
      <c r="L638" s="342">
        <v>25</v>
      </c>
      <c r="M638" s="342">
        <v>59</v>
      </c>
      <c r="N638" s="203" t="s">
        <v>146</v>
      </c>
      <c r="O638" s="306"/>
    </row>
    <row r="639" spans="2:15" ht="18.75" customHeight="1" thickBot="1" x14ac:dyDescent="0.25">
      <c r="B639" s="342">
        <f>SUM(C639:D639)</f>
        <v>135</v>
      </c>
      <c r="C639" s="342">
        <f t="shared" si="220"/>
        <v>65</v>
      </c>
      <c r="D639" s="342">
        <f t="shared" si="220"/>
        <v>70</v>
      </c>
      <c r="E639" s="342">
        <f>SUM(F639:G639)</f>
        <v>0</v>
      </c>
      <c r="F639" s="342">
        <v>0</v>
      </c>
      <c r="G639" s="342">
        <v>0</v>
      </c>
      <c r="H639" s="342">
        <f>SUM(I639:J639)</f>
        <v>17</v>
      </c>
      <c r="I639" s="342">
        <v>11</v>
      </c>
      <c r="J639" s="342">
        <v>6</v>
      </c>
      <c r="K639" s="342">
        <f>SUM(L639:M639)</f>
        <v>118</v>
      </c>
      <c r="L639" s="342">
        <v>54</v>
      </c>
      <c r="M639" s="342">
        <v>64</v>
      </c>
      <c r="N639" s="203" t="s">
        <v>145</v>
      </c>
      <c r="O639" s="306" t="s">
        <v>367</v>
      </c>
    </row>
    <row r="640" spans="2:15" ht="18.75" customHeight="1" thickBot="1" x14ac:dyDescent="0.25">
      <c r="B640" s="342">
        <f t="shared" ref="B640:D640" si="222">SUM(B638:B639)</f>
        <v>317</v>
      </c>
      <c r="C640" s="342">
        <f t="shared" si="222"/>
        <v>164</v>
      </c>
      <c r="D640" s="342">
        <f t="shared" si="222"/>
        <v>153</v>
      </c>
      <c r="E640" s="342">
        <f t="shared" ref="E640" si="223">SUM(E638:E639)</f>
        <v>66</v>
      </c>
      <c r="F640" s="342">
        <f t="shared" ref="F640:L640" si="224">SUM(F638:F639)</f>
        <v>56</v>
      </c>
      <c r="G640" s="342">
        <f t="shared" si="224"/>
        <v>10</v>
      </c>
      <c r="H640" s="342">
        <f t="shared" si="224"/>
        <v>49</v>
      </c>
      <c r="I640" s="342">
        <f t="shared" si="224"/>
        <v>29</v>
      </c>
      <c r="J640" s="342">
        <f t="shared" si="224"/>
        <v>20</v>
      </c>
      <c r="K640" s="342">
        <f t="shared" si="224"/>
        <v>202</v>
      </c>
      <c r="L640" s="342">
        <f t="shared" si="224"/>
        <v>79</v>
      </c>
      <c r="M640" s="342">
        <f>SUM(M638:M639)</f>
        <v>123</v>
      </c>
      <c r="N640" s="203" t="s">
        <v>12</v>
      </c>
      <c r="O640" s="307"/>
    </row>
    <row r="641" spans="2:15" ht="18.75" customHeight="1" thickBot="1" x14ac:dyDescent="0.25">
      <c r="B641" s="342">
        <f>SUM(C641:D641)</f>
        <v>136</v>
      </c>
      <c r="C641" s="342">
        <f t="shared" si="220"/>
        <v>95</v>
      </c>
      <c r="D641" s="342">
        <f t="shared" si="220"/>
        <v>41</v>
      </c>
      <c r="E641" s="342">
        <f>SUM(F641:G641)</f>
        <v>77</v>
      </c>
      <c r="F641" s="342">
        <v>64</v>
      </c>
      <c r="G641" s="342">
        <v>13</v>
      </c>
      <c r="H641" s="342">
        <f>SUM(I641:J641)</f>
        <v>23</v>
      </c>
      <c r="I641" s="342">
        <v>18</v>
      </c>
      <c r="J641" s="342">
        <v>5</v>
      </c>
      <c r="K641" s="342">
        <f>SUM(L641:M641)</f>
        <v>36</v>
      </c>
      <c r="L641" s="342">
        <v>13</v>
      </c>
      <c r="M641" s="342">
        <v>23</v>
      </c>
      <c r="N641" s="203" t="s">
        <v>146</v>
      </c>
      <c r="O641" s="306"/>
    </row>
    <row r="642" spans="2:15" ht="18.75" customHeight="1" thickBot="1" x14ac:dyDescent="0.25">
      <c r="B642" s="342">
        <f>SUM(C642:D642)</f>
        <v>113</v>
      </c>
      <c r="C642" s="342">
        <f t="shared" si="220"/>
        <v>52</v>
      </c>
      <c r="D642" s="342">
        <f t="shared" si="220"/>
        <v>61</v>
      </c>
      <c r="E642" s="342">
        <f>SUM(F642:G642)</f>
        <v>0</v>
      </c>
      <c r="F642" s="342">
        <v>0</v>
      </c>
      <c r="G642" s="342">
        <v>0</v>
      </c>
      <c r="H642" s="342">
        <f>SUM(I642:J642)</f>
        <v>16</v>
      </c>
      <c r="I642" s="342">
        <v>11</v>
      </c>
      <c r="J642" s="342">
        <v>5</v>
      </c>
      <c r="K642" s="342">
        <f>SUM(L642:M642)</f>
        <v>97</v>
      </c>
      <c r="L642" s="342">
        <v>41</v>
      </c>
      <c r="M642" s="342">
        <v>56</v>
      </c>
      <c r="N642" s="203" t="s">
        <v>145</v>
      </c>
      <c r="O642" s="306" t="s">
        <v>417</v>
      </c>
    </row>
    <row r="643" spans="2:15" ht="18.75" customHeight="1" thickBot="1" x14ac:dyDescent="0.25">
      <c r="B643" s="342">
        <f t="shared" ref="B643:L643" si="225">SUM(B641:B642)</f>
        <v>249</v>
      </c>
      <c r="C643" s="342">
        <f t="shared" si="225"/>
        <v>147</v>
      </c>
      <c r="D643" s="342">
        <f t="shared" si="225"/>
        <v>102</v>
      </c>
      <c r="E643" s="342">
        <f t="shared" si="225"/>
        <v>77</v>
      </c>
      <c r="F643" s="342">
        <f t="shared" si="225"/>
        <v>64</v>
      </c>
      <c r="G643" s="342">
        <f t="shared" si="225"/>
        <v>13</v>
      </c>
      <c r="H643" s="342">
        <f t="shared" si="225"/>
        <v>39</v>
      </c>
      <c r="I643" s="342">
        <f t="shared" si="225"/>
        <v>29</v>
      </c>
      <c r="J643" s="342">
        <f t="shared" si="225"/>
        <v>10</v>
      </c>
      <c r="K643" s="342">
        <f t="shared" si="225"/>
        <v>133</v>
      </c>
      <c r="L643" s="342">
        <f t="shared" si="225"/>
        <v>54</v>
      </c>
      <c r="M643" s="342">
        <f>SUM(M641:M642)</f>
        <v>79</v>
      </c>
      <c r="N643" s="203" t="s">
        <v>12</v>
      </c>
      <c r="O643" s="307"/>
    </row>
    <row r="644" spans="2:15" ht="18.75" customHeight="1" thickBot="1" x14ac:dyDescent="0.25">
      <c r="B644" s="342">
        <f>SUM(C644:D644)</f>
        <v>15</v>
      </c>
      <c r="C644" s="342">
        <f t="shared" si="220"/>
        <v>9</v>
      </c>
      <c r="D644" s="342">
        <f t="shared" si="220"/>
        <v>6</v>
      </c>
      <c r="E644" s="342">
        <f>SUM(F644:G644)</f>
        <v>13</v>
      </c>
      <c r="F644" s="342">
        <v>9</v>
      </c>
      <c r="G644" s="342">
        <v>4</v>
      </c>
      <c r="H644" s="342">
        <f>SUM(I644:J644)</f>
        <v>0</v>
      </c>
      <c r="I644" s="342">
        <v>0</v>
      </c>
      <c r="J644" s="342">
        <v>0</v>
      </c>
      <c r="K644" s="342">
        <f>SUM(L644:M644)</f>
        <v>2</v>
      </c>
      <c r="L644" s="342">
        <v>0</v>
      </c>
      <c r="M644" s="342">
        <v>2</v>
      </c>
      <c r="N644" s="203" t="s">
        <v>146</v>
      </c>
      <c r="O644" s="306"/>
    </row>
    <row r="645" spans="2:15" ht="18.75" customHeight="1" thickBot="1" x14ac:dyDescent="0.25">
      <c r="B645" s="342">
        <f>SUM(C645:D645)</f>
        <v>41</v>
      </c>
      <c r="C645" s="342">
        <f t="shared" si="220"/>
        <v>15</v>
      </c>
      <c r="D645" s="342">
        <f t="shared" si="220"/>
        <v>26</v>
      </c>
      <c r="E645" s="342">
        <f>SUM(F645:G645)</f>
        <v>0</v>
      </c>
      <c r="F645" s="342">
        <v>0</v>
      </c>
      <c r="G645" s="342">
        <v>0</v>
      </c>
      <c r="H645" s="342">
        <f>SUM(I645:J645)</f>
        <v>0</v>
      </c>
      <c r="I645" s="342">
        <v>0</v>
      </c>
      <c r="J645" s="342">
        <v>0</v>
      </c>
      <c r="K645" s="342">
        <f>SUM(L645:M645)</f>
        <v>41</v>
      </c>
      <c r="L645" s="342">
        <v>15</v>
      </c>
      <c r="M645" s="342">
        <v>26</v>
      </c>
      <c r="N645" s="203" t="s">
        <v>145</v>
      </c>
      <c r="O645" s="306" t="s">
        <v>499</v>
      </c>
    </row>
    <row r="646" spans="2:15" ht="18.75" customHeight="1" thickBot="1" x14ac:dyDescent="0.25">
      <c r="B646" s="342">
        <f t="shared" ref="B646:L646" si="226">SUM(B644:B645)</f>
        <v>56</v>
      </c>
      <c r="C646" s="342">
        <f t="shared" si="226"/>
        <v>24</v>
      </c>
      <c r="D646" s="342">
        <f t="shared" si="226"/>
        <v>32</v>
      </c>
      <c r="E646" s="342">
        <f t="shared" si="226"/>
        <v>13</v>
      </c>
      <c r="F646" s="342">
        <f t="shared" si="226"/>
        <v>9</v>
      </c>
      <c r="G646" s="342">
        <f t="shared" si="226"/>
        <v>4</v>
      </c>
      <c r="H646" s="342">
        <f t="shared" si="226"/>
        <v>0</v>
      </c>
      <c r="I646" s="342">
        <f t="shared" si="226"/>
        <v>0</v>
      </c>
      <c r="J646" s="342">
        <f t="shared" si="226"/>
        <v>0</v>
      </c>
      <c r="K646" s="342">
        <f t="shared" si="226"/>
        <v>43</v>
      </c>
      <c r="L646" s="342">
        <f t="shared" si="226"/>
        <v>15</v>
      </c>
      <c r="M646" s="342">
        <f>SUM(M644:M645)</f>
        <v>28</v>
      </c>
      <c r="N646" s="203" t="s">
        <v>12</v>
      </c>
      <c r="O646" s="307"/>
    </row>
    <row r="647" spans="2:15" ht="18.75" customHeight="1" thickBot="1" x14ac:dyDescent="0.25">
      <c r="B647" s="342">
        <f>SUM(C647:D647)</f>
        <v>84</v>
      </c>
      <c r="C647" s="342">
        <f t="shared" si="220"/>
        <v>58</v>
      </c>
      <c r="D647" s="342">
        <f t="shared" si="220"/>
        <v>26</v>
      </c>
      <c r="E647" s="342">
        <f>SUM(F647:G647)</f>
        <v>46</v>
      </c>
      <c r="F647" s="342">
        <v>40</v>
      </c>
      <c r="G647" s="342">
        <v>6</v>
      </c>
      <c r="H647" s="342">
        <f>SUM(I647:J647)</f>
        <v>16</v>
      </c>
      <c r="I647" s="342">
        <v>12</v>
      </c>
      <c r="J647" s="342">
        <v>4</v>
      </c>
      <c r="K647" s="342">
        <f>SUM(L647:M647)</f>
        <v>22</v>
      </c>
      <c r="L647" s="342">
        <v>6</v>
      </c>
      <c r="M647" s="342">
        <v>16</v>
      </c>
      <c r="N647" s="203" t="s">
        <v>146</v>
      </c>
      <c r="O647" s="306"/>
    </row>
    <row r="648" spans="2:15" ht="18.75" customHeight="1" thickBot="1" x14ac:dyDescent="0.25">
      <c r="B648" s="342">
        <f>SUM(C648:D648)</f>
        <v>71</v>
      </c>
      <c r="C648" s="342">
        <f t="shared" si="220"/>
        <v>30</v>
      </c>
      <c r="D648" s="342">
        <f t="shared" si="220"/>
        <v>41</v>
      </c>
      <c r="E648" s="342">
        <f>SUM(F648:G648)</f>
        <v>17</v>
      </c>
      <c r="F648" s="342">
        <v>0</v>
      </c>
      <c r="G648" s="342">
        <v>17</v>
      </c>
      <c r="H648" s="342">
        <f>SUM(I648:J648)</f>
        <v>14</v>
      </c>
      <c r="I648" s="342">
        <v>11</v>
      </c>
      <c r="J648" s="342">
        <v>3</v>
      </c>
      <c r="K648" s="342">
        <f>SUM(L648:M648)</f>
        <v>40</v>
      </c>
      <c r="L648" s="342">
        <v>19</v>
      </c>
      <c r="M648" s="342">
        <v>21</v>
      </c>
      <c r="N648" s="203" t="s">
        <v>145</v>
      </c>
      <c r="O648" s="306" t="s">
        <v>659</v>
      </c>
    </row>
    <row r="649" spans="2:15" ht="18.75" customHeight="1" thickBot="1" x14ac:dyDescent="0.25">
      <c r="B649" s="342">
        <f t="shared" ref="B649:L649" si="227">SUM(B647:B648)</f>
        <v>155</v>
      </c>
      <c r="C649" s="342">
        <f t="shared" si="227"/>
        <v>88</v>
      </c>
      <c r="D649" s="342">
        <f t="shared" si="227"/>
        <v>67</v>
      </c>
      <c r="E649" s="342">
        <f t="shared" si="227"/>
        <v>63</v>
      </c>
      <c r="F649" s="342">
        <f t="shared" si="227"/>
        <v>40</v>
      </c>
      <c r="G649" s="342">
        <f t="shared" si="227"/>
        <v>23</v>
      </c>
      <c r="H649" s="342">
        <f t="shared" si="227"/>
        <v>30</v>
      </c>
      <c r="I649" s="342">
        <f t="shared" si="227"/>
        <v>23</v>
      </c>
      <c r="J649" s="342">
        <f t="shared" si="227"/>
        <v>7</v>
      </c>
      <c r="K649" s="342">
        <f t="shared" si="227"/>
        <v>62</v>
      </c>
      <c r="L649" s="342">
        <f t="shared" si="227"/>
        <v>25</v>
      </c>
      <c r="M649" s="342">
        <f>SUM(M647:M648)</f>
        <v>37</v>
      </c>
      <c r="N649" s="203" t="s">
        <v>12</v>
      </c>
      <c r="O649" s="307"/>
    </row>
    <row r="650" spans="2:15" ht="18.75" customHeight="1" thickBot="1" x14ac:dyDescent="0.25">
      <c r="B650" s="342">
        <f>SUM(C650:D650)</f>
        <v>43</v>
      </c>
      <c r="C650" s="342">
        <f t="shared" si="220"/>
        <v>32</v>
      </c>
      <c r="D650" s="342">
        <f t="shared" si="220"/>
        <v>11</v>
      </c>
      <c r="E650" s="342">
        <f>SUM(F650:G650)</f>
        <v>30</v>
      </c>
      <c r="F650" s="342">
        <v>25</v>
      </c>
      <c r="G650" s="342">
        <v>5</v>
      </c>
      <c r="H650" s="342">
        <f>SUM(I650:J650)</f>
        <v>5</v>
      </c>
      <c r="I650" s="342">
        <v>4</v>
      </c>
      <c r="J650" s="342">
        <v>1</v>
      </c>
      <c r="K650" s="342">
        <f>SUM(L650:M650)</f>
        <v>8</v>
      </c>
      <c r="L650" s="342">
        <v>3</v>
      </c>
      <c r="M650" s="342">
        <v>5</v>
      </c>
      <c r="N650" s="203" t="s">
        <v>146</v>
      </c>
      <c r="O650" s="306"/>
    </row>
    <row r="651" spans="2:15" ht="18.75" customHeight="1" thickBot="1" x14ac:dyDescent="0.25">
      <c r="B651" s="342">
        <f>SUM(C651:D651)</f>
        <v>54</v>
      </c>
      <c r="C651" s="342">
        <f t="shared" si="220"/>
        <v>34</v>
      </c>
      <c r="D651" s="342">
        <f t="shared" si="220"/>
        <v>20</v>
      </c>
      <c r="E651" s="342">
        <f>SUM(F651:G651)</f>
        <v>11</v>
      </c>
      <c r="F651" s="342">
        <v>11</v>
      </c>
      <c r="G651" s="342">
        <v>0</v>
      </c>
      <c r="H651" s="342">
        <f>SUM(I651:J651)</f>
        <v>5</v>
      </c>
      <c r="I651" s="342">
        <v>5</v>
      </c>
      <c r="J651" s="342">
        <v>0</v>
      </c>
      <c r="K651" s="342">
        <f>SUM(L651:M651)</f>
        <v>38</v>
      </c>
      <c r="L651" s="342">
        <v>18</v>
      </c>
      <c r="M651" s="342">
        <v>20</v>
      </c>
      <c r="N651" s="203" t="s">
        <v>145</v>
      </c>
      <c r="O651" s="306" t="s">
        <v>103</v>
      </c>
    </row>
    <row r="652" spans="2:15" ht="18.75" customHeight="1" thickBot="1" x14ac:dyDescent="0.25">
      <c r="B652" s="342">
        <f t="shared" ref="B652:L652" si="228">SUM(B650:B651)</f>
        <v>97</v>
      </c>
      <c r="C652" s="342">
        <f t="shared" si="228"/>
        <v>66</v>
      </c>
      <c r="D652" s="342">
        <f t="shared" si="228"/>
        <v>31</v>
      </c>
      <c r="E652" s="342">
        <f t="shared" si="228"/>
        <v>41</v>
      </c>
      <c r="F652" s="342">
        <f t="shared" si="228"/>
        <v>36</v>
      </c>
      <c r="G652" s="342">
        <f t="shared" si="228"/>
        <v>5</v>
      </c>
      <c r="H652" s="342">
        <f t="shared" si="228"/>
        <v>10</v>
      </c>
      <c r="I652" s="342">
        <f t="shared" si="228"/>
        <v>9</v>
      </c>
      <c r="J652" s="342">
        <f t="shared" si="228"/>
        <v>1</v>
      </c>
      <c r="K652" s="342">
        <f t="shared" si="228"/>
        <v>46</v>
      </c>
      <c r="L652" s="342">
        <f t="shared" si="228"/>
        <v>21</v>
      </c>
      <c r="M652" s="342">
        <f>SUM(M650:M651)</f>
        <v>25</v>
      </c>
      <c r="N652" s="203" t="s">
        <v>12</v>
      </c>
      <c r="O652" s="307"/>
    </row>
    <row r="653" spans="2:15" ht="18.75" customHeight="1" thickBot="1" x14ac:dyDescent="0.25">
      <c r="B653" s="342">
        <f>SUM(C653:D653)</f>
        <v>16</v>
      </c>
      <c r="C653" s="342">
        <f t="shared" si="220"/>
        <v>0</v>
      </c>
      <c r="D653" s="342">
        <f t="shared" si="220"/>
        <v>16</v>
      </c>
      <c r="E653" s="342">
        <f>SUM(F653:G653)</f>
        <v>3</v>
      </c>
      <c r="F653" s="342">
        <v>0</v>
      </c>
      <c r="G653" s="342">
        <v>3</v>
      </c>
      <c r="H653" s="342">
        <f>SUM(I653:J653)</f>
        <v>3</v>
      </c>
      <c r="I653" s="342">
        <v>0</v>
      </c>
      <c r="J653" s="342">
        <v>3</v>
      </c>
      <c r="K653" s="342">
        <f>SUM(L653:M653)</f>
        <v>10</v>
      </c>
      <c r="L653" s="342">
        <v>0</v>
      </c>
      <c r="M653" s="342">
        <v>10</v>
      </c>
      <c r="N653" s="203" t="s">
        <v>146</v>
      </c>
      <c r="O653" s="306"/>
    </row>
    <row r="654" spans="2:15" ht="18.75" customHeight="1" thickBot="1" x14ac:dyDescent="0.25">
      <c r="B654" s="342">
        <f>SUM(C654:D654)</f>
        <v>8</v>
      </c>
      <c r="C654" s="342">
        <f t="shared" si="220"/>
        <v>0</v>
      </c>
      <c r="D654" s="342">
        <f t="shared" si="220"/>
        <v>8</v>
      </c>
      <c r="E654" s="342">
        <f>SUM(F654:G654)</f>
        <v>0</v>
      </c>
      <c r="F654" s="342">
        <v>0</v>
      </c>
      <c r="G654" s="342">
        <v>0</v>
      </c>
      <c r="H654" s="342">
        <f>SUM(I654:J654)</f>
        <v>0</v>
      </c>
      <c r="I654" s="342">
        <v>0</v>
      </c>
      <c r="J654" s="342">
        <v>0</v>
      </c>
      <c r="K654" s="342">
        <f>SUM(L654:M654)</f>
        <v>8</v>
      </c>
      <c r="L654" s="342">
        <v>0</v>
      </c>
      <c r="M654" s="342">
        <v>8</v>
      </c>
      <c r="N654" s="203" t="s">
        <v>145</v>
      </c>
      <c r="O654" s="306" t="s">
        <v>680</v>
      </c>
    </row>
    <row r="655" spans="2:15" ht="18.75" customHeight="1" thickBot="1" x14ac:dyDescent="0.25">
      <c r="B655" s="342">
        <f t="shared" ref="B655:L655" si="229">SUM(B653:B654)</f>
        <v>24</v>
      </c>
      <c r="C655" s="342">
        <f t="shared" si="229"/>
        <v>0</v>
      </c>
      <c r="D655" s="342">
        <f t="shared" si="229"/>
        <v>24</v>
      </c>
      <c r="E655" s="342">
        <f t="shared" si="229"/>
        <v>3</v>
      </c>
      <c r="F655" s="342">
        <f t="shared" si="229"/>
        <v>0</v>
      </c>
      <c r="G655" s="342">
        <f t="shared" si="229"/>
        <v>3</v>
      </c>
      <c r="H655" s="342">
        <f t="shared" si="229"/>
        <v>3</v>
      </c>
      <c r="I655" s="342">
        <f t="shared" si="229"/>
        <v>0</v>
      </c>
      <c r="J655" s="342">
        <f t="shared" si="229"/>
        <v>3</v>
      </c>
      <c r="K655" s="342">
        <f t="shared" si="229"/>
        <v>18</v>
      </c>
      <c r="L655" s="342">
        <f t="shared" si="229"/>
        <v>0</v>
      </c>
      <c r="M655" s="342">
        <f>SUM(M653:M654)</f>
        <v>18</v>
      </c>
      <c r="N655" s="203" t="s">
        <v>12</v>
      </c>
      <c r="O655" s="307"/>
    </row>
    <row r="656" spans="2:15" ht="18.75" customHeight="1" thickBot="1" x14ac:dyDescent="0.25">
      <c r="B656" s="342">
        <f t="shared" ref="B656:M658" si="230">B635+B638+B641+B644+B647+B650+B653</f>
        <v>785</v>
      </c>
      <c r="C656" s="342">
        <f t="shared" si="230"/>
        <v>464</v>
      </c>
      <c r="D656" s="342">
        <f t="shared" si="230"/>
        <v>321</v>
      </c>
      <c r="E656" s="342">
        <f t="shared" si="230"/>
        <v>382</v>
      </c>
      <c r="F656" s="342">
        <f t="shared" si="230"/>
        <v>312</v>
      </c>
      <c r="G656" s="342">
        <f t="shared" si="230"/>
        <v>70</v>
      </c>
      <c r="H656" s="342">
        <f t="shared" si="230"/>
        <v>123</v>
      </c>
      <c r="I656" s="342">
        <f t="shared" si="230"/>
        <v>74</v>
      </c>
      <c r="J656" s="342">
        <f t="shared" si="230"/>
        <v>49</v>
      </c>
      <c r="K656" s="342">
        <f t="shared" si="230"/>
        <v>280</v>
      </c>
      <c r="L656" s="342">
        <f t="shared" si="230"/>
        <v>78</v>
      </c>
      <c r="M656" s="342">
        <f t="shared" si="230"/>
        <v>202</v>
      </c>
      <c r="N656" s="203" t="s">
        <v>146</v>
      </c>
      <c r="O656" s="280"/>
    </row>
    <row r="657" spans="2:15" ht="18.75" customHeight="1" thickBot="1" x14ac:dyDescent="0.25">
      <c r="B657" s="342">
        <f t="shared" si="230"/>
        <v>743</v>
      </c>
      <c r="C657" s="342">
        <f t="shared" si="230"/>
        <v>272</v>
      </c>
      <c r="D657" s="342">
        <f t="shared" si="230"/>
        <v>471</v>
      </c>
      <c r="E657" s="342">
        <f t="shared" si="230"/>
        <v>72</v>
      </c>
      <c r="F657" s="342">
        <f t="shared" si="230"/>
        <v>11</v>
      </c>
      <c r="G657" s="342">
        <f t="shared" si="230"/>
        <v>61</v>
      </c>
      <c r="H657" s="342">
        <f t="shared" si="230"/>
        <v>88</v>
      </c>
      <c r="I657" s="342">
        <f t="shared" si="230"/>
        <v>60</v>
      </c>
      <c r="J657" s="342">
        <f t="shared" si="230"/>
        <v>28</v>
      </c>
      <c r="K657" s="342">
        <f t="shared" si="230"/>
        <v>583</v>
      </c>
      <c r="L657" s="342">
        <f t="shared" si="230"/>
        <v>201</v>
      </c>
      <c r="M657" s="342">
        <f t="shared" si="230"/>
        <v>382</v>
      </c>
      <c r="N657" s="203" t="s">
        <v>145</v>
      </c>
      <c r="O657" s="281" t="s">
        <v>188</v>
      </c>
    </row>
    <row r="658" spans="2:15" ht="18.75" customHeight="1" thickBot="1" x14ac:dyDescent="0.25">
      <c r="B658" s="342">
        <f t="shared" si="230"/>
        <v>1528</v>
      </c>
      <c r="C658" s="342">
        <f t="shared" si="230"/>
        <v>736</v>
      </c>
      <c r="D658" s="342">
        <f t="shared" si="230"/>
        <v>792</v>
      </c>
      <c r="E658" s="342">
        <f t="shared" si="230"/>
        <v>454</v>
      </c>
      <c r="F658" s="342">
        <f t="shared" si="230"/>
        <v>323</v>
      </c>
      <c r="G658" s="342">
        <f t="shared" si="230"/>
        <v>131</v>
      </c>
      <c r="H658" s="342">
        <f t="shared" si="230"/>
        <v>211</v>
      </c>
      <c r="I658" s="342">
        <f t="shared" si="230"/>
        <v>134</v>
      </c>
      <c r="J658" s="342">
        <f t="shared" si="230"/>
        <v>77</v>
      </c>
      <c r="K658" s="342">
        <f t="shared" si="230"/>
        <v>863</v>
      </c>
      <c r="L658" s="342">
        <f t="shared" si="230"/>
        <v>279</v>
      </c>
      <c r="M658" s="342">
        <f t="shared" si="230"/>
        <v>584</v>
      </c>
      <c r="N658" s="203" t="s">
        <v>12</v>
      </c>
      <c r="O658" s="282"/>
    </row>
    <row r="659" spans="2:15" ht="18.75" customHeight="1" thickBot="1" x14ac:dyDescent="0.25">
      <c r="B659" s="589"/>
      <c r="C659" s="589"/>
      <c r="D659" s="589"/>
      <c r="E659" s="589"/>
      <c r="F659" s="589"/>
      <c r="G659" s="589"/>
      <c r="H659" s="589"/>
      <c r="I659" s="589"/>
      <c r="J659" s="589"/>
      <c r="K659" s="589"/>
      <c r="L659" s="589"/>
    </row>
    <row r="660" spans="2:15" ht="18.75" customHeight="1" thickBot="1" x14ac:dyDescent="0.25">
      <c r="B660" s="482" t="s">
        <v>4</v>
      </c>
      <c r="C660" s="482"/>
      <c r="D660" s="482"/>
      <c r="E660" s="482" t="s">
        <v>60</v>
      </c>
      <c r="F660" s="482"/>
      <c r="G660" s="482"/>
      <c r="H660" s="482" t="s">
        <v>57</v>
      </c>
      <c r="I660" s="482"/>
      <c r="J660" s="482"/>
      <c r="K660" s="482" t="s">
        <v>56</v>
      </c>
      <c r="L660" s="482"/>
      <c r="M660" s="482"/>
      <c r="N660" s="575" t="s">
        <v>792</v>
      </c>
      <c r="O660" s="304" t="s">
        <v>144</v>
      </c>
    </row>
    <row r="661" spans="2:15" ht="18.75" customHeight="1" thickBot="1" x14ac:dyDescent="0.25">
      <c r="B661" s="203" t="s">
        <v>227</v>
      </c>
      <c r="C661" s="203" t="s">
        <v>10</v>
      </c>
      <c r="D661" s="203" t="s">
        <v>9</v>
      </c>
      <c r="E661" s="203" t="s">
        <v>227</v>
      </c>
      <c r="F661" s="203" t="s">
        <v>10</v>
      </c>
      <c r="G661" s="203" t="s">
        <v>9</v>
      </c>
      <c r="H661" s="203" t="s">
        <v>227</v>
      </c>
      <c r="I661" s="203" t="s">
        <v>10</v>
      </c>
      <c r="J661" s="203" t="s">
        <v>9</v>
      </c>
      <c r="K661" s="203" t="s">
        <v>227</v>
      </c>
      <c r="L661" s="203" t="s">
        <v>10</v>
      </c>
      <c r="M661" s="203" t="s">
        <v>9</v>
      </c>
      <c r="N661" s="481"/>
      <c r="O661" s="282" t="s">
        <v>77</v>
      </c>
    </row>
    <row r="662" spans="2:15" ht="18.75" customHeight="1" thickBot="1" x14ac:dyDescent="0.25">
      <c r="B662" s="342">
        <f>SUM(C662:D662)</f>
        <v>150</v>
      </c>
      <c r="C662" s="342">
        <f>L662+I662+F662</f>
        <v>1</v>
      </c>
      <c r="D662" s="342">
        <f>M662+J662+G662</f>
        <v>149</v>
      </c>
      <c r="E662" s="342">
        <f>SUM(F662:G662)</f>
        <v>62</v>
      </c>
      <c r="F662" s="342">
        <v>0</v>
      </c>
      <c r="G662" s="342">
        <v>62</v>
      </c>
      <c r="H662" s="342">
        <f>SUM(I662:J662)</f>
        <v>41</v>
      </c>
      <c r="I662" s="342">
        <v>0</v>
      </c>
      <c r="J662" s="342">
        <v>41</v>
      </c>
      <c r="K662" s="342">
        <f>SUM(L662:M662)</f>
        <v>47</v>
      </c>
      <c r="L662" s="342">
        <v>1</v>
      </c>
      <c r="M662" s="342">
        <v>46</v>
      </c>
      <c r="N662" s="203" t="s">
        <v>146</v>
      </c>
      <c r="O662" s="306"/>
    </row>
    <row r="663" spans="2:15" ht="18.75" customHeight="1" thickBot="1" x14ac:dyDescent="0.25">
      <c r="B663" s="342">
        <f>SUM(C663:D663)</f>
        <v>9</v>
      </c>
      <c r="C663" s="342">
        <f t="shared" ref="C663:D693" si="231">L663+I663+F663</f>
        <v>0</v>
      </c>
      <c r="D663" s="342">
        <f t="shared" si="231"/>
        <v>9</v>
      </c>
      <c r="E663" s="342">
        <f>SUM(F663:G663)</f>
        <v>0</v>
      </c>
      <c r="F663" s="342">
        <v>0</v>
      </c>
      <c r="G663" s="342">
        <v>0</v>
      </c>
      <c r="H663" s="342">
        <f>SUM(I663:J663)</f>
        <v>0</v>
      </c>
      <c r="I663" s="342">
        <v>0</v>
      </c>
      <c r="J663" s="342">
        <v>0</v>
      </c>
      <c r="K663" s="342">
        <f>SUM(L663:M663)</f>
        <v>9</v>
      </c>
      <c r="L663" s="342">
        <v>0</v>
      </c>
      <c r="M663" s="342">
        <v>9</v>
      </c>
      <c r="N663" s="203" t="s">
        <v>145</v>
      </c>
      <c r="O663" s="306" t="s">
        <v>274</v>
      </c>
    </row>
    <row r="664" spans="2:15" ht="18.75" customHeight="1" thickBot="1" x14ac:dyDescent="0.25">
      <c r="B664" s="342">
        <f t="shared" ref="B664:L664" si="232">SUM(B662:B663)</f>
        <v>159</v>
      </c>
      <c r="C664" s="342">
        <f t="shared" si="232"/>
        <v>1</v>
      </c>
      <c r="D664" s="342">
        <f t="shared" si="232"/>
        <v>158</v>
      </c>
      <c r="E664" s="342">
        <f t="shared" si="232"/>
        <v>62</v>
      </c>
      <c r="F664" s="342">
        <f t="shared" si="232"/>
        <v>0</v>
      </c>
      <c r="G664" s="342">
        <f t="shared" si="232"/>
        <v>62</v>
      </c>
      <c r="H664" s="342">
        <f t="shared" si="232"/>
        <v>41</v>
      </c>
      <c r="I664" s="342">
        <f t="shared" si="232"/>
        <v>0</v>
      </c>
      <c r="J664" s="342">
        <f t="shared" si="232"/>
        <v>41</v>
      </c>
      <c r="K664" s="342">
        <f t="shared" si="232"/>
        <v>56</v>
      </c>
      <c r="L664" s="342">
        <f t="shared" si="232"/>
        <v>1</v>
      </c>
      <c r="M664" s="342">
        <f>SUM(M662:M663)</f>
        <v>55</v>
      </c>
      <c r="N664" s="203" t="s">
        <v>12</v>
      </c>
      <c r="O664" s="307"/>
    </row>
    <row r="665" spans="2:15" ht="18.75" customHeight="1" thickBot="1" x14ac:dyDescent="0.25">
      <c r="B665" s="342">
        <f>SUM(C665:D665)</f>
        <v>82</v>
      </c>
      <c r="C665" s="342">
        <f t="shared" si="231"/>
        <v>51</v>
      </c>
      <c r="D665" s="342">
        <f t="shared" si="231"/>
        <v>31</v>
      </c>
      <c r="E665" s="342">
        <f>SUM(F665:G665)</f>
        <v>42</v>
      </c>
      <c r="F665" s="342">
        <v>31</v>
      </c>
      <c r="G665" s="342">
        <v>11</v>
      </c>
      <c r="H665" s="342">
        <f>SUM(I665:J665)</f>
        <v>14</v>
      </c>
      <c r="I665" s="342">
        <v>12</v>
      </c>
      <c r="J665" s="342">
        <v>2</v>
      </c>
      <c r="K665" s="342">
        <f>SUM(L665:M665)</f>
        <v>26</v>
      </c>
      <c r="L665" s="342">
        <v>8</v>
      </c>
      <c r="M665" s="342">
        <v>18</v>
      </c>
      <c r="N665" s="203" t="s">
        <v>146</v>
      </c>
      <c r="O665" s="306"/>
    </row>
    <row r="666" spans="2:15" ht="18.75" customHeight="1" thickBot="1" x14ac:dyDescent="0.25">
      <c r="B666" s="342">
        <f>SUM(C666:D666)</f>
        <v>128</v>
      </c>
      <c r="C666" s="342">
        <f t="shared" si="231"/>
        <v>55</v>
      </c>
      <c r="D666" s="342">
        <f t="shared" si="231"/>
        <v>73</v>
      </c>
      <c r="E666" s="342">
        <f>SUM(F666:G666)</f>
        <v>1</v>
      </c>
      <c r="F666" s="342">
        <v>1</v>
      </c>
      <c r="G666" s="342">
        <v>0</v>
      </c>
      <c r="H666" s="342">
        <f>SUM(I666:J666)</f>
        <v>0</v>
      </c>
      <c r="I666" s="342">
        <v>0</v>
      </c>
      <c r="J666" s="342">
        <v>0</v>
      </c>
      <c r="K666" s="342">
        <f>SUM(L666:M666)</f>
        <v>127</v>
      </c>
      <c r="L666" s="342">
        <v>54</v>
      </c>
      <c r="M666" s="342">
        <v>73</v>
      </c>
      <c r="N666" s="203" t="s">
        <v>145</v>
      </c>
      <c r="O666" s="306" t="s">
        <v>496</v>
      </c>
    </row>
    <row r="667" spans="2:15" ht="18.75" customHeight="1" thickBot="1" x14ac:dyDescent="0.25">
      <c r="B667" s="342">
        <f t="shared" ref="B667:L667" si="233">SUM(B665:B666)</f>
        <v>210</v>
      </c>
      <c r="C667" s="342">
        <f t="shared" si="233"/>
        <v>106</v>
      </c>
      <c r="D667" s="342">
        <f t="shared" si="233"/>
        <v>104</v>
      </c>
      <c r="E667" s="342">
        <f t="shared" si="233"/>
        <v>43</v>
      </c>
      <c r="F667" s="342">
        <f t="shared" si="233"/>
        <v>32</v>
      </c>
      <c r="G667" s="342">
        <f t="shared" si="233"/>
        <v>11</v>
      </c>
      <c r="H667" s="342">
        <f t="shared" si="233"/>
        <v>14</v>
      </c>
      <c r="I667" s="342">
        <f t="shared" si="233"/>
        <v>12</v>
      </c>
      <c r="J667" s="342">
        <f t="shared" si="233"/>
        <v>2</v>
      </c>
      <c r="K667" s="342">
        <f t="shared" si="233"/>
        <v>153</v>
      </c>
      <c r="L667" s="342">
        <f t="shared" si="233"/>
        <v>62</v>
      </c>
      <c r="M667" s="342">
        <f>SUM(M665:M666)</f>
        <v>91</v>
      </c>
      <c r="N667" s="203" t="s">
        <v>12</v>
      </c>
      <c r="O667" s="307"/>
    </row>
    <row r="668" spans="2:15" ht="18.75" customHeight="1" thickBot="1" x14ac:dyDescent="0.25">
      <c r="B668" s="342">
        <f>SUM(C668:D668)</f>
        <v>119</v>
      </c>
      <c r="C668" s="342">
        <f t="shared" si="231"/>
        <v>66</v>
      </c>
      <c r="D668" s="342">
        <f t="shared" si="231"/>
        <v>53</v>
      </c>
      <c r="E668" s="342">
        <f>SUM(F668:G668)</f>
        <v>80</v>
      </c>
      <c r="F668" s="342">
        <v>50</v>
      </c>
      <c r="G668" s="342">
        <v>30</v>
      </c>
      <c r="H668" s="342">
        <f>SUM(I668:J668)</f>
        <v>16</v>
      </c>
      <c r="I668" s="342">
        <v>13</v>
      </c>
      <c r="J668" s="342">
        <v>3</v>
      </c>
      <c r="K668" s="342">
        <f>SUM(L668:M668)</f>
        <v>23</v>
      </c>
      <c r="L668" s="342">
        <v>3</v>
      </c>
      <c r="M668" s="342">
        <v>20</v>
      </c>
      <c r="N668" s="203" t="s">
        <v>146</v>
      </c>
      <c r="O668" s="306"/>
    </row>
    <row r="669" spans="2:15" ht="18.75" customHeight="1" thickBot="1" x14ac:dyDescent="0.25">
      <c r="B669" s="342">
        <f>SUM(C669:D669)</f>
        <v>259</v>
      </c>
      <c r="C669" s="342">
        <f t="shared" si="231"/>
        <v>60</v>
      </c>
      <c r="D669" s="342">
        <f t="shared" si="231"/>
        <v>199</v>
      </c>
      <c r="E669" s="342">
        <f>SUM(F669:G669)</f>
        <v>0</v>
      </c>
      <c r="F669" s="342">
        <v>0</v>
      </c>
      <c r="G669" s="342">
        <v>0</v>
      </c>
      <c r="H669" s="342">
        <f>SUM(I669:J669)</f>
        <v>0</v>
      </c>
      <c r="I669" s="342">
        <v>0</v>
      </c>
      <c r="J669" s="342">
        <v>0</v>
      </c>
      <c r="K669" s="342">
        <f>SUM(L669:M669)</f>
        <v>259</v>
      </c>
      <c r="L669" s="342">
        <v>60</v>
      </c>
      <c r="M669" s="342">
        <v>199</v>
      </c>
      <c r="N669" s="203" t="s">
        <v>145</v>
      </c>
      <c r="O669" s="306" t="s">
        <v>367</v>
      </c>
    </row>
    <row r="670" spans="2:15" ht="18.75" customHeight="1" thickBot="1" x14ac:dyDescent="0.25">
      <c r="B670" s="342">
        <f t="shared" ref="B670:L670" si="234">SUM(B668:B669)</f>
        <v>378</v>
      </c>
      <c r="C670" s="342">
        <f t="shared" si="234"/>
        <v>126</v>
      </c>
      <c r="D670" s="342">
        <f t="shared" si="234"/>
        <v>252</v>
      </c>
      <c r="E670" s="342">
        <f t="shared" si="234"/>
        <v>80</v>
      </c>
      <c r="F670" s="342">
        <f t="shared" si="234"/>
        <v>50</v>
      </c>
      <c r="G670" s="342">
        <f t="shared" si="234"/>
        <v>30</v>
      </c>
      <c r="H670" s="342">
        <f t="shared" si="234"/>
        <v>16</v>
      </c>
      <c r="I670" s="342">
        <f t="shared" si="234"/>
        <v>13</v>
      </c>
      <c r="J670" s="342">
        <f t="shared" si="234"/>
        <v>3</v>
      </c>
      <c r="K670" s="342">
        <f t="shared" si="234"/>
        <v>282</v>
      </c>
      <c r="L670" s="342">
        <f t="shared" si="234"/>
        <v>63</v>
      </c>
      <c r="M670" s="342">
        <f>SUM(M668:M669)</f>
        <v>219</v>
      </c>
      <c r="N670" s="203" t="s">
        <v>12</v>
      </c>
      <c r="O670" s="307"/>
    </row>
    <row r="671" spans="2:15" ht="18.75" customHeight="1" thickBot="1" x14ac:dyDescent="0.25">
      <c r="B671" s="342">
        <f>SUM(C671:D671)</f>
        <v>55</v>
      </c>
      <c r="C671" s="342">
        <f t="shared" si="231"/>
        <v>9</v>
      </c>
      <c r="D671" s="342">
        <f t="shared" si="231"/>
        <v>46</v>
      </c>
      <c r="E671" s="342">
        <f>SUM(F671:G671)</f>
        <v>42</v>
      </c>
      <c r="F671" s="342">
        <v>9</v>
      </c>
      <c r="G671" s="342">
        <v>33</v>
      </c>
      <c r="H671" s="342">
        <f>SUM(I671:J671)</f>
        <v>3</v>
      </c>
      <c r="I671" s="342">
        <v>0</v>
      </c>
      <c r="J671" s="342">
        <v>3</v>
      </c>
      <c r="K671" s="342">
        <f>SUM(L671:M671)</f>
        <v>10</v>
      </c>
      <c r="L671" s="342">
        <v>0</v>
      </c>
      <c r="M671" s="342">
        <v>10</v>
      </c>
      <c r="N671" s="203" t="s">
        <v>146</v>
      </c>
      <c r="O671" s="306"/>
    </row>
    <row r="672" spans="2:15" ht="18.75" customHeight="1" thickBot="1" x14ac:dyDescent="0.25">
      <c r="B672" s="342">
        <f>SUM(C672:D672)</f>
        <v>98</v>
      </c>
      <c r="C672" s="342">
        <f t="shared" si="231"/>
        <v>14</v>
      </c>
      <c r="D672" s="342">
        <f t="shared" si="231"/>
        <v>84</v>
      </c>
      <c r="E672" s="342">
        <f>SUM(F672:G672)</f>
        <v>0</v>
      </c>
      <c r="F672" s="342">
        <v>0</v>
      </c>
      <c r="G672" s="342">
        <v>0</v>
      </c>
      <c r="H672" s="342">
        <f>SUM(I672:J672)</f>
        <v>0</v>
      </c>
      <c r="I672" s="342">
        <v>0</v>
      </c>
      <c r="J672" s="342">
        <v>0</v>
      </c>
      <c r="K672" s="342">
        <f>SUM(L672:M672)</f>
        <v>98</v>
      </c>
      <c r="L672" s="342">
        <v>14</v>
      </c>
      <c r="M672" s="342">
        <v>84</v>
      </c>
      <c r="N672" s="203" t="s">
        <v>145</v>
      </c>
      <c r="O672" s="306" t="s">
        <v>497</v>
      </c>
    </row>
    <row r="673" spans="2:15" ht="18.75" customHeight="1" thickBot="1" x14ac:dyDescent="0.25">
      <c r="B673" s="342">
        <f t="shared" ref="B673:L673" si="235">SUM(B671:B672)</f>
        <v>153</v>
      </c>
      <c r="C673" s="342">
        <f t="shared" si="235"/>
        <v>23</v>
      </c>
      <c r="D673" s="342">
        <f t="shared" si="235"/>
        <v>130</v>
      </c>
      <c r="E673" s="342">
        <f t="shared" si="235"/>
        <v>42</v>
      </c>
      <c r="F673" s="342">
        <f t="shared" si="235"/>
        <v>9</v>
      </c>
      <c r="G673" s="342">
        <f t="shared" si="235"/>
        <v>33</v>
      </c>
      <c r="H673" s="342">
        <f t="shared" si="235"/>
        <v>3</v>
      </c>
      <c r="I673" s="342">
        <f t="shared" si="235"/>
        <v>0</v>
      </c>
      <c r="J673" s="342">
        <f t="shared" si="235"/>
        <v>3</v>
      </c>
      <c r="K673" s="342">
        <f t="shared" si="235"/>
        <v>108</v>
      </c>
      <c r="L673" s="342">
        <f t="shared" si="235"/>
        <v>14</v>
      </c>
      <c r="M673" s="342">
        <f>SUM(M671:M672)</f>
        <v>94</v>
      </c>
      <c r="N673" s="203" t="s">
        <v>12</v>
      </c>
      <c r="O673" s="307"/>
    </row>
    <row r="674" spans="2:15" ht="18.75" customHeight="1" thickBot="1" x14ac:dyDescent="0.25">
      <c r="B674" s="342">
        <f>SUM(C674:D674)</f>
        <v>49</v>
      </c>
      <c r="C674" s="342">
        <f t="shared" si="231"/>
        <v>22</v>
      </c>
      <c r="D674" s="342">
        <f t="shared" si="231"/>
        <v>27</v>
      </c>
      <c r="E674" s="342">
        <f>SUM(F674:G674)</f>
        <v>45</v>
      </c>
      <c r="F674" s="342">
        <v>22</v>
      </c>
      <c r="G674" s="342">
        <v>23</v>
      </c>
      <c r="H674" s="342">
        <f>SUM(I674:J674)</f>
        <v>2</v>
      </c>
      <c r="I674" s="342">
        <v>0</v>
      </c>
      <c r="J674" s="342">
        <v>2</v>
      </c>
      <c r="K674" s="342">
        <f>SUM(L674:M674)</f>
        <v>2</v>
      </c>
      <c r="L674" s="342">
        <v>0</v>
      </c>
      <c r="M674" s="342">
        <v>2</v>
      </c>
      <c r="N674" s="203" t="s">
        <v>146</v>
      </c>
      <c r="O674" s="306"/>
    </row>
    <row r="675" spans="2:15" ht="18.75" customHeight="1" thickBot="1" x14ac:dyDescent="0.25">
      <c r="B675" s="342">
        <f>SUM(C675:D675)</f>
        <v>44</v>
      </c>
      <c r="C675" s="342">
        <f t="shared" si="231"/>
        <v>3</v>
      </c>
      <c r="D675" s="342">
        <f t="shared" si="231"/>
        <v>41</v>
      </c>
      <c r="E675" s="342">
        <f>SUM(F675:G675)</f>
        <v>0</v>
      </c>
      <c r="F675" s="342">
        <v>0</v>
      </c>
      <c r="G675" s="342">
        <v>0</v>
      </c>
      <c r="H675" s="342">
        <f>SUM(I675:J675)</f>
        <v>0</v>
      </c>
      <c r="I675" s="342">
        <v>0</v>
      </c>
      <c r="J675" s="342">
        <v>0</v>
      </c>
      <c r="K675" s="342">
        <f>SUM(L675:M675)</f>
        <v>44</v>
      </c>
      <c r="L675" s="342">
        <v>3</v>
      </c>
      <c r="M675" s="342">
        <v>41</v>
      </c>
      <c r="N675" s="203" t="s">
        <v>145</v>
      </c>
      <c r="O675" s="306" t="s">
        <v>498</v>
      </c>
    </row>
    <row r="676" spans="2:15" ht="18.75" customHeight="1" thickBot="1" x14ac:dyDescent="0.25">
      <c r="B676" s="342">
        <f t="shared" ref="B676:L676" si="236">SUM(B674:B675)</f>
        <v>93</v>
      </c>
      <c r="C676" s="342">
        <f t="shared" si="236"/>
        <v>25</v>
      </c>
      <c r="D676" s="342">
        <f t="shared" si="236"/>
        <v>68</v>
      </c>
      <c r="E676" s="342">
        <f t="shared" si="236"/>
        <v>45</v>
      </c>
      <c r="F676" s="342">
        <f t="shared" si="236"/>
        <v>22</v>
      </c>
      <c r="G676" s="342">
        <f t="shared" si="236"/>
        <v>23</v>
      </c>
      <c r="H676" s="342">
        <f t="shared" si="236"/>
        <v>2</v>
      </c>
      <c r="I676" s="342">
        <f t="shared" si="236"/>
        <v>0</v>
      </c>
      <c r="J676" s="342">
        <f t="shared" si="236"/>
        <v>2</v>
      </c>
      <c r="K676" s="342">
        <f t="shared" si="236"/>
        <v>46</v>
      </c>
      <c r="L676" s="342">
        <f t="shared" si="236"/>
        <v>3</v>
      </c>
      <c r="M676" s="342">
        <f>SUM(M674:M675)</f>
        <v>43</v>
      </c>
      <c r="N676" s="203" t="s">
        <v>12</v>
      </c>
      <c r="O676" s="307"/>
    </row>
    <row r="677" spans="2:15" ht="18.75" customHeight="1" thickBot="1" x14ac:dyDescent="0.25">
      <c r="B677" s="342">
        <f>SUM(C677:D677)</f>
        <v>73</v>
      </c>
      <c r="C677" s="342">
        <f t="shared" si="231"/>
        <v>31</v>
      </c>
      <c r="D677" s="342">
        <f t="shared" si="231"/>
        <v>42</v>
      </c>
      <c r="E677" s="342">
        <f>SUM(F677:G677)</f>
        <v>45</v>
      </c>
      <c r="F677" s="342">
        <v>24</v>
      </c>
      <c r="G677" s="342">
        <v>21</v>
      </c>
      <c r="H677" s="342">
        <f>SUM(I677:J677)</f>
        <v>21</v>
      </c>
      <c r="I677" s="342">
        <v>6</v>
      </c>
      <c r="J677" s="342">
        <v>15</v>
      </c>
      <c r="K677" s="342">
        <f>SUM(L677:M677)</f>
        <v>7</v>
      </c>
      <c r="L677" s="342">
        <v>1</v>
      </c>
      <c r="M677" s="342">
        <v>6</v>
      </c>
      <c r="N677" s="203" t="s">
        <v>146</v>
      </c>
      <c r="O677" s="306"/>
    </row>
    <row r="678" spans="2:15" ht="18.75" customHeight="1" thickBot="1" x14ac:dyDescent="0.25">
      <c r="B678" s="342">
        <f>SUM(C678:D678)</f>
        <v>78</v>
      </c>
      <c r="C678" s="342">
        <f t="shared" si="231"/>
        <v>21</v>
      </c>
      <c r="D678" s="342">
        <f t="shared" si="231"/>
        <v>57</v>
      </c>
      <c r="E678" s="342">
        <f>SUM(F678:G678)</f>
        <v>0</v>
      </c>
      <c r="F678" s="342">
        <v>0</v>
      </c>
      <c r="G678" s="342">
        <v>0</v>
      </c>
      <c r="H678" s="342">
        <f>SUM(I678:J678)</f>
        <v>0</v>
      </c>
      <c r="I678" s="342">
        <v>0</v>
      </c>
      <c r="J678" s="342">
        <v>0</v>
      </c>
      <c r="K678" s="342">
        <f>SUM(L678:M678)</f>
        <v>78</v>
      </c>
      <c r="L678" s="342">
        <v>21</v>
      </c>
      <c r="M678" s="342">
        <v>57</v>
      </c>
      <c r="N678" s="203" t="s">
        <v>145</v>
      </c>
      <c r="O678" s="306" t="s">
        <v>499</v>
      </c>
    </row>
    <row r="679" spans="2:15" ht="18.75" customHeight="1" thickBot="1" x14ac:dyDescent="0.25">
      <c r="B679" s="342">
        <f t="shared" ref="B679:L679" si="237">SUM(B677:B678)</f>
        <v>151</v>
      </c>
      <c r="C679" s="342">
        <f t="shared" si="237"/>
        <v>52</v>
      </c>
      <c r="D679" s="342">
        <f t="shared" si="237"/>
        <v>99</v>
      </c>
      <c r="E679" s="342">
        <f t="shared" si="237"/>
        <v>45</v>
      </c>
      <c r="F679" s="342">
        <f t="shared" si="237"/>
        <v>24</v>
      </c>
      <c r="G679" s="342">
        <f t="shared" si="237"/>
        <v>21</v>
      </c>
      <c r="H679" s="342">
        <f t="shared" si="237"/>
        <v>21</v>
      </c>
      <c r="I679" s="342">
        <f t="shared" si="237"/>
        <v>6</v>
      </c>
      <c r="J679" s="342">
        <f t="shared" si="237"/>
        <v>15</v>
      </c>
      <c r="K679" s="342">
        <f t="shared" si="237"/>
        <v>85</v>
      </c>
      <c r="L679" s="342">
        <f t="shared" si="237"/>
        <v>22</v>
      </c>
      <c r="M679" s="342">
        <f>SUM(M677:M678)</f>
        <v>63</v>
      </c>
      <c r="N679" s="203" t="s">
        <v>12</v>
      </c>
      <c r="O679" s="307"/>
    </row>
    <row r="680" spans="2:15" ht="18.75" customHeight="1" thickBot="1" x14ac:dyDescent="0.25">
      <c r="B680" s="342">
        <f>SUM(C680:D680)</f>
        <v>32</v>
      </c>
      <c r="C680" s="342">
        <f t="shared" si="231"/>
        <v>17</v>
      </c>
      <c r="D680" s="342">
        <f t="shared" si="231"/>
        <v>15</v>
      </c>
      <c r="E680" s="342">
        <f>SUM(F680:G680)</f>
        <v>27</v>
      </c>
      <c r="F680" s="342">
        <v>17</v>
      </c>
      <c r="G680" s="342">
        <v>10</v>
      </c>
      <c r="H680" s="342">
        <f>SUM(I680:J680)</f>
        <v>5</v>
      </c>
      <c r="I680" s="342">
        <v>0</v>
      </c>
      <c r="J680" s="342">
        <v>5</v>
      </c>
      <c r="K680" s="342">
        <f>SUM(L680:M680)</f>
        <v>0</v>
      </c>
      <c r="L680" s="342">
        <v>0</v>
      </c>
      <c r="M680" s="342">
        <v>0</v>
      </c>
      <c r="N680" s="203" t="s">
        <v>146</v>
      </c>
      <c r="O680" s="306"/>
    </row>
    <row r="681" spans="2:15" ht="18.75" customHeight="1" thickBot="1" x14ac:dyDescent="0.25">
      <c r="B681" s="342">
        <f>SUM(C681:D681)</f>
        <v>16</v>
      </c>
      <c r="C681" s="342">
        <f t="shared" si="231"/>
        <v>8</v>
      </c>
      <c r="D681" s="342">
        <f t="shared" si="231"/>
        <v>8</v>
      </c>
      <c r="E681" s="342">
        <f>SUM(F681:G681)</f>
        <v>0</v>
      </c>
      <c r="F681" s="342">
        <v>0</v>
      </c>
      <c r="G681" s="342">
        <v>0</v>
      </c>
      <c r="H681" s="342">
        <f>SUM(I681:J681)</f>
        <v>0</v>
      </c>
      <c r="I681" s="342">
        <v>0</v>
      </c>
      <c r="J681" s="342">
        <v>0</v>
      </c>
      <c r="K681" s="342">
        <f>SUM(L681:M681)</f>
        <v>16</v>
      </c>
      <c r="L681" s="342">
        <v>8</v>
      </c>
      <c r="M681" s="342">
        <v>8</v>
      </c>
      <c r="N681" s="203" t="s">
        <v>145</v>
      </c>
      <c r="O681" s="306" t="s">
        <v>500</v>
      </c>
    </row>
    <row r="682" spans="2:15" ht="18.75" customHeight="1" thickBot="1" x14ac:dyDescent="0.25">
      <c r="B682" s="342">
        <f t="shared" ref="B682:G682" si="238">SUM(B680:B681)</f>
        <v>48</v>
      </c>
      <c r="C682" s="342">
        <f t="shared" si="238"/>
        <v>25</v>
      </c>
      <c r="D682" s="342">
        <f t="shared" si="238"/>
        <v>23</v>
      </c>
      <c r="E682" s="342">
        <f t="shared" si="238"/>
        <v>27</v>
      </c>
      <c r="F682" s="342">
        <f t="shared" si="238"/>
        <v>17</v>
      </c>
      <c r="G682" s="342">
        <f t="shared" si="238"/>
        <v>10</v>
      </c>
      <c r="H682" s="342">
        <f t="shared" ref="H682" si="239">SUM(H680:H681)</f>
        <v>5</v>
      </c>
      <c r="I682" s="342">
        <f t="shared" ref="I682:L682" si="240">SUM(I680:I681)</f>
        <v>0</v>
      </c>
      <c r="J682" s="342">
        <f t="shared" si="240"/>
        <v>5</v>
      </c>
      <c r="K682" s="342">
        <f t="shared" si="240"/>
        <v>16</v>
      </c>
      <c r="L682" s="342">
        <f t="shared" si="240"/>
        <v>8</v>
      </c>
      <c r="M682" s="342">
        <f>SUM(M680:M681)</f>
        <v>8</v>
      </c>
      <c r="N682" s="203" t="s">
        <v>12</v>
      </c>
      <c r="O682" s="307"/>
    </row>
    <row r="683" spans="2:15" ht="18.75" customHeight="1" thickBot="1" x14ac:dyDescent="0.25">
      <c r="B683" s="342">
        <f>SUM(C683:D683)</f>
        <v>31</v>
      </c>
      <c r="C683" s="342">
        <f t="shared" si="231"/>
        <v>20</v>
      </c>
      <c r="D683" s="342">
        <f t="shared" si="231"/>
        <v>11</v>
      </c>
      <c r="E683" s="342">
        <f>SUM(F683:G683)</f>
        <v>23</v>
      </c>
      <c r="F683" s="342">
        <v>17</v>
      </c>
      <c r="G683" s="342">
        <v>6</v>
      </c>
      <c r="H683" s="342">
        <f>SUM(I683:J683)</f>
        <v>6</v>
      </c>
      <c r="I683" s="342">
        <v>3</v>
      </c>
      <c r="J683" s="342">
        <v>3</v>
      </c>
      <c r="K683" s="342">
        <f>SUM(L683:M683)</f>
        <v>2</v>
      </c>
      <c r="L683" s="342">
        <v>0</v>
      </c>
      <c r="M683" s="342">
        <v>2</v>
      </c>
      <c r="N683" s="203" t="s">
        <v>146</v>
      </c>
      <c r="O683" s="306"/>
    </row>
    <row r="684" spans="2:15" ht="18.75" customHeight="1" thickBot="1" x14ac:dyDescent="0.25">
      <c r="B684" s="342">
        <f>SUM(C684:D684)</f>
        <v>12</v>
      </c>
      <c r="C684" s="342">
        <f t="shared" si="231"/>
        <v>3</v>
      </c>
      <c r="D684" s="342">
        <f t="shared" si="231"/>
        <v>9</v>
      </c>
      <c r="E684" s="342">
        <f>SUM(F684:G684)</f>
        <v>0</v>
      </c>
      <c r="F684" s="342">
        <v>0</v>
      </c>
      <c r="G684" s="342">
        <v>0</v>
      </c>
      <c r="H684" s="342">
        <f>SUM(I684:J684)</f>
        <v>0</v>
      </c>
      <c r="I684" s="342">
        <v>0</v>
      </c>
      <c r="J684" s="342">
        <v>0</v>
      </c>
      <c r="K684" s="342">
        <f>SUM(L684:M684)</f>
        <v>12</v>
      </c>
      <c r="L684" s="342">
        <v>3</v>
      </c>
      <c r="M684" s="342">
        <v>9</v>
      </c>
      <c r="N684" s="203" t="s">
        <v>145</v>
      </c>
      <c r="O684" s="306" t="s">
        <v>663</v>
      </c>
    </row>
    <row r="685" spans="2:15" ht="18.75" customHeight="1" thickBot="1" x14ac:dyDescent="0.25">
      <c r="B685" s="342">
        <f t="shared" ref="B685:L685" si="241">SUM(B683:B684)</f>
        <v>43</v>
      </c>
      <c r="C685" s="342">
        <f t="shared" si="241"/>
        <v>23</v>
      </c>
      <c r="D685" s="342">
        <f t="shared" si="241"/>
        <v>20</v>
      </c>
      <c r="E685" s="342">
        <f t="shared" si="241"/>
        <v>23</v>
      </c>
      <c r="F685" s="342">
        <f t="shared" si="241"/>
        <v>17</v>
      </c>
      <c r="G685" s="342">
        <f t="shared" si="241"/>
        <v>6</v>
      </c>
      <c r="H685" s="342">
        <f t="shared" si="241"/>
        <v>6</v>
      </c>
      <c r="I685" s="342">
        <f t="shared" si="241"/>
        <v>3</v>
      </c>
      <c r="J685" s="342">
        <f t="shared" si="241"/>
        <v>3</v>
      </c>
      <c r="K685" s="342">
        <f t="shared" si="241"/>
        <v>14</v>
      </c>
      <c r="L685" s="342">
        <f t="shared" si="241"/>
        <v>3</v>
      </c>
      <c r="M685" s="342">
        <f>SUM(M683:M684)</f>
        <v>11</v>
      </c>
      <c r="N685" s="203" t="s">
        <v>12</v>
      </c>
      <c r="O685" s="307"/>
    </row>
    <row r="686" spans="2:15" ht="18.75" customHeight="1" thickBot="1" x14ac:dyDescent="0.25">
      <c r="B686" s="342">
        <f>SUM(C686:D686)</f>
        <v>10</v>
      </c>
      <c r="C686" s="342">
        <f t="shared" si="231"/>
        <v>10</v>
      </c>
      <c r="D686" s="342">
        <f t="shared" si="231"/>
        <v>0</v>
      </c>
      <c r="E686" s="342">
        <f>SUM(F686:G686)</f>
        <v>10</v>
      </c>
      <c r="F686" s="342">
        <v>10</v>
      </c>
      <c r="G686" s="342">
        <v>0</v>
      </c>
      <c r="H686" s="342">
        <f>SUM(I686:J686)</f>
        <v>0</v>
      </c>
      <c r="I686" s="342">
        <v>0</v>
      </c>
      <c r="J686" s="342">
        <v>0</v>
      </c>
      <c r="K686" s="342">
        <f>SUM(L686:M686)</f>
        <v>0</v>
      </c>
      <c r="L686" s="342">
        <v>0</v>
      </c>
      <c r="M686" s="342">
        <v>0</v>
      </c>
      <c r="N686" s="203" t="s">
        <v>146</v>
      </c>
      <c r="O686" s="306"/>
    </row>
    <row r="687" spans="2:15" ht="18.75" customHeight="1" thickBot="1" x14ac:dyDescent="0.25">
      <c r="B687" s="342">
        <f>SUM(C687:D687)</f>
        <v>2</v>
      </c>
      <c r="C687" s="342">
        <f t="shared" si="231"/>
        <v>0</v>
      </c>
      <c r="D687" s="342">
        <f t="shared" si="231"/>
        <v>2</v>
      </c>
      <c r="E687" s="342">
        <f>SUM(F687:G687)</f>
        <v>0</v>
      </c>
      <c r="F687" s="342">
        <v>0</v>
      </c>
      <c r="G687" s="342">
        <v>0</v>
      </c>
      <c r="H687" s="342">
        <f>SUM(I687:J687)</f>
        <v>0</v>
      </c>
      <c r="I687" s="342">
        <v>0</v>
      </c>
      <c r="J687" s="342">
        <v>0</v>
      </c>
      <c r="K687" s="342">
        <f>SUM(L687:M687)</f>
        <v>2</v>
      </c>
      <c r="L687" s="342">
        <v>0</v>
      </c>
      <c r="M687" s="342">
        <v>2</v>
      </c>
      <c r="N687" s="203" t="s">
        <v>145</v>
      </c>
      <c r="O687" s="306" t="s">
        <v>104</v>
      </c>
    </row>
    <row r="688" spans="2:15" ht="18.75" customHeight="1" thickBot="1" x14ac:dyDescent="0.25">
      <c r="B688" s="342">
        <f t="shared" ref="B688:L688" si="242">SUM(B686:B687)</f>
        <v>12</v>
      </c>
      <c r="C688" s="342">
        <f t="shared" si="242"/>
        <v>10</v>
      </c>
      <c r="D688" s="342">
        <f t="shared" si="242"/>
        <v>2</v>
      </c>
      <c r="E688" s="342">
        <f t="shared" si="242"/>
        <v>10</v>
      </c>
      <c r="F688" s="342">
        <f t="shared" si="242"/>
        <v>10</v>
      </c>
      <c r="G688" s="342">
        <f t="shared" si="242"/>
        <v>0</v>
      </c>
      <c r="H688" s="342">
        <f t="shared" si="242"/>
        <v>0</v>
      </c>
      <c r="I688" s="342">
        <f t="shared" si="242"/>
        <v>0</v>
      </c>
      <c r="J688" s="342">
        <f t="shared" si="242"/>
        <v>0</v>
      </c>
      <c r="K688" s="342">
        <f t="shared" si="242"/>
        <v>2</v>
      </c>
      <c r="L688" s="342">
        <f t="shared" si="242"/>
        <v>0</v>
      </c>
      <c r="M688" s="342">
        <f>SUM(M686:M687)</f>
        <v>2</v>
      </c>
      <c r="N688" s="203" t="s">
        <v>12</v>
      </c>
      <c r="O688" s="307"/>
    </row>
    <row r="689" spans="2:15" ht="18.75" customHeight="1" thickBot="1" x14ac:dyDescent="0.25">
      <c r="B689" s="342">
        <f>SUM(C689:D689)</f>
        <v>140</v>
      </c>
      <c r="C689" s="342">
        <f t="shared" si="231"/>
        <v>140</v>
      </c>
      <c r="D689" s="342">
        <f t="shared" si="231"/>
        <v>0</v>
      </c>
      <c r="E689" s="342">
        <f>SUM(F689:G689)</f>
        <v>86</v>
      </c>
      <c r="F689" s="342">
        <v>86</v>
      </c>
      <c r="G689" s="342">
        <v>0</v>
      </c>
      <c r="H689" s="342">
        <f>SUM(I689:J689)</f>
        <v>43</v>
      </c>
      <c r="I689" s="342">
        <v>43</v>
      </c>
      <c r="J689" s="342">
        <v>0</v>
      </c>
      <c r="K689" s="342">
        <f>SUM(L689:M689)</f>
        <v>11</v>
      </c>
      <c r="L689" s="342">
        <v>11</v>
      </c>
      <c r="M689" s="342">
        <v>0</v>
      </c>
      <c r="N689" s="203" t="s">
        <v>146</v>
      </c>
      <c r="O689" s="306"/>
    </row>
    <row r="690" spans="2:15" ht="18.75" customHeight="1" thickBot="1" x14ac:dyDescent="0.25">
      <c r="B690" s="342">
        <f>SUM(C690:D690)</f>
        <v>12</v>
      </c>
      <c r="C690" s="342">
        <f t="shared" si="231"/>
        <v>12</v>
      </c>
      <c r="D690" s="342">
        <f t="shared" si="231"/>
        <v>0</v>
      </c>
      <c r="E690" s="342">
        <f>SUM(F690:G690)</f>
        <v>0</v>
      </c>
      <c r="F690" s="342">
        <v>0</v>
      </c>
      <c r="G690" s="342">
        <v>0</v>
      </c>
      <c r="H690" s="342">
        <f>SUM(I690:J690)</f>
        <v>0</v>
      </c>
      <c r="I690" s="342">
        <v>0</v>
      </c>
      <c r="J690" s="342">
        <v>0</v>
      </c>
      <c r="K690" s="342">
        <f>SUM(L690:M690)</f>
        <v>12</v>
      </c>
      <c r="L690" s="342">
        <v>12</v>
      </c>
      <c r="M690" s="342">
        <v>0</v>
      </c>
      <c r="N690" s="203" t="s">
        <v>145</v>
      </c>
      <c r="O690" s="306" t="s">
        <v>770</v>
      </c>
    </row>
    <row r="691" spans="2:15" ht="18.75" customHeight="1" thickBot="1" x14ac:dyDescent="0.25">
      <c r="B691" s="342">
        <f t="shared" ref="B691:L691" si="243">SUM(B689:B690)</f>
        <v>152</v>
      </c>
      <c r="C691" s="342">
        <f t="shared" si="243"/>
        <v>152</v>
      </c>
      <c r="D691" s="342">
        <f t="shared" si="243"/>
        <v>0</v>
      </c>
      <c r="E691" s="342">
        <f t="shared" si="243"/>
        <v>86</v>
      </c>
      <c r="F691" s="342">
        <f t="shared" si="243"/>
        <v>86</v>
      </c>
      <c r="G691" s="342">
        <f t="shared" si="243"/>
        <v>0</v>
      </c>
      <c r="H691" s="342">
        <f t="shared" si="243"/>
        <v>43</v>
      </c>
      <c r="I691" s="342">
        <f t="shared" si="243"/>
        <v>43</v>
      </c>
      <c r="J691" s="342">
        <f t="shared" si="243"/>
        <v>0</v>
      </c>
      <c r="K691" s="342">
        <f t="shared" si="243"/>
        <v>23</v>
      </c>
      <c r="L691" s="342">
        <f t="shared" si="243"/>
        <v>23</v>
      </c>
      <c r="M691" s="342">
        <f>SUM(M689:M690)</f>
        <v>0</v>
      </c>
      <c r="N691" s="203" t="s">
        <v>12</v>
      </c>
      <c r="O691" s="307"/>
    </row>
    <row r="692" spans="2:15" ht="18.75" customHeight="1" thickBot="1" x14ac:dyDescent="0.25">
      <c r="B692" s="342">
        <f>SUM(C692:D692)</f>
        <v>10</v>
      </c>
      <c r="C692" s="342">
        <f t="shared" si="231"/>
        <v>1</v>
      </c>
      <c r="D692" s="342">
        <f t="shared" si="231"/>
        <v>9</v>
      </c>
      <c r="E692" s="342">
        <f>SUM(F692:G692)</f>
        <v>7</v>
      </c>
      <c r="F692" s="342">
        <v>0</v>
      </c>
      <c r="G692" s="342">
        <v>7</v>
      </c>
      <c r="H692" s="342">
        <f>SUM(I692:J692)</f>
        <v>3</v>
      </c>
      <c r="I692" s="342">
        <v>1</v>
      </c>
      <c r="J692" s="342">
        <v>2</v>
      </c>
      <c r="K692" s="342">
        <f>SUM(L692:M692)</f>
        <v>0</v>
      </c>
      <c r="L692" s="342">
        <v>0</v>
      </c>
      <c r="M692" s="342">
        <v>0</v>
      </c>
      <c r="N692" s="203" t="s">
        <v>146</v>
      </c>
      <c r="O692" s="306"/>
    </row>
    <row r="693" spans="2:15" ht="18.75" customHeight="1" thickBot="1" x14ac:dyDescent="0.25">
      <c r="B693" s="342">
        <f>SUM(C693:D693)</f>
        <v>68</v>
      </c>
      <c r="C693" s="342">
        <f t="shared" si="231"/>
        <v>26</v>
      </c>
      <c r="D693" s="342">
        <f t="shared" si="231"/>
        <v>42</v>
      </c>
      <c r="E693" s="342">
        <f>SUM(F693:G693)</f>
        <v>4</v>
      </c>
      <c r="F693" s="342">
        <v>2</v>
      </c>
      <c r="G693" s="342">
        <v>2</v>
      </c>
      <c r="H693" s="342">
        <f>SUM(I693:J693)</f>
        <v>44</v>
      </c>
      <c r="I693" s="342">
        <v>11</v>
      </c>
      <c r="J693" s="342">
        <v>33</v>
      </c>
      <c r="K693" s="342">
        <f>SUM(L693:M693)</f>
        <v>20</v>
      </c>
      <c r="L693" s="342">
        <v>13</v>
      </c>
      <c r="M693" s="342">
        <v>7</v>
      </c>
      <c r="N693" s="203" t="s">
        <v>145</v>
      </c>
      <c r="O693" s="306" t="s">
        <v>800</v>
      </c>
    </row>
    <row r="694" spans="2:15" ht="18.75" customHeight="1" thickBot="1" x14ac:dyDescent="0.25">
      <c r="B694" s="342">
        <f t="shared" ref="B694:L694" si="244">SUM(B692:B693)</f>
        <v>78</v>
      </c>
      <c r="C694" s="342">
        <f t="shared" si="244"/>
        <v>27</v>
      </c>
      <c r="D694" s="342">
        <f t="shared" si="244"/>
        <v>51</v>
      </c>
      <c r="E694" s="342">
        <f t="shared" si="244"/>
        <v>11</v>
      </c>
      <c r="F694" s="342">
        <f t="shared" si="244"/>
        <v>2</v>
      </c>
      <c r="G694" s="342">
        <f t="shared" si="244"/>
        <v>9</v>
      </c>
      <c r="H694" s="342">
        <f t="shared" si="244"/>
        <v>47</v>
      </c>
      <c r="I694" s="342">
        <f t="shared" si="244"/>
        <v>12</v>
      </c>
      <c r="J694" s="342">
        <f t="shared" si="244"/>
        <v>35</v>
      </c>
      <c r="K694" s="342">
        <f t="shared" si="244"/>
        <v>20</v>
      </c>
      <c r="L694" s="342">
        <f t="shared" si="244"/>
        <v>13</v>
      </c>
      <c r="M694" s="342">
        <f>SUM(M692:M693)</f>
        <v>7</v>
      </c>
      <c r="N694" s="203" t="s">
        <v>12</v>
      </c>
      <c r="O694" s="307"/>
    </row>
    <row r="695" spans="2:15" ht="18.75" customHeight="1" thickBot="1" x14ac:dyDescent="0.25">
      <c r="B695" s="342">
        <f t="shared" ref="B695:M697" si="245">B662+B665+B668+B671+B674+B677+B680+B683+B686+B689+B692</f>
        <v>751</v>
      </c>
      <c r="C695" s="342">
        <f t="shared" si="245"/>
        <v>368</v>
      </c>
      <c r="D695" s="342">
        <f t="shared" si="245"/>
        <v>383</v>
      </c>
      <c r="E695" s="342">
        <f t="shared" si="245"/>
        <v>469</v>
      </c>
      <c r="F695" s="342">
        <f t="shared" si="245"/>
        <v>266</v>
      </c>
      <c r="G695" s="342">
        <f t="shared" si="245"/>
        <v>203</v>
      </c>
      <c r="H695" s="342">
        <f t="shared" si="245"/>
        <v>154</v>
      </c>
      <c r="I695" s="342">
        <f t="shared" si="245"/>
        <v>78</v>
      </c>
      <c r="J695" s="342">
        <f t="shared" si="245"/>
        <v>76</v>
      </c>
      <c r="K695" s="342">
        <f t="shared" si="245"/>
        <v>128</v>
      </c>
      <c r="L695" s="342">
        <f t="shared" si="245"/>
        <v>24</v>
      </c>
      <c r="M695" s="342">
        <f t="shared" si="245"/>
        <v>104</v>
      </c>
      <c r="N695" s="203" t="s">
        <v>146</v>
      </c>
      <c r="O695" s="280"/>
    </row>
    <row r="696" spans="2:15" ht="18.75" customHeight="1" thickBot="1" x14ac:dyDescent="0.25">
      <c r="B696" s="342">
        <f t="shared" si="245"/>
        <v>726</v>
      </c>
      <c r="C696" s="342">
        <f t="shared" si="245"/>
        <v>202</v>
      </c>
      <c r="D696" s="342">
        <f t="shared" si="245"/>
        <v>524</v>
      </c>
      <c r="E696" s="342">
        <f t="shared" si="245"/>
        <v>5</v>
      </c>
      <c r="F696" s="342">
        <f t="shared" si="245"/>
        <v>3</v>
      </c>
      <c r="G696" s="342">
        <f t="shared" si="245"/>
        <v>2</v>
      </c>
      <c r="H696" s="342">
        <f t="shared" si="245"/>
        <v>44</v>
      </c>
      <c r="I696" s="342">
        <f t="shared" si="245"/>
        <v>11</v>
      </c>
      <c r="J696" s="342">
        <f t="shared" si="245"/>
        <v>33</v>
      </c>
      <c r="K696" s="342">
        <f t="shared" si="245"/>
        <v>677</v>
      </c>
      <c r="L696" s="342">
        <f t="shared" si="245"/>
        <v>188</v>
      </c>
      <c r="M696" s="342">
        <f t="shared" si="245"/>
        <v>489</v>
      </c>
      <c r="N696" s="203" t="s">
        <v>145</v>
      </c>
      <c r="O696" s="281" t="s">
        <v>188</v>
      </c>
    </row>
    <row r="697" spans="2:15" ht="18.75" customHeight="1" thickBot="1" x14ac:dyDescent="0.25">
      <c r="B697" s="342">
        <f t="shared" si="245"/>
        <v>1477</v>
      </c>
      <c r="C697" s="342">
        <f t="shared" si="245"/>
        <v>570</v>
      </c>
      <c r="D697" s="342">
        <f t="shared" si="245"/>
        <v>907</v>
      </c>
      <c r="E697" s="342">
        <f t="shared" si="245"/>
        <v>474</v>
      </c>
      <c r="F697" s="342">
        <f t="shared" si="245"/>
        <v>269</v>
      </c>
      <c r="G697" s="342">
        <f t="shared" si="245"/>
        <v>205</v>
      </c>
      <c r="H697" s="342">
        <f t="shared" si="245"/>
        <v>198</v>
      </c>
      <c r="I697" s="342">
        <f t="shared" si="245"/>
        <v>89</v>
      </c>
      <c r="J697" s="342">
        <f t="shared" si="245"/>
        <v>109</v>
      </c>
      <c r="K697" s="342">
        <f t="shared" si="245"/>
        <v>805</v>
      </c>
      <c r="L697" s="342">
        <f t="shared" si="245"/>
        <v>212</v>
      </c>
      <c r="M697" s="342">
        <f t="shared" si="245"/>
        <v>593</v>
      </c>
      <c r="N697" s="203" t="s">
        <v>12</v>
      </c>
      <c r="O697" s="282"/>
    </row>
    <row r="698" spans="2:15" ht="18.75" customHeight="1" thickBot="1" x14ac:dyDescent="0.25">
      <c r="B698" s="589"/>
      <c r="C698" s="589"/>
      <c r="D698" s="589"/>
      <c r="E698" s="589"/>
      <c r="F698" s="589"/>
      <c r="G698" s="589"/>
      <c r="H698" s="589"/>
      <c r="I698" s="589"/>
      <c r="J698" s="589"/>
      <c r="K698" s="589"/>
      <c r="L698" s="589"/>
    </row>
    <row r="699" spans="2:15" ht="18.75" customHeight="1" thickBot="1" x14ac:dyDescent="0.25">
      <c r="B699" s="482" t="s">
        <v>4</v>
      </c>
      <c r="C699" s="482"/>
      <c r="D699" s="482"/>
      <c r="E699" s="482" t="s">
        <v>60</v>
      </c>
      <c r="F699" s="482"/>
      <c r="G699" s="482"/>
      <c r="H699" s="482" t="s">
        <v>57</v>
      </c>
      <c r="I699" s="482"/>
      <c r="J699" s="482"/>
      <c r="K699" s="482" t="s">
        <v>56</v>
      </c>
      <c r="L699" s="482"/>
      <c r="M699" s="482"/>
      <c r="N699" s="575" t="s">
        <v>792</v>
      </c>
      <c r="O699" s="304" t="s">
        <v>144</v>
      </c>
    </row>
    <row r="700" spans="2:15" ht="18.75" customHeight="1" thickBot="1" x14ac:dyDescent="0.25">
      <c r="B700" s="203" t="s">
        <v>227</v>
      </c>
      <c r="C700" s="203" t="s">
        <v>10</v>
      </c>
      <c r="D700" s="203" t="s">
        <v>9</v>
      </c>
      <c r="E700" s="203" t="s">
        <v>227</v>
      </c>
      <c r="F700" s="203" t="s">
        <v>10</v>
      </c>
      <c r="G700" s="203" t="s">
        <v>9</v>
      </c>
      <c r="H700" s="203" t="s">
        <v>227</v>
      </c>
      <c r="I700" s="203" t="s">
        <v>10</v>
      </c>
      <c r="J700" s="203" t="s">
        <v>9</v>
      </c>
      <c r="K700" s="203" t="s">
        <v>227</v>
      </c>
      <c r="L700" s="203" t="s">
        <v>10</v>
      </c>
      <c r="M700" s="203" t="s">
        <v>9</v>
      </c>
      <c r="N700" s="481"/>
      <c r="O700" s="282" t="s">
        <v>148</v>
      </c>
    </row>
    <row r="701" spans="2:15" ht="18.75" customHeight="1" thickBot="1" x14ac:dyDescent="0.25">
      <c r="B701" s="342">
        <f>SUM(C701:D701)</f>
        <v>167</v>
      </c>
      <c r="C701" s="342">
        <f>L701+I701+F701</f>
        <v>1</v>
      </c>
      <c r="D701" s="342">
        <f>M701+J701+G701</f>
        <v>166</v>
      </c>
      <c r="E701" s="342">
        <f>SUM(F701:G701)</f>
        <v>0</v>
      </c>
      <c r="F701" s="342">
        <v>0</v>
      </c>
      <c r="G701" s="342">
        <v>0</v>
      </c>
      <c r="H701" s="342">
        <f>SUM(I701:J701)</f>
        <v>7</v>
      </c>
      <c r="I701" s="342">
        <v>0</v>
      </c>
      <c r="J701" s="342">
        <v>7</v>
      </c>
      <c r="K701" s="342">
        <f>SUM(L701:M701)</f>
        <v>160</v>
      </c>
      <c r="L701" s="342">
        <v>1</v>
      </c>
      <c r="M701" s="342">
        <v>159</v>
      </c>
      <c r="N701" s="203" t="s">
        <v>146</v>
      </c>
      <c r="O701" s="306"/>
    </row>
    <row r="702" spans="2:15" ht="18.75" customHeight="1" thickBot="1" x14ac:dyDescent="0.25">
      <c r="B702" s="342">
        <f>SUM(C702:D702)</f>
        <v>39</v>
      </c>
      <c r="C702" s="342">
        <f t="shared" ref="C702:D711" si="246">L702+I702+F702</f>
        <v>7</v>
      </c>
      <c r="D702" s="342">
        <f t="shared" si="246"/>
        <v>32</v>
      </c>
      <c r="E702" s="342">
        <f>SUM(F702:G702)</f>
        <v>0</v>
      </c>
      <c r="F702" s="342">
        <v>0</v>
      </c>
      <c r="G702" s="342">
        <v>0</v>
      </c>
      <c r="H702" s="342">
        <f>SUM(I702:J702)</f>
        <v>0</v>
      </c>
      <c r="I702" s="342">
        <v>0</v>
      </c>
      <c r="J702" s="342">
        <v>0</v>
      </c>
      <c r="K702" s="342">
        <f>SUM(L702:M702)</f>
        <v>39</v>
      </c>
      <c r="L702" s="342">
        <v>7</v>
      </c>
      <c r="M702" s="342">
        <v>32</v>
      </c>
      <c r="N702" s="203" t="s">
        <v>145</v>
      </c>
      <c r="O702" s="306" t="s">
        <v>602</v>
      </c>
    </row>
    <row r="703" spans="2:15" ht="18.75" customHeight="1" thickBot="1" x14ac:dyDescent="0.25">
      <c r="B703" s="342">
        <f t="shared" ref="B703:L703" si="247">SUM(B701:B702)</f>
        <v>206</v>
      </c>
      <c r="C703" s="342">
        <f t="shared" si="247"/>
        <v>8</v>
      </c>
      <c r="D703" s="342">
        <f t="shared" si="247"/>
        <v>198</v>
      </c>
      <c r="E703" s="342">
        <f t="shared" si="247"/>
        <v>0</v>
      </c>
      <c r="F703" s="342">
        <f t="shared" si="247"/>
        <v>0</v>
      </c>
      <c r="G703" s="342">
        <f t="shared" si="247"/>
        <v>0</v>
      </c>
      <c r="H703" s="342">
        <f t="shared" si="247"/>
        <v>7</v>
      </c>
      <c r="I703" s="342">
        <f t="shared" si="247"/>
        <v>0</v>
      </c>
      <c r="J703" s="342">
        <f t="shared" si="247"/>
        <v>7</v>
      </c>
      <c r="K703" s="342">
        <f t="shared" si="247"/>
        <v>199</v>
      </c>
      <c r="L703" s="342">
        <f t="shared" si="247"/>
        <v>8</v>
      </c>
      <c r="M703" s="342">
        <f>SUM(M701:M702)</f>
        <v>191</v>
      </c>
      <c r="N703" s="203" t="s">
        <v>12</v>
      </c>
      <c r="O703" s="307"/>
    </row>
    <row r="704" spans="2:15" ht="18.75" customHeight="1" thickBot="1" x14ac:dyDescent="0.25">
      <c r="B704" s="342">
        <f>SUM(C704:D704)</f>
        <v>8</v>
      </c>
      <c r="C704" s="342">
        <f t="shared" si="246"/>
        <v>0</v>
      </c>
      <c r="D704" s="342">
        <f t="shared" si="246"/>
        <v>8</v>
      </c>
      <c r="E704" s="342">
        <f>SUM(F704:G704)</f>
        <v>0</v>
      </c>
      <c r="F704" s="342">
        <v>0</v>
      </c>
      <c r="G704" s="342">
        <v>0</v>
      </c>
      <c r="H704" s="342">
        <f>SUM(I704:J704)</f>
        <v>0</v>
      </c>
      <c r="I704" s="342">
        <v>0</v>
      </c>
      <c r="J704" s="342">
        <v>0</v>
      </c>
      <c r="K704" s="342">
        <f>SUM(L704:M704)</f>
        <v>8</v>
      </c>
      <c r="L704" s="342">
        <v>0</v>
      </c>
      <c r="M704" s="342">
        <v>8</v>
      </c>
      <c r="N704" s="203" t="s">
        <v>146</v>
      </c>
      <c r="O704" s="306"/>
    </row>
    <row r="705" spans="2:15" ht="18.75" customHeight="1" thickBot="1" x14ac:dyDescent="0.25">
      <c r="B705" s="342">
        <f>SUM(C705:D705)</f>
        <v>20</v>
      </c>
      <c r="C705" s="342">
        <f t="shared" si="246"/>
        <v>0</v>
      </c>
      <c r="D705" s="342">
        <f t="shared" si="246"/>
        <v>20</v>
      </c>
      <c r="E705" s="342">
        <f>SUM(F705:G705)</f>
        <v>0</v>
      </c>
      <c r="F705" s="342">
        <v>0</v>
      </c>
      <c r="G705" s="342">
        <v>0</v>
      </c>
      <c r="H705" s="342">
        <f>SUM(I705:J705)</f>
        <v>19</v>
      </c>
      <c r="I705" s="342">
        <v>0</v>
      </c>
      <c r="J705" s="342">
        <v>19</v>
      </c>
      <c r="K705" s="342">
        <f>SUM(L705:M705)</f>
        <v>1</v>
      </c>
      <c r="L705" s="342">
        <v>0</v>
      </c>
      <c r="M705" s="342">
        <v>1</v>
      </c>
      <c r="N705" s="203" t="s">
        <v>145</v>
      </c>
      <c r="O705" s="306" t="s">
        <v>603</v>
      </c>
    </row>
    <row r="706" spans="2:15" ht="18.75" customHeight="1" thickBot="1" x14ac:dyDescent="0.25">
      <c r="B706" s="342">
        <f t="shared" ref="B706:L706" si="248">SUM(B704:B705)</f>
        <v>28</v>
      </c>
      <c r="C706" s="342">
        <f t="shared" si="248"/>
        <v>0</v>
      </c>
      <c r="D706" s="342">
        <f t="shared" si="248"/>
        <v>28</v>
      </c>
      <c r="E706" s="342">
        <f t="shared" si="248"/>
        <v>0</v>
      </c>
      <c r="F706" s="342">
        <f t="shared" si="248"/>
        <v>0</v>
      </c>
      <c r="G706" s="342">
        <f t="shared" si="248"/>
        <v>0</v>
      </c>
      <c r="H706" s="342">
        <f t="shared" si="248"/>
        <v>19</v>
      </c>
      <c r="I706" s="342">
        <f t="shared" si="248"/>
        <v>0</v>
      </c>
      <c r="J706" s="342">
        <f t="shared" si="248"/>
        <v>19</v>
      </c>
      <c r="K706" s="342">
        <f t="shared" si="248"/>
        <v>9</v>
      </c>
      <c r="L706" s="342">
        <f t="shared" si="248"/>
        <v>0</v>
      </c>
      <c r="M706" s="342">
        <f>SUM(M704:M705)</f>
        <v>9</v>
      </c>
      <c r="N706" s="203" t="s">
        <v>12</v>
      </c>
      <c r="O706" s="307"/>
    </row>
    <row r="707" spans="2:15" ht="18.75" customHeight="1" thickBot="1" x14ac:dyDescent="0.25">
      <c r="B707" s="342">
        <f>SUM(C707:D707)</f>
        <v>60</v>
      </c>
      <c r="C707" s="342">
        <f t="shared" si="246"/>
        <v>47</v>
      </c>
      <c r="D707" s="342">
        <f t="shared" si="246"/>
        <v>13</v>
      </c>
      <c r="E707" s="342">
        <f>SUM(F707:G707)</f>
        <v>19</v>
      </c>
      <c r="F707" s="342">
        <v>6</v>
      </c>
      <c r="G707" s="342">
        <v>13</v>
      </c>
      <c r="H707" s="342">
        <f>SUM(I707:J707)</f>
        <v>26</v>
      </c>
      <c r="I707" s="342">
        <v>26</v>
      </c>
      <c r="J707" s="342">
        <v>0</v>
      </c>
      <c r="K707" s="342">
        <f>SUM(L707:M707)</f>
        <v>15</v>
      </c>
      <c r="L707" s="342">
        <v>15</v>
      </c>
      <c r="M707" s="342">
        <v>0</v>
      </c>
      <c r="N707" s="203" t="s">
        <v>146</v>
      </c>
      <c r="O707" s="306"/>
    </row>
    <row r="708" spans="2:15" ht="18.75" customHeight="1" thickBot="1" x14ac:dyDescent="0.25">
      <c r="B708" s="342">
        <f>SUM(C708:D708)</f>
        <v>53</v>
      </c>
      <c r="C708" s="342">
        <f t="shared" si="246"/>
        <v>47</v>
      </c>
      <c r="D708" s="342">
        <f t="shared" si="246"/>
        <v>6</v>
      </c>
      <c r="E708" s="342">
        <f>SUM(F708:G708)</f>
        <v>22</v>
      </c>
      <c r="F708" s="342">
        <v>17</v>
      </c>
      <c r="G708" s="342">
        <v>5</v>
      </c>
      <c r="H708" s="342">
        <f>SUM(I708:J708)</f>
        <v>11</v>
      </c>
      <c r="I708" s="342">
        <v>11</v>
      </c>
      <c r="J708" s="342">
        <v>0</v>
      </c>
      <c r="K708" s="342">
        <f>SUM(L708:M708)</f>
        <v>20</v>
      </c>
      <c r="L708" s="342">
        <v>19</v>
      </c>
      <c r="M708" s="342">
        <v>1</v>
      </c>
      <c r="N708" s="203" t="s">
        <v>145</v>
      </c>
      <c r="O708" s="306" t="s">
        <v>563</v>
      </c>
    </row>
    <row r="709" spans="2:15" ht="18.75" customHeight="1" thickBot="1" x14ac:dyDescent="0.25">
      <c r="B709" s="342">
        <f t="shared" ref="B709:L709" si="249">SUM(B707:B708)</f>
        <v>113</v>
      </c>
      <c r="C709" s="342">
        <f t="shared" si="249"/>
        <v>94</v>
      </c>
      <c r="D709" s="342">
        <f t="shared" si="249"/>
        <v>19</v>
      </c>
      <c r="E709" s="342">
        <f t="shared" si="249"/>
        <v>41</v>
      </c>
      <c r="F709" s="342">
        <f t="shared" si="249"/>
        <v>23</v>
      </c>
      <c r="G709" s="342">
        <f t="shared" si="249"/>
        <v>18</v>
      </c>
      <c r="H709" s="342">
        <f t="shared" si="249"/>
        <v>37</v>
      </c>
      <c r="I709" s="342">
        <f t="shared" si="249"/>
        <v>37</v>
      </c>
      <c r="J709" s="342">
        <f t="shared" si="249"/>
        <v>0</v>
      </c>
      <c r="K709" s="342">
        <f t="shared" si="249"/>
        <v>35</v>
      </c>
      <c r="L709" s="342">
        <f t="shared" si="249"/>
        <v>34</v>
      </c>
      <c r="M709" s="342">
        <f>SUM(M707:M708)</f>
        <v>1</v>
      </c>
      <c r="N709" s="203" t="s">
        <v>12</v>
      </c>
      <c r="O709" s="307"/>
    </row>
    <row r="710" spans="2:15" ht="18.75" customHeight="1" thickBot="1" x14ac:dyDescent="0.25">
      <c r="B710" s="342">
        <f>SUM(C710:D710)</f>
        <v>119</v>
      </c>
      <c r="C710" s="342">
        <f t="shared" si="246"/>
        <v>74</v>
      </c>
      <c r="D710" s="342">
        <f t="shared" si="246"/>
        <v>45</v>
      </c>
      <c r="E710" s="342">
        <f>SUM(F710:G710)</f>
        <v>101</v>
      </c>
      <c r="F710" s="342">
        <v>56</v>
      </c>
      <c r="G710" s="342">
        <v>45</v>
      </c>
      <c r="H710" s="342">
        <f>SUM(I710:J710)</f>
        <v>3</v>
      </c>
      <c r="I710" s="342">
        <v>3</v>
      </c>
      <c r="J710" s="342">
        <v>0</v>
      </c>
      <c r="K710" s="342">
        <f>SUM(L710:M710)</f>
        <v>15</v>
      </c>
      <c r="L710" s="342">
        <v>15</v>
      </c>
      <c r="M710" s="342">
        <v>0</v>
      </c>
      <c r="N710" s="203" t="s">
        <v>146</v>
      </c>
      <c r="O710" s="306"/>
    </row>
    <row r="711" spans="2:15" ht="18.75" customHeight="1" thickBot="1" x14ac:dyDescent="0.25">
      <c r="B711" s="342">
        <f>SUM(C711:D711)</f>
        <v>13</v>
      </c>
      <c r="C711" s="342">
        <f t="shared" si="246"/>
        <v>13</v>
      </c>
      <c r="D711" s="342">
        <f t="shared" si="246"/>
        <v>0</v>
      </c>
      <c r="E711" s="342">
        <f>SUM(F711:G711)</f>
        <v>0</v>
      </c>
      <c r="F711" s="342">
        <v>0</v>
      </c>
      <c r="G711" s="342">
        <v>0</v>
      </c>
      <c r="H711" s="342">
        <f>SUM(I711:J711)</f>
        <v>2</v>
      </c>
      <c r="I711" s="342">
        <v>2</v>
      </c>
      <c r="J711" s="342">
        <v>0</v>
      </c>
      <c r="K711" s="342">
        <f>SUM(L711:M711)</f>
        <v>11</v>
      </c>
      <c r="L711" s="342">
        <v>11</v>
      </c>
      <c r="M711" s="342">
        <v>0</v>
      </c>
      <c r="N711" s="203" t="s">
        <v>145</v>
      </c>
      <c r="O711" s="306" t="s">
        <v>564</v>
      </c>
    </row>
    <row r="712" spans="2:15" ht="18.75" customHeight="1" thickBot="1" x14ac:dyDescent="0.25">
      <c r="B712" s="342">
        <f t="shared" ref="B712:L712" si="250">SUM(B710:B711)</f>
        <v>132</v>
      </c>
      <c r="C712" s="342">
        <f t="shared" si="250"/>
        <v>87</v>
      </c>
      <c r="D712" s="342">
        <f t="shared" si="250"/>
        <v>45</v>
      </c>
      <c r="E712" s="342">
        <f t="shared" si="250"/>
        <v>101</v>
      </c>
      <c r="F712" s="342">
        <f t="shared" si="250"/>
        <v>56</v>
      </c>
      <c r="G712" s="342">
        <f t="shared" si="250"/>
        <v>45</v>
      </c>
      <c r="H712" s="342">
        <f t="shared" si="250"/>
        <v>5</v>
      </c>
      <c r="I712" s="342">
        <f t="shared" si="250"/>
        <v>5</v>
      </c>
      <c r="J712" s="342">
        <f t="shared" si="250"/>
        <v>0</v>
      </c>
      <c r="K712" s="342">
        <f t="shared" si="250"/>
        <v>26</v>
      </c>
      <c r="L712" s="342">
        <f t="shared" si="250"/>
        <v>26</v>
      </c>
      <c r="M712" s="342">
        <f>SUM(M710:M711)</f>
        <v>0</v>
      </c>
      <c r="N712" s="203" t="s">
        <v>12</v>
      </c>
      <c r="O712" s="309"/>
    </row>
    <row r="713" spans="2:15" ht="18.75" customHeight="1" thickBot="1" x14ac:dyDescent="0.25">
      <c r="B713" s="342">
        <f t="shared" ref="B713:M715" si="251">B701+B704+B707+B710</f>
        <v>354</v>
      </c>
      <c r="C713" s="342">
        <f t="shared" si="251"/>
        <v>122</v>
      </c>
      <c r="D713" s="342">
        <f t="shared" si="251"/>
        <v>232</v>
      </c>
      <c r="E713" s="342">
        <f t="shared" si="251"/>
        <v>120</v>
      </c>
      <c r="F713" s="342">
        <f t="shared" si="251"/>
        <v>62</v>
      </c>
      <c r="G713" s="342">
        <f t="shared" si="251"/>
        <v>58</v>
      </c>
      <c r="H713" s="342">
        <f t="shared" si="251"/>
        <v>36</v>
      </c>
      <c r="I713" s="342">
        <f t="shared" si="251"/>
        <v>29</v>
      </c>
      <c r="J713" s="342">
        <f t="shared" si="251"/>
        <v>7</v>
      </c>
      <c r="K713" s="342">
        <f t="shared" si="251"/>
        <v>198</v>
      </c>
      <c r="L713" s="342">
        <f t="shared" si="251"/>
        <v>31</v>
      </c>
      <c r="M713" s="342">
        <f t="shared" si="251"/>
        <v>167</v>
      </c>
      <c r="N713" s="343" t="s">
        <v>146</v>
      </c>
      <c r="O713" s="590" t="s">
        <v>188</v>
      </c>
    </row>
    <row r="714" spans="2:15" ht="18.75" customHeight="1" thickBot="1" x14ac:dyDescent="0.25">
      <c r="B714" s="342">
        <f t="shared" si="251"/>
        <v>125</v>
      </c>
      <c r="C714" s="342">
        <f t="shared" si="251"/>
        <v>67</v>
      </c>
      <c r="D714" s="342">
        <f t="shared" si="251"/>
        <v>58</v>
      </c>
      <c r="E714" s="342">
        <f t="shared" si="251"/>
        <v>22</v>
      </c>
      <c r="F714" s="342">
        <f t="shared" si="251"/>
        <v>17</v>
      </c>
      <c r="G714" s="342">
        <f t="shared" si="251"/>
        <v>5</v>
      </c>
      <c r="H714" s="342">
        <f t="shared" si="251"/>
        <v>32</v>
      </c>
      <c r="I714" s="342">
        <f t="shared" si="251"/>
        <v>13</v>
      </c>
      <c r="J714" s="342">
        <f t="shared" si="251"/>
        <v>19</v>
      </c>
      <c r="K714" s="342">
        <f t="shared" si="251"/>
        <v>71</v>
      </c>
      <c r="L714" s="342">
        <f t="shared" si="251"/>
        <v>37</v>
      </c>
      <c r="M714" s="342">
        <f t="shared" si="251"/>
        <v>34</v>
      </c>
      <c r="N714" s="344" t="s">
        <v>145</v>
      </c>
      <c r="O714" s="591"/>
    </row>
    <row r="715" spans="2:15" ht="18.75" customHeight="1" thickBot="1" x14ac:dyDescent="0.25">
      <c r="B715" s="342">
        <f t="shared" si="251"/>
        <v>479</v>
      </c>
      <c r="C715" s="342">
        <f t="shared" si="251"/>
        <v>189</v>
      </c>
      <c r="D715" s="342">
        <f t="shared" si="251"/>
        <v>290</v>
      </c>
      <c r="E715" s="342">
        <f t="shared" si="251"/>
        <v>142</v>
      </c>
      <c r="F715" s="342">
        <f t="shared" si="251"/>
        <v>79</v>
      </c>
      <c r="G715" s="342">
        <f t="shared" si="251"/>
        <v>63</v>
      </c>
      <c r="H715" s="342">
        <f t="shared" si="251"/>
        <v>68</v>
      </c>
      <c r="I715" s="342">
        <f t="shared" si="251"/>
        <v>42</v>
      </c>
      <c r="J715" s="342">
        <f t="shared" si="251"/>
        <v>26</v>
      </c>
      <c r="K715" s="342">
        <f t="shared" si="251"/>
        <v>269</v>
      </c>
      <c r="L715" s="342">
        <f t="shared" si="251"/>
        <v>68</v>
      </c>
      <c r="M715" s="342">
        <f t="shared" si="251"/>
        <v>201</v>
      </c>
      <c r="N715" s="345" t="s">
        <v>12</v>
      </c>
      <c r="O715" s="592"/>
    </row>
    <row r="716" spans="2:15" ht="18.75" customHeight="1" thickBot="1" x14ac:dyDescent="0.25">
      <c r="B716" s="346"/>
      <c r="C716" s="346"/>
      <c r="D716" s="346"/>
      <c r="E716" s="346"/>
      <c r="F716" s="346"/>
      <c r="G716" s="346"/>
      <c r="H716" s="346"/>
      <c r="I716" s="346"/>
      <c r="J716" s="346"/>
      <c r="K716" s="317"/>
      <c r="L716" s="318"/>
    </row>
    <row r="717" spans="2:15" ht="18.75" customHeight="1" thickBot="1" x14ac:dyDescent="0.25">
      <c r="B717" s="482" t="s">
        <v>4</v>
      </c>
      <c r="C717" s="482"/>
      <c r="D717" s="482"/>
      <c r="E717" s="482" t="s">
        <v>60</v>
      </c>
      <c r="F717" s="482"/>
      <c r="G717" s="482"/>
      <c r="H717" s="482" t="s">
        <v>57</v>
      </c>
      <c r="I717" s="482"/>
      <c r="J717" s="482"/>
      <c r="K717" s="482" t="s">
        <v>56</v>
      </c>
      <c r="L717" s="482"/>
      <c r="M717" s="482"/>
      <c r="N717" s="575" t="s">
        <v>792</v>
      </c>
      <c r="O717" s="304" t="s">
        <v>144</v>
      </c>
    </row>
    <row r="718" spans="2:15" ht="18.75" customHeight="1" thickBot="1" x14ac:dyDescent="0.25">
      <c r="B718" s="203" t="s">
        <v>227</v>
      </c>
      <c r="C718" s="203" t="s">
        <v>10</v>
      </c>
      <c r="D718" s="203" t="s">
        <v>9</v>
      </c>
      <c r="E718" s="203" t="s">
        <v>227</v>
      </c>
      <c r="F718" s="203" t="s">
        <v>10</v>
      </c>
      <c r="G718" s="203" t="s">
        <v>9</v>
      </c>
      <c r="H718" s="203" t="s">
        <v>227</v>
      </c>
      <c r="I718" s="203" t="s">
        <v>10</v>
      </c>
      <c r="J718" s="203" t="s">
        <v>9</v>
      </c>
      <c r="K718" s="203" t="s">
        <v>227</v>
      </c>
      <c r="L718" s="203" t="s">
        <v>10</v>
      </c>
      <c r="M718" s="203" t="s">
        <v>9</v>
      </c>
      <c r="N718" s="481"/>
      <c r="O718" s="282" t="s">
        <v>106</v>
      </c>
    </row>
    <row r="719" spans="2:15" ht="18.75" customHeight="1" thickBot="1" x14ac:dyDescent="0.25">
      <c r="B719" s="342">
        <f>SUM(C719:D719)</f>
        <v>197</v>
      </c>
      <c r="C719" s="342">
        <f>L719+I719+F719</f>
        <v>0</v>
      </c>
      <c r="D719" s="342">
        <f>M719+J719+G719</f>
        <v>197</v>
      </c>
      <c r="E719" s="342">
        <f>SUM(F719:G719)</f>
        <v>45</v>
      </c>
      <c r="F719" s="342">
        <v>0</v>
      </c>
      <c r="G719" s="342">
        <v>45</v>
      </c>
      <c r="H719" s="342">
        <f>SUM(I719:J719)</f>
        <v>27</v>
      </c>
      <c r="I719" s="342">
        <v>0</v>
      </c>
      <c r="J719" s="342">
        <v>27</v>
      </c>
      <c r="K719" s="342">
        <f>SUM(L719:M719)</f>
        <v>125</v>
      </c>
      <c r="L719" s="342">
        <v>0</v>
      </c>
      <c r="M719" s="342">
        <v>125</v>
      </c>
      <c r="N719" s="203" t="s">
        <v>146</v>
      </c>
      <c r="O719" s="306"/>
    </row>
    <row r="720" spans="2:15" ht="18.75" customHeight="1" thickBot="1" x14ac:dyDescent="0.25">
      <c r="B720" s="342">
        <f>SUM(C720:D720)</f>
        <v>167</v>
      </c>
      <c r="C720" s="342">
        <f t="shared" ref="C720:D759" si="252">L720+I720+F720</f>
        <v>0</v>
      </c>
      <c r="D720" s="342">
        <f t="shared" si="252"/>
        <v>167</v>
      </c>
      <c r="E720" s="342">
        <f>SUM(F720:G720)</f>
        <v>20</v>
      </c>
      <c r="F720" s="342">
        <v>0</v>
      </c>
      <c r="G720" s="342">
        <v>20</v>
      </c>
      <c r="H720" s="342">
        <f>SUM(I720:J720)</f>
        <v>18</v>
      </c>
      <c r="I720" s="342">
        <v>0</v>
      </c>
      <c r="J720" s="342">
        <v>18</v>
      </c>
      <c r="K720" s="342">
        <f>SUM(L720:M720)</f>
        <v>129</v>
      </c>
      <c r="L720" s="342">
        <v>0</v>
      </c>
      <c r="M720" s="342">
        <v>129</v>
      </c>
      <c r="N720" s="203" t="s">
        <v>145</v>
      </c>
      <c r="O720" s="306" t="s">
        <v>279</v>
      </c>
    </row>
    <row r="721" spans="2:15" ht="18.75" customHeight="1" thickBot="1" x14ac:dyDescent="0.25">
      <c r="B721" s="342">
        <f t="shared" ref="B721:L721" si="253">SUM(B719:B720)</f>
        <v>364</v>
      </c>
      <c r="C721" s="342">
        <f t="shared" si="253"/>
        <v>0</v>
      </c>
      <c r="D721" s="342">
        <f t="shared" si="253"/>
        <v>364</v>
      </c>
      <c r="E721" s="342">
        <f t="shared" si="253"/>
        <v>65</v>
      </c>
      <c r="F721" s="342">
        <f t="shared" si="253"/>
        <v>0</v>
      </c>
      <c r="G721" s="342">
        <f t="shared" si="253"/>
        <v>65</v>
      </c>
      <c r="H721" s="342">
        <f t="shared" si="253"/>
        <v>45</v>
      </c>
      <c r="I721" s="342">
        <f t="shared" si="253"/>
        <v>0</v>
      </c>
      <c r="J721" s="342">
        <f t="shared" si="253"/>
        <v>45</v>
      </c>
      <c r="K721" s="342">
        <f t="shared" si="253"/>
        <v>254</v>
      </c>
      <c r="L721" s="342">
        <f t="shared" si="253"/>
        <v>0</v>
      </c>
      <c r="M721" s="342">
        <f>SUM(M719:M720)</f>
        <v>254</v>
      </c>
      <c r="N721" s="203" t="s">
        <v>12</v>
      </c>
      <c r="O721" s="307"/>
    </row>
    <row r="722" spans="2:15" ht="18.75" customHeight="1" thickBot="1" x14ac:dyDescent="0.25">
      <c r="B722" s="342">
        <f>SUM(C722:D722)</f>
        <v>23</v>
      </c>
      <c r="C722" s="342">
        <f t="shared" si="252"/>
        <v>5</v>
      </c>
      <c r="D722" s="342">
        <f t="shared" si="252"/>
        <v>18</v>
      </c>
      <c r="E722" s="342">
        <f>SUM(F722:G722)</f>
        <v>18</v>
      </c>
      <c r="F722" s="342">
        <v>5</v>
      </c>
      <c r="G722" s="342">
        <v>13</v>
      </c>
      <c r="H722" s="342">
        <f>SUM(I722:J722)</f>
        <v>0</v>
      </c>
      <c r="I722" s="342">
        <v>0</v>
      </c>
      <c r="J722" s="342">
        <v>0</v>
      </c>
      <c r="K722" s="342">
        <f>SUM(L722:M722)</f>
        <v>5</v>
      </c>
      <c r="L722" s="342">
        <v>0</v>
      </c>
      <c r="M722" s="342">
        <v>5</v>
      </c>
      <c r="N722" s="203" t="s">
        <v>146</v>
      </c>
      <c r="O722" s="306"/>
    </row>
    <row r="723" spans="2:15" ht="18.75" customHeight="1" thickBot="1" x14ac:dyDescent="0.25">
      <c r="B723" s="342">
        <f>SUM(C723:D723)</f>
        <v>10</v>
      </c>
      <c r="C723" s="342">
        <f t="shared" si="252"/>
        <v>0</v>
      </c>
      <c r="D723" s="342">
        <f t="shared" si="252"/>
        <v>10</v>
      </c>
      <c r="E723" s="342">
        <f>SUM(F723:G723)</f>
        <v>0</v>
      </c>
      <c r="F723" s="342">
        <v>0</v>
      </c>
      <c r="G723" s="342">
        <v>0</v>
      </c>
      <c r="H723" s="342">
        <f>SUM(I723:J723)</f>
        <v>0</v>
      </c>
      <c r="I723" s="342">
        <v>0</v>
      </c>
      <c r="J723" s="342">
        <v>0</v>
      </c>
      <c r="K723" s="342">
        <f>SUM(L723:M723)</f>
        <v>10</v>
      </c>
      <c r="L723" s="342">
        <v>0</v>
      </c>
      <c r="M723" s="342">
        <v>10</v>
      </c>
      <c r="N723" s="203" t="s">
        <v>145</v>
      </c>
      <c r="O723" s="306" t="s">
        <v>451</v>
      </c>
    </row>
    <row r="724" spans="2:15" ht="18.75" customHeight="1" thickBot="1" x14ac:dyDescent="0.25">
      <c r="B724" s="342">
        <f t="shared" ref="B724:L724" si="254">SUM(B722:B723)</f>
        <v>33</v>
      </c>
      <c r="C724" s="342">
        <f t="shared" si="254"/>
        <v>5</v>
      </c>
      <c r="D724" s="342">
        <f t="shared" si="254"/>
        <v>28</v>
      </c>
      <c r="E724" s="342">
        <f t="shared" si="254"/>
        <v>18</v>
      </c>
      <c r="F724" s="342">
        <f t="shared" si="254"/>
        <v>5</v>
      </c>
      <c r="G724" s="342">
        <f t="shared" si="254"/>
        <v>13</v>
      </c>
      <c r="H724" s="342">
        <f t="shared" si="254"/>
        <v>0</v>
      </c>
      <c r="I724" s="342">
        <f t="shared" si="254"/>
        <v>0</v>
      </c>
      <c r="J724" s="342">
        <f t="shared" si="254"/>
        <v>0</v>
      </c>
      <c r="K724" s="342">
        <f t="shared" si="254"/>
        <v>15</v>
      </c>
      <c r="L724" s="342">
        <f t="shared" si="254"/>
        <v>0</v>
      </c>
      <c r="M724" s="342">
        <f>SUM(M722:M723)</f>
        <v>15</v>
      </c>
      <c r="N724" s="203" t="s">
        <v>12</v>
      </c>
      <c r="O724" s="307"/>
    </row>
    <row r="725" spans="2:15" ht="18.75" customHeight="1" thickBot="1" x14ac:dyDescent="0.25">
      <c r="B725" s="342">
        <f>SUM(C725:D725)</f>
        <v>17</v>
      </c>
      <c r="C725" s="342">
        <f t="shared" si="252"/>
        <v>0</v>
      </c>
      <c r="D725" s="342">
        <f t="shared" si="252"/>
        <v>17</v>
      </c>
      <c r="E725" s="342">
        <f>SUM(F725:G725)</f>
        <v>11</v>
      </c>
      <c r="F725" s="342">
        <v>0</v>
      </c>
      <c r="G725" s="342">
        <v>11</v>
      </c>
      <c r="H725" s="342">
        <f>SUM(I725:J725)</f>
        <v>0</v>
      </c>
      <c r="I725" s="342">
        <v>0</v>
      </c>
      <c r="J725" s="342">
        <v>0</v>
      </c>
      <c r="K725" s="342">
        <f>SUM(L725:M725)</f>
        <v>6</v>
      </c>
      <c r="L725" s="342">
        <v>0</v>
      </c>
      <c r="M725" s="342">
        <v>6</v>
      </c>
      <c r="N725" s="203" t="s">
        <v>146</v>
      </c>
      <c r="O725" s="306"/>
    </row>
    <row r="726" spans="2:15" ht="18.75" customHeight="1" thickBot="1" x14ac:dyDescent="0.25">
      <c r="B726" s="342">
        <f>SUM(C726:D726)</f>
        <v>39</v>
      </c>
      <c r="C726" s="342">
        <f t="shared" si="252"/>
        <v>0</v>
      </c>
      <c r="D726" s="342">
        <f t="shared" si="252"/>
        <v>39</v>
      </c>
      <c r="E726" s="342">
        <f>SUM(F726:G726)</f>
        <v>0</v>
      </c>
      <c r="F726" s="342">
        <v>0</v>
      </c>
      <c r="G726" s="342">
        <v>0</v>
      </c>
      <c r="H726" s="342">
        <f>SUM(I726:J726)</f>
        <v>0</v>
      </c>
      <c r="I726" s="342">
        <v>0</v>
      </c>
      <c r="J726" s="342">
        <v>0</v>
      </c>
      <c r="K726" s="342">
        <f>SUM(L726:M726)</f>
        <v>39</v>
      </c>
      <c r="L726" s="342">
        <v>0</v>
      </c>
      <c r="M726" s="342">
        <v>39</v>
      </c>
      <c r="N726" s="203" t="s">
        <v>145</v>
      </c>
      <c r="O726" s="306" t="s">
        <v>454</v>
      </c>
    </row>
    <row r="727" spans="2:15" ht="18.75" customHeight="1" thickBot="1" x14ac:dyDescent="0.25">
      <c r="B727" s="342">
        <f t="shared" ref="B727:L727" si="255">SUM(B725:B726)</f>
        <v>56</v>
      </c>
      <c r="C727" s="342">
        <f t="shared" si="255"/>
        <v>0</v>
      </c>
      <c r="D727" s="342">
        <f t="shared" si="255"/>
        <v>56</v>
      </c>
      <c r="E727" s="342">
        <f t="shared" si="255"/>
        <v>11</v>
      </c>
      <c r="F727" s="342">
        <f t="shared" si="255"/>
        <v>0</v>
      </c>
      <c r="G727" s="342">
        <f t="shared" si="255"/>
        <v>11</v>
      </c>
      <c r="H727" s="342">
        <f t="shared" si="255"/>
        <v>0</v>
      </c>
      <c r="I727" s="342">
        <f t="shared" si="255"/>
        <v>0</v>
      </c>
      <c r="J727" s="342">
        <f t="shared" si="255"/>
        <v>0</v>
      </c>
      <c r="K727" s="342">
        <f t="shared" si="255"/>
        <v>45</v>
      </c>
      <c r="L727" s="342">
        <f t="shared" si="255"/>
        <v>0</v>
      </c>
      <c r="M727" s="342">
        <f>SUM(M725:M726)</f>
        <v>45</v>
      </c>
      <c r="N727" s="203" t="s">
        <v>12</v>
      </c>
      <c r="O727" s="307"/>
    </row>
    <row r="728" spans="2:15" ht="18.75" customHeight="1" thickBot="1" x14ac:dyDescent="0.25">
      <c r="B728" s="342">
        <f>SUM(C728:D728)</f>
        <v>56</v>
      </c>
      <c r="C728" s="342">
        <f t="shared" si="252"/>
        <v>0</v>
      </c>
      <c r="D728" s="342">
        <f t="shared" si="252"/>
        <v>56</v>
      </c>
      <c r="E728" s="342">
        <f>SUM(F728:G728)</f>
        <v>47</v>
      </c>
      <c r="F728" s="342">
        <v>0</v>
      </c>
      <c r="G728" s="342">
        <v>47</v>
      </c>
      <c r="H728" s="342">
        <f>SUM(I728:J728)</f>
        <v>0</v>
      </c>
      <c r="I728" s="342">
        <v>0</v>
      </c>
      <c r="J728" s="342">
        <v>0</v>
      </c>
      <c r="K728" s="342">
        <f>SUM(L728:M728)</f>
        <v>9</v>
      </c>
      <c r="L728" s="342">
        <v>0</v>
      </c>
      <c r="M728" s="342">
        <v>9</v>
      </c>
      <c r="N728" s="203" t="s">
        <v>146</v>
      </c>
      <c r="O728" s="306"/>
    </row>
    <row r="729" spans="2:15" ht="18.75" customHeight="1" thickBot="1" x14ac:dyDescent="0.25">
      <c r="B729" s="342">
        <f>SUM(C729:D729)</f>
        <v>95</v>
      </c>
      <c r="C729" s="342">
        <f t="shared" si="252"/>
        <v>0</v>
      </c>
      <c r="D729" s="342">
        <f t="shared" si="252"/>
        <v>95</v>
      </c>
      <c r="E729" s="342">
        <f>SUM(F729:G729)</f>
        <v>0</v>
      </c>
      <c r="F729" s="342">
        <v>0</v>
      </c>
      <c r="G729" s="342">
        <v>0</v>
      </c>
      <c r="H729" s="342">
        <f>SUM(I729:J729)</f>
        <v>9</v>
      </c>
      <c r="I729" s="342">
        <v>0</v>
      </c>
      <c r="J729" s="342">
        <v>9</v>
      </c>
      <c r="K729" s="342">
        <f>SUM(L729:M729)</f>
        <v>86</v>
      </c>
      <c r="L729" s="342">
        <v>0</v>
      </c>
      <c r="M729" s="342">
        <v>86</v>
      </c>
      <c r="N729" s="203" t="s">
        <v>145</v>
      </c>
      <c r="O729" s="306" t="s">
        <v>344</v>
      </c>
    </row>
    <row r="730" spans="2:15" ht="18.75" customHeight="1" thickBot="1" x14ac:dyDescent="0.25">
      <c r="B730" s="342">
        <f t="shared" ref="B730:L730" si="256">SUM(B728:B729)</f>
        <v>151</v>
      </c>
      <c r="C730" s="342">
        <f t="shared" si="256"/>
        <v>0</v>
      </c>
      <c r="D730" s="342">
        <f t="shared" si="256"/>
        <v>151</v>
      </c>
      <c r="E730" s="342">
        <f t="shared" si="256"/>
        <v>47</v>
      </c>
      <c r="F730" s="342">
        <f t="shared" si="256"/>
        <v>0</v>
      </c>
      <c r="G730" s="342">
        <f t="shared" si="256"/>
        <v>47</v>
      </c>
      <c r="H730" s="342">
        <f t="shared" si="256"/>
        <v>9</v>
      </c>
      <c r="I730" s="342">
        <f t="shared" si="256"/>
        <v>0</v>
      </c>
      <c r="J730" s="342">
        <f t="shared" si="256"/>
        <v>9</v>
      </c>
      <c r="K730" s="342">
        <f t="shared" si="256"/>
        <v>95</v>
      </c>
      <c r="L730" s="342">
        <f t="shared" si="256"/>
        <v>0</v>
      </c>
      <c r="M730" s="342">
        <f>SUM(M728:M729)</f>
        <v>95</v>
      </c>
      <c r="N730" s="203" t="s">
        <v>12</v>
      </c>
      <c r="O730" s="307"/>
    </row>
    <row r="731" spans="2:15" ht="18.75" customHeight="1" thickBot="1" x14ac:dyDescent="0.25">
      <c r="B731" s="342">
        <f>SUM(C731:D731)</f>
        <v>22</v>
      </c>
      <c r="C731" s="342">
        <f t="shared" si="252"/>
        <v>0</v>
      </c>
      <c r="D731" s="342">
        <f t="shared" si="252"/>
        <v>22</v>
      </c>
      <c r="E731" s="342">
        <f>SUM(F731:G731)</f>
        <v>8</v>
      </c>
      <c r="F731" s="342">
        <v>0</v>
      </c>
      <c r="G731" s="342">
        <v>8</v>
      </c>
      <c r="H731" s="342">
        <f>SUM(I731:J731)</f>
        <v>3</v>
      </c>
      <c r="I731" s="342">
        <v>0</v>
      </c>
      <c r="J731" s="342">
        <v>3</v>
      </c>
      <c r="K731" s="342">
        <f>SUM(L731:M731)</f>
        <v>11</v>
      </c>
      <c r="L731" s="342">
        <v>0</v>
      </c>
      <c r="M731" s="342">
        <v>11</v>
      </c>
      <c r="N731" s="203" t="s">
        <v>146</v>
      </c>
      <c r="O731" s="306"/>
    </row>
    <row r="732" spans="2:15" ht="18.75" customHeight="1" thickBot="1" x14ac:dyDescent="0.25">
      <c r="B732" s="342">
        <f>SUM(C732:D732)</f>
        <v>41</v>
      </c>
      <c r="C732" s="342">
        <f t="shared" si="252"/>
        <v>0</v>
      </c>
      <c r="D732" s="342">
        <f t="shared" si="252"/>
        <v>41</v>
      </c>
      <c r="E732" s="342">
        <f>SUM(F732:G732)</f>
        <v>0</v>
      </c>
      <c r="F732" s="342">
        <v>0</v>
      </c>
      <c r="G732" s="342">
        <v>0</v>
      </c>
      <c r="H732" s="342">
        <f>SUM(I732:J732)</f>
        <v>13</v>
      </c>
      <c r="I732" s="342">
        <v>0</v>
      </c>
      <c r="J732" s="342">
        <v>13</v>
      </c>
      <c r="K732" s="342">
        <f>SUM(L732:M732)</f>
        <v>28</v>
      </c>
      <c r="L732" s="342">
        <v>0</v>
      </c>
      <c r="M732" s="342">
        <v>28</v>
      </c>
      <c r="N732" s="203" t="s">
        <v>145</v>
      </c>
      <c r="O732" s="306" t="s">
        <v>105</v>
      </c>
    </row>
    <row r="733" spans="2:15" ht="18.75" customHeight="1" thickBot="1" x14ac:dyDescent="0.25">
      <c r="B733" s="342">
        <f t="shared" ref="B733:L733" si="257">SUM(B731:B732)</f>
        <v>63</v>
      </c>
      <c r="C733" s="342">
        <f t="shared" si="257"/>
        <v>0</v>
      </c>
      <c r="D733" s="342">
        <f t="shared" si="257"/>
        <v>63</v>
      </c>
      <c r="E733" s="342">
        <f t="shared" si="257"/>
        <v>8</v>
      </c>
      <c r="F733" s="342">
        <f t="shared" si="257"/>
        <v>0</v>
      </c>
      <c r="G733" s="342">
        <f t="shared" si="257"/>
        <v>8</v>
      </c>
      <c r="H733" s="342">
        <f t="shared" si="257"/>
        <v>16</v>
      </c>
      <c r="I733" s="342">
        <f t="shared" si="257"/>
        <v>0</v>
      </c>
      <c r="J733" s="342">
        <f t="shared" si="257"/>
        <v>16</v>
      </c>
      <c r="K733" s="342">
        <f t="shared" si="257"/>
        <v>39</v>
      </c>
      <c r="L733" s="342">
        <f t="shared" si="257"/>
        <v>0</v>
      </c>
      <c r="M733" s="342">
        <f>SUM(M731:M732)</f>
        <v>39</v>
      </c>
      <c r="N733" s="203" t="s">
        <v>12</v>
      </c>
      <c r="O733" s="307"/>
    </row>
    <row r="734" spans="2:15" ht="18.75" customHeight="1" thickBot="1" x14ac:dyDescent="0.25">
      <c r="B734" s="342">
        <f>SUM(C734:D734)</f>
        <v>28</v>
      </c>
      <c r="C734" s="342">
        <f t="shared" si="252"/>
        <v>0</v>
      </c>
      <c r="D734" s="342">
        <f t="shared" si="252"/>
        <v>28</v>
      </c>
      <c r="E734" s="342">
        <f>SUM(F734:G734)</f>
        <v>17</v>
      </c>
      <c r="F734" s="342">
        <v>0</v>
      </c>
      <c r="G734" s="342">
        <v>17</v>
      </c>
      <c r="H734" s="342">
        <f>SUM(I734:J734)</f>
        <v>2</v>
      </c>
      <c r="I734" s="342">
        <v>0</v>
      </c>
      <c r="J734" s="342">
        <v>2</v>
      </c>
      <c r="K734" s="342">
        <f>SUM(L734:M734)</f>
        <v>9</v>
      </c>
      <c r="L734" s="342">
        <v>0</v>
      </c>
      <c r="M734" s="342">
        <v>9</v>
      </c>
      <c r="N734" s="203" t="s">
        <v>146</v>
      </c>
      <c r="O734" s="306"/>
    </row>
    <row r="735" spans="2:15" ht="18.75" customHeight="1" thickBot="1" x14ac:dyDescent="0.25">
      <c r="B735" s="342">
        <f>SUM(C735:D735)</f>
        <v>35</v>
      </c>
      <c r="C735" s="342">
        <f t="shared" si="252"/>
        <v>0</v>
      </c>
      <c r="D735" s="342">
        <f t="shared" si="252"/>
        <v>35</v>
      </c>
      <c r="E735" s="342">
        <f>SUM(F735:G735)</f>
        <v>0</v>
      </c>
      <c r="F735" s="342">
        <v>0</v>
      </c>
      <c r="G735" s="342">
        <v>0</v>
      </c>
      <c r="H735" s="342">
        <f>SUM(I735:J735)</f>
        <v>2</v>
      </c>
      <c r="I735" s="342">
        <v>0</v>
      </c>
      <c r="J735" s="342">
        <v>2</v>
      </c>
      <c r="K735" s="342">
        <f>SUM(L735:M735)</f>
        <v>33</v>
      </c>
      <c r="L735" s="342">
        <v>0</v>
      </c>
      <c r="M735" s="342">
        <v>33</v>
      </c>
      <c r="N735" s="203" t="s">
        <v>145</v>
      </c>
      <c r="O735" s="306" t="s">
        <v>367</v>
      </c>
    </row>
    <row r="736" spans="2:15" ht="18.75" customHeight="1" thickBot="1" x14ac:dyDescent="0.25">
      <c r="B736" s="342">
        <f t="shared" ref="B736:L736" si="258">SUM(B734:B735)</f>
        <v>63</v>
      </c>
      <c r="C736" s="342">
        <f t="shared" si="258"/>
        <v>0</v>
      </c>
      <c r="D736" s="342">
        <f t="shared" si="258"/>
        <v>63</v>
      </c>
      <c r="E736" s="342">
        <f t="shared" si="258"/>
        <v>17</v>
      </c>
      <c r="F736" s="342">
        <f t="shared" si="258"/>
        <v>0</v>
      </c>
      <c r="G736" s="342">
        <f t="shared" si="258"/>
        <v>17</v>
      </c>
      <c r="H736" s="342">
        <f t="shared" si="258"/>
        <v>4</v>
      </c>
      <c r="I736" s="342">
        <f t="shared" si="258"/>
        <v>0</v>
      </c>
      <c r="J736" s="342">
        <f t="shared" si="258"/>
        <v>4</v>
      </c>
      <c r="K736" s="342">
        <f t="shared" si="258"/>
        <v>42</v>
      </c>
      <c r="L736" s="342">
        <f t="shared" si="258"/>
        <v>0</v>
      </c>
      <c r="M736" s="342">
        <f>SUM(M734:M735)</f>
        <v>42</v>
      </c>
      <c r="N736" s="203" t="s">
        <v>12</v>
      </c>
      <c r="O736" s="307"/>
    </row>
    <row r="737" spans="2:15" ht="18.75" customHeight="1" thickBot="1" x14ac:dyDescent="0.25">
      <c r="B737" s="342">
        <f>SUM(C737:D737)</f>
        <v>41</v>
      </c>
      <c r="C737" s="342">
        <f t="shared" si="252"/>
        <v>2</v>
      </c>
      <c r="D737" s="342">
        <f t="shared" si="252"/>
        <v>39</v>
      </c>
      <c r="E737" s="342">
        <f>SUM(F737:G737)</f>
        <v>31</v>
      </c>
      <c r="F737" s="342">
        <v>2</v>
      </c>
      <c r="G737" s="342">
        <v>29</v>
      </c>
      <c r="H737" s="342">
        <f>SUM(I737:J737)</f>
        <v>1</v>
      </c>
      <c r="I737" s="342">
        <v>0</v>
      </c>
      <c r="J737" s="342">
        <v>1</v>
      </c>
      <c r="K737" s="342">
        <f>SUM(L737:M737)</f>
        <v>9</v>
      </c>
      <c r="L737" s="342">
        <v>0</v>
      </c>
      <c r="M737" s="342">
        <v>9</v>
      </c>
      <c r="N737" s="203" t="s">
        <v>146</v>
      </c>
      <c r="O737" s="306"/>
    </row>
    <row r="738" spans="2:15" ht="18.75" customHeight="1" thickBot="1" x14ac:dyDescent="0.25">
      <c r="B738" s="342">
        <f>SUM(C738:D738)</f>
        <v>5</v>
      </c>
      <c r="C738" s="342">
        <f t="shared" si="252"/>
        <v>0</v>
      </c>
      <c r="D738" s="342">
        <f t="shared" si="252"/>
        <v>5</v>
      </c>
      <c r="E738" s="342">
        <f>SUM(F738:G738)</f>
        <v>0</v>
      </c>
      <c r="F738" s="342">
        <v>0</v>
      </c>
      <c r="G738" s="342">
        <v>0</v>
      </c>
      <c r="H738" s="342">
        <f>SUM(I738:J738)</f>
        <v>0</v>
      </c>
      <c r="I738" s="342">
        <v>0</v>
      </c>
      <c r="J738" s="342">
        <v>0</v>
      </c>
      <c r="K738" s="342">
        <f>SUM(L738:M738)</f>
        <v>5</v>
      </c>
      <c r="L738" s="342">
        <v>0</v>
      </c>
      <c r="M738" s="342">
        <v>5</v>
      </c>
      <c r="N738" s="203" t="s">
        <v>145</v>
      </c>
      <c r="O738" s="306" t="s">
        <v>347</v>
      </c>
    </row>
    <row r="739" spans="2:15" ht="18.75" customHeight="1" thickBot="1" x14ac:dyDescent="0.25">
      <c r="B739" s="342">
        <f t="shared" ref="B739:L739" si="259">SUM(B737:B738)</f>
        <v>46</v>
      </c>
      <c r="C739" s="342">
        <f t="shared" si="259"/>
        <v>2</v>
      </c>
      <c r="D739" s="342">
        <f t="shared" si="259"/>
        <v>44</v>
      </c>
      <c r="E739" s="342">
        <f t="shared" si="259"/>
        <v>31</v>
      </c>
      <c r="F739" s="342">
        <f t="shared" si="259"/>
        <v>2</v>
      </c>
      <c r="G739" s="342">
        <f t="shared" si="259"/>
        <v>29</v>
      </c>
      <c r="H739" s="342">
        <f t="shared" si="259"/>
        <v>1</v>
      </c>
      <c r="I739" s="342">
        <f t="shared" si="259"/>
        <v>0</v>
      </c>
      <c r="J739" s="342">
        <f t="shared" si="259"/>
        <v>1</v>
      </c>
      <c r="K739" s="342">
        <f t="shared" si="259"/>
        <v>14</v>
      </c>
      <c r="L739" s="342">
        <f t="shared" si="259"/>
        <v>0</v>
      </c>
      <c r="M739" s="342">
        <f>SUM(M737:M738)</f>
        <v>14</v>
      </c>
      <c r="N739" s="203" t="s">
        <v>12</v>
      </c>
      <c r="O739" s="307"/>
    </row>
    <row r="740" spans="2:15" ht="18.75" customHeight="1" thickBot="1" x14ac:dyDescent="0.25">
      <c r="B740" s="342">
        <f>SUM(C740:D740)</f>
        <v>22</v>
      </c>
      <c r="C740" s="342">
        <f t="shared" si="252"/>
        <v>1</v>
      </c>
      <c r="D740" s="342">
        <f t="shared" si="252"/>
        <v>21</v>
      </c>
      <c r="E740" s="342">
        <f>SUM(F740:G740)</f>
        <v>13</v>
      </c>
      <c r="F740" s="342">
        <v>1</v>
      </c>
      <c r="G740" s="342">
        <v>12</v>
      </c>
      <c r="H740" s="342">
        <f>SUM(I740:J740)</f>
        <v>4</v>
      </c>
      <c r="I740" s="342">
        <v>0</v>
      </c>
      <c r="J740" s="342">
        <v>4</v>
      </c>
      <c r="K740" s="342">
        <f>SUM(L740:M740)</f>
        <v>5</v>
      </c>
      <c r="L740" s="342">
        <v>0</v>
      </c>
      <c r="M740" s="342">
        <v>5</v>
      </c>
      <c r="N740" s="203" t="s">
        <v>146</v>
      </c>
      <c r="O740" s="306"/>
    </row>
    <row r="741" spans="2:15" ht="18.75" customHeight="1" thickBot="1" x14ac:dyDescent="0.25">
      <c r="B741" s="342">
        <f>SUM(C741:D741)</f>
        <v>51</v>
      </c>
      <c r="C741" s="342">
        <f t="shared" si="252"/>
        <v>16</v>
      </c>
      <c r="D741" s="342">
        <f t="shared" si="252"/>
        <v>35</v>
      </c>
      <c r="E741" s="342">
        <f>SUM(F741:G741)</f>
        <v>22</v>
      </c>
      <c r="F741" s="342">
        <v>8</v>
      </c>
      <c r="G741" s="342">
        <v>14</v>
      </c>
      <c r="H741" s="342">
        <f>SUM(I741:J741)</f>
        <v>17</v>
      </c>
      <c r="I741" s="342">
        <v>6</v>
      </c>
      <c r="J741" s="342">
        <v>11</v>
      </c>
      <c r="K741" s="342">
        <f>SUM(L741:M741)</f>
        <v>12</v>
      </c>
      <c r="L741" s="342">
        <v>2</v>
      </c>
      <c r="M741" s="342">
        <v>10</v>
      </c>
      <c r="N741" s="203" t="s">
        <v>145</v>
      </c>
      <c r="O741" s="306" t="s">
        <v>280</v>
      </c>
    </row>
    <row r="742" spans="2:15" ht="18.75" customHeight="1" thickBot="1" x14ac:dyDescent="0.25">
      <c r="B742" s="342">
        <f t="shared" ref="B742:L742" si="260">SUM(B740:B741)</f>
        <v>73</v>
      </c>
      <c r="C742" s="342">
        <f t="shared" si="260"/>
        <v>17</v>
      </c>
      <c r="D742" s="342">
        <f t="shared" si="260"/>
        <v>56</v>
      </c>
      <c r="E742" s="342">
        <f t="shared" si="260"/>
        <v>35</v>
      </c>
      <c r="F742" s="342">
        <f t="shared" si="260"/>
        <v>9</v>
      </c>
      <c r="G742" s="342">
        <f t="shared" si="260"/>
        <v>26</v>
      </c>
      <c r="H742" s="342">
        <f t="shared" si="260"/>
        <v>21</v>
      </c>
      <c r="I742" s="342">
        <f t="shared" si="260"/>
        <v>6</v>
      </c>
      <c r="J742" s="342">
        <f t="shared" si="260"/>
        <v>15</v>
      </c>
      <c r="K742" s="342">
        <f t="shared" si="260"/>
        <v>17</v>
      </c>
      <c r="L742" s="342">
        <f t="shared" si="260"/>
        <v>2</v>
      </c>
      <c r="M742" s="342">
        <f>SUM(M740:M741)</f>
        <v>15</v>
      </c>
      <c r="N742" s="203" t="s">
        <v>12</v>
      </c>
      <c r="O742" s="307"/>
    </row>
    <row r="743" spans="2:15" ht="18.75" customHeight="1" thickBot="1" x14ac:dyDescent="0.25">
      <c r="B743" s="342">
        <f>SUM(C743:D743)</f>
        <v>45</v>
      </c>
      <c r="C743" s="342">
        <f t="shared" si="252"/>
        <v>45</v>
      </c>
      <c r="D743" s="342">
        <f t="shared" si="252"/>
        <v>0</v>
      </c>
      <c r="E743" s="342">
        <f>SUM(F743:G743)</f>
        <v>13</v>
      </c>
      <c r="F743" s="342">
        <v>13</v>
      </c>
      <c r="G743" s="342">
        <v>0</v>
      </c>
      <c r="H743" s="342">
        <f>SUM(I743:J743)</f>
        <v>8</v>
      </c>
      <c r="I743" s="342">
        <v>8</v>
      </c>
      <c r="J743" s="342">
        <v>0</v>
      </c>
      <c r="K743" s="342">
        <f>SUM(L743:M743)</f>
        <v>24</v>
      </c>
      <c r="L743" s="342">
        <v>24</v>
      </c>
      <c r="M743" s="342">
        <v>0</v>
      </c>
      <c r="N743" s="203" t="s">
        <v>146</v>
      </c>
      <c r="O743" s="306"/>
    </row>
    <row r="744" spans="2:15" ht="18.75" customHeight="1" thickBot="1" x14ac:dyDescent="0.25">
      <c r="B744" s="342">
        <f>SUM(C744:D744)</f>
        <v>77</v>
      </c>
      <c r="C744" s="342">
        <f t="shared" si="252"/>
        <v>28</v>
      </c>
      <c r="D744" s="342">
        <f t="shared" si="252"/>
        <v>49</v>
      </c>
      <c r="E744" s="342">
        <f>SUM(F744:G744)</f>
        <v>0</v>
      </c>
      <c r="F744" s="342">
        <v>0</v>
      </c>
      <c r="G744" s="342">
        <v>0</v>
      </c>
      <c r="H744" s="342">
        <f>SUM(I744:J744)</f>
        <v>11</v>
      </c>
      <c r="I744" s="342">
        <v>11</v>
      </c>
      <c r="J744" s="342">
        <v>0</v>
      </c>
      <c r="K744" s="342">
        <f>SUM(L744:M744)</f>
        <v>66</v>
      </c>
      <c r="L744" s="342">
        <v>17</v>
      </c>
      <c r="M744" s="342">
        <v>49</v>
      </c>
      <c r="N744" s="203" t="s">
        <v>145</v>
      </c>
      <c r="O744" s="306" t="s">
        <v>772</v>
      </c>
    </row>
    <row r="745" spans="2:15" ht="18.75" customHeight="1" thickBot="1" x14ac:dyDescent="0.25">
      <c r="B745" s="342">
        <f t="shared" ref="B745:L745" si="261">SUM(B743:B744)</f>
        <v>122</v>
      </c>
      <c r="C745" s="342">
        <f t="shared" si="261"/>
        <v>73</v>
      </c>
      <c r="D745" s="342">
        <f t="shared" si="261"/>
        <v>49</v>
      </c>
      <c r="E745" s="342">
        <f t="shared" si="261"/>
        <v>13</v>
      </c>
      <c r="F745" s="342">
        <f t="shared" si="261"/>
        <v>13</v>
      </c>
      <c r="G745" s="342">
        <f t="shared" si="261"/>
        <v>0</v>
      </c>
      <c r="H745" s="342">
        <f t="shared" si="261"/>
        <v>19</v>
      </c>
      <c r="I745" s="342">
        <f t="shared" si="261"/>
        <v>19</v>
      </c>
      <c r="J745" s="342">
        <f t="shared" si="261"/>
        <v>0</v>
      </c>
      <c r="K745" s="342">
        <f t="shared" si="261"/>
        <v>90</v>
      </c>
      <c r="L745" s="342">
        <f t="shared" si="261"/>
        <v>41</v>
      </c>
      <c r="M745" s="342">
        <f>SUM(M743:M744)</f>
        <v>49</v>
      </c>
      <c r="N745" s="203" t="s">
        <v>12</v>
      </c>
      <c r="O745" s="307"/>
    </row>
    <row r="746" spans="2:15" ht="18.75" customHeight="1" thickBot="1" x14ac:dyDescent="0.25">
      <c r="B746" s="342">
        <f>SUM(C746:D746)</f>
        <v>0</v>
      </c>
      <c r="C746" s="342">
        <f t="shared" si="252"/>
        <v>0</v>
      </c>
      <c r="D746" s="342">
        <f t="shared" si="252"/>
        <v>0</v>
      </c>
      <c r="E746" s="342">
        <f>SUM(F746:G746)</f>
        <v>0</v>
      </c>
      <c r="F746" s="342">
        <v>0</v>
      </c>
      <c r="G746" s="342">
        <v>0</v>
      </c>
      <c r="H746" s="342">
        <f>SUM(I746:J746)</f>
        <v>0</v>
      </c>
      <c r="I746" s="342">
        <v>0</v>
      </c>
      <c r="J746" s="342">
        <v>0</v>
      </c>
      <c r="K746" s="342">
        <f>SUM(L746:M746)</f>
        <v>0</v>
      </c>
      <c r="L746" s="342">
        <v>0</v>
      </c>
      <c r="M746" s="342">
        <v>0</v>
      </c>
      <c r="N746" s="203" t="s">
        <v>146</v>
      </c>
      <c r="O746" s="306"/>
    </row>
    <row r="747" spans="2:15" ht="18.75" customHeight="1" thickBot="1" x14ac:dyDescent="0.25">
      <c r="B747" s="342">
        <f>SUM(C747:D747)</f>
        <v>2</v>
      </c>
      <c r="C747" s="342">
        <f t="shared" si="252"/>
        <v>2</v>
      </c>
      <c r="D747" s="342">
        <f t="shared" si="252"/>
        <v>0</v>
      </c>
      <c r="E747" s="342">
        <f>SUM(F747:G747)</f>
        <v>0</v>
      </c>
      <c r="F747" s="342">
        <v>0</v>
      </c>
      <c r="G747" s="342">
        <v>0</v>
      </c>
      <c r="H747" s="342">
        <f>SUM(I747:J747)</f>
        <v>0</v>
      </c>
      <c r="I747" s="342">
        <v>0</v>
      </c>
      <c r="J747" s="342">
        <v>0</v>
      </c>
      <c r="K747" s="342">
        <f>SUM(L747:M747)</f>
        <v>2</v>
      </c>
      <c r="L747" s="342">
        <v>2</v>
      </c>
      <c r="M747" s="342">
        <v>0</v>
      </c>
      <c r="N747" s="203" t="s">
        <v>145</v>
      </c>
      <c r="O747" s="306" t="s">
        <v>107</v>
      </c>
    </row>
    <row r="748" spans="2:15" ht="18.75" customHeight="1" thickBot="1" x14ac:dyDescent="0.25">
      <c r="B748" s="342">
        <f t="shared" ref="B748:L748" si="262">SUM(B746:B747)</f>
        <v>2</v>
      </c>
      <c r="C748" s="342">
        <f t="shared" si="262"/>
        <v>2</v>
      </c>
      <c r="D748" s="342">
        <f t="shared" si="262"/>
        <v>0</v>
      </c>
      <c r="E748" s="342">
        <f t="shared" si="262"/>
        <v>0</v>
      </c>
      <c r="F748" s="342">
        <f t="shared" si="262"/>
        <v>0</v>
      </c>
      <c r="G748" s="342">
        <f t="shared" si="262"/>
        <v>0</v>
      </c>
      <c r="H748" s="342">
        <f t="shared" si="262"/>
        <v>0</v>
      </c>
      <c r="I748" s="342">
        <f t="shared" si="262"/>
        <v>0</v>
      </c>
      <c r="J748" s="342">
        <f t="shared" si="262"/>
        <v>0</v>
      </c>
      <c r="K748" s="342">
        <f t="shared" si="262"/>
        <v>2</v>
      </c>
      <c r="L748" s="342">
        <f t="shared" si="262"/>
        <v>2</v>
      </c>
      <c r="M748" s="342">
        <f>SUM(M746:M747)</f>
        <v>0</v>
      </c>
      <c r="N748" s="203" t="s">
        <v>12</v>
      </c>
      <c r="O748" s="307"/>
    </row>
    <row r="749" spans="2:15" ht="18.75" customHeight="1" thickBot="1" x14ac:dyDescent="0.25">
      <c r="B749" s="342">
        <f>SUM(C749:D749)</f>
        <v>0</v>
      </c>
      <c r="C749" s="342">
        <f t="shared" si="252"/>
        <v>0</v>
      </c>
      <c r="D749" s="342">
        <f t="shared" si="252"/>
        <v>0</v>
      </c>
      <c r="E749" s="342">
        <f>SUM(F749:G749)</f>
        <v>0</v>
      </c>
      <c r="F749" s="342">
        <v>0</v>
      </c>
      <c r="G749" s="342">
        <v>0</v>
      </c>
      <c r="H749" s="342">
        <f>SUM(I749:J749)</f>
        <v>0</v>
      </c>
      <c r="I749" s="342">
        <v>0</v>
      </c>
      <c r="J749" s="342">
        <v>0</v>
      </c>
      <c r="K749" s="342">
        <f>SUM(L749:M749)</f>
        <v>0</v>
      </c>
      <c r="L749" s="342">
        <v>0</v>
      </c>
      <c r="M749" s="342">
        <v>0</v>
      </c>
      <c r="N749" s="203" t="s">
        <v>146</v>
      </c>
      <c r="O749" s="306"/>
    </row>
    <row r="750" spans="2:15" ht="18.75" customHeight="1" thickBot="1" x14ac:dyDescent="0.25">
      <c r="B750" s="342">
        <f>SUM(C750:D750)</f>
        <v>16</v>
      </c>
      <c r="C750" s="342">
        <f t="shared" si="252"/>
        <v>12</v>
      </c>
      <c r="D750" s="342">
        <f t="shared" si="252"/>
        <v>4</v>
      </c>
      <c r="E750" s="342">
        <f>SUM(F750:G750)</f>
        <v>0</v>
      </c>
      <c r="F750" s="342">
        <v>0</v>
      </c>
      <c r="G750" s="342">
        <v>0</v>
      </c>
      <c r="H750" s="342">
        <f>SUM(I750:J750)</f>
        <v>6</v>
      </c>
      <c r="I750" s="342">
        <v>2</v>
      </c>
      <c r="J750" s="342">
        <v>4</v>
      </c>
      <c r="K750" s="342">
        <f>SUM(L750:M750)</f>
        <v>10</v>
      </c>
      <c r="L750" s="342">
        <v>10</v>
      </c>
      <c r="M750" s="342">
        <v>0</v>
      </c>
      <c r="N750" s="203" t="s">
        <v>145</v>
      </c>
      <c r="O750" s="306" t="s">
        <v>510</v>
      </c>
    </row>
    <row r="751" spans="2:15" ht="18.75" customHeight="1" thickBot="1" x14ac:dyDescent="0.25">
      <c r="B751" s="342">
        <f t="shared" ref="B751:L751" si="263">SUM(B749:B750)</f>
        <v>16</v>
      </c>
      <c r="C751" s="342">
        <f t="shared" si="263"/>
        <v>12</v>
      </c>
      <c r="D751" s="342">
        <f t="shared" si="263"/>
        <v>4</v>
      </c>
      <c r="E751" s="342">
        <f t="shared" si="263"/>
        <v>0</v>
      </c>
      <c r="F751" s="342">
        <f t="shared" si="263"/>
        <v>0</v>
      </c>
      <c r="G751" s="342">
        <f t="shared" si="263"/>
        <v>0</v>
      </c>
      <c r="H751" s="342">
        <f t="shared" si="263"/>
        <v>6</v>
      </c>
      <c r="I751" s="342">
        <f t="shared" si="263"/>
        <v>2</v>
      </c>
      <c r="J751" s="342">
        <f t="shared" si="263"/>
        <v>4</v>
      </c>
      <c r="K751" s="342">
        <f t="shared" si="263"/>
        <v>10</v>
      </c>
      <c r="L751" s="342">
        <f t="shared" si="263"/>
        <v>10</v>
      </c>
      <c r="M751" s="342">
        <f>SUM(M749:M750)</f>
        <v>0</v>
      </c>
      <c r="N751" s="203" t="s">
        <v>12</v>
      </c>
      <c r="O751" s="307"/>
    </row>
    <row r="752" spans="2:15" ht="18.75" customHeight="1" thickBot="1" x14ac:dyDescent="0.25">
      <c r="B752" s="342">
        <f>SUM(C752:D752)</f>
        <v>58</v>
      </c>
      <c r="C752" s="342">
        <f t="shared" si="252"/>
        <v>58</v>
      </c>
      <c r="D752" s="342">
        <f t="shared" si="252"/>
        <v>0</v>
      </c>
      <c r="E752" s="342">
        <f>SUM(F752:G752)</f>
        <v>12</v>
      </c>
      <c r="F752" s="342">
        <v>12</v>
      </c>
      <c r="G752" s="342">
        <v>0</v>
      </c>
      <c r="H752" s="342">
        <f>SUM(I752:J752)</f>
        <v>10</v>
      </c>
      <c r="I752" s="342">
        <v>10</v>
      </c>
      <c r="J752" s="342">
        <v>0</v>
      </c>
      <c r="K752" s="342">
        <f>SUM(L752:M752)</f>
        <v>36</v>
      </c>
      <c r="L752" s="342">
        <v>36</v>
      </c>
      <c r="M752" s="342">
        <v>0</v>
      </c>
      <c r="N752" s="203" t="s">
        <v>146</v>
      </c>
      <c r="O752" s="306"/>
    </row>
    <row r="753" spans="2:15" ht="18.75" customHeight="1" thickBot="1" x14ac:dyDescent="0.25">
      <c r="B753" s="342">
        <f>SUM(C753:D753)</f>
        <v>74</v>
      </c>
      <c r="C753" s="342">
        <f t="shared" si="252"/>
        <v>57</v>
      </c>
      <c r="D753" s="342">
        <f t="shared" si="252"/>
        <v>17</v>
      </c>
      <c r="E753" s="342">
        <f>SUM(F753:G753)</f>
        <v>0</v>
      </c>
      <c r="F753" s="342">
        <v>0</v>
      </c>
      <c r="G753" s="342">
        <v>0</v>
      </c>
      <c r="H753" s="342">
        <f>SUM(I753:J753)</f>
        <v>7</v>
      </c>
      <c r="I753" s="342">
        <v>7</v>
      </c>
      <c r="J753" s="342">
        <v>0</v>
      </c>
      <c r="K753" s="342">
        <f>SUM(L753:M753)</f>
        <v>67</v>
      </c>
      <c r="L753" s="342">
        <v>50</v>
      </c>
      <c r="M753" s="342">
        <v>17</v>
      </c>
      <c r="N753" s="203" t="s">
        <v>145</v>
      </c>
      <c r="O753" s="306" t="s">
        <v>511</v>
      </c>
    </row>
    <row r="754" spans="2:15" ht="18.75" customHeight="1" thickBot="1" x14ac:dyDescent="0.25">
      <c r="B754" s="342">
        <f t="shared" ref="B754:L754" si="264">SUM(B752:B753)</f>
        <v>132</v>
      </c>
      <c r="C754" s="342">
        <f t="shared" si="264"/>
        <v>115</v>
      </c>
      <c r="D754" s="342">
        <f t="shared" si="264"/>
        <v>17</v>
      </c>
      <c r="E754" s="342">
        <f t="shared" si="264"/>
        <v>12</v>
      </c>
      <c r="F754" s="342">
        <f t="shared" si="264"/>
        <v>12</v>
      </c>
      <c r="G754" s="342">
        <f t="shared" si="264"/>
        <v>0</v>
      </c>
      <c r="H754" s="342">
        <f t="shared" si="264"/>
        <v>17</v>
      </c>
      <c r="I754" s="342">
        <f t="shared" si="264"/>
        <v>17</v>
      </c>
      <c r="J754" s="342">
        <f t="shared" si="264"/>
        <v>0</v>
      </c>
      <c r="K754" s="342">
        <f t="shared" si="264"/>
        <v>103</v>
      </c>
      <c r="L754" s="342">
        <f t="shared" si="264"/>
        <v>86</v>
      </c>
      <c r="M754" s="342">
        <f>SUM(M752:M753)</f>
        <v>17</v>
      </c>
      <c r="N754" s="203" t="s">
        <v>12</v>
      </c>
      <c r="O754" s="307"/>
    </row>
    <row r="755" spans="2:15" ht="18.75" customHeight="1" thickBot="1" x14ac:dyDescent="0.25">
      <c r="B755" s="342">
        <f>SUM(C755:D755)</f>
        <v>31</v>
      </c>
      <c r="C755" s="342">
        <f t="shared" si="252"/>
        <v>31</v>
      </c>
      <c r="D755" s="342">
        <f t="shared" si="252"/>
        <v>0</v>
      </c>
      <c r="E755" s="342">
        <f>SUM(F755:G755)</f>
        <v>29</v>
      </c>
      <c r="F755" s="342">
        <v>29</v>
      </c>
      <c r="G755" s="342">
        <v>0</v>
      </c>
      <c r="H755" s="342">
        <f>SUM(I755:J755)</f>
        <v>2</v>
      </c>
      <c r="I755" s="342">
        <v>2</v>
      </c>
      <c r="J755" s="342">
        <v>0</v>
      </c>
      <c r="K755" s="342">
        <f>SUM(L755:M755)</f>
        <v>0</v>
      </c>
      <c r="L755" s="342">
        <v>0</v>
      </c>
      <c r="M755" s="342">
        <v>0</v>
      </c>
      <c r="N755" s="203" t="s">
        <v>146</v>
      </c>
      <c r="O755" s="306"/>
    </row>
    <row r="756" spans="2:15" ht="18.75" customHeight="1" thickBot="1" x14ac:dyDescent="0.25">
      <c r="B756" s="342">
        <f>SUM(C756:D756)</f>
        <v>81</v>
      </c>
      <c r="C756" s="342">
        <f t="shared" si="252"/>
        <v>61</v>
      </c>
      <c r="D756" s="342">
        <f t="shared" si="252"/>
        <v>20</v>
      </c>
      <c r="E756" s="342">
        <f>SUM(F756:G756)</f>
        <v>27</v>
      </c>
      <c r="F756" s="342">
        <v>27</v>
      </c>
      <c r="G756" s="342">
        <v>0</v>
      </c>
      <c r="H756" s="342">
        <f>SUM(I756:J756)</f>
        <v>15</v>
      </c>
      <c r="I756" s="342">
        <v>15</v>
      </c>
      <c r="J756" s="342">
        <v>0</v>
      </c>
      <c r="K756" s="342">
        <f>SUM(L756:M756)</f>
        <v>39</v>
      </c>
      <c r="L756" s="342">
        <v>19</v>
      </c>
      <c r="M756" s="342">
        <v>20</v>
      </c>
      <c r="N756" s="203" t="s">
        <v>145</v>
      </c>
      <c r="O756" s="306" t="s">
        <v>512</v>
      </c>
    </row>
    <row r="757" spans="2:15" ht="18.75" customHeight="1" thickBot="1" x14ac:dyDescent="0.25">
      <c r="B757" s="342">
        <f t="shared" ref="B757:L757" si="265">SUM(B755:B756)</f>
        <v>112</v>
      </c>
      <c r="C757" s="342">
        <f t="shared" si="265"/>
        <v>92</v>
      </c>
      <c r="D757" s="342">
        <f t="shared" si="265"/>
        <v>20</v>
      </c>
      <c r="E757" s="342">
        <f t="shared" si="265"/>
        <v>56</v>
      </c>
      <c r="F757" s="342">
        <f t="shared" si="265"/>
        <v>56</v>
      </c>
      <c r="G757" s="342">
        <f t="shared" si="265"/>
        <v>0</v>
      </c>
      <c r="H757" s="342">
        <f t="shared" si="265"/>
        <v>17</v>
      </c>
      <c r="I757" s="342">
        <f t="shared" si="265"/>
        <v>17</v>
      </c>
      <c r="J757" s="342">
        <f t="shared" si="265"/>
        <v>0</v>
      </c>
      <c r="K757" s="342">
        <f t="shared" si="265"/>
        <v>39</v>
      </c>
      <c r="L757" s="342">
        <f t="shared" si="265"/>
        <v>19</v>
      </c>
      <c r="M757" s="342">
        <f>SUM(M755:M756)</f>
        <v>20</v>
      </c>
      <c r="N757" s="203" t="s">
        <v>12</v>
      </c>
      <c r="O757" s="307"/>
    </row>
    <row r="758" spans="2:15" ht="18.75" customHeight="1" thickBot="1" x14ac:dyDescent="0.25">
      <c r="B758" s="342">
        <f>SUM(C758:D758)</f>
        <v>14</v>
      </c>
      <c r="C758" s="342">
        <f t="shared" si="252"/>
        <v>0</v>
      </c>
      <c r="D758" s="342">
        <f t="shared" si="252"/>
        <v>14</v>
      </c>
      <c r="E758" s="342">
        <f>SUM(F758:G758)</f>
        <v>11</v>
      </c>
      <c r="F758" s="342">
        <v>0</v>
      </c>
      <c r="G758" s="342">
        <v>11</v>
      </c>
      <c r="H758" s="342">
        <f>SUM(I758:J758)</f>
        <v>3</v>
      </c>
      <c r="I758" s="342">
        <v>0</v>
      </c>
      <c r="J758" s="342">
        <v>3</v>
      </c>
      <c r="K758" s="342">
        <f>SUM(L758:M758)</f>
        <v>0</v>
      </c>
      <c r="L758" s="342">
        <v>0</v>
      </c>
      <c r="M758" s="342">
        <v>0</v>
      </c>
      <c r="N758" s="203" t="s">
        <v>146</v>
      </c>
      <c r="O758" s="306"/>
    </row>
    <row r="759" spans="2:15" ht="18.75" customHeight="1" thickBot="1" x14ac:dyDescent="0.25">
      <c r="B759" s="342">
        <f>SUM(C759:D759)</f>
        <v>226</v>
      </c>
      <c r="C759" s="342">
        <f t="shared" si="252"/>
        <v>94</v>
      </c>
      <c r="D759" s="342">
        <f t="shared" si="252"/>
        <v>132</v>
      </c>
      <c r="E759" s="342">
        <f>SUM(F759:G759)</f>
        <v>108</v>
      </c>
      <c r="F759" s="342">
        <v>27</v>
      </c>
      <c r="G759" s="342">
        <v>81</v>
      </c>
      <c r="H759" s="342">
        <f>SUM(I759:J759)</f>
        <v>49</v>
      </c>
      <c r="I759" s="342">
        <v>1</v>
      </c>
      <c r="J759" s="342">
        <v>48</v>
      </c>
      <c r="K759" s="342">
        <f>SUM(L759:M759)</f>
        <v>69</v>
      </c>
      <c r="L759" s="342">
        <v>66</v>
      </c>
      <c r="M759" s="342">
        <v>3</v>
      </c>
      <c r="N759" s="203" t="s">
        <v>145</v>
      </c>
      <c r="O759" s="306" t="s">
        <v>513</v>
      </c>
    </row>
    <row r="760" spans="2:15" ht="18.75" customHeight="1" thickBot="1" x14ac:dyDescent="0.25">
      <c r="B760" s="342">
        <f t="shared" ref="B760:L760" si="266">SUM(B758:B759)</f>
        <v>240</v>
      </c>
      <c r="C760" s="342">
        <f t="shared" si="266"/>
        <v>94</v>
      </c>
      <c r="D760" s="342">
        <f t="shared" si="266"/>
        <v>146</v>
      </c>
      <c r="E760" s="342">
        <f t="shared" si="266"/>
        <v>119</v>
      </c>
      <c r="F760" s="342">
        <f t="shared" si="266"/>
        <v>27</v>
      </c>
      <c r="G760" s="342">
        <f t="shared" si="266"/>
        <v>92</v>
      </c>
      <c r="H760" s="342">
        <f t="shared" si="266"/>
        <v>52</v>
      </c>
      <c r="I760" s="342">
        <f t="shared" si="266"/>
        <v>1</v>
      </c>
      <c r="J760" s="342">
        <f t="shared" si="266"/>
        <v>51</v>
      </c>
      <c r="K760" s="342">
        <f t="shared" si="266"/>
        <v>69</v>
      </c>
      <c r="L760" s="342">
        <f t="shared" si="266"/>
        <v>66</v>
      </c>
      <c r="M760" s="342">
        <f>SUM(M758:M759)</f>
        <v>3</v>
      </c>
      <c r="N760" s="203" t="s">
        <v>12</v>
      </c>
      <c r="O760" s="309"/>
    </row>
    <row r="761" spans="2:15" ht="18.75" customHeight="1" thickBot="1" x14ac:dyDescent="0.25">
      <c r="B761" s="342">
        <f t="shared" ref="B761:M763" si="267">B719+B722+B725+B728+B731+B734+B737+B740+B743+B746+B749+B752+B755+B758</f>
        <v>554</v>
      </c>
      <c r="C761" s="342">
        <f t="shared" si="267"/>
        <v>142</v>
      </c>
      <c r="D761" s="342">
        <f t="shared" si="267"/>
        <v>412</v>
      </c>
      <c r="E761" s="342">
        <f t="shared" si="267"/>
        <v>255</v>
      </c>
      <c r="F761" s="342">
        <f t="shared" si="267"/>
        <v>62</v>
      </c>
      <c r="G761" s="342">
        <f t="shared" si="267"/>
        <v>193</v>
      </c>
      <c r="H761" s="342">
        <f t="shared" si="267"/>
        <v>60</v>
      </c>
      <c r="I761" s="342">
        <f t="shared" si="267"/>
        <v>20</v>
      </c>
      <c r="J761" s="342">
        <f t="shared" si="267"/>
        <v>40</v>
      </c>
      <c r="K761" s="342">
        <f t="shared" si="267"/>
        <v>239</v>
      </c>
      <c r="L761" s="342">
        <f t="shared" si="267"/>
        <v>60</v>
      </c>
      <c r="M761" s="342">
        <f>M719+M722+M725+M728+M731+M734+M737+M740+M743+M746+M749+M752+M755+M758</f>
        <v>179</v>
      </c>
      <c r="N761" s="203" t="s">
        <v>146</v>
      </c>
      <c r="O761" s="312"/>
    </row>
    <row r="762" spans="2:15" ht="18.75" customHeight="1" thickBot="1" x14ac:dyDescent="0.25">
      <c r="B762" s="342">
        <f t="shared" si="267"/>
        <v>919</v>
      </c>
      <c r="C762" s="342">
        <f t="shared" si="267"/>
        <v>270</v>
      </c>
      <c r="D762" s="342">
        <f t="shared" si="267"/>
        <v>649</v>
      </c>
      <c r="E762" s="342">
        <f t="shared" si="267"/>
        <v>177</v>
      </c>
      <c r="F762" s="342">
        <f t="shared" si="267"/>
        <v>62</v>
      </c>
      <c r="G762" s="342">
        <f t="shared" si="267"/>
        <v>115</v>
      </c>
      <c r="H762" s="342">
        <f t="shared" si="267"/>
        <v>147</v>
      </c>
      <c r="I762" s="342">
        <f t="shared" si="267"/>
        <v>42</v>
      </c>
      <c r="J762" s="342">
        <f t="shared" si="267"/>
        <v>105</v>
      </c>
      <c r="K762" s="342">
        <f t="shared" si="267"/>
        <v>595</v>
      </c>
      <c r="L762" s="342">
        <f t="shared" si="267"/>
        <v>166</v>
      </c>
      <c r="M762" s="342">
        <f t="shared" si="267"/>
        <v>429</v>
      </c>
      <c r="N762" s="203" t="s">
        <v>145</v>
      </c>
      <c r="O762" s="313" t="s">
        <v>188</v>
      </c>
    </row>
    <row r="763" spans="2:15" ht="18.75" customHeight="1" thickBot="1" x14ac:dyDescent="0.25">
      <c r="B763" s="342">
        <f t="shared" si="267"/>
        <v>1473</v>
      </c>
      <c r="C763" s="342">
        <f t="shared" si="267"/>
        <v>412</v>
      </c>
      <c r="D763" s="342">
        <f t="shared" si="267"/>
        <v>1061</v>
      </c>
      <c r="E763" s="342">
        <f t="shared" si="267"/>
        <v>432</v>
      </c>
      <c r="F763" s="342">
        <f t="shared" si="267"/>
        <v>124</v>
      </c>
      <c r="G763" s="342">
        <f t="shared" si="267"/>
        <v>308</v>
      </c>
      <c r="H763" s="342">
        <f t="shared" si="267"/>
        <v>207</v>
      </c>
      <c r="I763" s="342">
        <f t="shared" si="267"/>
        <v>62</v>
      </c>
      <c r="J763" s="342">
        <f t="shared" si="267"/>
        <v>145</v>
      </c>
      <c r="K763" s="342">
        <f t="shared" si="267"/>
        <v>834</v>
      </c>
      <c r="L763" s="342">
        <f t="shared" si="267"/>
        <v>226</v>
      </c>
      <c r="M763" s="342">
        <f t="shared" si="267"/>
        <v>608</v>
      </c>
      <c r="N763" s="203" t="s">
        <v>12</v>
      </c>
      <c r="O763" s="315"/>
    </row>
    <row r="764" spans="2:15" ht="18.75" customHeight="1" thickBot="1" x14ac:dyDescent="0.25">
      <c r="B764" s="346"/>
      <c r="C764" s="346"/>
      <c r="D764" s="346"/>
      <c r="E764" s="346"/>
      <c r="F764" s="346"/>
      <c r="G764" s="346"/>
      <c r="H764" s="346"/>
      <c r="I764" s="346"/>
      <c r="J764" s="346"/>
      <c r="K764" s="317"/>
      <c r="L764" s="317"/>
    </row>
    <row r="765" spans="2:15" ht="18.75" customHeight="1" thickBot="1" x14ac:dyDescent="0.25">
      <c r="B765" s="482" t="s">
        <v>4</v>
      </c>
      <c r="C765" s="482"/>
      <c r="D765" s="482"/>
      <c r="E765" s="482" t="s">
        <v>60</v>
      </c>
      <c r="F765" s="482"/>
      <c r="G765" s="482"/>
      <c r="H765" s="482" t="s">
        <v>57</v>
      </c>
      <c r="I765" s="482"/>
      <c r="J765" s="482"/>
      <c r="K765" s="482" t="s">
        <v>56</v>
      </c>
      <c r="L765" s="482"/>
      <c r="M765" s="482"/>
      <c r="N765" s="575" t="s">
        <v>792</v>
      </c>
      <c r="O765" s="304" t="s">
        <v>144</v>
      </c>
    </row>
    <row r="766" spans="2:15" ht="18.75" customHeight="1" thickBot="1" x14ac:dyDescent="0.25">
      <c r="B766" s="203" t="s">
        <v>227</v>
      </c>
      <c r="C766" s="203" t="s">
        <v>10</v>
      </c>
      <c r="D766" s="203" t="s">
        <v>9</v>
      </c>
      <c r="E766" s="203" t="s">
        <v>227</v>
      </c>
      <c r="F766" s="203" t="s">
        <v>10</v>
      </c>
      <c r="G766" s="203" t="s">
        <v>9</v>
      </c>
      <c r="H766" s="203" t="s">
        <v>227</v>
      </c>
      <c r="I766" s="203" t="s">
        <v>10</v>
      </c>
      <c r="J766" s="203" t="s">
        <v>9</v>
      </c>
      <c r="K766" s="203" t="s">
        <v>227</v>
      </c>
      <c r="L766" s="203" t="s">
        <v>10</v>
      </c>
      <c r="M766" s="203" t="s">
        <v>9</v>
      </c>
      <c r="N766" s="481"/>
      <c r="O766" s="282" t="s">
        <v>109</v>
      </c>
    </row>
    <row r="767" spans="2:15" ht="18.75" customHeight="1" thickBot="1" x14ac:dyDescent="0.25">
      <c r="B767" s="342">
        <f>SUM(C767:D767)</f>
        <v>0</v>
      </c>
      <c r="C767" s="342">
        <f>L767+I767+F767</f>
        <v>0</v>
      </c>
      <c r="D767" s="342">
        <f>M767+J767+G767</f>
        <v>0</v>
      </c>
      <c r="E767" s="342">
        <f>SUM(F767:G767)</f>
        <v>0</v>
      </c>
      <c r="F767" s="342">
        <v>0</v>
      </c>
      <c r="G767" s="342">
        <v>0</v>
      </c>
      <c r="H767" s="342">
        <f>SUM(I767:J767)</f>
        <v>0</v>
      </c>
      <c r="I767" s="342">
        <v>0</v>
      </c>
      <c r="J767" s="342">
        <v>0</v>
      </c>
      <c r="K767" s="342">
        <f>SUM(L767:M767)</f>
        <v>0</v>
      </c>
      <c r="L767" s="342">
        <v>0</v>
      </c>
      <c r="M767" s="342">
        <v>0</v>
      </c>
      <c r="N767" s="203" t="s">
        <v>146</v>
      </c>
      <c r="O767" s="306"/>
    </row>
    <row r="768" spans="2:15" ht="18.75" customHeight="1" thickBot="1" x14ac:dyDescent="0.25">
      <c r="B768" s="342">
        <f>SUM(C768:D768)</f>
        <v>15</v>
      </c>
      <c r="C768" s="342">
        <f t="shared" ref="C768:D789" si="268">L768+I768+F768</f>
        <v>0</v>
      </c>
      <c r="D768" s="342">
        <f t="shared" si="268"/>
        <v>15</v>
      </c>
      <c r="E768" s="342">
        <f>SUM(F768:G768)</f>
        <v>0</v>
      </c>
      <c r="F768" s="342">
        <v>0</v>
      </c>
      <c r="G768" s="342">
        <v>0</v>
      </c>
      <c r="H768" s="342">
        <f>SUM(I768:J768)</f>
        <v>0</v>
      </c>
      <c r="I768" s="342">
        <v>0</v>
      </c>
      <c r="J768" s="342">
        <v>0</v>
      </c>
      <c r="K768" s="342">
        <f>SUM(L768:M768)</f>
        <v>15</v>
      </c>
      <c r="L768" s="342">
        <v>0</v>
      </c>
      <c r="M768" s="342">
        <v>15</v>
      </c>
      <c r="N768" s="203" t="s">
        <v>145</v>
      </c>
      <c r="O768" s="306" t="s">
        <v>454</v>
      </c>
    </row>
    <row r="769" spans="2:15" ht="18.75" customHeight="1" thickBot="1" x14ac:dyDescent="0.25">
      <c r="B769" s="342">
        <f t="shared" ref="B769:L769" si="269">SUM(B767:B768)</f>
        <v>15</v>
      </c>
      <c r="C769" s="342">
        <f t="shared" si="269"/>
        <v>0</v>
      </c>
      <c r="D769" s="342">
        <f t="shared" si="269"/>
        <v>15</v>
      </c>
      <c r="E769" s="342">
        <f t="shared" si="269"/>
        <v>0</v>
      </c>
      <c r="F769" s="342">
        <f t="shared" si="269"/>
        <v>0</v>
      </c>
      <c r="G769" s="342">
        <f t="shared" si="269"/>
        <v>0</v>
      </c>
      <c r="H769" s="342">
        <f t="shared" si="269"/>
        <v>0</v>
      </c>
      <c r="I769" s="342">
        <f t="shared" si="269"/>
        <v>0</v>
      </c>
      <c r="J769" s="342">
        <f t="shared" si="269"/>
        <v>0</v>
      </c>
      <c r="K769" s="342">
        <f t="shared" si="269"/>
        <v>15</v>
      </c>
      <c r="L769" s="342">
        <f t="shared" si="269"/>
        <v>0</v>
      </c>
      <c r="M769" s="342">
        <f>SUM(M767:M768)</f>
        <v>15</v>
      </c>
      <c r="N769" s="203" t="s">
        <v>12</v>
      </c>
      <c r="O769" s="307"/>
    </row>
    <row r="770" spans="2:15" ht="18.75" customHeight="1" thickBot="1" x14ac:dyDescent="0.25">
      <c r="B770" s="342">
        <f>SUM(C770:D770)</f>
        <v>105</v>
      </c>
      <c r="C770" s="342">
        <f t="shared" si="268"/>
        <v>62</v>
      </c>
      <c r="D770" s="342">
        <f t="shared" si="268"/>
        <v>43</v>
      </c>
      <c r="E770" s="342">
        <f>SUM(F770:G770)</f>
        <v>98</v>
      </c>
      <c r="F770" s="342">
        <v>62</v>
      </c>
      <c r="G770" s="342">
        <v>36</v>
      </c>
      <c r="H770" s="342">
        <f>SUM(I770:J770)</f>
        <v>7</v>
      </c>
      <c r="I770" s="342">
        <v>0</v>
      </c>
      <c r="J770" s="342">
        <v>7</v>
      </c>
      <c r="K770" s="342">
        <f>SUM(L770:M770)</f>
        <v>0</v>
      </c>
      <c r="L770" s="342">
        <v>0</v>
      </c>
      <c r="M770" s="342">
        <v>0</v>
      </c>
      <c r="N770" s="203" t="s">
        <v>146</v>
      </c>
      <c r="O770" s="306"/>
    </row>
    <row r="771" spans="2:15" ht="18.75" customHeight="1" thickBot="1" x14ac:dyDescent="0.25">
      <c r="B771" s="342">
        <f>SUM(C771:D771)</f>
        <v>104</v>
      </c>
      <c r="C771" s="342">
        <f t="shared" si="268"/>
        <v>8</v>
      </c>
      <c r="D771" s="342">
        <f t="shared" si="268"/>
        <v>96</v>
      </c>
      <c r="E771" s="342">
        <f>SUM(F771:G771)</f>
        <v>3</v>
      </c>
      <c r="F771" s="342">
        <v>0</v>
      </c>
      <c r="G771" s="342">
        <v>3</v>
      </c>
      <c r="H771" s="342">
        <f>SUM(I771:J771)</f>
        <v>68</v>
      </c>
      <c r="I771" s="342">
        <v>3</v>
      </c>
      <c r="J771" s="342">
        <v>65</v>
      </c>
      <c r="K771" s="342">
        <f>SUM(L771:M771)</f>
        <v>33</v>
      </c>
      <c r="L771" s="342">
        <v>5</v>
      </c>
      <c r="M771" s="342">
        <v>28</v>
      </c>
      <c r="N771" s="203" t="s">
        <v>145</v>
      </c>
      <c r="O771" s="306" t="s">
        <v>514</v>
      </c>
    </row>
    <row r="772" spans="2:15" ht="18.75" customHeight="1" thickBot="1" x14ac:dyDescent="0.25">
      <c r="B772" s="342">
        <f t="shared" ref="B772:L772" si="270">SUM(B770:B771)</f>
        <v>209</v>
      </c>
      <c r="C772" s="342">
        <f t="shared" si="270"/>
        <v>70</v>
      </c>
      <c r="D772" s="342">
        <f t="shared" si="270"/>
        <v>139</v>
      </c>
      <c r="E772" s="342">
        <f t="shared" si="270"/>
        <v>101</v>
      </c>
      <c r="F772" s="342">
        <f t="shared" si="270"/>
        <v>62</v>
      </c>
      <c r="G772" s="342">
        <f t="shared" si="270"/>
        <v>39</v>
      </c>
      <c r="H772" s="342">
        <f t="shared" si="270"/>
        <v>75</v>
      </c>
      <c r="I772" s="342">
        <f t="shared" si="270"/>
        <v>3</v>
      </c>
      <c r="J772" s="342">
        <f t="shared" si="270"/>
        <v>72</v>
      </c>
      <c r="K772" s="342">
        <f t="shared" si="270"/>
        <v>33</v>
      </c>
      <c r="L772" s="342">
        <f t="shared" si="270"/>
        <v>5</v>
      </c>
      <c r="M772" s="342">
        <f>SUM(M770:M771)</f>
        <v>28</v>
      </c>
      <c r="N772" s="203" t="s">
        <v>12</v>
      </c>
      <c r="O772" s="307"/>
    </row>
    <row r="773" spans="2:15" ht="18.75" customHeight="1" thickBot="1" x14ac:dyDescent="0.25">
      <c r="B773" s="342">
        <f>SUM(C773:D773)</f>
        <v>138</v>
      </c>
      <c r="C773" s="342">
        <f t="shared" si="268"/>
        <v>138</v>
      </c>
      <c r="D773" s="342">
        <f t="shared" si="268"/>
        <v>0</v>
      </c>
      <c r="E773" s="342">
        <f>SUM(F773:G773)</f>
        <v>124</v>
      </c>
      <c r="F773" s="342">
        <v>124</v>
      </c>
      <c r="G773" s="342">
        <v>0</v>
      </c>
      <c r="H773" s="342">
        <f>SUM(I773:J773)</f>
        <v>11</v>
      </c>
      <c r="I773" s="342">
        <v>11</v>
      </c>
      <c r="J773" s="342">
        <v>0</v>
      </c>
      <c r="K773" s="342">
        <f>SUM(L773:M773)</f>
        <v>3</v>
      </c>
      <c r="L773" s="342">
        <v>3</v>
      </c>
      <c r="M773" s="342">
        <v>0</v>
      </c>
      <c r="N773" s="203" t="s">
        <v>146</v>
      </c>
      <c r="O773" s="306"/>
    </row>
    <row r="774" spans="2:15" ht="18.75" customHeight="1" thickBot="1" x14ac:dyDescent="0.25">
      <c r="B774" s="342">
        <f>SUM(C774:D774)</f>
        <v>159</v>
      </c>
      <c r="C774" s="342">
        <f t="shared" si="268"/>
        <v>117</v>
      </c>
      <c r="D774" s="342">
        <f t="shared" si="268"/>
        <v>42</v>
      </c>
      <c r="E774" s="342">
        <f>SUM(F774:G774)</f>
        <v>0</v>
      </c>
      <c r="F774" s="342">
        <v>0</v>
      </c>
      <c r="G774" s="342">
        <v>0</v>
      </c>
      <c r="H774" s="342">
        <f>SUM(I774:J774)</f>
        <v>52</v>
      </c>
      <c r="I774" s="342">
        <v>41</v>
      </c>
      <c r="J774" s="342">
        <v>11</v>
      </c>
      <c r="K774" s="342">
        <f>SUM(L774:M774)</f>
        <v>107</v>
      </c>
      <c r="L774" s="342">
        <v>76</v>
      </c>
      <c r="M774" s="342">
        <v>31</v>
      </c>
      <c r="N774" s="203" t="s">
        <v>145</v>
      </c>
      <c r="O774" s="306" t="s">
        <v>515</v>
      </c>
    </row>
    <row r="775" spans="2:15" ht="18.75" customHeight="1" thickBot="1" x14ac:dyDescent="0.25">
      <c r="B775" s="342">
        <f t="shared" ref="B775:L775" si="271">SUM(B773:B774)</f>
        <v>297</v>
      </c>
      <c r="C775" s="342">
        <f t="shared" si="271"/>
        <v>255</v>
      </c>
      <c r="D775" s="342">
        <f t="shared" si="271"/>
        <v>42</v>
      </c>
      <c r="E775" s="342">
        <f t="shared" si="271"/>
        <v>124</v>
      </c>
      <c r="F775" s="342">
        <f t="shared" si="271"/>
        <v>124</v>
      </c>
      <c r="G775" s="342">
        <f t="shared" si="271"/>
        <v>0</v>
      </c>
      <c r="H775" s="342">
        <f t="shared" si="271"/>
        <v>63</v>
      </c>
      <c r="I775" s="342">
        <f t="shared" si="271"/>
        <v>52</v>
      </c>
      <c r="J775" s="342">
        <f t="shared" si="271"/>
        <v>11</v>
      </c>
      <c r="K775" s="342">
        <f t="shared" si="271"/>
        <v>110</v>
      </c>
      <c r="L775" s="342">
        <f t="shared" si="271"/>
        <v>79</v>
      </c>
      <c r="M775" s="342">
        <f>SUM(M773:M774)</f>
        <v>31</v>
      </c>
      <c r="N775" s="203" t="s">
        <v>12</v>
      </c>
      <c r="O775" s="307"/>
    </row>
    <row r="776" spans="2:15" ht="18.75" customHeight="1" thickBot="1" x14ac:dyDescent="0.25">
      <c r="B776" s="342">
        <f>SUM(C776:D776)</f>
        <v>63</v>
      </c>
      <c r="C776" s="342">
        <f t="shared" si="268"/>
        <v>63</v>
      </c>
      <c r="D776" s="342">
        <f t="shared" si="268"/>
        <v>0</v>
      </c>
      <c r="E776" s="342">
        <f>SUM(F776:G776)</f>
        <v>44</v>
      </c>
      <c r="F776" s="342">
        <v>44</v>
      </c>
      <c r="G776" s="342">
        <v>0</v>
      </c>
      <c r="H776" s="342">
        <f>SUM(I776:J776)</f>
        <v>10</v>
      </c>
      <c r="I776" s="342">
        <v>10</v>
      </c>
      <c r="J776" s="342">
        <v>0</v>
      </c>
      <c r="K776" s="342">
        <f>SUM(L776:M776)</f>
        <v>9</v>
      </c>
      <c r="L776" s="342">
        <v>9</v>
      </c>
      <c r="M776" s="342">
        <v>0</v>
      </c>
      <c r="N776" s="203" t="s">
        <v>146</v>
      </c>
      <c r="O776" s="306"/>
    </row>
    <row r="777" spans="2:15" ht="18.75" customHeight="1" thickBot="1" x14ac:dyDescent="0.25">
      <c r="B777" s="342">
        <f>SUM(C777:D777)</f>
        <v>117</v>
      </c>
      <c r="C777" s="342">
        <f t="shared" si="268"/>
        <v>110</v>
      </c>
      <c r="D777" s="342">
        <f t="shared" si="268"/>
        <v>7</v>
      </c>
      <c r="E777" s="342">
        <f>SUM(F777:G777)</f>
        <v>8</v>
      </c>
      <c r="F777" s="342">
        <v>1</v>
      </c>
      <c r="G777" s="342">
        <v>7</v>
      </c>
      <c r="H777" s="342">
        <f>SUM(I777:J777)</f>
        <v>40</v>
      </c>
      <c r="I777" s="342">
        <v>40</v>
      </c>
      <c r="J777" s="342">
        <v>0</v>
      </c>
      <c r="K777" s="342">
        <f>SUM(L777:M777)</f>
        <v>69</v>
      </c>
      <c r="L777" s="342">
        <v>69</v>
      </c>
      <c r="M777" s="342">
        <v>0</v>
      </c>
      <c r="N777" s="203" t="s">
        <v>145</v>
      </c>
      <c r="O777" s="306" t="s">
        <v>773</v>
      </c>
    </row>
    <row r="778" spans="2:15" ht="18.75" customHeight="1" thickBot="1" x14ac:dyDescent="0.25">
      <c r="B778" s="342">
        <f t="shared" ref="B778:L778" si="272">SUM(B776:B777)</f>
        <v>180</v>
      </c>
      <c r="C778" s="342">
        <f t="shared" si="272"/>
        <v>173</v>
      </c>
      <c r="D778" s="342">
        <f t="shared" si="272"/>
        <v>7</v>
      </c>
      <c r="E778" s="342">
        <f t="shared" si="272"/>
        <v>52</v>
      </c>
      <c r="F778" s="342">
        <f t="shared" si="272"/>
        <v>45</v>
      </c>
      <c r="G778" s="342">
        <f t="shared" si="272"/>
        <v>7</v>
      </c>
      <c r="H778" s="342">
        <f t="shared" si="272"/>
        <v>50</v>
      </c>
      <c r="I778" s="342">
        <f t="shared" si="272"/>
        <v>50</v>
      </c>
      <c r="J778" s="342">
        <f t="shared" si="272"/>
        <v>0</v>
      </c>
      <c r="K778" s="342">
        <f t="shared" si="272"/>
        <v>78</v>
      </c>
      <c r="L778" s="342">
        <f t="shared" si="272"/>
        <v>78</v>
      </c>
      <c r="M778" s="342">
        <f>SUM(M776:M777)</f>
        <v>0</v>
      </c>
      <c r="N778" s="203" t="s">
        <v>12</v>
      </c>
      <c r="O778" s="307"/>
    </row>
    <row r="779" spans="2:15" ht="18.75" customHeight="1" thickBot="1" x14ac:dyDescent="0.25">
      <c r="B779" s="342">
        <f>SUM(C779:D779)</f>
        <v>18</v>
      </c>
      <c r="C779" s="342">
        <f t="shared" si="268"/>
        <v>0</v>
      </c>
      <c r="D779" s="342">
        <f t="shared" si="268"/>
        <v>18</v>
      </c>
      <c r="E779" s="342">
        <f>SUM(F779:G779)</f>
        <v>0</v>
      </c>
      <c r="F779" s="342">
        <v>0</v>
      </c>
      <c r="G779" s="342">
        <v>0</v>
      </c>
      <c r="H779" s="342">
        <f>SUM(I779:J779)</f>
        <v>5</v>
      </c>
      <c r="I779" s="342">
        <v>0</v>
      </c>
      <c r="J779" s="342">
        <v>5</v>
      </c>
      <c r="K779" s="342">
        <f>SUM(L779:M779)</f>
        <v>13</v>
      </c>
      <c r="L779" s="342">
        <v>0</v>
      </c>
      <c r="M779" s="342">
        <v>13</v>
      </c>
      <c r="N779" s="203" t="s">
        <v>146</v>
      </c>
      <c r="O779" s="306"/>
    </row>
    <row r="780" spans="2:15" ht="18.75" customHeight="1" thickBot="1" x14ac:dyDescent="0.25">
      <c r="B780" s="342">
        <f>SUM(C780:D780)</f>
        <v>38</v>
      </c>
      <c r="C780" s="342">
        <f t="shared" si="268"/>
        <v>0</v>
      </c>
      <c r="D780" s="342">
        <f t="shared" si="268"/>
        <v>38</v>
      </c>
      <c r="E780" s="342">
        <f>SUM(F780:G780)</f>
        <v>0</v>
      </c>
      <c r="F780" s="342">
        <v>0</v>
      </c>
      <c r="G780" s="342">
        <v>0</v>
      </c>
      <c r="H780" s="342">
        <f>SUM(I780:J780)</f>
        <v>31</v>
      </c>
      <c r="I780" s="342">
        <v>0</v>
      </c>
      <c r="J780" s="342">
        <v>31</v>
      </c>
      <c r="K780" s="342">
        <f>SUM(L780:M780)</f>
        <v>7</v>
      </c>
      <c r="L780" s="342">
        <v>0</v>
      </c>
      <c r="M780" s="342">
        <v>7</v>
      </c>
      <c r="N780" s="203" t="s">
        <v>145</v>
      </c>
      <c r="O780" s="306" t="s">
        <v>108</v>
      </c>
    </row>
    <row r="781" spans="2:15" ht="18.75" customHeight="1" thickBot="1" x14ac:dyDescent="0.25">
      <c r="B781" s="342">
        <f t="shared" ref="B781:L781" si="273">SUM(B779:B780)</f>
        <v>56</v>
      </c>
      <c r="C781" s="342">
        <f t="shared" si="273"/>
        <v>0</v>
      </c>
      <c r="D781" s="342">
        <f t="shared" si="273"/>
        <v>56</v>
      </c>
      <c r="E781" s="342">
        <f t="shared" si="273"/>
        <v>0</v>
      </c>
      <c r="F781" s="342">
        <f t="shared" si="273"/>
        <v>0</v>
      </c>
      <c r="G781" s="342">
        <f t="shared" si="273"/>
        <v>0</v>
      </c>
      <c r="H781" s="342">
        <f t="shared" si="273"/>
        <v>36</v>
      </c>
      <c r="I781" s="342">
        <f t="shared" si="273"/>
        <v>0</v>
      </c>
      <c r="J781" s="342">
        <f t="shared" si="273"/>
        <v>36</v>
      </c>
      <c r="K781" s="342">
        <f t="shared" si="273"/>
        <v>20</v>
      </c>
      <c r="L781" s="342">
        <f t="shared" si="273"/>
        <v>0</v>
      </c>
      <c r="M781" s="342">
        <f>SUM(M779:M780)</f>
        <v>20</v>
      </c>
      <c r="N781" s="203" t="s">
        <v>12</v>
      </c>
      <c r="O781" s="307"/>
    </row>
    <row r="782" spans="2:15" ht="18.75" customHeight="1" thickBot="1" x14ac:dyDescent="0.25">
      <c r="B782" s="342">
        <f>SUM(C782:D782)</f>
        <v>41</v>
      </c>
      <c r="C782" s="342">
        <f t="shared" si="268"/>
        <v>32</v>
      </c>
      <c r="D782" s="342">
        <f t="shared" si="268"/>
        <v>9</v>
      </c>
      <c r="E782" s="342">
        <f>SUM(F782:G782)</f>
        <v>31</v>
      </c>
      <c r="F782" s="342">
        <v>27</v>
      </c>
      <c r="G782" s="342">
        <v>4</v>
      </c>
      <c r="H782" s="342">
        <f>SUM(I782:J782)</f>
        <v>3</v>
      </c>
      <c r="I782" s="342">
        <v>1</v>
      </c>
      <c r="J782" s="342">
        <v>2</v>
      </c>
      <c r="K782" s="342">
        <f>SUM(L782:M782)</f>
        <v>7</v>
      </c>
      <c r="L782" s="342">
        <v>4</v>
      </c>
      <c r="M782" s="342">
        <v>3</v>
      </c>
      <c r="N782" s="203" t="s">
        <v>146</v>
      </c>
      <c r="O782" s="306"/>
    </row>
    <row r="783" spans="2:15" ht="18.75" customHeight="1" thickBot="1" x14ac:dyDescent="0.25">
      <c r="B783" s="342">
        <f>SUM(C783:D783)</f>
        <v>36</v>
      </c>
      <c r="C783" s="342">
        <f t="shared" si="268"/>
        <v>3</v>
      </c>
      <c r="D783" s="342">
        <f t="shared" si="268"/>
        <v>33</v>
      </c>
      <c r="E783" s="342">
        <f>SUM(F783:G783)</f>
        <v>0</v>
      </c>
      <c r="F783" s="342">
        <v>0</v>
      </c>
      <c r="G783" s="342">
        <v>0</v>
      </c>
      <c r="H783" s="342">
        <f>SUM(I783:J783)</f>
        <v>23</v>
      </c>
      <c r="I783" s="342">
        <v>3</v>
      </c>
      <c r="J783" s="342">
        <v>20</v>
      </c>
      <c r="K783" s="342">
        <f>SUM(L783:M783)</f>
        <v>13</v>
      </c>
      <c r="L783" s="342">
        <v>0</v>
      </c>
      <c r="M783" s="342">
        <v>13</v>
      </c>
      <c r="N783" s="203" t="s">
        <v>145</v>
      </c>
      <c r="O783" s="306" t="s">
        <v>280</v>
      </c>
    </row>
    <row r="784" spans="2:15" ht="18.75" customHeight="1" thickBot="1" x14ac:dyDescent="0.25">
      <c r="B784" s="342">
        <f t="shared" ref="B784:L784" si="274">SUM(B782:B783)</f>
        <v>77</v>
      </c>
      <c r="C784" s="342">
        <f t="shared" si="274"/>
        <v>35</v>
      </c>
      <c r="D784" s="342">
        <f t="shared" si="274"/>
        <v>42</v>
      </c>
      <c r="E784" s="342">
        <f t="shared" si="274"/>
        <v>31</v>
      </c>
      <c r="F784" s="342">
        <f t="shared" si="274"/>
        <v>27</v>
      </c>
      <c r="G784" s="342">
        <f t="shared" si="274"/>
        <v>4</v>
      </c>
      <c r="H784" s="342">
        <f t="shared" si="274"/>
        <v>26</v>
      </c>
      <c r="I784" s="342">
        <f t="shared" si="274"/>
        <v>4</v>
      </c>
      <c r="J784" s="342">
        <f t="shared" si="274"/>
        <v>22</v>
      </c>
      <c r="K784" s="342">
        <f t="shared" si="274"/>
        <v>20</v>
      </c>
      <c r="L784" s="342">
        <f t="shared" si="274"/>
        <v>4</v>
      </c>
      <c r="M784" s="342">
        <f>SUM(M782:M783)</f>
        <v>16</v>
      </c>
      <c r="N784" s="203" t="s">
        <v>12</v>
      </c>
      <c r="O784" s="307"/>
    </row>
    <row r="785" spans="2:15" ht="18.75" customHeight="1" thickBot="1" x14ac:dyDescent="0.25">
      <c r="B785" s="342">
        <f>SUM(C785:D785)</f>
        <v>166</v>
      </c>
      <c r="C785" s="342">
        <f t="shared" si="268"/>
        <v>0</v>
      </c>
      <c r="D785" s="342">
        <f t="shared" si="268"/>
        <v>166</v>
      </c>
      <c r="E785" s="342">
        <f>SUM(F785:G785)</f>
        <v>79</v>
      </c>
      <c r="F785" s="342">
        <v>0</v>
      </c>
      <c r="G785" s="342">
        <v>79</v>
      </c>
      <c r="H785" s="342">
        <f>SUM(I785:J785)</f>
        <v>51</v>
      </c>
      <c r="I785" s="342">
        <v>0</v>
      </c>
      <c r="J785" s="342">
        <v>51</v>
      </c>
      <c r="K785" s="342">
        <f>SUM(L785:M785)</f>
        <v>36</v>
      </c>
      <c r="L785" s="342">
        <v>0</v>
      </c>
      <c r="M785" s="342">
        <v>36</v>
      </c>
      <c r="N785" s="203" t="s">
        <v>146</v>
      </c>
      <c r="O785" s="306"/>
    </row>
    <row r="786" spans="2:15" ht="18.75" customHeight="1" thickBot="1" x14ac:dyDescent="0.25">
      <c r="B786" s="342">
        <f>SUM(C786:D786)</f>
        <v>147</v>
      </c>
      <c r="C786" s="342">
        <f t="shared" si="268"/>
        <v>0</v>
      </c>
      <c r="D786" s="342">
        <f t="shared" si="268"/>
        <v>147</v>
      </c>
      <c r="E786" s="342">
        <f>SUM(F786:G786)</f>
        <v>3</v>
      </c>
      <c r="F786" s="342">
        <v>0</v>
      </c>
      <c r="G786" s="342">
        <v>3</v>
      </c>
      <c r="H786" s="342">
        <f>SUM(I786:J786)</f>
        <v>14</v>
      </c>
      <c r="I786" s="342">
        <v>0</v>
      </c>
      <c r="J786" s="342">
        <v>14</v>
      </c>
      <c r="K786" s="342">
        <f>SUM(L786:M786)</f>
        <v>130</v>
      </c>
      <c r="L786" s="342">
        <v>0</v>
      </c>
      <c r="M786" s="342">
        <v>130</v>
      </c>
      <c r="N786" s="203" t="s">
        <v>145</v>
      </c>
      <c r="O786" s="306" t="s">
        <v>666</v>
      </c>
    </row>
    <row r="787" spans="2:15" ht="18.75" customHeight="1" thickBot="1" x14ac:dyDescent="0.25">
      <c r="B787" s="342">
        <f t="shared" ref="B787:L787" si="275">SUM(B785:B786)</f>
        <v>313</v>
      </c>
      <c r="C787" s="342">
        <f t="shared" si="275"/>
        <v>0</v>
      </c>
      <c r="D787" s="342">
        <f t="shared" si="275"/>
        <v>313</v>
      </c>
      <c r="E787" s="342">
        <f t="shared" si="275"/>
        <v>82</v>
      </c>
      <c r="F787" s="342">
        <f t="shared" si="275"/>
        <v>0</v>
      </c>
      <c r="G787" s="342">
        <f t="shared" si="275"/>
        <v>82</v>
      </c>
      <c r="H787" s="342">
        <f t="shared" si="275"/>
        <v>65</v>
      </c>
      <c r="I787" s="342">
        <f t="shared" si="275"/>
        <v>0</v>
      </c>
      <c r="J787" s="342">
        <f t="shared" si="275"/>
        <v>65</v>
      </c>
      <c r="K787" s="342">
        <f t="shared" si="275"/>
        <v>166</v>
      </c>
      <c r="L787" s="342">
        <f t="shared" si="275"/>
        <v>0</v>
      </c>
      <c r="M787" s="342">
        <f>SUM(M785:M786)</f>
        <v>166</v>
      </c>
      <c r="N787" s="203" t="s">
        <v>12</v>
      </c>
      <c r="O787" s="307"/>
    </row>
    <row r="788" spans="2:15" ht="18.75" customHeight="1" thickBot="1" x14ac:dyDescent="0.25">
      <c r="B788" s="342">
        <f>SUM(C788:D788)</f>
        <v>0</v>
      </c>
      <c r="C788" s="342">
        <f t="shared" si="268"/>
        <v>0</v>
      </c>
      <c r="D788" s="342">
        <f t="shared" si="268"/>
        <v>0</v>
      </c>
      <c r="E788" s="342">
        <f>SUM(F788:G788)</f>
        <v>0</v>
      </c>
      <c r="F788" s="342">
        <v>0</v>
      </c>
      <c r="G788" s="342">
        <v>0</v>
      </c>
      <c r="H788" s="342">
        <f>SUM(I788:J788)</f>
        <v>0</v>
      </c>
      <c r="I788" s="342">
        <v>0</v>
      </c>
      <c r="J788" s="342">
        <v>0</v>
      </c>
      <c r="K788" s="342">
        <f>SUM(L788:M788)</f>
        <v>0</v>
      </c>
      <c r="L788" s="342">
        <v>0</v>
      </c>
      <c r="M788" s="342">
        <v>0</v>
      </c>
      <c r="N788" s="203" t="s">
        <v>146</v>
      </c>
      <c r="O788" s="306"/>
    </row>
    <row r="789" spans="2:15" ht="18.75" customHeight="1" thickBot="1" x14ac:dyDescent="0.25">
      <c r="B789" s="342">
        <f>SUM(C789:D789)</f>
        <v>140</v>
      </c>
      <c r="C789" s="342">
        <f t="shared" si="268"/>
        <v>64</v>
      </c>
      <c r="D789" s="342">
        <f t="shared" si="268"/>
        <v>76</v>
      </c>
      <c r="E789" s="342">
        <f>SUM(F789:G789)</f>
        <v>13</v>
      </c>
      <c r="F789" s="342">
        <v>3</v>
      </c>
      <c r="G789" s="342">
        <v>10</v>
      </c>
      <c r="H789" s="342">
        <f>SUM(I789:J789)</f>
        <v>52</v>
      </c>
      <c r="I789" s="342">
        <v>30</v>
      </c>
      <c r="J789" s="342">
        <v>22</v>
      </c>
      <c r="K789" s="342">
        <f>SUM(L789:M789)</f>
        <v>75</v>
      </c>
      <c r="L789" s="342">
        <v>31</v>
      </c>
      <c r="M789" s="342">
        <v>44</v>
      </c>
      <c r="N789" s="203" t="s">
        <v>145</v>
      </c>
      <c r="O789" s="306" t="s">
        <v>455</v>
      </c>
    </row>
    <row r="790" spans="2:15" ht="18.75" customHeight="1" thickBot="1" x14ac:dyDescent="0.25">
      <c r="B790" s="342">
        <f t="shared" ref="B790:L790" si="276">SUM(B788:B789)</f>
        <v>140</v>
      </c>
      <c r="C790" s="342">
        <f t="shared" si="276"/>
        <v>64</v>
      </c>
      <c r="D790" s="342">
        <f t="shared" si="276"/>
        <v>76</v>
      </c>
      <c r="E790" s="342">
        <f t="shared" si="276"/>
        <v>13</v>
      </c>
      <c r="F790" s="342">
        <f t="shared" si="276"/>
        <v>3</v>
      </c>
      <c r="G790" s="342">
        <f t="shared" si="276"/>
        <v>10</v>
      </c>
      <c r="H790" s="342">
        <f t="shared" si="276"/>
        <v>52</v>
      </c>
      <c r="I790" s="342">
        <f t="shared" si="276"/>
        <v>30</v>
      </c>
      <c r="J790" s="342">
        <f t="shared" si="276"/>
        <v>22</v>
      </c>
      <c r="K790" s="342">
        <f t="shared" si="276"/>
        <v>75</v>
      </c>
      <c r="L790" s="342">
        <f t="shared" si="276"/>
        <v>31</v>
      </c>
      <c r="M790" s="342">
        <f>SUM(M788:M789)</f>
        <v>44</v>
      </c>
      <c r="N790" s="203" t="s">
        <v>12</v>
      </c>
      <c r="O790" s="309"/>
    </row>
    <row r="791" spans="2:15" ht="18.75" customHeight="1" thickBot="1" x14ac:dyDescent="0.25">
      <c r="B791" s="342">
        <f t="shared" ref="B791:M793" si="277">B767+B770+B773+B776+B779+B782+B785+B788</f>
        <v>531</v>
      </c>
      <c r="C791" s="342">
        <f t="shared" si="277"/>
        <v>295</v>
      </c>
      <c r="D791" s="342">
        <f t="shared" si="277"/>
        <v>236</v>
      </c>
      <c r="E791" s="342">
        <f t="shared" si="277"/>
        <v>376</v>
      </c>
      <c r="F791" s="342">
        <f t="shared" si="277"/>
        <v>257</v>
      </c>
      <c r="G791" s="342">
        <f t="shared" si="277"/>
        <v>119</v>
      </c>
      <c r="H791" s="342">
        <f t="shared" si="277"/>
        <v>87</v>
      </c>
      <c r="I791" s="342">
        <f t="shared" si="277"/>
        <v>22</v>
      </c>
      <c r="J791" s="342">
        <f t="shared" si="277"/>
        <v>65</v>
      </c>
      <c r="K791" s="342">
        <f t="shared" si="277"/>
        <v>68</v>
      </c>
      <c r="L791" s="342">
        <f t="shared" si="277"/>
        <v>16</v>
      </c>
      <c r="M791" s="342">
        <f t="shared" si="277"/>
        <v>52</v>
      </c>
      <c r="N791" s="203" t="s">
        <v>146</v>
      </c>
      <c r="O791" s="312"/>
    </row>
    <row r="792" spans="2:15" ht="18.75" customHeight="1" thickBot="1" x14ac:dyDescent="0.25">
      <c r="B792" s="342">
        <f t="shared" si="277"/>
        <v>756</v>
      </c>
      <c r="C792" s="342">
        <f t="shared" si="277"/>
        <v>302</v>
      </c>
      <c r="D792" s="342">
        <f t="shared" si="277"/>
        <v>454</v>
      </c>
      <c r="E792" s="342">
        <f t="shared" si="277"/>
        <v>27</v>
      </c>
      <c r="F792" s="342">
        <f t="shared" si="277"/>
        <v>4</v>
      </c>
      <c r="G792" s="342">
        <f t="shared" si="277"/>
        <v>23</v>
      </c>
      <c r="H792" s="342">
        <f t="shared" si="277"/>
        <v>280</v>
      </c>
      <c r="I792" s="342">
        <f t="shared" si="277"/>
        <v>117</v>
      </c>
      <c r="J792" s="342">
        <f t="shared" si="277"/>
        <v>163</v>
      </c>
      <c r="K792" s="342">
        <f t="shared" si="277"/>
        <v>449</v>
      </c>
      <c r="L792" s="342">
        <f t="shared" si="277"/>
        <v>181</v>
      </c>
      <c r="M792" s="342">
        <f t="shared" si="277"/>
        <v>268</v>
      </c>
      <c r="N792" s="203" t="s">
        <v>145</v>
      </c>
      <c r="O792" s="313" t="s">
        <v>188</v>
      </c>
    </row>
    <row r="793" spans="2:15" ht="18.75" customHeight="1" thickBot="1" x14ac:dyDescent="0.25">
      <c r="B793" s="342">
        <f t="shared" si="277"/>
        <v>1287</v>
      </c>
      <c r="C793" s="342">
        <f t="shared" si="277"/>
        <v>597</v>
      </c>
      <c r="D793" s="342">
        <f t="shared" si="277"/>
        <v>690</v>
      </c>
      <c r="E793" s="342">
        <f t="shared" si="277"/>
        <v>403</v>
      </c>
      <c r="F793" s="342">
        <f t="shared" si="277"/>
        <v>261</v>
      </c>
      <c r="G793" s="342">
        <f t="shared" si="277"/>
        <v>142</v>
      </c>
      <c r="H793" s="342">
        <f t="shared" si="277"/>
        <v>367</v>
      </c>
      <c r="I793" s="342">
        <f t="shared" si="277"/>
        <v>139</v>
      </c>
      <c r="J793" s="342">
        <f t="shared" si="277"/>
        <v>228</v>
      </c>
      <c r="K793" s="342">
        <f t="shared" si="277"/>
        <v>517</v>
      </c>
      <c r="L793" s="342">
        <f t="shared" si="277"/>
        <v>197</v>
      </c>
      <c r="M793" s="342">
        <f t="shared" si="277"/>
        <v>320</v>
      </c>
      <c r="N793" s="203" t="s">
        <v>12</v>
      </c>
      <c r="O793" s="315"/>
    </row>
    <row r="794" spans="2:15" ht="18.75" customHeight="1" thickBot="1" x14ac:dyDescent="0.25">
      <c r="B794" s="346"/>
      <c r="C794" s="346"/>
      <c r="D794" s="346"/>
      <c r="E794" s="346"/>
      <c r="F794" s="346"/>
      <c r="G794" s="346"/>
      <c r="H794" s="346"/>
      <c r="I794" s="346"/>
      <c r="J794" s="346"/>
      <c r="K794" s="317"/>
      <c r="L794" s="317"/>
    </row>
    <row r="795" spans="2:15" ht="18.75" customHeight="1" thickBot="1" x14ac:dyDescent="0.25">
      <c r="B795" s="482" t="s">
        <v>4</v>
      </c>
      <c r="C795" s="482"/>
      <c r="D795" s="482"/>
      <c r="E795" s="482" t="s">
        <v>60</v>
      </c>
      <c r="F795" s="482"/>
      <c r="G795" s="482"/>
      <c r="H795" s="482" t="s">
        <v>57</v>
      </c>
      <c r="I795" s="482"/>
      <c r="J795" s="482"/>
      <c r="K795" s="482" t="s">
        <v>56</v>
      </c>
      <c r="L795" s="482"/>
      <c r="M795" s="482"/>
      <c r="N795" s="575" t="s">
        <v>792</v>
      </c>
      <c r="O795" s="328" t="s">
        <v>144</v>
      </c>
    </row>
    <row r="796" spans="2:15" ht="18.75" customHeight="1" thickBot="1" x14ac:dyDescent="0.25">
      <c r="B796" s="203" t="s">
        <v>227</v>
      </c>
      <c r="C796" s="203" t="s">
        <v>10</v>
      </c>
      <c r="D796" s="203" t="s">
        <v>9</v>
      </c>
      <c r="E796" s="203" t="s">
        <v>227</v>
      </c>
      <c r="F796" s="203" t="s">
        <v>10</v>
      </c>
      <c r="G796" s="203" t="s">
        <v>9</v>
      </c>
      <c r="H796" s="203" t="s">
        <v>227</v>
      </c>
      <c r="I796" s="203" t="s">
        <v>10</v>
      </c>
      <c r="J796" s="203" t="s">
        <v>9</v>
      </c>
      <c r="K796" s="203" t="s">
        <v>227</v>
      </c>
      <c r="L796" s="203" t="s">
        <v>10</v>
      </c>
      <c r="M796" s="203" t="s">
        <v>9</v>
      </c>
      <c r="N796" s="481"/>
      <c r="O796" s="315" t="s">
        <v>111</v>
      </c>
    </row>
    <row r="797" spans="2:15" ht="18.75" customHeight="1" thickBot="1" x14ac:dyDescent="0.25">
      <c r="B797" s="342">
        <f>SUM(C797:D797)</f>
        <v>54</v>
      </c>
      <c r="C797" s="342">
        <f>L797+I797+F797</f>
        <v>6</v>
      </c>
      <c r="D797" s="342">
        <f>M797+J797+G797</f>
        <v>48</v>
      </c>
      <c r="E797" s="342">
        <f>SUM(F797:G797)</f>
        <v>46</v>
      </c>
      <c r="F797" s="342">
        <v>4</v>
      </c>
      <c r="G797" s="342">
        <v>42</v>
      </c>
      <c r="H797" s="342">
        <f>SUM(I797:J797)</f>
        <v>8</v>
      </c>
      <c r="I797" s="342">
        <v>2</v>
      </c>
      <c r="J797" s="342">
        <v>6</v>
      </c>
      <c r="K797" s="342">
        <f>SUM(L797:M797)</f>
        <v>0</v>
      </c>
      <c r="L797" s="342">
        <v>0</v>
      </c>
      <c r="M797" s="342">
        <v>0</v>
      </c>
      <c r="N797" s="203" t="s">
        <v>146</v>
      </c>
      <c r="O797" s="306"/>
    </row>
    <row r="798" spans="2:15" ht="18.75" customHeight="1" thickBot="1" x14ac:dyDescent="0.25">
      <c r="B798" s="342">
        <f>SUM(C798:D798)</f>
        <v>66</v>
      </c>
      <c r="C798" s="342">
        <f t="shared" ref="C798:D837" si="278">L798+I798+F798</f>
        <v>7</v>
      </c>
      <c r="D798" s="342">
        <f t="shared" si="278"/>
        <v>59</v>
      </c>
      <c r="E798" s="342">
        <f>SUM(F798:G798)</f>
        <v>0</v>
      </c>
      <c r="F798" s="342">
        <v>0</v>
      </c>
      <c r="G798" s="342">
        <v>0</v>
      </c>
      <c r="H798" s="342">
        <f>SUM(I798:J798)</f>
        <v>32</v>
      </c>
      <c r="I798" s="342">
        <v>7</v>
      </c>
      <c r="J798" s="342">
        <v>25</v>
      </c>
      <c r="K798" s="342">
        <f>SUM(L798:M798)</f>
        <v>34</v>
      </c>
      <c r="L798" s="342">
        <v>0</v>
      </c>
      <c r="M798" s="342">
        <v>34</v>
      </c>
      <c r="N798" s="203" t="s">
        <v>145</v>
      </c>
      <c r="O798" s="306" t="s">
        <v>367</v>
      </c>
    </row>
    <row r="799" spans="2:15" ht="18.75" customHeight="1" thickBot="1" x14ac:dyDescent="0.25">
      <c r="B799" s="342">
        <f t="shared" ref="B799:L799" si="279">SUM(B797:B798)</f>
        <v>120</v>
      </c>
      <c r="C799" s="342">
        <f t="shared" si="279"/>
        <v>13</v>
      </c>
      <c r="D799" s="342">
        <f t="shared" si="279"/>
        <v>107</v>
      </c>
      <c r="E799" s="342">
        <f t="shared" si="279"/>
        <v>46</v>
      </c>
      <c r="F799" s="342">
        <f t="shared" si="279"/>
        <v>4</v>
      </c>
      <c r="G799" s="342">
        <f t="shared" si="279"/>
        <v>42</v>
      </c>
      <c r="H799" s="342">
        <f t="shared" si="279"/>
        <v>40</v>
      </c>
      <c r="I799" s="342">
        <f t="shared" si="279"/>
        <v>9</v>
      </c>
      <c r="J799" s="342">
        <f t="shared" si="279"/>
        <v>31</v>
      </c>
      <c r="K799" s="342">
        <f t="shared" si="279"/>
        <v>34</v>
      </c>
      <c r="L799" s="342">
        <f t="shared" si="279"/>
        <v>0</v>
      </c>
      <c r="M799" s="342">
        <f>SUM(M797:M798)</f>
        <v>34</v>
      </c>
      <c r="N799" s="203" t="s">
        <v>12</v>
      </c>
      <c r="O799" s="307"/>
    </row>
    <row r="800" spans="2:15" ht="18.75" customHeight="1" thickBot="1" x14ac:dyDescent="0.25">
      <c r="B800" s="342">
        <f>SUM(C800:D800)</f>
        <v>26</v>
      </c>
      <c r="C800" s="342">
        <f t="shared" si="278"/>
        <v>4</v>
      </c>
      <c r="D800" s="342">
        <f t="shared" si="278"/>
        <v>22</v>
      </c>
      <c r="E800" s="342">
        <f>SUM(F800:G800)</f>
        <v>15</v>
      </c>
      <c r="F800" s="342">
        <v>2</v>
      </c>
      <c r="G800" s="342">
        <v>13</v>
      </c>
      <c r="H800" s="342">
        <f>SUM(I800:J800)</f>
        <v>8</v>
      </c>
      <c r="I800" s="342">
        <v>2</v>
      </c>
      <c r="J800" s="342">
        <v>6</v>
      </c>
      <c r="K800" s="342">
        <f>SUM(L800:M800)</f>
        <v>3</v>
      </c>
      <c r="L800" s="342">
        <v>0</v>
      </c>
      <c r="M800" s="342">
        <v>3</v>
      </c>
      <c r="N800" s="203" t="s">
        <v>146</v>
      </c>
      <c r="O800" s="306"/>
    </row>
    <row r="801" spans="2:15" ht="18.75" customHeight="1" thickBot="1" x14ac:dyDescent="0.25">
      <c r="B801" s="342">
        <f>SUM(C801:D801)</f>
        <v>30</v>
      </c>
      <c r="C801" s="342">
        <f t="shared" si="278"/>
        <v>9</v>
      </c>
      <c r="D801" s="342">
        <f t="shared" si="278"/>
        <v>21</v>
      </c>
      <c r="E801" s="342">
        <f>SUM(F801:G801)</f>
        <v>0</v>
      </c>
      <c r="F801" s="342">
        <v>0</v>
      </c>
      <c r="G801" s="342">
        <v>0</v>
      </c>
      <c r="H801" s="342">
        <f>SUM(I801:J801)</f>
        <v>13</v>
      </c>
      <c r="I801" s="342">
        <v>2</v>
      </c>
      <c r="J801" s="342">
        <v>11</v>
      </c>
      <c r="K801" s="342">
        <f>SUM(L801:M801)</f>
        <v>17</v>
      </c>
      <c r="L801" s="342">
        <v>7</v>
      </c>
      <c r="M801" s="342">
        <v>10</v>
      </c>
      <c r="N801" s="203" t="s">
        <v>145</v>
      </c>
      <c r="O801" s="306" t="s">
        <v>347</v>
      </c>
    </row>
    <row r="802" spans="2:15" ht="18.75" customHeight="1" thickBot="1" x14ac:dyDescent="0.25">
      <c r="B802" s="342">
        <f t="shared" ref="B802:L802" si="280">SUM(B800:B801)</f>
        <v>56</v>
      </c>
      <c r="C802" s="342">
        <f t="shared" si="280"/>
        <v>13</v>
      </c>
      <c r="D802" s="342">
        <f t="shared" si="280"/>
        <v>43</v>
      </c>
      <c r="E802" s="342">
        <f t="shared" si="280"/>
        <v>15</v>
      </c>
      <c r="F802" s="342">
        <f t="shared" si="280"/>
        <v>2</v>
      </c>
      <c r="G802" s="342">
        <f t="shared" si="280"/>
        <v>13</v>
      </c>
      <c r="H802" s="342">
        <f t="shared" si="280"/>
        <v>21</v>
      </c>
      <c r="I802" s="342">
        <f t="shared" si="280"/>
        <v>4</v>
      </c>
      <c r="J802" s="342">
        <f t="shared" si="280"/>
        <v>17</v>
      </c>
      <c r="K802" s="342">
        <f t="shared" si="280"/>
        <v>20</v>
      </c>
      <c r="L802" s="342">
        <f t="shared" si="280"/>
        <v>7</v>
      </c>
      <c r="M802" s="342">
        <f>SUM(M800:M801)</f>
        <v>13</v>
      </c>
      <c r="N802" s="203" t="s">
        <v>12</v>
      </c>
      <c r="O802" s="307"/>
    </row>
    <row r="803" spans="2:15" ht="18.75" customHeight="1" thickBot="1" x14ac:dyDescent="0.25">
      <c r="B803" s="342">
        <f>SUM(C803:D803)</f>
        <v>7</v>
      </c>
      <c r="C803" s="342">
        <f t="shared" si="278"/>
        <v>0</v>
      </c>
      <c r="D803" s="342">
        <f t="shared" si="278"/>
        <v>7</v>
      </c>
      <c r="E803" s="342">
        <f>SUM(F803:G803)</f>
        <v>5</v>
      </c>
      <c r="F803" s="342">
        <v>0</v>
      </c>
      <c r="G803" s="342">
        <v>5</v>
      </c>
      <c r="H803" s="342">
        <f>SUM(I803:J803)</f>
        <v>0</v>
      </c>
      <c r="I803" s="342">
        <v>0</v>
      </c>
      <c r="J803" s="342">
        <v>0</v>
      </c>
      <c r="K803" s="342">
        <f>SUM(L803:M803)</f>
        <v>2</v>
      </c>
      <c r="L803" s="342">
        <v>0</v>
      </c>
      <c r="M803" s="342">
        <v>2</v>
      </c>
      <c r="N803" s="203" t="s">
        <v>146</v>
      </c>
      <c r="O803" s="306"/>
    </row>
    <row r="804" spans="2:15" ht="18.75" customHeight="1" thickBot="1" x14ac:dyDescent="0.25">
      <c r="B804" s="342">
        <f>SUM(C804:D804)</f>
        <v>18</v>
      </c>
      <c r="C804" s="342">
        <f t="shared" si="278"/>
        <v>0</v>
      </c>
      <c r="D804" s="342">
        <f t="shared" si="278"/>
        <v>18</v>
      </c>
      <c r="E804" s="342">
        <f>SUM(F804:G804)</f>
        <v>0</v>
      </c>
      <c r="F804" s="342">
        <v>0</v>
      </c>
      <c r="G804" s="342">
        <v>0</v>
      </c>
      <c r="H804" s="342">
        <f>SUM(I804:J804)</f>
        <v>5</v>
      </c>
      <c r="I804" s="342">
        <v>0</v>
      </c>
      <c r="J804" s="342">
        <v>5</v>
      </c>
      <c r="K804" s="342">
        <f>SUM(L804:M804)</f>
        <v>13</v>
      </c>
      <c r="L804" s="342">
        <v>0</v>
      </c>
      <c r="M804" s="342">
        <v>13</v>
      </c>
      <c r="N804" s="203" t="s">
        <v>145</v>
      </c>
      <c r="O804" s="306" t="s">
        <v>454</v>
      </c>
    </row>
    <row r="805" spans="2:15" ht="18.75" customHeight="1" thickBot="1" x14ac:dyDescent="0.25">
      <c r="B805" s="342">
        <f t="shared" ref="B805:L805" si="281">SUM(B803:B804)</f>
        <v>25</v>
      </c>
      <c r="C805" s="342">
        <f t="shared" si="281"/>
        <v>0</v>
      </c>
      <c r="D805" s="342">
        <f t="shared" si="281"/>
        <v>25</v>
      </c>
      <c r="E805" s="342">
        <f t="shared" si="281"/>
        <v>5</v>
      </c>
      <c r="F805" s="342">
        <f t="shared" si="281"/>
        <v>0</v>
      </c>
      <c r="G805" s="342">
        <f t="shared" si="281"/>
        <v>5</v>
      </c>
      <c r="H805" s="342">
        <f t="shared" si="281"/>
        <v>5</v>
      </c>
      <c r="I805" s="342">
        <f t="shared" si="281"/>
        <v>0</v>
      </c>
      <c r="J805" s="342">
        <f t="shared" si="281"/>
        <v>5</v>
      </c>
      <c r="K805" s="342">
        <f t="shared" si="281"/>
        <v>15</v>
      </c>
      <c r="L805" s="342">
        <f t="shared" si="281"/>
        <v>0</v>
      </c>
      <c r="M805" s="342">
        <f>SUM(M803:M804)</f>
        <v>15</v>
      </c>
      <c r="N805" s="203" t="s">
        <v>12</v>
      </c>
      <c r="O805" s="307"/>
    </row>
    <row r="806" spans="2:15" ht="18.75" customHeight="1" thickBot="1" x14ac:dyDescent="0.25">
      <c r="B806" s="342">
        <f>SUM(C806:D806)</f>
        <v>6</v>
      </c>
      <c r="C806" s="342">
        <f t="shared" si="278"/>
        <v>0</v>
      </c>
      <c r="D806" s="342">
        <f t="shared" si="278"/>
        <v>6</v>
      </c>
      <c r="E806" s="342">
        <f>SUM(F806:G806)</f>
        <v>0</v>
      </c>
      <c r="F806" s="342">
        <v>0</v>
      </c>
      <c r="G806" s="342">
        <v>0</v>
      </c>
      <c r="H806" s="342">
        <f>SUM(I806:J806)</f>
        <v>4</v>
      </c>
      <c r="I806" s="342">
        <v>0</v>
      </c>
      <c r="J806" s="342">
        <v>4</v>
      </c>
      <c r="K806" s="342">
        <f>SUM(L806:M806)</f>
        <v>2</v>
      </c>
      <c r="L806" s="342">
        <v>0</v>
      </c>
      <c r="M806" s="342">
        <v>2</v>
      </c>
      <c r="N806" s="203" t="s">
        <v>146</v>
      </c>
      <c r="O806" s="306"/>
    </row>
    <row r="807" spans="2:15" ht="18.75" customHeight="1" thickBot="1" x14ac:dyDescent="0.25">
      <c r="B807" s="342">
        <f>SUM(C807:D807)</f>
        <v>26</v>
      </c>
      <c r="C807" s="342">
        <f t="shared" si="278"/>
        <v>0</v>
      </c>
      <c r="D807" s="342">
        <f t="shared" si="278"/>
        <v>26</v>
      </c>
      <c r="E807" s="342">
        <f>SUM(F807:G807)</f>
        <v>0</v>
      </c>
      <c r="F807" s="342">
        <v>0</v>
      </c>
      <c r="G807" s="342">
        <v>0</v>
      </c>
      <c r="H807" s="342">
        <f>SUM(I807:J807)</f>
        <v>11</v>
      </c>
      <c r="I807" s="342">
        <v>0</v>
      </c>
      <c r="J807" s="342">
        <v>11</v>
      </c>
      <c r="K807" s="342">
        <f>SUM(L807:M807)</f>
        <v>15</v>
      </c>
      <c r="L807" s="342">
        <v>0</v>
      </c>
      <c r="M807" s="342">
        <v>15</v>
      </c>
      <c r="N807" s="203" t="s">
        <v>145</v>
      </c>
      <c r="O807" s="306" t="s">
        <v>110</v>
      </c>
    </row>
    <row r="808" spans="2:15" ht="18.75" customHeight="1" thickBot="1" x14ac:dyDescent="0.25">
      <c r="B808" s="342">
        <f t="shared" ref="B808:L808" si="282">SUM(B806:B807)</f>
        <v>32</v>
      </c>
      <c r="C808" s="342">
        <f t="shared" si="282"/>
        <v>0</v>
      </c>
      <c r="D808" s="342">
        <f t="shared" si="282"/>
        <v>32</v>
      </c>
      <c r="E808" s="342">
        <f t="shared" si="282"/>
        <v>0</v>
      </c>
      <c r="F808" s="342">
        <f t="shared" si="282"/>
        <v>0</v>
      </c>
      <c r="G808" s="342">
        <f t="shared" si="282"/>
        <v>0</v>
      </c>
      <c r="H808" s="342">
        <f t="shared" si="282"/>
        <v>15</v>
      </c>
      <c r="I808" s="342">
        <f t="shared" si="282"/>
        <v>0</v>
      </c>
      <c r="J808" s="342">
        <f t="shared" si="282"/>
        <v>15</v>
      </c>
      <c r="K808" s="342">
        <f t="shared" si="282"/>
        <v>17</v>
      </c>
      <c r="L808" s="342">
        <f t="shared" si="282"/>
        <v>0</v>
      </c>
      <c r="M808" s="342">
        <f>SUM(M806:M807)</f>
        <v>17</v>
      </c>
      <c r="N808" s="203" t="s">
        <v>12</v>
      </c>
      <c r="O808" s="307"/>
    </row>
    <row r="809" spans="2:15" ht="18.75" customHeight="1" thickBot="1" x14ac:dyDescent="0.25">
      <c r="B809" s="342">
        <f>SUM(C809:D809)</f>
        <v>1</v>
      </c>
      <c r="C809" s="342">
        <f t="shared" si="278"/>
        <v>1</v>
      </c>
      <c r="D809" s="342">
        <f t="shared" si="278"/>
        <v>0</v>
      </c>
      <c r="E809" s="342">
        <f>SUM(F809:G809)</f>
        <v>0</v>
      </c>
      <c r="F809" s="342">
        <v>0</v>
      </c>
      <c r="G809" s="342">
        <v>0</v>
      </c>
      <c r="H809" s="342">
        <f>SUM(I809:J809)</f>
        <v>0</v>
      </c>
      <c r="I809" s="342">
        <v>0</v>
      </c>
      <c r="J809" s="342">
        <v>0</v>
      </c>
      <c r="K809" s="342">
        <f>SUM(L809:M809)</f>
        <v>1</v>
      </c>
      <c r="L809" s="342">
        <v>1</v>
      </c>
      <c r="M809" s="342">
        <v>0</v>
      </c>
      <c r="N809" s="203" t="s">
        <v>146</v>
      </c>
      <c r="O809" s="306"/>
    </row>
    <row r="810" spans="2:15" ht="18.75" customHeight="1" thickBot="1" x14ac:dyDescent="0.25">
      <c r="B810" s="342">
        <f>SUM(C810:D810)</f>
        <v>29</v>
      </c>
      <c r="C810" s="342">
        <f t="shared" si="278"/>
        <v>20</v>
      </c>
      <c r="D810" s="342">
        <f t="shared" si="278"/>
        <v>9</v>
      </c>
      <c r="E810" s="342">
        <f>SUM(F810:G810)</f>
        <v>0</v>
      </c>
      <c r="F810" s="342">
        <v>0</v>
      </c>
      <c r="G810" s="342">
        <v>0</v>
      </c>
      <c r="H810" s="342">
        <f>SUM(I810:J810)</f>
        <v>10</v>
      </c>
      <c r="I810" s="342">
        <v>10</v>
      </c>
      <c r="J810" s="342">
        <v>0</v>
      </c>
      <c r="K810" s="342">
        <f>SUM(L810:M810)</f>
        <v>19</v>
      </c>
      <c r="L810" s="342">
        <v>10</v>
      </c>
      <c r="M810" s="342">
        <v>9</v>
      </c>
      <c r="N810" s="203" t="s">
        <v>145</v>
      </c>
      <c r="O810" s="306" t="s">
        <v>503</v>
      </c>
    </row>
    <row r="811" spans="2:15" ht="18.75" customHeight="1" thickBot="1" x14ac:dyDescent="0.25">
      <c r="B811" s="342">
        <f t="shared" ref="B811:L811" si="283">SUM(B809:B810)</f>
        <v>30</v>
      </c>
      <c r="C811" s="342">
        <f t="shared" si="283"/>
        <v>21</v>
      </c>
      <c r="D811" s="342">
        <f t="shared" si="283"/>
        <v>9</v>
      </c>
      <c r="E811" s="342">
        <f t="shared" si="283"/>
        <v>0</v>
      </c>
      <c r="F811" s="342">
        <f t="shared" si="283"/>
        <v>0</v>
      </c>
      <c r="G811" s="342">
        <f t="shared" si="283"/>
        <v>0</v>
      </c>
      <c r="H811" s="342">
        <f t="shared" si="283"/>
        <v>10</v>
      </c>
      <c r="I811" s="342">
        <f t="shared" si="283"/>
        <v>10</v>
      </c>
      <c r="J811" s="342">
        <f t="shared" si="283"/>
        <v>0</v>
      </c>
      <c r="K811" s="342">
        <f t="shared" si="283"/>
        <v>20</v>
      </c>
      <c r="L811" s="342">
        <f t="shared" si="283"/>
        <v>11</v>
      </c>
      <c r="M811" s="342">
        <f>SUM(M809:M810)</f>
        <v>9</v>
      </c>
      <c r="N811" s="203" t="s">
        <v>12</v>
      </c>
      <c r="O811" s="307"/>
    </row>
    <row r="812" spans="2:15" ht="18.75" customHeight="1" thickBot="1" x14ac:dyDescent="0.25">
      <c r="B812" s="342">
        <f>SUM(C812:D812)</f>
        <v>21</v>
      </c>
      <c r="C812" s="342">
        <f t="shared" si="278"/>
        <v>21</v>
      </c>
      <c r="D812" s="342">
        <f t="shared" si="278"/>
        <v>0</v>
      </c>
      <c r="E812" s="342">
        <f>SUM(F812:G812)</f>
        <v>19</v>
      </c>
      <c r="F812" s="342">
        <v>19</v>
      </c>
      <c r="G812" s="342">
        <v>0</v>
      </c>
      <c r="H812" s="342">
        <f>SUM(I812:J812)</f>
        <v>2</v>
      </c>
      <c r="I812" s="342">
        <v>2</v>
      </c>
      <c r="J812" s="342">
        <v>0</v>
      </c>
      <c r="K812" s="342">
        <f>SUM(L812:M812)</f>
        <v>0</v>
      </c>
      <c r="L812" s="342">
        <v>0</v>
      </c>
      <c r="M812" s="342">
        <v>0</v>
      </c>
      <c r="N812" s="203" t="s">
        <v>146</v>
      </c>
      <c r="O812" s="306"/>
    </row>
    <row r="813" spans="2:15" ht="18.75" customHeight="1" thickBot="1" x14ac:dyDescent="0.25">
      <c r="B813" s="342">
        <f>SUM(C813:D813)</f>
        <v>55</v>
      </c>
      <c r="C813" s="342">
        <f t="shared" si="278"/>
        <v>41</v>
      </c>
      <c r="D813" s="342">
        <f t="shared" si="278"/>
        <v>14</v>
      </c>
      <c r="E813" s="342">
        <f>SUM(F813:G813)</f>
        <v>0</v>
      </c>
      <c r="F813" s="342">
        <v>0</v>
      </c>
      <c r="G813" s="342">
        <v>0</v>
      </c>
      <c r="H813" s="342">
        <f>SUM(I813:J813)</f>
        <v>27</v>
      </c>
      <c r="I813" s="342">
        <v>27</v>
      </c>
      <c r="J813" s="342">
        <v>0</v>
      </c>
      <c r="K813" s="342">
        <f>SUM(L813:M813)</f>
        <v>28</v>
      </c>
      <c r="L813" s="342">
        <v>14</v>
      </c>
      <c r="M813" s="342">
        <v>14</v>
      </c>
      <c r="N813" s="203" t="s">
        <v>145</v>
      </c>
      <c r="O813" s="306" t="s">
        <v>504</v>
      </c>
    </row>
    <row r="814" spans="2:15" ht="18.75" customHeight="1" thickBot="1" x14ac:dyDescent="0.25">
      <c r="B814" s="342">
        <f t="shared" ref="B814:L814" si="284">SUM(B812:B813)</f>
        <v>76</v>
      </c>
      <c r="C814" s="342">
        <f t="shared" si="284"/>
        <v>62</v>
      </c>
      <c r="D814" s="342">
        <f t="shared" si="284"/>
        <v>14</v>
      </c>
      <c r="E814" s="342">
        <f t="shared" si="284"/>
        <v>19</v>
      </c>
      <c r="F814" s="342">
        <f t="shared" si="284"/>
        <v>19</v>
      </c>
      <c r="G814" s="342">
        <f t="shared" si="284"/>
        <v>0</v>
      </c>
      <c r="H814" s="342">
        <f t="shared" si="284"/>
        <v>29</v>
      </c>
      <c r="I814" s="342">
        <f t="shared" si="284"/>
        <v>29</v>
      </c>
      <c r="J814" s="342">
        <f t="shared" si="284"/>
        <v>0</v>
      </c>
      <c r="K814" s="342">
        <f t="shared" si="284"/>
        <v>28</v>
      </c>
      <c r="L814" s="342">
        <f t="shared" si="284"/>
        <v>14</v>
      </c>
      <c r="M814" s="342">
        <f>SUM(M812:M813)</f>
        <v>14</v>
      </c>
      <c r="N814" s="203" t="s">
        <v>12</v>
      </c>
      <c r="O814" s="307"/>
    </row>
    <row r="815" spans="2:15" ht="18.75" customHeight="1" thickBot="1" x14ac:dyDescent="0.25">
      <c r="B815" s="342">
        <f>SUM(C815:D815)</f>
        <v>1</v>
      </c>
      <c r="C815" s="342">
        <f t="shared" si="278"/>
        <v>1</v>
      </c>
      <c r="D815" s="342">
        <f t="shared" si="278"/>
        <v>0</v>
      </c>
      <c r="E815" s="342">
        <f>SUM(F815:G815)</f>
        <v>0</v>
      </c>
      <c r="F815" s="342">
        <v>0</v>
      </c>
      <c r="G815" s="342">
        <v>0</v>
      </c>
      <c r="H815" s="342">
        <f>SUM(I815:J815)</f>
        <v>0</v>
      </c>
      <c r="I815" s="342">
        <v>0</v>
      </c>
      <c r="J815" s="342">
        <v>0</v>
      </c>
      <c r="K815" s="342">
        <f>SUM(L815:M815)</f>
        <v>1</v>
      </c>
      <c r="L815" s="342">
        <v>1</v>
      </c>
      <c r="M815" s="342">
        <v>0</v>
      </c>
      <c r="N815" s="203" t="s">
        <v>146</v>
      </c>
      <c r="O815" s="306"/>
    </row>
    <row r="816" spans="2:15" ht="18.75" customHeight="1" thickBot="1" x14ac:dyDescent="0.25">
      <c r="B816" s="342">
        <f>SUM(C816:D816)</f>
        <v>0</v>
      </c>
      <c r="C816" s="342">
        <f t="shared" si="278"/>
        <v>0</v>
      </c>
      <c r="D816" s="342">
        <f t="shared" si="278"/>
        <v>0</v>
      </c>
      <c r="E816" s="342">
        <f>SUM(F816:G816)</f>
        <v>0</v>
      </c>
      <c r="F816" s="342">
        <v>0</v>
      </c>
      <c r="G816" s="342">
        <v>0</v>
      </c>
      <c r="H816" s="342">
        <f>SUM(I816:J816)</f>
        <v>0</v>
      </c>
      <c r="I816" s="342">
        <v>0</v>
      </c>
      <c r="J816" s="342">
        <v>0</v>
      </c>
      <c r="K816" s="342">
        <f>SUM(L816:M816)</f>
        <v>0</v>
      </c>
      <c r="L816" s="342">
        <v>0</v>
      </c>
      <c r="M816" s="342">
        <v>0</v>
      </c>
      <c r="N816" s="203" t="s">
        <v>145</v>
      </c>
      <c r="O816" s="306" t="s">
        <v>112</v>
      </c>
    </row>
    <row r="817" spans="2:15" ht="18.75" customHeight="1" thickBot="1" x14ac:dyDescent="0.25">
      <c r="B817" s="342">
        <f t="shared" ref="B817:L817" si="285">SUM(B815:B816)</f>
        <v>1</v>
      </c>
      <c r="C817" s="342">
        <f t="shared" si="285"/>
        <v>1</v>
      </c>
      <c r="D817" s="342">
        <f t="shared" si="285"/>
        <v>0</v>
      </c>
      <c r="E817" s="342">
        <f t="shared" si="285"/>
        <v>0</v>
      </c>
      <c r="F817" s="342">
        <f t="shared" si="285"/>
        <v>0</v>
      </c>
      <c r="G817" s="342">
        <f t="shared" si="285"/>
        <v>0</v>
      </c>
      <c r="H817" s="342">
        <f t="shared" si="285"/>
        <v>0</v>
      </c>
      <c r="I817" s="342">
        <f t="shared" si="285"/>
        <v>0</v>
      </c>
      <c r="J817" s="342">
        <f t="shared" si="285"/>
        <v>0</v>
      </c>
      <c r="K817" s="342">
        <f t="shared" si="285"/>
        <v>1</v>
      </c>
      <c r="L817" s="342">
        <f t="shared" si="285"/>
        <v>1</v>
      </c>
      <c r="M817" s="342">
        <f>SUM(M815:M816)</f>
        <v>0</v>
      </c>
      <c r="N817" s="203" t="s">
        <v>12</v>
      </c>
      <c r="O817" s="307"/>
    </row>
    <row r="818" spans="2:15" ht="18.75" customHeight="1" thickBot="1" x14ac:dyDescent="0.25">
      <c r="B818" s="342">
        <f>SUM(C818:D818)</f>
        <v>1</v>
      </c>
      <c r="C818" s="342">
        <f t="shared" si="278"/>
        <v>1</v>
      </c>
      <c r="D818" s="342">
        <f t="shared" si="278"/>
        <v>0</v>
      </c>
      <c r="E818" s="342">
        <f>SUM(F818:G818)</f>
        <v>0</v>
      </c>
      <c r="F818" s="342">
        <v>0</v>
      </c>
      <c r="G818" s="342">
        <v>0</v>
      </c>
      <c r="H818" s="342">
        <f>SUM(I818:J818)</f>
        <v>0</v>
      </c>
      <c r="I818" s="342">
        <v>0</v>
      </c>
      <c r="J818" s="342">
        <v>0</v>
      </c>
      <c r="K818" s="342">
        <f>SUM(L818:M818)</f>
        <v>1</v>
      </c>
      <c r="L818" s="342">
        <v>1</v>
      </c>
      <c r="M818" s="342">
        <v>0</v>
      </c>
      <c r="N818" s="203" t="s">
        <v>146</v>
      </c>
      <c r="O818" s="306"/>
    </row>
    <row r="819" spans="2:15" ht="18.75" customHeight="1" thickBot="1" x14ac:dyDescent="0.25">
      <c r="B819" s="342">
        <f>SUM(C819:D819)</f>
        <v>0</v>
      </c>
      <c r="C819" s="342">
        <f t="shared" si="278"/>
        <v>0</v>
      </c>
      <c r="D819" s="342">
        <f t="shared" si="278"/>
        <v>0</v>
      </c>
      <c r="E819" s="342">
        <f>SUM(F819:G819)</f>
        <v>0</v>
      </c>
      <c r="F819" s="342">
        <v>0</v>
      </c>
      <c r="G819" s="342">
        <v>0</v>
      </c>
      <c r="H819" s="342">
        <f>SUM(I819:J819)</f>
        <v>0</v>
      </c>
      <c r="I819" s="342">
        <v>0</v>
      </c>
      <c r="J819" s="342">
        <v>0</v>
      </c>
      <c r="K819" s="342">
        <f>SUM(L819:M819)</f>
        <v>0</v>
      </c>
      <c r="L819" s="342">
        <v>0</v>
      </c>
      <c r="M819" s="342">
        <v>0</v>
      </c>
      <c r="N819" s="203" t="s">
        <v>145</v>
      </c>
      <c r="O819" s="306" t="s">
        <v>113</v>
      </c>
    </row>
    <row r="820" spans="2:15" ht="18.75" customHeight="1" thickBot="1" x14ac:dyDescent="0.25">
      <c r="B820" s="342">
        <f t="shared" ref="B820:L820" si="286">SUM(B818:B819)</f>
        <v>1</v>
      </c>
      <c r="C820" s="342">
        <f t="shared" si="286"/>
        <v>1</v>
      </c>
      <c r="D820" s="342">
        <f t="shared" si="286"/>
        <v>0</v>
      </c>
      <c r="E820" s="342">
        <f t="shared" si="286"/>
        <v>0</v>
      </c>
      <c r="F820" s="342">
        <f t="shared" si="286"/>
        <v>0</v>
      </c>
      <c r="G820" s="342">
        <f t="shared" si="286"/>
        <v>0</v>
      </c>
      <c r="H820" s="342">
        <f t="shared" si="286"/>
        <v>0</v>
      </c>
      <c r="I820" s="342">
        <f t="shared" si="286"/>
        <v>0</v>
      </c>
      <c r="J820" s="342">
        <f t="shared" si="286"/>
        <v>0</v>
      </c>
      <c r="K820" s="342">
        <f t="shared" si="286"/>
        <v>1</v>
      </c>
      <c r="L820" s="342">
        <f t="shared" si="286"/>
        <v>1</v>
      </c>
      <c r="M820" s="342">
        <f>SUM(M818:M819)</f>
        <v>0</v>
      </c>
      <c r="N820" s="203" t="s">
        <v>12</v>
      </c>
      <c r="O820" s="307"/>
    </row>
    <row r="821" spans="2:15" ht="18.75" customHeight="1" thickBot="1" x14ac:dyDescent="0.25">
      <c r="B821" s="342">
        <f>SUM(C821:D821)</f>
        <v>27</v>
      </c>
      <c r="C821" s="342">
        <f t="shared" si="278"/>
        <v>0</v>
      </c>
      <c r="D821" s="342">
        <f t="shared" si="278"/>
        <v>27</v>
      </c>
      <c r="E821" s="342">
        <f>SUM(F821:G821)</f>
        <v>5</v>
      </c>
      <c r="F821" s="342">
        <v>0</v>
      </c>
      <c r="G821" s="342">
        <v>5</v>
      </c>
      <c r="H821" s="342">
        <f>SUM(I821:J821)</f>
        <v>19</v>
      </c>
      <c r="I821" s="342">
        <v>0</v>
      </c>
      <c r="J821" s="342">
        <v>19</v>
      </c>
      <c r="K821" s="342">
        <f>SUM(L821:M821)</f>
        <v>3</v>
      </c>
      <c r="L821" s="342">
        <v>0</v>
      </c>
      <c r="M821" s="342">
        <v>3</v>
      </c>
      <c r="N821" s="203" t="s">
        <v>146</v>
      </c>
      <c r="O821" s="306"/>
    </row>
    <row r="822" spans="2:15" ht="18.75" customHeight="1" thickBot="1" x14ac:dyDescent="0.25">
      <c r="B822" s="342">
        <f>SUM(C822:D822)</f>
        <v>86</v>
      </c>
      <c r="C822" s="342">
        <f t="shared" si="278"/>
        <v>0</v>
      </c>
      <c r="D822" s="342">
        <f t="shared" si="278"/>
        <v>86</v>
      </c>
      <c r="E822" s="342">
        <f>SUM(F822:G822)</f>
        <v>15</v>
      </c>
      <c r="F822" s="342">
        <v>0</v>
      </c>
      <c r="G822" s="342">
        <v>15</v>
      </c>
      <c r="H822" s="342">
        <f>SUM(I822:J822)</f>
        <v>18</v>
      </c>
      <c r="I822" s="342">
        <v>0</v>
      </c>
      <c r="J822" s="342">
        <v>18</v>
      </c>
      <c r="K822" s="342">
        <f>SUM(L822:M822)</f>
        <v>53</v>
      </c>
      <c r="L822" s="342">
        <v>0</v>
      </c>
      <c r="M822" s="342">
        <v>53</v>
      </c>
      <c r="N822" s="203" t="s">
        <v>145</v>
      </c>
      <c r="O822" s="306" t="s">
        <v>505</v>
      </c>
    </row>
    <row r="823" spans="2:15" ht="18.75" customHeight="1" thickBot="1" x14ac:dyDescent="0.25">
      <c r="B823" s="342">
        <f t="shared" ref="B823:L823" si="287">SUM(B821:B822)</f>
        <v>113</v>
      </c>
      <c r="C823" s="342">
        <f t="shared" si="287"/>
        <v>0</v>
      </c>
      <c r="D823" s="342">
        <f t="shared" si="287"/>
        <v>113</v>
      </c>
      <c r="E823" s="342">
        <f t="shared" si="287"/>
        <v>20</v>
      </c>
      <c r="F823" s="342">
        <f t="shared" si="287"/>
        <v>0</v>
      </c>
      <c r="G823" s="342">
        <f t="shared" si="287"/>
        <v>20</v>
      </c>
      <c r="H823" s="342">
        <f t="shared" si="287"/>
        <v>37</v>
      </c>
      <c r="I823" s="342">
        <f t="shared" si="287"/>
        <v>0</v>
      </c>
      <c r="J823" s="342">
        <f t="shared" si="287"/>
        <v>37</v>
      </c>
      <c r="K823" s="342">
        <f t="shared" si="287"/>
        <v>56</v>
      </c>
      <c r="L823" s="342">
        <f t="shared" si="287"/>
        <v>0</v>
      </c>
      <c r="M823" s="342">
        <f>SUM(M821:M822)</f>
        <v>56</v>
      </c>
      <c r="N823" s="203" t="s">
        <v>12</v>
      </c>
      <c r="O823" s="307"/>
    </row>
    <row r="824" spans="2:15" ht="18.75" customHeight="1" thickBot="1" x14ac:dyDescent="0.25">
      <c r="B824" s="342">
        <f>SUM(C824:D824)</f>
        <v>100</v>
      </c>
      <c r="C824" s="342">
        <f t="shared" si="278"/>
        <v>100</v>
      </c>
      <c r="D824" s="342">
        <f t="shared" si="278"/>
        <v>0</v>
      </c>
      <c r="E824" s="342">
        <f>SUM(F824:G824)</f>
        <v>69</v>
      </c>
      <c r="F824" s="342">
        <v>69</v>
      </c>
      <c r="G824" s="342">
        <v>0</v>
      </c>
      <c r="H824" s="342">
        <f>SUM(I824:J824)</f>
        <v>30</v>
      </c>
      <c r="I824" s="342">
        <v>30</v>
      </c>
      <c r="J824" s="342">
        <v>0</v>
      </c>
      <c r="K824" s="342">
        <f>SUM(L824:M824)</f>
        <v>1</v>
      </c>
      <c r="L824" s="342">
        <v>1</v>
      </c>
      <c r="M824" s="342">
        <v>0</v>
      </c>
      <c r="N824" s="203" t="s">
        <v>146</v>
      </c>
      <c r="O824" s="306"/>
    </row>
    <row r="825" spans="2:15" ht="18.75" customHeight="1" thickBot="1" x14ac:dyDescent="0.25">
      <c r="B825" s="342">
        <f>SUM(C825:D825)</f>
        <v>45</v>
      </c>
      <c r="C825" s="342">
        <f t="shared" si="278"/>
        <v>33</v>
      </c>
      <c r="D825" s="342">
        <f t="shared" si="278"/>
        <v>12</v>
      </c>
      <c r="E825" s="342">
        <f>SUM(F825:G825)</f>
        <v>0</v>
      </c>
      <c r="F825" s="342">
        <v>0</v>
      </c>
      <c r="G825" s="342">
        <v>0</v>
      </c>
      <c r="H825" s="342">
        <f>SUM(I825:J825)</f>
        <v>22</v>
      </c>
      <c r="I825" s="342">
        <v>20</v>
      </c>
      <c r="J825" s="342">
        <v>2</v>
      </c>
      <c r="K825" s="342">
        <f>SUM(L825:M825)</f>
        <v>23</v>
      </c>
      <c r="L825" s="342">
        <v>13</v>
      </c>
      <c r="M825" s="342">
        <v>10</v>
      </c>
      <c r="N825" s="203" t="s">
        <v>145</v>
      </c>
      <c r="O825" s="306" t="s">
        <v>506</v>
      </c>
    </row>
    <row r="826" spans="2:15" ht="18.75" customHeight="1" thickBot="1" x14ac:dyDescent="0.25">
      <c r="B826" s="342">
        <f t="shared" ref="B826:L826" si="288">SUM(B824:B825)</f>
        <v>145</v>
      </c>
      <c r="C826" s="342">
        <f t="shared" si="288"/>
        <v>133</v>
      </c>
      <c r="D826" s="342">
        <f t="shared" si="288"/>
        <v>12</v>
      </c>
      <c r="E826" s="342">
        <f t="shared" si="288"/>
        <v>69</v>
      </c>
      <c r="F826" s="342">
        <f t="shared" si="288"/>
        <v>69</v>
      </c>
      <c r="G826" s="342">
        <f t="shared" si="288"/>
        <v>0</v>
      </c>
      <c r="H826" s="342">
        <f t="shared" si="288"/>
        <v>52</v>
      </c>
      <c r="I826" s="342">
        <f t="shared" si="288"/>
        <v>50</v>
      </c>
      <c r="J826" s="342">
        <f t="shared" si="288"/>
        <v>2</v>
      </c>
      <c r="K826" s="342">
        <f t="shared" si="288"/>
        <v>24</v>
      </c>
      <c r="L826" s="342">
        <f t="shared" si="288"/>
        <v>14</v>
      </c>
      <c r="M826" s="342">
        <f>SUM(M824:M825)</f>
        <v>10</v>
      </c>
      <c r="N826" s="203" t="s">
        <v>12</v>
      </c>
      <c r="O826" s="307"/>
    </row>
    <row r="827" spans="2:15" ht="18.75" customHeight="1" thickBot="1" x14ac:dyDescent="0.25">
      <c r="B827" s="342">
        <f>SUM(C827:D827)</f>
        <v>2</v>
      </c>
      <c r="C827" s="342">
        <f t="shared" si="278"/>
        <v>0</v>
      </c>
      <c r="D827" s="342">
        <f t="shared" si="278"/>
        <v>2</v>
      </c>
      <c r="E827" s="342">
        <f>SUM(F827:G827)</f>
        <v>0</v>
      </c>
      <c r="F827" s="342">
        <v>0</v>
      </c>
      <c r="G827" s="342">
        <v>0</v>
      </c>
      <c r="H827" s="342">
        <f>SUM(I827:J827)</f>
        <v>0</v>
      </c>
      <c r="I827" s="342">
        <v>0</v>
      </c>
      <c r="J827" s="342">
        <v>0</v>
      </c>
      <c r="K827" s="342">
        <f>SUM(L827:M827)</f>
        <v>2</v>
      </c>
      <c r="L827" s="342">
        <v>0</v>
      </c>
      <c r="M827" s="342">
        <v>2</v>
      </c>
      <c r="N827" s="203" t="s">
        <v>146</v>
      </c>
      <c r="O827" s="306"/>
    </row>
    <row r="828" spans="2:15" ht="18.75" customHeight="1" thickBot="1" x14ac:dyDescent="0.25">
      <c r="B828" s="342">
        <f>SUM(C828:D828)</f>
        <v>0</v>
      </c>
      <c r="C828" s="342">
        <f t="shared" si="278"/>
        <v>0</v>
      </c>
      <c r="D828" s="342">
        <f t="shared" si="278"/>
        <v>0</v>
      </c>
      <c r="E828" s="342">
        <f>SUM(F828:G828)</f>
        <v>0</v>
      </c>
      <c r="F828" s="342">
        <v>0</v>
      </c>
      <c r="G828" s="342">
        <v>0</v>
      </c>
      <c r="H828" s="342">
        <f>SUM(I828:J828)</f>
        <v>0</v>
      </c>
      <c r="I828" s="342">
        <v>0</v>
      </c>
      <c r="J828" s="342">
        <v>0</v>
      </c>
      <c r="K828" s="342">
        <f>SUM(L828:M828)</f>
        <v>0</v>
      </c>
      <c r="L828" s="342">
        <v>0</v>
      </c>
      <c r="M828" s="342">
        <v>0</v>
      </c>
      <c r="N828" s="203" t="s">
        <v>145</v>
      </c>
      <c r="O828" s="306" t="s">
        <v>507</v>
      </c>
    </row>
    <row r="829" spans="2:15" ht="18.75" customHeight="1" thickBot="1" x14ac:dyDescent="0.25">
      <c r="B829" s="342">
        <f t="shared" ref="B829:L829" si="289">SUM(B827:B828)</f>
        <v>2</v>
      </c>
      <c r="C829" s="342">
        <f t="shared" si="289"/>
        <v>0</v>
      </c>
      <c r="D829" s="342">
        <f t="shared" si="289"/>
        <v>2</v>
      </c>
      <c r="E829" s="342">
        <f t="shared" si="289"/>
        <v>0</v>
      </c>
      <c r="F829" s="342">
        <f t="shared" si="289"/>
        <v>0</v>
      </c>
      <c r="G829" s="342">
        <f t="shared" si="289"/>
        <v>0</v>
      </c>
      <c r="H829" s="342">
        <f t="shared" si="289"/>
        <v>0</v>
      </c>
      <c r="I829" s="342">
        <f t="shared" si="289"/>
        <v>0</v>
      </c>
      <c r="J829" s="342">
        <f t="shared" si="289"/>
        <v>0</v>
      </c>
      <c r="K829" s="342">
        <f t="shared" si="289"/>
        <v>2</v>
      </c>
      <c r="L829" s="342">
        <f t="shared" si="289"/>
        <v>0</v>
      </c>
      <c r="M829" s="342">
        <f>SUM(M827:M828)</f>
        <v>2</v>
      </c>
      <c r="N829" s="203" t="s">
        <v>12</v>
      </c>
      <c r="O829" s="307"/>
    </row>
    <row r="830" spans="2:15" ht="18.75" customHeight="1" thickBot="1" x14ac:dyDescent="0.25">
      <c r="B830" s="342">
        <f>SUM(C830:D830)</f>
        <v>2</v>
      </c>
      <c r="C830" s="342">
        <f t="shared" si="278"/>
        <v>2</v>
      </c>
      <c r="D830" s="342">
        <f t="shared" si="278"/>
        <v>0</v>
      </c>
      <c r="E830" s="342">
        <f>SUM(F830:G830)</f>
        <v>2</v>
      </c>
      <c r="F830" s="342">
        <v>2</v>
      </c>
      <c r="G830" s="342">
        <v>0</v>
      </c>
      <c r="H830" s="342">
        <f>SUM(I830:J830)</f>
        <v>0</v>
      </c>
      <c r="I830" s="342">
        <v>0</v>
      </c>
      <c r="J830" s="342">
        <v>0</v>
      </c>
      <c r="K830" s="342">
        <f>SUM(L830:M830)</f>
        <v>0</v>
      </c>
      <c r="L830" s="342">
        <v>0</v>
      </c>
      <c r="M830" s="342">
        <v>0</v>
      </c>
      <c r="N830" s="203" t="s">
        <v>146</v>
      </c>
      <c r="O830" s="306"/>
    </row>
    <row r="831" spans="2:15" ht="18.75" customHeight="1" thickBot="1" x14ac:dyDescent="0.25">
      <c r="B831" s="342">
        <f>SUM(C831:D831)</f>
        <v>11</v>
      </c>
      <c r="C831" s="342">
        <f t="shared" si="278"/>
        <v>11</v>
      </c>
      <c r="D831" s="342">
        <f t="shared" si="278"/>
        <v>0</v>
      </c>
      <c r="E831" s="342">
        <f>SUM(F831:G831)</f>
        <v>5</v>
      </c>
      <c r="F831" s="342">
        <v>5</v>
      </c>
      <c r="G831" s="342">
        <v>0</v>
      </c>
      <c r="H831" s="342">
        <f>SUM(I831:J831)</f>
        <v>5</v>
      </c>
      <c r="I831" s="342">
        <v>5</v>
      </c>
      <c r="J831" s="342">
        <v>0</v>
      </c>
      <c r="K831" s="342">
        <f>SUM(L831:M831)</f>
        <v>1</v>
      </c>
      <c r="L831" s="342">
        <v>1</v>
      </c>
      <c r="M831" s="342">
        <v>0</v>
      </c>
      <c r="N831" s="203" t="s">
        <v>145</v>
      </c>
      <c r="O831" s="306" t="s">
        <v>276</v>
      </c>
    </row>
    <row r="832" spans="2:15" ht="18.75" customHeight="1" thickBot="1" x14ac:dyDescent="0.25">
      <c r="B832" s="342">
        <f t="shared" ref="B832:L832" si="290">SUM(B830:B831)</f>
        <v>13</v>
      </c>
      <c r="C832" s="342">
        <f t="shared" si="290"/>
        <v>13</v>
      </c>
      <c r="D832" s="342">
        <f t="shared" si="290"/>
        <v>0</v>
      </c>
      <c r="E832" s="342">
        <f t="shared" si="290"/>
        <v>7</v>
      </c>
      <c r="F832" s="342">
        <f t="shared" si="290"/>
        <v>7</v>
      </c>
      <c r="G832" s="342">
        <f t="shared" si="290"/>
        <v>0</v>
      </c>
      <c r="H832" s="342">
        <f t="shared" si="290"/>
        <v>5</v>
      </c>
      <c r="I832" s="342">
        <f t="shared" si="290"/>
        <v>5</v>
      </c>
      <c r="J832" s="342">
        <f t="shared" si="290"/>
        <v>0</v>
      </c>
      <c r="K832" s="342">
        <f t="shared" si="290"/>
        <v>1</v>
      </c>
      <c r="L832" s="342">
        <f t="shared" si="290"/>
        <v>1</v>
      </c>
      <c r="M832" s="342">
        <f>SUM(M830:M831)</f>
        <v>0</v>
      </c>
      <c r="N832" s="203" t="s">
        <v>12</v>
      </c>
      <c r="O832" s="307"/>
    </row>
    <row r="833" spans="2:15" ht="18.75" customHeight="1" thickBot="1" x14ac:dyDescent="0.25">
      <c r="B833" s="342">
        <f>SUM(C833:D833)</f>
        <v>3</v>
      </c>
      <c r="C833" s="342">
        <f t="shared" si="278"/>
        <v>0</v>
      </c>
      <c r="D833" s="342">
        <f t="shared" si="278"/>
        <v>3</v>
      </c>
      <c r="E833" s="342">
        <f>SUM(F833:G833)</f>
        <v>3</v>
      </c>
      <c r="F833" s="342">
        <v>0</v>
      </c>
      <c r="G833" s="342">
        <v>3</v>
      </c>
      <c r="H833" s="342">
        <f>SUM(I833:J833)</f>
        <v>0</v>
      </c>
      <c r="I833" s="342">
        <v>0</v>
      </c>
      <c r="J833" s="342">
        <v>0</v>
      </c>
      <c r="K833" s="342">
        <f>SUM(L833:M833)</f>
        <v>0</v>
      </c>
      <c r="L833" s="342">
        <v>0</v>
      </c>
      <c r="M833" s="342">
        <v>0</v>
      </c>
      <c r="N833" s="203" t="s">
        <v>146</v>
      </c>
      <c r="O833" s="306"/>
    </row>
    <row r="834" spans="2:15" ht="18.75" customHeight="1" thickBot="1" x14ac:dyDescent="0.25">
      <c r="B834" s="342">
        <f>SUM(C834:D834)</f>
        <v>16</v>
      </c>
      <c r="C834" s="342">
        <f t="shared" si="278"/>
        <v>0</v>
      </c>
      <c r="D834" s="342">
        <f t="shared" si="278"/>
        <v>16</v>
      </c>
      <c r="E834" s="342">
        <f>SUM(F834:G834)</f>
        <v>4</v>
      </c>
      <c r="F834" s="342">
        <v>0</v>
      </c>
      <c r="G834" s="342">
        <v>4</v>
      </c>
      <c r="H834" s="342">
        <f>SUM(I834:J834)</f>
        <v>9</v>
      </c>
      <c r="I834" s="342">
        <v>0</v>
      </c>
      <c r="J834" s="342">
        <v>9</v>
      </c>
      <c r="K834" s="342">
        <f>SUM(L834:M834)</f>
        <v>3</v>
      </c>
      <c r="L834" s="342">
        <v>0</v>
      </c>
      <c r="M834" s="342">
        <v>3</v>
      </c>
      <c r="N834" s="203" t="s">
        <v>145</v>
      </c>
      <c r="O834" s="306" t="s">
        <v>774</v>
      </c>
    </row>
    <row r="835" spans="2:15" ht="18.75" customHeight="1" thickBot="1" x14ac:dyDescent="0.25">
      <c r="B835" s="342">
        <f t="shared" ref="B835:L835" si="291">SUM(B833:B834)</f>
        <v>19</v>
      </c>
      <c r="C835" s="342">
        <f t="shared" si="291"/>
        <v>0</v>
      </c>
      <c r="D835" s="342">
        <f t="shared" si="291"/>
        <v>19</v>
      </c>
      <c r="E835" s="342">
        <f t="shared" si="291"/>
        <v>7</v>
      </c>
      <c r="F835" s="342">
        <f t="shared" si="291"/>
        <v>0</v>
      </c>
      <c r="G835" s="342">
        <f t="shared" si="291"/>
        <v>7</v>
      </c>
      <c r="H835" s="342">
        <f t="shared" si="291"/>
        <v>9</v>
      </c>
      <c r="I835" s="342">
        <f t="shared" si="291"/>
        <v>0</v>
      </c>
      <c r="J835" s="342">
        <f t="shared" si="291"/>
        <v>9</v>
      </c>
      <c r="K835" s="342">
        <f t="shared" si="291"/>
        <v>3</v>
      </c>
      <c r="L835" s="342">
        <f t="shared" si="291"/>
        <v>0</v>
      </c>
      <c r="M835" s="342">
        <f>SUM(M833:M834)</f>
        <v>3</v>
      </c>
      <c r="N835" s="203" t="s">
        <v>12</v>
      </c>
      <c r="O835" s="307"/>
    </row>
    <row r="836" spans="2:15" ht="18.75" customHeight="1" thickBot="1" x14ac:dyDescent="0.25">
      <c r="B836" s="342">
        <f>SUM(C836:D836)</f>
        <v>12</v>
      </c>
      <c r="C836" s="342">
        <f t="shared" si="278"/>
        <v>12</v>
      </c>
      <c r="D836" s="342">
        <f t="shared" si="278"/>
        <v>0</v>
      </c>
      <c r="E836" s="342">
        <f>SUM(F836:G836)</f>
        <v>12</v>
      </c>
      <c r="F836" s="342">
        <v>12</v>
      </c>
      <c r="G836" s="342">
        <v>0</v>
      </c>
      <c r="H836" s="342">
        <f>SUM(I836:J836)</f>
        <v>0</v>
      </c>
      <c r="I836" s="342">
        <v>0</v>
      </c>
      <c r="J836" s="342">
        <v>0</v>
      </c>
      <c r="K836" s="342">
        <f>SUM(L836:M836)</f>
        <v>0</v>
      </c>
      <c r="L836" s="342">
        <v>0</v>
      </c>
      <c r="M836" s="342">
        <v>0</v>
      </c>
      <c r="N836" s="203" t="s">
        <v>146</v>
      </c>
      <c r="O836" s="306"/>
    </row>
    <row r="837" spans="2:15" ht="18.75" customHeight="1" thickBot="1" x14ac:dyDescent="0.25">
      <c r="B837" s="342">
        <f>SUM(C837:D837)</f>
        <v>3</v>
      </c>
      <c r="C837" s="342">
        <f t="shared" si="278"/>
        <v>3</v>
      </c>
      <c r="D837" s="342">
        <f t="shared" si="278"/>
        <v>0</v>
      </c>
      <c r="E837" s="342">
        <f>SUM(F837:G837)</f>
        <v>0</v>
      </c>
      <c r="F837" s="342">
        <v>0</v>
      </c>
      <c r="G837" s="342">
        <v>0</v>
      </c>
      <c r="H837" s="342">
        <f>SUM(I837:J837)</f>
        <v>1</v>
      </c>
      <c r="I837" s="342">
        <v>1</v>
      </c>
      <c r="J837" s="342">
        <v>0</v>
      </c>
      <c r="K837" s="342">
        <f>SUM(L837:M837)</f>
        <v>2</v>
      </c>
      <c r="L837" s="342">
        <v>2</v>
      </c>
      <c r="M837" s="342">
        <v>0</v>
      </c>
      <c r="N837" s="203" t="s">
        <v>145</v>
      </c>
      <c r="O837" s="306" t="s">
        <v>278</v>
      </c>
    </row>
    <row r="838" spans="2:15" ht="18.75" customHeight="1" thickBot="1" x14ac:dyDescent="0.25">
      <c r="B838" s="342">
        <f t="shared" ref="B838:L838" si="292">SUM(B836:B837)</f>
        <v>15</v>
      </c>
      <c r="C838" s="342">
        <f t="shared" si="292"/>
        <v>15</v>
      </c>
      <c r="D838" s="342">
        <f t="shared" si="292"/>
        <v>0</v>
      </c>
      <c r="E838" s="342">
        <f t="shared" si="292"/>
        <v>12</v>
      </c>
      <c r="F838" s="342">
        <f t="shared" si="292"/>
        <v>12</v>
      </c>
      <c r="G838" s="342">
        <f t="shared" si="292"/>
        <v>0</v>
      </c>
      <c r="H838" s="342">
        <f t="shared" si="292"/>
        <v>1</v>
      </c>
      <c r="I838" s="342">
        <f t="shared" si="292"/>
        <v>1</v>
      </c>
      <c r="J838" s="342">
        <f t="shared" si="292"/>
        <v>0</v>
      </c>
      <c r="K838" s="342">
        <f t="shared" si="292"/>
        <v>2</v>
      </c>
      <c r="L838" s="342">
        <f t="shared" si="292"/>
        <v>2</v>
      </c>
      <c r="M838" s="342">
        <f>SUM(M836:M837)</f>
        <v>0</v>
      </c>
      <c r="N838" s="203" t="s">
        <v>12</v>
      </c>
      <c r="O838" s="307"/>
    </row>
    <row r="839" spans="2:15" ht="18.75" customHeight="1" thickBot="1" x14ac:dyDescent="0.25">
      <c r="B839" s="342">
        <f t="shared" ref="B839:M841" si="293">B797+B800+B803+B806+B809+B812+B815+B818+B821+B824+B827+B830+B833+B836</f>
        <v>263</v>
      </c>
      <c r="C839" s="342">
        <f t="shared" si="293"/>
        <v>148</v>
      </c>
      <c r="D839" s="342">
        <f t="shared" si="293"/>
        <v>115</v>
      </c>
      <c r="E839" s="342">
        <f t="shared" si="293"/>
        <v>176</v>
      </c>
      <c r="F839" s="342">
        <f t="shared" si="293"/>
        <v>108</v>
      </c>
      <c r="G839" s="342">
        <f t="shared" si="293"/>
        <v>68</v>
      </c>
      <c r="H839" s="342">
        <f t="shared" si="293"/>
        <v>71</v>
      </c>
      <c r="I839" s="342">
        <f t="shared" si="293"/>
        <v>36</v>
      </c>
      <c r="J839" s="342">
        <f t="shared" si="293"/>
        <v>35</v>
      </c>
      <c r="K839" s="342">
        <f t="shared" si="293"/>
        <v>16</v>
      </c>
      <c r="L839" s="342">
        <f t="shared" si="293"/>
        <v>4</v>
      </c>
      <c r="M839" s="342">
        <f t="shared" si="293"/>
        <v>12</v>
      </c>
      <c r="N839" s="203" t="s">
        <v>146</v>
      </c>
      <c r="O839" s="280"/>
    </row>
    <row r="840" spans="2:15" ht="18.75" customHeight="1" thickBot="1" x14ac:dyDescent="0.25">
      <c r="B840" s="342">
        <f t="shared" si="293"/>
        <v>385</v>
      </c>
      <c r="C840" s="342">
        <f t="shared" si="293"/>
        <v>124</v>
      </c>
      <c r="D840" s="342">
        <f t="shared" si="293"/>
        <v>261</v>
      </c>
      <c r="E840" s="342">
        <f t="shared" si="293"/>
        <v>24</v>
      </c>
      <c r="F840" s="342">
        <f t="shared" si="293"/>
        <v>5</v>
      </c>
      <c r="G840" s="342">
        <f t="shared" si="293"/>
        <v>19</v>
      </c>
      <c r="H840" s="342">
        <f t="shared" si="293"/>
        <v>153</v>
      </c>
      <c r="I840" s="342">
        <f t="shared" si="293"/>
        <v>72</v>
      </c>
      <c r="J840" s="342">
        <f t="shared" si="293"/>
        <v>81</v>
      </c>
      <c r="K840" s="342">
        <f t="shared" si="293"/>
        <v>208</v>
      </c>
      <c r="L840" s="342">
        <f t="shared" si="293"/>
        <v>47</v>
      </c>
      <c r="M840" s="342">
        <f t="shared" si="293"/>
        <v>161</v>
      </c>
      <c r="N840" s="203" t="s">
        <v>145</v>
      </c>
      <c r="O840" s="281" t="s">
        <v>188</v>
      </c>
    </row>
    <row r="841" spans="2:15" ht="18.75" customHeight="1" thickBot="1" x14ac:dyDescent="0.25">
      <c r="B841" s="342">
        <f t="shared" si="293"/>
        <v>648</v>
      </c>
      <c r="C841" s="342">
        <f t="shared" si="293"/>
        <v>272</v>
      </c>
      <c r="D841" s="342">
        <f t="shared" si="293"/>
        <v>376</v>
      </c>
      <c r="E841" s="342">
        <f t="shared" si="293"/>
        <v>200</v>
      </c>
      <c r="F841" s="342">
        <f t="shared" si="293"/>
        <v>113</v>
      </c>
      <c r="G841" s="342">
        <f t="shared" si="293"/>
        <v>87</v>
      </c>
      <c r="H841" s="342">
        <f t="shared" si="293"/>
        <v>224</v>
      </c>
      <c r="I841" s="342">
        <f t="shared" si="293"/>
        <v>108</v>
      </c>
      <c r="J841" s="342">
        <f t="shared" si="293"/>
        <v>116</v>
      </c>
      <c r="K841" s="342">
        <f t="shared" si="293"/>
        <v>224</v>
      </c>
      <c r="L841" s="342">
        <f t="shared" si="293"/>
        <v>51</v>
      </c>
      <c r="M841" s="342">
        <f t="shared" si="293"/>
        <v>173</v>
      </c>
      <c r="N841" s="203" t="s">
        <v>12</v>
      </c>
      <c r="O841" s="282"/>
    </row>
    <row r="842" spans="2:15" ht="18.75" customHeight="1" thickBot="1" x14ac:dyDescent="0.25">
      <c r="B842" s="589"/>
      <c r="C842" s="589"/>
      <c r="D842" s="589"/>
      <c r="E842" s="589"/>
      <c r="F842" s="589"/>
      <c r="G842" s="589"/>
      <c r="H842" s="589"/>
      <c r="I842" s="589"/>
      <c r="J842" s="589"/>
      <c r="K842" s="589"/>
      <c r="L842" s="589"/>
    </row>
    <row r="843" spans="2:15" ht="18.75" customHeight="1" thickBot="1" x14ac:dyDescent="0.25">
      <c r="B843" s="482" t="s">
        <v>4</v>
      </c>
      <c r="C843" s="482"/>
      <c r="D843" s="482"/>
      <c r="E843" s="482" t="s">
        <v>60</v>
      </c>
      <c r="F843" s="482"/>
      <c r="G843" s="482"/>
      <c r="H843" s="482" t="s">
        <v>57</v>
      </c>
      <c r="I843" s="482"/>
      <c r="J843" s="482"/>
      <c r="K843" s="482" t="s">
        <v>56</v>
      </c>
      <c r="L843" s="482"/>
      <c r="M843" s="482"/>
      <c r="N843" s="575" t="s">
        <v>792</v>
      </c>
      <c r="O843" s="304" t="s">
        <v>144</v>
      </c>
    </row>
    <row r="844" spans="2:15" ht="18.75" customHeight="1" thickBot="1" x14ac:dyDescent="0.25">
      <c r="B844" s="203" t="s">
        <v>227</v>
      </c>
      <c r="C844" s="203" t="s">
        <v>10</v>
      </c>
      <c r="D844" s="203" t="s">
        <v>9</v>
      </c>
      <c r="E844" s="203" t="s">
        <v>227</v>
      </c>
      <c r="F844" s="203" t="s">
        <v>10</v>
      </c>
      <c r="G844" s="203" t="s">
        <v>9</v>
      </c>
      <c r="H844" s="203" t="s">
        <v>227</v>
      </c>
      <c r="I844" s="203" t="s">
        <v>10</v>
      </c>
      <c r="J844" s="203" t="s">
        <v>9</v>
      </c>
      <c r="K844" s="203" t="s">
        <v>227</v>
      </c>
      <c r="L844" s="203" t="s">
        <v>10</v>
      </c>
      <c r="M844" s="203" t="s">
        <v>9</v>
      </c>
      <c r="N844" s="481"/>
      <c r="O844" s="282" t="s">
        <v>115</v>
      </c>
    </row>
    <row r="845" spans="2:15" ht="18.75" customHeight="1" thickBot="1" x14ac:dyDescent="0.25">
      <c r="B845" s="342">
        <f>SUM(C845:D845)</f>
        <v>16</v>
      </c>
      <c r="C845" s="342">
        <f>L845+I845+F845</f>
        <v>0</v>
      </c>
      <c r="D845" s="342">
        <f>M845+J845+G845</f>
        <v>16</v>
      </c>
      <c r="E845" s="342">
        <f>SUM(F845:G845)</f>
        <v>15</v>
      </c>
      <c r="F845" s="342">
        <v>0</v>
      </c>
      <c r="G845" s="342">
        <v>15</v>
      </c>
      <c r="H845" s="342">
        <f>SUM(I845:J845)</f>
        <v>0</v>
      </c>
      <c r="I845" s="342">
        <v>0</v>
      </c>
      <c r="J845" s="342">
        <v>0</v>
      </c>
      <c r="K845" s="342">
        <f>SUM(L845:M845)</f>
        <v>1</v>
      </c>
      <c r="L845" s="342">
        <v>0</v>
      </c>
      <c r="M845" s="342">
        <v>1</v>
      </c>
      <c r="N845" s="203" t="s">
        <v>146</v>
      </c>
      <c r="O845" s="306"/>
    </row>
    <row r="846" spans="2:15" ht="18.75" customHeight="1" thickBot="1" x14ac:dyDescent="0.25">
      <c r="B846" s="342">
        <f>SUM(C846:D846)</f>
        <v>10</v>
      </c>
      <c r="C846" s="342">
        <f t="shared" ref="C846:D867" si="294">L846+I846+F846</f>
        <v>0</v>
      </c>
      <c r="D846" s="342">
        <f t="shared" si="294"/>
        <v>10</v>
      </c>
      <c r="E846" s="342">
        <f>SUM(F846:G846)</f>
        <v>0</v>
      </c>
      <c r="F846" s="342">
        <v>0</v>
      </c>
      <c r="G846" s="342">
        <v>0</v>
      </c>
      <c r="H846" s="342">
        <f>SUM(I846:J846)</f>
        <v>5</v>
      </c>
      <c r="I846" s="342">
        <v>0</v>
      </c>
      <c r="J846" s="342">
        <v>5</v>
      </c>
      <c r="K846" s="342">
        <f>SUM(L846:M846)</f>
        <v>5</v>
      </c>
      <c r="L846" s="342">
        <v>0</v>
      </c>
      <c r="M846" s="342">
        <v>5</v>
      </c>
      <c r="N846" s="203" t="s">
        <v>145</v>
      </c>
      <c r="O846" s="306" t="s">
        <v>367</v>
      </c>
    </row>
    <row r="847" spans="2:15" ht="18.75" customHeight="1" thickBot="1" x14ac:dyDescent="0.25">
      <c r="B847" s="342">
        <f t="shared" ref="B847:L847" si="295">SUM(B845:B846)</f>
        <v>26</v>
      </c>
      <c r="C847" s="342">
        <f t="shared" si="295"/>
        <v>0</v>
      </c>
      <c r="D847" s="342">
        <f t="shared" si="295"/>
        <v>26</v>
      </c>
      <c r="E847" s="342">
        <f t="shared" si="295"/>
        <v>15</v>
      </c>
      <c r="F847" s="342">
        <f t="shared" si="295"/>
        <v>0</v>
      </c>
      <c r="G847" s="342">
        <f t="shared" si="295"/>
        <v>15</v>
      </c>
      <c r="H847" s="342">
        <f t="shared" si="295"/>
        <v>5</v>
      </c>
      <c r="I847" s="342">
        <f t="shared" si="295"/>
        <v>0</v>
      </c>
      <c r="J847" s="342">
        <f t="shared" si="295"/>
        <v>5</v>
      </c>
      <c r="K847" s="342">
        <f t="shared" si="295"/>
        <v>6</v>
      </c>
      <c r="L847" s="342">
        <f t="shared" si="295"/>
        <v>0</v>
      </c>
      <c r="M847" s="342">
        <f>SUM(M845:M846)</f>
        <v>6</v>
      </c>
      <c r="N847" s="203" t="s">
        <v>12</v>
      </c>
      <c r="O847" s="307"/>
    </row>
    <row r="848" spans="2:15" ht="18.75" customHeight="1" thickBot="1" x14ac:dyDescent="0.25">
      <c r="B848" s="342">
        <f>SUM(C848:D848)</f>
        <v>7</v>
      </c>
      <c r="C848" s="342">
        <f t="shared" si="294"/>
        <v>7</v>
      </c>
      <c r="D848" s="342">
        <f t="shared" si="294"/>
        <v>0</v>
      </c>
      <c r="E848" s="342">
        <f>SUM(F848:G848)</f>
        <v>5</v>
      </c>
      <c r="F848" s="342">
        <v>5</v>
      </c>
      <c r="G848" s="342">
        <v>0</v>
      </c>
      <c r="H848" s="342">
        <f>SUM(I848:J848)</f>
        <v>2</v>
      </c>
      <c r="I848" s="342">
        <v>2</v>
      </c>
      <c r="J848" s="342">
        <v>0</v>
      </c>
      <c r="K848" s="342">
        <f>SUM(L848:M848)</f>
        <v>0</v>
      </c>
      <c r="L848" s="342">
        <v>0</v>
      </c>
      <c r="M848" s="342">
        <v>0</v>
      </c>
      <c r="N848" s="203" t="s">
        <v>146</v>
      </c>
      <c r="O848" s="306"/>
    </row>
    <row r="849" spans="2:15" ht="18.75" customHeight="1" thickBot="1" x14ac:dyDescent="0.25">
      <c r="B849" s="342">
        <f>SUM(C849:D849)</f>
        <v>25</v>
      </c>
      <c r="C849" s="342">
        <f t="shared" si="294"/>
        <v>1</v>
      </c>
      <c r="D849" s="342">
        <f t="shared" si="294"/>
        <v>24</v>
      </c>
      <c r="E849" s="342">
        <f>SUM(F849:G849)</f>
        <v>0</v>
      </c>
      <c r="F849" s="342">
        <v>0</v>
      </c>
      <c r="G849" s="342">
        <v>0</v>
      </c>
      <c r="H849" s="342">
        <f>SUM(I849:J849)</f>
        <v>0</v>
      </c>
      <c r="I849" s="342">
        <v>0</v>
      </c>
      <c r="J849" s="342">
        <v>0</v>
      </c>
      <c r="K849" s="342">
        <f>SUM(L849:M849)</f>
        <v>25</v>
      </c>
      <c r="L849" s="342">
        <v>1</v>
      </c>
      <c r="M849" s="342">
        <v>24</v>
      </c>
      <c r="N849" s="203" t="s">
        <v>145</v>
      </c>
      <c r="O849" s="306" t="s">
        <v>347</v>
      </c>
    </row>
    <row r="850" spans="2:15" ht="18.75" customHeight="1" thickBot="1" x14ac:dyDescent="0.25">
      <c r="B850" s="342">
        <f t="shared" ref="B850:L850" si="296">SUM(B848:B849)</f>
        <v>32</v>
      </c>
      <c r="C850" s="342">
        <f t="shared" si="296"/>
        <v>8</v>
      </c>
      <c r="D850" s="342">
        <f t="shared" si="296"/>
        <v>24</v>
      </c>
      <c r="E850" s="342">
        <f t="shared" si="296"/>
        <v>5</v>
      </c>
      <c r="F850" s="342">
        <f t="shared" si="296"/>
        <v>5</v>
      </c>
      <c r="G850" s="342">
        <f t="shared" si="296"/>
        <v>0</v>
      </c>
      <c r="H850" s="342">
        <f t="shared" si="296"/>
        <v>2</v>
      </c>
      <c r="I850" s="342">
        <f t="shared" si="296"/>
        <v>2</v>
      </c>
      <c r="J850" s="342">
        <f t="shared" si="296"/>
        <v>0</v>
      </c>
      <c r="K850" s="342">
        <f t="shared" si="296"/>
        <v>25</v>
      </c>
      <c r="L850" s="342">
        <f t="shared" si="296"/>
        <v>1</v>
      </c>
      <c r="M850" s="342">
        <f>SUM(M848:M849)</f>
        <v>24</v>
      </c>
      <c r="N850" s="203" t="s">
        <v>12</v>
      </c>
      <c r="O850" s="307"/>
    </row>
    <row r="851" spans="2:15" ht="18.75" customHeight="1" thickBot="1" x14ac:dyDescent="0.25">
      <c r="B851" s="342">
        <f>SUM(C851:D851)</f>
        <v>216</v>
      </c>
      <c r="C851" s="342">
        <f t="shared" si="294"/>
        <v>216</v>
      </c>
      <c r="D851" s="342">
        <f t="shared" si="294"/>
        <v>0</v>
      </c>
      <c r="E851" s="342">
        <f>SUM(F851:G851)</f>
        <v>166</v>
      </c>
      <c r="F851" s="342">
        <v>166</v>
      </c>
      <c r="G851" s="342">
        <v>0</v>
      </c>
      <c r="H851" s="342">
        <f>SUM(I851:J851)</f>
        <v>28</v>
      </c>
      <c r="I851" s="342">
        <v>28</v>
      </c>
      <c r="J851" s="342">
        <v>0</v>
      </c>
      <c r="K851" s="342">
        <f>SUM(L851:M851)</f>
        <v>22</v>
      </c>
      <c r="L851" s="342">
        <v>22</v>
      </c>
      <c r="M851" s="342">
        <v>0</v>
      </c>
      <c r="N851" s="203" t="s">
        <v>146</v>
      </c>
      <c r="O851" s="306"/>
    </row>
    <row r="852" spans="2:15" ht="18.75" customHeight="1" thickBot="1" x14ac:dyDescent="0.25">
      <c r="B852" s="342">
        <f>SUM(C852:D852)</f>
        <v>89</v>
      </c>
      <c r="C852" s="342">
        <f t="shared" si="294"/>
        <v>51</v>
      </c>
      <c r="D852" s="342">
        <f t="shared" si="294"/>
        <v>38</v>
      </c>
      <c r="E852" s="342">
        <f>SUM(F852:G852)</f>
        <v>0</v>
      </c>
      <c r="F852" s="342">
        <v>0</v>
      </c>
      <c r="G852" s="342">
        <v>0</v>
      </c>
      <c r="H852" s="342">
        <f>SUM(I852:J852)</f>
        <v>10</v>
      </c>
      <c r="I852" s="342">
        <v>7</v>
      </c>
      <c r="J852" s="342">
        <v>3</v>
      </c>
      <c r="K852" s="342">
        <f>SUM(L852:M852)</f>
        <v>79</v>
      </c>
      <c r="L852" s="342">
        <v>44</v>
      </c>
      <c r="M852" s="342">
        <v>35</v>
      </c>
      <c r="N852" s="203" t="s">
        <v>145</v>
      </c>
      <c r="O852" s="306" t="s">
        <v>518</v>
      </c>
    </row>
    <row r="853" spans="2:15" ht="18.75" customHeight="1" thickBot="1" x14ac:dyDescent="0.25">
      <c r="B853" s="342">
        <f t="shared" ref="B853:L853" si="297">SUM(B851:B852)</f>
        <v>305</v>
      </c>
      <c r="C853" s="342">
        <f t="shared" si="297"/>
        <v>267</v>
      </c>
      <c r="D853" s="342">
        <f t="shared" si="297"/>
        <v>38</v>
      </c>
      <c r="E853" s="342">
        <f t="shared" si="297"/>
        <v>166</v>
      </c>
      <c r="F853" s="342">
        <f t="shared" si="297"/>
        <v>166</v>
      </c>
      <c r="G853" s="342">
        <f t="shared" si="297"/>
        <v>0</v>
      </c>
      <c r="H853" s="342">
        <f t="shared" si="297"/>
        <v>38</v>
      </c>
      <c r="I853" s="342">
        <f t="shared" si="297"/>
        <v>35</v>
      </c>
      <c r="J853" s="342">
        <f t="shared" si="297"/>
        <v>3</v>
      </c>
      <c r="K853" s="342">
        <f t="shared" si="297"/>
        <v>101</v>
      </c>
      <c r="L853" s="342">
        <f t="shared" si="297"/>
        <v>66</v>
      </c>
      <c r="M853" s="342">
        <f>SUM(M851:M852)</f>
        <v>35</v>
      </c>
      <c r="N853" s="203" t="s">
        <v>12</v>
      </c>
      <c r="O853" s="307"/>
    </row>
    <row r="854" spans="2:15" ht="18.75" customHeight="1" thickBot="1" x14ac:dyDescent="0.25">
      <c r="B854" s="342">
        <f>SUM(C854:D854)</f>
        <v>119</v>
      </c>
      <c r="C854" s="342">
        <f t="shared" si="294"/>
        <v>0</v>
      </c>
      <c r="D854" s="342">
        <f t="shared" si="294"/>
        <v>119</v>
      </c>
      <c r="E854" s="342">
        <f>SUM(F854:G854)</f>
        <v>76</v>
      </c>
      <c r="F854" s="342">
        <v>0</v>
      </c>
      <c r="G854" s="342">
        <v>76</v>
      </c>
      <c r="H854" s="342">
        <f>SUM(I854:J854)</f>
        <v>21</v>
      </c>
      <c r="I854" s="342">
        <v>0</v>
      </c>
      <c r="J854" s="342">
        <v>21</v>
      </c>
      <c r="K854" s="342">
        <f>SUM(L854:M854)</f>
        <v>22</v>
      </c>
      <c r="L854" s="342">
        <v>0</v>
      </c>
      <c r="M854" s="342">
        <v>22</v>
      </c>
      <c r="N854" s="203" t="s">
        <v>146</v>
      </c>
      <c r="O854" s="306"/>
    </row>
    <row r="855" spans="2:15" ht="18.75" customHeight="1" thickBot="1" x14ac:dyDescent="0.25">
      <c r="B855" s="342">
        <f>SUM(C855:D855)</f>
        <v>73</v>
      </c>
      <c r="C855" s="342">
        <f t="shared" si="294"/>
        <v>0</v>
      </c>
      <c r="D855" s="342">
        <f t="shared" si="294"/>
        <v>73</v>
      </c>
      <c r="E855" s="342">
        <f>SUM(F855:G855)</f>
        <v>12</v>
      </c>
      <c r="F855" s="342">
        <v>0</v>
      </c>
      <c r="G855" s="342">
        <v>12</v>
      </c>
      <c r="H855" s="342">
        <f>SUM(I855:J855)</f>
        <v>10</v>
      </c>
      <c r="I855" s="342">
        <v>0</v>
      </c>
      <c r="J855" s="342">
        <v>10</v>
      </c>
      <c r="K855" s="342">
        <f>SUM(L855:M855)</f>
        <v>51</v>
      </c>
      <c r="L855" s="342">
        <v>0</v>
      </c>
      <c r="M855" s="342">
        <v>51</v>
      </c>
      <c r="N855" s="203" t="s">
        <v>145</v>
      </c>
      <c r="O855" s="306" t="s">
        <v>256</v>
      </c>
    </row>
    <row r="856" spans="2:15" ht="18.75" customHeight="1" thickBot="1" x14ac:dyDescent="0.25">
      <c r="B856" s="342">
        <f t="shared" ref="B856:L856" si="298">SUM(B854:B855)</f>
        <v>192</v>
      </c>
      <c r="C856" s="342">
        <f t="shared" si="298"/>
        <v>0</v>
      </c>
      <c r="D856" s="342">
        <f t="shared" si="298"/>
        <v>192</v>
      </c>
      <c r="E856" s="342">
        <f t="shared" si="298"/>
        <v>88</v>
      </c>
      <c r="F856" s="342">
        <f t="shared" si="298"/>
        <v>0</v>
      </c>
      <c r="G856" s="342">
        <f t="shared" si="298"/>
        <v>88</v>
      </c>
      <c r="H856" s="342">
        <f t="shared" si="298"/>
        <v>31</v>
      </c>
      <c r="I856" s="342">
        <f t="shared" si="298"/>
        <v>0</v>
      </c>
      <c r="J856" s="342">
        <f t="shared" si="298"/>
        <v>31</v>
      </c>
      <c r="K856" s="342">
        <f t="shared" si="298"/>
        <v>73</v>
      </c>
      <c r="L856" s="342">
        <f t="shared" si="298"/>
        <v>0</v>
      </c>
      <c r="M856" s="342">
        <f>SUM(M854:M855)</f>
        <v>73</v>
      </c>
      <c r="N856" s="203" t="s">
        <v>12</v>
      </c>
      <c r="O856" s="307"/>
    </row>
    <row r="857" spans="2:15" ht="18.75" customHeight="1" thickBot="1" x14ac:dyDescent="0.25">
      <c r="B857" s="342">
        <f>SUM(C857:D857)</f>
        <v>20</v>
      </c>
      <c r="C857" s="342">
        <f t="shared" si="294"/>
        <v>9</v>
      </c>
      <c r="D857" s="342">
        <f t="shared" si="294"/>
        <v>11</v>
      </c>
      <c r="E857" s="342">
        <f>SUM(F857:G857)</f>
        <v>20</v>
      </c>
      <c r="F857" s="342">
        <v>9</v>
      </c>
      <c r="G857" s="342">
        <v>11</v>
      </c>
      <c r="H857" s="342">
        <f>SUM(I857:J857)</f>
        <v>0</v>
      </c>
      <c r="I857" s="342">
        <v>0</v>
      </c>
      <c r="J857" s="342">
        <v>0</v>
      </c>
      <c r="K857" s="342">
        <f>SUM(L857:M857)</f>
        <v>0</v>
      </c>
      <c r="L857" s="342">
        <v>0</v>
      </c>
      <c r="M857" s="342">
        <v>0</v>
      </c>
      <c r="N857" s="203" t="s">
        <v>146</v>
      </c>
      <c r="O857" s="306"/>
    </row>
    <row r="858" spans="2:15" ht="18.75" customHeight="1" thickBot="1" x14ac:dyDescent="0.25">
      <c r="B858" s="342">
        <f>SUM(C858:D858)</f>
        <v>30</v>
      </c>
      <c r="C858" s="342">
        <f t="shared" si="294"/>
        <v>7</v>
      </c>
      <c r="D858" s="342">
        <f t="shared" si="294"/>
        <v>23</v>
      </c>
      <c r="E858" s="342">
        <f>SUM(F858:G858)</f>
        <v>12</v>
      </c>
      <c r="F858" s="342">
        <v>3</v>
      </c>
      <c r="G858" s="342">
        <v>9</v>
      </c>
      <c r="H858" s="342">
        <f>SUM(I858:J858)</f>
        <v>10</v>
      </c>
      <c r="I858" s="342">
        <v>2</v>
      </c>
      <c r="J858" s="342">
        <v>8</v>
      </c>
      <c r="K858" s="342">
        <f>SUM(L858:M858)</f>
        <v>8</v>
      </c>
      <c r="L858" s="342">
        <v>2</v>
      </c>
      <c r="M858" s="342">
        <v>6</v>
      </c>
      <c r="N858" s="203" t="s">
        <v>145</v>
      </c>
      <c r="O858" s="306" t="s">
        <v>280</v>
      </c>
    </row>
    <row r="859" spans="2:15" ht="18.75" customHeight="1" thickBot="1" x14ac:dyDescent="0.25">
      <c r="B859" s="342">
        <f t="shared" ref="B859:L859" si="299">SUM(B857:B858)</f>
        <v>50</v>
      </c>
      <c r="C859" s="342">
        <f t="shared" si="299"/>
        <v>16</v>
      </c>
      <c r="D859" s="342">
        <f t="shared" si="299"/>
        <v>34</v>
      </c>
      <c r="E859" s="342">
        <f t="shared" si="299"/>
        <v>32</v>
      </c>
      <c r="F859" s="342">
        <f t="shared" si="299"/>
        <v>12</v>
      </c>
      <c r="G859" s="342">
        <f t="shared" si="299"/>
        <v>20</v>
      </c>
      <c r="H859" s="342">
        <f t="shared" si="299"/>
        <v>10</v>
      </c>
      <c r="I859" s="342">
        <f t="shared" si="299"/>
        <v>2</v>
      </c>
      <c r="J859" s="342">
        <f t="shared" si="299"/>
        <v>8</v>
      </c>
      <c r="K859" s="342">
        <f t="shared" si="299"/>
        <v>8</v>
      </c>
      <c r="L859" s="342">
        <f t="shared" si="299"/>
        <v>2</v>
      </c>
      <c r="M859" s="342">
        <f>SUM(M857:M858)</f>
        <v>6</v>
      </c>
      <c r="N859" s="203" t="s">
        <v>12</v>
      </c>
      <c r="O859" s="307"/>
    </row>
    <row r="860" spans="2:15" ht="18.75" customHeight="1" thickBot="1" x14ac:dyDescent="0.25">
      <c r="B860" s="342">
        <f>SUM(C860:D860)</f>
        <v>10</v>
      </c>
      <c r="C860" s="342">
        <f t="shared" si="294"/>
        <v>0</v>
      </c>
      <c r="D860" s="342">
        <f t="shared" si="294"/>
        <v>10</v>
      </c>
      <c r="E860" s="342">
        <f>SUM(F860:G860)</f>
        <v>10</v>
      </c>
      <c r="F860" s="342">
        <v>0</v>
      </c>
      <c r="G860" s="342">
        <v>10</v>
      </c>
      <c r="H860" s="342">
        <f>SUM(I860:J860)</f>
        <v>0</v>
      </c>
      <c r="I860" s="342">
        <v>0</v>
      </c>
      <c r="J860" s="342">
        <v>0</v>
      </c>
      <c r="K860" s="342">
        <f>SUM(L860:M860)</f>
        <v>0</v>
      </c>
      <c r="L860" s="342">
        <v>0</v>
      </c>
      <c r="M860" s="342">
        <v>0</v>
      </c>
      <c r="N860" s="203" t="s">
        <v>146</v>
      </c>
      <c r="O860" s="306"/>
    </row>
    <row r="861" spans="2:15" ht="18.75" customHeight="1" thickBot="1" x14ac:dyDescent="0.25">
      <c r="B861" s="342">
        <f>SUM(C861:D861)</f>
        <v>3</v>
      </c>
      <c r="C861" s="342">
        <f t="shared" si="294"/>
        <v>0</v>
      </c>
      <c r="D861" s="342">
        <f t="shared" si="294"/>
        <v>3</v>
      </c>
      <c r="E861" s="342">
        <f>SUM(F861:G861)</f>
        <v>0</v>
      </c>
      <c r="F861" s="342">
        <v>0</v>
      </c>
      <c r="G861" s="342">
        <v>0</v>
      </c>
      <c r="H861" s="342">
        <f>SUM(I861:J861)</f>
        <v>3</v>
      </c>
      <c r="I861" s="342">
        <v>0</v>
      </c>
      <c r="J861" s="342">
        <v>3</v>
      </c>
      <c r="K861" s="342">
        <f>SUM(L861:M861)</f>
        <v>0</v>
      </c>
      <c r="L861" s="342">
        <v>0</v>
      </c>
      <c r="M861" s="342">
        <v>0</v>
      </c>
      <c r="N861" s="203" t="s">
        <v>145</v>
      </c>
      <c r="O861" s="306" t="s">
        <v>344</v>
      </c>
    </row>
    <row r="862" spans="2:15" ht="18.75" customHeight="1" thickBot="1" x14ac:dyDescent="0.25">
      <c r="B862" s="342">
        <f t="shared" ref="B862:L862" si="300">SUM(B860:B861)</f>
        <v>13</v>
      </c>
      <c r="C862" s="342">
        <f t="shared" si="300"/>
        <v>0</v>
      </c>
      <c r="D862" s="342">
        <f t="shared" si="300"/>
        <v>13</v>
      </c>
      <c r="E862" s="342">
        <f t="shared" si="300"/>
        <v>10</v>
      </c>
      <c r="F862" s="342">
        <f t="shared" si="300"/>
        <v>0</v>
      </c>
      <c r="G862" s="342">
        <f t="shared" si="300"/>
        <v>10</v>
      </c>
      <c r="H862" s="342">
        <f t="shared" si="300"/>
        <v>3</v>
      </c>
      <c r="I862" s="342">
        <f t="shared" si="300"/>
        <v>0</v>
      </c>
      <c r="J862" s="342">
        <f t="shared" si="300"/>
        <v>3</v>
      </c>
      <c r="K862" s="342">
        <f t="shared" si="300"/>
        <v>0</v>
      </c>
      <c r="L862" s="342">
        <f t="shared" si="300"/>
        <v>0</v>
      </c>
      <c r="M862" s="342">
        <f>SUM(M860:M861)</f>
        <v>0</v>
      </c>
      <c r="N862" s="203" t="s">
        <v>12</v>
      </c>
      <c r="O862" s="307"/>
    </row>
    <row r="863" spans="2:15" ht="18.75" customHeight="1" thickBot="1" x14ac:dyDescent="0.25">
      <c r="B863" s="342">
        <f>SUM(C863:D863)</f>
        <v>1</v>
      </c>
      <c r="C863" s="342">
        <f t="shared" si="294"/>
        <v>1</v>
      </c>
      <c r="D863" s="342">
        <f t="shared" si="294"/>
        <v>0</v>
      </c>
      <c r="E863" s="342">
        <f>SUM(F863:G863)</f>
        <v>0</v>
      </c>
      <c r="F863" s="342">
        <v>0</v>
      </c>
      <c r="G863" s="342">
        <v>0</v>
      </c>
      <c r="H863" s="342">
        <f>SUM(I863:J863)</f>
        <v>0</v>
      </c>
      <c r="I863" s="342">
        <v>0</v>
      </c>
      <c r="J863" s="342">
        <v>0</v>
      </c>
      <c r="K863" s="342">
        <f>SUM(L863:M863)</f>
        <v>1</v>
      </c>
      <c r="L863" s="342">
        <v>1</v>
      </c>
      <c r="M863" s="342">
        <v>0</v>
      </c>
      <c r="N863" s="203" t="s">
        <v>146</v>
      </c>
      <c r="O863" s="306"/>
    </row>
    <row r="864" spans="2:15" ht="18.75" customHeight="1" thickBot="1" x14ac:dyDescent="0.25">
      <c r="B864" s="342">
        <f>SUM(C864:D864)</f>
        <v>0</v>
      </c>
      <c r="C864" s="342">
        <f t="shared" si="294"/>
        <v>0</v>
      </c>
      <c r="D864" s="342">
        <f t="shared" si="294"/>
        <v>0</v>
      </c>
      <c r="E864" s="342">
        <f>SUM(F864:G864)</f>
        <v>0</v>
      </c>
      <c r="F864" s="342">
        <v>0</v>
      </c>
      <c r="G864" s="342">
        <v>0</v>
      </c>
      <c r="H864" s="342">
        <f>SUM(I864:J864)</f>
        <v>0</v>
      </c>
      <c r="I864" s="342">
        <v>0</v>
      </c>
      <c r="J864" s="342">
        <v>0</v>
      </c>
      <c r="K864" s="342">
        <f>SUM(L864:M864)</f>
        <v>0</v>
      </c>
      <c r="L864" s="342">
        <v>0</v>
      </c>
      <c r="M864" s="342">
        <v>0</v>
      </c>
      <c r="N864" s="203" t="s">
        <v>145</v>
      </c>
      <c r="O864" s="306" t="s">
        <v>282</v>
      </c>
    </row>
    <row r="865" spans="2:15" ht="18.75" customHeight="1" thickBot="1" x14ac:dyDescent="0.25">
      <c r="B865" s="342">
        <f t="shared" ref="B865:L865" si="301">SUM(B863:B864)</f>
        <v>1</v>
      </c>
      <c r="C865" s="342">
        <f t="shared" si="301"/>
        <v>1</v>
      </c>
      <c r="D865" s="342">
        <f t="shared" si="301"/>
        <v>0</v>
      </c>
      <c r="E865" s="342">
        <f t="shared" si="301"/>
        <v>0</v>
      </c>
      <c r="F865" s="342">
        <f t="shared" si="301"/>
        <v>0</v>
      </c>
      <c r="G865" s="342">
        <f t="shared" si="301"/>
        <v>0</v>
      </c>
      <c r="H865" s="342">
        <f t="shared" si="301"/>
        <v>0</v>
      </c>
      <c r="I865" s="342">
        <f t="shared" si="301"/>
        <v>0</v>
      </c>
      <c r="J865" s="342">
        <f t="shared" si="301"/>
        <v>0</v>
      </c>
      <c r="K865" s="342">
        <f t="shared" si="301"/>
        <v>1</v>
      </c>
      <c r="L865" s="342">
        <f t="shared" si="301"/>
        <v>1</v>
      </c>
      <c r="M865" s="342">
        <f>SUM(M863:M864)</f>
        <v>0</v>
      </c>
      <c r="N865" s="203" t="s">
        <v>12</v>
      </c>
      <c r="O865" s="307"/>
    </row>
    <row r="866" spans="2:15" ht="18.75" customHeight="1" thickBot="1" x14ac:dyDescent="0.25">
      <c r="B866" s="342">
        <f>SUM(C866:D866)</f>
        <v>38</v>
      </c>
      <c r="C866" s="342">
        <f t="shared" si="294"/>
        <v>38</v>
      </c>
      <c r="D866" s="342">
        <f t="shared" si="294"/>
        <v>0</v>
      </c>
      <c r="E866" s="342">
        <f>SUM(F866:G866)</f>
        <v>36</v>
      </c>
      <c r="F866" s="342">
        <v>36</v>
      </c>
      <c r="G866" s="342">
        <v>0</v>
      </c>
      <c r="H866" s="342">
        <f>SUM(I866:J866)</f>
        <v>1</v>
      </c>
      <c r="I866" s="342">
        <v>1</v>
      </c>
      <c r="J866" s="342">
        <v>0</v>
      </c>
      <c r="K866" s="342">
        <f>SUM(L866:M866)</f>
        <v>1</v>
      </c>
      <c r="L866" s="342">
        <v>1</v>
      </c>
      <c r="M866" s="342">
        <v>0</v>
      </c>
      <c r="N866" s="203" t="s">
        <v>146</v>
      </c>
      <c r="O866" s="306"/>
    </row>
    <row r="867" spans="2:15" ht="18.75" customHeight="1" thickBot="1" x14ac:dyDescent="0.25">
      <c r="B867" s="342">
        <f>SUM(C867:D867)</f>
        <v>33</v>
      </c>
      <c r="C867" s="342">
        <f t="shared" si="294"/>
        <v>28</v>
      </c>
      <c r="D867" s="342">
        <f t="shared" si="294"/>
        <v>5</v>
      </c>
      <c r="E867" s="342">
        <f>SUM(F867:G867)</f>
        <v>0</v>
      </c>
      <c r="F867" s="342">
        <v>0</v>
      </c>
      <c r="G867" s="342">
        <v>0</v>
      </c>
      <c r="H867" s="342">
        <f>SUM(I867:J867)</f>
        <v>10</v>
      </c>
      <c r="I867" s="342">
        <v>10</v>
      </c>
      <c r="J867" s="342">
        <v>0</v>
      </c>
      <c r="K867" s="342">
        <f>SUM(L867:M867)</f>
        <v>23</v>
      </c>
      <c r="L867" s="342">
        <v>18</v>
      </c>
      <c r="M867" s="342">
        <v>5</v>
      </c>
      <c r="N867" s="203" t="s">
        <v>145</v>
      </c>
      <c r="O867" s="306" t="s">
        <v>517</v>
      </c>
    </row>
    <row r="868" spans="2:15" ht="18.75" customHeight="1" thickBot="1" x14ac:dyDescent="0.25">
      <c r="B868" s="342">
        <f t="shared" ref="B868:L868" si="302">SUM(B866:B867)</f>
        <v>71</v>
      </c>
      <c r="C868" s="342">
        <f t="shared" si="302"/>
        <v>66</v>
      </c>
      <c r="D868" s="342">
        <f t="shared" si="302"/>
        <v>5</v>
      </c>
      <c r="E868" s="342">
        <f t="shared" si="302"/>
        <v>36</v>
      </c>
      <c r="F868" s="342">
        <f t="shared" si="302"/>
        <v>36</v>
      </c>
      <c r="G868" s="342">
        <f t="shared" si="302"/>
        <v>0</v>
      </c>
      <c r="H868" s="342">
        <f t="shared" si="302"/>
        <v>11</v>
      </c>
      <c r="I868" s="342">
        <f t="shared" si="302"/>
        <v>11</v>
      </c>
      <c r="J868" s="342">
        <f t="shared" si="302"/>
        <v>0</v>
      </c>
      <c r="K868" s="342">
        <f t="shared" si="302"/>
        <v>24</v>
      </c>
      <c r="L868" s="342">
        <f t="shared" si="302"/>
        <v>19</v>
      </c>
      <c r="M868" s="342">
        <f>SUM(M866:M867)</f>
        <v>5</v>
      </c>
      <c r="N868" s="203" t="s">
        <v>12</v>
      </c>
      <c r="O868" s="307"/>
    </row>
    <row r="869" spans="2:15" ht="18.75" customHeight="1" thickBot="1" x14ac:dyDescent="0.25">
      <c r="B869" s="342">
        <f t="shared" ref="B869:M871" si="303">B845+B848+B851+B854+B857+B860+B863+B866</f>
        <v>427</v>
      </c>
      <c r="C869" s="342">
        <f t="shared" si="303"/>
        <v>271</v>
      </c>
      <c r="D869" s="342">
        <f t="shared" si="303"/>
        <v>156</v>
      </c>
      <c r="E869" s="342">
        <f t="shared" si="303"/>
        <v>328</v>
      </c>
      <c r="F869" s="342">
        <f t="shared" si="303"/>
        <v>216</v>
      </c>
      <c r="G869" s="342">
        <f t="shared" si="303"/>
        <v>112</v>
      </c>
      <c r="H869" s="342">
        <f t="shared" si="303"/>
        <v>52</v>
      </c>
      <c r="I869" s="342">
        <f t="shared" si="303"/>
        <v>31</v>
      </c>
      <c r="J869" s="342">
        <f t="shared" si="303"/>
        <v>21</v>
      </c>
      <c r="K869" s="342">
        <f t="shared" si="303"/>
        <v>47</v>
      </c>
      <c r="L869" s="342">
        <f t="shared" si="303"/>
        <v>24</v>
      </c>
      <c r="M869" s="342">
        <f>M845+M848+M851+M854+M857+M860+M863+M866</f>
        <v>23</v>
      </c>
      <c r="N869" s="203" t="s">
        <v>146</v>
      </c>
      <c r="O869" s="280"/>
    </row>
    <row r="870" spans="2:15" ht="18.75" customHeight="1" thickBot="1" x14ac:dyDescent="0.25">
      <c r="B870" s="342">
        <f t="shared" si="303"/>
        <v>263</v>
      </c>
      <c r="C870" s="342">
        <f t="shared" si="303"/>
        <v>87</v>
      </c>
      <c r="D870" s="342">
        <f t="shared" si="303"/>
        <v>176</v>
      </c>
      <c r="E870" s="342">
        <f t="shared" si="303"/>
        <v>24</v>
      </c>
      <c r="F870" s="342">
        <f t="shared" si="303"/>
        <v>3</v>
      </c>
      <c r="G870" s="342">
        <f t="shared" si="303"/>
        <v>21</v>
      </c>
      <c r="H870" s="342">
        <f t="shared" si="303"/>
        <v>48</v>
      </c>
      <c r="I870" s="342">
        <f t="shared" si="303"/>
        <v>19</v>
      </c>
      <c r="J870" s="342">
        <f t="shared" si="303"/>
        <v>29</v>
      </c>
      <c r="K870" s="342">
        <f t="shared" si="303"/>
        <v>191</v>
      </c>
      <c r="L870" s="342">
        <f t="shared" si="303"/>
        <v>65</v>
      </c>
      <c r="M870" s="342">
        <f t="shared" si="303"/>
        <v>126</v>
      </c>
      <c r="N870" s="203" t="s">
        <v>145</v>
      </c>
      <c r="O870" s="281" t="s">
        <v>188</v>
      </c>
    </row>
    <row r="871" spans="2:15" ht="18.75" customHeight="1" thickBot="1" x14ac:dyDescent="0.25">
      <c r="B871" s="342">
        <f t="shared" si="303"/>
        <v>690</v>
      </c>
      <c r="C871" s="342">
        <f t="shared" si="303"/>
        <v>358</v>
      </c>
      <c r="D871" s="342">
        <f t="shared" si="303"/>
        <v>332</v>
      </c>
      <c r="E871" s="342">
        <f t="shared" si="303"/>
        <v>352</v>
      </c>
      <c r="F871" s="342">
        <f t="shared" si="303"/>
        <v>219</v>
      </c>
      <c r="G871" s="342">
        <f t="shared" si="303"/>
        <v>133</v>
      </c>
      <c r="H871" s="342">
        <f t="shared" si="303"/>
        <v>100</v>
      </c>
      <c r="I871" s="342">
        <f t="shared" si="303"/>
        <v>50</v>
      </c>
      <c r="J871" s="342">
        <f t="shared" si="303"/>
        <v>50</v>
      </c>
      <c r="K871" s="342">
        <f t="shared" si="303"/>
        <v>238</v>
      </c>
      <c r="L871" s="342">
        <f t="shared" si="303"/>
        <v>89</v>
      </c>
      <c r="M871" s="342">
        <f t="shared" si="303"/>
        <v>149</v>
      </c>
      <c r="N871" s="203" t="s">
        <v>12</v>
      </c>
      <c r="O871" s="282"/>
    </row>
    <row r="872" spans="2:15" ht="18.75" customHeight="1" thickBot="1" x14ac:dyDescent="0.25">
      <c r="B872" s="589"/>
      <c r="C872" s="589"/>
      <c r="D872" s="589"/>
      <c r="E872" s="589"/>
      <c r="F872" s="589"/>
      <c r="G872" s="589"/>
      <c r="H872" s="589"/>
      <c r="I872" s="589"/>
      <c r="J872" s="589"/>
      <c r="K872" s="589"/>
      <c r="L872" s="589"/>
    </row>
    <row r="873" spans="2:15" ht="18.75" customHeight="1" thickBot="1" x14ac:dyDescent="0.25">
      <c r="B873" s="482" t="s">
        <v>4</v>
      </c>
      <c r="C873" s="482"/>
      <c r="D873" s="482"/>
      <c r="E873" s="482" t="s">
        <v>60</v>
      </c>
      <c r="F873" s="482"/>
      <c r="G873" s="482"/>
      <c r="H873" s="482" t="s">
        <v>57</v>
      </c>
      <c r="I873" s="482"/>
      <c r="J873" s="482"/>
      <c r="K873" s="482" t="s">
        <v>56</v>
      </c>
      <c r="L873" s="482"/>
      <c r="M873" s="482"/>
      <c r="N873" s="575" t="s">
        <v>792</v>
      </c>
      <c r="O873" s="304" t="s">
        <v>144</v>
      </c>
    </row>
    <row r="874" spans="2:15" ht="18.75" customHeight="1" thickBot="1" x14ac:dyDescent="0.25">
      <c r="B874" s="203" t="s">
        <v>227</v>
      </c>
      <c r="C874" s="203" t="s">
        <v>10</v>
      </c>
      <c r="D874" s="203" t="s">
        <v>9</v>
      </c>
      <c r="E874" s="203" t="s">
        <v>227</v>
      </c>
      <c r="F874" s="203" t="s">
        <v>10</v>
      </c>
      <c r="G874" s="203" t="s">
        <v>9</v>
      </c>
      <c r="H874" s="203" t="s">
        <v>227</v>
      </c>
      <c r="I874" s="203" t="s">
        <v>10</v>
      </c>
      <c r="J874" s="203" t="s">
        <v>9</v>
      </c>
      <c r="K874" s="203" t="s">
        <v>227</v>
      </c>
      <c r="L874" s="203" t="s">
        <v>10</v>
      </c>
      <c r="M874" s="203" t="s">
        <v>9</v>
      </c>
      <c r="N874" s="481"/>
      <c r="O874" s="282" t="s">
        <v>117</v>
      </c>
    </row>
    <row r="875" spans="2:15" ht="18.75" customHeight="1" thickBot="1" x14ac:dyDescent="0.25">
      <c r="B875" s="342">
        <f>SUM(C875:D875)</f>
        <v>61</v>
      </c>
      <c r="C875" s="342">
        <f>L875+I875+F875</f>
        <v>0</v>
      </c>
      <c r="D875" s="342">
        <f>M875+J875+G875</f>
        <v>61</v>
      </c>
      <c r="E875" s="342">
        <f>SUM(F875:G875)</f>
        <v>24</v>
      </c>
      <c r="F875" s="342">
        <v>0</v>
      </c>
      <c r="G875" s="342">
        <v>24</v>
      </c>
      <c r="H875" s="342">
        <f>SUM(I875:J875)</f>
        <v>22</v>
      </c>
      <c r="I875" s="342">
        <v>0</v>
      </c>
      <c r="J875" s="342">
        <v>22</v>
      </c>
      <c r="K875" s="342">
        <f>SUM(L875:M875)</f>
        <v>15</v>
      </c>
      <c r="L875" s="342">
        <v>0</v>
      </c>
      <c r="M875" s="342">
        <v>15</v>
      </c>
      <c r="N875" s="203" t="s">
        <v>146</v>
      </c>
      <c r="O875" s="306"/>
    </row>
    <row r="876" spans="2:15" ht="18.75" customHeight="1" thickBot="1" x14ac:dyDescent="0.25">
      <c r="B876" s="342">
        <f>SUM(C876:D876)</f>
        <v>82</v>
      </c>
      <c r="C876" s="342">
        <f t="shared" ref="C876:D903" si="304">L876+I876+F876</f>
        <v>0</v>
      </c>
      <c r="D876" s="342">
        <f t="shared" si="304"/>
        <v>82</v>
      </c>
      <c r="E876" s="342">
        <f>SUM(F876:G876)</f>
        <v>7</v>
      </c>
      <c r="F876" s="342">
        <v>0</v>
      </c>
      <c r="G876" s="342">
        <v>7</v>
      </c>
      <c r="H876" s="342">
        <f>SUM(I876:J876)</f>
        <v>3</v>
      </c>
      <c r="I876" s="342">
        <v>0</v>
      </c>
      <c r="J876" s="342">
        <v>3</v>
      </c>
      <c r="K876" s="342">
        <f>SUM(L876:M876)</f>
        <v>72</v>
      </c>
      <c r="L876" s="342">
        <v>0</v>
      </c>
      <c r="M876" s="342">
        <v>72</v>
      </c>
      <c r="N876" s="203" t="s">
        <v>145</v>
      </c>
      <c r="O876" s="306" t="s">
        <v>520</v>
      </c>
    </row>
    <row r="877" spans="2:15" ht="18.75" customHeight="1" thickBot="1" x14ac:dyDescent="0.25">
      <c r="B877" s="342">
        <f t="shared" ref="B877:L877" si="305">SUM(B875:B876)</f>
        <v>143</v>
      </c>
      <c r="C877" s="342">
        <f t="shared" si="305"/>
        <v>0</v>
      </c>
      <c r="D877" s="342">
        <f t="shared" si="305"/>
        <v>143</v>
      </c>
      <c r="E877" s="342">
        <f t="shared" si="305"/>
        <v>31</v>
      </c>
      <c r="F877" s="342">
        <f t="shared" si="305"/>
        <v>0</v>
      </c>
      <c r="G877" s="342">
        <f t="shared" si="305"/>
        <v>31</v>
      </c>
      <c r="H877" s="342">
        <f t="shared" si="305"/>
        <v>25</v>
      </c>
      <c r="I877" s="342">
        <f t="shared" si="305"/>
        <v>0</v>
      </c>
      <c r="J877" s="342">
        <f t="shared" si="305"/>
        <v>25</v>
      </c>
      <c r="K877" s="342">
        <f t="shared" si="305"/>
        <v>87</v>
      </c>
      <c r="L877" s="342">
        <f t="shared" si="305"/>
        <v>0</v>
      </c>
      <c r="M877" s="342">
        <f>SUM(M875:M876)</f>
        <v>87</v>
      </c>
      <c r="N877" s="203" t="s">
        <v>12</v>
      </c>
      <c r="O877" s="307"/>
    </row>
    <row r="878" spans="2:15" ht="18.75" customHeight="1" thickBot="1" x14ac:dyDescent="0.25">
      <c r="B878" s="342">
        <f>SUM(C878:D878)</f>
        <v>34</v>
      </c>
      <c r="C878" s="342">
        <f t="shared" si="304"/>
        <v>14</v>
      </c>
      <c r="D878" s="342">
        <f t="shared" si="304"/>
        <v>20</v>
      </c>
      <c r="E878" s="342">
        <f>SUM(F878:G878)</f>
        <v>30</v>
      </c>
      <c r="F878" s="342">
        <v>14</v>
      </c>
      <c r="G878" s="342">
        <v>16</v>
      </c>
      <c r="H878" s="342">
        <f>SUM(I878:J878)</f>
        <v>0</v>
      </c>
      <c r="I878" s="342">
        <v>0</v>
      </c>
      <c r="J878" s="342">
        <v>0</v>
      </c>
      <c r="K878" s="342">
        <f>SUM(L878:M878)</f>
        <v>4</v>
      </c>
      <c r="L878" s="342">
        <v>0</v>
      </c>
      <c r="M878" s="342">
        <v>4</v>
      </c>
      <c r="N878" s="203" t="s">
        <v>146</v>
      </c>
      <c r="O878" s="306"/>
    </row>
    <row r="879" spans="2:15" ht="18.75" customHeight="1" thickBot="1" x14ac:dyDescent="0.25">
      <c r="B879" s="342">
        <f>SUM(C879:D879)</f>
        <v>9</v>
      </c>
      <c r="C879" s="342">
        <f t="shared" si="304"/>
        <v>0</v>
      </c>
      <c r="D879" s="342">
        <f t="shared" si="304"/>
        <v>9</v>
      </c>
      <c r="E879" s="342">
        <f>SUM(F879:G879)</f>
        <v>0</v>
      </c>
      <c r="F879" s="342">
        <v>0</v>
      </c>
      <c r="G879" s="342">
        <v>0</v>
      </c>
      <c r="H879" s="342">
        <f>SUM(I879:J879)</f>
        <v>3</v>
      </c>
      <c r="I879" s="342">
        <v>0</v>
      </c>
      <c r="J879" s="342">
        <v>3</v>
      </c>
      <c r="K879" s="342">
        <f>SUM(L879:M879)</f>
        <v>6</v>
      </c>
      <c r="L879" s="342">
        <v>0</v>
      </c>
      <c r="M879" s="342">
        <v>6</v>
      </c>
      <c r="N879" s="203" t="s">
        <v>145</v>
      </c>
      <c r="O879" s="306" t="s">
        <v>367</v>
      </c>
    </row>
    <row r="880" spans="2:15" ht="18.75" customHeight="1" thickBot="1" x14ac:dyDescent="0.25">
      <c r="B880" s="342">
        <f t="shared" ref="B880:L880" si="306">SUM(B878:B879)</f>
        <v>43</v>
      </c>
      <c r="C880" s="342">
        <f t="shared" si="306"/>
        <v>14</v>
      </c>
      <c r="D880" s="342">
        <f t="shared" si="306"/>
        <v>29</v>
      </c>
      <c r="E880" s="342">
        <f t="shared" si="306"/>
        <v>30</v>
      </c>
      <c r="F880" s="342">
        <f t="shared" si="306"/>
        <v>14</v>
      </c>
      <c r="G880" s="342">
        <f t="shared" si="306"/>
        <v>16</v>
      </c>
      <c r="H880" s="342">
        <f t="shared" si="306"/>
        <v>3</v>
      </c>
      <c r="I880" s="342">
        <f t="shared" si="306"/>
        <v>0</v>
      </c>
      <c r="J880" s="342">
        <f t="shared" si="306"/>
        <v>3</v>
      </c>
      <c r="K880" s="342">
        <f t="shared" si="306"/>
        <v>10</v>
      </c>
      <c r="L880" s="342">
        <f t="shared" si="306"/>
        <v>0</v>
      </c>
      <c r="M880" s="342">
        <f>SUM(M878:M879)</f>
        <v>10</v>
      </c>
      <c r="N880" s="203" t="s">
        <v>12</v>
      </c>
      <c r="O880" s="307"/>
    </row>
    <row r="881" spans="2:15" ht="18.75" customHeight="1" thickBot="1" x14ac:dyDescent="0.25">
      <c r="B881" s="342">
        <f>SUM(C881:D881)</f>
        <v>17</v>
      </c>
      <c r="C881" s="342">
        <f t="shared" si="304"/>
        <v>0</v>
      </c>
      <c r="D881" s="342">
        <f t="shared" si="304"/>
        <v>17</v>
      </c>
      <c r="E881" s="342">
        <f>SUM(F881:G881)</f>
        <v>10</v>
      </c>
      <c r="F881" s="342">
        <v>0</v>
      </c>
      <c r="G881" s="342">
        <v>10</v>
      </c>
      <c r="H881" s="342">
        <f>SUM(I881:J881)</f>
        <v>0</v>
      </c>
      <c r="I881" s="342">
        <v>0</v>
      </c>
      <c r="J881" s="342">
        <v>0</v>
      </c>
      <c r="K881" s="342">
        <f>SUM(L881:M881)</f>
        <v>7</v>
      </c>
      <c r="L881" s="342">
        <v>0</v>
      </c>
      <c r="M881" s="342">
        <v>7</v>
      </c>
      <c r="N881" s="203" t="s">
        <v>146</v>
      </c>
      <c r="O881" s="306"/>
    </row>
    <row r="882" spans="2:15" ht="18.75" customHeight="1" thickBot="1" x14ac:dyDescent="0.25">
      <c r="B882" s="342">
        <f>SUM(C882:D882)</f>
        <v>54</v>
      </c>
      <c r="C882" s="342">
        <f t="shared" si="304"/>
        <v>0</v>
      </c>
      <c r="D882" s="342">
        <f t="shared" si="304"/>
        <v>54</v>
      </c>
      <c r="E882" s="342">
        <f>SUM(F882:G882)</f>
        <v>0</v>
      </c>
      <c r="F882" s="342">
        <v>0</v>
      </c>
      <c r="G882" s="342">
        <v>0</v>
      </c>
      <c r="H882" s="342">
        <f>SUM(I882:J882)</f>
        <v>5</v>
      </c>
      <c r="I882" s="342">
        <v>0</v>
      </c>
      <c r="J882" s="342">
        <v>5</v>
      </c>
      <c r="K882" s="342">
        <f>SUM(L882:M882)</f>
        <v>49</v>
      </c>
      <c r="L882" s="342">
        <v>0</v>
      </c>
      <c r="M882" s="342">
        <v>49</v>
      </c>
      <c r="N882" s="203" t="s">
        <v>145</v>
      </c>
      <c r="O882" s="306" t="s">
        <v>454</v>
      </c>
    </row>
    <row r="883" spans="2:15" ht="18.75" customHeight="1" thickBot="1" x14ac:dyDescent="0.25">
      <c r="B883" s="342">
        <f t="shared" ref="B883:L883" si="307">SUM(B881:B882)</f>
        <v>71</v>
      </c>
      <c r="C883" s="342">
        <f t="shared" si="307"/>
        <v>0</v>
      </c>
      <c r="D883" s="342">
        <f t="shared" si="307"/>
        <v>71</v>
      </c>
      <c r="E883" s="342">
        <f t="shared" si="307"/>
        <v>10</v>
      </c>
      <c r="F883" s="342">
        <f t="shared" si="307"/>
        <v>0</v>
      </c>
      <c r="G883" s="342">
        <f t="shared" si="307"/>
        <v>10</v>
      </c>
      <c r="H883" s="342">
        <f t="shared" si="307"/>
        <v>5</v>
      </c>
      <c r="I883" s="342">
        <f t="shared" si="307"/>
        <v>0</v>
      </c>
      <c r="J883" s="342">
        <f t="shared" si="307"/>
        <v>5</v>
      </c>
      <c r="K883" s="342">
        <f t="shared" si="307"/>
        <v>56</v>
      </c>
      <c r="L883" s="342">
        <f t="shared" si="307"/>
        <v>0</v>
      </c>
      <c r="M883" s="342">
        <f>SUM(M881:M882)</f>
        <v>56</v>
      </c>
      <c r="N883" s="203" t="s">
        <v>12</v>
      </c>
      <c r="O883" s="307"/>
    </row>
    <row r="884" spans="2:15" ht="18.75" customHeight="1" thickBot="1" x14ac:dyDescent="0.25">
      <c r="B884" s="342">
        <f>SUM(C884:D884)</f>
        <v>0</v>
      </c>
      <c r="C884" s="342">
        <f t="shared" si="304"/>
        <v>0</v>
      </c>
      <c r="D884" s="342">
        <f t="shared" si="304"/>
        <v>0</v>
      </c>
      <c r="E884" s="342">
        <f>SUM(F884:G884)</f>
        <v>0</v>
      </c>
      <c r="F884" s="342">
        <v>0</v>
      </c>
      <c r="G884" s="342">
        <v>0</v>
      </c>
      <c r="H884" s="342">
        <f>SUM(I884:J884)</f>
        <v>0</v>
      </c>
      <c r="I884" s="342">
        <v>0</v>
      </c>
      <c r="J884" s="342">
        <v>0</v>
      </c>
      <c r="K884" s="342">
        <f>SUM(L884:M884)</f>
        <v>0</v>
      </c>
      <c r="L884" s="342">
        <v>0</v>
      </c>
      <c r="M884" s="342">
        <v>0</v>
      </c>
      <c r="N884" s="203" t="s">
        <v>146</v>
      </c>
      <c r="O884" s="306"/>
    </row>
    <row r="885" spans="2:15" ht="18.75" customHeight="1" thickBot="1" x14ac:dyDescent="0.25">
      <c r="B885" s="342">
        <f>SUM(C885:D885)</f>
        <v>7</v>
      </c>
      <c r="C885" s="342">
        <f t="shared" si="304"/>
        <v>3</v>
      </c>
      <c r="D885" s="342">
        <f t="shared" si="304"/>
        <v>4</v>
      </c>
      <c r="E885" s="342">
        <f>SUM(F885:G885)</f>
        <v>1</v>
      </c>
      <c r="F885" s="342">
        <v>0</v>
      </c>
      <c r="G885" s="342">
        <v>1</v>
      </c>
      <c r="H885" s="342">
        <f>SUM(I885:J885)</f>
        <v>0</v>
      </c>
      <c r="I885" s="342">
        <v>0</v>
      </c>
      <c r="J885" s="342">
        <v>0</v>
      </c>
      <c r="K885" s="342">
        <f>SUM(L885:M885)</f>
        <v>6</v>
      </c>
      <c r="L885" s="342">
        <v>3</v>
      </c>
      <c r="M885" s="342">
        <v>3</v>
      </c>
      <c r="N885" s="203" t="s">
        <v>145</v>
      </c>
      <c r="O885" s="306" t="s">
        <v>347</v>
      </c>
    </row>
    <row r="886" spans="2:15" ht="18.75" customHeight="1" thickBot="1" x14ac:dyDescent="0.25">
      <c r="B886" s="342">
        <f t="shared" ref="B886:L886" si="308">SUM(B884:B885)</f>
        <v>7</v>
      </c>
      <c r="C886" s="342">
        <f t="shared" si="308"/>
        <v>3</v>
      </c>
      <c r="D886" s="342">
        <f t="shared" si="308"/>
        <v>4</v>
      </c>
      <c r="E886" s="342">
        <f t="shared" si="308"/>
        <v>1</v>
      </c>
      <c r="F886" s="342">
        <f t="shared" si="308"/>
        <v>0</v>
      </c>
      <c r="G886" s="342">
        <f t="shared" si="308"/>
        <v>1</v>
      </c>
      <c r="H886" s="342">
        <f t="shared" si="308"/>
        <v>0</v>
      </c>
      <c r="I886" s="342">
        <f t="shared" si="308"/>
        <v>0</v>
      </c>
      <c r="J886" s="342">
        <f t="shared" si="308"/>
        <v>0</v>
      </c>
      <c r="K886" s="342">
        <f t="shared" si="308"/>
        <v>6</v>
      </c>
      <c r="L886" s="342">
        <f t="shared" si="308"/>
        <v>3</v>
      </c>
      <c r="M886" s="342">
        <f>SUM(M884:M885)</f>
        <v>3</v>
      </c>
      <c r="N886" s="203" t="s">
        <v>12</v>
      </c>
      <c r="O886" s="307"/>
    </row>
    <row r="887" spans="2:15" ht="18.75" customHeight="1" thickBot="1" x14ac:dyDescent="0.25">
      <c r="B887" s="342">
        <f>SUM(C887:D887)</f>
        <v>2</v>
      </c>
      <c r="C887" s="342">
        <f t="shared" si="304"/>
        <v>0</v>
      </c>
      <c r="D887" s="342">
        <f t="shared" si="304"/>
        <v>2</v>
      </c>
      <c r="E887" s="342">
        <f>SUM(F887:G887)</f>
        <v>0</v>
      </c>
      <c r="F887" s="342">
        <v>0</v>
      </c>
      <c r="G887" s="342">
        <v>0</v>
      </c>
      <c r="H887" s="342">
        <f>SUM(I887:J887)</f>
        <v>0</v>
      </c>
      <c r="I887" s="342">
        <v>0</v>
      </c>
      <c r="J887" s="342">
        <v>0</v>
      </c>
      <c r="K887" s="342">
        <f>SUM(L887:M887)</f>
        <v>2</v>
      </c>
      <c r="L887" s="342">
        <v>0</v>
      </c>
      <c r="M887" s="342">
        <v>2</v>
      </c>
      <c r="N887" s="203" t="s">
        <v>146</v>
      </c>
      <c r="O887" s="306"/>
    </row>
    <row r="888" spans="2:15" ht="18.75" customHeight="1" thickBot="1" x14ac:dyDescent="0.25">
      <c r="B888" s="342">
        <f>SUM(C888:D888)</f>
        <v>53</v>
      </c>
      <c r="C888" s="342">
        <f t="shared" si="304"/>
        <v>0</v>
      </c>
      <c r="D888" s="342">
        <f t="shared" si="304"/>
        <v>53</v>
      </c>
      <c r="E888" s="342">
        <f>SUM(F888:G888)</f>
        <v>0</v>
      </c>
      <c r="F888" s="342">
        <v>0</v>
      </c>
      <c r="G888" s="342">
        <v>0</v>
      </c>
      <c r="H888" s="342">
        <f>SUM(I888:J888)</f>
        <v>24</v>
      </c>
      <c r="I888" s="342">
        <v>0</v>
      </c>
      <c r="J888" s="342">
        <v>24</v>
      </c>
      <c r="K888" s="342">
        <f>SUM(L888:M888)</f>
        <v>29</v>
      </c>
      <c r="L888" s="342">
        <v>0</v>
      </c>
      <c r="M888" s="342">
        <v>29</v>
      </c>
      <c r="N888" s="203" t="s">
        <v>145</v>
      </c>
      <c r="O888" s="306" t="s">
        <v>116</v>
      </c>
    </row>
    <row r="889" spans="2:15" ht="18.75" customHeight="1" thickBot="1" x14ac:dyDescent="0.25">
      <c r="B889" s="342">
        <f t="shared" ref="B889:L889" si="309">SUM(B887:B888)</f>
        <v>55</v>
      </c>
      <c r="C889" s="342">
        <f t="shared" si="309"/>
        <v>0</v>
      </c>
      <c r="D889" s="342">
        <f t="shared" si="309"/>
        <v>55</v>
      </c>
      <c r="E889" s="342">
        <f t="shared" si="309"/>
        <v>0</v>
      </c>
      <c r="F889" s="342">
        <f t="shared" si="309"/>
        <v>0</v>
      </c>
      <c r="G889" s="342">
        <f t="shared" si="309"/>
        <v>0</v>
      </c>
      <c r="H889" s="342">
        <f t="shared" si="309"/>
        <v>24</v>
      </c>
      <c r="I889" s="342">
        <f t="shared" si="309"/>
        <v>0</v>
      </c>
      <c r="J889" s="342">
        <f t="shared" si="309"/>
        <v>24</v>
      </c>
      <c r="K889" s="342">
        <f t="shared" si="309"/>
        <v>31</v>
      </c>
      <c r="L889" s="342">
        <f t="shared" si="309"/>
        <v>0</v>
      </c>
      <c r="M889" s="342">
        <f>SUM(M887:M888)</f>
        <v>31</v>
      </c>
      <c r="N889" s="203" t="s">
        <v>12</v>
      </c>
      <c r="O889" s="307"/>
    </row>
    <row r="890" spans="2:15" ht="18.75" customHeight="1" thickBot="1" x14ac:dyDescent="0.25">
      <c r="B890" s="342">
        <f>SUM(C890:D890)</f>
        <v>13</v>
      </c>
      <c r="C890" s="342">
        <f t="shared" si="304"/>
        <v>13</v>
      </c>
      <c r="D890" s="342">
        <f t="shared" si="304"/>
        <v>0</v>
      </c>
      <c r="E890" s="342">
        <f>SUM(F890:G890)</f>
        <v>13</v>
      </c>
      <c r="F890" s="342">
        <v>13</v>
      </c>
      <c r="G890" s="342">
        <v>0</v>
      </c>
      <c r="H890" s="342">
        <f>SUM(I890:J890)</f>
        <v>0</v>
      </c>
      <c r="I890" s="342">
        <v>0</v>
      </c>
      <c r="J890" s="342">
        <v>0</v>
      </c>
      <c r="K890" s="342">
        <f>SUM(L890:M890)</f>
        <v>0</v>
      </c>
      <c r="L890" s="342">
        <v>0</v>
      </c>
      <c r="M890" s="342">
        <v>0</v>
      </c>
      <c r="N890" s="203" t="s">
        <v>146</v>
      </c>
      <c r="O890" s="306"/>
    </row>
    <row r="891" spans="2:15" ht="18.75" customHeight="1" thickBot="1" x14ac:dyDescent="0.25">
      <c r="B891" s="342">
        <f>SUM(C891:D891)</f>
        <v>45</v>
      </c>
      <c r="C891" s="342">
        <f t="shared" si="304"/>
        <v>35</v>
      </c>
      <c r="D891" s="342">
        <f t="shared" si="304"/>
        <v>10</v>
      </c>
      <c r="E891" s="342">
        <f>SUM(F891:G891)</f>
        <v>0</v>
      </c>
      <c r="F891" s="342">
        <v>0</v>
      </c>
      <c r="G891" s="342">
        <v>0</v>
      </c>
      <c r="H891" s="342">
        <f>SUM(I891:J891)</f>
        <v>23</v>
      </c>
      <c r="I891" s="342">
        <v>23</v>
      </c>
      <c r="J891" s="342">
        <v>0</v>
      </c>
      <c r="K891" s="342">
        <f>SUM(L891:M891)</f>
        <v>22</v>
      </c>
      <c r="L891" s="342">
        <v>12</v>
      </c>
      <c r="M891" s="342">
        <v>10</v>
      </c>
      <c r="N891" s="203" t="s">
        <v>145</v>
      </c>
      <c r="O891" s="306" t="s">
        <v>521</v>
      </c>
    </row>
    <row r="892" spans="2:15" ht="18.75" customHeight="1" thickBot="1" x14ac:dyDescent="0.25">
      <c r="B892" s="342">
        <f t="shared" ref="B892:L892" si="310">SUM(B890:B891)</f>
        <v>58</v>
      </c>
      <c r="C892" s="342">
        <f t="shared" si="310"/>
        <v>48</v>
      </c>
      <c r="D892" s="342">
        <f t="shared" si="310"/>
        <v>10</v>
      </c>
      <c r="E892" s="342">
        <f t="shared" si="310"/>
        <v>13</v>
      </c>
      <c r="F892" s="342">
        <f t="shared" si="310"/>
        <v>13</v>
      </c>
      <c r="G892" s="342">
        <f t="shared" si="310"/>
        <v>0</v>
      </c>
      <c r="H892" s="342">
        <f t="shared" si="310"/>
        <v>23</v>
      </c>
      <c r="I892" s="342">
        <f t="shared" si="310"/>
        <v>23</v>
      </c>
      <c r="J892" s="342">
        <f t="shared" si="310"/>
        <v>0</v>
      </c>
      <c r="K892" s="342">
        <f t="shared" si="310"/>
        <v>22</v>
      </c>
      <c r="L892" s="342">
        <f t="shared" si="310"/>
        <v>12</v>
      </c>
      <c r="M892" s="342">
        <f>SUM(M890:M891)</f>
        <v>10</v>
      </c>
      <c r="N892" s="203" t="s">
        <v>12</v>
      </c>
      <c r="O892" s="307"/>
    </row>
    <row r="893" spans="2:15" ht="18.75" customHeight="1" thickBot="1" x14ac:dyDescent="0.25">
      <c r="B893" s="342">
        <f>SUM(C893:D893)</f>
        <v>0</v>
      </c>
      <c r="C893" s="342">
        <f t="shared" si="304"/>
        <v>0</v>
      </c>
      <c r="D893" s="342">
        <f t="shared" si="304"/>
        <v>0</v>
      </c>
      <c r="E893" s="342">
        <f>SUM(F893:G893)</f>
        <v>0</v>
      </c>
      <c r="F893" s="342">
        <v>0</v>
      </c>
      <c r="G893" s="342">
        <v>0</v>
      </c>
      <c r="H893" s="342">
        <f>SUM(I893:J893)</f>
        <v>0</v>
      </c>
      <c r="I893" s="342">
        <v>0</v>
      </c>
      <c r="J893" s="342">
        <v>0</v>
      </c>
      <c r="K893" s="342">
        <f>SUM(L893:M893)</f>
        <v>0</v>
      </c>
      <c r="L893" s="342">
        <v>0</v>
      </c>
      <c r="M893" s="342">
        <v>0</v>
      </c>
      <c r="N893" s="203" t="s">
        <v>146</v>
      </c>
      <c r="O893" s="306"/>
    </row>
    <row r="894" spans="2:15" ht="18.75" customHeight="1" thickBot="1" x14ac:dyDescent="0.25">
      <c r="B894" s="342">
        <f>SUM(C894:D894)</f>
        <v>1</v>
      </c>
      <c r="C894" s="342">
        <f t="shared" si="304"/>
        <v>1</v>
      </c>
      <c r="D894" s="342">
        <f t="shared" si="304"/>
        <v>0</v>
      </c>
      <c r="E894" s="342">
        <f>SUM(F894:G894)</f>
        <v>0</v>
      </c>
      <c r="F894" s="342">
        <v>0</v>
      </c>
      <c r="G894" s="342">
        <v>0</v>
      </c>
      <c r="H894" s="342">
        <f>SUM(I894:J894)</f>
        <v>1</v>
      </c>
      <c r="I894" s="342">
        <v>1</v>
      </c>
      <c r="J894" s="342">
        <v>0</v>
      </c>
      <c r="K894" s="342">
        <f>SUM(L894:M894)</f>
        <v>0</v>
      </c>
      <c r="L894" s="342">
        <v>0</v>
      </c>
      <c r="M894" s="342">
        <v>0</v>
      </c>
      <c r="N894" s="203" t="s">
        <v>145</v>
      </c>
      <c r="O894" s="306" t="s">
        <v>118</v>
      </c>
    </row>
    <row r="895" spans="2:15" ht="18.75" customHeight="1" thickBot="1" x14ac:dyDescent="0.25">
      <c r="B895" s="342">
        <f t="shared" ref="B895:L895" si="311">SUM(B893:B894)</f>
        <v>1</v>
      </c>
      <c r="C895" s="342">
        <f t="shared" si="311"/>
        <v>1</v>
      </c>
      <c r="D895" s="342">
        <f t="shared" si="311"/>
        <v>0</v>
      </c>
      <c r="E895" s="342">
        <f t="shared" si="311"/>
        <v>0</v>
      </c>
      <c r="F895" s="342">
        <f t="shared" si="311"/>
        <v>0</v>
      </c>
      <c r="G895" s="342">
        <f t="shared" si="311"/>
        <v>0</v>
      </c>
      <c r="H895" s="342">
        <f t="shared" si="311"/>
        <v>1</v>
      </c>
      <c r="I895" s="342">
        <f t="shared" si="311"/>
        <v>1</v>
      </c>
      <c r="J895" s="342">
        <f t="shared" si="311"/>
        <v>0</v>
      </c>
      <c r="K895" s="342">
        <f t="shared" si="311"/>
        <v>0</v>
      </c>
      <c r="L895" s="342">
        <f t="shared" si="311"/>
        <v>0</v>
      </c>
      <c r="M895" s="342">
        <f>SUM(M893:M894)</f>
        <v>0</v>
      </c>
      <c r="N895" s="203" t="s">
        <v>12</v>
      </c>
      <c r="O895" s="307"/>
    </row>
    <row r="896" spans="2:15" ht="18.75" customHeight="1" thickBot="1" x14ac:dyDescent="0.25">
      <c r="B896" s="342">
        <f>SUM(C896:D896)</f>
        <v>20</v>
      </c>
      <c r="C896" s="342">
        <f t="shared" si="304"/>
        <v>20</v>
      </c>
      <c r="D896" s="342">
        <f t="shared" si="304"/>
        <v>0</v>
      </c>
      <c r="E896" s="342">
        <f>SUM(F896:G896)</f>
        <v>14</v>
      </c>
      <c r="F896" s="342">
        <v>14</v>
      </c>
      <c r="G896" s="342">
        <v>0</v>
      </c>
      <c r="H896" s="342">
        <f>SUM(I896:J896)</f>
        <v>6</v>
      </c>
      <c r="I896" s="342">
        <v>6</v>
      </c>
      <c r="J896" s="342">
        <v>0</v>
      </c>
      <c r="K896" s="342">
        <f>SUM(L896:M896)</f>
        <v>0</v>
      </c>
      <c r="L896" s="342">
        <v>0</v>
      </c>
      <c r="M896" s="342">
        <v>0</v>
      </c>
      <c r="N896" s="203" t="s">
        <v>146</v>
      </c>
      <c r="O896" s="306"/>
    </row>
    <row r="897" spans="2:15" ht="18.75" customHeight="1" thickBot="1" x14ac:dyDescent="0.25">
      <c r="B897" s="342">
        <f>SUM(C897:D897)</f>
        <v>23</v>
      </c>
      <c r="C897" s="342">
        <f t="shared" si="304"/>
        <v>19</v>
      </c>
      <c r="D897" s="342">
        <f t="shared" si="304"/>
        <v>4</v>
      </c>
      <c r="E897" s="342">
        <f>SUM(F897:G897)</f>
        <v>0</v>
      </c>
      <c r="F897" s="342">
        <v>0</v>
      </c>
      <c r="G897" s="342">
        <v>0</v>
      </c>
      <c r="H897" s="342">
        <f>SUM(I897:J897)</f>
        <v>9</v>
      </c>
      <c r="I897" s="342">
        <v>9</v>
      </c>
      <c r="J897" s="342">
        <v>0</v>
      </c>
      <c r="K897" s="342">
        <f>SUM(L897:M897)</f>
        <v>14</v>
      </c>
      <c r="L897" s="342">
        <v>10</v>
      </c>
      <c r="M897" s="342">
        <v>4</v>
      </c>
      <c r="N897" s="203" t="s">
        <v>145</v>
      </c>
      <c r="O897" s="306" t="s">
        <v>522</v>
      </c>
    </row>
    <row r="898" spans="2:15" ht="18.75" customHeight="1" thickBot="1" x14ac:dyDescent="0.25">
      <c r="B898" s="342">
        <f t="shared" ref="B898:L898" si="312">SUM(B896:B897)</f>
        <v>43</v>
      </c>
      <c r="C898" s="342">
        <f t="shared" si="312"/>
        <v>39</v>
      </c>
      <c r="D898" s="342">
        <f t="shared" si="312"/>
        <v>4</v>
      </c>
      <c r="E898" s="342">
        <f t="shared" si="312"/>
        <v>14</v>
      </c>
      <c r="F898" s="342">
        <f t="shared" si="312"/>
        <v>14</v>
      </c>
      <c r="G898" s="342">
        <f t="shared" si="312"/>
        <v>0</v>
      </c>
      <c r="H898" s="342">
        <f t="shared" si="312"/>
        <v>15</v>
      </c>
      <c r="I898" s="342">
        <f t="shared" si="312"/>
        <v>15</v>
      </c>
      <c r="J898" s="342">
        <f t="shared" si="312"/>
        <v>0</v>
      </c>
      <c r="K898" s="342">
        <f t="shared" si="312"/>
        <v>14</v>
      </c>
      <c r="L898" s="342">
        <f t="shared" si="312"/>
        <v>10</v>
      </c>
      <c r="M898" s="342">
        <f>SUM(M896:M897)</f>
        <v>4</v>
      </c>
      <c r="N898" s="203" t="s">
        <v>12</v>
      </c>
      <c r="O898" s="307"/>
    </row>
    <row r="899" spans="2:15" ht="18.75" customHeight="1" thickBot="1" x14ac:dyDescent="0.25">
      <c r="B899" s="342">
        <f>SUM(C899:D899)</f>
        <v>14</v>
      </c>
      <c r="C899" s="342">
        <f t="shared" si="304"/>
        <v>14</v>
      </c>
      <c r="D899" s="342">
        <f t="shared" si="304"/>
        <v>0</v>
      </c>
      <c r="E899" s="342">
        <f>SUM(F899:G899)</f>
        <v>9</v>
      </c>
      <c r="F899" s="342">
        <v>9</v>
      </c>
      <c r="G899" s="342">
        <v>0</v>
      </c>
      <c r="H899" s="342">
        <f>SUM(I899:J899)</f>
        <v>5</v>
      </c>
      <c r="I899" s="342">
        <v>5</v>
      </c>
      <c r="J899" s="342">
        <v>0</v>
      </c>
      <c r="K899" s="342">
        <f>SUM(L899:M899)</f>
        <v>0</v>
      </c>
      <c r="L899" s="342">
        <v>0</v>
      </c>
      <c r="M899" s="342">
        <v>0</v>
      </c>
      <c r="N899" s="203" t="s">
        <v>146</v>
      </c>
      <c r="O899" s="306"/>
    </row>
    <row r="900" spans="2:15" ht="18.75" customHeight="1" thickBot="1" x14ac:dyDescent="0.25">
      <c r="B900" s="342">
        <f>SUM(C900:D900)</f>
        <v>35</v>
      </c>
      <c r="C900" s="342">
        <f t="shared" si="304"/>
        <v>31</v>
      </c>
      <c r="D900" s="342">
        <f t="shared" si="304"/>
        <v>4</v>
      </c>
      <c r="E900" s="342">
        <f>SUM(F900:G900)</f>
        <v>0</v>
      </c>
      <c r="F900" s="342">
        <v>0</v>
      </c>
      <c r="G900" s="342">
        <v>0</v>
      </c>
      <c r="H900" s="342">
        <f>SUM(I900:J900)</f>
        <v>7</v>
      </c>
      <c r="I900" s="342">
        <v>7</v>
      </c>
      <c r="J900" s="342">
        <v>0</v>
      </c>
      <c r="K900" s="342">
        <f>SUM(L900:M900)</f>
        <v>28</v>
      </c>
      <c r="L900" s="342">
        <v>24</v>
      </c>
      <c r="M900" s="342">
        <v>4</v>
      </c>
      <c r="N900" s="203" t="s">
        <v>145</v>
      </c>
      <c r="O900" s="306" t="s">
        <v>523</v>
      </c>
    </row>
    <row r="901" spans="2:15" ht="18.75" customHeight="1" thickBot="1" x14ac:dyDescent="0.25">
      <c r="B901" s="342">
        <f t="shared" ref="B901:L901" si="313">SUM(B899:B900)</f>
        <v>49</v>
      </c>
      <c r="C901" s="342">
        <f t="shared" si="313"/>
        <v>45</v>
      </c>
      <c r="D901" s="342">
        <f t="shared" si="313"/>
        <v>4</v>
      </c>
      <c r="E901" s="342">
        <f t="shared" si="313"/>
        <v>9</v>
      </c>
      <c r="F901" s="342">
        <f t="shared" si="313"/>
        <v>9</v>
      </c>
      <c r="G901" s="342">
        <f t="shared" si="313"/>
        <v>0</v>
      </c>
      <c r="H901" s="342">
        <f t="shared" si="313"/>
        <v>12</v>
      </c>
      <c r="I901" s="342">
        <f t="shared" si="313"/>
        <v>12</v>
      </c>
      <c r="J901" s="342">
        <f t="shared" si="313"/>
        <v>0</v>
      </c>
      <c r="K901" s="342">
        <f t="shared" si="313"/>
        <v>28</v>
      </c>
      <c r="L901" s="342">
        <f t="shared" si="313"/>
        <v>24</v>
      </c>
      <c r="M901" s="342">
        <f>SUM(M899:M900)</f>
        <v>4</v>
      </c>
      <c r="N901" s="203" t="s">
        <v>12</v>
      </c>
      <c r="O901" s="307"/>
    </row>
    <row r="902" spans="2:15" ht="18.75" customHeight="1" thickBot="1" x14ac:dyDescent="0.25">
      <c r="B902" s="342">
        <f>SUM(C902:D902)</f>
        <v>30</v>
      </c>
      <c r="C902" s="342">
        <f t="shared" si="304"/>
        <v>30</v>
      </c>
      <c r="D902" s="342">
        <f t="shared" si="304"/>
        <v>0</v>
      </c>
      <c r="E902" s="342">
        <f>SUM(F902:G902)</f>
        <v>21</v>
      </c>
      <c r="F902" s="342">
        <v>21</v>
      </c>
      <c r="G902" s="342">
        <v>0</v>
      </c>
      <c r="H902" s="342">
        <f>SUM(I902:J902)</f>
        <v>9</v>
      </c>
      <c r="I902" s="342">
        <v>9</v>
      </c>
      <c r="J902" s="342">
        <v>0</v>
      </c>
      <c r="K902" s="342">
        <f>SUM(L902:M902)</f>
        <v>0</v>
      </c>
      <c r="L902" s="342">
        <v>0</v>
      </c>
      <c r="M902" s="342">
        <v>0</v>
      </c>
      <c r="N902" s="203" t="s">
        <v>146</v>
      </c>
      <c r="O902" s="306"/>
    </row>
    <row r="903" spans="2:15" ht="18.75" customHeight="1" thickBot="1" x14ac:dyDescent="0.25">
      <c r="B903" s="342">
        <f>SUM(C903:D903)</f>
        <v>37</v>
      </c>
      <c r="C903" s="342">
        <f t="shared" si="304"/>
        <v>26</v>
      </c>
      <c r="D903" s="342">
        <f t="shared" si="304"/>
        <v>11</v>
      </c>
      <c r="E903" s="342">
        <f>SUM(F903:G903)</f>
        <v>1</v>
      </c>
      <c r="F903" s="342">
        <v>1</v>
      </c>
      <c r="G903" s="342">
        <v>0</v>
      </c>
      <c r="H903" s="342">
        <f>SUM(I903:J903)</f>
        <v>10</v>
      </c>
      <c r="I903" s="342">
        <v>10</v>
      </c>
      <c r="J903" s="342">
        <v>0</v>
      </c>
      <c r="K903" s="342">
        <f>SUM(L903:M903)</f>
        <v>26</v>
      </c>
      <c r="L903" s="342">
        <v>15</v>
      </c>
      <c r="M903" s="342">
        <v>11</v>
      </c>
      <c r="N903" s="203" t="s">
        <v>145</v>
      </c>
      <c r="O903" s="306" t="s">
        <v>668</v>
      </c>
    </row>
    <row r="904" spans="2:15" ht="18.75" customHeight="1" thickBot="1" x14ac:dyDescent="0.25">
      <c r="B904" s="342">
        <f t="shared" ref="B904:L904" si="314">SUM(B902:B903)</f>
        <v>67</v>
      </c>
      <c r="C904" s="342">
        <f t="shared" si="314"/>
        <v>56</v>
      </c>
      <c r="D904" s="342">
        <f t="shared" si="314"/>
        <v>11</v>
      </c>
      <c r="E904" s="342">
        <f t="shared" si="314"/>
        <v>22</v>
      </c>
      <c r="F904" s="342">
        <f t="shared" si="314"/>
        <v>22</v>
      </c>
      <c r="G904" s="342">
        <f t="shared" si="314"/>
        <v>0</v>
      </c>
      <c r="H904" s="342">
        <f t="shared" si="314"/>
        <v>19</v>
      </c>
      <c r="I904" s="342">
        <f t="shared" si="314"/>
        <v>19</v>
      </c>
      <c r="J904" s="342">
        <f t="shared" si="314"/>
        <v>0</v>
      </c>
      <c r="K904" s="342">
        <f t="shared" si="314"/>
        <v>26</v>
      </c>
      <c r="L904" s="342">
        <f t="shared" si="314"/>
        <v>15</v>
      </c>
      <c r="M904" s="342">
        <f>SUM(M902:M903)</f>
        <v>11</v>
      </c>
      <c r="N904" s="203" t="s">
        <v>12</v>
      </c>
      <c r="O904" s="307"/>
    </row>
    <row r="905" spans="2:15" ht="18.75" customHeight="1" thickBot="1" x14ac:dyDescent="0.25">
      <c r="B905" s="342">
        <f t="shared" ref="B905:M907" si="315">B875+B878+B881+B884+B887+B890+B893+B896+B899+B902</f>
        <v>191</v>
      </c>
      <c r="C905" s="342">
        <f t="shared" si="315"/>
        <v>91</v>
      </c>
      <c r="D905" s="342">
        <f t="shared" si="315"/>
        <v>100</v>
      </c>
      <c r="E905" s="342">
        <f t="shared" si="315"/>
        <v>121</v>
      </c>
      <c r="F905" s="342">
        <f t="shared" si="315"/>
        <v>71</v>
      </c>
      <c r="G905" s="342">
        <f t="shared" si="315"/>
        <v>50</v>
      </c>
      <c r="H905" s="342">
        <f t="shared" si="315"/>
        <v>42</v>
      </c>
      <c r="I905" s="342">
        <f t="shared" si="315"/>
        <v>20</v>
      </c>
      <c r="J905" s="342">
        <f t="shared" si="315"/>
        <v>22</v>
      </c>
      <c r="K905" s="342">
        <f t="shared" si="315"/>
        <v>28</v>
      </c>
      <c r="L905" s="342">
        <f t="shared" si="315"/>
        <v>0</v>
      </c>
      <c r="M905" s="342">
        <f t="shared" si="315"/>
        <v>28</v>
      </c>
      <c r="N905" s="203" t="s">
        <v>146</v>
      </c>
      <c r="O905" s="280"/>
    </row>
    <row r="906" spans="2:15" ht="18.75" customHeight="1" thickBot="1" x14ac:dyDescent="0.25">
      <c r="B906" s="342">
        <f t="shared" si="315"/>
        <v>346</v>
      </c>
      <c r="C906" s="342">
        <f t="shared" si="315"/>
        <v>115</v>
      </c>
      <c r="D906" s="342">
        <f t="shared" si="315"/>
        <v>231</v>
      </c>
      <c r="E906" s="342">
        <f t="shared" si="315"/>
        <v>9</v>
      </c>
      <c r="F906" s="342">
        <f t="shared" si="315"/>
        <v>1</v>
      </c>
      <c r="G906" s="342">
        <f t="shared" si="315"/>
        <v>8</v>
      </c>
      <c r="H906" s="342">
        <f t="shared" si="315"/>
        <v>85</v>
      </c>
      <c r="I906" s="342">
        <f t="shared" si="315"/>
        <v>50</v>
      </c>
      <c r="J906" s="342">
        <f t="shared" si="315"/>
        <v>35</v>
      </c>
      <c r="K906" s="342">
        <f t="shared" si="315"/>
        <v>252</v>
      </c>
      <c r="L906" s="342">
        <f t="shared" si="315"/>
        <v>64</v>
      </c>
      <c r="M906" s="342">
        <f t="shared" si="315"/>
        <v>188</v>
      </c>
      <c r="N906" s="203" t="s">
        <v>145</v>
      </c>
      <c r="O906" s="281" t="s">
        <v>188</v>
      </c>
    </row>
    <row r="907" spans="2:15" ht="18.75" customHeight="1" thickBot="1" x14ac:dyDescent="0.25">
      <c r="B907" s="342">
        <f t="shared" si="315"/>
        <v>537</v>
      </c>
      <c r="C907" s="342">
        <f t="shared" si="315"/>
        <v>206</v>
      </c>
      <c r="D907" s="342">
        <f t="shared" si="315"/>
        <v>331</v>
      </c>
      <c r="E907" s="342">
        <f t="shared" si="315"/>
        <v>130</v>
      </c>
      <c r="F907" s="342">
        <f t="shared" si="315"/>
        <v>72</v>
      </c>
      <c r="G907" s="342">
        <f t="shared" si="315"/>
        <v>58</v>
      </c>
      <c r="H907" s="342">
        <f t="shared" si="315"/>
        <v>127</v>
      </c>
      <c r="I907" s="342">
        <f t="shared" si="315"/>
        <v>70</v>
      </c>
      <c r="J907" s="342">
        <f t="shared" si="315"/>
        <v>57</v>
      </c>
      <c r="K907" s="342">
        <f t="shared" si="315"/>
        <v>280</v>
      </c>
      <c r="L907" s="342">
        <f t="shared" si="315"/>
        <v>64</v>
      </c>
      <c r="M907" s="342">
        <f t="shared" si="315"/>
        <v>216</v>
      </c>
      <c r="N907" s="203" t="s">
        <v>12</v>
      </c>
      <c r="O907" s="282"/>
    </row>
    <row r="908" spans="2:15" ht="18.75" customHeight="1" thickBot="1" x14ac:dyDescent="0.25">
      <c r="B908" s="589"/>
      <c r="C908" s="589"/>
      <c r="D908" s="589"/>
      <c r="E908" s="589"/>
      <c r="F908" s="589"/>
      <c r="G908" s="589"/>
      <c r="H908" s="589"/>
      <c r="I908" s="589"/>
      <c r="J908" s="589"/>
      <c r="K908" s="589"/>
      <c r="L908" s="589"/>
    </row>
    <row r="909" spans="2:15" ht="18.75" customHeight="1" thickBot="1" x14ac:dyDescent="0.25">
      <c r="B909" s="482" t="s">
        <v>4</v>
      </c>
      <c r="C909" s="482"/>
      <c r="D909" s="482"/>
      <c r="E909" s="482" t="s">
        <v>60</v>
      </c>
      <c r="F909" s="482"/>
      <c r="G909" s="482"/>
      <c r="H909" s="482" t="s">
        <v>57</v>
      </c>
      <c r="I909" s="482"/>
      <c r="J909" s="482"/>
      <c r="K909" s="482" t="s">
        <v>56</v>
      </c>
      <c r="L909" s="482"/>
      <c r="M909" s="482"/>
      <c r="N909" s="575" t="s">
        <v>792</v>
      </c>
      <c r="O909" s="304" t="s">
        <v>144</v>
      </c>
    </row>
    <row r="910" spans="2:15" ht="18.75" customHeight="1" thickBot="1" x14ac:dyDescent="0.25">
      <c r="B910" s="203" t="s">
        <v>227</v>
      </c>
      <c r="C910" s="203" t="s">
        <v>10</v>
      </c>
      <c r="D910" s="203" t="s">
        <v>9</v>
      </c>
      <c r="E910" s="203" t="s">
        <v>227</v>
      </c>
      <c r="F910" s="203" t="s">
        <v>10</v>
      </c>
      <c r="G910" s="203" t="s">
        <v>9</v>
      </c>
      <c r="H910" s="203" t="s">
        <v>227</v>
      </c>
      <c r="I910" s="203" t="s">
        <v>10</v>
      </c>
      <c r="J910" s="203" t="s">
        <v>9</v>
      </c>
      <c r="K910" s="203" t="s">
        <v>227</v>
      </c>
      <c r="L910" s="203" t="s">
        <v>10</v>
      </c>
      <c r="M910" s="203" t="s">
        <v>9</v>
      </c>
      <c r="N910" s="481"/>
      <c r="O910" s="282" t="s">
        <v>119</v>
      </c>
    </row>
    <row r="911" spans="2:15" ht="18.75" customHeight="1" thickBot="1" x14ac:dyDescent="0.25">
      <c r="B911" s="342">
        <f>SUM(C911:D911)</f>
        <v>20</v>
      </c>
      <c r="C911" s="342">
        <f>L911+I911+F911</f>
        <v>19</v>
      </c>
      <c r="D911" s="342">
        <f>M911+J911+G911</f>
        <v>1</v>
      </c>
      <c r="E911" s="342">
        <f>SUM(F911:G911)</f>
        <v>19</v>
      </c>
      <c r="F911" s="342">
        <v>18</v>
      </c>
      <c r="G911" s="342">
        <v>1</v>
      </c>
      <c r="H911" s="342">
        <f>SUM(I911:J911)</f>
        <v>0</v>
      </c>
      <c r="I911" s="342">
        <v>0</v>
      </c>
      <c r="J911" s="342">
        <v>0</v>
      </c>
      <c r="K911" s="342">
        <f>SUM(L911:M911)</f>
        <v>1</v>
      </c>
      <c r="L911" s="342">
        <v>1</v>
      </c>
      <c r="M911" s="342">
        <v>0</v>
      </c>
      <c r="N911" s="203" t="s">
        <v>146</v>
      </c>
      <c r="O911" s="306"/>
    </row>
    <row r="912" spans="2:15" ht="18.75" customHeight="1" thickBot="1" x14ac:dyDescent="0.25">
      <c r="B912" s="342">
        <f>SUM(C912:D912)</f>
        <v>50</v>
      </c>
      <c r="C912" s="342">
        <f t="shared" ref="C912:D921" si="316">L912+I912+F912</f>
        <v>29</v>
      </c>
      <c r="D912" s="342">
        <f t="shared" si="316"/>
        <v>21</v>
      </c>
      <c r="E912" s="342">
        <f>SUM(F912:G912)</f>
        <v>0</v>
      </c>
      <c r="F912" s="342">
        <v>0</v>
      </c>
      <c r="G912" s="342">
        <v>0</v>
      </c>
      <c r="H912" s="342">
        <f>SUM(I912:J912)</f>
        <v>14</v>
      </c>
      <c r="I912" s="342">
        <v>14</v>
      </c>
      <c r="J912" s="342">
        <v>0</v>
      </c>
      <c r="K912" s="342">
        <f>SUM(L912:M912)</f>
        <v>36</v>
      </c>
      <c r="L912" s="342">
        <v>15</v>
      </c>
      <c r="M912" s="342">
        <v>21</v>
      </c>
      <c r="N912" s="203" t="s">
        <v>145</v>
      </c>
      <c r="O912" s="306" t="s">
        <v>525</v>
      </c>
    </row>
    <row r="913" spans="2:15" ht="18.75" customHeight="1" thickBot="1" x14ac:dyDescent="0.25">
      <c r="B913" s="342">
        <f t="shared" ref="B913:L913" si="317">SUM(B911:B912)</f>
        <v>70</v>
      </c>
      <c r="C913" s="342">
        <f t="shared" si="317"/>
        <v>48</v>
      </c>
      <c r="D913" s="342">
        <f t="shared" si="317"/>
        <v>22</v>
      </c>
      <c r="E913" s="342">
        <f t="shared" si="317"/>
        <v>19</v>
      </c>
      <c r="F913" s="342">
        <f t="shared" si="317"/>
        <v>18</v>
      </c>
      <c r="G913" s="342">
        <f t="shared" si="317"/>
        <v>1</v>
      </c>
      <c r="H913" s="342">
        <f t="shared" si="317"/>
        <v>14</v>
      </c>
      <c r="I913" s="342">
        <f t="shared" si="317"/>
        <v>14</v>
      </c>
      <c r="J913" s="342">
        <f t="shared" si="317"/>
        <v>0</v>
      </c>
      <c r="K913" s="342">
        <f t="shared" si="317"/>
        <v>37</v>
      </c>
      <c r="L913" s="342">
        <f t="shared" si="317"/>
        <v>16</v>
      </c>
      <c r="M913" s="342">
        <f>SUM(M911:M912)</f>
        <v>21</v>
      </c>
      <c r="N913" s="203" t="s">
        <v>12</v>
      </c>
      <c r="O913" s="307"/>
    </row>
    <row r="914" spans="2:15" ht="18.75" customHeight="1" thickBot="1" x14ac:dyDescent="0.25">
      <c r="B914" s="342">
        <f>SUM(C914:D914)</f>
        <v>67</v>
      </c>
      <c r="C914" s="342">
        <f t="shared" si="316"/>
        <v>67</v>
      </c>
      <c r="D914" s="342">
        <f t="shared" si="316"/>
        <v>0</v>
      </c>
      <c r="E914" s="342">
        <f>SUM(F914:G914)</f>
        <v>67</v>
      </c>
      <c r="F914" s="342">
        <v>67</v>
      </c>
      <c r="G914" s="342">
        <v>0</v>
      </c>
      <c r="H914" s="342">
        <f>SUM(I914:J914)</f>
        <v>0</v>
      </c>
      <c r="I914" s="342">
        <v>0</v>
      </c>
      <c r="J914" s="342">
        <v>0</v>
      </c>
      <c r="K914" s="342">
        <f>SUM(L914:M914)</f>
        <v>0</v>
      </c>
      <c r="L914" s="342">
        <v>0</v>
      </c>
      <c r="M914" s="342">
        <v>0</v>
      </c>
      <c r="N914" s="203" t="s">
        <v>146</v>
      </c>
      <c r="O914" s="306"/>
    </row>
    <row r="915" spans="2:15" ht="18.75" customHeight="1" thickBot="1" x14ac:dyDescent="0.25">
      <c r="B915" s="342">
        <f>SUM(C915:D915)</f>
        <v>58</v>
      </c>
      <c r="C915" s="342">
        <f t="shared" si="316"/>
        <v>15</v>
      </c>
      <c r="D915" s="342">
        <f t="shared" si="316"/>
        <v>43</v>
      </c>
      <c r="E915" s="342">
        <f>SUM(F915:G915)</f>
        <v>0</v>
      </c>
      <c r="F915" s="342">
        <v>0</v>
      </c>
      <c r="G915" s="342">
        <v>0</v>
      </c>
      <c r="H915" s="342">
        <f>SUM(I915:J915)</f>
        <v>43</v>
      </c>
      <c r="I915" s="342">
        <v>13</v>
      </c>
      <c r="J915" s="342">
        <v>30</v>
      </c>
      <c r="K915" s="342">
        <f>SUM(L915:M915)</f>
        <v>15</v>
      </c>
      <c r="L915" s="342">
        <v>2</v>
      </c>
      <c r="M915" s="342">
        <v>13</v>
      </c>
      <c r="N915" s="203" t="s">
        <v>145</v>
      </c>
      <c r="O915" s="306" t="s">
        <v>526</v>
      </c>
    </row>
    <row r="916" spans="2:15" ht="18.75" customHeight="1" thickBot="1" x14ac:dyDescent="0.25">
      <c r="B916" s="342">
        <f t="shared" ref="B916:L916" si="318">SUM(B914:B915)</f>
        <v>125</v>
      </c>
      <c r="C916" s="342">
        <f t="shared" si="318"/>
        <v>82</v>
      </c>
      <c r="D916" s="342">
        <f t="shared" si="318"/>
        <v>43</v>
      </c>
      <c r="E916" s="342">
        <f t="shared" si="318"/>
        <v>67</v>
      </c>
      <c r="F916" s="342">
        <f t="shared" si="318"/>
        <v>67</v>
      </c>
      <c r="G916" s="342">
        <f t="shared" si="318"/>
        <v>0</v>
      </c>
      <c r="H916" s="342">
        <f t="shared" si="318"/>
        <v>43</v>
      </c>
      <c r="I916" s="342">
        <f t="shared" si="318"/>
        <v>13</v>
      </c>
      <c r="J916" s="342">
        <f t="shared" si="318"/>
        <v>30</v>
      </c>
      <c r="K916" s="342">
        <f t="shared" si="318"/>
        <v>15</v>
      </c>
      <c r="L916" s="342">
        <f t="shared" si="318"/>
        <v>2</v>
      </c>
      <c r="M916" s="342">
        <f>SUM(M914:M915)</f>
        <v>13</v>
      </c>
      <c r="N916" s="203" t="s">
        <v>12</v>
      </c>
      <c r="O916" s="307"/>
    </row>
    <row r="917" spans="2:15" ht="18.75" customHeight="1" thickBot="1" x14ac:dyDescent="0.25">
      <c r="B917" s="342">
        <f>SUM(C917:D917)</f>
        <v>10</v>
      </c>
      <c r="C917" s="342">
        <f t="shared" si="316"/>
        <v>10</v>
      </c>
      <c r="D917" s="342">
        <f t="shared" si="316"/>
        <v>0</v>
      </c>
      <c r="E917" s="342">
        <f>SUM(F917:G917)</f>
        <v>10</v>
      </c>
      <c r="F917" s="342">
        <v>10</v>
      </c>
      <c r="G917" s="342">
        <v>0</v>
      </c>
      <c r="H917" s="342">
        <f>SUM(I917:J917)</f>
        <v>0</v>
      </c>
      <c r="I917" s="342">
        <v>0</v>
      </c>
      <c r="J917" s="342">
        <v>0</v>
      </c>
      <c r="K917" s="342">
        <f>SUM(L917:M917)</f>
        <v>0</v>
      </c>
      <c r="L917" s="342">
        <v>0</v>
      </c>
      <c r="M917" s="342">
        <v>0</v>
      </c>
      <c r="N917" s="203" t="s">
        <v>146</v>
      </c>
      <c r="O917" s="306"/>
    </row>
    <row r="918" spans="2:15" ht="18.75" customHeight="1" thickBot="1" x14ac:dyDescent="0.25">
      <c r="B918" s="342">
        <f>SUM(C918:D918)</f>
        <v>14</v>
      </c>
      <c r="C918" s="342">
        <f t="shared" si="316"/>
        <v>8</v>
      </c>
      <c r="D918" s="342">
        <f t="shared" si="316"/>
        <v>6</v>
      </c>
      <c r="E918" s="342">
        <f>SUM(F918:G918)</f>
        <v>4</v>
      </c>
      <c r="F918" s="342">
        <v>4</v>
      </c>
      <c r="G918" s="342">
        <v>0</v>
      </c>
      <c r="H918" s="342">
        <f>SUM(I918:J918)</f>
        <v>10</v>
      </c>
      <c r="I918" s="342">
        <v>4</v>
      </c>
      <c r="J918" s="342">
        <v>6</v>
      </c>
      <c r="K918" s="342">
        <f>SUM(L918:M918)</f>
        <v>0</v>
      </c>
      <c r="L918" s="342">
        <v>0</v>
      </c>
      <c r="M918" s="342">
        <v>0</v>
      </c>
      <c r="N918" s="203" t="s">
        <v>145</v>
      </c>
      <c r="O918" s="306" t="s">
        <v>208</v>
      </c>
    </row>
    <row r="919" spans="2:15" ht="18.75" customHeight="1" thickBot="1" x14ac:dyDescent="0.25">
      <c r="B919" s="342">
        <f t="shared" ref="B919:L919" si="319">SUM(B917:B918)</f>
        <v>24</v>
      </c>
      <c r="C919" s="342">
        <f t="shared" si="319"/>
        <v>18</v>
      </c>
      <c r="D919" s="342">
        <f t="shared" si="319"/>
        <v>6</v>
      </c>
      <c r="E919" s="342">
        <f t="shared" si="319"/>
        <v>14</v>
      </c>
      <c r="F919" s="342">
        <f t="shared" si="319"/>
        <v>14</v>
      </c>
      <c r="G919" s="342">
        <f t="shared" si="319"/>
        <v>0</v>
      </c>
      <c r="H919" s="342">
        <f t="shared" si="319"/>
        <v>10</v>
      </c>
      <c r="I919" s="342">
        <f t="shared" si="319"/>
        <v>4</v>
      </c>
      <c r="J919" s="342">
        <f t="shared" si="319"/>
        <v>6</v>
      </c>
      <c r="K919" s="342">
        <f t="shared" si="319"/>
        <v>0</v>
      </c>
      <c r="L919" s="342">
        <f t="shared" si="319"/>
        <v>0</v>
      </c>
      <c r="M919" s="342">
        <f>SUM(M917:M918)</f>
        <v>0</v>
      </c>
      <c r="N919" s="203" t="s">
        <v>12</v>
      </c>
      <c r="O919" s="307"/>
    </row>
    <row r="920" spans="2:15" ht="18.75" customHeight="1" thickBot="1" x14ac:dyDescent="0.25">
      <c r="B920" s="342">
        <f>SUM(C920:D920)</f>
        <v>152</v>
      </c>
      <c r="C920" s="342">
        <f t="shared" si="316"/>
        <v>0</v>
      </c>
      <c r="D920" s="342">
        <f t="shared" si="316"/>
        <v>152</v>
      </c>
      <c r="E920" s="342">
        <f>SUM(F920:G920)</f>
        <v>134</v>
      </c>
      <c r="F920" s="342">
        <v>0</v>
      </c>
      <c r="G920" s="342">
        <v>134</v>
      </c>
      <c r="H920" s="342">
        <f>SUM(I920:J920)</f>
        <v>3</v>
      </c>
      <c r="I920" s="342">
        <v>0</v>
      </c>
      <c r="J920" s="342">
        <v>3</v>
      </c>
      <c r="K920" s="342">
        <f>SUM(L920:M920)</f>
        <v>15</v>
      </c>
      <c r="L920" s="342">
        <v>0</v>
      </c>
      <c r="M920" s="342">
        <v>15</v>
      </c>
      <c r="N920" s="203" t="s">
        <v>146</v>
      </c>
      <c r="O920" s="306"/>
    </row>
    <row r="921" spans="2:15" ht="18.75" customHeight="1" thickBot="1" x14ac:dyDescent="0.25">
      <c r="B921" s="342">
        <f>SUM(C921:D921)</f>
        <v>86</v>
      </c>
      <c r="C921" s="342">
        <f t="shared" si="316"/>
        <v>0</v>
      </c>
      <c r="D921" s="342">
        <f t="shared" si="316"/>
        <v>86</v>
      </c>
      <c r="E921" s="342">
        <f>SUM(F921:G921)</f>
        <v>0</v>
      </c>
      <c r="F921" s="342">
        <v>0</v>
      </c>
      <c r="G921" s="342">
        <v>0</v>
      </c>
      <c r="H921" s="342">
        <f>SUM(I921:J921)</f>
        <v>55</v>
      </c>
      <c r="I921" s="342">
        <v>0</v>
      </c>
      <c r="J921" s="342">
        <v>55</v>
      </c>
      <c r="K921" s="342">
        <f>SUM(L921:M921)</f>
        <v>31</v>
      </c>
      <c r="L921" s="342">
        <v>0</v>
      </c>
      <c r="M921" s="342">
        <v>31</v>
      </c>
      <c r="N921" s="203" t="s">
        <v>145</v>
      </c>
      <c r="O921" s="306" t="s">
        <v>209</v>
      </c>
    </row>
    <row r="922" spans="2:15" ht="18.75" customHeight="1" thickBot="1" x14ac:dyDescent="0.25">
      <c r="B922" s="342">
        <f t="shared" ref="B922:L922" si="320">SUM(B920:B921)</f>
        <v>238</v>
      </c>
      <c r="C922" s="342">
        <f t="shared" si="320"/>
        <v>0</v>
      </c>
      <c r="D922" s="342">
        <f t="shared" si="320"/>
        <v>238</v>
      </c>
      <c r="E922" s="342">
        <f t="shared" si="320"/>
        <v>134</v>
      </c>
      <c r="F922" s="342">
        <f t="shared" si="320"/>
        <v>0</v>
      </c>
      <c r="G922" s="342">
        <f t="shared" si="320"/>
        <v>134</v>
      </c>
      <c r="H922" s="342">
        <f t="shared" si="320"/>
        <v>58</v>
      </c>
      <c r="I922" s="342">
        <f t="shared" si="320"/>
        <v>0</v>
      </c>
      <c r="J922" s="342">
        <f t="shared" si="320"/>
        <v>58</v>
      </c>
      <c r="K922" s="342">
        <f t="shared" si="320"/>
        <v>46</v>
      </c>
      <c r="L922" s="342">
        <f t="shared" si="320"/>
        <v>0</v>
      </c>
      <c r="M922" s="342">
        <f>SUM(M920:M921)</f>
        <v>46</v>
      </c>
      <c r="N922" s="203" t="s">
        <v>12</v>
      </c>
      <c r="O922" s="307"/>
    </row>
    <row r="923" spans="2:15" ht="18.75" customHeight="1" thickBot="1" x14ac:dyDescent="0.25">
      <c r="B923" s="342">
        <f t="shared" ref="B923:M925" si="321">B911+B914+B917+B920</f>
        <v>249</v>
      </c>
      <c r="C923" s="342">
        <f t="shared" si="321"/>
        <v>96</v>
      </c>
      <c r="D923" s="342">
        <f t="shared" si="321"/>
        <v>153</v>
      </c>
      <c r="E923" s="342">
        <f t="shared" si="321"/>
        <v>230</v>
      </c>
      <c r="F923" s="342">
        <f t="shared" si="321"/>
        <v>95</v>
      </c>
      <c r="G923" s="342">
        <f t="shared" si="321"/>
        <v>135</v>
      </c>
      <c r="H923" s="342">
        <f t="shared" si="321"/>
        <v>3</v>
      </c>
      <c r="I923" s="342">
        <f t="shared" si="321"/>
        <v>0</v>
      </c>
      <c r="J923" s="342">
        <f t="shared" si="321"/>
        <v>3</v>
      </c>
      <c r="K923" s="342">
        <f t="shared" si="321"/>
        <v>16</v>
      </c>
      <c r="L923" s="342">
        <f t="shared" si="321"/>
        <v>1</v>
      </c>
      <c r="M923" s="342">
        <f t="shared" si="321"/>
        <v>15</v>
      </c>
      <c r="N923" s="203" t="s">
        <v>146</v>
      </c>
      <c r="O923" s="280"/>
    </row>
    <row r="924" spans="2:15" ht="18.75" customHeight="1" thickBot="1" x14ac:dyDescent="0.25">
      <c r="B924" s="342">
        <f t="shared" si="321"/>
        <v>208</v>
      </c>
      <c r="C924" s="342">
        <f t="shared" si="321"/>
        <v>52</v>
      </c>
      <c r="D924" s="342">
        <f t="shared" si="321"/>
        <v>156</v>
      </c>
      <c r="E924" s="342">
        <f t="shared" si="321"/>
        <v>4</v>
      </c>
      <c r="F924" s="342">
        <f t="shared" si="321"/>
        <v>4</v>
      </c>
      <c r="G924" s="342">
        <f t="shared" si="321"/>
        <v>0</v>
      </c>
      <c r="H924" s="342">
        <f t="shared" si="321"/>
        <v>122</v>
      </c>
      <c r="I924" s="342">
        <f t="shared" si="321"/>
        <v>31</v>
      </c>
      <c r="J924" s="342">
        <f t="shared" si="321"/>
        <v>91</v>
      </c>
      <c r="K924" s="342">
        <f t="shared" si="321"/>
        <v>82</v>
      </c>
      <c r="L924" s="342">
        <f t="shared" si="321"/>
        <v>17</v>
      </c>
      <c r="M924" s="342">
        <f t="shared" si="321"/>
        <v>65</v>
      </c>
      <c r="N924" s="203" t="s">
        <v>145</v>
      </c>
      <c r="O924" s="281" t="s">
        <v>188</v>
      </c>
    </row>
    <row r="925" spans="2:15" ht="18.75" customHeight="1" thickBot="1" x14ac:dyDescent="0.25">
      <c r="B925" s="342">
        <f t="shared" si="321"/>
        <v>457</v>
      </c>
      <c r="C925" s="342">
        <f t="shared" si="321"/>
        <v>148</v>
      </c>
      <c r="D925" s="342">
        <f t="shared" si="321"/>
        <v>309</v>
      </c>
      <c r="E925" s="342">
        <f t="shared" si="321"/>
        <v>234</v>
      </c>
      <c r="F925" s="342">
        <f t="shared" si="321"/>
        <v>99</v>
      </c>
      <c r="G925" s="342">
        <f t="shared" si="321"/>
        <v>135</v>
      </c>
      <c r="H925" s="342">
        <f t="shared" si="321"/>
        <v>125</v>
      </c>
      <c r="I925" s="342">
        <f t="shared" si="321"/>
        <v>31</v>
      </c>
      <c r="J925" s="342">
        <f t="shared" si="321"/>
        <v>94</v>
      </c>
      <c r="K925" s="342">
        <f t="shared" si="321"/>
        <v>98</v>
      </c>
      <c r="L925" s="342">
        <f t="shared" si="321"/>
        <v>18</v>
      </c>
      <c r="M925" s="342">
        <f t="shared" si="321"/>
        <v>80</v>
      </c>
      <c r="N925" s="203" t="s">
        <v>12</v>
      </c>
      <c r="O925" s="282"/>
    </row>
    <row r="926" spans="2:15" ht="18.75" customHeight="1" thickBot="1" x14ac:dyDescent="0.25">
      <c r="B926" s="589"/>
      <c r="C926" s="589"/>
      <c r="D926" s="589"/>
      <c r="E926" s="589"/>
      <c r="F926" s="589"/>
      <c r="G926" s="589"/>
      <c r="H926" s="589"/>
      <c r="I926" s="589"/>
      <c r="J926" s="589"/>
      <c r="K926" s="589"/>
      <c r="L926" s="589"/>
    </row>
    <row r="927" spans="2:15" ht="18.75" customHeight="1" thickBot="1" x14ac:dyDescent="0.25">
      <c r="B927" s="482" t="s">
        <v>4</v>
      </c>
      <c r="C927" s="482"/>
      <c r="D927" s="482"/>
      <c r="E927" s="482" t="s">
        <v>60</v>
      </c>
      <c r="F927" s="482"/>
      <c r="G927" s="482"/>
      <c r="H927" s="482" t="s">
        <v>57</v>
      </c>
      <c r="I927" s="482"/>
      <c r="J927" s="482"/>
      <c r="K927" s="482" t="s">
        <v>56</v>
      </c>
      <c r="L927" s="482"/>
      <c r="M927" s="482"/>
      <c r="N927" s="575" t="s">
        <v>792</v>
      </c>
      <c r="O927" s="304" t="s">
        <v>144</v>
      </c>
    </row>
    <row r="928" spans="2:15" ht="18.75" customHeight="1" thickBot="1" x14ac:dyDescent="0.25">
      <c r="B928" s="203" t="s">
        <v>227</v>
      </c>
      <c r="C928" s="203" t="s">
        <v>10</v>
      </c>
      <c r="D928" s="203" t="s">
        <v>9</v>
      </c>
      <c r="E928" s="203" t="s">
        <v>227</v>
      </c>
      <c r="F928" s="203" t="s">
        <v>10</v>
      </c>
      <c r="G928" s="203" t="s">
        <v>9</v>
      </c>
      <c r="H928" s="203" t="s">
        <v>227</v>
      </c>
      <c r="I928" s="203" t="s">
        <v>10</v>
      </c>
      <c r="J928" s="203" t="s">
        <v>9</v>
      </c>
      <c r="K928" s="203" t="s">
        <v>227</v>
      </c>
      <c r="L928" s="203" t="s">
        <v>10</v>
      </c>
      <c r="M928" s="203" t="s">
        <v>9</v>
      </c>
      <c r="N928" s="481"/>
      <c r="O928" s="282" t="s">
        <v>121</v>
      </c>
    </row>
    <row r="929" spans="2:15" ht="18.75" customHeight="1" thickBot="1" x14ac:dyDescent="0.25">
      <c r="B929" s="342">
        <f>SUM(C929:D929)</f>
        <v>166</v>
      </c>
      <c r="C929" s="342">
        <f>L929+I929+F929</f>
        <v>166</v>
      </c>
      <c r="D929" s="342">
        <f>M929+J929+G929</f>
        <v>0</v>
      </c>
      <c r="E929" s="342">
        <f>SUM(F929:G929)</f>
        <v>7</v>
      </c>
      <c r="F929" s="342">
        <v>7</v>
      </c>
      <c r="G929" s="342">
        <v>0</v>
      </c>
      <c r="H929" s="342">
        <f>SUM(I929:J929)</f>
        <v>66</v>
      </c>
      <c r="I929" s="342">
        <v>66</v>
      </c>
      <c r="J929" s="342">
        <v>0</v>
      </c>
      <c r="K929" s="342">
        <f>SUM(L929:M929)</f>
        <v>93</v>
      </c>
      <c r="L929" s="342">
        <v>93</v>
      </c>
      <c r="M929" s="342">
        <v>0</v>
      </c>
      <c r="N929" s="203" t="s">
        <v>146</v>
      </c>
      <c r="O929" s="306"/>
    </row>
    <row r="930" spans="2:15" ht="18.75" customHeight="1" thickBot="1" x14ac:dyDescent="0.25">
      <c r="B930" s="342">
        <f>SUM(C930:D930)</f>
        <v>7</v>
      </c>
      <c r="C930" s="342">
        <f t="shared" ref="C930:D993" si="322">L930+I930+F930</f>
        <v>2</v>
      </c>
      <c r="D930" s="342">
        <f t="shared" si="322"/>
        <v>5</v>
      </c>
      <c r="E930" s="342">
        <f>SUM(F930:G930)</f>
        <v>0</v>
      </c>
      <c r="F930" s="342">
        <v>0</v>
      </c>
      <c r="G930" s="342">
        <v>0</v>
      </c>
      <c r="H930" s="342">
        <f>SUM(I930:J930)</f>
        <v>0</v>
      </c>
      <c r="I930" s="342">
        <v>0</v>
      </c>
      <c r="J930" s="342">
        <v>0</v>
      </c>
      <c r="K930" s="342">
        <f>SUM(L930:M930)</f>
        <v>7</v>
      </c>
      <c r="L930" s="342">
        <v>2</v>
      </c>
      <c r="M930" s="342">
        <v>5</v>
      </c>
      <c r="N930" s="203" t="s">
        <v>145</v>
      </c>
      <c r="O930" s="306" t="s">
        <v>529</v>
      </c>
    </row>
    <row r="931" spans="2:15" ht="18.75" customHeight="1" thickBot="1" x14ac:dyDescent="0.25">
      <c r="B931" s="342">
        <f t="shared" ref="B931:L931" si="323">SUM(B929:B930)</f>
        <v>173</v>
      </c>
      <c r="C931" s="342">
        <f t="shared" si="323"/>
        <v>168</v>
      </c>
      <c r="D931" s="342">
        <f t="shared" si="323"/>
        <v>5</v>
      </c>
      <c r="E931" s="342">
        <f t="shared" si="323"/>
        <v>7</v>
      </c>
      <c r="F931" s="342">
        <f t="shared" si="323"/>
        <v>7</v>
      </c>
      <c r="G931" s="342">
        <f t="shared" si="323"/>
        <v>0</v>
      </c>
      <c r="H931" s="342">
        <f t="shared" si="323"/>
        <v>66</v>
      </c>
      <c r="I931" s="342">
        <f t="shared" si="323"/>
        <v>66</v>
      </c>
      <c r="J931" s="342">
        <f t="shared" si="323"/>
        <v>0</v>
      </c>
      <c r="K931" s="342">
        <f t="shared" si="323"/>
        <v>100</v>
      </c>
      <c r="L931" s="342">
        <f t="shared" si="323"/>
        <v>95</v>
      </c>
      <c r="M931" s="342">
        <f>SUM(M929:M930)</f>
        <v>5</v>
      </c>
      <c r="N931" s="203" t="s">
        <v>12</v>
      </c>
      <c r="O931" s="307"/>
    </row>
    <row r="932" spans="2:15" ht="18.75" customHeight="1" thickBot="1" x14ac:dyDescent="0.25">
      <c r="B932" s="342">
        <f>SUM(C932:D932)</f>
        <v>243</v>
      </c>
      <c r="C932" s="342">
        <f t="shared" si="322"/>
        <v>243</v>
      </c>
      <c r="D932" s="342">
        <f t="shared" si="322"/>
        <v>0</v>
      </c>
      <c r="E932" s="342">
        <f>SUM(F932:G932)</f>
        <v>9</v>
      </c>
      <c r="F932" s="342">
        <v>9</v>
      </c>
      <c r="G932" s="342">
        <v>0</v>
      </c>
      <c r="H932" s="342">
        <f>SUM(I932:J932)</f>
        <v>89</v>
      </c>
      <c r="I932" s="342">
        <v>89</v>
      </c>
      <c r="J932" s="342">
        <v>0</v>
      </c>
      <c r="K932" s="342">
        <f>SUM(L932:M932)</f>
        <v>145</v>
      </c>
      <c r="L932" s="342">
        <v>145</v>
      </c>
      <c r="M932" s="342">
        <v>0</v>
      </c>
      <c r="N932" s="203" t="s">
        <v>146</v>
      </c>
      <c r="O932" s="306"/>
    </row>
    <row r="933" spans="2:15" ht="18.75" customHeight="1" thickBot="1" x14ac:dyDescent="0.25">
      <c r="B933" s="342">
        <f>SUM(C933:D933)</f>
        <v>2</v>
      </c>
      <c r="C933" s="342">
        <f t="shared" si="322"/>
        <v>0</v>
      </c>
      <c r="D933" s="342">
        <f t="shared" si="322"/>
        <v>2</v>
      </c>
      <c r="E933" s="342">
        <f>SUM(F933:G933)</f>
        <v>0</v>
      </c>
      <c r="F933" s="342">
        <v>0</v>
      </c>
      <c r="G933" s="342">
        <v>0</v>
      </c>
      <c r="H933" s="342">
        <f>SUM(I933:J933)</f>
        <v>0</v>
      </c>
      <c r="I933" s="342">
        <v>0</v>
      </c>
      <c r="J933" s="342">
        <v>0</v>
      </c>
      <c r="K933" s="342">
        <f>SUM(L933:M933)</f>
        <v>2</v>
      </c>
      <c r="L933" s="342">
        <v>0</v>
      </c>
      <c r="M933" s="342">
        <v>2</v>
      </c>
      <c r="N933" s="203" t="s">
        <v>145</v>
      </c>
      <c r="O933" s="306" t="s">
        <v>530</v>
      </c>
    </row>
    <row r="934" spans="2:15" ht="18.75" customHeight="1" thickBot="1" x14ac:dyDescent="0.25">
      <c r="B934" s="342">
        <f t="shared" ref="B934:L934" si="324">SUM(B932:B933)</f>
        <v>245</v>
      </c>
      <c r="C934" s="342">
        <f t="shared" si="324"/>
        <v>243</v>
      </c>
      <c r="D934" s="342">
        <f t="shared" si="324"/>
        <v>2</v>
      </c>
      <c r="E934" s="342">
        <f t="shared" si="324"/>
        <v>9</v>
      </c>
      <c r="F934" s="342">
        <f t="shared" si="324"/>
        <v>9</v>
      </c>
      <c r="G934" s="342">
        <f t="shared" si="324"/>
        <v>0</v>
      </c>
      <c r="H934" s="342">
        <f t="shared" si="324"/>
        <v>89</v>
      </c>
      <c r="I934" s="342">
        <f t="shared" si="324"/>
        <v>89</v>
      </c>
      <c r="J934" s="342">
        <f t="shared" si="324"/>
        <v>0</v>
      </c>
      <c r="K934" s="342">
        <f t="shared" si="324"/>
        <v>147</v>
      </c>
      <c r="L934" s="342">
        <f t="shared" si="324"/>
        <v>145</v>
      </c>
      <c r="M934" s="342">
        <f>SUM(M932:M933)</f>
        <v>2</v>
      </c>
      <c r="N934" s="203" t="s">
        <v>12</v>
      </c>
      <c r="O934" s="307"/>
    </row>
    <row r="935" spans="2:15" ht="18.75" customHeight="1" thickBot="1" x14ac:dyDescent="0.25">
      <c r="B935" s="342">
        <f>SUM(C935:D935)</f>
        <v>78</v>
      </c>
      <c r="C935" s="342">
        <f t="shared" si="322"/>
        <v>78</v>
      </c>
      <c r="D935" s="342">
        <f t="shared" si="322"/>
        <v>0</v>
      </c>
      <c r="E935" s="342">
        <f>SUM(F935:G935)</f>
        <v>14</v>
      </c>
      <c r="F935" s="342">
        <v>14</v>
      </c>
      <c r="G935" s="342">
        <v>0</v>
      </c>
      <c r="H935" s="342">
        <f>SUM(I935:J935)</f>
        <v>34</v>
      </c>
      <c r="I935" s="342">
        <v>34</v>
      </c>
      <c r="J935" s="342">
        <v>0</v>
      </c>
      <c r="K935" s="342">
        <f>SUM(L935:M935)</f>
        <v>30</v>
      </c>
      <c r="L935" s="342">
        <v>30</v>
      </c>
      <c r="M935" s="342">
        <v>0</v>
      </c>
      <c r="N935" s="203" t="s">
        <v>146</v>
      </c>
      <c r="O935" s="306"/>
    </row>
    <row r="936" spans="2:15" ht="18.75" customHeight="1" thickBot="1" x14ac:dyDescent="0.25">
      <c r="B936" s="342">
        <f>SUM(C936:D936)</f>
        <v>4</v>
      </c>
      <c r="C936" s="342">
        <f t="shared" si="322"/>
        <v>3</v>
      </c>
      <c r="D936" s="342">
        <f t="shared" si="322"/>
        <v>1</v>
      </c>
      <c r="E936" s="342">
        <f>SUM(F936:G936)</f>
        <v>0</v>
      </c>
      <c r="F936" s="342">
        <v>0</v>
      </c>
      <c r="G936" s="342">
        <v>0</v>
      </c>
      <c r="H936" s="342">
        <f>SUM(I936:J936)</f>
        <v>0</v>
      </c>
      <c r="I936" s="342">
        <v>0</v>
      </c>
      <c r="J936" s="342">
        <v>0</v>
      </c>
      <c r="K936" s="342">
        <f>SUM(L936:M936)</f>
        <v>4</v>
      </c>
      <c r="L936" s="342">
        <v>3</v>
      </c>
      <c r="M936" s="342">
        <v>1</v>
      </c>
      <c r="N936" s="203" t="s">
        <v>145</v>
      </c>
      <c r="O936" s="306" t="s">
        <v>531</v>
      </c>
    </row>
    <row r="937" spans="2:15" ht="18.75" customHeight="1" thickBot="1" x14ac:dyDescent="0.25">
      <c r="B937" s="342">
        <f t="shared" ref="B937:L937" si="325">SUM(B935:B936)</f>
        <v>82</v>
      </c>
      <c r="C937" s="342">
        <f t="shared" si="325"/>
        <v>81</v>
      </c>
      <c r="D937" s="342">
        <f t="shared" si="325"/>
        <v>1</v>
      </c>
      <c r="E937" s="342">
        <f t="shared" si="325"/>
        <v>14</v>
      </c>
      <c r="F937" s="342">
        <f t="shared" si="325"/>
        <v>14</v>
      </c>
      <c r="G937" s="342">
        <f t="shared" si="325"/>
        <v>0</v>
      </c>
      <c r="H937" s="342">
        <f t="shared" si="325"/>
        <v>34</v>
      </c>
      <c r="I937" s="342">
        <f t="shared" si="325"/>
        <v>34</v>
      </c>
      <c r="J937" s="342">
        <f t="shared" si="325"/>
        <v>0</v>
      </c>
      <c r="K937" s="342">
        <f t="shared" si="325"/>
        <v>34</v>
      </c>
      <c r="L937" s="342">
        <f t="shared" si="325"/>
        <v>33</v>
      </c>
      <c r="M937" s="342">
        <f>SUM(M935:M936)</f>
        <v>1</v>
      </c>
      <c r="N937" s="203" t="s">
        <v>12</v>
      </c>
      <c r="O937" s="307"/>
    </row>
    <row r="938" spans="2:15" ht="18.75" customHeight="1" thickBot="1" x14ac:dyDescent="0.25">
      <c r="B938" s="342">
        <f>SUM(C938:D938)</f>
        <v>59</v>
      </c>
      <c r="C938" s="342">
        <f t="shared" si="322"/>
        <v>59</v>
      </c>
      <c r="D938" s="342">
        <f t="shared" si="322"/>
        <v>0</v>
      </c>
      <c r="E938" s="342">
        <f>SUM(F938:G938)</f>
        <v>1</v>
      </c>
      <c r="F938" s="342">
        <v>1</v>
      </c>
      <c r="G938" s="342">
        <v>0</v>
      </c>
      <c r="H938" s="342">
        <f>SUM(I938:J938)</f>
        <v>20</v>
      </c>
      <c r="I938" s="342">
        <v>20</v>
      </c>
      <c r="J938" s="342">
        <v>0</v>
      </c>
      <c r="K938" s="342">
        <f>SUM(L938:M938)</f>
        <v>38</v>
      </c>
      <c r="L938" s="342">
        <v>38</v>
      </c>
      <c r="M938" s="342">
        <v>0</v>
      </c>
      <c r="N938" s="203" t="s">
        <v>146</v>
      </c>
      <c r="O938" s="306"/>
    </row>
    <row r="939" spans="2:15" ht="18.75" customHeight="1" thickBot="1" x14ac:dyDescent="0.25">
      <c r="B939" s="342">
        <f>SUM(C939:D939)</f>
        <v>2</v>
      </c>
      <c r="C939" s="342">
        <f t="shared" si="322"/>
        <v>2</v>
      </c>
      <c r="D939" s="342">
        <f t="shared" si="322"/>
        <v>0</v>
      </c>
      <c r="E939" s="342">
        <f>SUM(F939:G939)</f>
        <v>0</v>
      </c>
      <c r="F939" s="342">
        <v>0</v>
      </c>
      <c r="G939" s="342">
        <v>0</v>
      </c>
      <c r="H939" s="342">
        <f>SUM(I939:J939)</f>
        <v>0</v>
      </c>
      <c r="I939" s="342">
        <v>0</v>
      </c>
      <c r="J939" s="342">
        <v>0</v>
      </c>
      <c r="K939" s="342">
        <f>SUM(L939:M939)</f>
        <v>2</v>
      </c>
      <c r="L939" s="342">
        <v>2</v>
      </c>
      <c r="M939" s="342">
        <v>0</v>
      </c>
      <c r="N939" s="203" t="s">
        <v>145</v>
      </c>
      <c r="O939" s="306" t="s">
        <v>532</v>
      </c>
    </row>
    <row r="940" spans="2:15" ht="18.75" customHeight="1" thickBot="1" x14ac:dyDescent="0.25">
      <c r="B940" s="342">
        <f t="shared" ref="B940:L940" si="326">SUM(B938:B939)</f>
        <v>61</v>
      </c>
      <c r="C940" s="342">
        <f t="shared" si="326"/>
        <v>61</v>
      </c>
      <c r="D940" s="342">
        <f t="shared" si="326"/>
        <v>0</v>
      </c>
      <c r="E940" s="342">
        <f t="shared" si="326"/>
        <v>1</v>
      </c>
      <c r="F940" s="342">
        <f t="shared" si="326"/>
        <v>1</v>
      </c>
      <c r="G940" s="342">
        <f t="shared" si="326"/>
        <v>0</v>
      </c>
      <c r="H940" s="342">
        <f t="shared" si="326"/>
        <v>20</v>
      </c>
      <c r="I940" s="342">
        <f t="shared" si="326"/>
        <v>20</v>
      </c>
      <c r="J940" s="342">
        <f t="shared" si="326"/>
        <v>0</v>
      </c>
      <c r="K940" s="342">
        <f t="shared" si="326"/>
        <v>40</v>
      </c>
      <c r="L940" s="342">
        <f t="shared" si="326"/>
        <v>40</v>
      </c>
      <c r="M940" s="342">
        <f>SUM(M938:M939)</f>
        <v>0</v>
      </c>
      <c r="N940" s="203" t="s">
        <v>12</v>
      </c>
      <c r="O940" s="307"/>
    </row>
    <row r="941" spans="2:15" ht="18.75" customHeight="1" thickBot="1" x14ac:dyDescent="0.25">
      <c r="B941" s="342">
        <f>SUM(C941:D941)</f>
        <v>70</v>
      </c>
      <c r="C941" s="342">
        <f t="shared" si="322"/>
        <v>70</v>
      </c>
      <c r="D941" s="342">
        <f t="shared" si="322"/>
        <v>0</v>
      </c>
      <c r="E941" s="342">
        <f>SUM(F941:G941)</f>
        <v>13</v>
      </c>
      <c r="F941" s="342">
        <v>13</v>
      </c>
      <c r="G941" s="342">
        <v>0</v>
      </c>
      <c r="H941" s="342">
        <f>SUM(I941:J941)</f>
        <v>41</v>
      </c>
      <c r="I941" s="342">
        <v>41</v>
      </c>
      <c r="J941" s="342">
        <v>0</v>
      </c>
      <c r="K941" s="342">
        <f>SUM(L941:M941)</f>
        <v>16</v>
      </c>
      <c r="L941" s="342">
        <v>16</v>
      </c>
      <c r="M941" s="342">
        <v>0</v>
      </c>
      <c r="N941" s="203" t="s">
        <v>146</v>
      </c>
      <c r="O941" s="306"/>
    </row>
    <row r="942" spans="2:15" ht="18.75" customHeight="1" thickBot="1" x14ac:dyDescent="0.25">
      <c r="B942" s="342">
        <f>SUM(C942:D942)</f>
        <v>3</v>
      </c>
      <c r="C942" s="342">
        <f t="shared" si="322"/>
        <v>3</v>
      </c>
      <c r="D942" s="342">
        <f t="shared" si="322"/>
        <v>0</v>
      </c>
      <c r="E942" s="342">
        <f>SUM(F942:G942)</f>
        <v>0</v>
      </c>
      <c r="F942" s="342">
        <v>0</v>
      </c>
      <c r="G942" s="342">
        <v>0</v>
      </c>
      <c r="H942" s="342">
        <f>SUM(I942:J942)</f>
        <v>0</v>
      </c>
      <c r="I942" s="342">
        <v>0</v>
      </c>
      <c r="J942" s="342">
        <v>0</v>
      </c>
      <c r="K942" s="342">
        <f>SUM(L942:M942)</f>
        <v>3</v>
      </c>
      <c r="L942" s="342">
        <v>3</v>
      </c>
      <c r="M942" s="342">
        <v>0</v>
      </c>
      <c r="N942" s="203" t="s">
        <v>145</v>
      </c>
      <c r="O942" s="306" t="s">
        <v>533</v>
      </c>
    </row>
    <row r="943" spans="2:15" ht="18.75" customHeight="1" thickBot="1" x14ac:dyDescent="0.25">
      <c r="B943" s="342">
        <f t="shared" ref="B943:L943" si="327">SUM(B941:B942)</f>
        <v>73</v>
      </c>
      <c r="C943" s="342">
        <f t="shared" si="327"/>
        <v>73</v>
      </c>
      <c r="D943" s="342">
        <f t="shared" si="327"/>
        <v>0</v>
      </c>
      <c r="E943" s="342">
        <f t="shared" si="327"/>
        <v>13</v>
      </c>
      <c r="F943" s="342">
        <f t="shared" si="327"/>
        <v>13</v>
      </c>
      <c r="G943" s="342">
        <f t="shared" si="327"/>
        <v>0</v>
      </c>
      <c r="H943" s="342">
        <f t="shared" si="327"/>
        <v>41</v>
      </c>
      <c r="I943" s="342">
        <f t="shared" si="327"/>
        <v>41</v>
      </c>
      <c r="J943" s="342">
        <f t="shared" si="327"/>
        <v>0</v>
      </c>
      <c r="K943" s="342">
        <f t="shared" si="327"/>
        <v>19</v>
      </c>
      <c r="L943" s="342">
        <f t="shared" si="327"/>
        <v>19</v>
      </c>
      <c r="M943" s="342">
        <f>SUM(M941:M942)</f>
        <v>0</v>
      </c>
      <c r="N943" s="203" t="s">
        <v>12</v>
      </c>
      <c r="O943" s="307"/>
    </row>
    <row r="944" spans="2:15" ht="18.75" customHeight="1" thickBot="1" x14ac:dyDescent="0.25">
      <c r="B944" s="342">
        <f>SUM(C944:D944)</f>
        <v>2</v>
      </c>
      <c r="C944" s="342">
        <f t="shared" si="322"/>
        <v>2</v>
      </c>
      <c r="D944" s="342">
        <f t="shared" si="322"/>
        <v>0</v>
      </c>
      <c r="E944" s="342">
        <f>SUM(F944:G944)</f>
        <v>2</v>
      </c>
      <c r="F944" s="342">
        <v>2</v>
      </c>
      <c r="G944" s="342">
        <v>0</v>
      </c>
      <c r="H944" s="342">
        <f>SUM(I944:J944)</f>
        <v>0</v>
      </c>
      <c r="I944" s="342">
        <v>0</v>
      </c>
      <c r="J944" s="342">
        <v>0</v>
      </c>
      <c r="K944" s="342">
        <f>SUM(L944:M944)</f>
        <v>0</v>
      </c>
      <c r="L944" s="342">
        <v>0</v>
      </c>
      <c r="M944" s="342">
        <v>0</v>
      </c>
      <c r="N944" s="203" t="s">
        <v>146</v>
      </c>
      <c r="O944" s="306"/>
    </row>
    <row r="945" spans="2:15" ht="18.75" customHeight="1" thickBot="1" x14ac:dyDescent="0.25">
      <c r="B945" s="342">
        <f>SUM(C945:D945)</f>
        <v>1</v>
      </c>
      <c r="C945" s="342">
        <f t="shared" si="322"/>
        <v>0</v>
      </c>
      <c r="D945" s="342">
        <f t="shared" si="322"/>
        <v>1</v>
      </c>
      <c r="E945" s="342">
        <f>SUM(F945:G945)</f>
        <v>0</v>
      </c>
      <c r="F945" s="342">
        <v>0</v>
      </c>
      <c r="G945" s="342">
        <v>0</v>
      </c>
      <c r="H945" s="342">
        <f>SUM(I945:J945)</f>
        <v>0</v>
      </c>
      <c r="I945" s="342">
        <v>0</v>
      </c>
      <c r="J945" s="342">
        <v>0</v>
      </c>
      <c r="K945" s="342">
        <f>SUM(L945:M945)</f>
        <v>1</v>
      </c>
      <c r="L945" s="342">
        <v>0</v>
      </c>
      <c r="M945" s="342">
        <v>1</v>
      </c>
      <c r="N945" s="203" t="s">
        <v>145</v>
      </c>
      <c r="O945" s="306" t="s">
        <v>534</v>
      </c>
    </row>
    <row r="946" spans="2:15" ht="18.75" customHeight="1" thickBot="1" x14ac:dyDescent="0.25">
      <c r="B946" s="342">
        <f t="shared" ref="B946:L946" si="328">SUM(B944:B945)</f>
        <v>3</v>
      </c>
      <c r="C946" s="342">
        <f t="shared" si="328"/>
        <v>2</v>
      </c>
      <c r="D946" s="342">
        <f t="shared" si="328"/>
        <v>1</v>
      </c>
      <c r="E946" s="342">
        <f t="shared" si="328"/>
        <v>2</v>
      </c>
      <c r="F946" s="342">
        <f t="shared" si="328"/>
        <v>2</v>
      </c>
      <c r="G946" s="342">
        <f t="shared" si="328"/>
        <v>0</v>
      </c>
      <c r="H946" s="342">
        <f t="shared" si="328"/>
        <v>0</v>
      </c>
      <c r="I946" s="342">
        <f t="shared" si="328"/>
        <v>0</v>
      </c>
      <c r="J946" s="342">
        <f t="shared" si="328"/>
        <v>0</v>
      </c>
      <c r="K946" s="342">
        <f t="shared" si="328"/>
        <v>1</v>
      </c>
      <c r="L946" s="342">
        <f t="shared" si="328"/>
        <v>0</v>
      </c>
      <c r="M946" s="342">
        <f>SUM(M944:M945)</f>
        <v>1</v>
      </c>
      <c r="N946" s="203" t="s">
        <v>12</v>
      </c>
      <c r="O946" s="307"/>
    </row>
    <row r="947" spans="2:15" ht="18.75" customHeight="1" thickBot="1" x14ac:dyDescent="0.25">
      <c r="B947" s="342">
        <f>SUM(C947:D947)</f>
        <v>3</v>
      </c>
      <c r="C947" s="342">
        <f t="shared" si="322"/>
        <v>3</v>
      </c>
      <c r="D947" s="342">
        <f t="shared" si="322"/>
        <v>0</v>
      </c>
      <c r="E947" s="342">
        <f>SUM(F947:G947)</f>
        <v>3</v>
      </c>
      <c r="F947" s="342">
        <v>3</v>
      </c>
      <c r="G947" s="342">
        <v>0</v>
      </c>
      <c r="H947" s="342">
        <f>SUM(I947:J947)</f>
        <v>0</v>
      </c>
      <c r="I947" s="342">
        <v>0</v>
      </c>
      <c r="J947" s="342">
        <v>0</v>
      </c>
      <c r="K947" s="342">
        <f>SUM(L947:M947)</f>
        <v>0</v>
      </c>
      <c r="L947" s="342">
        <v>0</v>
      </c>
      <c r="M947" s="342">
        <v>0</v>
      </c>
      <c r="N947" s="203" t="s">
        <v>146</v>
      </c>
      <c r="O947" s="306"/>
    </row>
    <row r="948" spans="2:15" ht="18.75" customHeight="1" thickBot="1" x14ac:dyDescent="0.25">
      <c r="B948" s="342">
        <f>SUM(C948:D948)</f>
        <v>1</v>
      </c>
      <c r="C948" s="342">
        <f t="shared" si="322"/>
        <v>0</v>
      </c>
      <c r="D948" s="342">
        <f t="shared" si="322"/>
        <v>1</v>
      </c>
      <c r="E948" s="342">
        <f>SUM(F948:G948)</f>
        <v>0</v>
      </c>
      <c r="F948" s="342">
        <v>0</v>
      </c>
      <c r="G948" s="342">
        <v>0</v>
      </c>
      <c r="H948" s="342">
        <f>SUM(I948:J948)</f>
        <v>0</v>
      </c>
      <c r="I948" s="342">
        <v>0</v>
      </c>
      <c r="J948" s="342">
        <v>0</v>
      </c>
      <c r="K948" s="342">
        <f>SUM(L948:M948)</f>
        <v>1</v>
      </c>
      <c r="L948" s="342">
        <v>0</v>
      </c>
      <c r="M948" s="342">
        <v>1</v>
      </c>
      <c r="N948" s="203" t="s">
        <v>145</v>
      </c>
      <c r="O948" s="306" t="s">
        <v>535</v>
      </c>
    </row>
    <row r="949" spans="2:15" ht="18.75" customHeight="1" thickBot="1" x14ac:dyDescent="0.25">
      <c r="B949" s="342">
        <f t="shared" ref="B949:L949" si="329">SUM(B947:B948)</f>
        <v>4</v>
      </c>
      <c r="C949" s="342">
        <f t="shared" si="329"/>
        <v>3</v>
      </c>
      <c r="D949" s="342">
        <f t="shared" si="329"/>
        <v>1</v>
      </c>
      <c r="E949" s="342">
        <f t="shared" si="329"/>
        <v>3</v>
      </c>
      <c r="F949" s="342">
        <f t="shared" si="329"/>
        <v>3</v>
      </c>
      <c r="G949" s="342">
        <f t="shared" si="329"/>
        <v>0</v>
      </c>
      <c r="H949" s="342">
        <f t="shared" si="329"/>
        <v>0</v>
      </c>
      <c r="I949" s="342">
        <f t="shared" si="329"/>
        <v>0</v>
      </c>
      <c r="J949" s="342">
        <f t="shared" si="329"/>
        <v>0</v>
      </c>
      <c r="K949" s="342">
        <f t="shared" si="329"/>
        <v>1</v>
      </c>
      <c r="L949" s="342">
        <f t="shared" si="329"/>
        <v>0</v>
      </c>
      <c r="M949" s="342">
        <f>SUM(M947:M948)</f>
        <v>1</v>
      </c>
      <c r="N949" s="203" t="s">
        <v>12</v>
      </c>
      <c r="O949" s="307"/>
    </row>
    <row r="950" spans="2:15" ht="18.75" customHeight="1" thickBot="1" x14ac:dyDescent="0.25">
      <c r="B950" s="342">
        <f>SUM(C950:D950)</f>
        <v>5</v>
      </c>
      <c r="C950" s="342">
        <f t="shared" si="322"/>
        <v>5</v>
      </c>
      <c r="D950" s="342">
        <f t="shared" si="322"/>
        <v>0</v>
      </c>
      <c r="E950" s="342">
        <f>SUM(F950:G950)</f>
        <v>5</v>
      </c>
      <c r="F950" s="342">
        <v>5</v>
      </c>
      <c r="G950" s="342">
        <v>0</v>
      </c>
      <c r="H950" s="342">
        <f>SUM(I950:J950)</f>
        <v>0</v>
      </c>
      <c r="I950" s="342">
        <v>0</v>
      </c>
      <c r="J950" s="342">
        <v>0</v>
      </c>
      <c r="K950" s="342">
        <f>SUM(L950:M950)</f>
        <v>0</v>
      </c>
      <c r="L950" s="342">
        <v>0</v>
      </c>
      <c r="M950" s="342">
        <v>0</v>
      </c>
      <c r="N950" s="203" t="s">
        <v>146</v>
      </c>
      <c r="O950" s="306"/>
    </row>
    <row r="951" spans="2:15" ht="18.75" customHeight="1" thickBot="1" x14ac:dyDescent="0.25">
      <c r="B951" s="342">
        <f>SUM(C951:D951)</f>
        <v>1</v>
      </c>
      <c r="C951" s="342">
        <f t="shared" si="322"/>
        <v>1</v>
      </c>
      <c r="D951" s="342">
        <f t="shared" si="322"/>
        <v>0</v>
      </c>
      <c r="E951" s="342">
        <f>SUM(F951:G951)</f>
        <v>0</v>
      </c>
      <c r="F951" s="342">
        <v>0</v>
      </c>
      <c r="G951" s="342">
        <v>0</v>
      </c>
      <c r="H951" s="342">
        <f>SUM(I951:J951)</f>
        <v>0</v>
      </c>
      <c r="I951" s="342">
        <v>0</v>
      </c>
      <c r="J951" s="342">
        <v>0</v>
      </c>
      <c r="K951" s="342">
        <f>SUM(L951:M951)</f>
        <v>1</v>
      </c>
      <c r="L951" s="342">
        <v>1</v>
      </c>
      <c r="M951" s="342">
        <v>0</v>
      </c>
      <c r="N951" s="203" t="s">
        <v>145</v>
      </c>
      <c r="O951" s="306" t="s">
        <v>536</v>
      </c>
    </row>
    <row r="952" spans="2:15" ht="18.75" customHeight="1" thickBot="1" x14ac:dyDescent="0.25">
      <c r="B952" s="342">
        <f t="shared" ref="B952:L952" si="330">SUM(B950:B951)</f>
        <v>6</v>
      </c>
      <c r="C952" s="342">
        <f t="shared" si="330"/>
        <v>6</v>
      </c>
      <c r="D952" s="342">
        <f t="shared" si="330"/>
        <v>0</v>
      </c>
      <c r="E952" s="342">
        <f t="shared" si="330"/>
        <v>5</v>
      </c>
      <c r="F952" s="342">
        <f t="shared" si="330"/>
        <v>5</v>
      </c>
      <c r="G952" s="342">
        <f t="shared" si="330"/>
        <v>0</v>
      </c>
      <c r="H952" s="342">
        <f t="shared" si="330"/>
        <v>0</v>
      </c>
      <c r="I952" s="342">
        <f t="shared" si="330"/>
        <v>0</v>
      </c>
      <c r="J952" s="342">
        <f t="shared" si="330"/>
        <v>0</v>
      </c>
      <c r="K952" s="342">
        <f t="shared" si="330"/>
        <v>1</v>
      </c>
      <c r="L952" s="342">
        <f t="shared" si="330"/>
        <v>1</v>
      </c>
      <c r="M952" s="342">
        <f>SUM(M950:M951)</f>
        <v>0</v>
      </c>
      <c r="N952" s="203" t="s">
        <v>12</v>
      </c>
      <c r="O952" s="307"/>
    </row>
    <row r="953" spans="2:15" ht="18.75" customHeight="1" thickBot="1" x14ac:dyDescent="0.25">
      <c r="B953" s="342">
        <f>SUM(C953:D953)</f>
        <v>6</v>
      </c>
      <c r="C953" s="342">
        <f t="shared" si="322"/>
        <v>6</v>
      </c>
      <c r="D953" s="342">
        <f t="shared" si="322"/>
        <v>0</v>
      </c>
      <c r="E953" s="342">
        <f>SUM(F953:G953)</f>
        <v>3</v>
      </c>
      <c r="F953" s="342">
        <v>3</v>
      </c>
      <c r="G953" s="342">
        <v>0</v>
      </c>
      <c r="H953" s="342">
        <f>SUM(I953:J953)</f>
        <v>3</v>
      </c>
      <c r="I953" s="342">
        <v>3</v>
      </c>
      <c r="J953" s="342">
        <v>0</v>
      </c>
      <c r="K953" s="342">
        <f>SUM(L953:M953)</f>
        <v>0</v>
      </c>
      <c r="L953" s="342">
        <v>0</v>
      </c>
      <c r="M953" s="342">
        <v>0</v>
      </c>
      <c r="N953" s="203" t="s">
        <v>146</v>
      </c>
      <c r="O953" s="306"/>
    </row>
    <row r="954" spans="2:15" ht="18.75" customHeight="1" thickBot="1" x14ac:dyDescent="0.25">
      <c r="B954" s="342">
        <f>SUM(C954:D954)</f>
        <v>2</v>
      </c>
      <c r="C954" s="342">
        <f t="shared" si="322"/>
        <v>1</v>
      </c>
      <c r="D954" s="342">
        <f t="shared" si="322"/>
        <v>1</v>
      </c>
      <c r="E954" s="342">
        <f>SUM(F954:G954)</f>
        <v>0</v>
      </c>
      <c r="F954" s="342">
        <v>0</v>
      </c>
      <c r="G954" s="342">
        <v>0</v>
      </c>
      <c r="H954" s="342">
        <f>SUM(I954:J954)</f>
        <v>0</v>
      </c>
      <c r="I954" s="342">
        <v>0</v>
      </c>
      <c r="J954" s="342">
        <v>0</v>
      </c>
      <c r="K954" s="342">
        <f>SUM(L954:M954)</f>
        <v>2</v>
      </c>
      <c r="L954" s="342">
        <v>1</v>
      </c>
      <c r="M954" s="342">
        <v>1</v>
      </c>
      <c r="N954" s="203" t="s">
        <v>145</v>
      </c>
      <c r="O954" s="306" t="s">
        <v>537</v>
      </c>
    </row>
    <row r="955" spans="2:15" ht="18.75" customHeight="1" thickBot="1" x14ac:dyDescent="0.25">
      <c r="B955" s="342">
        <f t="shared" ref="B955:L955" si="331">SUM(B953:B954)</f>
        <v>8</v>
      </c>
      <c r="C955" s="342">
        <f t="shared" si="331"/>
        <v>7</v>
      </c>
      <c r="D955" s="342">
        <f t="shared" si="331"/>
        <v>1</v>
      </c>
      <c r="E955" s="342">
        <f t="shared" si="331"/>
        <v>3</v>
      </c>
      <c r="F955" s="342">
        <f t="shared" si="331"/>
        <v>3</v>
      </c>
      <c r="G955" s="342">
        <f t="shared" si="331"/>
        <v>0</v>
      </c>
      <c r="H955" s="342">
        <f t="shared" si="331"/>
        <v>3</v>
      </c>
      <c r="I955" s="342">
        <f t="shared" si="331"/>
        <v>3</v>
      </c>
      <c r="J955" s="342">
        <f t="shared" si="331"/>
        <v>0</v>
      </c>
      <c r="K955" s="342">
        <f t="shared" si="331"/>
        <v>2</v>
      </c>
      <c r="L955" s="342">
        <f t="shared" si="331"/>
        <v>1</v>
      </c>
      <c r="M955" s="342">
        <f>SUM(M953:M954)</f>
        <v>1</v>
      </c>
      <c r="N955" s="203" t="s">
        <v>12</v>
      </c>
      <c r="O955" s="307"/>
    </row>
    <row r="956" spans="2:15" ht="18.75" customHeight="1" thickBot="1" x14ac:dyDescent="0.25">
      <c r="B956" s="342">
        <f>SUM(C956:D956)</f>
        <v>3</v>
      </c>
      <c r="C956" s="342">
        <f t="shared" si="322"/>
        <v>3</v>
      </c>
      <c r="D956" s="342">
        <f t="shared" si="322"/>
        <v>0</v>
      </c>
      <c r="E956" s="342">
        <f>SUM(F956:G956)</f>
        <v>2</v>
      </c>
      <c r="F956" s="342">
        <v>2</v>
      </c>
      <c r="G956" s="342">
        <v>0</v>
      </c>
      <c r="H956" s="342">
        <f>SUM(I956:J956)</f>
        <v>1</v>
      </c>
      <c r="I956" s="342">
        <v>1</v>
      </c>
      <c r="J956" s="342">
        <v>0</v>
      </c>
      <c r="K956" s="342">
        <f>SUM(L956:M956)</f>
        <v>0</v>
      </c>
      <c r="L956" s="342">
        <v>0</v>
      </c>
      <c r="M956" s="342">
        <v>0</v>
      </c>
      <c r="N956" s="203" t="s">
        <v>146</v>
      </c>
      <c r="O956" s="306"/>
    </row>
    <row r="957" spans="2:15" ht="18.75" customHeight="1" thickBot="1" x14ac:dyDescent="0.25">
      <c r="B957" s="342">
        <f>SUM(C957:D957)</f>
        <v>2</v>
      </c>
      <c r="C957" s="342">
        <f t="shared" si="322"/>
        <v>0</v>
      </c>
      <c r="D957" s="342">
        <f t="shared" si="322"/>
        <v>2</v>
      </c>
      <c r="E957" s="342">
        <f>SUM(F957:G957)</f>
        <v>0</v>
      </c>
      <c r="F957" s="342">
        <v>0</v>
      </c>
      <c r="G957" s="342">
        <v>0</v>
      </c>
      <c r="H957" s="342">
        <f>SUM(I957:J957)</f>
        <v>0</v>
      </c>
      <c r="I957" s="342">
        <v>0</v>
      </c>
      <c r="J957" s="342">
        <v>0</v>
      </c>
      <c r="K957" s="342">
        <f>SUM(L957:M957)</f>
        <v>2</v>
      </c>
      <c r="L957" s="342">
        <v>0</v>
      </c>
      <c r="M957" s="342">
        <v>2</v>
      </c>
      <c r="N957" s="203" t="s">
        <v>145</v>
      </c>
      <c r="O957" s="306" t="s">
        <v>538</v>
      </c>
    </row>
    <row r="958" spans="2:15" ht="18.75" customHeight="1" thickBot="1" x14ac:dyDescent="0.25">
      <c r="B958" s="342">
        <f t="shared" ref="B958:L958" si="332">SUM(B956:B957)</f>
        <v>5</v>
      </c>
      <c r="C958" s="342">
        <f t="shared" si="332"/>
        <v>3</v>
      </c>
      <c r="D958" s="342">
        <f t="shared" si="332"/>
        <v>2</v>
      </c>
      <c r="E958" s="342">
        <f t="shared" si="332"/>
        <v>2</v>
      </c>
      <c r="F958" s="342">
        <f t="shared" si="332"/>
        <v>2</v>
      </c>
      <c r="G958" s="342">
        <f t="shared" si="332"/>
        <v>0</v>
      </c>
      <c r="H958" s="342">
        <f t="shared" si="332"/>
        <v>1</v>
      </c>
      <c r="I958" s="342">
        <f t="shared" si="332"/>
        <v>1</v>
      </c>
      <c r="J958" s="342">
        <f t="shared" si="332"/>
        <v>0</v>
      </c>
      <c r="K958" s="342">
        <f t="shared" si="332"/>
        <v>2</v>
      </c>
      <c r="L958" s="342">
        <f t="shared" si="332"/>
        <v>0</v>
      </c>
      <c r="M958" s="342">
        <f>SUM(M956:M957)</f>
        <v>2</v>
      </c>
      <c r="N958" s="203" t="s">
        <v>12</v>
      </c>
      <c r="O958" s="307"/>
    </row>
    <row r="959" spans="2:15" ht="18.75" customHeight="1" thickBot="1" x14ac:dyDescent="0.25">
      <c r="B959" s="342">
        <f>SUM(C959:D959)</f>
        <v>2</v>
      </c>
      <c r="C959" s="342">
        <f t="shared" si="322"/>
        <v>2</v>
      </c>
      <c r="D959" s="342">
        <f t="shared" si="322"/>
        <v>0</v>
      </c>
      <c r="E959" s="342">
        <f>SUM(F959:G959)</f>
        <v>1</v>
      </c>
      <c r="F959" s="342">
        <v>1</v>
      </c>
      <c r="G959" s="342">
        <v>0</v>
      </c>
      <c r="H959" s="342">
        <f>SUM(I959:J959)</f>
        <v>1</v>
      </c>
      <c r="I959" s="342">
        <v>1</v>
      </c>
      <c r="J959" s="342">
        <v>0</v>
      </c>
      <c r="K959" s="342">
        <f>SUM(L959:M959)</f>
        <v>0</v>
      </c>
      <c r="L959" s="342">
        <v>0</v>
      </c>
      <c r="M959" s="342">
        <v>0</v>
      </c>
      <c r="N959" s="203" t="s">
        <v>146</v>
      </c>
      <c r="O959" s="306"/>
    </row>
    <row r="960" spans="2:15" ht="18.75" customHeight="1" thickBot="1" x14ac:dyDescent="0.25">
      <c r="B960" s="342">
        <f>SUM(C960:D960)</f>
        <v>5</v>
      </c>
      <c r="C960" s="342">
        <f t="shared" si="322"/>
        <v>4</v>
      </c>
      <c r="D960" s="342">
        <f t="shared" si="322"/>
        <v>1</v>
      </c>
      <c r="E960" s="342">
        <f>SUM(F960:G960)</f>
        <v>0</v>
      </c>
      <c r="F960" s="342">
        <v>0</v>
      </c>
      <c r="G960" s="342">
        <v>0</v>
      </c>
      <c r="H960" s="342">
        <f>SUM(I960:J960)</f>
        <v>0</v>
      </c>
      <c r="I960" s="342">
        <v>0</v>
      </c>
      <c r="J960" s="342">
        <v>0</v>
      </c>
      <c r="K960" s="342">
        <f>SUM(L960:M960)</f>
        <v>5</v>
      </c>
      <c r="L960" s="342">
        <v>4</v>
      </c>
      <c r="M960" s="342">
        <v>1</v>
      </c>
      <c r="N960" s="203" t="s">
        <v>145</v>
      </c>
      <c r="O960" s="306" t="s">
        <v>539</v>
      </c>
    </row>
    <row r="961" spans="2:15" ht="18.75" customHeight="1" thickBot="1" x14ac:dyDescent="0.25">
      <c r="B961" s="342">
        <f t="shared" ref="B961:L961" si="333">SUM(B959:B960)</f>
        <v>7</v>
      </c>
      <c r="C961" s="342">
        <f t="shared" si="333"/>
        <v>6</v>
      </c>
      <c r="D961" s="342">
        <f t="shared" si="333"/>
        <v>1</v>
      </c>
      <c r="E961" s="342">
        <f t="shared" si="333"/>
        <v>1</v>
      </c>
      <c r="F961" s="342">
        <f t="shared" si="333"/>
        <v>1</v>
      </c>
      <c r="G961" s="342">
        <f t="shared" si="333"/>
        <v>0</v>
      </c>
      <c r="H961" s="342">
        <f t="shared" si="333"/>
        <v>1</v>
      </c>
      <c r="I961" s="342">
        <f t="shared" si="333"/>
        <v>1</v>
      </c>
      <c r="J961" s="342">
        <f t="shared" si="333"/>
        <v>0</v>
      </c>
      <c r="K961" s="342">
        <f t="shared" si="333"/>
        <v>5</v>
      </c>
      <c r="L961" s="342">
        <f t="shared" si="333"/>
        <v>4</v>
      </c>
      <c r="M961" s="342">
        <f>SUM(M959:M960)</f>
        <v>1</v>
      </c>
      <c r="N961" s="203" t="s">
        <v>12</v>
      </c>
      <c r="O961" s="307"/>
    </row>
    <row r="962" spans="2:15" ht="18.75" customHeight="1" thickBot="1" x14ac:dyDescent="0.25">
      <c r="B962" s="342">
        <f>SUM(C962:D962)</f>
        <v>1</v>
      </c>
      <c r="C962" s="342">
        <f t="shared" si="322"/>
        <v>1</v>
      </c>
      <c r="D962" s="342">
        <f t="shared" si="322"/>
        <v>0</v>
      </c>
      <c r="E962" s="342">
        <f>SUM(F962:G962)</f>
        <v>1</v>
      </c>
      <c r="F962" s="342">
        <v>1</v>
      </c>
      <c r="G962" s="342">
        <v>0</v>
      </c>
      <c r="H962" s="342">
        <f>SUM(I962:J962)</f>
        <v>0</v>
      </c>
      <c r="I962" s="342">
        <v>0</v>
      </c>
      <c r="J962" s="342">
        <v>0</v>
      </c>
      <c r="K962" s="342">
        <f>SUM(L962:M962)</f>
        <v>0</v>
      </c>
      <c r="L962" s="342">
        <v>0</v>
      </c>
      <c r="M962" s="342">
        <v>0</v>
      </c>
      <c r="N962" s="203" t="s">
        <v>146</v>
      </c>
      <c r="O962" s="306"/>
    </row>
    <row r="963" spans="2:15" ht="18.75" customHeight="1" thickBot="1" x14ac:dyDescent="0.25">
      <c r="B963" s="342">
        <f>SUM(C963:D963)</f>
        <v>4</v>
      </c>
      <c r="C963" s="342">
        <f t="shared" si="322"/>
        <v>1</v>
      </c>
      <c r="D963" s="342">
        <f t="shared" si="322"/>
        <v>3</v>
      </c>
      <c r="E963" s="342">
        <f>SUM(F963:G963)</f>
        <v>0</v>
      </c>
      <c r="F963" s="342">
        <v>0</v>
      </c>
      <c r="G963" s="342">
        <v>0</v>
      </c>
      <c r="H963" s="342">
        <f>SUM(I963:J963)</f>
        <v>0</v>
      </c>
      <c r="I963" s="342">
        <v>0</v>
      </c>
      <c r="J963" s="342">
        <v>0</v>
      </c>
      <c r="K963" s="342">
        <f>SUM(L963:M963)</f>
        <v>4</v>
      </c>
      <c r="L963" s="342">
        <v>1</v>
      </c>
      <c r="M963" s="342">
        <v>3</v>
      </c>
      <c r="N963" s="203" t="s">
        <v>145</v>
      </c>
      <c r="O963" s="306" t="s">
        <v>540</v>
      </c>
    </row>
    <row r="964" spans="2:15" ht="18.75" customHeight="1" thickBot="1" x14ac:dyDescent="0.25">
      <c r="B964" s="342">
        <f t="shared" ref="B964:L964" si="334">SUM(B962:B963)</f>
        <v>5</v>
      </c>
      <c r="C964" s="342">
        <f t="shared" si="334"/>
        <v>2</v>
      </c>
      <c r="D964" s="342">
        <f t="shared" si="334"/>
        <v>3</v>
      </c>
      <c r="E964" s="342">
        <f t="shared" si="334"/>
        <v>1</v>
      </c>
      <c r="F964" s="342">
        <f t="shared" si="334"/>
        <v>1</v>
      </c>
      <c r="G964" s="342">
        <f t="shared" si="334"/>
        <v>0</v>
      </c>
      <c r="H964" s="342">
        <f t="shared" si="334"/>
        <v>0</v>
      </c>
      <c r="I964" s="342">
        <f t="shared" si="334"/>
        <v>0</v>
      </c>
      <c r="J964" s="342">
        <f t="shared" si="334"/>
        <v>0</v>
      </c>
      <c r="K964" s="342">
        <f t="shared" si="334"/>
        <v>4</v>
      </c>
      <c r="L964" s="342">
        <f t="shared" si="334"/>
        <v>1</v>
      </c>
      <c r="M964" s="342">
        <f>SUM(M962:M963)</f>
        <v>3</v>
      </c>
      <c r="N964" s="203" t="s">
        <v>12</v>
      </c>
      <c r="O964" s="307"/>
    </row>
    <row r="965" spans="2:15" ht="18.75" customHeight="1" thickBot="1" x14ac:dyDescent="0.25">
      <c r="B965" s="342">
        <f>SUM(C965:D965)</f>
        <v>6</v>
      </c>
      <c r="C965" s="342">
        <f t="shared" si="322"/>
        <v>6</v>
      </c>
      <c r="D965" s="342">
        <f t="shared" si="322"/>
        <v>0</v>
      </c>
      <c r="E965" s="342">
        <f>SUM(F965:G965)</f>
        <v>5</v>
      </c>
      <c r="F965" s="342">
        <v>5</v>
      </c>
      <c r="G965" s="342">
        <v>0</v>
      </c>
      <c r="H965" s="342">
        <f>SUM(I965:J965)</f>
        <v>1</v>
      </c>
      <c r="I965" s="342">
        <v>1</v>
      </c>
      <c r="J965" s="342">
        <v>0</v>
      </c>
      <c r="K965" s="342">
        <f>SUM(L965:M965)</f>
        <v>0</v>
      </c>
      <c r="L965" s="342">
        <v>0</v>
      </c>
      <c r="M965" s="342">
        <v>0</v>
      </c>
      <c r="N965" s="203" t="s">
        <v>146</v>
      </c>
      <c r="O965" s="306"/>
    </row>
    <row r="966" spans="2:15" ht="18.75" customHeight="1" thickBot="1" x14ac:dyDescent="0.25">
      <c r="B966" s="342">
        <f>SUM(C966:D966)</f>
        <v>2</v>
      </c>
      <c r="C966" s="342">
        <f t="shared" si="322"/>
        <v>2</v>
      </c>
      <c r="D966" s="342">
        <f t="shared" si="322"/>
        <v>0</v>
      </c>
      <c r="E966" s="342">
        <f>SUM(F966:G966)</f>
        <v>0</v>
      </c>
      <c r="F966" s="342">
        <v>0</v>
      </c>
      <c r="G966" s="342">
        <v>0</v>
      </c>
      <c r="H966" s="342">
        <f>SUM(I966:J966)</f>
        <v>0</v>
      </c>
      <c r="I966" s="342">
        <v>0</v>
      </c>
      <c r="J966" s="342">
        <v>0</v>
      </c>
      <c r="K966" s="342">
        <f>SUM(L966:M966)</f>
        <v>2</v>
      </c>
      <c r="L966" s="342">
        <v>2</v>
      </c>
      <c r="M966" s="342">
        <v>0</v>
      </c>
      <c r="N966" s="203" t="s">
        <v>145</v>
      </c>
      <c r="O966" s="306" t="s">
        <v>777</v>
      </c>
    </row>
    <row r="967" spans="2:15" ht="18.75" customHeight="1" thickBot="1" x14ac:dyDescent="0.25">
      <c r="B967" s="342">
        <f t="shared" ref="B967:L967" si="335">SUM(B965:B966)</f>
        <v>8</v>
      </c>
      <c r="C967" s="342">
        <f t="shared" si="335"/>
        <v>8</v>
      </c>
      <c r="D967" s="342">
        <f t="shared" si="335"/>
        <v>0</v>
      </c>
      <c r="E967" s="342">
        <f t="shared" si="335"/>
        <v>5</v>
      </c>
      <c r="F967" s="342">
        <f t="shared" si="335"/>
        <v>5</v>
      </c>
      <c r="G967" s="342">
        <f t="shared" si="335"/>
        <v>0</v>
      </c>
      <c r="H967" s="342">
        <f t="shared" si="335"/>
        <v>1</v>
      </c>
      <c r="I967" s="342">
        <f t="shared" si="335"/>
        <v>1</v>
      </c>
      <c r="J967" s="342">
        <f t="shared" si="335"/>
        <v>0</v>
      </c>
      <c r="K967" s="342">
        <f t="shared" si="335"/>
        <v>2</v>
      </c>
      <c r="L967" s="342">
        <f t="shared" si="335"/>
        <v>2</v>
      </c>
      <c r="M967" s="342">
        <f>SUM(M965:M966)</f>
        <v>0</v>
      </c>
      <c r="N967" s="203" t="s">
        <v>12</v>
      </c>
      <c r="O967" s="307"/>
    </row>
    <row r="968" spans="2:15" ht="18.75" customHeight="1" thickBot="1" x14ac:dyDescent="0.25">
      <c r="B968" s="342">
        <f>SUM(C968:D968)</f>
        <v>10</v>
      </c>
      <c r="C968" s="342">
        <f t="shared" si="322"/>
        <v>10</v>
      </c>
      <c r="D968" s="342">
        <f t="shared" si="322"/>
        <v>0</v>
      </c>
      <c r="E968" s="342">
        <f>SUM(F968:G968)</f>
        <v>6</v>
      </c>
      <c r="F968" s="342">
        <v>6</v>
      </c>
      <c r="G968" s="342">
        <v>0</v>
      </c>
      <c r="H968" s="342">
        <f>SUM(I968:J968)</f>
        <v>3</v>
      </c>
      <c r="I968" s="342">
        <v>3</v>
      </c>
      <c r="J968" s="342">
        <v>0</v>
      </c>
      <c r="K968" s="342">
        <f>SUM(L968:M968)</f>
        <v>1</v>
      </c>
      <c r="L968" s="342">
        <v>1</v>
      </c>
      <c r="M968" s="342">
        <v>0</v>
      </c>
      <c r="N968" s="203" t="s">
        <v>146</v>
      </c>
      <c r="O968" s="306"/>
    </row>
    <row r="969" spans="2:15" ht="18.75" customHeight="1" thickBot="1" x14ac:dyDescent="0.25">
      <c r="B969" s="342">
        <f>SUM(C969:D969)</f>
        <v>2</v>
      </c>
      <c r="C969" s="342">
        <f t="shared" si="322"/>
        <v>1</v>
      </c>
      <c r="D969" s="342">
        <f t="shared" si="322"/>
        <v>1</v>
      </c>
      <c r="E969" s="342">
        <f>SUM(F969:G969)</f>
        <v>0</v>
      </c>
      <c r="F969" s="342">
        <v>0</v>
      </c>
      <c r="G969" s="342">
        <v>0</v>
      </c>
      <c r="H969" s="342">
        <f>SUM(I969:J969)</f>
        <v>0</v>
      </c>
      <c r="I969" s="342">
        <v>0</v>
      </c>
      <c r="J969" s="342">
        <v>0</v>
      </c>
      <c r="K969" s="342">
        <f>SUM(L969:M969)</f>
        <v>2</v>
      </c>
      <c r="L969" s="342">
        <v>1</v>
      </c>
      <c r="M969" s="342">
        <v>1</v>
      </c>
      <c r="N969" s="203" t="s">
        <v>145</v>
      </c>
      <c r="O969" s="306" t="s">
        <v>542</v>
      </c>
    </row>
    <row r="970" spans="2:15" ht="18.75" customHeight="1" thickBot="1" x14ac:dyDescent="0.25">
      <c r="B970" s="342">
        <f t="shared" ref="B970:L970" si="336">SUM(B968:B969)</f>
        <v>12</v>
      </c>
      <c r="C970" s="342">
        <f t="shared" si="336"/>
        <v>11</v>
      </c>
      <c r="D970" s="342">
        <f t="shared" si="336"/>
        <v>1</v>
      </c>
      <c r="E970" s="342">
        <f t="shared" si="336"/>
        <v>6</v>
      </c>
      <c r="F970" s="342">
        <f t="shared" si="336"/>
        <v>6</v>
      </c>
      <c r="G970" s="342">
        <f t="shared" si="336"/>
        <v>0</v>
      </c>
      <c r="H970" s="342">
        <f t="shared" si="336"/>
        <v>3</v>
      </c>
      <c r="I970" s="342">
        <f t="shared" si="336"/>
        <v>3</v>
      </c>
      <c r="J970" s="342">
        <f t="shared" si="336"/>
        <v>0</v>
      </c>
      <c r="K970" s="342">
        <f t="shared" si="336"/>
        <v>3</v>
      </c>
      <c r="L970" s="342">
        <f t="shared" si="336"/>
        <v>2</v>
      </c>
      <c r="M970" s="342">
        <f>SUM(M968:M969)</f>
        <v>1</v>
      </c>
      <c r="N970" s="203" t="s">
        <v>12</v>
      </c>
      <c r="O970" s="307"/>
    </row>
    <row r="971" spans="2:15" ht="18.75" customHeight="1" thickBot="1" x14ac:dyDescent="0.25">
      <c r="B971" s="342">
        <f>SUM(C971:D971)</f>
        <v>27</v>
      </c>
      <c r="C971" s="342">
        <f t="shared" si="322"/>
        <v>27</v>
      </c>
      <c r="D971" s="342">
        <f t="shared" si="322"/>
        <v>0</v>
      </c>
      <c r="E971" s="342">
        <f>SUM(F971:G971)</f>
        <v>12</v>
      </c>
      <c r="F971" s="342">
        <v>12</v>
      </c>
      <c r="G971" s="342">
        <v>0</v>
      </c>
      <c r="H971" s="342">
        <f>SUM(I971:J971)</f>
        <v>12</v>
      </c>
      <c r="I971" s="342">
        <v>12</v>
      </c>
      <c r="J971" s="342">
        <v>0</v>
      </c>
      <c r="K971" s="342">
        <f>SUM(L971:M971)</f>
        <v>3</v>
      </c>
      <c r="L971" s="342">
        <v>3</v>
      </c>
      <c r="M971" s="342">
        <v>0</v>
      </c>
      <c r="N971" s="203" t="s">
        <v>146</v>
      </c>
      <c r="O971" s="306"/>
    </row>
    <row r="972" spans="2:15" ht="18.75" customHeight="1" thickBot="1" x14ac:dyDescent="0.25">
      <c r="B972" s="342">
        <f>SUM(C972:D972)</f>
        <v>3</v>
      </c>
      <c r="C972" s="342">
        <f t="shared" si="322"/>
        <v>1</v>
      </c>
      <c r="D972" s="342">
        <f t="shared" si="322"/>
        <v>2</v>
      </c>
      <c r="E972" s="342">
        <f>SUM(F972:G972)</f>
        <v>0</v>
      </c>
      <c r="F972" s="342">
        <v>0</v>
      </c>
      <c r="G972" s="342">
        <v>0</v>
      </c>
      <c r="H972" s="342">
        <f>SUM(I972:J972)</f>
        <v>0</v>
      </c>
      <c r="I972" s="342">
        <v>0</v>
      </c>
      <c r="J972" s="342">
        <v>0</v>
      </c>
      <c r="K972" s="342">
        <f>SUM(L972:M972)</f>
        <v>3</v>
      </c>
      <c r="L972" s="342">
        <v>1</v>
      </c>
      <c r="M972" s="342">
        <v>2</v>
      </c>
      <c r="N972" s="203" t="s">
        <v>145</v>
      </c>
      <c r="O972" s="306" t="s">
        <v>543</v>
      </c>
    </row>
    <row r="973" spans="2:15" ht="18.75" customHeight="1" thickBot="1" x14ac:dyDescent="0.25">
      <c r="B973" s="342">
        <f t="shared" ref="B973:L973" si="337">SUM(B971:B972)</f>
        <v>30</v>
      </c>
      <c r="C973" s="342">
        <f t="shared" si="337"/>
        <v>28</v>
      </c>
      <c r="D973" s="342">
        <f t="shared" si="337"/>
        <v>2</v>
      </c>
      <c r="E973" s="342">
        <f t="shared" si="337"/>
        <v>12</v>
      </c>
      <c r="F973" s="342">
        <f t="shared" si="337"/>
        <v>12</v>
      </c>
      <c r="G973" s="342">
        <f t="shared" si="337"/>
        <v>0</v>
      </c>
      <c r="H973" s="342">
        <f t="shared" si="337"/>
        <v>12</v>
      </c>
      <c r="I973" s="342">
        <f t="shared" si="337"/>
        <v>12</v>
      </c>
      <c r="J973" s="342">
        <f t="shared" si="337"/>
        <v>0</v>
      </c>
      <c r="K973" s="342">
        <f t="shared" si="337"/>
        <v>6</v>
      </c>
      <c r="L973" s="342">
        <f t="shared" si="337"/>
        <v>4</v>
      </c>
      <c r="M973" s="342">
        <f>SUM(M971:M972)</f>
        <v>2</v>
      </c>
      <c r="N973" s="203" t="s">
        <v>12</v>
      </c>
      <c r="O973" s="307"/>
    </row>
    <row r="974" spans="2:15" ht="18.75" customHeight="1" thickBot="1" x14ac:dyDescent="0.25">
      <c r="B974" s="342">
        <f>SUM(C974:D974)</f>
        <v>3</v>
      </c>
      <c r="C974" s="342">
        <f t="shared" si="322"/>
        <v>3</v>
      </c>
      <c r="D974" s="342">
        <f t="shared" si="322"/>
        <v>0</v>
      </c>
      <c r="E974" s="342">
        <f>SUM(F974:G974)</f>
        <v>3</v>
      </c>
      <c r="F974" s="342">
        <v>3</v>
      </c>
      <c r="G974" s="342">
        <v>0</v>
      </c>
      <c r="H974" s="342">
        <f>SUM(I974:J974)</f>
        <v>0</v>
      </c>
      <c r="I974" s="342">
        <v>0</v>
      </c>
      <c r="J974" s="342">
        <v>0</v>
      </c>
      <c r="K974" s="342">
        <f>SUM(L974:M974)</f>
        <v>0</v>
      </c>
      <c r="L974" s="342">
        <v>0</v>
      </c>
      <c r="M974" s="342">
        <v>0</v>
      </c>
      <c r="N974" s="203" t="s">
        <v>146</v>
      </c>
      <c r="O974" s="306"/>
    </row>
    <row r="975" spans="2:15" ht="18.75" customHeight="1" thickBot="1" x14ac:dyDescent="0.25">
      <c r="B975" s="342">
        <f>SUM(C975:D975)</f>
        <v>3</v>
      </c>
      <c r="C975" s="342">
        <f t="shared" si="322"/>
        <v>1</v>
      </c>
      <c r="D975" s="342">
        <f t="shared" si="322"/>
        <v>2</v>
      </c>
      <c r="E975" s="342">
        <f>SUM(F975:G975)</f>
        <v>0</v>
      </c>
      <c r="F975" s="342">
        <v>0</v>
      </c>
      <c r="G975" s="342">
        <v>0</v>
      </c>
      <c r="H975" s="342">
        <f>SUM(I975:J975)</f>
        <v>0</v>
      </c>
      <c r="I975" s="342">
        <v>0</v>
      </c>
      <c r="J975" s="342">
        <v>0</v>
      </c>
      <c r="K975" s="342">
        <f>SUM(L975:M975)</f>
        <v>3</v>
      </c>
      <c r="L975" s="342">
        <v>1</v>
      </c>
      <c r="M975" s="342">
        <v>2</v>
      </c>
      <c r="N975" s="203" t="s">
        <v>145</v>
      </c>
      <c r="O975" s="306" t="s">
        <v>544</v>
      </c>
    </row>
    <row r="976" spans="2:15" ht="18.75" customHeight="1" thickBot="1" x14ac:dyDescent="0.25">
      <c r="B976" s="342">
        <f t="shared" ref="B976:L976" si="338">SUM(B974:B975)</f>
        <v>6</v>
      </c>
      <c r="C976" s="342">
        <f t="shared" si="338"/>
        <v>4</v>
      </c>
      <c r="D976" s="342">
        <f t="shared" si="338"/>
        <v>2</v>
      </c>
      <c r="E976" s="342">
        <f t="shared" si="338"/>
        <v>3</v>
      </c>
      <c r="F976" s="342">
        <f t="shared" si="338"/>
        <v>3</v>
      </c>
      <c r="G976" s="342">
        <f t="shared" si="338"/>
        <v>0</v>
      </c>
      <c r="H976" s="342">
        <f t="shared" si="338"/>
        <v>0</v>
      </c>
      <c r="I976" s="342">
        <f t="shared" si="338"/>
        <v>0</v>
      </c>
      <c r="J976" s="342">
        <f t="shared" si="338"/>
        <v>0</v>
      </c>
      <c r="K976" s="342">
        <f t="shared" si="338"/>
        <v>3</v>
      </c>
      <c r="L976" s="342">
        <f t="shared" si="338"/>
        <v>1</v>
      </c>
      <c r="M976" s="342">
        <f>SUM(M974:M975)</f>
        <v>2</v>
      </c>
      <c r="N976" s="203" t="s">
        <v>12</v>
      </c>
      <c r="O976" s="307"/>
    </row>
    <row r="977" spans="2:15" ht="18.75" customHeight="1" thickBot="1" x14ac:dyDescent="0.25">
      <c r="B977" s="342">
        <f>SUM(C977:D977)</f>
        <v>11</v>
      </c>
      <c r="C977" s="342">
        <f t="shared" si="322"/>
        <v>11</v>
      </c>
      <c r="D977" s="342">
        <f t="shared" si="322"/>
        <v>0</v>
      </c>
      <c r="E977" s="342">
        <f>SUM(F977:G977)</f>
        <v>7</v>
      </c>
      <c r="F977" s="342">
        <v>7</v>
      </c>
      <c r="G977" s="342">
        <v>0</v>
      </c>
      <c r="H977" s="342">
        <f>SUM(I977:J977)</f>
        <v>4</v>
      </c>
      <c r="I977" s="342">
        <v>4</v>
      </c>
      <c r="J977" s="342">
        <v>0</v>
      </c>
      <c r="K977" s="342">
        <f>SUM(L977:M977)</f>
        <v>0</v>
      </c>
      <c r="L977" s="342">
        <v>0</v>
      </c>
      <c r="M977" s="342">
        <v>0</v>
      </c>
      <c r="N977" s="203" t="s">
        <v>146</v>
      </c>
      <c r="O977" s="306"/>
    </row>
    <row r="978" spans="2:15" ht="18.75" customHeight="1" thickBot="1" x14ac:dyDescent="0.25">
      <c r="B978" s="342">
        <f>SUM(C978:D978)</f>
        <v>2</v>
      </c>
      <c r="C978" s="342">
        <f t="shared" si="322"/>
        <v>1</v>
      </c>
      <c r="D978" s="342">
        <f t="shared" si="322"/>
        <v>1</v>
      </c>
      <c r="E978" s="342">
        <f>SUM(F978:G978)</f>
        <v>0</v>
      </c>
      <c r="F978" s="342">
        <v>0</v>
      </c>
      <c r="G978" s="342">
        <v>0</v>
      </c>
      <c r="H978" s="342">
        <f>SUM(I978:J978)</f>
        <v>0</v>
      </c>
      <c r="I978" s="342">
        <v>0</v>
      </c>
      <c r="J978" s="342">
        <v>0</v>
      </c>
      <c r="K978" s="342">
        <f>SUM(L978:M978)</f>
        <v>2</v>
      </c>
      <c r="L978" s="342">
        <v>1</v>
      </c>
      <c r="M978" s="342">
        <v>1</v>
      </c>
      <c r="N978" s="203" t="s">
        <v>145</v>
      </c>
      <c r="O978" s="306" t="s">
        <v>778</v>
      </c>
    </row>
    <row r="979" spans="2:15" ht="18.75" customHeight="1" thickBot="1" x14ac:dyDescent="0.25">
      <c r="B979" s="342">
        <f t="shared" ref="B979:L979" si="339">SUM(B977:B978)</f>
        <v>13</v>
      </c>
      <c r="C979" s="342">
        <f t="shared" si="339"/>
        <v>12</v>
      </c>
      <c r="D979" s="342">
        <f t="shared" si="339"/>
        <v>1</v>
      </c>
      <c r="E979" s="342">
        <f t="shared" si="339"/>
        <v>7</v>
      </c>
      <c r="F979" s="342">
        <f t="shared" si="339"/>
        <v>7</v>
      </c>
      <c r="G979" s="342">
        <f t="shared" si="339"/>
        <v>0</v>
      </c>
      <c r="H979" s="342">
        <f t="shared" si="339"/>
        <v>4</v>
      </c>
      <c r="I979" s="342">
        <f t="shared" si="339"/>
        <v>4</v>
      </c>
      <c r="J979" s="342">
        <f t="shared" si="339"/>
        <v>0</v>
      </c>
      <c r="K979" s="342">
        <f t="shared" si="339"/>
        <v>2</v>
      </c>
      <c r="L979" s="342">
        <f t="shared" si="339"/>
        <v>1</v>
      </c>
      <c r="M979" s="342">
        <f>SUM(M977:M978)</f>
        <v>1</v>
      </c>
      <c r="N979" s="203" t="s">
        <v>12</v>
      </c>
      <c r="O979" s="307"/>
    </row>
    <row r="980" spans="2:15" ht="18.75" customHeight="1" thickBot="1" x14ac:dyDescent="0.25">
      <c r="B980" s="342">
        <f>SUM(C980:D980)</f>
        <v>4</v>
      </c>
      <c r="C980" s="342">
        <f t="shared" si="322"/>
        <v>4</v>
      </c>
      <c r="D980" s="342">
        <f t="shared" si="322"/>
        <v>0</v>
      </c>
      <c r="E980" s="342">
        <f>SUM(F980:G980)</f>
        <v>4</v>
      </c>
      <c r="F980" s="342">
        <v>4</v>
      </c>
      <c r="G980" s="342">
        <v>0</v>
      </c>
      <c r="H980" s="342">
        <f>SUM(I980:J980)</f>
        <v>0</v>
      </c>
      <c r="I980" s="342">
        <v>0</v>
      </c>
      <c r="J980" s="342">
        <v>0</v>
      </c>
      <c r="K980" s="342">
        <f>SUM(L980:M980)</f>
        <v>0</v>
      </c>
      <c r="L980" s="342">
        <v>0</v>
      </c>
      <c r="M980" s="342">
        <v>0</v>
      </c>
      <c r="N980" s="203" t="s">
        <v>146</v>
      </c>
      <c r="O980" s="306"/>
    </row>
    <row r="981" spans="2:15" ht="18.75" customHeight="1" thickBot="1" x14ac:dyDescent="0.25">
      <c r="B981" s="342">
        <f>SUM(C981:D981)</f>
        <v>7</v>
      </c>
      <c r="C981" s="342">
        <f t="shared" si="322"/>
        <v>5</v>
      </c>
      <c r="D981" s="342">
        <f t="shared" si="322"/>
        <v>2</v>
      </c>
      <c r="E981" s="342">
        <f>SUM(F981:G981)</f>
        <v>0</v>
      </c>
      <c r="F981" s="342">
        <v>0</v>
      </c>
      <c r="G981" s="342">
        <v>0</v>
      </c>
      <c r="H981" s="342">
        <f>SUM(I981:J981)</f>
        <v>0</v>
      </c>
      <c r="I981" s="342">
        <v>0</v>
      </c>
      <c r="J981" s="342">
        <v>0</v>
      </c>
      <c r="K981" s="342">
        <f>SUM(L981:M981)</f>
        <v>7</v>
      </c>
      <c r="L981" s="342">
        <v>5</v>
      </c>
      <c r="M981" s="342">
        <v>2</v>
      </c>
      <c r="N981" s="203" t="s">
        <v>145</v>
      </c>
      <c r="O981" s="306" t="s">
        <v>801</v>
      </c>
    </row>
    <row r="982" spans="2:15" ht="18.75" customHeight="1" thickBot="1" x14ac:dyDescent="0.25">
      <c r="B982" s="342">
        <f t="shared" ref="B982:L982" si="340">SUM(B980:B981)</f>
        <v>11</v>
      </c>
      <c r="C982" s="342">
        <f t="shared" si="340"/>
        <v>9</v>
      </c>
      <c r="D982" s="342">
        <f t="shared" si="340"/>
        <v>2</v>
      </c>
      <c r="E982" s="342">
        <f t="shared" si="340"/>
        <v>4</v>
      </c>
      <c r="F982" s="342">
        <f t="shared" si="340"/>
        <v>4</v>
      </c>
      <c r="G982" s="342">
        <f t="shared" si="340"/>
        <v>0</v>
      </c>
      <c r="H982" s="342">
        <f t="shared" si="340"/>
        <v>0</v>
      </c>
      <c r="I982" s="342">
        <f t="shared" si="340"/>
        <v>0</v>
      </c>
      <c r="J982" s="342">
        <f t="shared" si="340"/>
        <v>0</v>
      </c>
      <c r="K982" s="342">
        <f t="shared" si="340"/>
        <v>7</v>
      </c>
      <c r="L982" s="342">
        <f t="shared" si="340"/>
        <v>5</v>
      </c>
      <c r="M982" s="342">
        <f>SUM(M980:M981)</f>
        <v>2</v>
      </c>
      <c r="N982" s="203" t="s">
        <v>12</v>
      </c>
      <c r="O982" s="307"/>
    </row>
    <row r="983" spans="2:15" ht="18.75" customHeight="1" thickBot="1" x14ac:dyDescent="0.25">
      <c r="B983" s="342">
        <f>SUM(C983:D983)</f>
        <v>123</v>
      </c>
      <c r="C983" s="342">
        <f t="shared" si="322"/>
        <v>123</v>
      </c>
      <c r="D983" s="342">
        <f t="shared" si="322"/>
        <v>0</v>
      </c>
      <c r="E983" s="342">
        <f>SUM(F983:G983)</f>
        <v>6</v>
      </c>
      <c r="F983" s="342">
        <v>6</v>
      </c>
      <c r="G983" s="342">
        <v>0</v>
      </c>
      <c r="H983" s="342">
        <f>SUM(I983:J983)</f>
        <v>48</v>
      </c>
      <c r="I983" s="342">
        <v>48</v>
      </c>
      <c r="J983" s="342">
        <v>0</v>
      </c>
      <c r="K983" s="342">
        <f>SUM(L983:M983)</f>
        <v>69</v>
      </c>
      <c r="L983" s="342">
        <v>69</v>
      </c>
      <c r="M983" s="342">
        <v>0</v>
      </c>
      <c r="N983" s="203" t="s">
        <v>146</v>
      </c>
      <c r="O983" s="306"/>
    </row>
    <row r="984" spans="2:15" ht="18.75" customHeight="1" thickBot="1" x14ac:dyDescent="0.25">
      <c r="B984" s="342">
        <f>SUM(C984:D984)</f>
        <v>2</v>
      </c>
      <c r="C984" s="342">
        <f t="shared" si="322"/>
        <v>1</v>
      </c>
      <c r="D984" s="342">
        <f t="shared" si="322"/>
        <v>1</v>
      </c>
      <c r="E984" s="342">
        <f>SUM(F984:G984)</f>
        <v>0</v>
      </c>
      <c r="F984" s="342">
        <v>0</v>
      </c>
      <c r="G984" s="342">
        <v>0</v>
      </c>
      <c r="H984" s="342">
        <f>SUM(I984:J984)</f>
        <v>1</v>
      </c>
      <c r="I984" s="342">
        <v>1</v>
      </c>
      <c r="J984" s="342">
        <v>0</v>
      </c>
      <c r="K984" s="342">
        <f>SUM(L984:M984)</f>
        <v>1</v>
      </c>
      <c r="L984" s="342">
        <v>0</v>
      </c>
      <c r="M984" s="342">
        <v>1</v>
      </c>
      <c r="N984" s="203" t="s">
        <v>145</v>
      </c>
      <c r="O984" s="306" t="s">
        <v>549</v>
      </c>
    </row>
    <row r="985" spans="2:15" ht="18.75" customHeight="1" thickBot="1" x14ac:dyDescent="0.25">
      <c r="B985" s="342">
        <f t="shared" ref="B985:L985" si="341">SUM(B983:B984)</f>
        <v>125</v>
      </c>
      <c r="C985" s="342">
        <f t="shared" si="341"/>
        <v>124</v>
      </c>
      <c r="D985" s="342">
        <f t="shared" si="341"/>
        <v>1</v>
      </c>
      <c r="E985" s="342">
        <f t="shared" si="341"/>
        <v>6</v>
      </c>
      <c r="F985" s="342">
        <f t="shared" si="341"/>
        <v>6</v>
      </c>
      <c r="G985" s="342">
        <f t="shared" si="341"/>
        <v>0</v>
      </c>
      <c r="H985" s="342">
        <f t="shared" si="341"/>
        <v>49</v>
      </c>
      <c r="I985" s="342">
        <f t="shared" si="341"/>
        <v>49</v>
      </c>
      <c r="J985" s="342">
        <f t="shared" si="341"/>
        <v>0</v>
      </c>
      <c r="K985" s="342">
        <f t="shared" si="341"/>
        <v>70</v>
      </c>
      <c r="L985" s="342">
        <f t="shared" si="341"/>
        <v>69</v>
      </c>
      <c r="M985" s="342">
        <f>SUM(M983:M984)</f>
        <v>1</v>
      </c>
      <c r="N985" s="203" t="s">
        <v>12</v>
      </c>
      <c r="O985" s="307"/>
    </row>
    <row r="986" spans="2:15" ht="18.75" customHeight="1" thickBot="1" x14ac:dyDescent="0.25">
      <c r="B986" s="342">
        <f>SUM(C986:D986)</f>
        <v>19</v>
      </c>
      <c r="C986" s="342">
        <f t="shared" si="322"/>
        <v>19</v>
      </c>
      <c r="D986" s="342">
        <f t="shared" si="322"/>
        <v>0</v>
      </c>
      <c r="E986" s="342">
        <f>SUM(F986:G986)</f>
        <v>7</v>
      </c>
      <c r="F986" s="342">
        <v>7</v>
      </c>
      <c r="G986" s="342">
        <v>0</v>
      </c>
      <c r="H986" s="342">
        <f>SUM(I986:J986)</f>
        <v>10</v>
      </c>
      <c r="I986" s="342">
        <v>10</v>
      </c>
      <c r="J986" s="342">
        <v>0</v>
      </c>
      <c r="K986" s="342">
        <f>SUM(L986:M986)</f>
        <v>2</v>
      </c>
      <c r="L986" s="342">
        <v>2</v>
      </c>
      <c r="M986" s="342">
        <v>0</v>
      </c>
      <c r="N986" s="203" t="s">
        <v>146</v>
      </c>
      <c r="O986" s="306"/>
    </row>
    <row r="987" spans="2:15" ht="18.75" customHeight="1" thickBot="1" x14ac:dyDescent="0.25">
      <c r="B987" s="342">
        <f>SUM(C987:D987)</f>
        <v>3</v>
      </c>
      <c r="C987" s="342">
        <f t="shared" si="322"/>
        <v>1</v>
      </c>
      <c r="D987" s="342">
        <f t="shared" si="322"/>
        <v>2</v>
      </c>
      <c r="E987" s="342">
        <f>SUM(F987:G987)</f>
        <v>0</v>
      </c>
      <c r="F987" s="342">
        <v>0</v>
      </c>
      <c r="G987" s="342">
        <v>0</v>
      </c>
      <c r="H987" s="342">
        <f>SUM(I987:J987)</f>
        <v>0</v>
      </c>
      <c r="I987" s="342">
        <v>0</v>
      </c>
      <c r="J987" s="342">
        <v>0</v>
      </c>
      <c r="K987" s="342">
        <f>SUM(L987:M987)</f>
        <v>3</v>
      </c>
      <c r="L987" s="342">
        <v>1</v>
      </c>
      <c r="M987" s="342">
        <v>2</v>
      </c>
      <c r="N987" s="203" t="s">
        <v>145</v>
      </c>
      <c r="O987" s="306" t="s">
        <v>550</v>
      </c>
    </row>
    <row r="988" spans="2:15" ht="18.75" customHeight="1" thickBot="1" x14ac:dyDescent="0.25">
      <c r="B988" s="342">
        <f t="shared" ref="B988:L988" si="342">SUM(B986:B987)</f>
        <v>22</v>
      </c>
      <c r="C988" s="342">
        <f t="shared" si="342"/>
        <v>20</v>
      </c>
      <c r="D988" s="342">
        <f t="shared" si="342"/>
        <v>2</v>
      </c>
      <c r="E988" s="342">
        <f t="shared" si="342"/>
        <v>7</v>
      </c>
      <c r="F988" s="342">
        <f t="shared" si="342"/>
        <v>7</v>
      </c>
      <c r="G988" s="342">
        <f t="shared" si="342"/>
        <v>0</v>
      </c>
      <c r="H988" s="342">
        <f t="shared" si="342"/>
        <v>10</v>
      </c>
      <c r="I988" s="342">
        <f t="shared" si="342"/>
        <v>10</v>
      </c>
      <c r="J988" s="342">
        <f t="shared" si="342"/>
        <v>0</v>
      </c>
      <c r="K988" s="342">
        <f t="shared" si="342"/>
        <v>5</v>
      </c>
      <c r="L988" s="342">
        <f t="shared" si="342"/>
        <v>3</v>
      </c>
      <c r="M988" s="342">
        <f>SUM(M986:M987)</f>
        <v>2</v>
      </c>
      <c r="N988" s="203" t="s">
        <v>12</v>
      </c>
      <c r="O988" s="307"/>
    </row>
    <row r="989" spans="2:15" ht="18.75" customHeight="1" thickBot="1" x14ac:dyDescent="0.25">
      <c r="B989" s="342">
        <f>SUM(C989:D989)</f>
        <v>1</v>
      </c>
      <c r="C989" s="342">
        <f t="shared" si="322"/>
        <v>1</v>
      </c>
      <c r="D989" s="342">
        <f t="shared" si="322"/>
        <v>0</v>
      </c>
      <c r="E989" s="342">
        <f>SUM(F989:G989)</f>
        <v>1</v>
      </c>
      <c r="F989" s="342">
        <v>1</v>
      </c>
      <c r="G989" s="342">
        <v>0</v>
      </c>
      <c r="H989" s="342">
        <f>SUM(I989:J989)</f>
        <v>0</v>
      </c>
      <c r="I989" s="342">
        <v>0</v>
      </c>
      <c r="J989" s="342">
        <v>0</v>
      </c>
      <c r="K989" s="342">
        <f>SUM(L989:M989)</f>
        <v>0</v>
      </c>
      <c r="L989" s="342">
        <v>0</v>
      </c>
      <c r="M989" s="342">
        <v>0</v>
      </c>
      <c r="N989" s="203" t="s">
        <v>146</v>
      </c>
      <c r="O989" s="306"/>
    </row>
    <row r="990" spans="2:15" ht="18.75" customHeight="1" thickBot="1" x14ac:dyDescent="0.25">
      <c r="B990" s="342">
        <f>SUM(C990:D990)</f>
        <v>2</v>
      </c>
      <c r="C990" s="342">
        <f t="shared" si="322"/>
        <v>1</v>
      </c>
      <c r="D990" s="342">
        <f t="shared" si="322"/>
        <v>1</v>
      </c>
      <c r="E990" s="342">
        <f>SUM(F990:G990)</f>
        <v>0</v>
      </c>
      <c r="F990" s="342">
        <v>0</v>
      </c>
      <c r="G990" s="342">
        <v>0</v>
      </c>
      <c r="H990" s="342">
        <f>SUM(I990:J990)</f>
        <v>0</v>
      </c>
      <c r="I990" s="342">
        <v>0</v>
      </c>
      <c r="J990" s="342">
        <v>0</v>
      </c>
      <c r="K990" s="342">
        <f>SUM(L990:M990)</f>
        <v>2</v>
      </c>
      <c r="L990" s="342">
        <v>1</v>
      </c>
      <c r="M990" s="342">
        <v>1</v>
      </c>
      <c r="N990" s="203" t="s">
        <v>145</v>
      </c>
      <c r="O990" s="306" t="s">
        <v>551</v>
      </c>
    </row>
    <row r="991" spans="2:15" ht="18.75" customHeight="1" thickBot="1" x14ac:dyDescent="0.25">
      <c r="B991" s="342">
        <f t="shared" ref="B991:L991" si="343">SUM(B989:B990)</f>
        <v>3</v>
      </c>
      <c r="C991" s="342">
        <f t="shared" si="343"/>
        <v>2</v>
      </c>
      <c r="D991" s="342">
        <f t="shared" si="343"/>
        <v>1</v>
      </c>
      <c r="E991" s="342">
        <f t="shared" si="343"/>
        <v>1</v>
      </c>
      <c r="F991" s="342">
        <f t="shared" si="343"/>
        <v>1</v>
      </c>
      <c r="G991" s="342">
        <f t="shared" si="343"/>
        <v>0</v>
      </c>
      <c r="H991" s="342">
        <f t="shared" si="343"/>
        <v>0</v>
      </c>
      <c r="I991" s="342">
        <f t="shared" si="343"/>
        <v>0</v>
      </c>
      <c r="J991" s="342">
        <f t="shared" si="343"/>
        <v>0</v>
      </c>
      <c r="K991" s="342">
        <f t="shared" si="343"/>
        <v>2</v>
      </c>
      <c r="L991" s="342">
        <f t="shared" si="343"/>
        <v>1</v>
      </c>
      <c r="M991" s="342">
        <f>SUM(M989:M990)</f>
        <v>1</v>
      </c>
      <c r="N991" s="203" t="s">
        <v>12</v>
      </c>
      <c r="O991" s="307"/>
    </row>
    <row r="992" spans="2:15" ht="18.75" customHeight="1" thickBot="1" x14ac:dyDescent="0.25">
      <c r="B992" s="342">
        <f>SUM(C992:D992)</f>
        <v>1</v>
      </c>
      <c r="C992" s="342">
        <f t="shared" si="322"/>
        <v>1</v>
      </c>
      <c r="D992" s="342">
        <f t="shared" si="322"/>
        <v>0</v>
      </c>
      <c r="E992" s="342">
        <f>SUM(F992:G992)</f>
        <v>0</v>
      </c>
      <c r="F992" s="342">
        <v>0</v>
      </c>
      <c r="G992" s="342">
        <v>0</v>
      </c>
      <c r="H992" s="342">
        <f>SUM(I992:J992)</f>
        <v>0</v>
      </c>
      <c r="I992" s="342">
        <v>0</v>
      </c>
      <c r="J992" s="342">
        <v>0</v>
      </c>
      <c r="K992" s="342">
        <f>SUM(L992:M992)</f>
        <v>1</v>
      </c>
      <c r="L992" s="342">
        <v>1</v>
      </c>
      <c r="M992" s="342">
        <v>0</v>
      </c>
      <c r="N992" s="203" t="s">
        <v>146</v>
      </c>
      <c r="O992" s="306"/>
    </row>
    <row r="993" spans="2:15" ht="18.75" customHeight="1" thickBot="1" x14ac:dyDescent="0.25">
      <c r="B993" s="342">
        <f>SUM(C993:D993)</f>
        <v>0</v>
      </c>
      <c r="C993" s="342">
        <f t="shared" si="322"/>
        <v>0</v>
      </c>
      <c r="D993" s="342">
        <f t="shared" si="322"/>
        <v>0</v>
      </c>
      <c r="E993" s="342">
        <f>SUM(F993:G993)</f>
        <v>0</v>
      </c>
      <c r="F993" s="342">
        <v>0</v>
      </c>
      <c r="G993" s="342">
        <v>0</v>
      </c>
      <c r="H993" s="342">
        <f>SUM(I993:J993)</f>
        <v>0</v>
      </c>
      <c r="I993" s="342">
        <v>0</v>
      </c>
      <c r="J993" s="342">
        <v>0</v>
      </c>
      <c r="K993" s="342">
        <f>SUM(L993:M993)</f>
        <v>0</v>
      </c>
      <c r="L993" s="342">
        <v>0</v>
      </c>
      <c r="M993" s="342">
        <v>0</v>
      </c>
      <c r="N993" s="203" t="s">
        <v>145</v>
      </c>
      <c r="O993" s="306" t="s">
        <v>120</v>
      </c>
    </row>
    <row r="994" spans="2:15" ht="18.75" customHeight="1" thickBot="1" x14ac:dyDescent="0.25">
      <c r="B994" s="342">
        <f t="shared" ref="B994:L994" si="344">SUM(B992:B993)</f>
        <v>1</v>
      </c>
      <c r="C994" s="342">
        <f t="shared" si="344"/>
        <v>1</v>
      </c>
      <c r="D994" s="342">
        <f t="shared" si="344"/>
        <v>0</v>
      </c>
      <c r="E994" s="342">
        <f t="shared" si="344"/>
        <v>0</v>
      </c>
      <c r="F994" s="342">
        <f t="shared" si="344"/>
        <v>0</v>
      </c>
      <c r="G994" s="342">
        <f t="shared" si="344"/>
        <v>0</v>
      </c>
      <c r="H994" s="342">
        <f t="shared" si="344"/>
        <v>0</v>
      </c>
      <c r="I994" s="342">
        <f t="shared" si="344"/>
        <v>0</v>
      </c>
      <c r="J994" s="342">
        <f t="shared" si="344"/>
        <v>0</v>
      </c>
      <c r="K994" s="342">
        <f t="shared" si="344"/>
        <v>1</v>
      </c>
      <c r="L994" s="342">
        <f t="shared" si="344"/>
        <v>1</v>
      </c>
      <c r="M994" s="342">
        <f>SUM(M992:M993)</f>
        <v>0</v>
      </c>
      <c r="N994" s="203" t="s">
        <v>12</v>
      </c>
      <c r="O994" s="307"/>
    </row>
    <row r="995" spans="2:15" ht="18.75" customHeight="1" thickBot="1" x14ac:dyDescent="0.25">
      <c r="B995" s="342">
        <f>SUM(C995:D995)</f>
        <v>17</v>
      </c>
      <c r="C995" s="342">
        <f t="shared" ref="C995:D996" si="345">L995+I995+F995</f>
        <v>17</v>
      </c>
      <c r="D995" s="342">
        <f t="shared" si="345"/>
        <v>0</v>
      </c>
      <c r="E995" s="342">
        <f>SUM(F995:G995)</f>
        <v>7</v>
      </c>
      <c r="F995" s="342">
        <v>7</v>
      </c>
      <c r="G995" s="342">
        <v>0</v>
      </c>
      <c r="H995" s="342">
        <f>SUM(I995:J995)</f>
        <v>10</v>
      </c>
      <c r="I995" s="342">
        <v>10</v>
      </c>
      <c r="J995" s="342">
        <v>0</v>
      </c>
      <c r="K995" s="342">
        <f>SUM(L995:M995)</f>
        <v>0</v>
      </c>
      <c r="L995" s="342">
        <v>0</v>
      </c>
      <c r="M995" s="342">
        <v>0</v>
      </c>
      <c r="N995" s="203" t="s">
        <v>146</v>
      </c>
      <c r="O995" s="306"/>
    </row>
    <row r="996" spans="2:15" ht="18.75" customHeight="1" thickBot="1" x14ac:dyDescent="0.25">
      <c r="B996" s="342">
        <f>SUM(C996:D996)</f>
        <v>3</v>
      </c>
      <c r="C996" s="342">
        <f t="shared" si="345"/>
        <v>0</v>
      </c>
      <c r="D996" s="342">
        <f t="shared" si="345"/>
        <v>3</v>
      </c>
      <c r="E996" s="342">
        <f>SUM(F996:G996)</f>
        <v>0</v>
      </c>
      <c r="F996" s="342">
        <v>0</v>
      </c>
      <c r="G996" s="342">
        <v>0</v>
      </c>
      <c r="H996" s="342">
        <f>SUM(I996:J996)</f>
        <v>0</v>
      </c>
      <c r="I996" s="342">
        <v>0</v>
      </c>
      <c r="J996" s="342">
        <v>0</v>
      </c>
      <c r="K996" s="342">
        <f>SUM(L996:M996)</f>
        <v>3</v>
      </c>
      <c r="L996" s="342">
        <v>0</v>
      </c>
      <c r="M996" s="342">
        <v>3</v>
      </c>
      <c r="N996" s="203" t="s">
        <v>145</v>
      </c>
      <c r="O996" s="306" t="s">
        <v>802</v>
      </c>
    </row>
    <row r="997" spans="2:15" ht="18.75" customHeight="1" thickBot="1" x14ac:dyDescent="0.25">
      <c r="B997" s="342">
        <f t="shared" ref="B997:L997" si="346">SUM(B995:B996)</f>
        <v>20</v>
      </c>
      <c r="C997" s="342">
        <f t="shared" si="346"/>
        <v>17</v>
      </c>
      <c r="D997" s="342">
        <f t="shared" si="346"/>
        <v>3</v>
      </c>
      <c r="E997" s="342">
        <f t="shared" si="346"/>
        <v>7</v>
      </c>
      <c r="F997" s="342">
        <f t="shared" si="346"/>
        <v>7</v>
      </c>
      <c r="G997" s="342">
        <f t="shared" si="346"/>
        <v>0</v>
      </c>
      <c r="H997" s="342">
        <f t="shared" si="346"/>
        <v>10</v>
      </c>
      <c r="I997" s="342">
        <f t="shared" si="346"/>
        <v>10</v>
      </c>
      <c r="J997" s="342">
        <f t="shared" si="346"/>
        <v>0</v>
      </c>
      <c r="K997" s="342">
        <f t="shared" si="346"/>
        <v>3</v>
      </c>
      <c r="L997" s="342">
        <f t="shared" si="346"/>
        <v>0</v>
      </c>
      <c r="M997" s="342">
        <f>SUM(M995:M996)</f>
        <v>3</v>
      </c>
      <c r="N997" s="203" t="s">
        <v>12</v>
      </c>
      <c r="O997" s="307"/>
    </row>
    <row r="998" spans="2:15" ht="18.75" customHeight="1" thickBot="1" x14ac:dyDescent="0.25">
      <c r="B998" s="342">
        <f t="shared" ref="B998:M1000" si="347">B929+B932+B935+B938+B941+B944+B947+B950+B953+B956+B959+B962+B965+B968+B971+B974+B977+B980+B983+B986+B989+B992+B995</f>
        <v>860</v>
      </c>
      <c r="C998" s="342">
        <f t="shared" si="347"/>
        <v>860</v>
      </c>
      <c r="D998" s="342">
        <f t="shared" si="347"/>
        <v>0</v>
      </c>
      <c r="E998" s="342">
        <f t="shared" si="347"/>
        <v>119</v>
      </c>
      <c r="F998" s="342">
        <f t="shared" si="347"/>
        <v>119</v>
      </c>
      <c r="G998" s="342">
        <f t="shared" si="347"/>
        <v>0</v>
      </c>
      <c r="H998" s="342">
        <f t="shared" si="347"/>
        <v>343</v>
      </c>
      <c r="I998" s="342">
        <f t="shared" si="347"/>
        <v>343</v>
      </c>
      <c r="J998" s="342">
        <f t="shared" si="347"/>
        <v>0</v>
      </c>
      <c r="K998" s="342">
        <f t="shared" si="347"/>
        <v>398</v>
      </c>
      <c r="L998" s="342">
        <f t="shared" si="347"/>
        <v>398</v>
      </c>
      <c r="M998" s="342">
        <f t="shared" si="347"/>
        <v>0</v>
      </c>
      <c r="N998" s="203" t="s">
        <v>146</v>
      </c>
      <c r="O998" s="280"/>
    </row>
    <row r="999" spans="2:15" ht="18.75" customHeight="1" thickBot="1" x14ac:dyDescent="0.25">
      <c r="B999" s="342">
        <f t="shared" si="347"/>
        <v>63</v>
      </c>
      <c r="C999" s="342">
        <f t="shared" si="347"/>
        <v>31</v>
      </c>
      <c r="D999" s="342">
        <f t="shared" si="347"/>
        <v>32</v>
      </c>
      <c r="E999" s="342">
        <f t="shared" si="347"/>
        <v>0</v>
      </c>
      <c r="F999" s="342">
        <f t="shared" si="347"/>
        <v>0</v>
      </c>
      <c r="G999" s="342">
        <f t="shared" si="347"/>
        <v>0</v>
      </c>
      <c r="H999" s="342">
        <f t="shared" si="347"/>
        <v>1</v>
      </c>
      <c r="I999" s="342">
        <f t="shared" si="347"/>
        <v>1</v>
      </c>
      <c r="J999" s="342">
        <f t="shared" si="347"/>
        <v>0</v>
      </c>
      <c r="K999" s="342">
        <f t="shared" si="347"/>
        <v>62</v>
      </c>
      <c r="L999" s="342">
        <f t="shared" si="347"/>
        <v>30</v>
      </c>
      <c r="M999" s="342">
        <f t="shared" si="347"/>
        <v>32</v>
      </c>
      <c r="N999" s="203" t="s">
        <v>145</v>
      </c>
      <c r="O999" s="281" t="s">
        <v>188</v>
      </c>
    </row>
    <row r="1000" spans="2:15" ht="18.75" customHeight="1" thickBot="1" x14ac:dyDescent="0.25">
      <c r="B1000" s="342">
        <f t="shared" si="347"/>
        <v>923</v>
      </c>
      <c r="C1000" s="342">
        <f t="shared" si="347"/>
        <v>891</v>
      </c>
      <c r="D1000" s="342">
        <f t="shared" si="347"/>
        <v>32</v>
      </c>
      <c r="E1000" s="342">
        <f t="shared" si="347"/>
        <v>119</v>
      </c>
      <c r="F1000" s="342">
        <f t="shared" si="347"/>
        <v>119</v>
      </c>
      <c r="G1000" s="342">
        <f t="shared" si="347"/>
        <v>0</v>
      </c>
      <c r="H1000" s="342">
        <f t="shared" si="347"/>
        <v>344</v>
      </c>
      <c r="I1000" s="342">
        <f t="shared" si="347"/>
        <v>344</v>
      </c>
      <c r="J1000" s="342">
        <f t="shared" si="347"/>
        <v>0</v>
      </c>
      <c r="K1000" s="342">
        <f t="shared" si="347"/>
        <v>460</v>
      </c>
      <c r="L1000" s="342">
        <f t="shared" si="347"/>
        <v>428</v>
      </c>
      <c r="M1000" s="342">
        <f t="shared" si="347"/>
        <v>32</v>
      </c>
      <c r="N1000" s="203" t="s">
        <v>12</v>
      </c>
      <c r="O1000" s="282"/>
    </row>
    <row r="1001" spans="2:15" ht="18.75" customHeight="1" thickBot="1" x14ac:dyDescent="0.25">
      <c r="B1001" s="589"/>
      <c r="C1001" s="589"/>
      <c r="D1001" s="589"/>
      <c r="E1001" s="589"/>
      <c r="F1001" s="589"/>
      <c r="G1001" s="589"/>
      <c r="H1001" s="589"/>
      <c r="I1001" s="589"/>
      <c r="J1001" s="589"/>
      <c r="K1001" s="589"/>
      <c r="L1001" s="589"/>
    </row>
    <row r="1002" spans="2:15" ht="18.75" customHeight="1" thickBot="1" x14ac:dyDescent="0.25">
      <c r="B1002" s="482" t="s">
        <v>4</v>
      </c>
      <c r="C1002" s="482"/>
      <c r="D1002" s="482"/>
      <c r="E1002" s="482" t="s">
        <v>60</v>
      </c>
      <c r="F1002" s="482"/>
      <c r="G1002" s="482"/>
      <c r="H1002" s="482" t="s">
        <v>57</v>
      </c>
      <c r="I1002" s="482"/>
      <c r="J1002" s="482"/>
      <c r="K1002" s="482" t="s">
        <v>56</v>
      </c>
      <c r="L1002" s="482"/>
      <c r="M1002" s="482"/>
      <c r="N1002" s="575" t="s">
        <v>792</v>
      </c>
      <c r="O1002" s="304" t="s">
        <v>144</v>
      </c>
    </row>
    <row r="1003" spans="2:15" ht="18.75" customHeight="1" thickBot="1" x14ac:dyDescent="0.25">
      <c r="B1003" s="203" t="s">
        <v>227</v>
      </c>
      <c r="C1003" s="203" t="s">
        <v>10</v>
      </c>
      <c r="D1003" s="203" t="s">
        <v>9</v>
      </c>
      <c r="E1003" s="203" t="s">
        <v>227</v>
      </c>
      <c r="F1003" s="203" t="s">
        <v>10</v>
      </c>
      <c r="G1003" s="203" t="s">
        <v>9</v>
      </c>
      <c r="H1003" s="203" t="s">
        <v>227</v>
      </c>
      <c r="I1003" s="203" t="s">
        <v>10</v>
      </c>
      <c r="J1003" s="203" t="s">
        <v>9</v>
      </c>
      <c r="K1003" s="203" t="s">
        <v>227</v>
      </c>
      <c r="L1003" s="203" t="s">
        <v>10</v>
      </c>
      <c r="M1003" s="203" t="s">
        <v>9</v>
      </c>
      <c r="N1003" s="481"/>
      <c r="O1003" s="282" t="s">
        <v>123</v>
      </c>
    </row>
    <row r="1004" spans="2:15" ht="18.75" customHeight="1" thickBot="1" x14ac:dyDescent="0.25">
      <c r="B1004" s="342">
        <f>SUM(C1004:D1004)</f>
        <v>0</v>
      </c>
      <c r="C1004" s="342">
        <f>L1004+I1004+F1004</f>
        <v>0</v>
      </c>
      <c r="D1004" s="342">
        <f>M1004+J1004+G1004</f>
        <v>0</v>
      </c>
      <c r="E1004" s="342">
        <f>SUM(F1004:G1004)</f>
        <v>0</v>
      </c>
      <c r="F1004" s="342">
        <v>0</v>
      </c>
      <c r="G1004" s="342">
        <v>0</v>
      </c>
      <c r="H1004" s="342">
        <f>SUM(I1004:J1004)</f>
        <v>0</v>
      </c>
      <c r="I1004" s="342">
        <v>0</v>
      </c>
      <c r="J1004" s="342">
        <v>0</v>
      </c>
      <c r="K1004" s="342">
        <f>SUM(L1004:M1004)</f>
        <v>0</v>
      </c>
      <c r="L1004" s="342">
        <v>0</v>
      </c>
      <c r="M1004" s="342">
        <v>0</v>
      </c>
      <c r="N1004" s="203" t="s">
        <v>146</v>
      </c>
      <c r="O1004" s="306"/>
    </row>
    <row r="1005" spans="2:15" ht="18.75" customHeight="1" thickBot="1" x14ac:dyDescent="0.25">
      <c r="B1005" s="342">
        <f>SUM(C1005:D1005)</f>
        <v>43</v>
      </c>
      <c r="C1005" s="342">
        <f>L1005+I1005+F1005</f>
        <v>0</v>
      </c>
      <c r="D1005" s="342">
        <f>M1005+J1005+G1005</f>
        <v>43</v>
      </c>
      <c r="E1005" s="342">
        <f>SUM(F1005:G1005)</f>
        <v>0</v>
      </c>
      <c r="F1005" s="342">
        <v>0</v>
      </c>
      <c r="G1005" s="342">
        <v>0</v>
      </c>
      <c r="H1005" s="342">
        <f>SUM(I1005:J1005)</f>
        <v>6</v>
      </c>
      <c r="I1005" s="342">
        <v>0</v>
      </c>
      <c r="J1005" s="342">
        <v>6</v>
      </c>
      <c r="K1005" s="342">
        <f>SUM(L1005:M1005)</f>
        <v>37</v>
      </c>
      <c r="L1005" s="342">
        <v>0</v>
      </c>
      <c r="M1005" s="342">
        <v>37</v>
      </c>
      <c r="N1005" s="203" t="s">
        <v>145</v>
      </c>
      <c r="O1005" s="306" t="s">
        <v>558</v>
      </c>
    </row>
    <row r="1006" spans="2:15" ht="18.75" customHeight="1" thickBot="1" x14ac:dyDescent="0.25">
      <c r="B1006" s="342">
        <f t="shared" ref="B1006:M1006" si="348">SUM(B1004:B1005)</f>
        <v>43</v>
      </c>
      <c r="C1006" s="342">
        <f t="shared" si="348"/>
        <v>0</v>
      </c>
      <c r="D1006" s="342">
        <f t="shared" si="348"/>
        <v>43</v>
      </c>
      <c r="E1006" s="342">
        <f t="shared" si="348"/>
        <v>0</v>
      </c>
      <c r="F1006" s="342">
        <f t="shared" si="348"/>
        <v>0</v>
      </c>
      <c r="G1006" s="342">
        <f t="shared" si="348"/>
        <v>0</v>
      </c>
      <c r="H1006" s="342">
        <f t="shared" si="348"/>
        <v>6</v>
      </c>
      <c r="I1006" s="342">
        <f t="shared" si="348"/>
        <v>0</v>
      </c>
      <c r="J1006" s="342">
        <f t="shared" si="348"/>
        <v>6</v>
      </c>
      <c r="K1006" s="342">
        <f t="shared" si="348"/>
        <v>37</v>
      </c>
      <c r="L1006" s="342">
        <f t="shared" si="348"/>
        <v>0</v>
      </c>
      <c r="M1006" s="342">
        <f t="shared" si="348"/>
        <v>37</v>
      </c>
      <c r="N1006" s="203" t="s">
        <v>12</v>
      </c>
      <c r="O1006" s="307"/>
    </row>
    <row r="1007" spans="2:15" ht="18.75" customHeight="1" thickBot="1" x14ac:dyDescent="0.25">
      <c r="B1007" s="342">
        <f>SUM(C1007:D1007)</f>
        <v>2</v>
      </c>
      <c r="C1007" s="342">
        <f>L1007+I1007+F1007</f>
        <v>2</v>
      </c>
      <c r="D1007" s="342">
        <f>M1007+J1007+G1007</f>
        <v>0</v>
      </c>
      <c r="E1007" s="342">
        <f>SUM(F1007:G1007)</f>
        <v>2</v>
      </c>
      <c r="F1007" s="342">
        <v>2</v>
      </c>
      <c r="G1007" s="342">
        <v>0</v>
      </c>
      <c r="H1007" s="342">
        <f>SUM(I1007:J1007)</f>
        <v>0</v>
      </c>
      <c r="I1007" s="342">
        <v>0</v>
      </c>
      <c r="J1007" s="342">
        <v>0</v>
      </c>
      <c r="K1007" s="342">
        <f>SUM(L1007:M1007)</f>
        <v>0</v>
      </c>
      <c r="L1007" s="342">
        <v>0</v>
      </c>
      <c r="M1007" s="342">
        <v>0</v>
      </c>
      <c r="N1007" s="203" t="s">
        <v>146</v>
      </c>
      <c r="O1007" s="306"/>
    </row>
    <row r="1008" spans="2:15" ht="18.75" customHeight="1" thickBot="1" x14ac:dyDescent="0.25">
      <c r="B1008" s="342">
        <f>SUM(C1008:D1008)</f>
        <v>11</v>
      </c>
      <c r="C1008" s="342">
        <f>L1008+I1008+F1008</f>
        <v>11</v>
      </c>
      <c r="D1008" s="342">
        <f>M1008+J1008+G1008</f>
        <v>0</v>
      </c>
      <c r="E1008" s="342">
        <f>SUM(F1008:G1008)</f>
        <v>5</v>
      </c>
      <c r="F1008" s="342">
        <v>5</v>
      </c>
      <c r="G1008" s="342">
        <v>0</v>
      </c>
      <c r="H1008" s="342">
        <f>SUM(I1008:J1008)</f>
        <v>2</v>
      </c>
      <c r="I1008" s="342">
        <v>2</v>
      </c>
      <c r="J1008" s="342">
        <v>0</v>
      </c>
      <c r="K1008" s="342">
        <f>SUM(L1008:M1008)</f>
        <v>4</v>
      </c>
      <c r="L1008" s="342">
        <v>4</v>
      </c>
      <c r="M1008" s="342">
        <v>0</v>
      </c>
      <c r="N1008" s="203" t="s">
        <v>145</v>
      </c>
      <c r="O1008" s="306" t="s">
        <v>122</v>
      </c>
    </row>
    <row r="1009" spans="2:15" ht="18.75" customHeight="1" thickBot="1" x14ac:dyDescent="0.25">
      <c r="B1009" s="342">
        <f t="shared" ref="B1009:M1009" si="349">SUM(B1007:B1008)</f>
        <v>13</v>
      </c>
      <c r="C1009" s="342">
        <f t="shared" si="349"/>
        <v>13</v>
      </c>
      <c r="D1009" s="342">
        <f t="shared" si="349"/>
        <v>0</v>
      </c>
      <c r="E1009" s="342">
        <f t="shared" si="349"/>
        <v>7</v>
      </c>
      <c r="F1009" s="342">
        <f t="shared" si="349"/>
        <v>7</v>
      </c>
      <c r="G1009" s="342">
        <f t="shared" si="349"/>
        <v>0</v>
      </c>
      <c r="H1009" s="342">
        <f t="shared" si="349"/>
        <v>2</v>
      </c>
      <c r="I1009" s="342">
        <f t="shared" si="349"/>
        <v>2</v>
      </c>
      <c r="J1009" s="342">
        <f t="shared" si="349"/>
        <v>0</v>
      </c>
      <c r="K1009" s="342">
        <f t="shared" si="349"/>
        <v>4</v>
      </c>
      <c r="L1009" s="342">
        <f t="shared" si="349"/>
        <v>4</v>
      </c>
      <c r="M1009" s="342">
        <f t="shared" si="349"/>
        <v>0</v>
      </c>
      <c r="N1009" s="203" t="s">
        <v>12</v>
      </c>
      <c r="O1009" s="307"/>
    </row>
    <row r="1010" spans="2:15" ht="18.75" customHeight="1" thickBot="1" x14ac:dyDescent="0.25">
      <c r="B1010" s="342">
        <f>SUM(C1010:D1010)</f>
        <v>88</v>
      </c>
      <c r="C1010" s="342">
        <f>L1010+I1010+F1010</f>
        <v>0</v>
      </c>
      <c r="D1010" s="342">
        <f>M1010+J1010+G1010</f>
        <v>88</v>
      </c>
      <c r="E1010" s="342">
        <f>SUM(F1010:G1010)</f>
        <v>35</v>
      </c>
      <c r="F1010" s="342">
        <v>0</v>
      </c>
      <c r="G1010" s="342">
        <v>35</v>
      </c>
      <c r="H1010" s="342">
        <f>SUM(I1010:J1010)</f>
        <v>45</v>
      </c>
      <c r="I1010" s="342">
        <v>0</v>
      </c>
      <c r="J1010" s="342">
        <v>45</v>
      </c>
      <c r="K1010" s="342">
        <f>SUM(L1010:M1010)</f>
        <v>8</v>
      </c>
      <c r="L1010" s="342">
        <v>0</v>
      </c>
      <c r="M1010" s="342">
        <v>8</v>
      </c>
      <c r="N1010" s="203" t="s">
        <v>146</v>
      </c>
      <c r="O1010" s="306"/>
    </row>
    <row r="1011" spans="2:15" ht="18.75" customHeight="1" thickBot="1" x14ac:dyDescent="0.25">
      <c r="B1011" s="342">
        <f>SUM(C1011:D1011)</f>
        <v>53</v>
      </c>
      <c r="C1011" s="342">
        <f>L1011+I1011+F1011</f>
        <v>0</v>
      </c>
      <c r="D1011" s="342">
        <f>M1011+J1011+G1011</f>
        <v>53</v>
      </c>
      <c r="E1011" s="342">
        <f>SUM(F1011:G1011)</f>
        <v>4</v>
      </c>
      <c r="F1011" s="342">
        <v>0</v>
      </c>
      <c r="G1011" s="342">
        <v>4</v>
      </c>
      <c r="H1011" s="342">
        <f>SUM(I1011:J1011)</f>
        <v>13</v>
      </c>
      <c r="I1011" s="342">
        <v>0</v>
      </c>
      <c r="J1011" s="342">
        <v>13</v>
      </c>
      <c r="K1011" s="342">
        <f>SUM(L1011:M1011)</f>
        <v>36</v>
      </c>
      <c r="L1011" s="342">
        <v>0</v>
      </c>
      <c r="M1011" s="342">
        <v>36</v>
      </c>
      <c r="N1011" s="203" t="s">
        <v>145</v>
      </c>
      <c r="O1011" s="306" t="s">
        <v>780</v>
      </c>
    </row>
    <row r="1012" spans="2:15" ht="18.75" customHeight="1" thickBot="1" x14ac:dyDescent="0.25">
      <c r="B1012" s="342">
        <f t="shared" ref="B1012:M1012" si="350">SUM(B1010:B1011)</f>
        <v>141</v>
      </c>
      <c r="C1012" s="342">
        <f t="shared" si="350"/>
        <v>0</v>
      </c>
      <c r="D1012" s="342">
        <f t="shared" si="350"/>
        <v>141</v>
      </c>
      <c r="E1012" s="342">
        <f t="shared" si="350"/>
        <v>39</v>
      </c>
      <c r="F1012" s="342">
        <f t="shared" si="350"/>
        <v>0</v>
      </c>
      <c r="G1012" s="342">
        <f t="shared" si="350"/>
        <v>39</v>
      </c>
      <c r="H1012" s="342">
        <f t="shared" si="350"/>
        <v>58</v>
      </c>
      <c r="I1012" s="342">
        <f t="shared" si="350"/>
        <v>0</v>
      </c>
      <c r="J1012" s="342">
        <f t="shared" si="350"/>
        <v>58</v>
      </c>
      <c r="K1012" s="342">
        <f t="shared" si="350"/>
        <v>44</v>
      </c>
      <c r="L1012" s="342">
        <f t="shared" si="350"/>
        <v>0</v>
      </c>
      <c r="M1012" s="342">
        <f t="shared" si="350"/>
        <v>44</v>
      </c>
      <c r="N1012" s="203" t="s">
        <v>12</v>
      </c>
      <c r="O1012" s="307"/>
    </row>
    <row r="1013" spans="2:15" ht="18.75" customHeight="1" thickBot="1" x14ac:dyDescent="0.25">
      <c r="B1013" s="342">
        <f>SUM(C1013:D1013)</f>
        <v>62</v>
      </c>
      <c r="C1013" s="342">
        <f>L1013+I1013+F1013</f>
        <v>62</v>
      </c>
      <c r="D1013" s="342">
        <f>M1013+J1013+G1013</f>
        <v>0</v>
      </c>
      <c r="E1013" s="342">
        <f>SUM(F1013:G1013)</f>
        <v>51</v>
      </c>
      <c r="F1013" s="342">
        <v>51</v>
      </c>
      <c r="G1013" s="342">
        <v>0</v>
      </c>
      <c r="H1013" s="342">
        <f>SUM(I1013:J1013)</f>
        <v>11</v>
      </c>
      <c r="I1013" s="342">
        <v>11</v>
      </c>
      <c r="J1013" s="342">
        <v>0</v>
      </c>
      <c r="K1013" s="342">
        <f>SUM(L1013:M1013)</f>
        <v>0</v>
      </c>
      <c r="L1013" s="342">
        <v>0</v>
      </c>
      <c r="M1013" s="342">
        <v>0</v>
      </c>
      <c r="N1013" s="203" t="s">
        <v>146</v>
      </c>
      <c r="O1013" s="306"/>
    </row>
    <row r="1014" spans="2:15" ht="18.75" customHeight="1" thickBot="1" x14ac:dyDescent="0.25">
      <c r="B1014" s="342">
        <f>SUM(C1014:D1014)</f>
        <v>60</v>
      </c>
      <c r="C1014" s="342">
        <f>L1014+I1014+F1014</f>
        <v>56</v>
      </c>
      <c r="D1014" s="342">
        <f>M1014+J1014+G1014</f>
        <v>4</v>
      </c>
      <c r="E1014" s="342">
        <f>SUM(F1014:G1014)</f>
        <v>0</v>
      </c>
      <c r="F1014" s="342">
        <v>0</v>
      </c>
      <c r="G1014" s="342">
        <v>0</v>
      </c>
      <c r="H1014" s="342">
        <f>SUM(I1014:J1014)</f>
        <v>29</v>
      </c>
      <c r="I1014" s="342">
        <v>29</v>
      </c>
      <c r="J1014" s="342">
        <v>0</v>
      </c>
      <c r="K1014" s="342">
        <f>SUM(L1014:M1014)</f>
        <v>31</v>
      </c>
      <c r="L1014" s="342">
        <v>27</v>
      </c>
      <c r="M1014" s="342">
        <v>4</v>
      </c>
      <c r="N1014" s="203" t="s">
        <v>145</v>
      </c>
      <c r="O1014" s="306" t="s">
        <v>559</v>
      </c>
    </row>
    <row r="1015" spans="2:15" ht="18.75" customHeight="1" thickBot="1" x14ac:dyDescent="0.25">
      <c r="B1015" s="342">
        <f t="shared" ref="B1015:M1015" si="351">SUM(B1013:B1014)</f>
        <v>122</v>
      </c>
      <c r="C1015" s="342">
        <f t="shared" si="351"/>
        <v>118</v>
      </c>
      <c r="D1015" s="342">
        <f t="shared" si="351"/>
        <v>4</v>
      </c>
      <c r="E1015" s="342">
        <f t="shared" si="351"/>
        <v>51</v>
      </c>
      <c r="F1015" s="342">
        <f t="shared" si="351"/>
        <v>51</v>
      </c>
      <c r="G1015" s="342">
        <f t="shared" si="351"/>
        <v>0</v>
      </c>
      <c r="H1015" s="342">
        <f t="shared" si="351"/>
        <v>40</v>
      </c>
      <c r="I1015" s="342">
        <f t="shared" si="351"/>
        <v>40</v>
      </c>
      <c r="J1015" s="342">
        <f t="shared" si="351"/>
        <v>0</v>
      </c>
      <c r="K1015" s="342">
        <f t="shared" si="351"/>
        <v>31</v>
      </c>
      <c r="L1015" s="342">
        <f t="shared" si="351"/>
        <v>27</v>
      </c>
      <c r="M1015" s="342">
        <f t="shared" si="351"/>
        <v>4</v>
      </c>
      <c r="N1015" s="203" t="s">
        <v>12</v>
      </c>
      <c r="O1015" s="307"/>
    </row>
    <row r="1016" spans="2:15" ht="18.75" customHeight="1" thickBot="1" x14ac:dyDescent="0.25">
      <c r="B1016" s="342">
        <f>SUM(C1016:D1016)</f>
        <v>8</v>
      </c>
      <c r="C1016" s="342">
        <f>L1016+I1016+F1016</f>
        <v>8</v>
      </c>
      <c r="D1016" s="342">
        <f>M1016+J1016+G1016</f>
        <v>0</v>
      </c>
      <c r="E1016" s="342">
        <f>SUM(F1016:G1016)</f>
        <v>7</v>
      </c>
      <c r="F1016" s="342">
        <v>7</v>
      </c>
      <c r="G1016" s="342">
        <v>0</v>
      </c>
      <c r="H1016" s="342">
        <f>SUM(I1016:J1016)</f>
        <v>0</v>
      </c>
      <c r="I1016" s="342">
        <v>0</v>
      </c>
      <c r="J1016" s="342">
        <v>0</v>
      </c>
      <c r="K1016" s="342">
        <f>SUM(L1016:M1016)</f>
        <v>1</v>
      </c>
      <c r="L1016" s="342">
        <v>1</v>
      </c>
      <c r="M1016" s="342">
        <v>0</v>
      </c>
      <c r="N1016" s="203" t="s">
        <v>146</v>
      </c>
      <c r="O1016" s="306"/>
    </row>
    <row r="1017" spans="2:15" ht="18.75" customHeight="1" thickBot="1" x14ac:dyDescent="0.25">
      <c r="B1017" s="342">
        <f>SUM(C1017:D1017)</f>
        <v>14</v>
      </c>
      <c r="C1017" s="342">
        <f>L1017+I1017+F1017</f>
        <v>14</v>
      </c>
      <c r="D1017" s="342">
        <f>M1017+J1017+G1017</f>
        <v>0</v>
      </c>
      <c r="E1017" s="342">
        <f>SUM(F1017:G1017)</f>
        <v>3</v>
      </c>
      <c r="F1017" s="342">
        <v>3</v>
      </c>
      <c r="G1017" s="342">
        <v>0</v>
      </c>
      <c r="H1017" s="342">
        <f>SUM(I1017:J1017)</f>
        <v>1</v>
      </c>
      <c r="I1017" s="342">
        <v>1</v>
      </c>
      <c r="J1017" s="342">
        <v>0</v>
      </c>
      <c r="K1017" s="342">
        <f>SUM(L1017:M1017)</f>
        <v>10</v>
      </c>
      <c r="L1017" s="342">
        <v>10</v>
      </c>
      <c r="M1017" s="342">
        <v>0</v>
      </c>
      <c r="N1017" s="203" t="s">
        <v>145</v>
      </c>
      <c r="O1017" s="306" t="s">
        <v>287</v>
      </c>
    </row>
    <row r="1018" spans="2:15" ht="18.75" customHeight="1" thickBot="1" x14ac:dyDescent="0.25">
      <c r="B1018" s="342">
        <f t="shared" ref="B1018:M1018" si="352">SUM(B1016:B1017)</f>
        <v>22</v>
      </c>
      <c r="C1018" s="342">
        <f t="shared" si="352"/>
        <v>22</v>
      </c>
      <c r="D1018" s="342">
        <f t="shared" si="352"/>
        <v>0</v>
      </c>
      <c r="E1018" s="342">
        <f t="shared" si="352"/>
        <v>10</v>
      </c>
      <c r="F1018" s="342">
        <f t="shared" si="352"/>
        <v>10</v>
      </c>
      <c r="G1018" s="342">
        <f t="shared" si="352"/>
        <v>0</v>
      </c>
      <c r="H1018" s="342">
        <f t="shared" si="352"/>
        <v>1</v>
      </c>
      <c r="I1018" s="342">
        <f t="shared" si="352"/>
        <v>1</v>
      </c>
      <c r="J1018" s="342">
        <f t="shared" si="352"/>
        <v>0</v>
      </c>
      <c r="K1018" s="342">
        <f t="shared" si="352"/>
        <v>11</v>
      </c>
      <c r="L1018" s="342">
        <f t="shared" si="352"/>
        <v>11</v>
      </c>
      <c r="M1018" s="342">
        <f t="shared" si="352"/>
        <v>0</v>
      </c>
      <c r="N1018" s="203" t="s">
        <v>12</v>
      </c>
      <c r="O1018" s="307"/>
    </row>
    <row r="1019" spans="2:15" ht="18.75" customHeight="1" thickBot="1" x14ac:dyDescent="0.25">
      <c r="B1019" s="342">
        <f>SUM(C1019:D1019)</f>
        <v>4</v>
      </c>
      <c r="C1019" s="342">
        <f>L1019+I1019+F1019</f>
        <v>0</v>
      </c>
      <c r="D1019" s="342">
        <f>M1019+J1019+G1019</f>
        <v>4</v>
      </c>
      <c r="E1019" s="342">
        <f>SUM(F1019:G1019)</f>
        <v>1</v>
      </c>
      <c r="F1019" s="342">
        <v>0</v>
      </c>
      <c r="G1019" s="342">
        <v>1</v>
      </c>
      <c r="H1019" s="342">
        <f>SUM(I1019:J1019)</f>
        <v>0</v>
      </c>
      <c r="I1019" s="342">
        <v>0</v>
      </c>
      <c r="J1019" s="342">
        <v>0</v>
      </c>
      <c r="K1019" s="342">
        <f>SUM(L1019:M1019)</f>
        <v>3</v>
      </c>
      <c r="L1019" s="342">
        <v>0</v>
      </c>
      <c r="M1019" s="342">
        <v>3</v>
      </c>
      <c r="N1019" s="203" t="s">
        <v>146</v>
      </c>
      <c r="O1019" s="306"/>
    </row>
    <row r="1020" spans="2:15" ht="18.75" customHeight="1" thickBot="1" x14ac:dyDescent="0.25">
      <c r="B1020" s="342">
        <f>SUM(C1020:D1020)</f>
        <v>11</v>
      </c>
      <c r="C1020" s="342">
        <f>L1020+I1020+F1020</f>
        <v>0</v>
      </c>
      <c r="D1020" s="342">
        <f>M1020+J1020+G1020</f>
        <v>11</v>
      </c>
      <c r="E1020" s="342">
        <f>SUM(F1020:G1020)</f>
        <v>1</v>
      </c>
      <c r="F1020" s="342">
        <v>0</v>
      </c>
      <c r="G1020" s="342">
        <v>1</v>
      </c>
      <c r="H1020" s="342">
        <f>SUM(I1020:J1020)</f>
        <v>6</v>
      </c>
      <c r="I1020" s="342">
        <v>0</v>
      </c>
      <c r="J1020" s="342">
        <v>6</v>
      </c>
      <c r="K1020" s="342">
        <f>SUM(L1020:M1020)</f>
        <v>4</v>
      </c>
      <c r="L1020" s="342">
        <v>0</v>
      </c>
      <c r="M1020" s="342">
        <v>4</v>
      </c>
      <c r="N1020" s="203" t="s">
        <v>145</v>
      </c>
      <c r="O1020" s="306" t="s">
        <v>124</v>
      </c>
    </row>
    <row r="1021" spans="2:15" ht="18.75" customHeight="1" thickBot="1" x14ac:dyDescent="0.25">
      <c r="B1021" s="342">
        <f t="shared" ref="B1021:M1021" si="353">SUM(B1019:B1020)</f>
        <v>15</v>
      </c>
      <c r="C1021" s="342">
        <f t="shared" si="353"/>
        <v>0</v>
      </c>
      <c r="D1021" s="342">
        <f t="shared" si="353"/>
        <v>15</v>
      </c>
      <c r="E1021" s="342">
        <f t="shared" si="353"/>
        <v>2</v>
      </c>
      <c r="F1021" s="342">
        <f t="shared" si="353"/>
        <v>0</v>
      </c>
      <c r="G1021" s="342">
        <f t="shared" si="353"/>
        <v>2</v>
      </c>
      <c r="H1021" s="342">
        <f t="shared" si="353"/>
        <v>6</v>
      </c>
      <c r="I1021" s="342">
        <f t="shared" si="353"/>
        <v>0</v>
      </c>
      <c r="J1021" s="342">
        <f t="shared" si="353"/>
        <v>6</v>
      </c>
      <c r="K1021" s="342">
        <f t="shared" si="353"/>
        <v>7</v>
      </c>
      <c r="L1021" s="342">
        <f t="shared" si="353"/>
        <v>0</v>
      </c>
      <c r="M1021" s="342">
        <f t="shared" si="353"/>
        <v>7</v>
      </c>
      <c r="N1021" s="203" t="s">
        <v>12</v>
      </c>
      <c r="O1021" s="307"/>
    </row>
    <row r="1022" spans="2:15" ht="18.75" customHeight="1" thickBot="1" x14ac:dyDescent="0.25">
      <c r="B1022" s="342">
        <f t="shared" ref="B1022:M1024" si="354">B1004+B1007+B1010+B1013+B1016+B1019</f>
        <v>164</v>
      </c>
      <c r="C1022" s="342">
        <f t="shared" si="354"/>
        <v>72</v>
      </c>
      <c r="D1022" s="342">
        <f t="shared" si="354"/>
        <v>92</v>
      </c>
      <c r="E1022" s="342">
        <f t="shared" si="354"/>
        <v>96</v>
      </c>
      <c r="F1022" s="342">
        <f t="shared" si="354"/>
        <v>60</v>
      </c>
      <c r="G1022" s="342">
        <f t="shared" si="354"/>
        <v>36</v>
      </c>
      <c r="H1022" s="342">
        <f t="shared" si="354"/>
        <v>56</v>
      </c>
      <c r="I1022" s="342">
        <f t="shared" si="354"/>
        <v>11</v>
      </c>
      <c r="J1022" s="342">
        <f t="shared" si="354"/>
        <v>45</v>
      </c>
      <c r="K1022" s="342">
        <f t="shared" si="354"/>
        <v>12</v>
      </c>
      <c r="L1022" s="342">
        <f t="shared" si="354"/>
        <v>1</v>
      </c>
      <c r="M1022" s="342">
        <f t="shared" si="354"/>
        <v>11</v>
      </c>
      <c r="N1022" s="203" t="s">
        <v>146</v>
      </c>
      <c r="O1022" s="280"/>
    </row>
    <row r="1023" spans="2:15" ht="18.75" customHeight="1" thickBot="1" x14ac:dyDescent="0.25">
      <c r="B1023" s="342">
        <f t="shared" si="354"/>
        <v>192</v>
      </c>
      <c r="C1023" s="342">
        <f t="shared" si="354"/>
        <v>81</v>
      </c>
      <c r="D1023" s="342">
        <f t="shared" si="354"/>
        <v>111</v>
      </c>
      <c r="E1023" s="342">
        <f t="shared" si="354"/>
        <v>13</v>
      </c>
      <c r="F1023" s="342">
        <f t="shared" si="354"/>
        <v>8</v>
      </c>
      <c r="G1023" s="342">
        <f t="shared" si="354"/>
        <v>5</v>
      </c>
      <c r="H1023" s="342">
        <f t="shared" si="354"/>
        <v>57</v>
      </c>
      <c r="I1023" s="342">
        <f t="shared" si="354"/>
        <v>32</v>
      </c>
      <c r="J1023" s="342">
        <f t="shared" si="354"/>
        <v>25</v>
      </c>
      <c r="K1023" s="342">
        <f t="shared" si="354"/>
        <v>122</v>
      </c>
      <c r="L1023" s="342">
        <f t="shared" si="354"/>
        <v>41</v>
      </c>
      <c r="M1023" s="342">
        <f t="shared" si="354"/>
        <v>81</v>
      </c>
      <c r="N1023" s="203" t="s">
        <v>145</v>
      </c>
      <c r="O1023" s="281" t="s">
        <v>188</v>
      </c>
    </row>
    <row r="1024" spans="2:15" ht="18.75" customHeight="1" thickBot="1" x14ac:dyDescent="0.25">
      <c r="B1024" s="342">
        <f t="shared" si="354"/>
        <v>356</v>
      </c>
      <c r="C1024" s="342">
        <f t="shared" si="354"/>
        <v>153</v>
      </c>
      <c r="D1024" s="342">
        <f t="shared" si="354"/>
        <v>203</v>
      </c>
      <c r="E1024" s="342">
        <f t="shared" si="354"/>
        <v>109</v>
      </c>
      <c r="F1024" s="342">
        <f t="shared" si="354"/>
        <v>68</v>
      </c>
      <c r="G1024" s="342">
        <f t="shared" si="354"/>
        <v>41</v>
      </c>
      <c r="H1024" s="342">
        <f t="shared" si="354"/>
        <v>113</v>
      </c>
      <c r="I1024" s="342">
        <f t="shared" si="354"/>
        <v>43</v>
      </c>
      <c r="J1024" s="342">
        <f t="shared" si="354"/>
        <v>70</v>
      </c>
      <c r="K1024" s="342">
        <f t="shared" si="354"/>
        <v>134</v>
      </c>
      <c r="L1024" s="342">
        <f t="shared" si="354"/>
        <v>42</v>
      </c>
      <c r="M1024" s="342">
        <f t="shared" si="354"/>
        <v>92</v>
      </c>
      <c r="N1024" s="203" t="s">
        <v>12</v>
      </c>
      <c r="O1024" s="282"/>
    </row>
    <row r="1025" spans="2:15" ht="18.75" customHeight="1" thickBot="1" x14ac:dyDescent="0.25">
      <c r="B1025" s="589"/>
      <c r="C1025" s="589"/>
      <c r="D1025" s="589"/>
      <c r="E1025" s="589"/>
      <c r="F1025" s="589"/>
      <c r="G1025" s="589"/>
      <c r="H1025" s="589"/>
      <c r="I1025" s="589"/>
      <c r="J1025" s="589"/>
      <c r="K1025" s="589"/>
      <c r="L1025" s="589"/>
    </row>
    <row r="1026" spans="2:15" ht="18.75" customHeight="1" thickBot="1" x14ac:dyDescent="0.25">
      <c r="B1026" s="482" t="s">
        <v>4</v>
      </c>
      <c r="C1026" s="482"/>
      <c r="D1026" s="482"/>
      <c r="E1026" s="482" t="s">
        <v>60</v>
      </c>
      <c r="F1026" s="482"/>
      <c r="G1026" s="482"/>
      <c r="H1026" s="482" t="s">
        <v>57</v>
      </c>
      <c r="I1026" s="482"/>
      <c r="J1026" s="482"/>
      <c r="K1026" s="482" t="s">
        <v>56</v>
      </c>
      <c r="L1026" s="482"/>
      <c r="M1026" s="482"/>
      <c r="N1026" s="575" t="s">
        <v>792</v>
      </c>
      <c r="O1026" s="202" t="s">
        <v>144</v>
      </c>
    </row>
    <row r="1027" spans="2:15" ht="18.75" customHeight="1" thickBot="1" x14ac:dyDescent="0.25">
      <c r="B1027" s="203" t="s">
        <v>227</v>
      </c>
      <c r="C1027" s="203" t="s">
        <v>10</v>
      </c>
      <c r="D1027" s="203" t="s">
        <v>9</v>
      </c>
      <c r="E1027" s="203" t="s">
        <v>227</v>
      </c>
      <c r="F1027" s="203" t="s">
        <v>10</v>
      </c>
      <c r="G1027" s="203" t="s">
        <v>9</v>
      </c>
      <c r="H1027" s="203" t="s">
        <v>227</v>
      </c>
      <c r="I1027" s="203" t="s">
        <v>10</v>
      </c>
      <c r="J1027" s="203" t="s">
        <v>9</v>
      </c>
      <c r="K1027" s="203" t="s">
        <v>227</v>
      </c>
      <c r="L1027" s="203" t="s">
        <v>10</v>
      </c>
      <c r="M1027" s="203" t="s">
        <v>9</v>
      </c>
      <c r="N1027" s="481"/>
      <c r="O1027" s="187" t="s">
        <v>151</v>
      </c>
    </row>
    <row r="1028" spans="2:15" ht="18.75" customHeight="1" thickBot="1" x14ac:dyDescent="0.25">
      <c r="B1028" s="342">
        <f>SUM(C1028:D1028)</f>
        <v>435</v>
      </c>
      <c r="C1028" s="342">
        <f>L1028+I1028+F1028</f>
        <v>0</v>
      </c>
      <c r="D1028" s="342">
        <f>M1028+J1028+G1028</f>
        <v>435</v>
      </c>
      <c r="E1028" s="342">
        <f>SUM(F1028:G1028)</f>
        <v>378</v>
      </c>
      <c r="F1028" s="342">
        <v>0</v>
      </c>
      <c r="G1028" s="342">
        <v>378</v>
      </c>
      <c r="H1028" s="342">
        <f>SUM(I1028:J1028)</f>
        <v>18</v>
      </c>
      <c r="I1028" s="342">
        <v>0</v>
      </c>
      <c r="J1028" s="342">
        <v>18</v>
      </c>
      <c r="K1028" s="342">
        <f>SUM(L1028:M1028)</f>
        <v>39</v>
      </c>
      <c r="L1028" s="342">
        <v>0</v>
      </c>
      <c r="M1028" s="342">
        <v>39</v>
      </c>
      <c r="N1028" s="203" t="s">
        <v>146</v>
      </c>
      <c r="O1028" s="293"/>
    </row>
    <row r="1029" spans="2:15" ht="18.75" customHeight="1" thickBot="1" x14ac:dyDescent="0.25">
      <c r="B1029" s="342">
        <f>SUM(C1029:D1029)</f>
        <v>35</v>
      </c>
      <c r="C1029" s="342">
        <f>L1029+I1029+F1029</f>
        <v>0</v>
      </c>
      <c r="D1029" s="342">
        <f>M1029+J1029+G1029</f>
        <v>35</v>
      </c>
      <c r="E1029" s="342">
        <f>SUM(F1029:G1029)</f>
        <v>18</v>
      </c>
      <c r="F1029" s="342">
        <v>0</v>
      </c>
      <c r="G1029" s="342">
        <v>18</v>
      </c>
      <c r="H1029" s="342">
        <f>SUM(I1029:J1029)</f>
        <v>9</v>
      </c>
      <c r="I1029" s="342">
        <v>0</v>
      </c>
      <c r="J1029" s="342">
        <v>9</v>
      </c>
      <c r="K1029" s="342">
        <f>SUM(L1029:M1029)</f>
        <v>8</v>
      </c>
      <c r="L1029" s="342">
        <v>0</v>
      </c>
      <c r="M1029" s="342">
        <v>8</v>
      </c>
      <c r="N1029" s="203" t="s">
        <v>145</v>
      </c>
      <c r="O1029" s="293" t="s">
        <v>290</v>
      </c>
    </row>
    <row r="1030" spans="2:15" ht="18.75" customHeight="1" thickBot="1" x14ac:dyDescent="0.25">
      <c r="B1030" s="342">
        <f t="shared" ref="B1030:M1030" si="355">SUM(B1028:B1029)</f>
        <v>470</v>
      </c>
      <c r="C1030" s="342">
        <f t="shared" si="355"/>
        <v>0</v>
      </c>
      <c r="D1030" s="342">
        <f t="shared" si="355"/>
        <v>470</v>
      </c>
      <c r="E1030" s="342">
        <f t="shared" si="355"/>
        <v>396</v>
      </c>
      <c r="F1030" s="342">
        <f t="shared" si="355"/>
        <v>0</v>
      </c>
      <c r="G1030" s="342">
        <f t="shared" si="355"/>
        <v>396</v>
      </c>
      <c r="H1030" s="342">
        <f t="shared" si="355"/>
        <v>27</v>
      </c>
      <c r="I1030" s="342">
        <f t="shared" si="355"/>
        <v>0</v>
      </c>
      <c r="J1030" s="342">
        <f t="shared" si="355"/>
        <v>27</v>
      </c>
      <c r="K1030" s="342">
        <f t="shared" si="355"/>
        <v>47</v>
      </c>
      <c r="L1030" s="342">
        <f t="shared" si="355"/>
        <v>0</v>
      </c>
      <c r="M1030" s="342">
        <f t="shared" si="355"/>
        <v>47</v>
      </c>
      <c r="N1030" s="203" t="s">
        <v>12</v>
      </c>
      <c r="O1030" s="285"/>
    </row>
    <row r="1031" spans="2:15" ht="18.75" customHeight="1" thickBot="1" x14ac:dyDescent="0.25">
      <c r="B1031" s="342">
        <f>SUM(C1031:D1031)</f>
        <v>108</v>
      </c>
      <c r="C1031" s="342">
        <f>L1031+I1031+F1031</f>
        <v>0</v>
      </c>
      <c r="D1031" s="342">
        <f>M1031+J1031+G1031</f>
        <v>108</v>
      </c>
      <c r="E1031" s="342">
        <f>SUM(F1031:G1031)</f>
        <v>98</v>
      </c>
      <c r="F1031" s="342">
        <v>0</v>
      </c>
      <c r="G1031" s="342">
        <v>98</v>
      </c>
      <c r="H1031" s="342">
        <f>SUM(I1031:J1031)</f>
        <v>6</v>
      </c>
      <c r="I1031" s="342">
        <v>0</v>
      </c>
      <c r="J1031" s="342">
        <v>6</v>
      </c>
      <c r="K1031" s="342">
        <f>SUM(L1031:M1031)</f>
        <v>4</v>
      </c>
      <c r="L1031" s="342">
        <v>0</v>
      </c>
      <c r="M1031" s="342">
        <v>4</v>
      </c>
      <c r="N1031" s="203" t="s">
        <v>146</v>
      </c>
      <c r="O1031" s="293"/>
    </row>
    <row r="1032" spans="2:15" ht="18.75" customHeight="1" thickBot="1" x14ac:dyDescent="0.25">
      <c r="B1032" s="342">
        <f>SUM(C1032:D1032)</f>
        <v>16</v>
      </c>
      <c r="C1032" s="342">
        <f>L1032+I1032+F1032</f>
        <v>0</v>
      </c>
      <c r="D1032" s="342">
        <f>M1032+J1032+G1032</f>
        <v>16</v>
      </c>
      <c r="E1032" s="342">
        <f>SUM(F1032:G1032)</f>
        <v>9</v>
      </c>
      <c r="F1032" s="342">
        <v>0</v>
      </c>
      <c r="G1032" s="342">
        <v>9</v>
      </c>
      <c r="H1032" s="342">
        <f>SUM(I1032:J1032)</f>
        <v>1</v>
      </c>
      <c r="I1032" s="342">
        <v>0</v>
      </c>
      <c r="J1032" s="342">
        <v>1</v>
      </c>
      <c r="K1032" s="342">
        <f>SUM(L1032:M1032)</f>
        <v>6</v>
      </c>
      <c r="L1032" s="342">
        <v>0</v>
      </c>
      <c r="M1032" s="342">
        <v>6</v>
      </c>
      <c r="N1032" s="203" t="s">
        <v>145</v>
      </c>
      <c r="O1032" s="293" t="s">
        <v>803</v>
      </c>
    </row>
    <row r="1033" spans="2:15" ht="18.75" customHeight="1" thickBot="1" x14ac:dyDescent="0.25">
      <c r="B1033" s="342">
        <f t="shared" ref="B1033:M1033" si="356">SUM(B1031:B1032)</f>
        <v>124</v>
      </c>
      <c r="C1033" s="342">
        <f t="shared" si="356"/>
        <v>0</v>
      </c>
      <c r="D1033" s="342">
        <f t="shared" si="356"/>
        <v>124</v>
      </c>
      <c r="E1033" s="342">
        <f t="shared" si="356"/>
        <v>107</v>
      </c>
      <c r="F1033" s="342">
        <f t="shared" si="356"/>
        <v>0</v>
      </c>
      <c r="G1033" s="342">
        <f t="shared" si="356"/>
        <v>107</v>
      </c>
      <c r="H1033" s="342">
        <f t="shared" si="356"/>
        <v>7</v>
      </c>
      <c r="I1033" s="342">
        <f t="shared" si="356"/>
        <v>0</v>
      </c>
      <c r="J1033" s="342">
        <f t="shared" si="356"/>
        <v>7</v>
      </c>
      <c r="K1033" s="342">
        <f t="shared" si="356"/>
        <v>10</v>
      </c>
      <c r="L1033" s="342">
        <f t="shared" si="356"/>
        <v>0</v>
      </c>
      <c r="M1033" s="342">
        <f t="shared" si="356"/>
        <v>10</v>
      </c>
      <c r="N1033" s="203" t="s">
        <v>12</v>
      </c>
      <c r="O1033" s="285"/>
    </row>
    <row r="1034" spans="2:15" ht="18.75" customHeight="1" thickBot="1" x14ac:dyDescent="0.25">
      <c r="B1034" s="342">
        <f>SUM(C1034:D1034)</f>
        <v>249</v>
      </c>
      <c r="C1034" s="342">
        <f>L1034+I1034+F1034</f>
        <v>0</v>
      </c>
      <c r="D1034" s="342">
        <f>M1034+J1034+G1034</f>
        <v>249</v>
      </c>
      <c r="E1034" s="342">
        <f>SUM(F1034:G1034)</f>
        <v>227</v>
      </c>
      <c r="F1034" s="342">
        <v>0</v>
      </c>
      <c r="G1034" s="342">
        <v>227</v>
      </c>
      <c r="H1034" s="342">
        <f>SUM(I1034:J1034)</f>
        <v>11</v>
      </c>
      <c r="I1034" s="342">
        <v>0</v>
      </c>
      <c r="J1034" s="342">
        <v>11</v>
      </c>
      <c r="K1034" s="342">
        <f>SUM(L1034:M1034)</f>
        <v>11</v>
      </c>
      <c r="L1034" s="342">
        <v>0</v>
      </c>
      <c r="M1034" s="342">
        <v>11</v>
      </c>
      <c r="N1034" s="203" t="s">
        <v>146</v>
      </c>
      <c r="O1034" s="293"/>
    </row>
    <row r="1035" spans="2:15" ht="18.75" customHeight="1" thickBot="1" x14ac:dyDescent="0.25">
      <c r="B1035" s="342">
        <f>SUM(C1035:D1035)</f>
        <v>20</v>
      </c>
      <c r="C1035" s="342">
        <f>L1035+I1035+F1035</f>
        <v>0</v>
      </c>
      <c r="D1035" s="342">
        <f>M1035+J1035+G1035</f>
        <v>20</v>
      </c>
      <c r="E1035" s="342">
        <f>SUM(F1035:G1035)</f>
        <v>7</v>
      </c>
      <c r="F1035" s="342">
        <v>0</v>
      </c>
      <c r="G1035" s="342">
        <v>7</v>
      </c>
      <c r="H1035" s="342">
        <f>SUM(I1035:J1035)</f>
        <v>5</v>
      </c>
      <c r="I1035" s="342">
        <v>0</v>
      </c>
      <c r="J1035" s="342">
        <v>5</v>
      </c>
      <c r="K1035" s="342">
        <f>SUM(L1035:M1035)</f>
        <v>8</v>
      </c>
      <c r="L1035" s="342">
        <v>0</v>
      </c>
      <c r="M1035" s="342">
        <v>8</v>
      </c>
      <c r="N1035" s="203" t="s">
        <v>145</v>
      </c>
      <c r="O1035" s="293" t="s">
        <v>292</v>
      </c>
    </row>
    <row r="1036" spans="2:15" ht="18.75" customHeight="1" thickBot="1" x14ac:dyDescent="0.25">
      <c r="B1036" s="342">
        <f t="shared" ref="B1036:M1036" si="357">SUM(B1034:B1035)</f>
        <v>269</v>
      </c>
      <c r="C1036" s="342">
        <f t="shared" si="357"/>
        <v>0</v>
      </c>
      <c r="D1036" s="342">
        <f t="shared" si="357"/>
        <v>269</v>
      </c>
      <c r="E1036" s="342">
        <f t="shared" si="357"/>
        <v>234</v>
      </c>
      <c r="F1036" s="342">
        <f t="shared" si="357"/>
        <v>0</v>
      </c>
      <c r="G1036" s="342">
        <f t="shared" si="357"/>
        <v>234</v>
      </c>
      <c r="H1036" s="342">
        <f t="shared" si="357"/>
        <v>16</v>
      </c>
      <c r="I1036" s="342">
        <f t="shared" si="357"/>
        <v>0</v>
      </c>
      <c r="J1036" s="342">
        <f t="shared" si="357"/>
        <v>16</v>
      </c>
      <c r="K1036" s="342">
        <f t="shared" si="357"/>
        <v>19</v>
      </c>
      <c r="L1036" s="342">
        <f t="shared" si="357"/>
        <v>0</v>
      </c>
      <c r="M1036" s="342">
        <f t="shared" si="357"/>
        <v>19</v>
      </c>
      <c r="N1036" s="203" t="s">
        <v>12</v>
      </c>
      <c r="O1036" s="285"/>
    </row>
    <row r="1037" spans="2:15" ht="18.75" customHeight="1" thickBot="1" x14ac:dyDescent="0.25">
      <c r="B1037" s="342">
        <f>SUM(C1037:D1037)</f>
        <v>79</v>
      </c>
      <c r="C1037" s="342">
        <f>L1037+I1037+F1037</f>
        <v>0</v>
      </c>
      <c r="D1037" s="342">
        <f>M1037+J1037+G1037</f>
        <v>79</v>
      </c>
      <c r="E1037" s="342">
        <f>SUM(F1037:G1037)</f>
        <v>74</v>
      </c>
      <c r="F1037" s="342">
        <v>0</v>
      </c>
      <c r="G1037" s="342">
        <v>74</v>
      </c>
      <c r="H1037" s="342">
        <f>SUM(I1037:J1037)</f>
        <v>2</v>
      </c>
      <c r="I1037" s="342">
        <v>0</v>
      </c>
      <c r="J1037" s="342">
        <v>2</v>
      </c>
      <c r="K1037" s="342">
        <f>SUM(L1037:M1037)</f>
        <v>3</v>
      </c>
      <c r="L1037" s="342">
        <v>0</v>
      </c>
      <c r="M1037" s="342">
        <v>3</v>
      </c>
      <c r="N1037" s="203" t="s">
        <v>146</v>
      </c>
      <c r="O1037" s="293"/>
    </row>
    <row r="1038" spans="2:15" ht="18.75" customHeight="1" thickBot="1" x14ac:dyDescent="0.25">
      <c r="B1038" s="342">
        <f>SUM(C1038:D1038)</f>
        <v>22</v>
      </c>
      <c r="C1038" s="342">
        <f>L1038+I1038+F1038</f>
        <v>0</v>
      </c>
      <c r="D1038" s="342">
        <f>M1038+J1038+G1038</f>
        <v>22</v>
      </c>
      <c r="E1038" s="342">
        <f>SUM(F1038:G1038)</f>
        <v>12</v>
      </c>
      <c r="F1038" s="342">
        <v>0</v>
      </c>
      <c r="G1038" s="342">
        <v>12</v>
      </c>
      <c r="H1038" s="342">
        <f>SUM(I1038:J1038)</f>
        <v>6</v>
      </c>
      <c r="I1038" s="342">
        <v>0</v>
      </c>
      <c r="J1038" s="342">
        <v>6</v>
      </c>
      <c r="K1038" s="342">
        <f>SUM(L1038:M1038)</f>
        <v>4</v>
      </c>
      <c r="L1038" s="342">
        <v>0</v>
      </c>
      <c r="M1038" s="342">
        <v>4</v>
      </c>
      <c r="N1038" s="203" t="s">
        <v>145</v>
      </c>
      <c r="O1038" s="293" t="s">
        <v>293</v>
      </c>
    </row>
    <row r="1039" spans="2:15" ht="18.75" customHeight="1" thickBot="1" x14ac:dyDescent="0.25">
      <c r="B1039" s="342">
        <f t="shared" ref="B1039:M1039" si="358">SUM(B1037:B1038)</f>
        <v>101</v>
      </c>
      <c r="C1039" s="342">
        <f t="shared" si="358"/>
        <v>0</v>
      </c>
      <c r="D1039" s="342">
        <f t="shared" si="358"/>
        <v>101</v>
      </c>
      <c r="E1039" s="342">
        <f t="shared" si="358"/>
        <v>86</v>
      </c>
      <c r="F1039" s="342">
        <f t="shared" si="358"/>
        <v>0</v>
      </c>
      <c r="G1039" s="342">
        <f t="shared" si="358"/>
        <v>86</v>
      </c>
      <c r="H1039" s="342">
        <f t="shared" si="358"/>
        <v>8</v>
      </c>
      <c r="I1039" s="342">
        <f t="shared" si="358"/>
        <v>0</v>
      </c>
      <c r="J1039" s="342">
        <f t="shared" si="358"/>
        <v>8</v>
      </c>
      <c r="K1039" s="342">
        <f t="shared" si="358"/>
        <v>7</v>
      </c>
      <c r="L1039" s="342">
        <f t="shared" si="358"/>
        <v>0</v>
      </c>
      <c r="M1039" s="342">
        <f t="shared" si="358"/>
        <v>7</v>
      </c>
      <c r="N1039" s="203" t="s">
        <v>12</v>
      </c>
      <c r="O1039" s="285"/>
    </row>
    <row r="1040" spans="2:15" ht="18.75" customHeight="1" thickBot="1" x14ac:dyDescent="0.25">
      <c r="B1040" s="342">
        <f>SUM(C1040:D1040)</f>
        <v>160</v>
      </c>
      <c r="C1040" s="342">
        <f>L1040+I1040+F1040</f>
        <v>0</v>
      </c>
      <c r="D1040" s="342">
        <f>M1040+J1040+G1040</f>
        <v>160</v>
      </c>
      <c r="E1040" s="342">
        <f>SUM(F1040:G1040)</f>
        <v>125</v>
      </c>
      <c r="F1040" s="342">
        <v>0</v>
      </c>
      <c r="G1040" s="342">
        <v>125</v>
      </c>
      <c r="H1040" s="342">
        <f>SUM(I1040:J1040)</f>
        <v>28</v>
      </c>
      <c r="I1040" s="342">
        <v>0</v>
      </c>
      <c r="J1040" s="342">
        <v>28</v>
      </c>
      <c r="K1040" s="342">
        <f>SUM(L1040:M1040)</f>
        <v>7</v>
      </c>
      <c r="L1040" s="342">
        <v>0</v>
      </c>
      <c r="M1040" s="342">
        <v>7</v>
      </c>
      <c r="N1040" s="203" t="s">
        <v>146</v>
      </c>
      <c r="O1040" s="293"/>
    </row>
    <row r="1041" spans="2:15" ht="18.75" customHeight="1" thickBot="1" x14ac:dyDescent="0.25">
      <c r="B1041" s="342">
        <f>SUM(C1041:D1041)</f>
        <v>25</v>
      </c>
      <c r="C1041" s="342">
        <f>L1041+I1041+F1041</f>
        <v>0</v>
      </c>
      <c r="D1041" s="342">
        <f>M1041+J1041+G1041</f>
        <v>25</v>
      </c>
      <c r="E1041" s="342">
        <f>SUM(F1041:G1041)</f>
        <v>11</v>
      </c>
      <c r="F1041" s="342">
        <v>0</v>
      </c>
      <c r="G1041" s="342">
        <v>11</v>
      </c>
      <c r="H1041" s="342">
        <f>SUM(I1041:J1041)</f>
        <v>6</v>
      </c>
      <c r="I1041" s="342">
        <v>0</v>
      </c>
      <c r="J1041" s="342">
        <v>6</v>
      </c>
      <c r="K1041" s="342">
        <f>SUM(L1041:M1041)</f>
        <v>8</v>
      </c>
      <c r="L1041" s="342">
        <v>0</v>
      </c>
      <c r="M1041" s="342">
        <v>8</v>
      </c>
      <c r="N1041" s="203" t="s">
        <v>145</v>
      </c>
      <c r="O1041" s="293" t="s">
        <v>294</v>
      </c>
    </row>
    <row r="1042" spans="2:15" ht="18.75" customHeight="1" thickBot="1" x14ac:dyDescent="0.25">
      <c r="B1042" s="342">
        <f t="shared" ref="B1042:M1042" si="359">SUM(B1040:B1041)</f>
        <v>185</v>
      </c>
      <c r="C1042" s="342">
        <f t="shared" si="359"/>
        <v>0</v>
      </c>
      <c r="D1042" s="342">
        <f t="shared" si="359"/>
        <v>185</v>
      </c>
      <c r="E1042" s="342">
        <f t="shared" si="359"/>
        <v>136</v>
      </c>
      <c r="F1042" s="342">
        <f t="shared" si="359"/>
        <v>0</v>
      </c>
      <c r="G1042" s="342">
        <f t="shared" si="359"/>
        <v>136</v>
      </c>
      <c r="H1042" s="342">
        <f t="shared" si="359"/>
        <v>34</v>
      </c>
      <c r="I1042" s="342">
        <f t="shared" si="359"/>
        <v>0</v>
      </c>
      <c r="J1042" s="342">
        <f t="shared" si="359"/>
        <v>34</v>
      </c>
      <c r="K1042" s="342">
        <f t="shared" si="359"/>
        <v>15</v>
      </c>
      <c r="L1042" s="342">
        <f t="shared" si="359"/>
        <v>0</v>
      </c>
      <c r="M1042" s="342">
        <f t="shared" si="359"/>
        <v>15</v>
      </c>
      <c r="N1042" s="203" t="s">
        <v>12</v>
      </c>
      <c r="O1042" s="285"/>
    </row>
    <row r="1043" spans="2:15" ht="18.75" customHeight="1" thickBot="1" x14ac:dyDescent="0.25">
      <c r="B1043" s="342">
        <f>SUM(C1043:D1043)</f>
        <v>186</v>
      </c>
      <c r="C1043" s="342">
        <f>L1043+I1043+F1043</f>
        <v>0</v>
      </c>
      <c r="D1043" s="342">
        <f>M1043+J1043+G1043</f>
        <v>186</v>
      </c>
      <c r="E1043" s="342">
        <f>SUM(F1043:G1043)</f>
        <v>169</v>
      </c>
      <c r="F1043" s="342">
        <v>0</v>
      </c>
      <c r="G1043" s="342">
        <v>169</v>
      </c>
      <c r="H1043" s="342">
        <f>SUM(I1043:J1043)</f>
        <v>9</v>
      </c>
      <c r="I1043" s="342">
        <v>0</v>
      </c>
      <c r="J1043" s="342">
        <v>9</v>
      </c>
      <c r="K1043" s="342">
        <f>SUM(L1043:M1043)</f>
        <v>8</v>
      </c>
      <c r="L1043" s="342">
        <v>0</v>
      </c>
      <c r="M1043" s="342">
        <v>8</v>
      </c>
      <c r="N1043" s="203" t="s">
        <v>146</v>
      </c>
      <c r="O1043" s="293"/>
    </row>
    <row r="1044" spans="2:15" ht="18.75" customHeight="1" thickBot="1" x14ac:dyDescent="0.25">
      <c r="B1044" s="342">
        <f>SUM(C1044:D1044)</f>
        <v>21</v>
      </c>
      <c r="C1044" s="342">
        <f>L1044+I1044+F1044</f>
        <v>0</v>
      </c>
      <c r="D1044" s="342">
        <f>M1044+J1044+G1044</f>
        <v>21</v>
      </c>
      <c r="E1044" s="342">
        <f>SUM(F1044:G1044)</f>
        <v>0</v>
      </c>
      <c r="F1044" s="342">
        <v>0</v>
      </c>
      <c r="G1044" s="342">
        <v>0</v>
      </c>
      <c r="H1044" s="342">
        <f>SUM(I1044:J1044)</f>
        <v>3</v>
      </c>
      <c r="I1044" s="342">
        <v>0</v>
      </c>
      <c r="J1044" s="342">
        <v>3</v>
      </c>
      <c r="K1044" s="342">
        <f>SUM(L1044:M1044)</f>
        <v>18</v>
      </c>
      <c r="L1044" s="342">
        <v>0</v>
      </c>
      <c r="M1044" s="342">
        <v>18</v>
      </c>
      <c r="N1044" s="203" t="s">
        <v>145</v>
      </c>
      <c r="O1044" s="293" t="s">
        <v>295</v>
      </c>
    </row>
    <row r="1045" spans="2:15" ht="18.75" customHeight="1" thickBot="1" x14ac:dyDescent="0.25">
      <c r="B1045" s="342">
        <f t="shared" ref="B1045:M1045" si="360">SUM(B1043:B1044)</f>
        <v>207</v>
      </c>
      <c r="C1045" s="342">
        <f t="shared" si="360"/>
        <v>0</v>
      </c>
      <c r="D1045" s="342">
        <f t="shared" si="360"/>
        <v>207</v>
      </c>
      <c r="E1045" s="342">
        <f t="shared" si="360"/>
        <v>169</v>
      </c>
      <c r="F1045" s="342">
        <f t="shared" si="360"/>
        <v>0</v>
      </c>
      <c r="G1045" s="342">
        <f t="shared" si="360"/>
        <v>169</v>
      </c>
      <c r="H1045" s="342">
        <f t="shared" si="360"/>
        <v>12</v>
      </c>
      <c r="I1045" s="342">
        <f t="shared" si="360"/>
        <v>0</v>
      </c>
      <c r="J1045" s="342">
        <f t="shared" si="360"/>
        <v>12</v>
      </c>
      <c r="K1045" s="342">
        <f t="shared" si="360"/>
        <v>26</v>
      </c>
      <c r="L1045" s="342">
        <f t="shared" si="360"/>
        <v>0</v>
      </c>
      <c r="M1045" s="342">
        <f t="shared" si="360"/>
        <v>26</v>
      </c>
      <c r="N1045" s="203" t="s">
        <v>12</v>
      </c>
      <c r="O1045" s="285"/>
    </row>
    <row r="1046" spans="2:15" ht="18.75" customHeight="1" thickBot="1" x14ac:dyDescent="0.25">
      <c r="B1046" s="342">
        <f>SUM(C1046:D1046)</f>
        <v>109</v>
      </c>
      <c r="C1046" s="342">
        <f>L1046+I1046+F1046</f>
        <v>0</v>
      </c>
      <c r="D1046" s="342">
        <f>M1046+J1046+G1046</f>
        <v>109</v>
      </c>
      <c r="E1046" s="342">
        <f>SUM(F1046:G1046)</f>
        <v>103</v>
      </c>
      <c r="F1046" s="342">
        <v>0</v>
      </c>
      <c r="G1046" s="342">
        <v>103</v>
      </c>
      <c r="H1046" s="342">
        <f>SUM(I1046:J1046)</f>
        <v>4</v>
      </c>
      <c r="I1046" s="342">
        <v>0</v>
      </c>
      <c r="J1046" s="342">
        <v>4</v>
      </c>
      <c r="K1046" s="342">
        <f>SUM(L1046:M1046)</f>
        <v>2</v>
      </c>
      <c r="L1046" s="342">
        <v>0</v>
      </c>
      <c r="M1046" s="342">
        <v>2</v>
      </c>
      <c r="N1046" s="203" t="s">
        <v>146</v>
      </c>
      <c r="O1046" s="293"/>
    </row>
    <row r="1047" spans="2:15" ht="18.75" customHeight="1" thickBot="1" x14ac:dyDescent="0.25">
      <c r="B1047" s="342">
        <f>SUM(C1047:D1047)</f>
        <v>21</v>
      </c>
      <c r="C1047" s="342">
        <f>L1047+I1047+F1047</f>
        <v>0</v>
      </c>
      <c r="D1047" s="342">
        <f>M1047+J1047+G1047</f>
        <v>21</v>
      </c>
      <c r="E1047" s="342">
        <f>SUM(F1047:G1047)</f>
        <v>3</v>
      </c>
      <c r="F1047" s="342">
        <v>0</v>
      </c>
      <c r="G1047" s="342">
        <v>3</v>
      </c>
      <c r="H1047" s="342">
        <f>SUM(I1047:J1047)</f>
        <v>10</v>
      </c>
      <c r="I1047" s="342">
        <v>0</v>
      </c>
      <c r="J1047" s="342">
        <v>10</v>
      </c>
      <c r="K1047" s="342">
        <f>SUM(L1047:M1047)</f>
        <v>8</v>
      </c>
      <c r="L1047" s="342">
        <v>0</v>
      </c>
      <c r="M1047" s="342">
        <v>8</v>
      </c>
      <c r="N1047" s="203" t="s">
        <v>145</v>
      </c>
      <c r="O1047" s="293" t="s">
        <v>296</v>
      </c>
    </row>
    <row r="1048" spans="2:15" ht="18.75" customHeight="1" thickBot="1" x14ac:dyDescent="0.25">
      <c r="B1048" s="342">
        <f t="shared" ref="B1048:M1048" si="361">SUM(B1046:B1047)</f>
        <v>130</v>
      </c>
      <c r="C1048" s="342">
        <f t="shared" si="361"/>
        <v>0</v>
      </c>
      <c r="D1048" s="342">
        <f t="shared" si="361"/>
        <v>130</v>
      </c>
      <c r="E1048" s="342">
        <f t="shared" si="361"/>
        <v>106</v>
      </c>
      <c r="F1048" s="342">
        <f t="shared" si="361"/>
        <v>0</v>
      </c>
      <c r="G1048" s="342">
        <f t="shared" si="361"/>
        <v>106</v>
      </c>
      <c r="H1048" s="342">
        <f t="shared" si="361"/>
        <v>14</v>
      </c>
      <c r="I1048" s="342">
        <f t="shared" si="361"/>
        <v>0</v>
      </c>
      <c r="J1048" s="342">
        <f t="shared" si="361"/>
        <v>14</v>
      </c>
      <c r="K1048" s="342">
        <f t="shared" si="361"/>
        <v>10</v>
      </c>
      <c r="L1048" s="342">
        <f t="shared" si="361"/>
        <v>0</v>
      </c>
      <c r="M1048" s="342">
        <f t="shared" si="361"/>
        <v>10</v>
      </c>
      <c r="N1048" s="203" t="s">
        <v>12</v>
      </c>
      <c r="O1048" s="285"/>
    </row>
    <row r="1049" spans="2:15" ht="18.75" customHeight="1" thickBot="1" x14ac:dyDescent="0.25">
      <c r="B1049" s="342">
        <f>SUM(C1049:D1049)</f>
        <v>228</v>
      </c>
      <c r="C1049" s="342">
        <f>L1049+I1049+F1049</f>
        <v>0</v>
      </c>
      <c r="D1049" s="342">
        <f>M1049+J1049+G1049</f>
        <v>228</v>
      </c>
      <c r="E1049" s="342">
        <f>SUM(F1049:G1049)</f>
        <v>190</v>
      </c>
      <c r="F1049" s="342">
        <v>0</v>
      </c>
      <c r="G1049" s="342">
        <v>190</v>
      </c>
      <c r="H1049" s="342">
        <f>SUM(I1049:J1049)</f>
        <v>19</v>
      </c>
      <c r="I1049" s="342">
        <v>0</v>
      </c>
      <c r="J1049" s="342">
        <v>19</v>
      </c>
      <c r="K1049" s="342">
        <f>SUM(L1049:M1049)</f>
        <v>19</v>
      </c>
      <c r="L1049" s="342">
        <v>0</v>
      </c>
      <c r="M1049" s="342">
        <v>19</v>
      </c>
      <c r="N1049" s="203" t="s">
        <v>146</v>
      </c>
      <c r="O1049" s="293"/>
    </row>
    <row r="1050" spans="2:15" ht="18.75" customHeight="1" thickBot="1" x14ac:dyDescent="0.25">
      <c r="B1050" s="342">
        <f>SUM(C1050:D1050)</f>
        <v>27</v>
      </c>
      <c r="C1050" s="342">
        <f>L1050+I1050+F1050</f>
        <v>0</v>
      </c>
      <c r="D1050" s="342">
        <f>M1050+J1050+G1050</f>
        <v>27</v>
      </c>
      <c r="E1050" s="342">
        <f>SUM(F1050:G1050)</f>
        <v>22</v>
      </c>
      <c r="F1050" s="342">
        <v>0</v>
      </c>
      <c r="G1050" s="342">
        <v>22</v>
      </c>
      <c r="H1050" s="342">
        <f>SUM(I1050:J1050)</f>
        <v>2</v>
      </c>
      <c r="I1050" s="342">
        <v>0</v>
      </c>
      <c r="J1050" s="342">
        <v>2</v>
      </c>
      <c r="K1050" s="342">
        <f>SUM(L1050:M1050)</f>
        <v>3</v>
      </c>
      <c r="L1050" s="342">
        <v>0</v>
      </c>
      <c r="M1050" s="342">
        <v>3</v>
      </c>
      <c r="N1050" s="203" t="s">
        <v>145</v>
      </c>
      <c r="O1050" s="293" t="s">
        <v>297</v>
      </c>
    </row>
    <row r="1051" spans="2:15" ht="18.75" customHeight="1" thickBot="1" x14ac:dyDescent="0.25">
      <c r="B1051" s="342">
        <f t="shared" ref="B1051:M1051" si="362">SUM(B1049:B1050)</f>
        <v>255</v>
      </c>
      <c r="C1051" s="342">
        <f t="shared" si="362"/>
        <v>0</v>
      </c>
      <c r="D1051" s="342">
        <f t="shared" si="362"/>
        <v>255</v>
      </c>
      <c r="E1051" s="342">
        <f t="shared" si="362"/>
        <v>212</v>
      </c>
      <c r="F1051" s="342">
        <f t="shared" si="362"/>
        <v>0</v>
      </c>
      <c r="G1051" s="342">
        <f t="shared" si="362"/>
        <v>212</v>
      </c>
      <c r="H1051" s="342">
        <f t="shared" si="362"/>
        <v>21</v>
      </c>
      <c r="I1051" s="342">
        <f t="shared" si="362"/>
        <v>0</v>
      </c>
      <c r="J1051" s="342">
        <f t="shared" si="362"/>
        <v>21</v>
      </c>
      <c r="K1051" s="342">
        <f t="shared" si="362"/>
        <v>22</v>
      </c>
      <c r="L1051" s="342">
        <f t="shared" si="362"/>
        <v>0</v>
      </c>
      <c r="M1051" s="342">
        <f t="shared" si="362"/>
        <v>22</v>
      </c>
      <c r="N1051" s="203" t="s">
        <v>12</v>
      </c>
      <c r="O1051" s="285"/>
    </row>
    <row r="1052" spans="2:15" ht="18.75" customHeight="1" thickBot="1" x14ac:dyDescent="0.25">
      <c r="B1052" s="342">
        <f>SUM(C1052:D1052)</f>
        <v>238</v>
      </c>
      <c r="C1052" s="342">
        <f>L1052+I1052+F1052</f>
        <v>0</v>
      </c>
      <c r="D1052" s="342">
        <f>M1052+J1052+G1052</f>
        <v>238</v>
      </c>
      <c r="E1052" s="342">
        <f>SUM(F1052:G1052)</f>
        <v>228</v>
      </c>
      <c r="F1052" s="342">
        <v>0</v>
      </c>
      <c r="G1052" s="342">
        <v>228</v>
      </c>
      <c r="H1052" s="342">
        <f>SUM(I1052:J1052)</f>
        <v>6</v>
      </c>
      <c r="I1052" s="342">
        <v>0</v>
      </c>
      <c r="J1052" s="342">
        <v>6</v>
      </c>
      <c r="K1052" s="342">
        <f>SUM(L1052:M1052)</f>
        <v>4</v>
      </c>
      <c r="L1052" s="342">
        <v>0</v>
      </c>
      <c r="M1052" s="342">
        <v>4</v>
      </c>
      <c r="N1052" s="203" t="s">
        <v>146</v>
      </c>
      <c r="O1052" s="293"/>
    </row>
    <row r="1053" spans="2:15" ht="18.75" customHeight="1" thickBot="1" x14ac:dyDescent="0.25">
      <c r="B1053" s="342">
        <f>SUM(C1053:D1053)</f>
        <v>21</v>
      </c>
      <c r="C1053" s="342">
        <f>L1053+I1053+F1053</f>
        <v>0</v>
      </c>
      <c r="D1053" s="342">
        <f>M1053+J1053+G1053</f>
        <v>21</v>
      </c>
      <c r="E1053" s="342">
        <f>SUM(F1053:G1053)</f>
        <v>0</v>
      </c>
      <c r="F1053" s="342">
        <v>0</v>
      </c>
      <c r="G1053" s="342">
        <v>0</v>
      </c>
      <c r="H1053" s="342">
        <f>SUM(I1053:J1053)</f>
        <v>8</v>
      </c>
      <c r="I1053" s="342">
        <v>0</v>
      </c>
      <c r="J1053" s="342">
        <v>8</v>
      </c>
      <c r="K1053" s="342">
        <f>SUM(L1053:M1053)</f>
        <v>13</v>
      </c>
      <c r="L1053" s="342">
        <v>0</v>
      </c>
      <c r="M1053" s="342">
        <v>13</v>
      </c>
      <c r="N1053" s="203" t="s">
        <v>145</v>
      </c>
      <c r="O1053" s="293" t="s">
        <v>298</v>
      </c>
    </row>
    <row r="1054" spans="2:15" ht="18.75" customHeight="1" thickBot="1" x14ac:dyDescent="0.25">
      <c r="B1054" s="342">
        <f t="shared" ref="B1054:M1054" si="363">SUM(B1052:B1053)</f>
        <v>259</v>
      </c>
      <c r="C1054" s="342">
        <f t="shared" si="363"/>
        <v>0</v>
      </c>
      <c r="D1054" s="342">
        <f t="shared" si="363"/>
        <v>259</v>
      </c>
      <c r="E1054" s="342">
        <f t="shared" si="363"/>
        <v>228</v>
      </c>
      <c r="F1054" s="342">
        <f t="shared" si="363"/>
        <v>0</v>
      </c>
      <c r="G1054" s="342">
        <f t="shared" si="363"/>
        <v>228</v>
      </c>
      <c r="H1054" s="342">
        <f t="shared" si="363"/>
        <v>14</v>
      </c>
      <c r="I1054" s="342">
        <f t="shared" si="363"/>
        <v>0</v>
      </c>
      <c r="J1054" s="342">
        <f t="shared" si="363"/>
        <v>14</v>
      </c>
      <c r="K1054" s="342">
        <f t="shared" si="363"/>
        <v>17</v>
      </c>
      <c r="L1054" s="342">
        <f t="shared" si="363"/>
        <v>0</v>
      </c>
      <c r="M1054" s="342">
        <f t="shared" si="363"/>
        <v>17</v>
      </c>
      <c r="N1054" s="203" t="s">
        <v>12</v>
      </c>
      <c r="O1054" s="285"/>
    </row>
    <row r="1055" spans="2:15" ht="18.75" customHeight="1" thickBot="1" x14ac:dyDescent="0.25">
      <c r="B1055" s="342">
        <f>SUM(C1055:D1055)</f>
        <v>168</v>
      </c>
      <c r="C1055" s="342">
        <f>L1055+I1055+F1055</f>
        <v>0</v>
      </c>
      <c r="D1055" s="342">
        <f>M1055+J1055+G1055</f>
        <v>168</v>
      </c>
      <c r="E1055" s="342">
        <f>SUM(F1055:G1055)</f>
        <v>150</v>
      </c>
      <c r="F1055" s="342">
        <v>0</v>
      </c>
      <c r="G1055" s="342">
        <v>150</v>
      </c>
      <c r="H1055" s="342">
        <f>SUM(I1055:J1055)</f>
        <v>8</v>
      </c>
      <c r="I1055" s="342">
        <v>0</v>
      </c>
      <c r="J1055" s="342">
        <v>8</v>
      </c>
      <c r="K1055" s="342">
        <f>SUM(L1055:M1055)</f>
        <v>10</v>
      </c>
      <c r="L1055" s="342">
        <v>0</v>
      </c>
      <c r="M1055" s="342">
        <v>10</v>
      </c>
      <c r="N1055" s="203" t="s">
        <v>146</v>
      </c>
      <c r="O1055" s="293"/>
    </row>
    <row r="1056" spans="2:15" ht="18.75" customHeight="1" thickBot="1" x14ac:dyDescent="0.25">
      <c r="B1056" s="342">
        <f>SUM(C1056:D1056)</f>
        <v>19</v>
      </c>
      <c r="C1056" s="342">
        <f>L1056+I1056+F1056</f>
        <v>0</v>
      </c>
      <c r="D1056" s="342">
        <f>M1056+J1056+G1056</f>
        <v>19</v>
      </c>
      <c r="E1056" s="342">
        <f>SUM(F1056:G1056)</f>
        <v>17</v>
      </c>
      <c r="F1056" s="342">
        <v>0</v>
      </c>
      <c r="G1056" s="342">
        <v>17</v>
      </c>
      <c r="H1056" s="342">
        <f>SUM(I1056:J1056)</f>
        <v>1</v>
      </c>
      <c r="I1056" s="342">
        <v>0</v>
      </c>
      <c r="J1056" s="342">
        <v>1</v>
      </c>
      <c r="K1056" s="342">
        <f>SUM(L1056:M1056)</f>
        <v>1</v>
      </c>
      <c r="L1056" s="342">
        <v>0</v>
      </c>
      <c r="M1056" s="342">
        <v>1</v>
      </c>
      <c r="N1056" s="203" t="s">
        <v>145</v>
      </c>
      <c r="O1056" s="293" t="s">
        <v>299</v>
      </c>
    </row>
    <row r="1057" spans="2:15" ht="18.75" customHeight="1" thickBot="1" x14ac:dyDescent="0.25">
      <c r="B1057" s="342">
        <f t="shared" ref="B1057:M1057" si="364">SUM(B1055:B1056)</f>
        <v>187</v>
      </c>
      <c r="C1057" s="342">
        <f t="shared" si="364"/>
        <v>0</v>
      </c>
      <c r="D1057" s="342">
        <f t="shared" si="364"/>
        <v>187</v>
      </c>
      <c r="E1057" s="342">
        <f t="shared" si="364"/>
        <v>167</v>
      </c>
      <c r="F1057" s="342">
        <f t="shared" si="364"/>
        <v>0</v>
      </c>
      <c r="G1057" s="342">
        <f t="shared" si="364"/>
        <v>167</v>
      </c>
      <c r="H1057" s="342">
        <f t="shared" si="364"/>
        <v>9</v>
      </c>
      <c r="I1057" s="342">
        <f t="shared" si="364"/>
        <v>0</v>
      </c>
      <c r="J1057" s="342">
        <f t="shared" si="364"/>
        <v>9</v>
      </c>
      <c r="K1057" s="342">
        <f t="shared" si="364"/>
        <v>11</v>
      </c>
      <c r="L1057" s="342">
        <f t="shared" si="364"/>
        <v>0</v>
      </c>
      <c r="M1057" s="342">
        <f t="shared" si="364"/>
        <v>11</v>
      </c>
      <c r="N1057" s="203" t="s">
        <v>12</v>
      </c>
      <c r="O1057" s="285"/>
    </row>
    <row r="1058" spans="2:15" ht="18.75" customHeight="1" thickBot="1" x14ac:dyDescent="0.25">
      <c r="B1058" s="342">
        <f>SUM(C1058:D1058)</f>
        <v>88</v>
      </c>
      <c r="C1058" s="342">
        <f>L1058+I1058+F1058</f>
        <v>0</v>
      </c>
      <c r="D1058" s="342">
        <f>M1058+J1058+G1058</f>
        <v>88</v>
      </c>
      <c r="E1058" s="342">
        <f>SUM(F1058:G1058)</f>
        <v>68</v>
      </c>
      <c r="F1058" s="342">
        <v>0</v>
      </c>
      <c r="G1058" s="342">
        <v>68</v>
      </c>
      <c r="H1058" s="342">
        <f>SUM(I1058:J1058)</f>
        <v>7</v>
      </c>
      <c r="I1058" s="342">
        <v>0</v>
      </c>
      <c r="J1058" s="342">
        <v>7</v>
      </c>
      <c r="K1058" s="342">
        <f>SUM(L1058:M1058)</f>
        <v>13</v>
      </c>
      <c r="L1058" s="342">
        <v>0</v>
      </c>
      <c r="M1058" s="342">
        <v>13</v>
      </c>
      <c r="N1058" s="203" t="s">
        <v>146</v>
      </c>
      <c r="O1058" s="550" t="s">
        <v>300</v>
      </c>
    </row>
    <row r="1059" spans="2:15" ht="18.75" customHeight="1" thickBot="1" x14ac:dyDescent="0.25">
      <c r="B1059" s="342">
        <f>SUM(C1059:D1059)</f>
        <v>23</v>
      </c>
      <c r="C1059" s="342">
        <f>L1059+I1059+F1059</f>
        <v>0</v>
      </c>
      <c r="D1059" s="342">
        <f>M1059+J1059+G1059</f>
        <v>23</v>
      </c>
      <c r="E1059" s="342">
        <f>SUM(F1059:G1059)</f>
        <v>10</v>
      </c>
      <c r="F1059" s="342">
        <v>0</v>
      </c>
      <c r="G1059" s="342">
        <v>10</v>
      </c>
      <c r="H1059" s="342">
        <f>SUM(I1059:J1059)</f>
        <v>8</v>
      </c>
      <c r="I1059" s="342">
        <v>0</v>
      </c>
      <c r="J1059" s="342">
        <v>8</v>
      </c>
      <c r="K1059" s="342">
        <f>SUM(L1059:M1059)</f>
        <v>5</v>
      </c>
      <c r="L1059" s="342">
        <v>0</v>
      </c>
      <c r="M1059" s="342">
        <v>5</v>
      </c>
      <c r="N1059" s="203" t="s">
        <v>145</v>
      </c>
      <c r="O1059" s="551"/>
    </row>
    <row r="1060" spans="2:15" ht="18.75" customHeight="1" thickBot="1" x14ac:dyDescent="0.25">
      <c r="B1060" s="342">
        <f t="shared" ref="B1060:M1060" si="365">SUM(B1058:B1059)</f>
        <v>111</v>
      </c>
      <c r="C1060" s="342">
        <f t="shared" si="365"/>
        <v>0</v>
      </c>
      <c r="D1060" s="342">
        <f t="shared" si="365"/>
        <v>111</v>
      </c>
      <c r="E1060" s="342">
        <f t="shared" si="365"/>
        <v>78</v>
      </c>
      <c r="F1060" s="342">
        <f t="shared" si="365"/>
        <v>0</v>
      </c>
      <c r="G1060" s="342">
        <f t="shared" si="365"/>
        <v>78</v>
      </c>
      <c r="H1060" s="342">
        <f t="shared" si="365"/>
        <v>15</v>
      </c>
      <c r="I1060" s="342">
        <f t="shared" si="365"/>
        <v>0</v>
      </c>
      <c r="J1060" s="342">
        <f t="shared" si="365"/>
        <v>15</v>
      </c>
      <c r="K1060" s="342">
        <f t="shared" si="365"/>
        <v>18</v>
      </c>
      <c r="L1060" s="342">
        <f t="shared" si="365"/>
        <v>0</v>
      </c>
      <c r="M1060" s="342">
        <f t="shared" si="365"/>
        <v>18</v>
      </c>
      <c r="N1060" s="203" t="s">
        <v>12</v>
      </c>
      <c r="O1060" s="552"/>
    </row>
    <row r="1061" spans="2:15" ht="18.75" customHeight="1" thickBot="1" x14ac:dyDescent="0.25">
      <c r="B1061" s="342">
        <f>SUM(C1061:D1061)</f>
        <v>69</v>
      </c>
      <c r="C1061" s="342">
        <f>L1061+I1061+F1061</f>
        <v>0</v>
      </c>
      <c r="D1061" s="342">
        <f>M1061+J1061+G1061</f>
        <v>69</v>
      </c>
      <c r="E1061" s="342">
        <f>SUM(F1061:G1061)</f>
        <v>59</v>
      </c>
      <c r="F1061" s="342">
        <v>0</v>
      </c>
      <c r="G1061" s="342">
        <v>59</v>
      </c>
      <c r="H1061" s="342">
        <f>SUM(I1061:J1061)</f>
        <v>3</v>
      </c>
      <c r="I1061" s="342">
        <v>0</v>
      </c>
      <c r="J1061" s="342">
        <v>3</v>
      </c>
      <c r="K1061" s="342">
        <f>SUM(L1061:M1061)</f>
        <v>7</v>
      </c>
      <c r="L1061" s="342">
        <v>0</v>
      </c>
      <c r="M1061" s="342">
        <v>7</v>
      </c>
      <c r="N1061" s="203" t="s">
        <v>146</v>
      </c>
      <c r="O1061" s="550" t="s">
        <v>784</v>
      </c>
    </row>
    <row r="1062" spans="2:15" ht="18.75" customHeight="1" thickBot="1" x14ac:dyDescent="0.25">
      <c r="B1062" s="342">
        <f>SUM(C1062:D1062)</f>
        <v>12</v>
      </c>
      <c r="C1062" s="342">
        <f>L1062+I1062+F1062</f>
        <v>0</v>
      </c>
      <c r="D1062" s="342">
        <f>M1062+J1062+G1062</f>
        <v>12</v>
      </c>
      <c r="E1062" s="342">
        <f>SUM(F1062:G1062)</f>
        <v>6</v>
      </c>
      <c r="F1062" s="342">
        <v>0</v>
      </c>
      <c r="G1062" s="342">
        <v>6</v>
      </c>
      <c r="H1062" s="342">
        <f>SUM(I1062:J1062)</f>
        <v>2</v>
      </c>
      <c r="I1062" s="342">
        <v>0</v>
      </c>
      <c r="J1062" s="342">
        <v>2</v>
      </c>
      <c r="K1062" s="342">
        <f>SUM(L1062:M1062)</f>
        <v>4</v>
      </c>
      <c r="L1062" s="342">
        <v>0</v>
      </c>
      <c r="M1062" s="342">
        <v>4</v>
      </c>
      <c r="N1062" s="203" t="s">
        <v>145</v>
      </c>
      <c r="O1062" s="551"/>
    </row>
    <row r="1063" spans="2:15" ht="18.75" customHeight="1" thickBot="1" x14ac:dyDescent="0.25">
      <c r="B1063" s="342">
        <f t="shared" ref="B1063:M1063" si="366">SUM(B1061:B1062)</f>
        <v>81</v>
      </c>
      <c r="C1063" s="342">
        <f t="shared" si="366"/>
        <v>0</v>
      </c>
      <c r="D1063" s="342">
        <f t="shared" si="366"/>
        <v>81</v>
      </c>
      <c r="E1063" s="342">
        <f t="shared" si="366"/>
        <v>65</v>
      </c>
      <c r="F1063" s="342">
        <f t="shared" si="366"/>
        <v>0</v>
      </c>
      <c r="G1063" s="342">
        <f t="shared" si="366"/>
        <v>65</v>
      </c>
      <c r="H1063" s="342">
        <f t="shared" si="366"/>
        <v>5</v>
      </c>
      <c r="I1063" s="342">
        <f t="shared" si="366"/>
        <v>0</v>
      </c>
      <c r="J1063" s="342">
        <f t="shared" si="366"/>
        <v>5</v>
      </c>
      <c r="K1063" s="342">
        <f t="shared" si="366"/>
        <v>11</v>
      </c>
      <c r="L1063" s="342">
        <f t="shared" si="366"/>
        <v>0</v>
      </c>
      <c r="M1063" s="342">
        <f t="shared" si="366"/>
        <v>11</v>
      </c>
      <c r="N1063" s="203" t="s">
        <v>12</v>
      </c>
      <c r="O1063" s="552"/>
    </row>
    <row r="1064" spans="2:15" ht="18.75" customHeight="1" thickBot="1" x14ac:dyDescent="0.25">
      <c r="B1064" s="342">
        <f>SUM(C1064:D1064)</f>
        <v>55</v>
      </c>
      <c r="C1064" s="342">
        <f>L1064+I1064+F1064</f>
        <v>0</v>
      </c>
      <c r="D1064" s="342">
        <f>M1064+J1064+G1064</f>
        <v>55</v>
      </c>
      <c r="E1064" s="342">
        <f>SUM(F1064:G1064)</f>
        <v>49</v>
      </c>
      <c r="F1064" s="342">
        <v>0</v>
      </c>
      <c r="G1064" s="342">
        <v>49</v>
      </c>
      <c r="H1064" s="342">
        <f>SUM(I1064:J1064)</f>
        <v>6</v>
      </c>
      <c r="I1064" s="342">
        <v>0</v>
      </c>
      <c r="J1064" s="342">
        <v>6</v>
      </c>
      <c r="K1064" s="342">
        <f>SUM(L1064:M1064)</f>
        <v>0</v>
      </c>
      <c r="L1064" s="342">
        <v>0</v>
      </c>
      <c r="M1064" s="342">
        <v>0</v>
      </c>
      <c r="N1064" s="203" t="s">
        <v>146</v>
      </c>
      <c r="O1064" s="293"/>
    </row>
    <row r="1065" spans="2:15" ht="18.75" customHeight="1" thickBot="1" x14ac:dyDescent="0.25">
      <c r="B1065" s="342">
        <f>SUM(C1065:D1065)</f>
        <v>8</v>
      </c>
      <c r="C1065" s="342">
        <f>L1065+I1065+F1065</f>
        <v>0</v>
      </c>
      <c r="D1065" s="342">
        <f>M1065+J1065+G1065</f>
        <v>8</v>
      </c>
      <c r="E1065" s="342">
        <f>SUM(F1065:G1065)</f>
        <v>7</v>
      </c>
      <c r="F1065" s="342">
        <v>0</v>
      </c>
      <c r="G1065" s="342">
        <v>7</v>
      </c>
      <c r="H1065" s="342">
        <f>SUM(I1065:J1065)</f>
        <v>1</v>
      </c>
      <c r="I1065" s="342">
        <v>0</v>
      </c>
      <c r="J1065" s="342">
        <v>1</v>
      </c>
      <c r="K1065" s="342">
        <f>SUM(L1065:M1065)</f>
        <v>0</v>
      </c>
      <c r="L1065" s="342">
        <v>0</v>
      </c>
      <c r="M1065" s="342">
        <v>0</v>
      </c>
      <c r="N1065" s="203" t="s">
        <v>145</v>
      </c>
      <c r="O1065" s="293" t="s">
        <v>302</v>
      </c>
    </row>
    <row r="1066" spans="2:15" ht="18.75" customHeight="1" thickBot="1" x14ac:dyDescent="0.25">
      <c r="B1066" s="342">
        <f t="shared" ref="B1066:M1066" si="367">SUM(B1064:B1065)</f>
        <v>63</v>
      </c>
      <c r="C1066" s="342">
        <f t="shared" si="367"/>
        <v>0</v>
      </c>
      <c r="D1066" s="342">
        <f t="shared" si="367"/>
        <v>63</v>
      </c>
      <c r="E1066" s="342">
        <f t="shared" si="367"/>
        <v>56</v>
      </c>
      <c r="F1066" s="342">
        <f t="shared" si="367"/>
        <v>0</v>
      </c>
      <c r="G1066" s="342">
        <f t="shared" si="367"/>
        <v>56</v>
      </c>
      <c r="H1066" s="342">
        <f t="shared" si="367"/>
        <v>7</v>
      </c>
      <c r="I1066" s="342">
        <f t="shared" si="367"/>
        <v>0</v>
      </c>
      <c r="J1066" s="342">
        <f t="shared" si="367"/>
        <v>7</v>
      </c>
      <c r="K1066" s="342">
        <f t="shared" si="367"/>
        <v>0</v>
      </c>
      <c r="L1066" s="342">
        <f t="shared" si="367"/>
        <v>0</v>
      </c>
      <c r="M1066" s="342">
        <f t="shared" si="367"/>
        <v>0</v>
      </c>
      <c r="N1066" s="203" t="s">
        <v>12</v>
      </c>
      <c r="O1066" s="285"/>
    </row>
    <row r="1067" spans="2:15" ht="18.75" customHeight="1" thickBot="1" x14ac:dyDescent="0.25">
      <c r="B1067" s="342">
        <f>SUM(C1067:D1067)</f>
        <v>59</v>
      </c>
      <c r="C1067" s="342">
        <f>L1067+I1067+F1067</f>
        <v>0</v>
      </c>
      <c r="D1067" s="342">
        <f>M1067+J1067+G1067</f>
        <v>59</v>
      </c>
      <c r="E1067" s="342">
        <f>SUM(F1067:G1067)</f>
        <v>48</v>
      </c>
      <c r="F1067" s="342">
        <v>0</v>
      </c>
      <c r="G1067" s="342">
        <v>48</v>
      </c>
      <c r="H1067" s="342">
        <f>SUM(I1067:J1067)</f>
        <v>10</v>
      </c>
      <c r="I1067" s="342">
        <v>0</v>
      </c>
      <c r="J1067" s="342">
        <v>10</v>
      </c>
      <c r="K1067" s="342">
        <f>SUM(L1067:M1067)</f>
        <v>1</v>
      </c>
      <c r="L1067" s="342">
        <v>0</v>
      </c>
      <c r="M1067" s="342">
        <v>1</v>
      </c>
      <c r="N1067" s="203" t="s">
        <v>146</v>
      </c>
      <c r="O1067" s="293"/>
    </row>
    <row r="1068" spans="2:15" ht="18.75" customHeight="1" thickBot="1" x14ac:dyDescent="0.25">
      <c r="B1068" s="342">
        <f>SUM(C1068:D1068)</f>
        <v>65</v>
      </c>
      <c r="C1068" s="342">
        <f>L1068+I1068+F1068</f>
        <v>0</v>
      </c>
      <c r="D1068" s="342">
        <f>M1068+J1068+G1068</f>
        <v>65</v>
      </c>
      <c r="E1068" s="342">
        <f>SUM(F1068:G1068)</f>
        <v>48</v>
      </c>
      <c r="F1068" s="342">
        <v>0</v>
      </c>
      <c r="G1068" s="342">
        <v>48</v>
      </c>
      <c r="H1068" s="342">
        <f>SUM(I1068:J1068)</f>
        <v>17</v>
      </c>
      <c r="I1068" s="342">
        <v>0</v>
      </c>
      <c r="J1068" s="342">
        <v>17</v>
      </c>
      <c r="K1068" s="342">
        <f>SUM(L1068:M1068)</f>
        <v>0</v>
      </c>
      <c r="L1068" s="342">
        <v>0</v>
      </c>
      <c r="M1068" s="342">
        <v>0</v>
      </c>
      <c r="N1068" s="203" t="s">
        <v>145</v>
      </c>
      <c r="O1068" s="293" t="s">
        <v>303</v>
      </c>
    </row>
    <row r="1069" spans="2:15" ht="18.75" customHeight="1" thickBot="1" x14ac:dyDescent="0.25">
      <c r="B1069" s="342">
        <f t="shared" ref="B1069:M1069" si="368">SUM(B1067:B1068)</f>
        <v>124</v>
      </c>
      <c r="C1069" s="342">
        <f t="shared" si="368"/>
        <v>0</v>
      </c>
      <c r="D1069" s="342">
        <f t="shared" si="368"/>
        <v>124</v>
      </c>
      <c r="E1069" s="342">
        <f t="shared" si="368"/>
        <v>96</v>
      </c>
      <c r="F1069" s="342">
        <f t="shared" si="368"/>
        <v>0</v>
      </c>
      <c r="G1069" s="342">
        <f t="shared" si="368"/>
        <v>96</v>
      </c>
      <c r="H1069" s="342">
        <f t="shared" si="368"/>
        <v>27</v>
      </c>
      <c r="I1069" s="342">
        <f t="shared" si="368"/>
        <v>0</v>
      </c>
      <c r="J1069" s="342">
        <f t="shared" si="368"/>
        <v>27</v>
      </c>
      <c r="K1069" s="342">
        <f t="shared" si="368"/>
        <v>1</v>
      </c>
      <c r="L1069" s="342">
        <f t="shared" si="368"/>
        <v>0</v>
      </c>
      <c r="M1069" s="342">
        <f t="shared" si="368"/>
        <v>1</v>
      </c>
      <c r="N1069" s="203" t="s">
        <v>12</v>
      </c>
      <c r="O1069" s="285"/>
    </row>
    <row r="1070" spans="2:15" ht="18.75" customHeight="1" thickBot="1" x14ac:dyDescent="0.25">
      <c r="B1070" s="342">
        <f>SUM(C1070:D1070)</f>
        <v>77</v>
      </c>
      <c r="C1070" s="342">
        <f>L1070+I1070+F1070</f>
        <v>0</v>
      </c>
      <c r="D1070" s="342">
        <f>M1070+J1070+G1070</f>
        <v>77</v>
      </c>
      <c r="E1070" s="342">
        <f>SUM(F1070:G1070)</f>
        <v>69</v>
      </c>
      <c r="F1070" s="342">
        <v>0</v>
      </c>
      <c r="G1070" s="342">
        <v>69</v>
      </c>
      <c r="H1070" s="342">
        <f>SUM(I1070:J1070)</f>
        <v>8</v>
      </c>
      <c r="I1070" s="342">
        <v>0</v>
      </c>
      <c r="J1070" s="342">
        <v>8</v>
      </c>
      <c r="K1070" s="342">
        <f>SUM(L1070:M1070)</f>
        <v>0</v>
      </c>
      <c r="L1070" s="342">
        <v>0</v>
      </c>
      <c r="M1070" s="342">
        <v>0</v>
      </c>
      <c r="N1070" s="203" t="s">
        <v>146</v>
      </c>
      <c r="O1070" s="293"/>
    </row>
    <row r="1071" spans="2:15" ht="18.75" customHeight="1" thickBot="1" x14ac:dyDescent="0.25">
      <c r="B1071" s="342">
        <f>SUM(C1071:D1071)</f>
        <v>52</v>
      </c>
      <c r="C1071" s="342">
        <f>L1071+I1071+F1071</f>
        <v>0</v>
      </c>
      <c r="D1071" s="342">
        <f>M1071+J1071+G1071</f>
        <v>52</v>
      </c>
      <c r="E1071" s="342">
        <f>SUM(F1071:G1071)</f>
        <v>27</v>
      </c>
      <c r="F1071" s="342">
        <v>0</v>
      </c>
      <c r="G1071" s="342">
        <v>27</v>
      </c>
      <c r="H1071" s="342">
        <f>SUM(I1071:J1071)</f>
        <v>20</v>
      </c>
      <c r="I1071" s="342">
        <v>0</v>
      </c>
      <c r="J1071" s="342">
        <v>20</v>
      </c>
      <c r="K1071" s="342">
        <f>SUM(L1071:M1071)</f>
        <v>5</v>
      </c>
      <c r="L1071" s="342">
        <v>0</v>
      </c>
      <c r="M1071" s="342">
        <v>5</v>
      </c>
      <c r="N1071" s="203" t="s">
        <v>145</v>
      </c>
      <c r="O1071" s="293" t="s">
        <v>304</v>
      </c>
    </row>
    <row r="1072" spans="2:15" ht="18.75" customHeight="1" thickBot="1" x14ac:dyDescent="0.25">
      <c r="B1072" s="342">
        <f t="shared" ref="B1072:M1072" si="369">SUM(B1070:B1071)</f>
        <v>129</v>
      </c>
      <c r="C1072" s="342">
        <f t="shared" si="369"/>
        <v>0</v>
      </c>
      <c r="D1072" s="342">
        <f t="shared" si="369"/>
        <v>129</v>
      </c>
      <c r="E1072" s="342">
        <f t="shared" si="369"/>
        <v>96</v>
      </c>
      <c r="F1072" s="342">
        <f t="shared" si="369"/>
        <v>0</v>
      </c>
      <c r="G1072" s="342">
        <f t="shared" si="369"/>
        <v>96</v>
      </c>
      <c r="H1072" s="342">
        <f t="shared" si="369"/>
        <v>28</v>
      </c>
      <c r="I1072" s="342">
        <f t="shared" si="369"/>
        <v>0</v>
      </c>
      <c r="J1072" s="342">
        <f t="shared" si="369"/>
        <v>28</v>
      </c>
      <c r="K1072" s="342">
        <f t="shared" si="369"/>
        <v>5</v>
      </c>
      <c r="L1072" s="342">
        <f t="shared" si="369"/>
        <v>0</v>
      </c>
      <c r="M1072" s="342">
        <f t="shared" si="369"/>
        <v>5</v>
      </c>
      <c r="N1072" s="203" t="s">
        <v>12</v>
      </c>
      <c r="O1072" s="285"/>
    </row>
    <row r="1073" spans="2:15" ht="18.75" customHeight="1" thickBot="1" x14ac:dyDescent="0.25">
      <c r="B1073" s="342">
        <f>SUM(C1073:D1073)</f>
        <v>73</v>
      </c>
      <c r="C1073" s="342">
        <f>L1073+I1073+F1073</f>
        <v>0</v>
      </c>
      <c r="D1073" s="342">
        <f>M1073+J1073+G1073</f>
        <v>73</v>
      </c>
      <c r="E1073" s="342">
        <f>SUM(F1073:G1073)</f>
        <v>65</v>
      </c>
      <c r="F1073" s="342">
        <v>0</v>
      </c>
      <c r="G1073" s="342">
        <v>65</v>
      </c>
      <c r="H1073" s="342">
        <f>SUM(I1073:J1073)</f>
        <v>6</v>
      </c>
      <c r="I1073" s="342">
        <v>0</v>
      </c>
      <c r="J1073" s="342">
        <v>6</v>
      </c>
      <c r="K1073" s="342">
        <f>SUM(L1073:M1073)</f>
        <v>2</v>
      </c>
      <c r="L1073" s="342">
        <v>0</v>
      </c>
      <c r="M1073" s="342">
        <v>2</v>
      </c>
      <c r="N1073" s="203" t="s">
        <v>146</v>
      </c>
      <c r="O1073" s="293"/>
    </row>
    <row r="1074" spans="2:15" ht="18.75" customHeight="1" thickBot="1" x14ac:dyDescent="0.25">
      <c r="B1074" s="342">
        <f>SUM(C1074:D1074)</f>
        <v>20</v>
      </c>
      <c r="C1074" s="342">
        <f>L1074+I1074+F1074</f>
        <v>0</v>
      </c>
      <c r="D1074" s="342">
        <f>M1074+J1074+G1074</f>
        <v>20</v>
      </c>
      <c r="E1074" s="342">
        <f>SUM(F1074:G1074)</f>
        <v>6</v>
      </c>
      <c r="F1074" s="342">
        <v>0</v>
      </c>
      <c r="G1074" s="342">
        <v>6</v>
      </c>
      <c r="H1074" s="342">
        <f>SUM(I1074:J1074)</f>
        <v>10</v>
      </c>
      <c r="I1074" s="342">
        <v>0</v>
      </c>
      <c r="J1074" s="342">
        <v>10</v>
      </c>
      <c r="K1074" s="342">
        <f>SUM(L1074:M1074)</f>
        <v>4</v>
      </c>
      <c r="L1074" s="342">
        <v>0</v>
      </c>
      <c r="M1074" s="342">
        <v>4</v>
      </c>
      <c r="N1074" s="203" t="s">
        <v>145</v>
      </c>
      <c r="O1074" s="293" t="s">
        <v>305</v>
      </c>
    </row>
    <row r="1075" spans="2:15" ht="18.75" customHeight="1" thickBot="1" x14ac:dyDescent="0.25">
      <c r="B1075" s="342">
        <f t="shared" ref="B1075:M1075" si="370">SUM(B1073:B1074)</f>
        <v>93</v>
      </c>
      <c r="C1075" s="342">
        <f t="shared" si="370"/>
        <v>0</v>
      </c>
      <c r="D1075" s="342">
        <f t="shared" si="370"/>
        <v>93</v>
      </c>
      <c r="E1075" s="342">
        <f t="shared" si="370"/>
        <v>71</v>
      </c>
      <c r="F1075" s="342">
        <f t="shared" si="370"/>
        <v>0</v>
      </c>
      <c r="G1075" s="342">
        <f t="shared" si="370"/>
        <v>71</v>
      </c>
      <c r="H1075" s="342">
        <f t="shared" si="370"/>
        <v>16</v>
      </c>
      <c r="I1075" s="342">
        <f t="shared" si="370"/>
        <v>0</v>
      </c>
      <c r="J1075" s="342">
        <f t="shared" si="370"/>
        <v>16</v>
      </c>
      <c r="K1075" s="342">
        <f t="shared" si="370"/>
        <v>6</v>
      </c>
      <c r="L1075" s="342">
        <f t="shared" si="370"/>
        <v>0</v>
      </c>
      <c r="M1075" s="342">
        <f t="shared" si="370"/>
        <v>6</v>
      </c>
      <c r="N1075" s="203" t="s">
        <v>12</v>
      </c>
      <c r="O1075" s="285"/>
    </row>
    <row r="1076" spans="2:15" ht="18.75" customHeight="1" thickBot="1" x14ac:dyDescent="0.25">
      <c r="B1076" s="342">
        <f>SUM(C1076:D1076)</f>
        <v>94</v>
      </c>
      <c r="C1076" s="342">
        <f>L1076+I1076+F1076</f>
        <v>0</v>
      </c>
      <c r="D1076" s="342">
        <f>M1076+J1076+G1076</f>
        <v>94</v>
      </c>
      <c r="E1076" s="342">
        <f>SUM(F1076:G1076)</f>
        <v>73</v>
      </c>
      <c r="F1076" s="342">
        <v>0</v>
      </c>
      <c r="G1076" s="342">
        <v>73</v>
      </c>
      <c r="H1076" s="342">
        <f>SUM(I1076:J1076)</f>
        <v>21</v>
      </c>
      <c r="I1076" s="342">
        <v>0</v>
      </c>
      <c r="J1076" s="342">
        <v>21</v>
      </c>
      <c r="K1076" s="342">
        <f>SUM(L1076:M1076)</f>
        <v>0</v>
      </c>
      <c r="L1076" s="342">
        <v>0</v>
      </c>
      <c r="M1076" s="342">
        <v>0</v>
      </c>
      <c r="N1076" s="203" t="s">
        <v>146</v>
      </c>
      <c r="O1076" s="550" t="s">
        <v>804</v>
      </c>
    </row>
    <row r="1077" spans="2:15" ht="18.75" customHeight="1" thickBot="1" x14ac:dyDescent="0.25">
      <c r="B1077" s="342">
        <f>SUM(C1077:D1077)</f>
        <v>5</v>
      </c>
      <c r="C1077" s="342">
        <f>L1077+I1077+F1077</f>
        <v>0</v>
      </c>
      <c r="D1077" s="342">
        <f>M1077+J1077+G1077</f>
        <v>5</v>
      </c>
      <c r="E1077" s="342">
        <f>SUM(F1077:G1077)</f>
        <v>0</v>
      </c>
      <c r="F1077" s="342">
        <v>0</v>
      </c>
      <c r="G1077" s="342">
        <v>0</v>
      </c>
      <c r="H1077" s="342">
        <f>SUM(I1077:J1077)</f>
        <v>0</v>
      </c>
      <c r="I1077" s="342">
        <v>0</v>
      </c>
      <c r="J1077" s="342">
        <v>0</v>
      </c>
      <c r="K1077" s="342">
        <f>SUM(L1077:M1077)</f>
        <v>5</v>
      </c>
      <c r="L1077" s="342">
        <v>0</v>
      </c>
      <c r="M1077" s="342">
        <v>5</v>
      </c>
      <c r="N1077" s="203" t="s">
        <v>145</v>
      </c>
      <c r="O1077" s="551"/>
    </row>
    <row r="1078" spans="2:15" ht="18.75" customHeight="1" thickBot="1" x14ac:dyDescent="0.25">
      <c r="B1078" s="342">
        <f t="shared" ref="B1078:M1078" si="371">SUM(B1076:B1077)</f>
        <v>99</v>
      </c>
      <c r="C1078" s="342">
        <f t="shared" si="371"/>
        <v>0</v>
      </c>
      <c r="D1078" s="342">
        <f t="shared" si="371"/>
        <v>99</v>
      </c>
      <c r="E1078" s="342">
        <f t="shared" si="371"/>
        <v>73</v>
      </c>
      <c r="F1078" s="342">
        <f t="shared" si="371"/>
        <v>0</v>
      </c>
      <c r="G1078" s="342">
        <f t="shared" si="371"/>
        <v>73</v>
      </c>
      <c r="H1078" s="342">
        <f t="shared" si="371"/>
        <v>21</v>
      </c>
      <c r="I1078" s="342">
        <f t="shared" si="371"/>
        <v>0</v>
      </c>
      <c r="J1078" s="342">
        <f t="shared" si="371"/>
        <v>21</v>
      </c>
      <c r="K1078" s="342">
        <f t="shared" si="371"/>
        <v>5</v>
      </c>
      <c r="L1078" s="342">
        <f t="shared" si="371"/>
        <v>0</v>
      </c>
      <c r="M1078" s="342">
        <f t="shared" si="371"/>
        <v>5</v>
      </c>
      <c r="N1078" s="203" t="s">
        <v>12</v>
      </c>
      <c r="O1078" s="552"/>
    </row>
    <row r="1079" spans="2:15" ht="18.75" customHeight="1" thickBot="1" x14ac:dyDescent="0.25">
      <c r="B1079" s="342">
        <f>SUM(C1079:D1079)</f>
        <v>44</v>
      </c>
      <c r="C1079" s="342">
        <f>L1079+I1079+F1079</f>
        <v>0</v>
      </c>
      <c r="D1079" s="342">
        <f>M1079+J1079+G1079</f>
        <v>44</v>
      </c>
      <c r="E1079" s="342">
        <f>SUM(F1079:G1079)</f>
        <v>44</v>
      </c>
      <c r="F1079" s="342">
        <v>0</v>
      </c>
      <c r="G1079" s="342">
        <v>44</v>
      </c>
      <c r="H1079" s="342">
        <f>SUM(I1079:J1079)</f>
        <v>0</v>
      </c>
      <c r="I1079" s="342">
        <v>0</v>
      </c>
      <c r="J1079" s="342">
        <v>0</v>
      </c>
      <c r="K1079" s="342">
        <f>SUM(L1079:M1079)</f>
        <v>0</v>
      </c>
      <c r="L1079" s="342">
        <v>0</v>
      </c>
      <c r="M1079" s="342">
        <v>0</v>
      </c>
      <c r="N1079" s="203" t="s">
        <v>146</v>
      </c>
      <c r="O1079" s="293"/>
    </row>
    <row r="1080" spans="2:15" ht="18.75" customHeight="1" thickBot="1" x14ac:dyDescent="0.25">
      <c r="B1080" s="342">
        <f>SUM(C1080:D1080)</f>
        <v>20</v>
      </c>
      <c r="C1080" s="342">
        <f>L1080+I1080+F1080</f>
        <v>0</v>
      </c>
      <c r="D1080" s="342">
        <f>M1080+J1080+G1080</f>
        <v>20</v>
      </c>
      <c r="E1080" s="342">
        <f>SUM(F1080:G1080)</f>
        <v>0</v>
      </c>
      <c r="F1080" s="342">
        <v>0</v>
      </c>
      <c r="G1080" s="342">
        <v>0</v>
      </c>
      <c r="H1080" s="342">
        <f>SUM(I1080:J1080)</f>
        <v>18</v>
      </c>
      <c r="I1080" s="342">
        <v>0</v>
      </c>
      <c r="J1080" s="342">
        <v>18</v>
      </c>
      <c r="K1080" s="342">
        <f>SUM(L1080:M1080)</f>
        <v>2</v>
      </c>
      <c r="L1080" s="342">
        <v>0</v>
      </c>
      <c r="M1080" s="342">
        <v>2</v>
      </c>
      <c r="N1080" s="203" t="s">
        <v>145</v>
      </c>
      <c r="O1080" s="293" t="s">
        <v>307</v>
      </c>
    </row>
    <row r="1081" spans="2:15" ht="18.75" customHeight="1" thickBot="1" x14ac:dyDescent="0.25">
      <c r="B1081" s="342">
        <f t="shared" ref="B1081:M1081" si="372">SUM(B1079:B1080)</f>
        <v>64</v>
      </c>
      <c r="C1081" s="342">
        <f t="shared" si="372"/>
        <v>0</v>
      </c>
      <c r="D1081" s="342">
        <f t="shared" si="372"/>
        <v>64</v>
      </c>
      <c r="E1081" s="342">
        <f t="shared" si="372"/>
        <v>44</v>
      </c>
      <c r="F1081" s="342">
        <f t="shared" si="372"/>
        <v>0</v>
      </c>
      <c r="G1081" s="342">
        <f t="shared" si="372"/>
        <v>44</v>
      </c>
      <c r="H1081" s="342">
        <f t="shared" si="372"/>
        <v>18</v>
      </c>
      <c r="I1081" s="342">
        <f t="shared" si="372"/>
        <v>0</v>
      </c>
      <c r="J1081" s="342">
        <f t="shared" si="372"/>
        <v>18</v>
      </c>
      <c r="K1081" s="342">
        <f t="shared" si="372"/>
        <v>2</v>
      </c>
      <c r="L1081" s="342">
        <f t="shared" si="372"/>
        <v>0</v>
      </c>
      <c r="M1081" s="342">
        <f t="shared" si="372"/>
        <v>2</v>
      </c>
      <c r="N1081" s="203" t="s">
        <v>12</v>
      </c>
      <c r="O1081" s="285"/>
    </row>
    <row r="1082" spans="2:15" ht="18.75" customHeight="1" thickBot="1" x14ac:dyDescent="0.25">
      <c r="B1082" s="342">
        <f>SUM(C1082:D1082)</f>
        <v>16</v>
      </c>
      <c r="C1082" s="342">
        <f>L1082+I1082+F1082</f>
        <v>0</v>
      </c>
      <c r="D1082" s="342">
        <f>M1082+J1082+G1082</f>
        <v>16</v>
      </c>
      <c r="E1082" s="342">
        <f>SUM(F1082:G1082)</f>
        <v>16</v>
      </c>
      <c r="F1082" s="342">
        <v>0</v>
      </c>
      <c r="G1082" s="342">
        <v>16</v>
      </c>
      <c r="H1082" s="342">
        <f>SUM(I1082:J1082)</f>
        <v>0</v>
      </c>
      <c r="I1082" s="342">
        <v>0</v>
      </c>
      <c r="J1082" s="342">
        <v>0</v>
      </c>
      <c r="K1082" s="342">
        <f>SUM(L1082:M1082)</f>
        <v>0</v>
      </c>
      <c r="L1082" s="342">
        <v>0</v>
      </c>
      <c r="M1082" s="342">
        <v>0</v>
      </c>
      <c r="N1082" s="203" t="s">
        <v>146</v>
      </c>
      <c r="O1082" s="293"/>
    </row>
    <row r="1083" spans="2:15" ht="18.75" customHeight="1" thickBot="1" x14ac:dyDescent="0.25">
      <c r="B1083" s="342">
        <f>SUM(C1083:D1083)</f>
        <v>42</v>
      </c>
      <c r="C1083" s="342">
        <f>L1083+I1083+F1083</f>
        <v>0</v>
      </c>
      <c r="D1083" s="342">
        <f>M1083+J1083+G1083</f>
        <v>42</v>
      </c>
      <c r="E1083" s="342">
        <f>SUM(F1083:G1083)</f>
        <v>0</v>
      </c>
      <c r="F1083" s="342">
        <v>0</v>
      </c>
      <c r="G1083" s="342">
        <v>0</v>
      </c>
      <c r="H1083" s="342">
        <f>SUM(I1083:J1083)</f>
        <v>36</v>
      </c>
      <c r="I1083" s="342">
        <v>0</v>
      </c>
      <c r="J1083" s="342">
        <v>36</v>
      </c>
      <c r="K1083" s="342">
        <f>SUM(L1083:M1083)</f>
        <v>6</v>
      </c>
      <c r="L1083" s="342">
        <v>0</v>
      </c>
      <c r="M1083" s="342">
        <v>6</v>
      </c>
      <c r="N1083" s="203" t="s">
        <v>145</v>
      </c>
      <c r="O1083" s="293" t="s">
        <v>308</v>
      </c>
    </row>
    <row r="1084" spans="2:15" ht="18.75" customHeight="1" thickBot="1" x14ac:dyDescent="0.25">
      <c r="B1084" s="342">
        <f t="shared" ref="B1084:M1084" si="373">SUM(B1082:B1083)</f>
        <v>58</v>
      </c>
      <c r="C1084" s="342">
        <f t="shared" si="373"/>
        <v>0</v>
      </c>
      <c r="D1084" s="342">
        <f t="shared" si="373"/>
        <v>58</v>
      </c>
      <c r="E1084" s="342">
        <f t="shared" si="373"/>
        <v>16</v>
      </c>
      <c r="F1084" s="342">
        <f t="shared" si="373"/>
        <v>0</v>
      </c>
      <c r="G1084" s="342">
        <f t="shared" si="373"/>
        <v>16</v>
      </c>
      <c r="H1084" s="342">
        <f t="shared" si="373"/>
        <v>36</v>
      </c>
      <c r="I1084" s="342">
        <f t="shared" si="373"/>
        <v>0</v>
      </c>
      <c r="J1084" s="342">
        <f t="shared" si="373"/>
        <v>36</v>
      </c>
      <c r="K1084" s="342">
        <f t="shared" si="373"/>
        <v>6</v>
      </c>
      <c r="L1084" s="342">
        <f t="shared" si="373"/>
        <v>0</v>
      </c>
      <c r="M1084" s="342">
        <f t="shared" si="373"/>
        <v>6</v>
      </c>
      <c r="N1084" s="203" t="s">
        <v>12</v>
      </c>
      <c r="O1084" s="285"/>
    </row>
    <row r="1085" spans="2:15" ht="18.75" customHeight="1" thickBot="1" x14ac:dyDescent="0.25">
      <c r="B1085" s="342">
        <f>SUM(C1085:D1085)</f>
        <v>51</v>
      </c>
      <c r="C1085" s="342">
        <f>L1085+I1085+F1085</f>
        <v>0</v>
      </c>
      <c r="D1085" s="342">
        <f>M1085+J1085+G1085</f>
        <v>51</v>
      </c>
      <c r="E1085" s="342">
        <f>SUM(F1085:G1085)</f>
        <v>46</v>
      </c>
      <c r="F1085" s="342">
        <v>0</v>
      </c>
      <c r="G1085" s="342">
        <v>46</v>
      </c>
      <c r="H1085" s="342">
        <f>SUM(I1085:J1085)</f>
        <v>5</v>
      </c>
      <c r="I1085" s="342">
        <v>0</v>
      </c>
      <c r="J1085" s="342">
        <v>5</v>
      </c>
      <c r="K1085" s="342">
        <f>SUM(L1085:M1085)</f>
        <v>0</v>
      </c>
      <c r="L1085" s="342">
        <v>0</v>
      </c>
      <c r="M1085" s="342">
        <v>0</v>
      </c>
      <c r="N1085" s="203" t="s">
        <v>146</v>
      </c>
      <c r="O1085" s="293"/>
    </row>
    <row r="1086" spans="2:15" ht="18.75" customHeight="1" thickBot="1" x14ac:dyDescent="0.25">
      <c r="B1086" s="342">
        <f>SUM(C1086:D1086)</f>
        <v>13</v>
      </c>
      <c r="C1086" s="342">
        <f>L1086+I1086+F1086</f>
        <v>0</v>
      </c>
      <c r="D1086" s="342">
        <f>M1086+J1086+G1086</f>
        <v>13</v>
      </c>
      <c r="E1086" s="342">
        <f>SUM(F1086:G1086)</f>
        <v>7</v>
      </c>
      <c r="F1086" s="342">
        <v>0</v>
      </c>
      <c r="G1086" s="342">
        <v>7</v>
      </c>
      <c r="H1086" s="342">
        <f>SUM(I1086:J1086)</f>
        <v>0</v>
      </c>
      <c r="I1086" s="342">
        <v>0</v>
      </c>
      <c r="J1086" s="342">
        <v>0</v>
      </c>
      <c r="K1086" s="342">
        <f>SUM(L1086:M1086)</f>
        <v>6</v>
      </c>
      <c r="L1086" s="342">
        <v>0</v>
      </c>
      <c r="M1086" s="342">
        <v>6</v>
      </c>
      <c r="N1086" s="203" t="s">
        <v>145</v>
      </c>
      <c r="O1086" s="293" t="s">
        <v>309</v>
      </c>
    </row>
    <row r="1087" spans="2:15" ht="18.75" customHeight="1" thickBot="1" x14ac:dyDescent="0.25">
      <c r="B1087" s="342">
        <f t="shared" ref="B1087:M1087" si="374">SUM(B1085:B1086)</f>
        <v>64</v>
      </c>
      <c r="C1087" s="342">
        <f t="shared" si="374"/>
        <v>0</v>
      </c>
      <c r="D1087" s="342">
        <f t="shared" si="374"/>
        <v>64</v>
      </c>
      <c r="E1087" s="342">
        <f t="shared" si="374"/>
        <v>53</v>
      </c>
      <c r="F1087" s="342">
        <f t="shared" si="374"/>
        <v>0</v>
      </c>
      <c r="G1087" s="342">
        <f t="shared" si="374"/>
        <v>53</v>
      </c>
      <c r="H1087" s="342">
        <f t="shared" si="374"/>
        <v>5</v>
      </c>
      <c r="I1087" s="342">
        <f t="shared" si="374"/>
        <v>0</v>
      </c>
      <c r="J1087" s="342">
        <f t="shared" si="374"/>
        <v>5</v>
      </c>
      <c r="K1087" s="342">
        <f t="shared" si="374"/>
        <v>6</v>
      </c>
      <c r="L1087" s="342">
        <f t="shared" si="374"/>
        <v>0</v>
      </c>
      <c r="M1087" s="342">
        <f t="shared" si="374"/>
        <v>6</v>
      </c>
      <c r="N1087" s="203" t="s">
        <v>12</v>
      </c>
      <c r="O1087" s="285"/>
    </row>
    <row r="1088" spans="2:15" ht="18.75" customHeight="1" thickBot="1" x14ac:dyDescent="0.25">
      <c r="B1088" s="342">
        <f>SUM(C1088:D1088)</f>
        <v>25</v>
      </c>
      <c r="C1088" s="342">
        <f>L1088+I1088+F1088</f>
        <v>0</v>
      </c>
      <c r="D1088" s="342">
        <f>M1088+J1088+G1088</f>
        <v>25</v>
      </c>
      <c r="E1088" s="342">
        <f>SUM(F1088:G1088)</f>
        <v>25</v>
      </c>
      <c r="F1088" s="342">
        <v>0</v>
      </c>
      <c r="G1088" s="342">
        <v>25</v>
      </c>
      <c r="H1088" s="342">
        <f>SUM(I1088:J1088)</f>
        <v>0</v>
      </c>
      <c r="I1088" s="342">
        <v>0</v>
      </c>
      <c r="J1088" s="342">
        <v>0</v>
      </c>
      <c r="K1088" s="342">
        <f>SUM(L1088:M1088)</f>
        <v>0</v>
      </c>
      <c r="L1088" s="342">
        <v>0</v>
      </c>
      <c r="M1088" s="342">
        <v>0</v>
      </c>
      <c r="N1088" s="203" t="s">
        <v>146</v>
      </c>
      <c r="O1088" s="293"/>
    </row>
    <row r="1089" spans="2:15" ht="18.75" customHeight="1" thickBot="1" x14ac:dyDescent="0.25">
      <c r="B1089" s="342">
        <f>SUM(C1089:D1089)</f>
        <v>15</v>
      </c>
      <c r="C1089" s="342">
        <f>L1089+I1089+F1089</f>
        <v>0</v>
      </c>
      <c r="D1089" s="342">
        <f>M1089+J1089+G1089</f>
        <v>15</v>
      </c>
      <c r="E1089" s="342">
        <f>SUM(F1089:G1089)</f>
        <v>0</v>
      </c>
      <c r="F1089" s="342">
        <v>0</v>
      </c>
      <c r="G1089" s="342">
        <v>0</v>
      </c>
      <c r="H1089" s="342">
        <f>SUM(I1089:J1089)</f>
        <v>15</v>
      </c>
      <c r="I1089" s="342">
        <v>0</v>
      </c>
      <c r="J1089" s="342">
        <v>15</v>
      </c>
      <c r="K1089" s="342">
        <f>SUM(L1089:M1089)</f>
        <v>0</v>
      </c>
      <c r="L1089" s="342">
        <v>0</v>
      </c>
      <c r="M1089" s="342">
        <v>0</v>
      </c>
      <c r="N1089" s="203" t="s">
        <v>145</v>
      </c>
      <c r="O1089" s="293" t="s">
        <v>310</v>
      </c>
    </row>
    <row r="1090" spans="2:15" ht="18.75" customHeight="1" thickBot="1" x14ac:dyDescent="0.25">
      <c r="B1090" s="342">
        <f t="shared" ref="B1090:M1090" si="375">SUM(B1088:B1089)</f>
        <v>40</v>
      </c>
      <c r="C1090" s="342">
        <f t="shared" si="375"/>
        <v>0</v>
      </c>
      <c r="D1090" s="342">
        <f t="shared" si="375"/>
        <v>40</v>
      </c>
      <c r="E1090" s="342">
        <f t="shared" si="375"/>
        <v>25</v>
      </c>
      <c r="F1090" s="342">
        <f t="shared" si="375"/>
        <v>0</v>
      </c>
      <c r="G1090" s="342">
        <f t="shared" si="375"/>
        <v>25</v>
      </c>
      <c r="H1090" s="342">
        <f t="shared" si="375"/>
        <v>15</v>
      </c>
      <c r="I1090" s="342">
        <f t="shared" si="375"/>
        <v>0</v>
      </c>
      <c r="J1090" s="342">
        <f t="shared" si="375"/>
        <v>15</v>
      </c>
      <c r="K1090" s="342">
        <f t="shared" si="375"/>
        <v>0</v>
      </c>
      <c r="L1090" s="342">
        <f t="shared" si="375"/>
        <v>0</v>
      </c>
      <c r="M1090" s="342">
        <f t="shared" si="375"/>
        <v>0</v>
      </c>
      <c r="N1090" s="203" t="s">
        <v>12</v>
      </c>
      <c r="O1090" s="285"/>
    </row>
    <row r="1091" spans="2:15" ht="18.75" customHeight="1" thickBot="1" x14ac:dyDescent="0.25">
      <c r="B1091" s="342">
        <f>SUM(C1091:D1091)</f>
        <v>130</v>
      </c>
      <c r="C1091" s="342">
        <f>L1091+I1091+F1091</f>
        <v>0</v>
      </c>
      <c r="D1091" s="342">
        <f>M1091+J1091+G1091</f>
        <v>130</v>
      </c>
      <c r="E1091" s="342">
        <f>SUM(F1091:G1091)</f>
        <v>126</v>
      </c>
      <c r="F1091" s="342">
        <v>0</v>
      </c>
      <c r="G1091" s="342">
        <v>126</v>
      </c>
      <c r="H1091" s="342">
        <f>SUM(I1091:J1091)</f>
        <v>4</v>
      </c>
      <c r="I1091" s="342">
        <v>0</v>
      </c>
      <c r="J1091" s="342">
        <v>4</v>
      </c>
      <c r="K1091" s="342">
        <f>SUM(L1091:M1091)</f>
        <v>0</v>
      </c>
      <c r="L1091" s="342">
        <v>0</v>
      </c>
      <c r="M1091" s="342">
        <v>0</v>
      </c>
      <c r="N1091" s="203" t="s">
        <v>146</v>
      </c>
      <c r="O1091" s="293"/>
    </row>
    <row r="1092" spans="2:15" ht="18.75" customHeight="1" thickBot="1" x14ac:dyDescent="0.25">
      <c r="B1092" s="342">
        <f>SUM(C1092:D1092)</f>
        <v>21</v>
      </c>
      <c r="C1092" s="342">
        <f>L1092+I1092+F1092</f>
        <v>0</v>
      </c>
      <c r="D1092" s="342">
        <f>M1092+J1092+G1092</f>
        <v>21</v>
      </c>
      <c r="E1092" s="342">
        <f>SUM(F1092:G1092)</f>
        <v>14</v>
      </c>
      <c r="F1092" s="342">
        <v>0</v>
      </c>
      <c r="G1092" s="342">
        <v>14</v>
      </c>
      <c r="H1092" s="342">
        <f>SUM(I1092:J1092)</f>
        <v>4</v>
      </c>
      <c r="I1092" s="342">
        <v>0</v>
      </c>
      <c r="J1092" s="342">
        <v>4</v>
      </c>
      <c r="K1092" s="342">
        <f>SUM(L1092:M1092)</f>
        <v>3</v>
      </c>
      <c r="L1092" s="342">
        <v>0</v>
      </c>
      <c r="M1092" s="342">
        <v>3</v>
      </c>
      <c r="N1092" s="203" t="s">
        <v>145</v>
      </c>
      <c r="O1092" s="293" t="s">
        <v>311</v>
      </c>
    </row>
    <row r="1093" spans="2:15" ht="18.75" customHeight="1" thickBot="1" x14ac:dyDescent="0.25">
      <c r="B1093" s="342">
        <f t="shared" ref="B1093:M1093" si="376">SUM(B1091:B1092)</f>
        <v>151</v>
      </c>
      <c r="C1093" s="342">
        <f t="shared" si="376"/>
        <v>0</v>
      </c>
      <c r="D1093" s="342">
        <f t="shared" si="376"/>
        <v>151</v>
      </c>
      <c r="E1093" s="342">
        <f t="shared" si="376"/>
        <v>140</v>
      </c>
      <c r="F1093" s="342">
        <f t="shared" si="376"/>
        <v>0</v>
      </c>
      <c r="G1093" s="342">
        <f t="shared" si="376"/>
        <v>140</v>
      </c>
      <c r="H1093" s="342">
        <f t="shared" si="376"/>
        <v>8</v>
      </c>
      <c r="I1093" s="342">
        <f t="shared" si="376"/>
        <v>0</v>
      </c>
      <c r="J1093" s="342">
        <f t="shared" si="376"/>
        <v>8</v>
      </c>
      <c r="K1093" s="342">
        <f t="shared" si="376"/>
        <v>3</v>
      </c>
      <c r="L1093" s="342">
        <f t="shared" si="376"/>
        <v>0</v>
      </c>
      <c r="M1093" s="342">
        <f t="shared" si="376"/>
        <v>3</v>
      </c>
      <c r="N1093" s="203" t="s">
        <v>12</v>
      </c>
      <c r="O1093" s="285"/>
    </row>
    <row r="1094" spans="2:15" ht="18.75" customHeight="1" thickBot="1" x14ac:dyDescent="0.25">
      <c r="B1094" s="342">
        <f>SUM(C1094:D1094)</f>
        <v>25</v>
      </c>
      <c r="C1094" s="342">
        <f>L1094+I1094+F1094</f>
        <v>0</v>
      </c>
      <c r="D1094" s="342">
        <f>M1094+J1094+G1094</f>
        <v>25</v>
      </c>
      <c r="E1094" s="342">
        <f>SUM(F1094:G1094)</f>
        <v>23</v>
      </c>
      <c r="F1094" s="342">
        <v>0</v>
      </c>
      <c r="G1094" s="342">
        <v>23</v>
      </c>
      <c r="H1094" s="342">
        <f>SUM(I1094:J1094)</f>
        <v>2</v>
      </c>
      <c r="I1094" s="342">
        <v>0</v>
      </c>
      <c r="J1094" s="342">
        <v>2</v>
      </c>
      <c r="K1094" s="342">
        <f>SUM(L1094:M1094)</f>
        <v>0</v>
      </c>
      <c r="L1094" s="342">
        <v>0</v>
      </c>
      <c r="M1094" s="342">
        <v>0</v>
      </c>
      <c r="N1094" s="203" t="s">
        <v>146</v>
      </c>
      <c r="O1094" s="293"/>
    </row>
    <row r="1095" spans="2:15" ht="18.75" customHeight="1" thickBot="1" x14ac:dyDescent="0.25">
      <c r="B1095" s="342">
        <f>SUM(C1095:D1095)</f>
        <v>19</v>
      </c>
      <c r="C1095" s="342">
        <f>L1095+I1095+F1095</f>
        <v>0</v>
      </c>
      <c r="D1095" s="342">
        <f>M1095+J1095+G1095</f>
        <v>19</v>
      </c>
      <c r="E1095" s="342">
        <f>SUM(F1095:G1095)</f>
        <v>13</v>
      </c>
      <c r="F1095" s="342">
        <v>0</v>
      </c>
      <c r="G1095" s="342">
        <v>13</v>
      </c>
      <c r="H1095" s="342">
        <f>SUM(I1095:J1095)</f>
        <v>6</v>
      </c>
      <c r="I1095" s="342">
        <v>0</v>
      </c>
      <c r="J1095" s="342">
        <v>6</v>
      </c>
      <c r="K1095" s="342">
        <f>SUM(L1095:M1095)</f>
        <v>0</v>
      </c>
      <c r="L1095" s="342">
        <v>0</v>
      </c>
      <c r="M1095" s="342">
        <v>0</v>
      </c>
      <c r="N1095" s="203" t="s">
        <v>145</v>
      </c>
      <c r="O1095" s="293" t="s">
        <v>312</v>
      </c>
    </row>
    <row r="1096" spans="2:15" ht="18.75" customHeight="1" thickBot="1" x14ac:dyDescent="0.25">
      <c r="B1096" s="342">
        <f t="shared" ref="B1096:M1096" si="377">SUM(B1094:B1095)</f>
        <v>44</v>
      </c>
      <c r="C1096" s="342">
        <f t="shared" si="377"/>
        <v>0</v>
      </c>
      <c r="D1096" s="342">
        <f t="shared" si="377"/>
        <v>44</v>
      </c>
      <c r="E1096" s="342">
        <f t="shared" si="377"/>
        <v>36</v>
      </c>
      <c r="F1096" s="342">
        <f t="shared" si="377"/>
        <v>0</v>
      </c>
      <c r="G1096" s="342">
        <f t="shared" si="377"/>
        <v>36</v>
      </c>
      <c r="H1096" s="342">
        <f t="shared" si="377"/>
        <v>8</v>
      </c>
      <c r="I1096" s="342">
        <f t="shared" si="377"/>
        <v>0</v>
      </c>
      <c r="J1096" s="342">
        <f t="shared" si="377"/>
        <v>8</v>
      </c>
      <c r="K1096" s="342">
        <f t="shared" si="377"/>
        <v>0</v>
      </c>
      <c r="L1096" s="342">
        <f t="shared" si="377"/>
        <v>0</v>
      </c>
      <c r="M1096" s="342">
        <f t="shared" si="377"/>
        <v>0</v>
      </c>
      <c r="N1096" s="203" t="s">
        <v>12</v>
      </c>
      <c r="O1096" s="285"/>
    </row>
    <row r="1097" spans="2:15" ht="18.75" customHeight="1" thickBot="1" x14ac:dyDescent="0.25">
      <c r="B1097" s="342">
        <f>SUM(C1097:D1097)</f>
        <v>32</v>
      </c>
      <c r="C1097" s="342">
        <f>L1097+I1097+F1097</f>
        <v>0</v>
      </c>
      <c r="D1097" s="342">
        <f>M1097+J1097+G1097</f>
        <v>32</v>
      </c>
      <c r="E1097" s="342">
        <f>SUM(F1097:G1097)</f>
        <v>29</v>
      </c>
      <c r="F1097" s="342">
        <v>0</v>
      </c>
      <c r="G1097" s="342">
        <v>29</v>
      </c>
      <c r="H1097" s="342">
        <f>SUM(I1097:J1097)</f>
        <v>3</v>
      </c>
      <c r="I1097" s="342">
        <v>0</v>
      </c>
      <c r="J1097" s="342">
        <v>3</v>
      </c>
      <c r="K1097" s="342">
        <f>SUM(L1097:M1097)</f>
        <v>0</v>
      </c>
      <c r="L1097" s="342">
        <v>0</v>
      </c>
      <c r="M1097" s="342">
        <v>0</v>
      </c>
      <c r="N1097" s="203" t="s">
        <v>146</v>
      </c>
      <c r="O1097" s="293"/>
    </row>
    <row r="1098" spans="2:15" ht="18.75" customHeight="1" thickBot="1" x14ac:dyDescent="0.25">
      <c r="B1098" s="342">
        <f>SUM(C1098:D1098)</f>
        <v>57</v>
      </c>
      <c r="C1098" s="342">
        <f>L1098+I1098+F1098</f>
        <v>0</v>
      </c>
      <c r="D1098" s="342">
        <f>M1098+J1098+G1098</f>
        <v>57</v>
      </c>
      <c r="E1098" s="342">
        <f>SUM(F1098:G1098)</f>
        <v>36</v>
      </c>
      <c r="F1098" s="342">
        <v>0</v>
      </c>
      <c r="G1098" s="342">
        <v>36</v>
      </c>
      <c r="H1098" s="342">
        <f>SUM(I1098:J1098)</f>
        <v>15</v>
      </c>
      <c r="I1098" s="342">
        <v>0</v>
      </c>
      <c r="J1098" s="342">
        <v>15</v>
      </c>
      <c r="K1098" s="342">
        <f>SUM(L1098:M1098)</f>
        <v>6</v>
      </c>
      <c r="L1098" s="342">
        <v>0</v>
      </c>
      <c r="M1098" s="342">
        <v>6</v>
      </c>
      <c r="N1098" s="203" t="s">
        <v>145</v>
      </c>
      <c r="O1098" s="293" t="s">
        <v>313</v>
      </c>
    </row>
    <row r="1099" spans="2:15" ht="18.75" customHeight="1" thickBot="1" x14ac:dyDescent="0.25">
      <c r="B1099" s="342">
        <f t="shared" ref="B1099:M1099" si="378">SUM(B1097:B1098)</f>
        <v>89</v>
      </c>
      <c r="C1099" s="342">
        <f t="shared" si="378"/>
        <v>0</v>
      </c>
      <c r="D1099" s="342">
        <f t="shared" si="378"/>
        <v>89</v>
      </c>
      <c r="E1099" s="342">
        <f t="shared" si="378"/>
        <v>65</v>
      </c>
      <c r="F1099" s="342">
        <f t="shared" si="378"/>
        <v>0</v>
      </c>
      <c r="G1099" s="342">
        <f t="shared" si="378"/>
        <v>65</v>
      </c>
      <c r="H1099" s="342">
        <f t="shared" si="378"/>
        <v>18</v>
      </c>
      <c r="I1099" s="342">
        <f t="shared" si="378"/>
        <v>0</v>
      </c>
      <c r="J1099" s="342">
        <f t="shared" si="378"/>
        <v>18</v>
      </c>
      <c r="K1099" s="342">
        <f t="shared" si="378"/>
        <v>6</v>
      </c>
      <c r="L1099" s="342">
        <f t="shared" si="378"/>
        <v>0</v>
      </c>
      <c r="M1099" s="342">
        <f t="shared" si="378"/>
        <v>6</v>
      </c>
      <c r="N1099" s="203" t="s">
        <v>12</v>
      </c>
      <c r="O1099" s="285"/>
    </row>
    <row r="1100" spans="2:15" ht="18.75" customHeight="1" thickBot="1" x14ac:dyDescent="0.25">
      <c r="B1100" s="342">
        <f>SUM(C1100:D1100)</f>
        <v>26</v>
      </c>
      <c r="C1100" s="342">
        <f>L1100+I1100+F1100</f>
        <v>0</v>
      </c>
      <c r="D1100" s="342">
        <f>M1100+J1100+G1100</f>
        <v>26</v>
      </c>
      <c r="E1100" s="342">
        <f>SUM(F1100:G1100)</f>
        <v>26</v>
      </c>
      <c r="F1100" s="342">
        <v>0</v>
      </c>
      <c r="G1100" s="342">
        <v>26</v>
      </c>
      <c r="H1100" s="342">
        <f>SUM(I1100:J1100)</f>
        <v>0</v>
      </c>
      <c r="I1100" s="342">
        <v>0</v>
      </c>
      <c r="J1100" s="342">
        <v>0</v>
      </c>
      <c r="K1100" s="342">
        <f>SUM(L1100:M1100)</f>
        <v>0</v>
      </c>
      <c r="L1100" s="342">
        <v>0</v>
      </c>
      <c r="M1100" s="342">
        <v>0</v>
      </c>
      <c r="N1100" s="203" t="s">
        <v>146</v>
      </c>
      <c r="O1100" s="293"/>
    </row>
    <row r="1101" spans="2:15" ht="18.75" customHeight="1" thickBot="1" x14ac:dyDescent="0.25">
      <c r="B1101" s="342">
        <f>SUM(C1101:D1101)</f>
        <v>11</v>
      </c>
      <c r="C1101" s="342">
        <f>L1101+I1101+F1101</f>
        <v>0</v>
      </c>
      <c r="D1101" s="342">
        <f>M1101+J1101+G1101</f>
        <v>11</v>
      </c>
      <c r="E1101" s="342">
        <f>SUM(F1101:G1101)</f>
        <v>7</v>
      </c>
      <c r="F1101" s="342">
        <v>0</v>
      </c>
      <c r="G1101" s="342">
        <v>7</v>
      </c>
      <c r="H1101" s="342">
        <f>SUM(I1101:J1101)</f>
        <v>3</v>
      </c>
      <c r="I1101" s="342">
        <v>0</v>
      </c>
      <c r="J1101" s="342">
        <v>3</v>
      </c>
      <c r="K1101" s="342">
        <f>SUM(L1101:M1101)</f>
        <v>1</v>
      </c>
      <c r="L1101" s="342">
        <v>0</v>
      </c>
      <c r="M1101" s="342">
        <v>1</v>
      </c>
      <c r="N1101" s="203" t="s">
        <v>145</v>
      </c>
      <c r="O1101" s="293" t="s">
        <v>314</v>
      </c>
    </row>
    <row r="1102" spans="2:15" ht="18.75" customHeight="1" thickBot="1" x14ac:dyDescent="0.25">
      <c r="B1102" s="342">
        <f t="shared" ref="B1102:M1102" si="379">SUM(B1100:B1101)</f>
        <v>37</v>
      </c>
      <c r="C1102" s="342">
        <f t="shared" si="379"/>
        <v>0</v>
      </c>
      <c r="D1102" s="342">
        <f t="shared" si="379"/>
        <v>37</v>
      </c>
      <c r="E1102" s="342">
        <f t="shared" si="379"/>
        <v>33</v>
      </c>
      <c r="F1102" s="342">
        <f t="shared" si="379"/>
        <v>0</v>
      </c>
      <c r="G1102" s="342">
        <f t="shared" si="379"/>
        <v>33</v>
      </c>
      <c r="H1102" s="342">
        <f t="shared" si="379"/>
        <v>3</v>
      </c>
      <c r="I1102" s="342">
        <f t="shared" si="379"/>
        <v>0</v>
      </c>
      <c r="J1102" s="342">
        <f t="shared" si="379"/>
        <v>3</v>
      </c>
      <c r="K1102" s="342">
        <f t="shared" si="379"/>
        <v>1</v>
      </c>
      <c r="L1102" s="342">
        <f t="shared" si="379"/>
        <v>0</v>
      </c>
      <c r="M1102" s="342">
        <f t="shared" si="379"/>
        <v>1</v>
      </c>
      <c r="N1102" s="203" t="s">
        <v>12</v>
      </c>
      <c r="O1102" s="285"/>
    </row>
    <row r="1103" spans="2:15" ht="18.75" customHeight="1" thickBot="1" x14ac:dyDescent="0.25">
      <c r="B1103" s="342">
        <f>SUM(C1103:D1103)</f>
        <v>18</v>
      </c>
      <c r="C1103" s="342">
        <f>L1103+I1103+F1103</f>
        <v>0</v>
      </c>
      <c r="D1103" s="342">
        <f>M1103+J1103+G1103</f>
        <v>18</v>
      </c>
      <c r="E1103" s="342">
        <f>SUM(F1103:G1103)</f>
        <v>18</v>
      </c>
      <c r="F1103" s="342">
        <v>0</v>
      </c>
      <c r="G1103" s="342">
        <v>18</v>
      </c>
      <c r="H1103" s="342">
        <f>SUM(I1103:J1103)</f>
        <v>0</v>
      </c>
      <c r="I1103" s="342">
        <v>0</v>
      </c>
      <c r="J1103" s="342">
        <v>0</v>
      </c>
      <c r="K1103" s="342">
        <f>SUM(L1103:M1103)</f>
        <v>0</v>
      </c>
      <c r="L1103" s="342">
        <v>0</v>
      </c>
      <c r="M1103" s="342">
        <v>0</v>
      </c>
      <c r="N1103" s="203" t="s">
        <v>146</v>
      </c>
      <c r="O1103" s="293"/>
    </row>
    <row r="1104" spans="2:15" ht="18.75" customHeight="1" thickBot="1" x14ac:dyDescent="0.25">
      <c r="B1104" s="342">
        <f>SUM(C1104:D1104)</f>
        <v>16</v>
      </c>
      <c r="C1104" s="342">
        <f>L1104+I1104+F1104</f>
        <v>0</v>
      </c>
      <c r="D1104" s="342">
        <f>M1104+J1104+G1104</f>
        <v>16</v>
      </c>
      <c r="E1104" s="342">
        <f>SUM(F1104:G1104)</f>
        <v>13</v>
      </c>
      <c r="F1104" s="342">
        <v>0</v>
      </c>
      <c r="G1104" s="342">
        <v>13</v>
      </c>
      <c r="H1104" s="342">
        <f>SUM(I1104:J1104)</f>
        <v>2</v>
      </c>
      <c r="I1104" s="342">
        <v>0</v>
      </c>
      <c r="J1104" s="342">
        <v>2</v>
      </c>
      <c r="K1104" s="342">
        <f>SUM(L1104:M1104)</f>
        <v>1</v>
      </c>
      <c r="L1104" s="342">
        <v>0</v>
      </c>
      <c r="M1104" s="342">
        <v>1</v>
      </c>
      <c r="N1104" s="203" t="s">
        <v>145</v>
      </c>
      <c r="O1104" s="293" t="s">
        <v>315</v>
      </c>
    </row>
    <row r="1105" spans="2:15" ht="18.75" customHeight="1" thickBot="1" x14ac:dyDescent="0.25">
      <c r="B1105" s="342">
        <f t="shared" ref="B1105:M1105" si="380">SUM(B1103:B1104)</f>
        <v>34</v>
      </c>
      <c r="C1105" s="342">
        <f t="shared" si="380"/>
        <v>0</v>
      </c>
      <c r="D1105" s="342">
        <f t="shared" si="380"/>
        <v>34</v>
      </c>
      <c r="E1105" s="342">
        <f t="shared" si="380"/>
        <v>31</v>
      </c>
      <c r="F1105" s="342">
        <f t="shared" si="380"/>
        <v>0</v>
      </c>
      <c r="G1105" s="342">
        <f t="shared" si="380"/>
        <v>31</v>
      </c>
      <c r="H1105" s="342">
        <f t="shared" si="380"/>
        <v>2</v>
      </c>
      <c r="I1105" s="342">
        <f t="shared" si="380"/>
        <v>0</v>
      </c>
      <c r="J1105" s="342">
        <f t="shared" si="380"/>
        <v>2</v>
      </c>
      <c r="K1105" s="342">
        <f t="shared" si="380"/>
        <v>1</v>
      </c>
      <c r="L1105" s="342">
        <f t="shared" si="380"/>
        <v>0</v>
      </c>
      <c r="M1105" s="342">
        <f t="shared" si="380"/>
        <v>1</v>
      </c>
      <c r="N1105" s="203" t="s">
        <v>12</v>
      </c>
      <c r="O1105" s="285"/>
    </row>
    <row r="1106" spans="2:15" ht="18.75" customHeight="1" thickBot="1" x14ac:dyDescent="0.25">
      <c r="B1106" s="342">
        <f>SUM(C1106:D1106)</f>
        <v>45</v>
      </c>
      <c r="C1106" s="342">
        <f>L1106+I1106+F1106</f>
        <v>0</v>
      </c>
      <c r="D1106" s="342">
        <f>M1106+J1106+G1106</f>
        <v>45</v>
      </c>
      <c r="E1106" s="342">
        <f>SUM(F1106:G1106)</f>
        <v>39</v>
      </c>
      <c r="F1106" s="342">
        <v>0</v>
      </c>
      <c r="G1106" s="342">
        <v>39</v>
      </c>
      <c r="H1106" s="342">
        <f>SUM(I1106:J1106)</f>
        <v>6</v>
      </c>
      <c r="I1106" s="342">
        <v>0</v>
      </c>
      <c r="J1106" s="342">
        <v>6</v>
      </c>
      <c r="K1106" s="342">
        <f>SUM(L1106:M1106)</f>
        <v>0</v>
      </c>
      <c r="L1106" s="342">
        <v>0</v>
      </c>
      <c r="M1106" s="342">
        <v>0</v>
      </c>
      <c r="N1106" s="203" t="s">
        <v>146</v>
      </c>
      <c r="O1106" s="293"/>
    </row>
    <row r="1107" spans="2:15" ht="18.75" customHeight="1" thickBot="1" x14ac:dyDescent="0.25">
      <c r="B1107" s="342">
        <f>SUM(C1107:D1107)</f>
        <v>10</v>
      </c>
      <c r="C1107" s="342">
        <f>L1107+I1107+F1107</f>
        <v>0</v>
      </c>
      <c r="D1107" s="342">
        <f>M1107+J1107+G1107</f>
        <v>10</v>
      </c>
      <c r="E1107" s="342">
        <f>SUM(F1107:G1107)</f>
        <v>8</v>
      </c>
      <c r="F1107" s="342">
        <v>0</v>
      </c>
      <c r="G1107" s="342">
        <v>8</v>
      </c>
      <c r="H1107" s="342">
        <f>SUM(I1107:J1107)</f>
        <v>2</v>
      </c>
      <c r="I1107" s="342">
        <v>0</v>
      </c>
      <c r="J1107" s="342">
        <v>2</v>
      </c>
      <c r="K1107" s="342">
        <f>SUM(L1107:M1107)</f>
        <v>0</v>
      </c>
      <c r="L1107" s="342">
        <v>0</v>
      </c>
      <c r="M1107" s="342">
        <v>0</v>
      </c>
      <c r="N1107" s="203" t="s">
        <v>145</v>
      </c>
      <c r="O1107" s="293" t="s">
        <v>316</v>
      </c>
    </row>
    <row r="1108" spans="2:15" ht="18.75" customHeight="1" thickBot="1" x14ac:dyDescent="0.25">
      <c r="B1108" s="342">
        <f t="shared" ref="B1108:M1108" si="381">SUM(B1106:B1107)</f>
        <v>55</v>
      </c>
      <c r="C1108" s="342">
        <f t="shared" si="381"/>
        <v>0</v>
      </c>
      <c r="D1108" s="342">
        <f t="shared" si="381"/>
        <v>55</v>
      </c>
      <c r="E1108" s="342">
        <f t="shared" si="381"/>
        <v>47</v>
      </c>
      <c r="F1108" s="342">
        <f t="shared" si="381"/>
        <v>0</v>
      </c>
      <c r="G1108" s="342">
        <f t="shared" si="381"/>
        <v>47</v>
      </c>
      <c r="H1108" s="342">
        <f t="shared" si="381"/>
        <v>8</v>
      </c>
      <c r="I1108" s="342">
        <f t="shared" si="381"/>
        <v>0</v>
      </c>
      <c r="J1108" s="342">
        <f t="shared" si="381"/>
        <v>8</v>
      </c>
      <c r="K1108" s="342">
        <f t="shared" si="381"/>
        <v>0</v>
      </c>
      <c r="L1108" s="342">
        <f t="shared" si="381"/>
        <v>0</v>
      </c>
      <c r="M1108" s="342">
        <f t="shared" si="381"/>
        <v>0</v>
      </c>
      <c r="N1108" s="203" t="s">
        <v>12</v>
      </c>
      <c r="O1108" s="285"/>
    </row>
    <row r="1109" spans="2:15" ht="18.75" customHeight="1" thickBot="1" x14ac:dyDescent="0.25">
      <c r="B1109" s="342">
        <f>SUM(C1109:D1109)</f>
        <v>29</v>
      </c>
      <c r="C1109" s="342">
        <f>L1109+I1109+F1109</f>
        <v>0</v>
      </c>
      <c r="D1109" s="342">
        <f>M1109+J1109+G1109</f>
        <v>29</v>
      </c>
      <c r="E1109" s="342">
        <f>SUM(F1109:G1109)</f>
        <v>29</v>
      </c>
      <c r="F1109" s="342">
        <v>0</v>
      </c>
      <c r="G1109" s="342">
        <v>29</v>
      </c>
      <c r="H1109" s="342">
        <f>SUM(I1109:J1109)</f>
        <v>0</v>
      </c>
      <c r="I1109" s="342">
        <v>0</v>
      </c>
      <c r="J1109" s="342">
        <v>0</v>
      </c>
      <c r="K1109" s="342">
        <f>SUM(L1109:M1109)</f>
        <v>0</v>
      </c>
      <c r="L1109" s="342">
        <v>0</v>
      </c>
      <c r="M1109" s="342">
        <v>0</v>
      </c>
      <c r="N1109" s="203" t="s">
        <v>146</v>
      </c>
      <c r="O1109" s="293"/>
    </row>
    <row r="1110" spans="2:15" ht="18.75" customHeight="1" thickBot="1" x14ac:dyDescent="0.25">
      <c r="B1110" s="342">
        <f>SUM(C1110:D1110)</f>
        <v>33</v>
      </c>
      <c r="C1110" s="342">
        <f>L1110+I1110+F1110</f>
        <v>0</v>
      </c>
      <c r="D1110" s="342">
        <f>M1110+J1110+G1110</f>
        <v>33</v>
      </c>
      <c r="E1110" s="342">
        <f>SUM(F1110:G1110)</f>
        <v>27</v>
      </c>
      <c r="F1110" s="342">
        <v>0</v>
      </c>
      <c r="G1110" s="342">
        <v>27</v>
      </c>
      <c r="H1110" s="342">
        <f>SUM(I1110:J1110)</f>
        <v>5</v>
      </c>
      <c r="I1110" s="342">
        <v>0</v>
      </c>
      <c r="J1110" s="342">
        <v>5</v>
      </c>
      <c r="K1110" s="342">
        <f>SUM(L1110:M1110)</f>
        <v>1</v>
      </c>
      <c r="L1110" s="342">
        <v>0</v>
      </c>
      <c r="M1110" s="342">
        <v>1</v>
      </c>
      <c r="N1110" s="203" t="s">
        <v>145</v>
      </c>
      <c r="O1110" s="293" t="s">
        <v>317</v>
      </c>
    </row>
    <row r="1111" spans="2:15" ht="18.75" customHeight="1" thickBot="1" x14ac:dyDescent="0.25">
      <c r="B1111" s="342">
        <f t="shared" ref="B1111:M1111" si="382">SUM(B1109:B1110)</f>
        <v>62</v>
      </c>
      <c r="C1111" s="342">
        <f t="shared" si="382"/>
        <v>0</v>
      </c>
      <c r="D1111" s="342">
        <f t="shared" si="382"/>
        <v>62</v>
      </c>
      <c r="E1111" s="342">
        <f t="shared" si="382"/>
        <v>56</v>
      </c>
      <c r="F1111" s="342">
        <f t="shared" si="382"/>
        <v>0</v>
      </c>
      <c r="G1111" s="342">
        <f t="shared" si="382"/>
        <v>56</v>
      </c>
      <c r="H1111" s="342">
        <f t="shared" si="382"/>
        <v>5</v>
      </c>
      <c r="I1111" s="342">
        <f t="shared" si="382"/>
        <v>0</v>
      </c>
      <c r="J1111" s="342">
        <f t="shared" si="382"/>
        <v>5</v>
      </c>
      <c r="K1111" s="342">
        <f t="shared" si="382"/>
        <v>1</v>
      </c>
      <c r="L1111" s="342">
        <f t="shared" si="382"/>
        <v>0</v>
      </c>
      <c r="M1111" s="342">
        <f t="shared" si="382"/>
        <v>1</v>
      </c>
      <c r="N1111" s="203" t="s">
        <v>12</v>
      </c>
      <c r="O1111" s="285"/>
    </row>
    <row r="1112" spans="2:15" ht="18.75" customHeight="1" thickBot="1" x14ac:dyDescent="0.25">
      <c r="B1112" s="342">
        <f>SUM(C1112:D1112)</f>
        <v>52</v>
      </c>
      <c r="C1112" s="342">
        <f>L1112+I1112+F1112</f>
        <v>0</v>
      </c>
      <c r="D1112" s="342">
        <f>M1112+J1112+G1112</f>
        <v>52</v>
      </c>
      <c r="E1112" s="342">
        <f>SUM(F1112:G1112)</f>
        <v>52</v>
      </c>
      <c r="F1112" s="342">
        <v>0</v>
      </c>
      <c r="G1112" s="342">
        <v>52</v>
      </c>
      <c r="H1112" s="342">
        <f>SUM(I1112:J1112)</f>
        <v>0</v>
      </c>
      <c r="I1112" s="342">
        <v>0</v>
      </c>
      <c r="J1112" s="342">
        <v>0</v>
      </c>
      <c r="K1112" s="342">
        <f>SUM(L1112:M1112)</f>
        <v>0</v>
      </c>
      <c r="L1112" s="342">
        <v>0</v>
      </c>
      <c r="M1112" s="342">
        <v>0</v>
      </c>
      <c r="N1112" s="203" t="s">
        <v>146</v>
      </c>
      <c r="O1112" s="293"/>
    </row>
    <row r="1113" spans="2:15" ht="18.75" customHeight="1" thickBot="1" x14ac:dyDescent="0.25">
      <c r="B1113" s="342">
        <f>SUM(C1113:D1113)</f>
        <v>10</v>
      </c>
      <c r="C1113" s="342">
        <f>L1113+I1113+F1113</f>
        <v>0</v>
      </c>
      <c r="D1113" s="342">
        <f>M1113+J1113+G1113</f>
        <v>10</v>
      </c>
      <c r="E1113" s="342">
        <f>SUM(F1113:G1113)</f>
        <v>7</v>
      </c>
      <c r="F1113" s="342">
        <v>0</v>
      </c>
      <c r="G1113" s="342">
        <v>7</v>
      </c>
      <c r="H1113" s="342">
        <f>SUM(I1113:J1113)</f>
        <v>2</v>
      </c>
      <c r="I1113" s="342">
        <v>0</v>
      </c>
      <c r="J1113" s="342">
        <v>2</v>
      </c>
      <c r="K1113" s="342">
        <f>SUM(L1113:M1113)</f>
        <v>1</v>
      </c>
      <c r="L1113" s="342">
        <v>0</v>
      </c>
      <c r="M1113" s="342">
        <v>1</v>
      </c>
      <c r="N1113" s="203" t="s">
        <v>145</v>
      </c>
      <c r="O1113" s="293" t="s">
        <v>318</v>
      </c>
    </row>
    <row r="1114" spans="2:15" ht="18.75" customHeight="1" thickBot="1" x14ac:dyDescent="0.25">
      <c r="B1114" s="342">
        <f t="shared" ref="B1114:M1114" si="383">SUM(B1112:B1113)</f>
        <v>62</v>
      </c>
      <c r="C1114" s="342">
        <f t="shared" si="383"/>
        <v>0</v>
      </c>
      <c r="D1114" s="342">
        <f t="shared" si="383"/>
        <v>62</v>
      </c>
      <c r="E1114" s="342">
        <f t="shared" si="383"/>
        <v>59</v>
      </c>
      <c r="F1114" s="342">
        <f t="shared" si="383"/>
        <v>0</v>
      </c>
      <c r="G1114" s="342">
        <f t="shared" si="383"/>
        <v>59</v>
      </c>
      <c r="H1114" s="342">
        <f t="shared" si="383"/>
        <v>2</v>
      </c>
      <c r="I1114" s="342">
        <f t="shared" si="383"/>
        <v>0</v>
      </c>
      <c r="J1114" s="342">
        <f t="shared" si="383"/>
        <v>2</v>
      </c>
      <c r="K1114" s="342">
        <f t="shared" si="383"/>
        <v>1</v>
      </c>
      <c r="L1114" s="342">
        <f t="shared" si="383"/>
        <v>0</v>
      </c>
      <c r="M1114" s="342">
        <f t="shared" si="383"/>
        <v>1</v>
      </c>
      <c r="N1114" s="203" t="s">
        <v>12</v>
      </c>
      <c r="O1114" s="285"/>
    </row>
    <row r="1115" spans="2:15" ht="18.75" customHeight="1" thickBot="1" x14ac:dyDescent="0.25">
      <c r="B1115" s="342">
        <f>SUM(C1115:D1115)</f>
        <v>11</v>
      </c>
      <c r="C1115" s="342">
        <f>L1115+I1115+F1115</f>
        <v>0</v>
      </c>
      <c r="D1115" s="342">
        <f>M1115+J1115+G1115</f>
        <v>11</v>
      </c>
      <c r="E1115" s="342">
        <f>SUM(F1115:G1115)</f>
        <v>9</v>
      </c>
      <c r="F1115" s="342">
        <v>0</v>
      </c>
      <c r="G1115" s="342">
        <v>9</v>
      </c>
      <c r="H1115" s="342">
        <f>SUM(I1115:J1115)</f>
        <v>2</v>
      </c>
      <c r="I1115" s="342">
        <v>0</v>
      </c>
      <c r="J1115" s="342">
        <v>2</v>
      </c>
      <c r="K1115" s="342">
        <f>SUM(L1115:M1115)</f>
        <v>0</v>
      </c>
      <c r="L1115" s="342">
        <v>0</v>
      </c>
      <c r="M1115" s="342">
        <v>0</v>
      </c>
      <c r="N1115" s="203" t="s">
        <v>146</v>
      </c>
      <c r="O1115" s="293"/>
    </row>
    <row r="1116" spans="2:15" ht="18.75" customHeight="1" thickBot="1" x14ac:dyDescent="0.25">
      <c r="B1116" s="342">
        <f>SUM(C1116:D1116)</f>
        <v>25</v>
      </c>
      <c r="C1116" s="342">
        <f>L1116+I1116+F1116</f>
        <v>0</v>
      </c>
      <c r="D1116" s="342">
        <f>M1116+J1116+G1116</f>
        <v>25</v>
      </c>
      <c r="E1116" s="342">
        <f>SUM(F1116:G1116)</f>
        <v>17</v>
      </c>
      <c r="F1116" s="342">
        <v>0</v>
      </c>
      <c r="G1116" s="342">
        <v>17</v>
      </c>
      <c r="H1116" s="342">
        <f>SUM(I1116:J1116)</f>
        <v>8</v>
      </c>
      <c r="I1116" s="342">
        <v>0</v>
      </c>
      <c r="J1116" s="342">
        <v>8</v>
      </c>
      <c r="K1116" s="342">
        <f>SUM(L1116:M1116)</f>
        <v>0</v>
      </c>
      <c r="L1116" s="342">
        <v>0</v>
      </c>
      <c r="M1116" s="342">
        <v>0</v>
      </c>
      <c r="N1116" s="203" t="s">
        <v>145</v>
      </c>
      <c r="O1116" s="293" t="s">
        <v>319</v>
      </c>
    </row>
    <row r="1117" spans="2:15" ht="18.75" customHeight="1" thickBot="1" x14ac:dyDescent="0.25">
      <c r="B1117" s="342">
        <f t="shared" ref="B1117:M1117" si="384">SUM(B1115:B1116)</f>
        <v>36</v>
      </c>
      <c r="C1117" s="342">
        <f t="shared" si="384"/>
        <v>0</v>
      </c>
      <c r="D1117" s="342">
        <f t="shared" si="384"/>
        <v>36</v>
      </c>
      <c r="E1117" s="342">
        <f t="shared" si="384"/>
        <v>26</v>
      </c>
      <c r="F1117" s="342">
        <f t="shared" si="384"/>
        <v>0</v>
      </c>
      <c r="G1117" s="342">
        <f t="shared" si="384"/>
        <v>26</v>
      </c>
      <c r="H1117" s="342">
        <f t="shared" si="384"/>
        <v>10</v>
      </c>
      <c r="I1117" s="342">
        <f t="shared" si="384"/>
        <v>0</v>
      </c>
      <c r="J1117" s="342">
        <f t="shared" si="384"/>
        <v>10</v>
      </c>
      <c r="K1117" s="342">
        <f t="shared" si="384"/>
        <v>0</v>
      </c>
      <c r="L1117" s="342">
        <f t="shared" si="384"/>
        <v>0</v>
      </c>
      <c r="M1117" s="342">
        <f t="shared" si="384"/>
        <v>0</v>
      </c>
      <c r="N1117" s="203" t="s">
        <v>12</v>
      </c>
      <c r="O1117" s="285"/>
    </row>
    <row r="1118" spans="2:15" ht="18.75" customHeight="1" thickBot="1" x14ac:dyDescent="0.25">
      <c r="B1118" s="342">
        <f>SUM(C1118:D1118)</f>
        <v>78</v>
      </c>
      <c r="C1118" s="342">
        <f>L1118+I1118+F1118</f>
        <v>0</v>
      </c>
      <c r="D1118" s="342">
        <f>M1118+J1118+G1118</f>
        <v>78</v>
      </c>
      <c r="E1118" s="342">
        <f>SUM(F1118:G1118)</f>
        <v>73</v>
      </c>
      <c r="F1118" s="342">
        <v>0</v>
      </c>
      <c r="G1118" s="342">
        <v>73</v>
      </c>
      <c r="H1118" s="342">
        <f>SUM(I1118:J1118)</f>
        <v>5</v>
      </c>
      <c r="I1118" s="342">
        <v>0</v>
      </c>
      <c r="J1118" s="342">
        <v>5</v>
      </c>
      <c r="K1118" s="342">
        <f>SUM(L1118:M1118)</f>
        <v>0</v>
      </c>
      <c r="L1118" s="342">
        <v>0</v>
      </c>
      <c r="M1118" s="342">
        <v>0</v>
      </c>
      <c r="N1118" s="203" t="s">
        <v>146</v>
      </c>
      <c r="O1118" s="293"/>
    </row>
    <row r="1119" spans="2:15" ht="18.75" customHeight="1" thickBot="1" x14ac:dyDescent="0.25">
      <c r="B1119" s="342">
        <f>SUM(C1119:D1119)</f>
        <v>7</v>
      </c>
      <c r="C1119" s="342">
        <f>L1119+I1119+F1119</f>
        <v>0</v>
      </c>
      <c r="D1119" s="342">
        <f>M1119+J1119+G1119</f>
        <v>7</v>
      </c>
      <c r="E1119" s="342">
        <f>SUM(F1119:G1119)</f>
        <v>7</v>
      </c>
      <c r="F1119" s="342">
        <v>0</v>
      </c>
      <c r="G1119" s="342">
        <v>7</v>
      </c>
      <c r="H1119" s="342">
        <f>SUM(I1119:J1119)</f>
        <v>0</v>
      </c>
      <c r="I1119" s="342">
        <v>0</v>
      </c>
      <c r="J1119" s="342">
        <v>0</v>
      </c>
      <c r="K1119" s="342">
        <f>SUM(L1119:M1119)</f>
        <v>0</v>
      </c>
      <c r="L1119" s="342">
        <v>0</v>
      </c>
      <c r="M1119" s="342">
        <v>0</v>
      </c>
      <c r="N1119" s="203" t="s">
        <v>145</v>
      </c>
      <c r="O1119" s="293" t="s">
        <v>320</v>
      </c>
    </row>
    <row r="1120" spans="2:15" ht="18.75" customHeight="1" thickBot="1" x14ac:dyDescent="0.25">
      <c r="B1120" s="342">
        <f t="shared" ref="B1120:M1120" si="385">SUM(B1118:B1119)</f>
        <v>85</v>
      </c>
      <c r="C1120" s="342">
        <f t="shared" si="385"/>
        <v>0</v>
      </c>
      <c r="D1120" s="342">
        <f t="shared" si="385"/>
        <v>85</v>
      </c>
      <c r="E1120" s="342">
        <f t="shared" si="385"/>
        <v>80</v>
      </c>
      <c r="F1120" s="342">
        <f t="shared" si="385"/>
        <v>0</v>
      </c>
      <c r="G1120" s="342">
        <f t="shared" si="385"/>
        <v>80</v>
      </c>
      <c r="H1120" s="342">
        <f t="shared" si="385"/>
        <v>5</v>
      </c>
      <c r="I1120" s="342">
        <f t="shared" si="385"/>
        <v>0</v>
      </c>
      <c r="J1120" s="342">
        <f t="shared" si="385"/>
        <v>5</v>
      </c>
      <c r="K1120" s="342">
        <f t="shared" si="385"/>
        <v>0</v>
      </c>
      <c r="L1120" s="342">
        <f t="shared" si="385"/>
        <v>0</v>
      </c>
      <c r="M1120" s="342">
        <f t="shared" si="385"/>
        <v>0</v>
      </c>
      <c r="N1120" s="203" t="s">
        <v>12</v>
      </c>
      <c r="O1120" s="285"/>
    </row>
    <row r="1121" spans="2:15" ht="18.75" customHeight="1" thickBot="1" x14ac:dyDescent="0.25">
      <c r="B1121" s="342">
        <f>SUM(C1121:D1121)</f>
        <v>35</v>
      </c>
      <c r="C1121" s="342">
        <f>L1121+I1121+F1121</f>
        <v>0</v>
      </c>
      <c r="D1121" s="342">
        <f>M1121+J1121+G1121</f>
        <v>35</v>
      </c>
      <c r="E1121" s="342">
        <f>SUM(F1121:G1121)</f>
        <v>30</v>
      </c>
      <c r="F1121" s="342">
        <v>0</v>
      </c>
      <c r="G1121" s="342">
        <v>30</v>
      </c>
      <c r="H1121" s="342">
        <f>SUM(I1121:J1121)</f>
        <v>5</v>
      </c>
      <c r="I1121" s="342">
        <v>0</v>
      </c>
      <c r="J1121" s="342">
        <v>5</v>
      </c>
      <c r="K1121" s="342">
        <f>SUM(L1121:M1121)</f>
        <v>0</v>
      </c>
      <c r="L1121" s="342">
        <v>0</v>
      </c>
      <c r="M1121" s="342">
        <v>0</v>
      </c>
      <c r="N1121" s="203" t="s">
        <v>146</v>
      </c>
      <c r="O1121" s="293"/>
    </row>
    <row r="1122" spans="2:15" ht="18.75" customHeight="1" thickBot="1" x14ac:dyDescent="0.25">
      <c r="B1122" s="342">
        <f>SUM(C1122:D1122)</f>
        <v>15</v>
      </c>
      <c r="C1122" s="342">
        <f>L1122+I1122+F1122</f>
        <v>0</v>
      </c>
      <c r="D1122" s="342">
        <f>M1122+J1122+G1122</f>
        <v>15</v>
      </c>
      <c r="E1122" s="342">
        <f>SUM(F1122:G1122)</f>
        <v>15</v>
      </c>
      <c r="F1122" s="342">
        <v>0</v>
      </c>
      <c r="G1122" s="342">
        <v>15</v>
      </c>
      <c r="H1122" s="342">
        <f>SUM(I1122:J1122)</f>
        <v>0</v>
      </c>
      <c r="I1122" s="342">
        <v>0</v>
      </c>
      <c r="J1122" s="342">
        <v>0</v>
      </c>
      <c r="K1122" s="342">
        <f>SUM(L1122:M1122)</f>
        <v>0</v>
      </c>
      <c r="L1122" s="342">
        <v>0</v>
      </c>
      <c r="M1122" s="342">
        <v>0</v>
      </c>
      <c r="N1122" s="203" t="s">
        <v>145</v>
      </c>
      <c r="O1122" s="293" t="s">
        <v>321</v>
      </c>
    </row>
    <row r="1123" spans="2:15" ht="18.75" customHeight="1" thickBot="1" x14ac:dyDescent="0.25">
      <c r="B1123" s="342">
        <f t="shared" ref="B1123:M1123" si="386">SUM(B1121:B1122)</f>
        <v>50</v>
      </c>
      <c r="C1123" s="342">
        <f t="shared" si="386"/>
        <v>0</v>
      </c>
      <c r="D1123" s="342">
        <f t="shared" si="386"/>
        <v>50</v>
      </c>
      <c r="E1123" s="342">
        <f t="shared" si="386"/>
        <v>45</v>
      </c>
      <c r="F1123" s="342">
        <f t="shared" si="386"/>
        <v>0</v>
      </c>
      <c r="G1123" s="342">
        <f t="shared" si="386"/>
        <v>45</v>
      </c>
      <c r="H1123" s="342">
        <f t="shared" si="386"/>
        <v>5</v>
      </c>
      <c r="I1123" s="342">
        <f t="shared" si="386"/>
        <v>0</v>
      </c>
      <c r="J1123" s="342">
        <f t="shared" si="386"/>
        <v>5</v>
      </c>
      <c r="K1123" s="342">
        <f t="shared" si="386"/>
        <v>0</v>
      </c>
      <c r="L1123" s="342">
        <f t="shared" si="386"/>
        <v>0</v>
      </c>
      <c r="M1123" s="342">
        <f t="shared" si="386"/>
        <v>0</v>
      </c>
      <c r="N1123" s="203" t="s">
        <v>12</v>
      </c>
      <c r="O1123" s="285"/>
    </row>
    <row r="1124" spans="2:15" ht="18.75" customHeight="1" thickBot="1" x14ac:dyDescent="0.25">
      <c r="B1124" s="342">
        <f>SUM(C1124:D1124)</f>
        <v>30</v>
      </c>
      <c r="C1124" s="342">
        <f>L1124+I1124+F1124</f>
        <v>0</v>
      </c>
      <c r="D1124" s="342">
        <f>M1124+J1124+G1124</f>
        <v>30</v>
      </c>
      <c r="E1124" s="342">
        <f>SUM(F1124:G1124)</f>
        <v>26</v>
      </c>
      <c r="F1124" s="342">
        <v>0</v>
      </c>
      <c r="G1124" s="342">
        <v>26</v>
      </c>
      <c r="H1124" s="342">
        <f>SUM(I1124:J1124)</f>
        <v>4</v>
      </c>
      <c r="I1124" s="342">
        <v>0</v>
      </c>
      <c r="J1124" s="342">
        <v>4</v>
      </c>
      <c r="K1124" s="342">
        <f>SUM(L1124:M1124)</f>
        <v>0</v>
      </c>
      <c r="L1124" s="342">
        <v>0</v>
      </c>
      <c r="M1124" s="342">
        <v>0</v>
      </c>
      <c r="N1124" s="203" t="s">
        <v>146</v>
      </c>
      <c r="O1124" s="293"/>
    </row>
    <row r="1125" spans="2:15" ht="18.75" customHeight="1" thickBot="1" x14ac:dyDescent="0.25">
      <c r="B1125" s="342">
        <f>SUM(C1125:D1125)</f>
        <v>8</v>
      </c>
      <c r="C1125" s="342">
        <f>L1125+I1125+F1125</f>
        <v>0</v>
      </c>
      <c r="D1125" s="342">
        <f>M1125+J1125+G1125</f>
        <v>8</v>
      </c>
      <c r="E1125" s="342">
        <f>SUM(F1125:G1125)</f>
        <v>4</v>
      </c>
      <c r="F1125" s="342">
        <v>0</v>
      </c>
      <c r="G1125" s="342">
        <v>4</v>
      </c>
      <c r="H1125" s="342">
        <f>SUM(I1125:J1125)</f>
        <v>2</v>
      </c>
      <c r="I1125" s="342">
        <v>0</v>
      </c>
      <c r="J1125" s="342">
        <v>2</v>
      </c>
      <c r="K1125" s="342">
        <f>SUM(L1125:M1125)</f>
        <v>2</v>
      </c>
      <c r="L1125" s="342">
        <v>0</v>
      </c>
      <c r="M1125" s="342">
        <v>2</v>
      </c>
      <c r="N1125" s="203" t="s">
        <v>145</v>
      </c>
      <c r="O1125" s="293" t="s">
        <v>322</v>
      </c>
    </row>
    <row r="1126" spans="2:15" ht="18.75" customHeight="1" thickBot="1" x14ac:dyDescent="0.25">
      <c r="B1126" s="342">
        <f t="shared" ref="B1126:M1126" si="387">SUM(B1124:B1125)</f>
        <v>38</v>
      </c>
      <c r="C1126" s="342">
        <f t="shared" si="387"/>
        <v>0</v>
      </c>
      <c r="D1126" s="342">
        <f t="shared" si="387"/>
        <v>38</v>
      </c>
      <c r="E1126" s="342">
        <f t="shared" si="387"/>
        <v>30</v>
      </c>
      <c r="F1126" s="342">
        <f t="shared" si="387"/>
        <v>0</v>
      </c>
      <c r="G1126" s="342">
        <f t="shared" si="387"/>
        <v>30</v>
      </c>
      <c r="H1126" s="342">
        <f t="shared" si="387"/>
        <v>6</v>
      </c>
      <c r="I1126" s="342">
        <f t="shared" si="387"/>
        <v>0</v>
      </c>
      <c r="J1126" s="342">
        <f t="shared" si="387"/>
        <v>6</v>
      </c>
      <c r="K1126" s="342">
        <f t="shared" si="387"/>
        <v>2</v>
      </c>
      <c r="L1126" s="342">
        <f t="shared" si="387"/>
        <v>0</v>
      </c>
      <c r="M1126" s="342">
        <f t="shared" si="387"/>
        <v>2</v>
      </c>
      <c r="N1126" s="203" t="s">
        <v>12</v>
      </c>
      <c r="O1126" s="285"/>
    </row>
    <row r="1127" spans="2:15" ht="18.75" customHeight="1" thickBot="1" x14ac:dyDescent="0.25">
      <c r="B1127" s="342">
        <f>SUM(C1127:D1127)</f>
        <v>27</v>
      </c>
      <c r="C1127" s="342">
        <f>L1127+I1127+F1127</f>
        <v>0</v>
      </c>
      <c r="D1127" s="342">
        <f>M1127+J1127+G1127</f>
        <v>27</v>
      </c>
      <c r="E1127" s="342">
        <f>SUM(F1127:G1127)</f>
        <v>27</v>
      </c>
      <c r="F1127" s="342">
        <v>0</v>
      </c>
      <c r="G1127" s="342">
        <v>27</v>
      </c>
      <c r="H1127" s="342">
        <f>SUM(I1127:J1127)</f>
        <v>0</v>
      </c>
      <c r="I1127" s="342">
        <v>0</v>
      </c>
      <c r="J1127" s="342">
        <v>0</v>
      </c>
      <c r="K1127" s="342">
        <f>SUM(L1127:M1127)</f>
        <v>0</v>
      </c>
      <c r="L1127" s="342">
        <v>0</v>
      </c>
      <c r="M1127" s="342">
        <v>0</v>
      </c>
      <c r="N1127" s="203" t="s">
        <v>146</v>
      </c>
      <c r="O1127" s="293"/>
    </row>
    <row r="1128" spans="2:15" ht="18.75" customHeight="1" thickBot="1" x14ac:dyDescent="0.25">
      <c r="B1128" s="342">
        <f>SUM(C1128:D1128)</f>
        <v>4</v>
      </c>
      <c r="C1128" s="342">
        <f>L1128+I1128+F1128</f>
        <v>0</v>
      </c>
      <c r="D1128" s="342">
        <f>M1128+J1128+G1128</f>
        <v>4</v>
      </c>
      <c r="E1128" s="342">
        <f>SUM(F1128:G1128)</f>
        <v>4</v>
      </c>
      <c r="F1128" s="342">
        <v>0</v>
      </c>
      <c r="G1128" s="342">
        <v>4</v>
      </c>
      <c r="H1128" s="342">
        <f>SUM(I1128:J1128)</f>
        <v>0</v>
      </c>
      <c r="I1128" s="342">
        <v>0</v>
      </c>
      <c r="J1128" s="342">
        <v>0</v>
      </c>
      <c r="K1128" s="342">
        <f>SUM(L1128:M1128)</f>
        <v>0</v>
      </c>
      <c r="L1128" s="342">
        <v>0</v>
      </c>
      <c r="M1128" s="342">
        <v>0</v>
      </c>
      <c r="N1128" s="203" t="s">
        <v>145</v>
      </c>
      <c r="O1128" s="293" t="s">
        <v>323</v>
      </c>
    </row>
    <row r="1129" spans="2:15" ht="18.75" customHeight="1" thickBot="1" x14ac:dyDescent="0.25">
      <c r="B1129" s="342">
        <f t="shared" ref="B1129:M1129" si="388">SUM(B1127:B1128)</f>
        <v>31</v>
      </c>
      <c r="C1129" s="342">
        <f t="shared" si="388"/>
        <v>0</v>
      </c>
      <c r="D1129" s="342">
        <f t="shared" si="388"/>
        <v>31</v>
      </c>
      <c r="E1129" s="342">
        <f t="shared" si="388"/>
        <v>31</v>
      </c>
      <c r="F1129" s="342">
        <f t="shared" si="388"/>
        <v>0</v>
      </c>
      <c r="G1129" s="342">
        <f t="shared" si="388"/>
        <v>31</v>
      </c>
      <c r="H1129" s="342">
        <f t="shared" si="388"/>
        <v>0</v>
      </c>
      <c r="I1129" s="342">
        <f t="shared" si="388"/>
        <v>0</v>
      </c>
      <c r="J1129" s="342">
        <f t="shared" si="388"/>
        <v>0</v>
      </c>
      <c r="K1129" s="342">
        <f t="shared" si="388"/>
        <v>0</v>
      </c>
      <c r="L1129" s="342">
        <f t="shared" si="388"/>
        <v>0</v>
      </c>
      <c r="M1129" s="342">
        <f t="shared" si="388"/>
        <v>0</v>
      </c>
      <c r="N1129" s="203" t="s">
        <v>12</v>
      </c>
      <c r="O1129" s="285"/>
    </row>
    <row r="1130" spans="2:15" ht="18.75" customHeight="1" thickBot="1" x14ac:dyDescent="0.25">
      <c r="B1130" s="342">
        <f>SUM(C1130:D1130)</f>
        <v>11</v>
      </c>
      <c r="C1130" s="342">
        <f>L1130+I1130+F1130</f>
        <v>0</v>
      </c>
      <c r="D1130" s="342">
        <f>M1130+J1130+G1130</f>
        <v>11</v>
      </c>
      <c r="E1130" s="342">
        <f>SUM(F1130:G1130)</f>
        <v>7</v>
      </c>
      <c r="F1130" s="342">
        <v>0</v>
      </c>
      <c r="G1130" s="342">
        <v>7</v>
      </c>
      <c r="H1130" s="342">
        <f>SUM(I1130:J1130)</f>
        <v>4</v>
      </c>
      <c r="I1130" s="342">
        <v>0</v>
      </c>
      <c r="J1130" s="342">
        <v>4</v>
      </c>
      <c r="K1130" s="342">
        <f>SUM(L1130:M1130)</f>
        <v>0</v>
      </c>
      <c r="L1130" s="342">
        <v>0</v>
      </c>
      <c r="M1130" s="342">
        <v>0</v>
      </c>
      <c r="N1130" s="203" t="s">
        <v>146</v>
      </c>
      <c r="O1130" s="293"/>
    </row>
    <row r="1131" spans="2:15" ht="18.75" customHeight="1" thickBot="1" x14ac:dyDescent="0.25">
      <c r="B1131" s="342">
        <f>SUM(C1131:D1131)</f>
        <v>10</v>
      </c>
      <c r="C1131" s="342">
        <f>L1131+I1131+F1131</f>
        <v>0</v>
      </c>
      <c r="D1131" s="342">
        <f>M1131+J1131+G1131</f>
        <v>10</v>
      </c>
      <c r="E1131" s="342">
        <f>SUM(F1131:G1131)</f>
        <v>10</v>
      </c>
      <c r="F1131" s="342">
        <v>0</v>
      </c>
      <c r="G1131" s="342">
        <v>10</v>
      </c>
      <c r="H1131" s="342">
        <f>SUM(I1131:J1131)</f>
        <v>0</v>
      </c>
      <c r="I1131" s="342">
        <v>0</v>
      </c>
      <c r="J1131" s="342">
        <v>0</v>
      </c>
      <c r="K1131" s="342">
        <f>SUM(L1131:M1131)</f>
        <v>0</v>
      </c>
      <c r="L1131" s="342">
        <v>0</v>
      </c>
      <c r="M1131" s="342">
        <v>0</v>
      </c>
      <c r="N1131" s="203" t="s">
        <v>145</v>
      </c>
      <c r="O1131" s="293" t="s">
        <v>324</v>
      </c>
    </row>
    <row r="1132" spans="2:15" ht="18.75" customHeight="1" thickBot="1" x14ac:dyDescent="0.25">
      <c r="B1132" s="342">
        <f t="shared" ref="B1132:M1132" si="389">SUM(B1130:B1131)</f>
        <v>21</v>
      </c>
      <c r="C1132" s="342">
        <f t="shared" si="389"/>
        <v>0</v>
      </c>
      <c r="D1132" s="342">
        <f t="shared" si="389"/>
        <v>21</v>
      </c>
      <c r="E1132" s="342">
        <f t="shared" si="389"/>
        <v>17</v>
      </c>
      <c r="F1132" s="342">
        <f t="shared" si="389"/>
        <v>0</v>
      </c>
      <c r="G1132" s="342">
        <f t="shared" si="389"/>
        <v>17</v>
      </c>
      <c r="H1132" s="342">
        <f t="shared" si="389"/>
        <v>4</v>
      </c>
      <c r="I1132" s="342">
        <f t="shared" si="389"/>
        <v>0</v>
      </c>
      <c r="J1132" s="342">
        <f t="shared" si="389"/>
        <v>4</v>
      </c>
      <c r="K1132" s="342">
        <f t="shared" si="389"/>
        <v>0</v>
      </c>
      <c r="L1132" s="342">
        <f t="shared" si="389"/>
        <v>0</v>
      </c>
      <c r="M1132" s="342">
        <f t="shared" si="389"/>
        <v>0</v>
      </c>
      <c r="N1132" s="203" t="s">
        <v>12</v>
      </c>
      <c r="O1132" s="285"/>
    </row>
    <row r="1133" spans="2:15" ht="18.75" customHeight="1" thickBot="1" x14ac:dyDescent="0.25">
      <c r="B1133" s="342">
        <f>SUM(C1133:D1133)</f>
        <v>25</v>
      </c>
      <c r="C1133" s="342">
        <f>L1133+I1133+F1133</f>
        <v>25</v>
      </c>
      <c r="D1133" s="342">
        <f>M1133+J1133+G1133</f>
        <v>0</v>
      </c>
      <c r="E1133" s="342">
        <f>SUM(F1133:G1133)</f>
        <v>25</v>
      </c>
      <c r="F1133" s="342">
        <v>25</v>
      </c>
      <c r="G1133" s="342">
        <v>0</v>
      </c>
      <c r="H1133" s="342">
        <f>SUM(I1133:J1133)</f>
        <v>0</v>
      </c>
      <c r="I1133" s="342">
        <v>0</v>
      </c>
      <c r="J1133" s="342">
        <v>0</v>
      </c>
      <c r="K1133" s="342">
        <f>SUM(L1133:M1133)</f>
        <v>0</v>
      </c>
      <c r="L1133" s="342">
        <v>0</v>
      </c>
      <c r="M1133" s="342">
        <v>0</v>
      </c>
      <c r="N1133" s="203" t="s">
        <v>146</v>
      </c>
      <c r="O1133" s="293"/>
    </row>
    <row r="1134" spans="2:15" ht="18.75" customHeight="1" thickBot="1" x14ac:dyDescent="0.25">
      <c r="B1134" s="342">
        <f>SUM(C1134:D1134)</f>
        <v>0</v>
      </c>
      <c r="C1134" s="342">
        <f>L1134+I1134+F1134</f>
        <v>0</v>
      </c>
      <c r="D1134" s="342">
        <f>M1134+J1134+G1134</f>
        <v>0</v>
      </c>
      <c r="E1134" s="342">
        <f>SUM(F1134:G1134)</f>
        <v>0</v>
      </c>
      <c r="F1134" s="342">
        <v>0</v>
      </c>
      <c r="G1134" s="342">
        <v>0</v>
      </c>
      <c r="H1134" s="342">
        <f>SUM(I1134:J1134)</f>
        <v>0</v>
      </c>
      <c r="I1134" s="342">
        <v>0</v>
      </c>
      <c r="J1134" s="342">
        <v>0</v>
      </c>
      <c r="K1134" s="342">
        <f>SUM(L1134:M1134)</f>
        <v>0</v>
      </c>
      <c r="L1134" s="342">
        <v>0</v>
      </c>
      <c r="M1134" s="342">
        <v>0</v>
      </c>
      <c r="N1134" s="203" t="s">
        <v>145</v>
      </c>
      <c r="O1134" s="293" t="s">
        <v>325</v>
      </c>
    </row>
    <row r="1135" spans="2:15" ht="18.75" customHeight="1" thickBot="1" x14ac:dyDescent="0.25">
      <c r="B1135" s="342">
        <f t="shared" ref="B1135:M1135" si="390">SUM(B1133:B1134)</f>
        <v>25</v>
      </c>
      <c r="C1135" s="342">
        <f t="shared" si="390"/>
        <v>25</v>
      </c>
      <c r="D1135" s="342">
        <f t="shared" si="390"/>
        <v>0</v>
      </c>
      <c r="E1135" s="342">
        <f t="shared" si="390"/>
        <v>25</v>
      </c>
      <c r="F1135" s="342">
        <f t="shared" si="390"/>
        <v>25</v>
      </c>
      <c r="G1135" s="342">
        <f t="shared" si="390"/>
        <v>0</v>
      </c>
      <c r="H1135" s="342">
        <f t="shared" si="390"/>
        <v>0</v>
      </c>
      <c r="I1135" s="342">
        <f t="shared" si="390"/>
        <v>0</v>
      </c>
      <c r="J1135" s="342">
        <f t="shared" si="390"/>
        <v>0</v>
      </c>
      <c r="K1135" s="342">
        <f t="shared" si="390"/>
        <v>0</v>
      </c>
      <c r="L1135" s="342">
        <f t="shared" si="390"/>
        <v>0</v>
      </c>
      <c r="M1135" s="342">
        <f t="shared" si="390"/>
        <v>0</v>
      </c>
      <c r="N1135" s="203" t="s">
        <v>12</v>
      </c>
      <c r="O1135" s="285"/>
    </row>
    <row r="1136" spans="2:15" ht="18.75" customHeight="1" thickBot="1" x14ac:dyDescent="0.25">
      <c r="B1136" s="342">
        <f>SUM(C1136:D1136)</f>
        <v>26</v>
      </c>
      <c r="C1136" s="342">
        <f>L1136+I1136+F1136</f>
        <v>26</v>
      </c>
      <c r="D1136" s="342">
        <f>M1136+J1136+G1136</f>
        <v>0</v>
      </c>
      <c r="E1136" s="342">
        <f>SUM(F1136:G1136)</f>
        <v>26</v>
      </c>
      <c r="F1136" s="342">
        <v>26</v>
      </c>
      <c r="G1136" s="342">
        <v>0</v>
      </c>
      <c r="H1136" s="342">
        <f>SUM(I1136:J1136)</f>
        <v>0</v>
      </c>
      <c r="I1136" s="342">
        <v>0</v>
      </c>
      <c r="J1136" s="342">
        <v>0</v>
      </c>
      <c r="K1136" s="342">
        <f>SUM(L1136:M1136)</f>
        <v>0</v>
      </c>
      <c r="L1136" s="342">
        <v>0</v>
      </c>
      <c r="M1136" s="342">
        <v>0</v>
      </c>
      <c r="N1136" s="203" t="s">
        <v>146</v>
      </c>
      <c r="O1136" s="293"/>
    </row>
    <row r="1137" spans="2:15" ht="18.75" customHeight="1" thickBot="1" x14ac:dyDescent="0.25">
      <c r="B1137" s="342">
        <f>SUM(C1137:D1137)</f>
        <v>0</v>
      </c>
      <c r="C1137" s="342">
        <f>L1137+I1137+F1137</f>
        <v>0</v>
      </c>
      <c r="D1137" s="342">
        <f>M1137+J1137+G1137</f>
        <v>0</v>
      </c>
      <c r="E1137" s="342">
        <f>SUM(F1137:G1137)</f>
        <v>0</v>
      </c>
      <c r="F1137" s="342">
        <v>0</v>
      </c>
      <c r="G1137" s="342">
        <v>0</v>
      </c>
      <c r="H1137" s="342">
        <f>SUM(I1137:J1137)</f>
        <v>0</v>
      </c>
      <c r="I1137" s="342">
        <v>0</v>
      </c>
      <c r="J1137" s="342">
        <v>0</v>
      </c>
      <c r="K1137" s="342">
        <f>SUM(L1137:M1137)</f>
        <v>0</v>
      </c>
      <c r="L1137" s="342">
        <v>0</v>
      </c>
      <c r="M1137" s="342">
        <v>0</v>
      </c>
      <c r="N1137" s="203" t="s">
        <v>145</v>
      </c>
      <c r="O1137" s="293" t="s">
        <v>326</v>
      </c>
    </row>
    <row r="1138" spans="2:15" ht="18.75" customHeight="1" thickBot="1" x14ac:dyDescent="0.25">
      <c r="B1138" s="342">
        <f t="shared" ref="B1138:M1138" si="391">SUM(B1136:B1137)</f>
        <v>26</v>
      </c>
      <c r="C1138" s="342">
        <f t="shared" si="391"/>
        <v>26</v>
      </c>
      <c r="D1138" s="342">
        <f t="shared" si="391"/>
        <v>0</v>
      </c>
      <c r="E1138" s="342">
        <f t="shared" si="391"/>
        <v>26</v>
      </c>
      <c r="F1138" s="342">
        <f t="shared" si="391"/>
        <v>26</v>
      </c>
      <c r="G1138" s="342">
        <f t="shared" si="391"/>
        <v>0</v>
      </c>
      <c r="H1138" s="342">
        <f t="shared" si="391"/>
        <v>0</v>
      </c>
      <c r="I1138" s="342">
        <f t="shared" si="391"/>
        <v>0</v>
      </c>
      <c r="J1138" s="342">
        <f t="shared" si="391"/>
        <v>0</v>
      </c>
      <c r="K1138" s="342">
        <f t="shared" si="391"/>
        <v>0</v>
      </c>
      <c r="L1138" s="342">
        <f t="shared" si="391"/>
        <v>0</v>
      </c>
      <c r="M1138" s="342">
        <f t="shared" si="391"/>
        <v>0</v>
      </c>
      <c r="N1138" s="203" t="s">
        <v>12</v>
      </c>
      <c r="O1138" s="285"/>
    </row>
    <row r="1139" spans="2:15" ht="18.75" customHeight="1" thickBot="1" x14ac:dyDescent="0.25">
      <c r="B1139" s="342">
        <f>SUM(C1139:D1139)</f>
        <v>22</v>
      </c>
      <c r="C1139" s="342">
        <f>L1139+I1139+F1139</f>
        <v>22</v>
      </c>
      <c r="D1139" s="342">
        <f>M1139+J1139+G1139</f>
        <v>0</v>
      </c>
      <c r="E1139" s="342">
        <f>SUM(F1139:G1139)</f>
        <v>6</v>
      </c>
      <c r="F1139" s="342">
        <v>6</v>
      </c>
      <c r="G1139" s="342">
        <v>0</v>
      </c>
      <c r="H1139" s="342">
        <f>SUM(I1139:J1139)</f>
        <v>16</v>
      </c>
      <c r="I1139" s="342">
        <v>16</v>
      </c>
      <c r="J1139" s="342">
        <v>0</v>
      </c>
      <c r="K1139" s="342">
        <f>SUM(L1139:M1139)</f>
        <v>0</v>
      </c>
      <c r="L1139" s="342">
        <v>0</v>
      </c>
      <c r="M1139" s="342">
        <v>0</v>
      </c>
      <c r="N1139" s="203" t="s">
        <v>146</v>
      </c>
      <c r="O1139" s="293"/>
    </row>
    <row r="1140" spans="2:15" ht="18.75" customHeight="1" thickBot="1" x14ac:dyDescent="0.25">
      <c r="B1140" s="342">
        <f>SUM(C1140:D1140)</f>
        <v>0</v>
      </c>
      <c r="C1140" s="342">
        <f>L1140+I1140+F1140</f>
        <v>0</v>
      </c>
      <c r="D1140" s="342">
        <f>M1140+J1140+G1140</f>
        <v>0</v>
      </c>
      <c r="E1140" s="342">
        <f>SUM(F1140:G1140)</f>
        <v>0</v>
      </c>
      <c r="F1140" s="342">
        <v>0</v>
      </c>
      <c r="G1140" s="342">
        <v>0</v>
      </c>
      <c r="H1140" s="342">
        <f>SUM(I1140:J1140)</f>
        <v>0</v>
      </c>
      <c r="I1140" s="342">
        <v>0</v>
      </c>
      <c r="J1140" s="342">
        <v>0</v>
      </c>
      <c r="K1140" s="342">
        <f>SUM(L1140:M1140)</f>
        <v>0</v>
      </c>
      <c r="L1140" s="342">
        <v>0</v>
      </c>
      <c r="M1140" s="342">
        <v>0</v>
      </c>
      <c r="N1140" s="203" t="s">
        <v>145</v>
      </c>
      <c r="O1140" s="293" t="s">
        <v>327</v>
      </c>
    </row>
    <row r="1141" spans="2:15" ht="18.75" customHeight="1" thickBot="1" x14ac:dyDescent="0.25">
      <c r="B1141" s="342">
        <f t="shared" ref="B1141:M1141" si="392">SUM(B1139:B1140)</f>
        <v>22</v>
      </c>
      <c r="C1141" s="342">
        <f t="shared" si="392"/>
        <v>22</v>
      </c>
      <c r="D1141" s="342">
        <f t="shared" si="392"/>
        <v>0</v>
      </c>
      <c r="E1141" s="342">
        <f t="shared" si="392"/>
        <v>6</v>
      </c>
      <c r="F1141" s="342">
        <f t="shared" si="392"/>
        <v>6</v>
      </c>
      <c r="G1141" s="342">
        <f t="shared" si="392"/>
        <v>0</v>
      </c>
      <c r="H1141" s="342">
        <f t="shared" si="392"/>
        <v>16</v>
      </c>
      <c r="I1141" s="342">
        <f t="shared" si="392"/>
        <v>16</v>
      </c>
      <c r="J1141" s="342">
        <f t="shared" si="392"/>
        <v>0</v>
      </c>
      <c r="K1141" s="342">
        <f t="shared" si="392"/>
        <v>0</v>
      </c>
      <c r="L1141" s="342">
        <f t="shared" si="392"/>
        <v>0</v>
      </c>
      <c r="M1141" s="342">
        <f t="shared" si="392"/>
        <v>0</v>
      </c>
      <c r="N1141" s="203" t="s">
        <v>12</v>
      </c>
      <c r="O1141" s="285"/>
    </row>
    <row r="1142" spans="2:15" ht="18.75" customHeight="1" thickBot="1" x14ac:dyDescent="0.25">
      <c r="B1142" s="342">
        <f>SUM(C1142:D1142)</f>
        <v>50</v>
      </c>
      <c r="C1142" s="342">
        <f>L1142+I1142+F1142</f>
        <v>50</v>
      </c>
      <c r="D1142" s="342">
        <f>M1142+J1142+G1142</f>
        <v>0</v>
      </c>
      <c r="E1142" s="342">
        <f>SUM(F1142:G1142)</f>
        <v>37</v>
      </c>
      <c r="F1142" s="342">
        <v>37</v>
      </c>
      <c r="G1142" s="342">
        <v>0</v>
      </c>
      <c r="H1142" s="342">
        <f>SUM(I1142:J1142)</f>
        <v>13</v>
      </c>
      <c r="I1142" s="342">
        <v>13</v>
      </c>
      <c r="J1142" s="342">
        <v>0</v>
      </c>
      <c r="K1142" s="342">
        <f>SUM(L1142:M1142)</f>
        <v>0</v>
      </c>
      <c r="L1142" s="342">
        <v>0</v>
      </c>
      <c r="M1142" s="342">
        <v>0</v>
      </c>
      <c r="N1142" s="203" t="s">
        <v>146</v>
      </c>
      <c r="O1142" s="293"/>
    </row>
    <row r="1143" spans="2:15" ht="18.75" customHeight="1" thickBot="1" x14ac:dyDescent="0.25">
      <c r="B1143" s="342">
        <f>SUM(C1143:D1143)</f>
        <v>0</v>
      </c>
      <c r="C1143" s="342">
        <f>L1143+I1143+F1143</f>
        <v>0</v>
      </c>
      <c r="D1143" s="342">
        <f>M1143+J1143+G1143</f>
        <v>0</v>
      </c>
      <c r="E1143" s="342">
        <f>SUM(F1143:G1143)</f>
        <v>0</v>
      </c>
      <c r="F1143" s="342">
        <v>0</v>
      </c>
      <c r="G1143" s="342">
        <v>0</v>
      </c>
      <c r="H1143" s="342">
        <f>SUM(I1143:J1143)</f>
        <v>0</v>
      </c>
      <c r="I1143" s="342">
        <v>0</v>
      </c>
      <c r="J1143" s="342">
        <v>0</v>
      </c>
      <c r="K1143" s="342">
        <f>SUM(L1143:M1143)</f>
        <v>0</v>
      </c>
      <c r="L1143" s="342">
        <v>0</v>
      </c>
      <c r="M1143" s="342">
        <v>0</v>
      </c>
      <c r="N1143" s="203" t="s">
        <v>145</v>
      </c>
      <c r="O1143" s="293" t="s">
        <v>328</v>
      </c>
    </row>
    <row r="1144" spans="2:15" ht="18.75" customHeight="1" thickBot="1" x14ac:dyDescent="0.25">
      <c r="B1144" s="342">
        <f t="shared" ref="B1144:M1144" si="393">SUM(B1142:B1143)</f>
        <v>50</v>
      </c>
      <c r="C1144" s="342">
        <f t="shared" si="393"/>
        <v>50</v>
      </c>
      <c r="D1144" s="342">
        <f t="shared" si="393"/>
        <v>0</v>
      </c>
      <c r="E1144" s="342">
        <f t="shared" si="393"/>
        <v>37</v>
      </c>
      <c r="F1144" s="342">
        <f t="shared" si="393"/>
        <v>37</v>
      </c>
      <c r="G1144" s="342">
        <f t="shared" si="393"/>
        <v>0</v>
      </c>
      <c r="H1144" s="342">
        <f t="shared" si="393"/>
        <v>13</v>
      </c>
      <c r="I1144" s="342">
        <f t="shared" si="393"/>
        <v>13</v>
      </c>
      <c r="J1144" s="342">
        <f t="shared" si="393"/>
        <v>0</v>
      </c>
      <c r="K1144" s="342">
        <f t="shared" si="393"/>
        <v>0</v>
      </c>
      <c r="L1144" s="342">
        <f t="shared" si="393"/>
        <v>0</v>
      </c>
      <c r="M1144" s="342">
        <f t="shared" si="393"/>
        <v>0</v>
      </c>
      <c r="N1144" s="203" t="s">
        <v>12</v>
      </c>
      <c r="O1144" s="285"/>
    </row>
    <row r="1145" spans="2:15" ht="18.75" customHeight="1" thickBot="1" x14ac:dyDescent="0.25">
      <c r="B1145" s="342">
        <f>SUM(C1145:D1145)</f>
        <v>26</v>
      </c>
      <c r="C1145" s="342">
        <f>L1145+I1145+F1145</f>
        <v>26</v>
      </c>
      <c r="D1145" s="342">
        <f>M1145+J1145+G1145</f>
        <v>0</v>
      </c>
      <c r="E1145" s="342">
        <f>SUM(F1145:G1145)</f>
        <v>18</v>
      </c>
      <c r="F1145" s="342">
        <v>18</v>
      </c>
      <c r="G1145" s="342">
        <v>0</v>
      </c>
      <c r="H1145" s="342">
        <f>SUM(I1145:J1145)</f>
        <v>8</v>
      </c>
      <c r="I1145" s="342">
        <v>8</v>
      </c>
      <c r="J1145" s="342">
        <v>0</v>
      </c>
      <c r="K1145" s="342">
        <f>SUM(L1145:M1145)</f>
        <v>0</v>
      </c>
      <c r="L1145" s="342">
        <v>0</v>
      </c>
      <c r="M1145" s="342">
        <v>0</v>
      </c>
      <c r="N1145" s="203" t="s">
        <v>146</v>
      </c>
      <c r="O1145" s="293"/>
    </row>
    <row r="1146" spans="2:15" ht="18.75" customHeight="1" thickBot="1" x14ac:dyDescent="0.25">
      <c r="B1146" s="342">
        <f>SUM(C1146:D1146)</f>
        <v>0</v>
      </c>
      <c r="C1146" s="342">
        <f>L1146+I1146+F1146</f>
        <v>0</v>
      </c>
      <c r="D1146" s="342">
        <f>M1146+J1146+G1146</f>
        <v>0</v>
      </c>
      <c r="E1146" s="342">
        <f>SUM(F1146:G1146)</f>
        <v>0</v>
      </c>
      <c r="F1146" s="342">
        <v>0</v>
      </c>
      <c r="G1146" s="342">
        <v>0</v>
      </c>
      <c r="H1146" s="342">
        <f>SUM(I1146:J1146)</f>
        <v>0</v>
      </c>
      <c r="I1146" s="342">
        <v>0</v>
      </c>
      <c r="J1146" s="342">
        <v>0</v>
      </c>
      <c r="K1146" s="342">
        <f>SUM(L1146:M1146)</f>
        <v>0</v>
      </c>
      <c r="L1146" s="342">
        <v>0</v>
      </c>
      <c r="M1146" s="342">
        <v>0</v>
      </c>
      <c r="N1146" s="203" t="s">
        <v>145</v>
      </c>
      <c r="O1146" s="293" t="s">
        <v>329</v>
      </c>
    </row>
    <row r="1147" spans="2:15" ht="18.75" customHeight="1" thickBot="1" x14ac:dyDescent="0.25">
      <c r="B1147" s="342">
        <f t="shared" ref="B1147:M1147" si="394">SUM(B1145:B1146)</f>
        <v>26</v>
      </c>
      <c r="C1147" s="342">
        <f t="shared" si="394"/>
        <v>26</v>
      </c>
      <c r="D1147" s="342">
        <f t="shared" si="394"/>
        <v>0</v>
      </c>
      <c r="E1147" s="342">
        <f t="shared" si="394"/>
        <v>18</v>
      </c>
      <c r="F1147" s="342">
        <f t="shared" si="394"/>
        <v>18</v>
      </c>
      <c r="G1147" s="342">
        <f t="shared" si="394"/>
        <v>0</v>
      </c>
      <c r="H1147" s="342">
        <f t="shared" si="394"/>
        <v>8</v>
      </c>
      <c r="I1147" s="342">
        <f t="shared" si="394"/>
        <v>8</v>
      </c>
      <c r="J1147" s="342">
        <f t="shared" si="394"/>
        <v>0</v>
      </c>
      <c r="K1147" s="342">
        <f t="shared" si="394"/>
        <v>0</v>
      </c>
      <c r="L1147" s="342">
        <f t="shared" si="394"/>
        <v>0</v>
      </c>
      <c r="M1147" s="342">
        <f t="shared" si="394"/>
        <v>0</v>
      </c>
      <c r="N1147" s="203" t="s">
        <v>12</v>
      </c>
      <c r="O1147" s="285"/>
    </row>
    <row r="1148" spans="2:15" ht="18.75" customHeight="1" thickBot="1" x14ac:dyDescent="0.25">
      <c r="B1148" s="342">
        <f>SUM(C1148:D1148)</f>
        <v>29</v>
      </c>
      <c r="C1148" s="342">
        <f>L1148+I1148+F1148</f>
        <v>29</v>
      </c>
      <c r="D1148" s="342">
        <f>M1148+J1148+G1148</f>
        <v>0</v>
      </c>
      <c r="E1148" s="342">
        <f>SUM(F1148:G1148)</f>
        <v>25</v>
      </c>
      <c r="F1148" s="342">
        <v>25</v>
      </c>
      <c r="G1148" s="342">
        <v>0</v>
      </c>
      <c r="H1148" s="342">
        <f>SUM(I1148:J1148)</f>
        <v>4</v>
      </c>
      <c r="I1148" s="342">
        <v>4</v>
      </c>
      <c r="J1148" s="342">
        <v>0</v>
      </c>
      <c r="K1148" s="342">
        <f>SUM(L1148:M1148)</f>
        <v>0</v>
      </c>
      <c r="L1148" s="342">
        <v>0</v>
      </c>
      <c r="M1148" s="342">
        <v>0</v>
      </c>
      <c r="N1148" s="203" t="s">
        <v>146</v>
      </c>
      <c r="O1148" s="293"/>
    </row>
    <row r="1149" spans="2:15" ht="18.75" customHeight="1" thickBot="1" x14ac:dyDescent="0.25">
      <c r="B1149" s="342">
        <f>SUM(C1149:D1149)</f>
        <v>0</v>
      </c>
      <c r="C1149" s="342">
        <f>L1149+I1149+F1149</f>
        <v>0</v>
      </c>
      <c r="D1149" s="342">
        <f>M1149+J1149+G1149</f>
        <v>0</v>
      </c>
      <c r="E1149" s="342">
        <f>SUM(F1149:G1149)</f>
        <v>0</v>
      </c>
      <c r="F1149" s="342">
        <v>0</v>
      </c>
      <c r="G1149" s="342">
        <v>0</v>
      </c>
      <c r="H1149" s="342">
        <f>SUM(I1149:J1149)</f>
        <v>0</v>
      </c>
      <c r="I1149" s="342">
        <v>0</v>
      </c>
      <c r="J1149" s="342">
        <v>0</v>
      </c>
      <c r="K1149" s="342">
        <f>SUM(L1149:M1149)</f>
        <v>0</v>
      </c>
      <c r="L1149" s="342">
        <v>0</v>
      </c>
      <c r="M1149" s="342">
        <v>0</v>
      </c>
      <c r="N1149" s="203" t="s">
        <v>145</v>
      </c>
      <c r="O1149" s="293" t="s">
        <v>330</v>
      </c>
    </row>
    <row r="1150" spans="2:15" ht="18.75" customHeight="1" thickBot="1" x14ac:dyDescent="0.25">
      <c r="B1150" s="342">
        <f t="shared" ref="B1150:M1150" si="395">SUM(B1148:B1149)</f>
        <v>29</v>
      </c>
      <c r="C1150" s="342">
        <f t="shared" si="395"/>
        <v>29</v>
      </c>
      <c r="D1150" s="342">
        <f t="shared" si="395"/>
        <v>0</v>
      </c>
      <c r="E1150" s="342">
        <f t="shared" si="395"/>
        <v>25</v>
      </c>
      <c r="F1150" s="342">
        <f t="shared" si="395"/>
        <v>25</v>
      </c>
      <c r="G1150" s="342">
        <f t="shared" si="395"/>
        <v>0</v>
      </c>
      <c r="H1150" s="342">
        <f t="shared" si="395"/>
        <v>4</v>
      </c>
      <c r="I1150" s="342">
        <f t="shared" si="395"/>
        <v>4</v>
      </c>
      <c r="J1150" s="342">
        <f t="shared" si="395"/>
        <v>0</v>
      </c>
      <c r="K1150" s="342">
        <f t="shared" si="395"/>
        <v>0</v>
      </c>
      <c r="L1150" s="342">
        <f t="shared" si="395"/>
        <v>0</v>
      </c>
      <c r="M1150" s="342">
        <f t="shared" si="395"/>
        <v>0</v>
      </c>
      <c r="N1150" s="203" t="s">
        <v>12</v>
      </c>
      <c r="O1150" s="285"/>
    </row>
    <row r="1151" spans="2:15" ht="18.75" customHeight="1" thickBot="1" x14ac:dyDescent="0.25">
      <c r="B1151" s="342">
        <f>SUM(C1151:D1151)</f>
        <v>27</v>
      </c>
      <c r="C1151" s="342">
        <f>L1151+I1151+F1151</f>
        <v>27</v>
      </c>
      <c r="D1151" s="342">
        <f>M1151+J1151+G1151</f>
        <v>0</v>
      </c>
      <c r="E1151" s="342">
        <f>SUM(F1151:G1151)</f>
        <v>15</v>
      </c>
      <c r="F1151" s="342">
        <v>15</v>
      </c>
      <c r="G1151" s="342">
        <v>0</v>
      </c>
      <c r="H1151" s="342">
        <f>SUM(I1151:J1151)</f>
        <v>12</v>
      </c>
      <c r="I1151" s="342">
        <v>12</v>
      </c>
      <c r="J1151" s="342">
        <v>0</v>
      </c>
      <c r="K1151" s="342">
        <f>SUM(L1151:M1151)</f>
        <v>0</v>
      </c>
      <c r="L1151" s="342">
        <v>0</v>
      </c>
      <c r="M1151" s="342">
        <v>0</v>
      </c>
      <c r="N1151" s="203" t="s">
        <v>146</v>
      </c>
      <c r="O1151" s="293"/>
    </row>
    <row r="1152" spans="2:15" ht="18.75" customHeight="1" thickBot="1" x14ac:dyDescent="0.25">
      <c r="B1152" s="342">
        <f>SUM(C1152:D1152)</f>
        <v>0</v>
      </c>
      <c r="C1152" s="342">
        <f>L1152+I1152+F1152</f>
        <v>0</v>
      </c>
      <c r="D1152" s="342">
        <f>M1152+J1152+G1152</f>
        <v>0</v>
      </c>
      <c r="E1152" s="342">
        <f>SUM(F1152:G1152)</f>
        <v>0</v>
      </c>
      <c r="F1152" s="342">
        <v>0</v>
      </c>
      <c r="G1152" s="342">
        <v>0</v>
      </c>
      <c r="H1152" s="342">
        <f>SUM(I1152:J1152)</f>
        <v>0</v>
      </c>
      <c r="I1152" s="342">
        <v>0</v>
      </c>
      <c r="J1152" s="342">
        <v>0</v>
      </c>
      <c r="K1152" s="342">
        <f>SUM(L1152:M1152)</f>
        <v>0</v>
      </c>
      <c r="L1152" s="342">
        <v>0</v>
      </c>
      <c r="M1152" s="342">
        <v>0</v>
      </c>
      <c r="N1152" s="203" t="s">
        <v>145</v>
      </c>
      <c r="O1152" s="293" t="s">
        <v>331</v>
      </c>
    </row>
    <row r="1153" spans="2:15" ht="18.75" customHeight="1" thickBot="1" x14ac:dyDescent="0.25">
      <c r="B1153" s="342">
        <f t="shared" ref="B1153:M1153" si="396">SUM(B1151:B1152)</f>
        <v>27</v>
      </c>
      <c r="C1153" s="342">
        <f t="shared" si="396"/>
        <v>27</v>
      </c>
      <c r="D1153" s="342">
        <f t="shared" si="396"/>
        <v>0</v>
      </c>
      <c r="E1153" s="342">
        <f t="shared" si="396"/>
        <v>15</v>
      </c>
      <c r="F1153" s="342">
        <f t="shared" si="396"/>
        <v>15</v>
      </c>
      <c r="G1153" s="342">
        <f t="shared" si="396"/>
        <v>0</v>
      </c>
      <c r="H1153" s="342">
        <f t="shared" si="396"/>
        <v>12</v>
      </c>
      <c r="I1153" s="342">
        <f t="shared" si="396"/>
        <v>12</v>
      </c>
      <c r="J1153" s="342">
        <f t="shared" si="396"/>
        <v>0</v>
      </c>
      <c r="K1153" s="342">
        <f t="shared" si="396"/>
        <v>0</v>
      </c>
      <c r="L1153" s="342">
        <f t="shared" si="396"/>
        <v>0</v>
      </c>
      <c r="M1153" s="342">
        <f t="shared" si="396"/>
        <v>0</v>
      </c>
      <c r="N1153" s="203" t="s">
        <v>12</v>
      </c>
      <c r="O1153" s="285"/>
    </row>
    <row r="1154" spans="2:15" ht="18.75" customHeight="1" thickBot="1" x14ac:dyDescent="0.25">
      <c r="B1154" s="342">
        <f>SUM(C1154:D1154)</f>
        <v>20</v>
      </c>
      <c r="C1154" s="342">
        <f>L1154+I1154+F1154</f>
        <v>20</v>
      </c>
      <c r="D1154" s="342">
        <f>M1154+J1154+G1154</f>
        <v>0</v>
      </c>
      <c r="E1154" s="342">
        <f>SUM(F1154:G1154)</f>
        <v>13</v>
      </c>
      <c r="F1154" s="342">
        <v>13</v>
      </c>
      <c r="G1154" s="342">
        <v>0</v>
      </c>
      <c r="H1154" s="342">
        <f>SUM(I1154:J1154)</f>
        <v>7</v>
      </c>
      <c r="I1154" s="342">
        <v>7</v>
      </c>
      <c r="J1154" s="342">
        <v>0</v>
      </c>
      <c r="K1154" s="342">
        <f>SUM(L1154:M1154)</f>
        <v>0</v>
      </c>
      <c r="L1154" s="342">
        <v>0</v>
      </c>
      <c r="M1154" s="342">
        <v>0</v>
      </c>
      <c r="N1154" s="203" t="s">
        <v>146</v>
      </c>
      <c r="O1154" s="293"/>
    </row>
    <row r="1155" spans="2:15" ht="18.75" customHeight="1" thickBot="1" x14ac:dyDescent="0.25">
      <c r="B1155" s="342">
        <f>SUM(C1155:D1155)</f>
        <v>0</v>
      </c>
      <c r="C1155" s="342">
        <f>L1155+I1155+F1155</f>
        <v>0</v>
      </c>
      <c r="D1155" s="342">
        <f>M1155+J1155+G1155</f>
        <v>0</v>
      </c>
      <c r="E1155" s="342">
        <f>SUM(F1155:G1155)</f>
        <v>0</v>
      </c>
      <c r="F1155" s="342">
        <v>0</v>
      </c>
      <c r="G1155" s="342">
        <v>0</v>
      </c>
      <c r="H1155" s="342">
        <f>SUM(I1155:J1155)</f>
        <v>0</v>
      </c>
      <c r="I1155" s="342">
        <v>0</v>
      </c>
      <c r="J1155" s="342">
        <v>0</v>
      </c>
      <c r="K1155" s="342">
        <f>SUM(L1155:M1155)</f>
        <v>0</v>
      </c>
      <c r="L1155" s="342">
        <v>0</v>
      </c>
      <c r="M1155" s="342">
        <v>0</v>
      </c>
      <c r="N1155" s="203" t="s">
        <v>145</v>
      </c>
      <c r="O1155" s="293" t="s">
        <v>332</v>
      </c>
    </row>
    <row r="1156" spans="2:15" ht="18.75" customHeight="1" thickBot="1" x14ac:dyDescent="0.25">
      <c r="B1156" s="342">
        <f t="shared" ref="B1156:M1156" si="397">SUM(B1154:B1155)</f>
        <v>20</v>
      </c>
      <c r="C1156" s="342">
        <f t="shared" si="397"/>
        <v>20</v>
      </c>
      <c r="D1156" s="342">
        <f t="shared" si="397"/>
        <v>0</v>
      </c>
      <c r="E1156" s="342">
        <f t="shared" si="397"/>
        <v>13</v>
      </c>
      <c r="F1156" s="342">
        <f t="shared" si="397"/>
        <v>13</v>
      </c>
      <c r="G1156" s="342">
        <f t="shared" si="397"/>
        <v>0</v>
      </c>
      <c r="H1156" s="342">
        <f t="shared" si="397"/>
        <v>7</v>
      </c>
      <c r="I1156" s="342">
        <f t="shared" si="397"/>
        <v>7</v>
      </c>
      <c r="J1156" s="342">
        <f t="shared" si="397"/>
        <v>0</v>
      </c>
      <c r="K1156" s="342">
        <f t="shared" si="397"/>
        <v>0</v>
      </c>
      <c r="L1156" s="342">
        <f t="shared" si="397"/>
        <v>0</v>
      </c>
      <c r="M1156" s="342">
        <f t="shared" si="397"/>
        <v>0</v>
      </c>
      <c r="N1156" s="203" t="s">
        <v>12</v>
      </c>
      <c r="O1156" s="285"/>
    </row>
    <row r="1157" spans="2:15" ht="18.75" customHeight="1" thickBot="1" x14ac:dyDescent="0.25">
      <c r="B1157" s="342">
        <f>SUM(C1157:D1157)</f>
        <v>19</v>
      </c>
      <c r="C1157" s="342">
        <f>L1157+I1157+F1157</f>
        <v>19</v>
      </c>
      <c r="D1157" s="342">
        <f>M1157+J1157+G1157</f>
        <v>0</v>
      </c>
      <c r="E1157" s="342">
        <f>SUM(F1157:G1157)</f>
        <v>19</v>
      </c>
      <c r="F1157" s="342">
        <v>19</v>
      </c>
      <c r="G1157" s="342">
        <v>0</v>
      </c>
      <c r="H1157" s="342">
        <f>SUM(I1157:J1157)</f>
        <v>0</v>
      </c>
      <c r="I1157" s="342">
        <v>0</v>
      </c>
      <c r="J1157" s="342">
        <v>0</v>
      </c>
      <c r="K1157" s="342">
        <f>SUM(L1157:M1157)</f>
        <v>0</v>
      </c>
      <c r="L1157" s="342">
        <v>0</v>
      </c>
      <c r="M1157" s="342">
        <v>0</v>
      </c>
      <c r="N1157" s="203" t="s">
        <v>146</v>
      </c>
      <c r="O1157" s="293"/>
    </row>
    <row r="1158" spans="2:15" ht="18.75" customHeight="1" thickBot="1" x14ac:dyDescent="0.25">
      <c r="B1158" s="342">
        <f>SUM(C1158:D1158)</f>
        <v>0</v>
      </c>
      <c r="C1158" s="342">
        <f>L1158+I1158+F1158</f>
        <v>0</v>
      </c>
      <c r="D1158" s="342">
        <f>M1158+J1158+G1158</f>
        <v>0</v>
      </c>
      <c r="E1158" s="342">
        <f>SUM(F1158:G1158)</f>
        <v>0</v>
      </c>
      <c r="F1158" s="342">
        <v>0</v>
      </c>
      <c r="G1158" s="342">
        <v>0</v>
      </c>
      <c r="H1158" s="342">
        <f>SUM(I1158:J1158)</f>
        <v>0</v>
      </c>
      <c r="I1158" s="342">
        <v>0</v>
      </c>
      <c r="J1158" s="342">
        <v>0</v>
      </c>
      <c r="K1158" s="342">
        <f>SUM(L1158:M1158)</f>
        <v>0</v>
      </c>
      <c r="L1158" s="342">
        <v>0</v>
      </c>
      <c r="M1158" s="342">
        <v>0</v>
      </c>
      <c r="N1158" s="203" t="s">
        <v>145</v>
      </c>
      <c r="O1158" s="293" t="s">
        <v>333</v>
      </c>
    </row>
    <row r="1159" spans="2:15" ht="18.75" customHeight="1" thickBot="1" x14ac:dyDescent="0.25">
      <c r="B1159" s="342">
        <f t="shared" ref="B1159:M1159" si="398">SUM(B1157:B1158)</f>
        <v>19</v>
      </c>
      <c r="C1159" s="342">
        <f t="shared" si="398"/>
        <v>19</v>
      </c>
      <c r="D1159" s="342">
        <f t="shared" si="398"/>
        <v>0</v>
      </c>
      <c r="E1159" s="342">
        <f t="shared" si="398"/>
        <v>19</v>
      </c>
      <c r="F1159" s="342">
        <f t="shared" si="398"/>
        <v>19</v>
      </c>
      <c r="G1159" s="342">
        <f t="shared" si="398"/>
        <v>0</v>
      </c>
      <c r="H1159" s="342">
        <f t="shared" si="398"/>
        <v>0</v>
      </c>
      <c r="I1159" s="342">
        <f t="shared" si="398"/>
        <v>0</v>
      </c>
      <c r="J1159" s="342">
        <f t="shared" si="398"/>
        <v>0</v>
      </c>
      <c r="K1159" s="342">
        <f t="shared" si="398"/>
        <v>0</v>
      </c>
      <c r="L1159" s="342">
        <f t="shared" si="398"/>
        <v>0</v>
      </c>
      <c r="M1159" s="342">
        <f t="shared" si="398"/>
        <v>0</v>
      </c>
      <c r="N1159" s="203" t="s">
        <v>12</v>
      </c>
      <c r="O1159" s="285"/>
    </row>
    <row r="1160" spans="2:15" ht="18.75" customHeight="1" thickBot="1" x14ac:dyDescent="0.25">
      <c r="B1160" s="342">
        <f t="shared" ref="B1160:M1162" si="399">B1028+B1031+B1034+B1037+B1040+B1043+B1046+B1049+B1052+B1055+B1058+B1061+B1064+B1067+B1070+B1073+B1076+B1079+B1082+B1085+B1088+B1091+B1094+B1097+B1100+B1103+B1106+B1109+B1112+B1115+B1118+B1121+B1124+B1127+B1130+B1133+B1136+B1139+B1142+B1145+B1148+B1151+B1154+B1157</f>
        <v>3404</v>
      </c>
      <c r="C1160" s="342">
        <f t="shared" si="399"/>
        <v>244</v>
      </c>
      <c r="D1160" s="342">
        <f t="shared" si="399"/>
        <v>3160</v>
      </c>
      <c r="E1160" s="342">
        <f t="shared" si="399"/>
        <v>3002</v>
      </c>
      <c r="F1160" s="342">
        <f t="shared" si="399"/>
        <v>184</v>
      </c>
      <c r="G1160" s="342">
        <f t="shared" si="399"/>
        <v>2818</v>
      </c>
      <c r="H1160" s="342">
        <f t="shared" si="399"/>
        <v>272</v>
      </c>
      <c r="I1160" s="342">
        <f t="shared" si="399"/>
        <v>60</v>
      </c>
      <c r="J1160" s="342">
        <f t="shared" si="399"/>
        <v>212</v>
      </c>
      <c r="K1160" s="342">
        <f t="shared" si="399"/>
        <v>130</v>
      </c>
      <c r="L1160" s="342">
        <f t="shared" si="399"/>
        <v>0</v>
      </c>
      <c r="M1160" s="342">
        <f t="shared" si="399"/>
        <v>130</v>
      </c>
      <c r="N1160" s="203" t="s">
        <v>146</v>
      </c>
      <c r="O1160" s="250"/>
    </row>
    <row r="1161" spans="2:15" ht="18.75" customHeight="1" thickBot="1" x14ac:dyDescent="0.25">
      <c r="B1161" s="342">
        <f t="shared" si="399"/>
        <v>748</v>
      </c>
      <c r="C1161" s="342">
        <f t="shared" si="399"/>
        <v>0</v>
      </c>
      <c r="D1161" s="342">
        <f t="shared" si="399"/>
        <v>748</v>
      </c>
      <c r="E1161" s="342">
        <f t="shared" si="399"/>
        <v>392</v>
      </c>
      <c r="F1161" s="342">
        <f t="shared" si="399"/>
        <v>0</v>
      </c>
      <c r="G1161" s="342">
        <f t="shared" si="399"/>
        <v>392</v>
      </c>
      <c r="H1161" s="342">
        <f t="shared" si="399"/>
        <v>227</v>
      </c>
      <c r="I1161" s="342">
        <f t="shared" si="399"/>
        <v>0</v>
      </c>
      <c r="J1161" s="342">
        <f t="shared" si="399"/>
        <v>227</v>
      </c>
      <c r="K1161" s="342">
        <f t="shared" si="399"/>
        <v>129</v>
      </c>
      <c r="L1161" s="342">
        <f t="shared" si="399"/>
        <v>0</v>
      </c>
      <c r="M1161" s="342">
        <f t="shared" si="399"/>
        <v>129</v>
      </c>
      <c r="N1161" s="203" t="s">
        <v>145</v>
      </c>
      <c r="O1161" s="251" t="s">
        <v>188</v>
      </c>
    </row>
    <row r="1162" spans="2:15" ht="18.75" customHeight="1" thickBot="1" x14ac:dyDescent="0.25">
      <c r="B1162" s="342">
        <f t="shared" si="399"/>
        <v>4152</v>
      </c>
      <c r="C1162" s="342">
        <f t="shared" si="399"/>
        <v>244</v>
      </c>
      <c r="D1162" s="342">
        <f t="shared" si="399"/>
        <v>3908</v>
      </c>
      <c r="E1162" s="342">
        <f t="shared" si="399"/>
        <v>3394</v>
      </c>
      <c r="F1162" s="342">
        <f t="shared" si="399"/>
        <v>184</v>
      </c>
      <c r="G1162" s="342">
        <f t="shared" si="399"/>
        <v>3210</v>
      </c>
      <c r="H1162" s="342">
        <f t="shared" si="399"/>
        <v>499</v>
      </c>
      <c r="I1162" s="342">
        <f t="shared" si="399"/>
        <v>60</v>
      </c>
      <c r="J1162" s="342">
        <f t="shared" si="399"/>
        <v>439</v>
      </c>
      <c r="K1162" s="342">
        <f t="shared" si="399"/>
        <v>259</v>
      </c>
      <c r="L1162" s="342">
        <f t="shared" si="399"/>
        <v>0</v>
      </c>
      <c r="M1162" s="342">
        <f t="shared" si="399"/>
        <v>259</v>
      </c>
      <c r="N1162" s="203" t="s">
        <v>12</v>
      </c>
      <c r="O1162" s="187"/>
    </row>
    <row r="1163" spans="2:15" ht="18.75" customHeight="1" thickBot="1" x14ac:dyDescent="0.25">
      <c r="B1163" s="589"/>
      <c r="C1163" s="589"/>
      <c r="D1163" s="589"/>
      <c r="E1163" s="589"/>
      <c r="F1163" s="589"/>
      <c r="G1163" s="589"/>
      <c r="H1163" s="589"/>
      <c r="I1163" s="589"/>
      <c r="J1163" s="589"/>
      <c r="K1163" s="589"/>
      <c r="L1163" s="589"/>
    </row>
    <row r="1164" spans="2:15" ht="21" customHeight="1" thickBot="1" x14ac:dyDescent="0.25">
      <c r="B1164" s="482" t="s">
        <v>4</v>
      </c>
      <c r="C1164" s="482"/>
      <c r="D1164" s="482"/>
      <c r="E1164" s="482" t="s">
        <v>60</v>
      </c>
      <c r="F1164" s="482"/>
      <c r="G1164" s="482"/>
      <c r="H1164" s="482" t="s">
        <v>57</v>
      </c>
      <c r="I1164" s="482"/>
      <c r="J1164" s="482"/>
      <c r="K1164" s="482" t="s">
        <v>56</v>
      </c>
      <c r="L1164" s="482"/>
      <c r="M1164" s="482"/>
      <c r="N1164" s="575" t="s">
        <v>792</v>
      </c>
      <c r="O1164" s="203" t="s">
        <v>144</v>
      </c>
    </row>
    <row r="1165" spans="2:15" ht="27.75" customHeight="1" thickBot="1" x14ac:dyDescent="0.25">
      <c r="B1165" s="203" t="s">
        <v>227</v>
      </c>
      <c r="C1165" s="203" t="s">
        <v>10</v>
      </c>
      <c r="D1165" s="203" t="s">
        <v>9</v>
      </c>
      <c r="E1165" s="203" t="s">
        <v>227</v>
      </c>
      <c r="F1165" s="203" t="s">
        <v>10</v>
      </c>
      <c r="G1165" s="203" t="s">
        <v>9</v>
      </c>
      <c r="H1165" s="203" t="s">
        <v>227</v>
      </c>
      <c r="I1165" s="203" t="s">
        <v>10</v>
      </c>
      <c r="J1165" s="203" t="s">
        <v>9</v>
      </c>
      <c r="K1165" s="203" t="s">
        <v>227</v>
      </c>
      <c r="L1165" s="203" t="s">
        <v>10</v>
      </c>
      <c r="M1165" s="203" t="s">
        <v>9</v>
      </c>
      <c r="N1165" s="481"/>
      <c r="O1165" s="205" t="s">
        <v>152</v>
      </c>
    </row>
    <row r="1166" spans="2:15" ht="18.75" customHeight="1" thickBot="1" x14ac:dyDescent="0.25">
      <c r="B1166" s="342">
        <f>SUM(C1166:D1166)</f>
        <v>11</v>
      </c>
      <c r="C1166" s="342">
        <f>L1166+I1166+F1166</f>
        <v>6</v>
      </c>
      <c r="D1166" s="342">
        <f>M1166+J1166+G1166</f>
        <v>5</v>
      </c>
      <c r="E1166" s="342">
        <f>SUM(F1166:G1166)</f>
        <v>4</v>
      </c>
      <c r="F1166" s="342">
        <v>3</v>
      </c>
      <c r="G1166" s="342">
        <v>1</v>
      </c>
      <c r="H1166" s="342">
        <f>SUM(I1166:J1166)</f>
        <v>7</v>
      </c>
      <c r="I1166" s="342">
        <v>3</v>
      </c>
      <c r="J1166" s="342">
        <v>4</v>
      </c>
      <c r="K1166" s="342">
        <f>SUM(L1166:M1166)</f>
        <v>0</v>
      </c>
      <c r="L1166" s="342">
        <v>0</v>
      </c>
      <c r="M1166" s="342">
        <v>0</v>
      </c>
      <c r="N1166" s="203" t="s">
        <v>146</v>
      </c>
      <c r="O1166" s="584" t="s">
        <v>336</v>
      </c>
    </row>
    <row r="1167" spans="2:15" ht="18.75" customHeight="1" thickBot="1" x14ac:dyDescent="0.25">
      <c r="B1167" s="342">
        <f t="shared" ref="B1167" si="400">SUM(C1167:D1167)</f>
        <v>45</v>
      </c>
      <c r="C1167" s="342">
        <f t="shared" ref="C1167:D1167" si="401">L1167+I1167+F1167</f>
        <v>2</v>
      </c>
      <c r="D1167" s="342">
        <f t="shared" si="401"/>
        <v>43</v>
      </c>
      <c r="E1167" s="342">
        <f t="shared" ref="E1167" si="402">SUM(F1167:G1167)</f>
        <v>13</v>
      </c>
      <c r="F1167" s="342">
        <v>0</v>
      </c>
      <c r="G1167" s="342">
        <v>13</v>
      </c>
      <c r="H1167" s="342">
        <f t="shared" ref="H1167" si="403">SUM(I1167:J1167)</f>
        <v>23</v>
      </c>
      <c r="I1167" s="342">
        <v>2</v>
      </c>
      <c r="J1167" s="342">
        <v>21</v>
      </c>
      <c r="K1167" s="342">
        <f t="shared" ref="K1167" si="404">SUM(L1167:M1167)</f>
        <v>9</v>
      </c>
      <c r="L1167" s="342">
        <v>0</v>
      </c>
      <c r="M1167" s="342">
        <v>9</v>
      </c>
      <c r="N1167" s="203" t="s">
        <v>145</v>
      </c>
      <c r="O1167" s="585"/>
    </row>
    <row r="1168" spans="2:15" ht="18.75" customHeight="1" thickBot="1" x14ac:dyDescent="0.25">
      <c r="B1168" s="342">
        <f t="shared" ref="B1168:L1168" si="405">SUM(B1166:B1167)</f>
        <v>56</v>
      </c>
      <c r="C1168" s="342">
        <f t="shared" si="405"/>
        <v>8</v>
      </c>
      <c r="D1168" s="342">
        <f t="shared" si="405"/>
        <v>48</v>
      </c>
      <c r="E1168" s="342">
        <f t="shared" si="405"/>
        <v>17</v>
      </c>
      <c r="F1168" s="342">
        <f t="shared" si="405"/>
        <v>3</v>
      </c>
      <c r="G1168" s="342">
        <f t="shared" si="405"/>
        <v>14</v>
      </c>
      <c r="H1168" s="342">
        <f t="shared" si="405"/>
        <v>30</v>
      </c>
      <c r="I1168" s="342">
        <f t="shared" si="405"/>
        <v>5</v>
      </c>
      <c r="J1168" s="342">
        <f t="shared" si="405"/>
        <v>25</v>
      </c>
      <c r="K1168" s="342">
        <f t="shared" si="405"/>
        <v>9</v>
      </c>
      <c r="L1168" s="342">
        <f t="shared" si="405"/>
        <v>0</v>
      </c>
      <c r="M1168" s="342">
        <f>SUM(M1166:M1167)</f>
        <v>9</v>
      </c>
      <c r="N1168" s="203" t="s">
        <v>12</v>
      </c>
      <c r="O1168" s="586"/>
    </row>
    <row r="1169" spans="2:15" ht="18.75" customHeight="1" thickBot="1" x14ac:dyDescent="0.25">
      <c r="B1169" s="342">
        <f t="shared" ref="B1169:M1171" si="406">B1166</f>
        <v>11</v>
      </c>
      <c r="C1169" s="342">
        <f t="shared" si="406"/>
        <v>6</v>
      </c>
      <c r="D1169" s="342">
        <f t="shared" si="406"/>
        <v>5</v>
      </c>
      <c r="E1169" s="342">
        <f t="shared" si="406"/>
        <v>4</v>
      </c>
      <c r="F1169" s="342">
        <f t="shared" si="406"/>
        <v>3</v>
      </c>
      <c r="G1169" s="342">
        <f t="shared" si="406"/>
        <v>1</v>
      </c>
      <c r="H1169" s="342">
        <f t="shared" si="406"/>
        <v>7</v>
      </c>
      <c r="I1169" s="342">
        <f t="shared" si="406"/>
        <v>3</v>
      </c>
      <c r="J1169" s="342">
        <f t="shared" si="406"/>
        <v>4</v>
      </c>
      <c r="K1169" s="342">
        <f t="shared" si="406"/>
        <v>0</v>
      </c>
      <c r="L1169" s="342">
        <f t="shared" si="406"/>
        <v>0</v>
      </c>
      <c r="M1169" s="342">
        <f>M1166</f>
        <v>0</v>
      </c>
      <c r="N1169" s="203" t="s">
        <v>146</v>
      </c>
      <c r="O1169" s="308"/>
    </row>
    <row r="1170" spans="2:15" ht="18.75" customHeight="1" thickBot="1" x14ac:dyDescent="0.25">
      <c r="B1170" s="342">
        <f t="shared" si="406"/>
        <v>45</v>
      </c>
      <c r="C1170" s="342">
        <f t="shared" si="406"/>
        <v>2</v>
      </c>
      <c r="D1170" s="342">
        <f t="shared" si="406"/>
        <v>43</v>
      </c>
      <c r="E1170" s="342">
        <f t="shared" si="406"/>
        <v>13</v>
      </c>
      <c r="F1170" s="342">
        <f t="shared" si="406"/>
        <v>0</v>
      </c>
      <c r="G1170" s="342">
        <f t="shared" si="406"/>
        <v>13</v>
      </c>
      <c r="H1170" s="342">
        <f t="shared" si="406"/>
        <v>23</v>
      </c>
      <c r="I1170" s="342">
        <f t="shared" si="406"/>
        <v>2</v>
      </c>
      <c r="J1170" s="342">
        <f t="shared" si="406"/>
        <v>21</v>
      </c>
      <c r="K1170" s="342">
        <f t="shared" si="406"/>
        <v>9</v>
      </c>
      <c r="L1170" s="342">
        <f t="shared" si="406"/>
        <v>0</v>
      </c>
      <c r="M1170" s="342">
        <f t="shared" si="406"/>
        <v>9</v>
      </c>
      <c r="N1170" s="203" t="s">
        <v>145</v>
      </c>
      <c r="O1170" s="336" t="s">
        <v>188</v>
      </c>
    </row>
    <row r="1171" spans="2:15" ht="18.75" customHeight="1" thickBot="1" x14ac:dyDescent="0.25">
      <c r="B1171" s="342">
        <f t="shared" si="406"/>
        <v>56</v>
      </c>
      <c r="C1171" s="342">
        <f t="shared" si="406"/>
        <v>8</v>
      </c>
      <c r="D1171" s="342">
        <f t="shared" si="406"/>
        <v>48</v>
      </c>
      <c r="E1171" s="342">
        <f t="shared" si="406"/>
        <v>17</v>
      </c>
      <c r="F1171" s="342">
        <f t="shared" si="406"/>
        <v>3</v>
      </c>
      <c r="G1171" s="342">
        <f t="shared" si="406"/>
        <v>14</v>
      </c>
      <c r="H1171" s="342">
        <f t="shared" si="406"/>
        <v>30</v>
      </c>
      <c r="I1171" s="342">
        <f t="shared" si="406"/>
        <v>5</v>
      </c>
      <c r="J1171" s="342">
        <f t="shared" si="406"/>
        <v>25</v>
      </c>
      <c r="K1171" s="342">
        <f t="shared" si="406"/>
        <v>9</v>
      </c>
      <c r="L1171" s="342">
        <f t="shared" si="406"/>
        <v>0</v>
      </c>
      <c r="M1171" s="342">
        <f t="shared" si="406"/>
        <v>9</v>
      </c>
      <c r="N1171" s="203" t="s">
        <v>12</v>
      </c>
      <c r="O1171" s="205"/>
    </row>
    <row r="1172" spans="2:15" ht="18.75" customHeight="1" thickBot="1" x14ac:dyDescent="0.25">
      <c r="B1172" s="589"/>
      <c r="C1172" s="589"/>
      <c r="D1172" s="589"/>
      <c r="E1172" s="589"/>
      <c r="F1172" s="589"/>
      <c r="G1172" s="589"/>
      <c r="H1172" s="589"/>
      <c r="I1172" s="589"/>
      <c r="J1172" s="589"/>
      <c r="K1172" s="589"/>
      <c r="L1172" s="589"/>
    </row>
    <row r="1173" spans="2:15" ht="18.75" customHeight="1" thickBot="1" x14ac:dyDescent="0.25">
      <c r="B1173" s="482" t="s">
        <v>4</v>
      </c>
      <c r="C1173" s="482"/>
      <c r="D1173" s="482"/>
      <c r="E1173" s="482" t="s">
        <v>60</v>
      </c>
      <c r="F1173" s="482"/>
      <c r="G1173" s="482"/>
      <c r="H1173" s="482" t="s">
        <v>57</v>
      </c>
      <c r="I1173" s="482"/>
      <c r="J1173" s="482"/>
      <c r="K1173" s="482" t="s">
        <v>56</v>
      </c>
      <c r="L1173" s="482"/>
      <c r="M1173" s="482"/>
      <c r="N1173" s="308" t="s">
        <v>805</v>
      </c>
      <c r="O1173" s="203" t="s">
        <v>144</v>
      </c>
    </row>
    <row r="1174" spans="2:15" ht="18.75" customHeight="1" thickBot="1" x14ac:dyDescent="0.25">
      <c r="B1174" s="203" t="s">
        <v>227</v>
      </c>
      <c r="C1174" s="203" t="s">
        <v>10</v>
      </c>
      <c r="D1174" s="203" t="s">
        <v>9</v>
      </c>
      <c r="E1174" s="203" t="s">
        <v>227</v>
      </c>
      <c r="F1174" s="203" t="s">
        <v>10</v>
      </c>
      <c r="G1174" s="203" t="s">
        <v>9</v>
      </c>
      <c r="H1174" s="203" t="s">
        <v>227</v>
      </c>
      <c r="I1174" s="203" t="s">
        <v>10</v>
      </c>
      <c r="J1174" s="203" t="s">
        <v>9</v>
      </c>
      <c r="K1174" s="203" t="s">
        <v>227</v>
      </c>
      <c r="L1174" s="203" t="s">
        <v>10</v>
      </c>
      <c r="M1174" s="203" t="s">
        <v>9</v>
      </c>
      <c r="N1174" s="205" t="s">
        <v>145</v>
      </c>
      <c r="O1174" s="205" t="s">
        <v>228</v>
      </c>
    </row>
    <row r="1175" spans="2:15" ht="18.75" customHeight="1" thickBot="1" x14ac:dyDescent="0.25">
      <c r="B1175" s="342">
        <f>SUM(C1175:D1175)</f>
        <v>55</v>
      </c>
      <c r="C1175" s="342">
        <f>L1175+I1175+F1175</f>
        <v>0</v>
      </c>
      <c r="D1175" s="342">
        <f>M1175+J1175+G1175</f>
        <v>55</v>
      </c>
      <c r="E1175" s="342">
        <f>SUM(F1175:G1175)</f>
        <v>25</v>
      </c>
      <c r="F1175" s="342">
        <v>0</v>
      </c>
      <c r="G1175" s="342">
        <v>25</v>
      </c>
      <c r="H1175" s="342">
        <f>SUM(I1175:J1175)</f>
        <v>25</v>
      </c>
      <c r="I1175" s="342">
        <v>0</v>
      </c>
      <c r="J1175" s="342">
        <v>25</v>
      </c>
      <c r="K1175" s="342">
        <f>SUM(L1175:M1175)</f>
        <v>5</v>
      </c>
      <c r="L1175" s="342">
        <v>0</v>
      </c>
      <c r="M1175" s="342">
        <v>5</v>
      </c>
      <c r="N1175" s="203" t="s">
        <v>146</v>
      </c>
      <c r="O1175" s="340"/>
    </row>
    <row r="1176" spans="2:15" ht="18.75" customHeight="1" thickBot="1" x14ac:dyDescent="0.25">
      <c r="B1176" s="342">
        <f t="shared" ref="B1176:B1182" si="407">SUM(C1176:D1176)</f>
        <v>189</v>
      </c>
      <c r="C1176" s="342">
        <f t="shared" ref="C1176:D1182" si="408">L1176+I1176+F1176</f>
        <v>0</v>
      </c>
      <c r="D1176" s="342">
        <f t="shared" si="408"/>
        <v>189</v>
      </c>
      <c r="E1176" s="342">
        <f t="shared" ref="E1176:E1182" si="409">SUM(F1176:G1176)</f>
        <v>39</v>
      </c>
      <c r="F1176" s="342">
        <v>0</v>
      </c>
      <c r="G1176" s="342">
        <v>39</v>
      </c>
      <c r="H1176" s="342">
        <f t="shared" ref="H1176:H1182" si="410">SUM(I1176:J1176)</f>
        <v>102</v>
      </c>
      <c r="I1176" s="342">
        <v>0</v>
      </c>
      <c r="J1176" s="342">
        <v>102</v>
      </c>
      <c r="K1176" s="342">
        <f t="shared" ref="K1176:K1182" si="411">SUM(L1176:M1176)</f>
        <v>48</v>
      </c>
      <c r="L1176" s="342">
        <v>0</v>
      </c>
      <c r="M1176" s="342">
        <v>48</v>
      </c>
      <c r="N1176" s="203" t="s">
        <v>145</v>
      </c>
      <c r="O1176" s="340" t="s">
        <v>334</v>
      </c>
    </row>
    <row r="1177" spans="2:15" ht="18.75" customHeight="1" thickBot="1" x14ac:dyDescent="0.25">
      <c r="B1177" s="342">
        <f t="shared" ref="B1177:L1177" si="412">SUM(B1175:B1176)</f>
        <v>244</v>
      </c>
      <c r="C1177" s="342">
        <f t="shared" si="412"/>
        <v>0</v>
      </c>
      <c r="D1177" s="342">
        <f t="shared" si="412"/>
        <v>244</v>
      </c>
      <c r="E1177" s="342">
        <f t="shared" si="412"/>
        <v>64</v>
      </c>
      <c r="F1177" s="342">
        <f t="shared" si="412"/>
        <v>0</v>
      </c>
      <c r="G1177" s="342">
        <f t="shared" si="412"/>
        <v>64</v>
      </c>
      <c r="H1177" s="342">
        <f t="shared" si="412"/>
        <v>127</v>
      </c>
      <c r="I1177" s="342">
        <f t="shared" si="412"/>
        <v>0</v>
      </c>
      <c r="J1177" s="342">
        <f t="shared" si="412"/>
        <v>127</v>
      </c>
      <c r="K1177" s="342">
        <f t="shared" si="412"/>
        <v>53</v>
      </c>
      <c r="L1177" s="342">
        <f t="shared" si="412"/>
        <v>0</v>
      </c>
      <c r="M1177" s="342">
        <f>SUM(M1175:M1176)</f>
        <v>53</v>
      </c>
      <c r="N1177" s="203" t="s">
        <v>12</v>
      </c>
      <c r="O1177" s="341"/>
    </row>
    <row r="1178" spans="2:15" ht="18.75" customHeight="1" thickBot="1" x14ac:dyDescent="0.25">
      <c r="B1178" s="342">
        <f t="shared" si="407"/>
        <v>22</v>
      </c>
      <c r="C1178" s="342">
        <f t="shared" si="408"/>
        <v>0</v>
      </c>
      <c r="D1178" s="342">
        <f t="shared" si="408"/>
        <v>22</v>
      </c>
      <c r="E1178" s="342">
        <f t="shared" si="409"/>
        <v>10</v>
      </c>
      <c r="F1178" s="342">
        <v>0</v>
      </c>
      <c r="G1178" s="342">
        <v>10</v>
      </c>
      <c r="H1178" s="342">
        <f t="shared" si="410"/>
        <v>8</v>
      </c>
      <c r="I1178" s="342">
        <v>0</v>
      </c>
      <c r="J1178" s="342">
        <v>8</v>
      </c>
      <c r="K1178" s="342">
        <f t="shared" si="411"/>
        <v>4</v>
      </c>
      <c r="L1178" s="342">
        <v>0</v>
      </c>
      <c r="M1178" s="342">
        <v>4</v>
      </c>
      <c r="N1178" s="203" t="s">
        <v>146</v>
      </c>
      <c r="O1178" s="340"/>
    </row>
    <row r="1179" spans="2:15" ht="18.75" customHeight="1" thickBot="1" x14ac:dyDescent="0.25">
      <c r="B1179" s="342">
        <f t="shared" si="407"/>
        <v>206</v>
      </c>
      <c r="C1179" s="342">
        <f t="shared" si="408"/>
        <v>0</v>
      </c>
      <c r="D1179" s="342">
        <f t="shared" si="408"/>
        <v>206</v>
      </c>
      <c r="E1179" s="342">
        <f t="shared" si="409"/>
        <v>43</v>
      </c>
      <c r="F1179" s="342">
        <v>0</v>
      </c>
      <c r="G1179" s="342">
        <v>43</v>
      </c>
      <c r="H1179" s="342">
        <f t="shared" si="410"/>
        <v>92</v>
      </c>
      <c r="I1179" s="342">
        <v>0</v>
      </c>
      <c r="J1179" s="342">
        <v>92</v>
      </c>
      <c r="K1179" s="342">
        <f t="shared" si="411"/>
        <v>71</v>
      </c>
      <c r="L1179" s="342">
        <v>0</v>
      </c>
      <c r="M1179" s="342">
        <v>71</v>
      </c>
      <c r="N1179" s="203" t="s">
        <v>145</v>
      </c>
      <c r="O1179" s="340" t="s">
        <v>335</v>
      </c>
    </row>
    <row r="1180" spans="2:15" ht="18.75" customHeight="1" thickBot="1" x14ac:dyDescent="0.25">
      <c r="B1180" s="342">
        <f t="shared" ref="B1180:L1180" si="413">SUM(B1178:B1179)</f>
        <v>228</v>
      </c>
      <c r="C1180" s="342">
        <f t="shared" si="413"/>
        <v>0</v>
      </c>
      <c r="D1180" s="342">
        <f t="shared" si="413"/>
        <v>228</v>
      </c>
      <c r="E1180" s="342">
        <f t="shared" si="413"/>
        <v>53</v>
      </c>
      <c r="F1180" s="342">
        <f t="shared" si="413"/>
        <v>0</v>
      </c>
      <c r="G1180" s="342">
        <f t="shared" si="413"/>
        <v>53</v>
      </c>
      <c r="H1180" s="342">
        <f t="shared" si="413"/>
        <v>100</v>
      </c>
      <c r="I1180" s="342">
        <f t="shared" si="413"/>
        <v>0</v>
      </c>
      <c r="J1180" s="342">
        <f t="shared" si="413"/>
        <v>100</v>
      </c>
      <c r="K1180" s="342">
        <f t="shared" si="413"/>
        <v>75</v>
      </c>
      <c r="L1180" s="342">
        <f t="shared" si="413"/>
        <v>0</v>
      </c>
      <c r="M1180" s="342">
        <f>SUM(M1178:M1179)</f>
        <v>75</v>
      </c>
      <c r="N1180" s="203" t="s">
        <v>12</v>
      </c>
      <c r="O1180" s="341"/>
    </row>
    <row r="1181" spans="2:15" ht="18.75" customHeight="1" thickBot="1" x14ac:dyDescent="0.25">
      <c r="B1181" s="342">
        <f t="shared" si="407"/>
        <v>27</v>
      </c>
      <c r="C1181" s="342">
        <f t="shared" si="408"/>
        <v>15</v>
      </c>
      <c r="D1181" s="342">
        <f t="shared" si="408"/>
        <v>12</v>
      </c>
      <c r="E1181" s="342">
        <f t="shared" si="409"/>
        <v>18</v>
      </c>
      <c r="F1181" s="342">
        <v>12</v>
      </c>
      <c r="G1181" s="342">
        <v>6</v>
      </c>
      <c r="H1181" s="342">
        <f t="shared" si="410"/>
        <v>7</v>
      </c>
      <c r="I1181" s="342">
        <v>3</v>
      </c>
      <c r="J1181" s="342">
        <v>4</v>
      </c>
      <c r="K1181" s="342">
        <f t="shared" si="411"/>
        <v>2</v>
      </c>
      <c r="L1181" s="342">
        <v>0</v>
      </c>
      <c r="M1181" s="342">
        <v>2</v>
      </c>
      <c r="N1181" s="203" t="s">
        <v>146</v>
      </c>
      <c r="O1181" s="340"/>
    </row>
    <row r="1182" spans="2:15" ht="18.75" customHeight="1" thickBot="1" x14ac:dyDescent="0.25">
      <c r="B1182" s="342">
        <f t="shared" si="407"/>
        <v>117</v>
      </c>
      <c r="C1182" s="342">
        <f t="shared" si="408"/>
        <v>59</v>
      </c>
      <c r="D1182" s="342">
        <f t="shared" si="408"/>
        <v>58</v>
      </c>
      <c r="E1182" s="342">
        <f t="shared" si="409"/>
        <v>43</v>
      </c>
      <c r="F1182" s="342">
        <v>27</v>
      </c>
      <c r="G1182" s="342">
        <v>16</v>
      </c>
      <c r="H1182" s="342">
        <f t="shared" si="410"/>
        <v>60</v>
      </c>
      <c r="I1182" s="342">
        <v>29</v>
      </c>
      <c r="J1182" s="342">
        <v>31</v>
      </c>
      <c r="K1182" s="342">
        <f t="shared" si="411"/>
        <v>14</v>
      </c>
      <c r="L1182" s="342">
        <v>3</v>
      </c>
      <c r="M1182" s="342">
        <v>11</v>
      </c>
      <c r="N1182" s="203" t="s">
        <v>145</v>
      </c>
      <c r="O1182" s="340" t="s">
        <v>573</v>
      </c>
    </row>
    <row r="1183" spans="2:15" ht="18.75" customHeight="1" thickBot="1" x14ac:dyDescent="0.25">
      <c r="B1183" s="342">
        <f t="shared" ref="B1183:K1183" si="414">SUM(B1181:B1182)</f>
        <v>144</v>
      </c>
      <c r="C1183" s="342">
        <f t="shared" si="414"/>
        <v>74</v>
      </c>
      <c r="D1183" s="342">
        <f t="shared" si="414"/>
        <v>70</v>
      </c>
      <c r="E1183" s="342">
        <f t="shared" si="414"/>
        <v>61</v>
      </c>
      <c r="F1183" s="342">
        <f t="shared" si="414"/>
        <v>39</v>
      </c>
      <c r="G1183" s="342">
        <f t="shared" si="414"/>
        <v>22</v>
      </c>
      <c r="H1183" s="342">
        <f t="shared" si="414"/>
        <v>67</v>
      </c>
      <c r="I1183" s="342">
        <f t="shared" si="414"/>
        <v>32</v>
      </c>
      <c r="J1183" s="342">
        <f t="shared" si="414"/>
        <v>35</v>
      </c>
      <c r="K1183" s="342">
        <f t="shared" si="414"/>
        <v>16</v>
      </c>
      <c r="L1183" s="342">
        <f t="shared" ref="L1183" si="415">SUM(L1181:L1182)</f>
        <v>3</v>
      </c>
      <c r="M1183" s="342">
        <f>SUM(M1181:M1182)</f>
        <v>13</v>
      </c>
      <c r="N1183" s="203" t="s">
        <v>12</v>
      </c>
      <c r="O1183" s="341"/>
    </row>
    <row r="1184" spans="2:15" ht="18.75" customHeight="1" thickBot="1" x14ac:dyDescent="0.25">
      <c r="B1184" s="342">
        <f t="shared" ref="B1184:M1186" si="416">B1175+B1178+B1181</f>
        <v>104</v>
      </c>
      <c r="C1184" s="342">
        <f t="shared" si="416"/>
        <v>15</v>
      </c>
      <c r="D1184" s="342">
        <f t="shared" si="416"/>
        <v>89</v>
      </c>
      <c r="E1184" s="342">
        <f t="shared" si="416"/>
        <v>53</v>
      </c>
      <c r="F1184" s="342">
        <f t="shared" si="416"/>
        <v>12</v>
      </c>
      <c r="G1184" s="342">
        <f t="shared" si="416"/>
        <v>41</v>
      </c>
      <c r="H1184" s="342">
        <f t="shared" si="416"/>
        <v>40</v>
      </c>
      <c r="I1184" s="342">
        <f t="shared" si="416"/>
        <v>3</v>
      </c>
      <c r="J1184" s="342">
        <f t="shared" si="416"/>
        <v>37</v>
      </c>
      <c r="K1184" s="342">
        <f t="shared" si="416"/>
        <v>11</v>
      </c>
      <c r="L1184" s="342">
        <f t="shared" si="416"/>
        <v>0</v>
      </c>
      <c r="M1184" s="342">
        <f>M1175+M1178+M1181</f>
        <v>11</v>
      </c>
      <c r="N1184" s="203" t="s">
        <v>146</v>
      </c>
      <c r="O1184" s="308"/>
    </row>
    <row r="1185" spans="2:15" ht="18.75" customHeight="1" thickBot="1" x14ac:dyDescent="0.25">
      <c r="B1185" s="342">
        <f t="shared" si="416"/>
        <v>512</v>
      </c>
      <c r="C1185" s="342">
        <f t="shared" si="416"/>
        <v>59</v>
      </c>
      <c r="D1185" s="342">
        <f t="shared" si="416"/>
        <v>453</v>
      </c>
      <c r="E1185" s="342">
        <f t="shared" si="416"/>
        <v>125</v>
      </c>
      <c r="F1185" s="342">
        <f t="shared" si="416"/>
        <v>27</v>
      </c>
      <c r="G1185" s="342">
        <f t="shared" si="416"/>
        <v>98</v>
      </c>
      <c r="H1185" s="342">
        <f t="shared" si="416"/>
        <v>254</v>
      </c>
      <c r="I1185" s="342">
        <f t="shared" si="416"/>
        <v>29</v>
      </c>
      <c r="J1185" s="342">
        <f t="shared" si="416"/>
        <v>225</v>
      </c>
      <c r="K1185" s="342">
        <f t="shared" si="416"/>
        <v>133</v>
      </c>
      <c r="L1185" s="342">
        <f t="shared" si="416"/>
        <v>3</v>
      </c>
      <c r="M1185" s="342">
        <f t="shared" si="416"/>
        <v>130</v>
      </c>
      <c r="N1185" s="203" t="s">
        <v>145</v>
      </c>
      <c r="O1185" s="336" t="s">
        <v>188</v>
      </c>
    </row>
    <row r="1186" spans="2:15" ht="18.75" customHeight="1" thickBot="1" x14ac:dyDescent="0.25">
      <c r="B1186" s="342">
        <f t="shared" si="416"/>
        <v>616</v>
      </c>
      <c r="C1186" s="342">
        <f t="shared" si="416"/>
        <v>74</v>
      </c>
      <c r="D1186" s="342">
        <f t="shared" si="416"/>
        <v>542</v>
      </c>
      <c r="E1186" s="342">
        <f t="shared" si="416"/>
        <v>178</v>
      </c>
      <c r="F1186" s="342">
        <f t="shared" si="416"/>
        <v>39</v>
      </c>
      <c r="G1186" s="342">
        <f t="shared" si="416"/>
        <v>139</v>
      </c>
      <c r="H1186" s="342">
        <f t="shared" si="416"/>
        <v>294</v>
      </c>
      <c r="I1186" s="342">
        <f t="shared" si="416"/>
        <v>32</v>
      </c>
      <c r="J1186" s="342">
        <f t="shared" si="416"/>
        <v>262</v>
      </c>
      <c r="K1186" s="342">
        <f t="shared" si="416"/>
        <v>144</v>
      </c>
      <c r="L1186" s="342">
        <f t="shared" si="416"/>
        <v>3</v>
      </c>
      <c r="M1186" s="342">
        <f t="shared" si="416"/>
        <v>141</v>
      </c>
      <c r="N1186" s="203" t="s">
        <v>12</v>
      </c>
      <c r="O1186" s="205"/>
    </row>
    <row r="1187" spans="2:15" ht="18.75" customHeight="1" thickBot="1" x14ac:dyDescent="0.25">
      <c r="B1187" s="589"/>
      <c r="C1187" s="589"/>
      <c r="D1187" s="589"/>
      <c r="E1187" s="589"/>
      <c r="F1187" s="589"/>
      <c r="G1187" s="589"/>
      <c r="H1187" s="589"/>
      <c r="I1187" s="589"/>
      <c r="J1187" s="589"/>
      <c r="K1187" s="589"/>
      <c r="L1187" s="589"/>
    </row>
    <row r="1188" spans="2:15" ht="18.75" customHeight="1" thickBot="1" x14ac:dyDescent="0.25">
      <c r="B1188" s="482" t="s">
        <v>4</v>
      </c>
      <c r="C1188" s="482"/>
      <c r="D1188" s="482"/>
      <c r="E1188" s="482" t="s">
        <v>60</v>
      </c>
      <c r="F1188" s="482"/>
      <c r="G1188" s="482"/>
      <c r="H1188" s="482" t="s">
        <v>57</v>
      </c>
      <c r="I1188" s="482"/>
      <c r="J1188" s="482"/>
      <c r="K1188" s="482" t="s">
        <v>56</v>
      </c>
      <c r="L1188" s="482"/>
      <c r="M1188" s="482"/>
      <c r="N1188" s="575" t="s">
        <v>792</v>
      </c>
      <c r="O1188" s="203" t="s">
        <v>144</v>
      </c>
    </row>
    <row r="1189" spans="2:15" ht="18.75" customHeight="1" thickBot="1" x14ac:dyDescent="0.25">
      <c r="B1189" s="203" t="s">
        <v>227</v>
      </c>
      <c r="C1189" s="203" t="s">
        <v>10</v>
      </c>
      <c r="D1189" s="203" t="s">
        <v>9</v>
      </c>
      <c r="E1189" s="203" t="s">
        <v>227</v>
      </c>
      <c r="F1189" s="203" t="s">
        <v>10</v>
      </c>
      <c r="G1189" s="203" t="s">
        <v>9</v>
      </c>
      <c r="H1189" s="203" t="s">
        <v>227</v>
      </c>
      <c r="I1189" s="203" t="s">
        <v>10</v>
      </c>
      <c r="J1189" s="203" t="s">
        <v>9</v>
      </c>
      <c r="K1189" s="203" t="s">
        <v>227</v>
      </c>
      <c r="L1189" s="203" t="s">
        <v>10</v>
      </c>
      <c r="M1189" s="203" t="s">
        <v>9</v>
      </c>
      <c r="N1189" s="481"/>
      <c r="O1189" s="205" t="s">
        <v>205</v>
      </c>
    </row>
    <row r="1190" spans="2:15" ht="18.75" customHeight="1" thickBot="1" x14ac:dyDescent="0.25">
      <c r="B1190" s="342">
        <f>SUM(C1190:D1190)</f>
        <v>508</v>
      </c>
      <c r="C1190" s="342">
        <f>L1190+I1190+F1190</f>
        <v>71</v>
      </c>
      <c r="D1190" s="342">
        <f>M1190+J1190+G1190</f>
        <v>437</v>
      </c>
      <c r="E1190" s="342">
        <f>SUM(F1190:G1190)</f>
        <v>0</v>
      </c>
      <c r="F1190" s="342">
        <v>0</v>
      </c>
      <c r="G1190" s="342">
        <v>0</v>
      </c>
      <c r="H1190" s="342">
        <f>SUM(I1190:J1190)</f>
        <v>452</v>
      </c>
      <c r="I1190" s="342">
        <v>64</v>
      </c>
      <c r="J1190" s="342">
        <v>388</v>
      </c>
      <c r="K1190" s="342">
        <f>SUM(L1190:M1190)</f>
        <v>56</v>
      </c>
      <c r="L1190" s="342">
        <v>7</v>
      </c>
      <c r="M1190" s="342">
        <v>49</v>
      </c>
      <c r="N1190" s="203" t="s">
        <v>146</v>
      </c>
      <c r="O1190" s="340"/>
    </row>
    <row r="1191" spans="2:15" ht="18.75" customHeight="1" thickBot="1" x14ac:dyDescent="0.25">
      <c r="B1191" s="342">
        <f t="shared" ref="B1191" si="417">SUM(C1191:D1191)</f>
        <v>119</v>
      </c>
      <c r="C1191" s="342">
        <f t="shared" ref="C1191:D1191" si="418">L1191+I1191+F1191</f>
        <v>8</v>
      </c>
      <c r="D1191" s="342">
        <f t="shared" si="418"/>
        <v>111</v>
      </c>
      <c r="E1191" s="342">
        <f t="shared" ref="E1191" si="419">SUM(F1191:G1191)</f>
        <v>6</v>
      </c>
      <c r="F1191" s="342">
        <v>1</v>
      </c>
      <c r="G1191" s="342">
        <v>5</v>
      </c>
      <c r="H1191" s="342">
        <f t="shared" ref="H1191" si="420">SUM(I1191:J1191)</f>
        <v>94</v>
      </c>
      <c r="I1191" s="342">
        <v>5</v>
      </c>
      <c r="J1191" s="342">
        <v>89</v>
      </c>
      <c r="K1191" s="342">
        <f t="shared" ref="K1191" si="421">SUM(L1191:M1191)</f>
        <v>19</v>
      </c>
      <c r="L1191" s="342">
        <v>2</v>
      </c>
      <c r="M1191" s="342">
        <v>17</v>
      </c>
      <c r="N1191" s="203" t="s">
        <v>145</v>
      </c>
      <c r="O1191" s="340" t="s">
        <v>205</v>
      </c>
    </row>
    <row r="1192" spans="2:15" ht="18.75" customHeight="1" thickBot="1" x14ac:dyDescent="0.25">
      <c r="B1192" s="342">
        <f t="shared" ref="B1192:L1192" si="422">SUM(B1190:B1191)</f>
        <v>627</v>
      </c>
      <c r="C1192" s="342">
        <f t="shared" si="422"/>
        <v>79</v>
      </c>
      <c r="D1192" s="342">
        <f t="shared" si="422"/>
        <v>548</v>
      </c>
      <c r="E1192" s="342">
        <f t="shared" si="422"/>
        <v>6</v>
      </c>
      <c r="F1192" s="342">
        <f t="shared" si="422"/>
        <v>1</v>
      </c>
      <c r="G1192" s="342">
        <f t="shared" si="422"/>
        <v>5</v>
      </c>
      <c r="H1192" s="342">
        <f t="shared" si="422"/>
        <v>546</v>
      </c>
      <c r="I1192" s="342">
        <f t="shared" si="422"/>
        <v>69</v>
      </c>
      <c r="J1192" s="342">
        <f t="shared" si="422"/>
        <v>477</v>
      </c>
      <c r="K1192" s="342">
        <f t="shared" si="422"/>
        <v>75</v>
      </c>
      <c r="L1192" s="342">
        <f t="shared" si="422"/>
        <v>9</v>
      </c>
      <c r="M1192" s="342">
        <f>SUM(M1190:M1191)</f>
        <v>66</v>
      </c>
      <c r="N1192" s="203" t="s">
        <v>12</v>
      </c>
      <c r="O1192" s="341"/>
    </row>
    <row r="1193" spans="2:15" ht="18.75" customHeight="1" thickBot="1" x14ac:dyDescent="0.25">
      <c r="B1193" s="342">
        <f t="shared" ref="B1193:M1195" si="423">B1190</f>
        <v>508</v>
      </c>
      <c r="C1193" s="342">
        <f t="shared" si="423"/>
        <v>71</v>
      </c>
      <c r="D1193" s="342">
        <f t="shared" si="423"/>
        <v>437</v>
      </c>
      <c r="E1193" s="342">
        <f t="shared" si="423"/>
        <v>0</v>
      </c>
      <c r="F1193" s="342">
        <f t="shared" si="423"/>
        <v>0</v>
      </c>
      <c r="G1193" s="342">
        <f t="shared" si="423"/>
        <v>0</v>
      </c>
      <c r="H1193" s="342">
        <f t="shared" si="423"/>
        <v>452</v>
      </c>
      <c r="I1193" s="342">
        <f t="shared" si="423"/>
        <v>64</v>
      </c>
      <c r="J1193" s="342">
        <f t="shared" si="423"/>
        <v>388</v>
      </c>
      <c r="K1193" s="342">
        <f t="shared" si="423"/>
        <v>56</v>
      </c>
      <c r="L1193" s="342">
        <f t="shared" si="423"/>
        <v>7</v>
      </c>
      <c r="M1193" s="342">
        <f>M1190</f>
        <v>49</v>
      </c>
      <c r="N1193" s="203" t="s">
        <v>146</v>
      </c>
      <c r="O1193" s="308"/>
    </row>
    <row r="1194" spans="2:15" ht="18.75" customHeight="1" thickBot="1" x14ac:dyDescent="0.25">
      <c r="B1194" s="342">
        <f t="shared" si="423"/>
        <v>119</v>
      </c>
      <c r="C1194" s="342">
        <f t="shared" si="423"/>
        <v>8</v>
      </c>
      <c r="D1194" s="342">
        <f t="shared" si="423"/>
        <v>111</v>
      </c>
      <c r="E1194" s="342">
        <f t="shared" si="423"/>
        <v>6</v>
      </c>
      <c r="F1194" s="342">
        <f t="shared" si="423"/>
        <v>1</v>
      </c>
      <c r="G1194" s="342">
        <f t="shared" si="423"/>
        <v>5</v>
      </c>
      <c r="H1194" s="342">
        <f t="shared" si="423"/>
        <v>94</v>
      </c>
      <c r="I1194" s="342">
        <f t="shared" si="423"/>
        <v>5</v>
      </c>
      <c r="J1194" s="342">
        <f t="shared" si="423"/>
        <v>89</v>
      </c>
      <c r="K1194" s="342">
        <f t="shared" si="423"/>
        <v>19</v>
      </c>
      <c r="L1194" s="342">
        <f t="shared" si="423"/>
        <v>2</v>
      </c>
      <c r="M1194" s="342">
        <f t="shared" si="423"/>
        <v>17</v>
      </c>
      <c r="N1194" s="203" t="s">
        <v>145</v>
      </c>
      <c r="O1194" s="336" t="s">
        <v>188</v>
      </c>
    </row>
    <row r="1195" spans="2:15" ht="18.75" customHeight="1" thickBot="1" x14ac:dyDescent="0.25">
      <c r="B1195" s="342">
        <f t="shared" si="423"/>
        <v>627</v>
      </c>
      <c r="C1195" s="342">
        <f t="shared" si="423"/>
        <v>79</v>
      </c>
      <c r="D1195" s="342">
        <f t="shared" si="423"/>
        <v>548</v>
      </c>
      <c r="E1195" s="342">
        <f t="shared" si="423"/>
        <v>6</v>
      </c>
      <c r="F1195" s="342">
        <f t="shared" si="423"/>
        <v>1</v>
      </c>
      <c r="G1195" s="342">
        <f t="shared" si="423"/>
        <v>5</v>
      </c>
      <c r="H1195" s="342">
        <f t="shared" si="423"/>
        <v>546</v>
      </c>
      <c r="I1195" s="342">
        <f t="shared" si="423"/>
        <v>69</v>
      </c>
      <c r="J1195" s="342">
        <f t="shared" si="423"/>
        <v>477</v>
      </c>
      <c r="K1195" s="342">
        <f t="shared" si="423"/>
        <v>75</v>
      </c>
      <c r="L1195" s="342">
        <f t="shared" si="423"/>
        <v>9</v>
      </c>
      <c r="M1195" s="342">
        <f t="shared" si="423"/>
        <v>66</v>
      </c>
      <c r="N1195" s="203" t="s">
        <v>12</v>
      </c>
      <c r="O1195" s="205"/>
    </row>
    <row r="1196" spans="2:15" ht="18.75" customHeight="1" thickBot="1" x14ac:dyDescent="0.25">
      <c r="B1196" s="589"/>
      <c r="C1196" s="589"/>
      <c r="D1196" s="589"/>
      <c r="E1196" s="589"/>
      <c r="F1196" s="589"/>
      <c r="G1196" s="589"/>
      <c r="H1196" s="589"/>
      <c r="I1196" s="589"/>
      <c r="J1196" s="589"/>
      <c r="K1196" s="589"/>
      <c r="L1196" s="589"/>
    </row>
    <row r="1197" spans="2:15" ht="18.75" customHeight="1" thickBot="1" x14ac:dyDescent="0.25">
      <c r="B1197" s="482" t="s">
        <v>4</v>
      </c>
      <c r="C1197" s="482"/>
      <c r="D1197" s="482"/>
      <c r="E1197" s="482" t="s">
        <v>60</v>
      </c>
      <c r="F1197" s="482"/>
      <c r="G1197" s="482"/>
      <c r="H1197" s="482" t="s">
        <v>57</v>
      </c>
      <c r="I1197" s="482"/>
      <c r="J1197" s="482"/>
      <c r="K1197" s="482" t="s">
        <v>56</v>
      </c>
      <c r="L1197" s="482"/>
      <c r="M1197" s="482"/>
      <c r="N1197" s="575" t="s">
        <v>792</v>
      </c>
      <c r="O1197" s="203" t="s">
        <v>144</v>
      </c>
    </row>
    <row r="1198" spans="2:15" ht="18.75" customHeight="1" thickBot="1" x14ac:dyDescent="0.25">
      <c r="B1198" s="203" t="s">
        <v>227</v>
      </c>
      <c r="C1198" s="203" t="s">
        <v>10</v>
      </c>
      <c r="D1198" s="203" t="s">
        <v>9</v>
      </c>
      <c r="E1198" s="203" t="s">
        <v>227</v>
      </c>
      <c r="F1198" s="203" t="s">
        <v>10</v>
      </c>
      <c r="G1198" s="203" t="s">
        <v>9</v>
      </c>
      <c r="H1198" s="203" t="s">
        <v>227</v>
      </c>
      <c r="I1198" s="203" t="s">
        <v>10</v>
      </c>
      <c r="J1198" s="203" t="s">
        <v>9</v>
      </c>
      <c r="K1198" s="203" t="s">
        <v>227</v>
      </c>
      <c r="L1198" s="203" t="s">
        <v>10</v>
      </c>
      <c r="M1198" s="203" t="s">
        <v>9</v>
      </c>
      <c r="N1198" s="481"/>
      <c r="O1198" s="205" t="s">
        <v>155</v>
      </c>
    </row>
    <row r="1199" spans="2:15" ht="18.75" customHeight="1" thickBot="1" x14ac:dyDescent="0.25">
      <c r="B1199" s="342">
        <f t="shared" ref="B1199:B1258" si="424">SUM(C1199:D1199)</f>
        <v>35</v>
      </c>
      <c r="C1199" s="342">
        <f>L1199+I1199+F1199</f>
        <v>25</v>
      </c>
      <c r="D1199" s="342">
        <f>M1199+J1199+G1199</f>
        <v>10</v>
      </c>
      <c r="E1199" s="342">
        <f t="shared" ref="E1199:E1258" si="425">SUM(F1199:G1199)</f>
        <v>13</v>
      </c>
      <c r="F1199" s="342">
        <v>9</v>
      </c>
      <c r="G1199" s="342">
        <v>4</v>
      </c>
      <c r="H1199" s="342">
        <f t="shared" ref="H1199:H1258" si="426">SUM(I1199:J1199)</f>
        <v>13</v>
      </c>
      <c r="I1199" s="342">
        <v>13</v>
      </c>
      <c r="J1199" s="342">
        <v>0</v>
      </c>
      <c r="K1199" s="342">
        <f>SUM(L1199:M1199)</f>
        <v>9</v>
      </c>
      <c r="L1199" s="342">
        <v>3</v>
      </c>
      <c r="M1199" s="342">
        <v>6</v>
      </c>
      <c r="N1199" s="203" t="s">
        <v>146</v>
      </c>
      <c r="O1199" s="340"/>
    </row>
    <row r="1200" spans="2:15" ht="18.75" customHeight="1" thickBot="1" x14ac:dyDescent="0.25">
      <c r="B1200" s="342">
        <f t="shared" si="424"/>
        <v>160</v>
      </c>
      <c r="C1200" s="342">
        <f>L1200+I1200+F1200</f>
        <v>88</v>
      </c>
      <c r="D1200" s="342">
        <f>M1200+J1200+G1200</f>
        <v>72</v>
      </c>
      <c r="E1200" s="342">
        <f t="shared" si="425"/>
        <v>7</v>
      </c>
      <c r="F1200" s="342">
        <v>7</v>
      </c>
      <c r="G1200" s="342">
        <v>0</v>
      </c>
      <c r="H1200" s="342">
        <f t="shared" si="426"/>
        <v>98</v>
      </c>
      <c r="I1200" s="342">
        <v>62</v>
      </c>
      <c r="J1200" s="342">
        <v>36</v>
      </c>
      <c r="K1200" s="342">
        <f t="shared" ref="K1200:K1258" si="427">SUM(L1200:M1200)</f>
        <v>55</v>
      </c>
      <c r="L1200" s="342">
        <v>19</v>
      </c>
      <c r="M1200" s="342">
        <v>36</v>
      </c>
      <c r="N1200" s="203" t="s">
        <v>145</v>
      </c>
      <c r="O1200" s="340" t="s">
        <v>127</v>
      </c>
    </row>
    <row r="1201" spans="2:15" ht="18.75" customHeight="1" thickBot="1" x14ac:dyDescent="0.25">
      <c r="B1201" s="342">
        <f t="shared" ref="B1201:L1201" si="428">SUM(B1199:B1200)</f>
        <v>195</v>
      </c>
      <c r="C1201" s="342">
        <f t="shared" si="428"/>
        <v>113</v>
      </c>
      <c r="D1201" s="342">
        <f t="shared" si="428"/>
        <v>82</v>
      </c>
      <c r="E1201" s="342">
        <f t="shared" si="428"/>
        <v>20</v>
      </c>
      <c r="F1201" s="342">
        <f t="shared" si="428"/>
        <v>16</v>
      </c>
      <c r="G1201" s="342">
        <f t="shared" si="428"/>
        <v>4</v>
      </c>
      <c r="H1201" s="342">
        <f t="shared" si="428"/>
        <v>111</v>
      </c>
      <c r="I1201" s="342">
        <f t="shared" si="428"/>
        <v>75</v>
      </c>
      <c r="J1201" s="342">
        <f t="shared" si="428"/>
        <v>36</v>
      </c>
      <c r="K1201" s="342">
        <f t="shared" si="428"/>
        <v>64</v>
      </c>
      <c r="L1201" s="342">
        <f t="shared" si="428"/>
        <v>22</v>
      </c>
      <c r="M1201" s="342">
        <f>SUM(M1199:M1200)</f>
        <v>42</v>
      </c>
      <c r="N1201" s="203" t="s">
        <v>12</v>
      </c>
      <c r="O1201" s="341"/>
    </row>
    <row r="1202" spans="2:15" ht="18.75" customHeight="1" thickBot="1" x14ac:dyDescent="0.25">
      <c r="B1202" s="342">
        <f t="shared" si="424"/>
        <v>130</v>
      </c>
      <c r="C1202" s="342">
        <f>L1202+I1202+F1202</f>
        <v>40</v>
      </c>
      <c r="D1202" s="342">
        <f>M1202+J1202+G1202</f>
        <v>90</v>
      </c>
      <c r="E1202" s="342">
        <f t="shared" si="425"/>
        <v>6</v>
      </c>
      <c r="F1202" s="342">
        <v>6</v>
      </c>
      <c r="G1202" s="342">
        <v>0</v>
      </c>
      <c r="H1202" s="342">
        <f t="shared" si="426"/>
        <v>54</v>
      </c>
      <c r="I1202" s="342">
        <v>18</v>
      </c>
      <c r="J1202" s="342">
        <v>36</v>
      </c>
      <c r="K1202" s="342">
        <f t="shared" si="427"/>
        <v>70</v>
      </c>
      <c r="L1202" s="342">
        <v>16</v>
      </c>
      <c r="M1202" s="342">
        <v>54</v>
      </c>
      <c r="N1202" s="203" t="s">
        <v>146</v>
      </c>
      <c r="O1202" s="340"/>
    </row>
    <row r="1203" spans="2:15" ht="18.75" customHeight="1" thickBot="1" x14ac:dyDescent="0.25">
      <c r="B1203" s="342">
        <f t="shared" si="424"/>
        <v>288</v>
      </c>
      <c r="C1203" s="342">
        <f>L1203+I1203+F1203</f>
        <v>116</v>
      </c>
      <c r="D1203" s="342">
        <f>M1203+J1203+G1203</f>
        <v>172</v>
      </c>
      <c r="E1203" s="342">
        <f t="shared" si="425"/>
        <v>50</v>
      </c>
      <c r="F1203" s="342">
        <v>35</v>
      </c>
      <c r="G1203" s="342">
        <v>15</v>
      </c>
      <c r="H1203" s="342">
        <f t="shared" si="426"/>
        <v>138</v>
      </c>
      <c r="I1203" s="342">
        <v>55</v>
      </c>
      <c r="J1203" s="342">
        <v>83</v>
      </c>
      <c r="K1203" s="342">
        <f t="shared" si="427"/>
        <v>100</v>
      </c>
      <c r="L1203" s="342">
        <v>26</v>
      </c>
      <c r="M1203" s="342">
        <v>74</v>
      </c>
      <c r="N1203" s="203" t="s">
        <v>145</v>
      </c>
      <c r="O1203" s="340" t="s">
        <v>128</v>
      </c>
    </row>
    <row r="1204" spans="2:15" ht="18.75" customHeight="1" thickBot="1" x14ac:dyDescent="0.25">
      <c r="B1204" s="342">
        <f t="shared" si="424"/>
        <v>418</v>
      </c>
      <c r="C1204" s="342">
        <f t="shared" ref="C1204" si="429">SUM(C1202:C1203)</f>
        <v>156</v>
      </c>
      <c r="D1204" s="342">
        <f t="shared" ref="D1204" si="430">SUM(D1202:D1203)</f>
        <v>262</v>
      </c>
      <c r="E1204" s="342">
        <f t="shared" si="425"/>
        <v>56</v>
      </c>
      <c r="F1204" s="342">
        <f t="shared" ref="F1204:G1204" si="431">SUM(F1202:F1203)</f>
        <v>41</v>
      </c>
      <c r="G1204" s="342">
        <f t="shared" si="431"/>
        <v>15</v>
      </c>
      <c r="H1204" s="342">
        <f t="shared" si="426"/>
        <v>192</v>
      </c>
      <c r="I1204" s="342">
        <f t="shared" ref="I1204:J1204" si="432">SUM(I1202:I1203)</f>
        <v>73</v>
      </c>
      <c r="J1204" s="342">
        <f t="shared" si="432"/>
        <v>119</v>
      </c>
      <c r="K1204" s="342">
        <f t="shared" si="427"/>
        <v>170</v>
      </c>
      <c r="L1204" s="342">
        <f t="shared" ref="L1204" si="433">SUM(L1202:L1203)</f>
        <v>42</v>
      </c>
      <c r="M1204" s="342">
        <f>SUM(M1202:M1203)</f>
        <v>128</v>
      </c>
      <c r="N1204" s="203" t="s">
        <v>12</v>
      </c>
      <c r="O1204" s="341"/>
    </row>
    <row r="1205" spans="2:15" ht="18.75" customHeight="1" thickBot="1" x14ac:dyDescent="0.25">
      <c r="B1205" s="342">
        <f t="shared" si="424"/>
        <v>11</v>
      </c>
      <c r="C1205" s="342">
        <f>L1205+I1205+F1205</f>
        <v>9</v>
      </c>
      <c r="D1205" s="342">
        <f>M1205+J1205+G1205</f>
        <v>2</v>
      </c>
      <c r="E1205" s="342">
        <f t="shared" si="425"/>
        <v>9</v>
      </c>
      <c r="F1205" s="342">
        <v>9</v>
      </c>
      <c r="G1205" s="342">
        <v>0</v>
      </c>
      <c r="H1205" s="342">
        <f t="shared" si="426"/>
        <v>0</v>
      </c>
      <c r="I1205" s="342">
        <v>0</v>
      </c>
      <c r="J1205" s="342">
        <v>0</v>
      </c>
      <c r="K1205" s="342">
        <f t="shared" si="427"/>
        <v>2</v>
      </c>
      <c r="L1205" s="342">
        <v>0</v>
      </c>
      <c r="M1205" s="342">
        <v>2</v>
      </c>
      <c r="N1205" s="203" t="s">
        <v>146</v>
      </c>
      <c r="O1205" s="340"/>
    </row>
    <row r="1206" spans="2:15" ht="18.75" customHeight="1" thickBot="1" x14ac:dyDescent="0.25">
      <c r="B1206" s="342">
        <f t="shared" si="424"/>
        <v>112</v>
      </c>
      <c r="C1206" s="342">
        <f>L1206+I1206+F1206</f>
        <v>49</v>
      </c>
      <c r="D1206" s="342">
        <f>M1206+J1206+G1206</f>
        <v>63</v>
      </c>
      <c r="E1206" s="342">
        <f t="shared" si="425"/>
        <v>79</v>
      </c>
      <c r="F1206" s="342">
        <v>39</v>
      </c>
      <c r="G1206" s="342">
        <v>40</v>
      </c>
      <c r="H1206" s="342">
        <f t="shared" si="426"/>
        <v>0</v>
      </c>
      <c r="I1206" s="342">
        <v>0</v>
      </c>
      <c r="J1206" s="342">
        <v>0</v>
      </c>
      <c r="K1206" s="342">
        <f t="shared" si="427"/>
        <v>33</v>
      </c>
      <c r="L1206" s="342">
        <v>10</v>
      </c>
      <c r="M1206" s="342">
        <v>23</v>
      </c>
      <c r="N1206" s="203" t="s">
        <v>145</v>
      </c>
      <c r="O1206" s="340" t="s">
        <v>129</v>
      </c>
    </row>
    <row r="1207" spans="2:15" ht="18.75" customHeight="1" thickBot="1" x14ac:dyDescent="0.25">
      <c r="B1207" s="342">
        <f t="shared" si="424"/>
        <v>123</v>
      </c>
      <c r="C1207" s="342">
        <f t="shared" ref="C1207" si="434">SUM(C1205:C1206)</f>
        <v>58</v>
      </c>
      <c r="D1207" s="342">
        <f>SUM(D1205:D1206)</f>
        <v>65</v>
      </c>
      <c r="E1207" s="342">
        <f t="shared" si="425"/>
        <v>88</v>
      </c>
      <c r="F1207" s="342">
        <f t="shared" ref="F1207:G1207" si="435">SUM(F1205:F1206)</f>
        <v>48</v>
      </c>
      <c r="G1207" s="342">
        <f t="shared" si="435"/>
        <v>40</v>
      </c>
      <c r="H1207" s="342">
        <f t="shared" si="426"/>
        <v>0</v>
      </c>
      <c r="I1207" s="342">
        <f t="shared" ref="I1207:J1207" si="436">SUM(I1205:I1206)</f>
        <v>0</v>
      </c>
      <c r="J1207" s="342">
        <f t="shared" si="436"/>
        <v>0</v>
      </c>
      <c r="K1207" s="342">
        <f t="shared" si="427"/>
        <v>35</v>
      </c>
      <c r="L1207" s="342">
        <f t="shared" ref="L1207" si="437">SUM(L1205:L1206)</f>
        <v>10</v>
      </c>
      <c r="M1207" s="342">
        <f>SUM(M1205:M1206)</f>
        <v>25</v>
      </c>
      <c r="N1207" s="203" t="s">
        <v>12</v>
      </c>
      <c r="O1207" s="341"/>
    </row>
    <row r="1208" spans="2:15" ht="18.75" customHeight="1" thickBot="1" x14ac:dyDescent="0.25">
      <c r="B1208" s="342">
        <f t="shared" si="424"/>
        <v>8</v>
      </c>
      <c r="C1208" s="342">
        <f>L1208+I1208+F1208</f>
        <v>8</v>
      </c>
      <c r="D1208" s="342">
        <f>M1208+J1208+G1208</f>
        <v>0</v>
      </c>
      <c r="E1208" s="342">
        <f t="shared" si="425"/>
        <v>1</v>
      </c>
      <c r="F1208" s="342">
        <v>1</v>
      </c>
      <c r="G1208" s="342">
        <v>0</v>
      </c>
      <c r="H1208" s="342">
        <f t="shared" si="426"/>
        <v>3</v>
      </c>
      <c r="I1208" s="342">
        <v>3</v>
      </c>
      <c r="J1208" s="342">
        <v>0</v>
      </c>
      <c r="K1208" s="342">
        <f t="shared" si="427"/>
        <v>4</v>
      </c>
      <c r="L1208" s="342">
        <v>4</v>
      </c>
      <c r="M1208" s="342">
        <v>0</v>
      </c>
      <c r="N1208" s="203" t="s">
        <v>146</v>
      </c>
      <c r="O1208" s="584" t="s">
        <v>130</v>
      </c>
    </row>
    <row r="1209" spans="2:15" ht="18.75" customHeight="1" thickBot="1" x14ac:dyDescent="0.25">
      <c r="B1209" s="342">
        <f t="shared" si="424"/>
        <v>71</v>
      </c>
      <c r="C1209" s="342">
        <f>L1209+I1209+F1209</f>
        <v>59</v>
      </c>
      <c r="D1209" s="342">
        <f>M1209+J1209+G1209</f>
        <v>12</v>
      </c>
      <c r="E1209" s="342">
        <f t="shared" si="425"/>
        <v>11</v>
      </c>
      <c r="F1209" s="342">
        <v>11</v>
      </c>
      <c r="G1209" s="342">
        <v>0</v>
      </c>
      <c r="H1209" s="342">
        <f t="shared" si="426"/>
        <v>23</v>
      </c>
      <c r="I1209" s="342">
        <v>22</v>
      </c>
      <c r="J1209" s="342">
        <v>1</v>
      </c>
      <c r="K1209" s="342">
        <f t="shared" si="427"/>
        <v>37</v>
      </c>
      <c r="L1209" s="342">
        <v>26</v>
      </c>
      <c r="M1209" s="342">
        <v>11</v>
      </c>
      <c r="N1209" s="203" t="s">
        <v>145</v>
      </c>
      <c r="O1209" s="585"/>
    </row>
    <row r="1210" spans="2:15" ht="18.75" customHeight="1" thickBot="1" x14ac:dyDescent="0.25">
      <c r="B1210" s="342">
        <f t="shared" si="424"/>
        <v>79</v>
      </c>
      <c r="C1210" s="342">
        <f t="shared" ref="C1210" si="438">SUM(C1208:C1209)</f>
        <v>67</v>
      </c>
      <c r="D1210" s="342">
        <f t="shared" ref="D1210" si="439">SUM(D1208:D1209)</f>
        <v>12</v>
      </c>
      <c r="E1210" s="342">
        <f t="shared" si="425"/>
        <v>12</v>
      </c>
      <c r="F1210" s="342">
        <f t="shared" ref="F1210:G1210" si="440">SUM(F1208:F1209)</f>
        <v>12</v>
      </c>
      <c r="G1210" s="342">
        <f t="shared" si="440"/>
        <v>0</v>
      </c>
      <c r="H1210" s="342">
        <f t="shared" si="426"/>
        <v>26</v>
      </c>
      <c r="I1210" s="342">
        <f t="shared" ref="I1210:J1210" si="441">SUM(I1208:I1209)</f>
        <v>25</v>
      </c>
      <c r="J1210" s="342">
        <f t="shared" si="441"/>
        <v>1</v>
      </c>
      <c r="K1210" s="342">
        <f t="shared" si="427"/>
        <v>41</v>
      </c>
      <c r="L1210" s="342">
        <f t="shared" ref="L1210" si="442">SUM(L1208:L1209)</f>
        <v>30</v>
      </c>
      <c r="M1210" s="342">
        <f>SUM(M1208:M1209)</f>
        <v>11</v>
      </c>
      <c r="N1210" s="203" t="s">
        <v>12</v>
      </c>
      <c r="O1210" s="586"/>
    </row>
    <row r="1211" spans="2:15" ht="18.75" customHeight="1" thickBot="1" x14ac:dyDescent="0.25">
      <c r="B1211" s="342">
        <f t="shared" si="424"/>
        <v>6</v>
      </c>
      <c r="C1211" s="342">
        <f>L1211+I1211+F1211</f>
        <v>4</v>
      </c>
      <c r="D1211" s="342">
        <f>M1211+J1211+G1211</f>
        <v>2</v>
      </c>
      <c r="E1211" s="342">
        <f t="shared" si="425"/>
        <v>0</v>
      </c>
      <c r="F1211" s="342">
        <v>0</v>
      </c>
      <c r="G1211" s="342">
        <v>0</v>
      </c>
      <c r="H1211" s="342">
        <f t="shared" si="426"/>
        <v>4</v>
      </c>
      <c r="I1211" s="342">
        <v>4</v>
      </c>
      <c r="J1211" s="342">
        <v>0</v>
      </c>
      <c r="K1211" s="342">
        <f t="shared" si="427"/>
        <v>2</v>
      </c>
      <c r="L1211" s="342">
        <v>0</v>
      </c>
      <c r="M1211" s="342">
        <v>2</v>
      </c>
      <c r="N1211" s="203" t="s">
        <v>146</v>
      </c>
      <c r="O1211" s="340"/>
    </row>
    <row r="1212" spans="2:15" ht="18.75" customHeight="1" thickBot="1" x14ac:dyDescent="0.25">
      <c r="B1212" s="342">
        <f t="shared" si="424"/>
        <v>75</v>
      </c>
      <c r="C1212" s="342">
        <f>L1212+I1212+F1212</f>
        <v>39</v>
      </c>
      <c r="D1212" s="342">
        <f>M1212+J1212+G1212</f>
        <v>36</v>
      </c>
      <c r="E1212" s="342">
        <f t="shared" si="425"/>
        <v>42</v>
      </c>
      <c r="F1212" s="342">
        <v>22</v>
      </c>
      <c r="G1212" s="342">
        <v>20</v>
      </c>
      <c r="H1212" s="342">
        <f t="shared" si="426"/>
        <v>25</v>
      </c>
      <c r="I1212" s="342">
        <v>15</v>
      </c>
      <c r="J1212" s="342">
        <v>10</v>
      </c>
      <c r="K1212" s="342">
        <f t="shared" si="427"/>
        <v>8</v>
      </c>
      <c r="L1212" s="342">
        <v>2</v>
      </c>
      <c r="M1212" s="342">
        <v>6</v>
      </c>
      <c r="N1212" s="203" t="s">
        <v>145</v>
      </c>
      <c r="O1212" s="340" t="s">
        <v>131</v>
      </c>
    </row>
    <row r="1213" spans="2:15" ht="18.75" customHeight="1" thickBot="1" x14ac:dyDescent="0.25">
      <c r="B1213" s="342">
        <f t="shared" si="424"/>
        <v>81</v>
      </c>
      <c r="C1213" s="342">
        <f t="shared" ref="C1213" si="443">SUM(C1211:C1212)</f>
        <v>43</v>
      </c>
      <c r="D1213" s="342">
        <f t="shared" ref="D1213" si="444">SUM(D1211:D1212)</f>
        <v>38</v>
      </c>
      <c r="E1213" s="342">
        <f t="shared" si="425"/>
        <v>42</v>
      </c>
      <c r="F1213" s="342">
        <f t="shared" ref="F1213:G1213" si="445">SUM(F1211:F1212)</f>
        <v>22</v>
      </c>
      <c r="G1213" s="342">
        <f t="shared" si="445"/>
        <v>20</v>
      </c>
      <c r="H1213" s="342">
        <f t="shared" si="426"/>
        <v>29</v>
      </c>
      <c r="I1213" s="342">
        <f t="shared" ref="I1213:J1213" si="446">SUM(I1211:I1212)</f>
        <v>19</v>
      </c>
      <c r="J1213" s="342">
        <f t="shared" si="446"/>
        <v>10</v>
      </c>
      <c r="K1213" s="342">
        <f t="shared" si="427"/>
        <v>10</v>
      </c>
      <c r="L1213" s="342">
        <f t="shared" ref="L1213" si="447">SUM(L1211:L1212)</f>
        <v>2</v>
      </c>
      <c r="M1213" s="342">
        <f>SUM(M1211:M1212)</f>
        <v>8</v>
      </c>
      <c r="N1213" s="203" t="s">
        <v>12</v>
      </c>
      <c r="O1213" s="341"/>
    </row>
    <row r="1214" spans="2:15" ht="18.75" customHeight="1" thickBot="1" x14ac:dyDescent="0.25">
      <c r="B1214" s="342">
        <f t="shared" si="424"/>
        <v>4</v>
      </c>
      <c r="C1214" s="342">
        <f>L1214+I1214+F1214</f>
        <v>1</v>
      </c>
      <c r="D1214" s="342">
        <f>M1214+J1214+G1214</f>
        <v>3</v>
      </c>
      <c r="E1214" s="342">
        <f t="shared" si="425"/>
        <v>0</v>
      </c>
      <c r="F1214" s="342">
        <v>0</v>
      </c>
      <c r="G1214" s="342">
        <v>0</v>
      </c>
      <c r="H1214" s="342">
        <f t="shared" si="426"/>
        <v>0</v>
      </c>
      <c r="I1214" s="342">
        <v>0</v>
      </c>
      <c r="J1214" s="342">
        <v>0</v>
      </c>
      <c r="K1214" s="342">
        <f t="shared" si="427"/>
        <v>4</v>
      </c>
      <c r="L1214" s="342">
        <v>1</v>
      </c>
      <c r="M1214" s="342">
        <v>3</v>
      </c>
      <c r="N1214" s="203" t="s">
        <v>146</v>
      </c>
      <c r="O1214" s="584" t="s">
        <v>132</v>
      </c>
    </row>
    <row r="1215" spans="2:15" ht="18.75" customHeight="1" thickBot="1" x14ac:dyDescent="0.25">
      <c r="B1215" s="342">
        <f t="shared" si="424"/>
        <v>59</v>
      </c>
      <c r="C1215" s="342">
        <f>L1215+I1215+F1215</f>
        <v>1</v>
      </c>
      <c r="D1215" s="342">
        <f>M1215+J1215+G1215</f>
        <v>58</v>
      </c>
      <c r="E1215" s="342">
        <f t="shared" si="425"/>
        <v>0</v>
      </c>
      <c r="F1215" s="342">
        <v>0</v>
      </c>
      <c r="G1215" s="342">
        <v>0</v>
      </c>
      <c r="H1215" s="342">
        <f t="shared" si="426"/>
        <v>17</v>
      </c>
      <c r="I1215" s="342">
        <v>1</v>
      </c>
      <c r="J1215" s="342">
        <v>16</v>
      </c>
      <c r="K1215" s="342">
        <f t="shared" si="427"/>
        <v>42</v>
      </c>
      <c r="L1215" s="342">
        <v>0</v>
      </c>
      <c r="M1215" s="342">
        <v>42</v>
      </c>
      <c r="N1215" s="203" t="s">
        <v>145</v>
      </c>
      <c r="O1215" s="585"/>
    </row>
    <row r="1216" spans="2:15" ht="18.75" customHeight="1" thickBot="1" x14ac:dyDescent="0.25">
      <c r="B1216" s="342">
        <f t="shared" si="424"/>
        <v>63</v>
      </c>
      <c r="C1216" s="342">
        <f t="shared" ref="C1216" si="448">SUM(C1214:C1215)</f>
        <v>2</v>
      </c>
      <c r="D1216" s="342">
        <f t="shared" ref="D1216" si="449">SUM(D1214:D1215)</f>
        <v>61</v>
      </c>
      <c r="E1216" s="342">
        <f t="shared" si="425"/>
        <v>0</v>
      </c>
      <c r="F1216" s="342">
        <f t="shared" ref="F1216:G1216" si="450">SUM(F1214:F1215)</f>
        <v>0</v>
      </c>
      <c r="G1216" s="342">
        <f t="shared" si="450"/>
        <v>0</v>
      </c>
      <c r="H1216" s="342">
        <f t="shared" si="426"/>
        <v>17</v>
      </c>
      <c r="I1216" s="342">
        <f t="shared" ref="I1216:J1216" si="451">SUM(I1214:I1215)</f>
        <v>1</v>
      </c>
      <c r="J1216" s="342">
        <f t="shared" si="451"/>
        <v>16</v>
      </c>
      <c r="K1216" s="342">
        <f t="shared" si="427"/>
        <v>46</v>
      </c>
      <c r="L1216" s="342">
        <f t="shared" ref="L1216" si="452">SUM(L1214:L1215)</f>
        <v>1</v>
      </c>
      <c r="M1216" s="342">
        <f>SUM(M1214:M1215)</f>
        <v>45</v>
      </c>
      <c r="N1216" s="203" t="s">
        <v>12</v>
      </c>
      <c r="O1216" s="586"/>
    </row>
    <row r="1217" spans="2:15" ht="18.75" customHeight="1" thickBot="1" x14ac:dyDescent="0.25">
      <c r="B1217" s="342">
        <f t="shared" si="424"/>
        <v>55</v>
      </c>
      <c r="C1217" s="342">
        <f>L1217+I1217+F1217</f>
        <v>46</v>
      </c>
      <c r="D1217" s="342">
        <f>M1217+J1217+G1217</f>
        <v>9</v>
      </c>
      <c r="E1217" s="342">
        <f t="shared" si="425"/>
        <v>17</v>
      </c>
      <c r="F1217" s="342">
        <v>16</v>
      </c>
      <c r="G1217" s="342">
        <v>1</v>
      </c>
      <c r="H1217" s="342">
        <f t="shared" si="426"/>
        <v>22</v>
      </c>
      <c r="I1217" s="342">
        <v>20</v>
      </c>
      <c r="J1217" s="342">
        <v>2</v>
      </c>
      <c r="K1217" s="342">
        <f t="shared" si="427"/>
        <v>16</v>
      </c>
      <c r="L1217" s="342">
        <v>10</v>
      </c>
      <c r="M1217" s="342">
        <v>6</v>
      </c>
      <c r="N1217" s="203" t="s">
        <v>146</v>
      </c>
      <c r="O1217" s="340"/>
    </row>
    <row r="1218" spans="2:15" ht="18.75" customHeight="1" thickBot="1" x14ac:dyDescent="0.25">
      <c r="B1218" s="342">
        <f t="shared" si="424"/>
        <v>85</v>
      </c>
      <c r="C1218" s="342">
        <f>L1218+I1218+F1218</f>
        <v>78</v>
      </c>
      <c r="D1218" s="342">
        <f>M1218+J1218+G1218</f>
        <v>7</v>
      </c>
      <c r="E1218" s="342">
        <f t="shared" si="425"/>
        <v>30</v>
      </c>
      <c r="F1218" s="342">
        <v>26</v>
      </c>
      <c r="G1218" s="342">
        <v>4</v>
      </c>
      <c r="H1218" s="342">
        <f t="shared" si="426"/>
        <v>35</v>
      </c>
      <c r="I1218" s="342">
        <v>32</v>
      </c>
      <c r="J1218" s="342">
        <v>3</v>
      </c>
      <c r="K1218" s="342">
        <f t="shared" si="427"/>
        <v>20</v>
      </c>
      <c r="L1218" s="342">
        <v>20</v>
      </c>
      <c r="M1218" s="342">
        <v>0</v>
      </c>
      <c r="N1218" s="203" t="s">
        <v>145</v>
      </c>
      <c r="O1218" s="340" t="s">
        <v>133</v>
      </c>
    </row>
    <row r="1219" spans="2:15" ht="18.75" customHeight="1" thickBot="1" x14ac:dyDescent="0.25">
      <c r="B1219" s="342">
        <f t="shared" si="424"/>
        <v>140</v>
      </c>
      <c r="C1219" s="342">
        <f t="shared" ref="C1219" si="453">SUM(C1217:C1218)</f>
        <v>124</v>
      </c>
      <c r="D1219" s="342">
        <f t="shared" ref="D1219" si="454">SUM(D1217:D1218)</f>
        <v>16</v>
      </c>
      <c r="E1219" s="342">
        <f t="shared" si="425"/>
        <v>47</v>
      </c>
      <c r="F1219" s="342">
        <f t="shared" ref="F1219:G1219" si="455">SUM(F1217:F1218)</f>
        <v>42</v>
      </c>
      <c r="G1219" s="342">
        <f t="shared" si="455"/>
        <v>5</v>
      </c>
      <c r="H1219" s="342">
        <f t="shared" si="426"/>
        <v>57</v>
      </c>
      <c r="I1219" s="342">
        <f t="shared" ref="I1219:J1219" si="456">SUM(I1217:I1218)</f>
        <v>52</v>
      </c>
      <c r="J1219" s="342">
        <f t="shared" si="456"/>
        <v>5</v>
      </c>
      <c r="K1219" s="342">
        <f t="shared" si="427"/>
        <v>36</v>
      </c>
      <c r="L1219" s="342">
        <f t="shared" ref="L1219" si="457">SUM(L1217:L1218)</f>
        <v>30</v>
      </c>
      <c r="M1219" s="342">
        <f>SUM(M1217:M1218)</f>
        <v>6</v>
      </c>
      <c r="N1219" s="203" t="s">
        <v>12</v>
      </c>
      <c r="O1219" s="341"/>
    </row>
    <row r="1220" spans="2:15" ht="18.75" customHeight="1" thickBot="1" x14ac:dyDescent="0.25">
      <c r="B1220" s="342">
        <f t="shared" si="424"/>
        <v>7</v>
      </c>
      <c r="C1220" s="342">
        <f>L1220+I1220+F1220</f>
        <v>2</v>
      </c>
      <c r="D1220" s="342">
        <f>M1220+J1220+G1220</f>
        <v>5</v>
      </c>
      <c r="E1220" s="342">
        <f t="shared" si="425"/>
        <v>5</v>
      </c>
      <c r="F1220" s="342">
        <v>1</v>
      </c>
      <c r="G1220" s="342">
        <v>4</v>
      </c>
      <c r="H1220" s="342">
        <f t="shared" si="426"/>
        <v>1</v>
      </c>
      <c r="I1220" s="342">
        <v>1</v>
      </c>
      <c r="J1220" s="342">
        <v>0</v>
      </c>
      <c r="K1220" s="342">
        <f t="shared" si="427"/>
        <v>1</v>
      </c>
      <c r="L1220" s="342">
        <v>0</v>
      </c>
      <c r="M1220" s="342">
        <v>1</v>
      </c>
      <c r="N1220" s="203" t="s">
        <v>146</v>
      </c>
      <c r="O1220" s="340"/>
    </row>
    <row r="1221" spans="2:15" ht="18.75" customHeight="1" thickBot="1" x14ac:dyDescent="0.25">
      <c r="B1221" s="342">
        <f t="shared" si="424"/>
        <v>15</v>
      </c>
      <c r="C1221" s="342">
        <f>L1221+I1221+F1221</f>
        <v>0</v>
      </c>
      <c r="D1221" s="342">
        <f>M1221+J1221+G1221</f>
        <v>15</v>
      </c>
      <c r="E1221" s="342">
        <f t="shared" si="425"/>
        <v>2</v>
      </c>
      <c r="F1221" s="342">
        <v>0</v>
      </c>
      <c r="G1221" s="342">
        <v>2</v>
      </c>
      <c r="H1221" s="342">
        <f t="shared" si="426"/>
        <v>2</v>
      </c>
      <c r="I1221" s="342">
        <v>0</v>
      </c>
      <c r="J1221" s="342">
        <v>2</v>
      </c>
      <c r="K1221" s="342">
        <f t="shared" si="427"/>
        <v>11</v>
      </c>
      <c r="L1221" s="342">
        <v>0</v>
      </c>
      <c r="M1221" s="342">
        <v>11</v>
      </c>
      <c r="N1221" s="203" t="s">
        <v>145</v>
      </c>
      <c r="O1221" s="340" t="s">
        <v>134</v>
      </c>
    </row>
    <row r="1222" spans="2:15" ht="18.75" customHeight="1" thickBot="1" x14ac:dyDescent="0.25">
      <c r="B1222" s="342">
        <f t="shared" si="424"/>
        <v>22</v>
      </c>
      <c r="C1222" s="342">
        <f t="shared" ref="C1222" si="458">SUM(C1220:C1221)</f>
        <v>2</v>
      </c>
      <c r="D1222" s="342">
        <f t="shared" ref="D1222" si="459">SUM(D1220:D1221)</f>
        <v>20</v>
      </c>
      <c r="E1222" s="342">
        <f t="shared" si="425"/>
        <v>7</v>
      </c>
      <c r="F1222" s="342">
        <f t="shared" ref="F1222:G1222" si="460">SUM(F1220:F1221)</f>
        <v>1</v>
      </c>
      <c r="G1222" s="342">
        <f t="shared" si="460"/>
        <v>6</v>
      </c>
      <c r="H1222" s="342">
        <f t="shared" si="426"/>
        <v>3</v>
      </c>
      <c r="I1222" s="342">
        <f t="shared" ref="I1222:J1222" si="461">SUM(I1220:I1221)</f>
        <v>1</v>
      </c>
      <c r="J1222" s="342">
        <f t="shared" si="461"/>
        <v>2</v>
      </c>
      <c r="K1222" s="342">
        <f t="shared" si="427"/>
        <v>12</v>
      </c>
      <c r="L1222" s="342">
        <f t="shared" ref="L1222" si="462">SUM(L1220:L1221)</f>
        <v>0</v>
      </c>
      <c r="M1222" s="342">
        <f>SUM(M1220:M1221)</f>
        <v>12</v>
      </c>
      <c r="N1222" s="203" t="s">
        <v>12</v>
      </c>
      <c r="O1222" s="341"/>
    </row>
    <row r="1223" spans="2:15" ht="18.75" customHeight="1" thickBot="1" x14ac:dyDescent="0.25">
      <c r="B1223" s="342">
        <f t="shared" si="424"/>
        <v>1</v>
      </c>
      <c r="C1223" s="342">
        <f>L1223+I1223+F1223</f>
        <v>0</v>
      </c>
      <c r="D1223" s="342">
        <f>M1223+J1223+G1223</f>
        <v>1</v>
      </c>
      <c r="E1223" s="342">
        <f t="shared" si="425"/>
        <v>0</v>
      </c>
      <c r="F1223" s="342">
        <v>0</v>
      </c>
      <c r="G1223" s="342">
        <v>0</v>
      </c>
      <c r="H1223" s="342">
        <f t="shared" si="426"/>
        <v>0</v>
      </c>
      <c r="I1223" s="342">
        <v>0</v>
      </c>
      <c r="J1223" s="342">
        <v>0</v>
      </c>
      <c r="K1223" s="342">
        <f t="shared" si="427"/>
        <v>1</v>
      </c>
      <c r="L1223" s="342">
        <v>0</v>
      </c>
      <c r="M1223" s="342">
        <v>1</v>
      </c>
      <c r="N1223" s="203" t="s">
        <v>146</v>
      </c>
      <c r="O1223" s="340"/>
    </row>
    <row r="1224" spans="2:15" ht="18.75" customHeight="1" thickBot="1" x14ac:dyDescent="0.25">
      <c r="B1224" s="342">
        <f t="shared" si="424"/>
        <v>15</v>
      </c>
      <c r="C1224" s="342">
        <f>L1224+I1224+F1224</f>
        <v>1</v>
      </c>
      <c r="D1224" s="342">
        <f>M1224+J1224+G1224</f>
        <v>14</v>
      </c>
      <c r="E1224" s="342">
        <f t="shared" si="425"/>
        <v>3</v>
      </c>
      <c r="F1224" s="342">
        <v>0</v>
      </c>
      <c r="G1224" s="342">
        <v>3</v>
      </c>
      <c r="H1224" s="342">
        <f t="shared" si="426"/>
        <v>7</v>
      </c>
      <c r="I1224" s="342">
        <v>1</v>
      </c>
      <c r="J1224" s="342">
        <v>6</v>
      </c>
      <c r="K1224" s="342">
        <f t="shared" si="427"/>
        <v>5</v>
      </c>
      <c r="L1224" s="342">
        <v>0</v>
      </c>
      <c r="M1224" s="342">
        <v>5</v>
      </c>
      <c r="N1224" s="203" t="s">
        <v>145</v>
      </c>
      <c r="O1224" s="340" t="s">
        <v>135</v>
      </c>
    </row>
    <row r="1225" spans="2:15" ht="18.75" customHeight="1" thickBot="1" x14ac:dyDescent="0.25">
      <c r="B1225" s="342">
        <f t="shared" si="424"/>
        <v>16</v>
      </c>
      <c r="C1225" s="342">
        <f t="shared" ref="C1225" si="463">SUM(C1223:C1224)</f>
        <v>1</v>
      </c>
      <c r="D1225" s="342">
        <f t="shared" ref="D1225" si="464">SUM(D1223:D1224)</f>
        <v>15</v>
      </c>
      <c r="E1225" s="342">
        <f t="shared" si="425"/>
        <v>3</v>
      </c>
      <c r="F1225" s="342">
        <f t="shared" ref="F1225:G1225" si="465">SUM(F1223:F1224)</f>
        <v>0</v>
      </c>
      <c r="G1225" s="342">
        <f t="shared" si="465"/>
        <v>3</v>
      </c>
      <c r="H1225" s="342">
        <f t="shared" si="426"/>
        <v>7</v>
      </c>
      <c r="I1225" s="342">
        <f t="shared" ref="I1225:J1225" si="466">SUM(I1223:I1224)</f>
        <v>1</v>
      </c>
      <c r="J1225" s="342">
        <f t="shared" si="466"/>
        <v>6</v>
      </c>
      <c r="K1225" s="342">
        <f t="shared" si="427"/>
        <v>6</v>
      </c>
      <c r="L1225" s="342">
        <f t="shared" ref="L1225" si="467">SUM(L1223:L1224)</f>
        <v>0</v>
      </c>
      <c r="M1225" s="342">
        <f>SUM(M1223:M1224)</f>
        <v>6</v>
      </c>
      <c r="N1225" s="203" t="s">
        <v>12</v>
      </c>
      <c r="O1225" s="341"/>
    </row>
    <row r="1226" spans="2:15" ht="18.75" customHeight="1" thickBot="1" x14ac:dyDescent="0.25">
      <c r="B1226" s="342">
        <f t="shared" si="424"/>
        <v>12</v>
      </c>
      <c r="C1226" s="342">
        <f>L1226+I1226+F1226</f>
        <v>0</v>
      </c>
      <c r="D1226" s="342">
        <f>M1226+J1226+G1226</f>
        <v>12</v>
      </c>
      <c r="E1226" s="342">
        <f t="shared" si="425"/>
        <v>0</v>
      </c>
      <c r="F1226" s="342">
        <v>0</v>
      </c>
      <c r="G1226" s="342">
        <v>0</v>
      </c>
      <c r="H1226" s="342">
        <f t="shared" si="426"/>
        <v>1</v>
      </c>
      <c r="I1226" s="342">
        <v>0</v>
      </c>
      <c r="J1226" s="342">
        <v>1</v>
      </c>
      <c r="K1226" s="342">
        <f t="shared" si="427"/>
        <v>11</v>
      </c>
      <c r="L1226" s="342">
        <v>0</v>
      </c>
      <c r="M1226" s="342">
        <v>11</v>
      </c>
      <c r="N1226" s="203" t="s">
        <v>146</v>
      </c>
      <c r="O1226" s="340"/>
    </row>
    <row r="1227" spans="2:15" ht="18.75" customHeight="1" thickBot="1" x14ac:dyDescent="0.25">
      <c r="B1227" s="342">
        <f t="shared" si="424"/>
        <v>31</v>
      </c>
      <c r="C1227" s="342">
        <f>L1227+I1227+F1227</f>
        <v>0</v>
      </c>
      <c r="D1227" s="342">
        <f>M1227+J1227+G1227</f>
        <v>31</v>
      </c>
      <c r="E1227" s="342">
        <f t="shared" si="425"/>
        <v>0</v>
      </c>
      <c r="F1227" s="342">
        <v>0</v>
      </c>
      <c r="G1227" s="342">
        <v>0</v>
      </c>
      <c r="H1227" s="342">
        <f t="shared" si="426"/>
        <v>12</v>
      </c>
      <c r="I1227" s="342">
        <v>0</v>
      </c>
      <c r="J1227" s="342">
        <v>12</v>
      </c>
      <c r="K1227" s="342">
        <f t="shared" si="427"/>
        <v>19</v>
      </c>
      <c r="L1227" s="342">
        <v>0</v>
      </c>
      <c r="M1227" s="342">
        <v>19</v>
      </c>
      <c r="N1227" s="203" t="s">
        <v>145</v>
      </c>
      <c r="O1227" s="340" t="s">
        <v>136</v>
      </c>
    </row>
    <row r="1228" spans="2:15" ht="18.75" customHeight="1" thickBot="1" x14ac:dyDescent="0.25">
      <c r="B1228" s="342">
        <f t="shared" si="424"/>
        <v>43</v>
      </c>
      <c r="C1228" s="342">
        <f t="shared" ref="C1228" si="468">SUM(C1226:C1227)</f>
        <v>0</v>
      </c>
      <c r="D1228" s="342">
        <f t="shared" ref="D1228" si="469">SUM(D1226:D1227)</f>
        <v>43</v>
      </c>
      <c r="E1228" s="342">
        <f t="shared" si="425"/>
        <v>0</v>
      </c>
      <c r="F1228" s="342">
        <f t="shared" ref="F1228:G1228" si="470">SUM(F1226:F1227)</f>
        <v>0</v>
      </c>
      <c r="G1228" s="342">
        <f t="shared" si="470"/>
        <v>0</v>
      </c>
      <c r="H1228" s="342">
        <f t="shared" si="426"/>
        <v>13</v>
      </c>
      <c r="I1228" s="342">
        <f t="shared" ref="I1228:J1228" si="471">SUM(I1226:I1227)</f>
        <v>0</v>
      </c>
      <c r="J1228" s="342">
        <f t="shared" si="471"/>
        <v>13</v>
      </c>
      <c r="K1228" s="342">
        <f t="shared" si="427"/>
        <v>30</v>
      </c>
      <c r="L1228" s="342">
        <f t="shared" ref="L1228" si="472">SUM(L1226:L1227)</f>
        <v>0</v>
      </c>
      <c r="M1228" s="342">
        <f>SUM(M1226:M1227)</f>
        <v>30</v>
      </c>
      <c r="N1228" s="203" t="s">
        <v>12</v>
      </c>
      <c r="O1228" s="341"/>
    </row>
    <row r="1229" spans="2:15" ht="18.75" customHeight="1" thickBot="1" x14ac:dyDescent="0.25">
      <c r="B1229" s="342">
        <f t="shared" si="424"/>
        <v>5</v>
      </c>
      <c r="C1229" s="342">
        <f>L1229+I1229+F1229</f>
        <v>5</v>
      </c>
      <c r="D1229" s="342">
        <f>M1229+J1229+G1229</f>
        <v>0</v>
      </c>
      <c r="E1229" s="342">
        <f t="shared" si="425"/>
        <v>5</v>
      </c>
      <c r="F1229" s="342">
        <v>5</v>
      </c>
      <c r="G1229" s="342">
        <v>0</v>
      </c>
      <c r="H1229" s="342">
        <f t="shared" si="426"/>
        <v>0</v>
      </c>
      <c r="I1229" s="342">
        <v>0</v>
      </c>
      <c r="J1229" s="342">
        <v>0</v>
      </c>
      <c r="K1229" s="342">
        <f t="shared" si="427"/>
        <v>0</v>
      </c>
      <c r="L1229" s="342">
        <v>0</v>
      </c>
      <c r="M1229" s="342">
        <v>0</v>
      </c>
      <c r="N1229" s="203" t="s">
        <v>146</v>
      </c>
      <c r="O1229" s="340"/>
    </row>
    <row r="1230" spans="2:15" ht="18.75" customHeight="1" thickBot="1" x14ac:dyDescent="0.25">
      <c r="B1230" s="342">
        <f t="shared" si="424"/>
        <v>27</v>
      </c>
      <c r="C1230" s="342">
        <f>L1230+I1230+F1230</f>
        <v>13</v>
      </c>
      <c r="D1230" s="342">
        <f>M1230+J1230+G1230</f>
        <v>14</v>
      </c>
      <c r="E1230" s="342">
        <f t="shared" si="425"/>
        <v>12</v>
      </c>
      <c r="F1230" s="342">
        <v>6</v>
      </c>
      <c r="G1230" s="342">
        <v>6</v>
      </c>
      <c r="H1230" s="342">
        <f t="shared" si="426"/>
        <v>10</v>
      </c>
      <c r="I1230" s="342">
        <v>4</v>
      </c>
      <c r="J1230" s="342">
        <v>6</v>
      </c>
      <c r="K1230" s="342">
        <f t="shared" si="427"/>
        <v>5</v>
      </c>
      <c r="L1230" s="342">
        <v>3</v>
      </c>
      <c r="M1230" s="342">
        <v>2</v>
      </c>
      <c r="N1230" s="203" t="s">
        <v>145</v>
      </c>
      <c r="O1230" s="340" t="s">
        <v>137</v>
      </c>
    </row>
    <row r="1231" spans="2:15" ht="18.75" customHeight="1" thickBot="1" x14ac:dyDescent="0.25">
      <c r="B1231" s="342">
        <f t="shared" si="424"/>
        <v>32</v>
      </c>
      <c r="C1231" s="342">
        <f t="shared" ref="C1231" si="473">SUM(C1229:C1230)</f>
        <v>18</v>
      </c>
      <c r="D1231" s="342">
        <f t="shared" ref="D1231" si="474">SUM(D1229:D1230)</f>
        <v>14</v>
      </c>
      <c r="E1231" s="342">
        <f t="shared" si="425"/>
        <v>17</v>
      </c>
      <c r="F1231" s="342">
        <f t="shared" ref="F1231:G1231" si="475">SUM(F1229:F1230)</f>
        <v>11</v>
      </c>
      <c r="G1231" s="342">
        <f t="shared" si="475"/>
        <v>6</v>
      </c>
      <c r="H1231" s="342">
        <f t="shared" si="426"/>
        <v>10</v>
      </c>
      <c r="I1231" s="342">
        <f t="shared" ref="I1231:J1231" si="476">SUM(I1229:I1230)</f>
        <v>4</v>
      </c>
      <c r="J1231" s="342">
        <f t="shared" si="476"/>
        <v>6</v>
      </c>
      <c r="K1231" s="342">
        <f t="shared" si="427"/>
        <v>5</v>
      </c>
      <c r="L1231" s="342">
        <f t="shared" ref="L1231" si="477">SUM(L1229:L1230)</f>
        <v>3</v>
      </c>
      <c r="M1231" s="342">
        <f>SUM(M1229:M1230)</f>
        <v>2</v>
      </c>
      <c r="N1231" s="203" t="s">
        <v>12</v>
      </c>
      <c r="O1231" s="341"/>
    </row>
    <row r="1232" spans="2:15" ht="18.75" customHeight="1" thickBot="1" x14ac:dyDescent="0.25">
      <c r="B1232" s="342">
        <f t="shared" si="424"/>
        <v>34</v>
      </c>
      <c r="C1232" s="342">
        <f>L1232+I1232+F1232</f>
        <v>12</v>
      </c>
      <c r="D1232" s="342">
        <f>M1232+J1232+G1232</f>
        <v>22</v>
      </c>
      <c r="E1232" s="342">
        <f t="shared" si="425"/>
        <v>4</v>
      </c>
      <c r="F1232" s="342">
        <v>1</v>
      </c>
      <c r="G1232" s="342">
        <v>3</v>
      </c>
      <c r="H1232" s="342">
        <f t="shared" si="426"/>
        <v>10</v>
      </c>
      <c r="I1232" s="342">
        <v>6</v>
      </c>
      <c r="J1232" s="342">
        <v>4</v>
      </c>
      <c r="K1232" s="342">
        <f t="shared" si="427"/>
        <v>20</v>
      </c>
      <c r="L1232" s="342">
        <v>5</v>
      </c>
      <c r="M1232" s="342">
        <v>15</v>
      </c>
      <c r="N1232" s="203" t="s">
        <v>146</v>
      </c>
      <c r="O1232" s="340"/>
    </row>
    <row r="1233" spans="2:15" ht="18.75" customHeight="1" thickBot="1" x14ac:dyDescent="0.25">
      <c r="B1233" s="342">
        <f t="shared" si="424"/>
        <v>55</v>
      </c>
      <c r="C1233" s="342">
        <f>L1233+I1233+F1233</f>
        <v>17</v>
      </c>
      <c r="D1233" s="342">
        <f>M1233+J1233+G1233</f>
        <v>38</v>
      </c>
      <c r="E1233" s="342">
        <f t="shared" si="425"/>
        <v>5</v>
      </c>
      <c r="F1233" s="342">
        <v>2</v>
      </c>
      <c r="G1233" s="342">
        <v>3</v>
      </c>
      <c r="H1233" s="342">
        <f t="shared" si="426"/>
        <v>19</v>
      </c>
      <c r="I1233" s="342">
        <v>8</v>
      </c>
      <c r="J1233" s="342">
        <v>11</v>
      </c>
      <c r="K1233" s="342">
        <f t="shared" si="427"/>
        <v>31</v>
      </c>
      <c r="L1233" s="342">
        <v>7</v>
      </c>
      <c r="M1233" s="342">
        <v>24</v>
      </c>
      <c r="N1233" s="203" t="s">
        <v>145</v>
      </c>
      <c r="O1233" s="340" t="s">
        <v>786</v>
      </c>
    </row>
    <row r="1234" spans="2:15" ht="18.75" customHeight="1" thickBot="1" x14ac:dyDescent="0.25">
      <c r="B1234" s="342">
        <f t="shared" si="424"/>
        <v>89</v>
      </c>
      <c r="C1234" s="342">
        <f t="shared" ref="C1234" si="478">SUM(C1232:C1233)</f>
        <v>29</v>
      </c>
      <c r="D1234" s="342">
        <f t="shared" ref="D1234" si="479">SUM(D1232:D1233)</f>
        <v>60</v>
      </c>
      <c r="E1234" s="342">
        <f t="shared" si="425"/>
        <v>9</v>
      </c>
      <c r="F1234" s="342">
        <f t="shared" ref="F1234:G1234" si="480">SUM(F1232:F1233)</f>
        <v>3</v>
      </c>
      <c r="G1234" s="342">
        <f t="shared" si="480"/>
        <v>6</v>
      </c>
      <c r="H1234" s="342">
        <f t="shared" si="426"/>
        <v>29</v>
      </c>
      <c r="I1234" s="342">
        <f t="shared" ref="I1234:J1234" si="481">SUM(I1232:I1233)</f>
        <v>14</v>
      </c>
      <c r="J1234" s="342">
        <f t="shared" si="481"/>
        <v>15</v>
      </c>
      <c r="K1234" s="342">
        <f t="shared" si="427"/>
        <v>51</v>
      </c>
      <c r="L1234" s="342">
        <f t="shared" ref="L1234" si="482">SUM(L1232:L1233)</f>
        <v>12</v>
      </c>
      <c r="M1234" s="342">
        <f>SUM(M1232:M1233)</f>
        <v>39</v>
      </c>
      <c r="N1234" s="203" t="s">
        <v>12</v>
      </c>
      <c r="O1234" s="341" t="s">
        <v>806</v>
      </c>
    </row>
    <row r="1235" spans="2:15" ht="18.75" customHeight="1" thickBot="1" x14ac:dyDescent="0.25">
      <c r="B1235" s="342">
        <f t="shared" si="424"/>
        <v>10</v>
      </c>
      <c r="C1235" s="342">
        <f>L1235+I1235+F1235</f>
        <v>6</v>
      </c>
      <c r="D1235" s="342">
        <f>M1235+J1235+G1235</f>
        <v>4</v>
      </c>
      <c r="E1235" s="342">
        <f t="shared" si="425"/>
        <v>4</v>
      </c>
      <c r="F1235" s="342">
        <v>4</v>
      </c>
      <c r="G1235" s="342">
        <v>0</v>
      </c>
      <c r="H1235" s="342">
        <f t="shared" si="426"/>
        <v>2</v>
      </c>
      <c r="I1235" s="342">
        <v>1</v>
      </c>
      <c r="J1235" s="342">
        <v>1</v>
      </c>
      <c r="K1235" s="342">
        <f t="shared" si="427"/>
        <v>4</v>
      </c>
      <c r="L1235" s="342">
        <v>1</v>
      </c>
      <c r="M1235" s="342">
        <v>3</v>
      </c>
      <c r="N1235" s="203" t="s">
        <v>146</v>
      </c>
      <c r="O1235" s="340"/>
    </row>
    <row r="1236" spans="2:15" ht="18.75" customHeight="1" thickBot="1" x14ac:dyDescent="0.25">
      <c r="B1236" s="342">
        <f t="shared" si="424"/>
        <v>31</v>
      </c>
      <c r="C1236" s="342">
        <f>L1236+I1236+F1236</f>
        <v>14</v>
      </c>
      <c r="D1236" s="342">
        <f>M1236+J1236+G1236</f>
        <v>17</v>
      </c>
      <c r="E1236" s="342">
        <f t="shared" si="425"/>
        <v>6</v>
      </c>
      <c r="F1236" s="342">
        <v>3</v>
      </c>
      <c r="G1236" s="342">
        <v>3</v>
      </c>
      <c r="H1236" s="342">
        <f t="shared" si="426"/>
        <v>6</v>
      </c>
      <c r="I1236" s="342">
        <v>2</v>
      </c>
      <c r="J1236" s="342">
        <v>4</v>
      </c>
      <c r="K1236" s="342">
        <f t="shared" si="427"/>
        <v>19</v>
      </c>
      <c r="L1236" s="342">
        <v>9</v>
      </c>
      <c r="M1236" s="342">
        <v>10</v>
      </c>
      <c r="N1236" s="203" t="s">
        <v>145</v>
      </c>
      <c r="O1236" s="340" t="s">
        <v>138</v>
      </c>
    </row>
    <row r="1237" spans="2:15" ht="18.75" customHeight="1" thickBot="1" x14ac:dyDescent="0.25">
      <c r="B1237" s="342">
        <f t="shared" si="424"/>
        <v>41</v>
      </c>
      <c r="C1237" s="342">
        <f t="shared" ref="C1237" si="483">SUM(C1235:C1236)</f>
        <v>20</v>
      </c>
      <c r="D1237" s="342">
        <f t="shared" ref="D1237" si="484">SUM(D1235:D1236)</f>
        <v>21</v>
      </c>
      <c r="E1237" s="342">
        <f t="shared" si="425"/>
        <v>10</v>
      </c>
      <c r="F1237" s="342">
        <f t="shared" ref="F1237:G1237" si="485">SUM(F1235:F1236)</f>
        <v>7</v>
      </c>
      <c r="G1237" s="342">
        <f t="shared" si="485"/>
        <v>3</v>
      </c>
      <c r="H1237" s="342">
        <f t="shared" si="426"/>
        <v>8</v>
      </c>
      <c r="I1237" s="342">
        <f t="shared" ref="I1237:J1237" si="486">SUM(I1235:I1236)</f>
        <v>3</v>
      </c>
      <c r="J1237" s="342">
        <f t="shared" si="486"/>
        <v>5</v>
      </c>
      <c r="K1237" s="342">
        <f t="shared" si="427"/>
        <v>23</v>
      </c>
      <c r="L1237" s="342">
        <f t="shared" ref="L1237" si="487">SUM(L1235:L1236)</f>
        <v>10</v>
      </c>
      <c r="M1237" s="342">
        <f>SUM(M1235:M1236)</f>
        <v>13</v>
      </c>
      <c r="N1237" s="203" t="s">
        <v>12</v>
      </c>
      <c r="O1237" s="341"/>
    </row>
    <row r="1238" spans="2:15" ht="18.75" customHeight="1" thickBot="1" x14ac:dyDescent="0.25">
      <c r="B1238" s="342">
        <f t="shared" si="424"/>
        <v>6</v>
      </c>
      <c r="C1238" s="342">
        <f>L1238+I1238+F1238</f>
        <v>0</v>
      </c>
      <c r="D1238" s="342">
        <f>M1238+J1238+G1238</f>
        <v>6</v>
      </c>
      <c r="E1238" s="342">
        <f t="shared" si="425"/>
        <v>0</v>
      </c>
      <c r="F1238" s="342">
        <v>0</v>
      </c>
      <c r="G1238" s="342">
        <v>0</v>
      </c>
      <c r="H1238" s="342">
        <f t="shared" si="426"/>
        <v>1</v>
      </c>
      <c r="I1238" s="342">
        <v>0</v>
      </c>
      <c r="J1238" s="342">
        <v>1</v>
      </c>
      <c r="K1238" s="342">
        <f t="shared" si="427"/>
        <v>5</v>
      </c>
      <c r="L1238" s="342">
        <v>0</v>
      </c>
      <c r="M1238" s="342">
        <v>5</v>
      </c>
      <c r="N1238" s="203" t="s">
        <v>146</v>
      </c>
      <c r="O1238" s="340"/>
    </row>
    <row r="1239" spans="2:15" ht="18.75" customHeight="1" thickBot="1" x14ac:dyDescent="0.25">
      <c r="B1239" s="342">
        <f t="shared" si="424"/>
        <v>6</v>
      </c>
      <c r="C1239" s="342">
        <f>L1239+I1239+F1239</f>
        <v>0</v>
      </c>
      <c r="D1239" s="342">
        <f>M1239+J1239+G1239</f>
        <v>6</v>
      </c>
      <c r="E1239" s="342">
        <f t="shared" si="425"/>
        <v>0</v>
      </c>
      <c r="F1239" s="342">
        <v>0</v>
      </c>
      <c r="G1239" s="342">
        <v>0</v>
      </c>
      <c r="H1239" s="342">
        <f t="shared" si="426"/>
        <v>6</v>
      </c>
      <c r="I1239" s="342">
        <v>0</v>
      </c>
      <c r="J1239" s="342">
        <v>6</v>
      </c>
      <c r="K1239" s="342">
        <f t="shared" si="427"/>
        <v>0</v>
      </c>
      <c r="L1239" s="342">
        <v>0</v>
      </c>
      <c r="M1239" s="342">
        <v>0</v>
      </c>
      <c r="N1239" s="203" t="s">
        <v>145</v>
      </c>
      <c r="O1239" s="340" t="s">
        <v>139</v>
      </c>
    </row>
    <row r="1240" spans="2:15" ht="18.75" customHeight="1" thickBot="1" x14ac:dyDescent="0.25">
      <c r="B1240" s="342">
        <f t="shared" si="424"/>
        <v>12</v>
      </c>
      <c r="C1240" s="342">
        <f t="shared" ref="C1240" si="488">SUM(C1238:C1239)</f>
        <v>0</v>
      </c>
      <c r="D1240" s="342">
        <f t="shared" ref="D1240" si="489">SUM(D1238:D1239)</f>
        <v>12</v>
      </c>
      <c r="E1240" s="342">
        <f t="shared" si="425"/>
        <v>0</v>
      </c>
      <c r="F1240" s="342">
        <f t="shared" ref="F1240:G1240" si="490">SUM(F1238:F1239)</f>
        <v>0</v>
      </c>
      <c r="G1240" s="342">
        <f t="shared" si="490"/>
        <v>0</v>
      </c>
      <c r="H1240" s="342">
        <f t="shared" si="426"/>
        <v>7</v>
      </c>
      <c r="I1240" s="342">
        <f t="shared" ref="I1240:J1240" si="491">SUM(I1238:I1239)</f>
        <v>0</v>
      </c>
      <c r="J1240" s="342">
        <f t="shared" si="491"/>
        <v>7</v>
      </c>
      <c r="K1240" s="342">
        <f t="shared" si="427"/>
        <v>5</v>
      </c>
      <c r="L1240" s="342">
        <f t="shared" ref="L1240" si="492">SUM(L1238:L1239)</f>
        <v>0</v>
      </c>
      <c r="M1240" s="342">
        <f>SUM(M1238:M1239)</f>
        <v>5</v>
      </c>
      <c r="N1240" s="203" t="s">
        <v>12</v>
      </c>
      <c r="O1240" s="341"/>
    </row>
    <row r="1241" spans="2:15" ht="18.75" customHeight="1" thickBot="1" x14ac:dyDescent="0.25">
      <c r="B1241" s="342">
        <f t="shared" si="424"/>
        <v>4</v>
      </c>
      <c r="C1241" s="342">
        <f>L1241+I1241+F1241</f>
        <v>2</v>
      </c>
      <c r="D1241" s="342">
        <f>M1241+J1241+G1241</f>
        <v>2</v>
      </c>
      <c r="E1241" s="342">
        <f t="shared" si="425"/>
        <v>1</v>
      </c>
      <c r="F1241" s="342">
        <v>1</v>
      </c>
      <c r="G1241" s="342">
        <v>0</v>
      </c>
      <c r="H1241" s="342">
        <f t="shared" si="426"/>
        <v>0</v>
      </c>
      <c r="I1241" s="342">
        <v>0</v>
      </c>
      <c r="J1241" s="342">
        <v>0</v>
      </c>
      <c r="K1241" s="342">
        <f t="shared" si="427"/>
        <v>3</v>
      </c>
      <c r="L1241" s="342">
        <v>1</v>
      </c>
      <c r="M1241" s="342">
        <v>2</v>
      </c>
      <c r="N1241" s="203" t="s">
        <v>146</v>
      </c>
      <c r="O1241" s="340"/>
    </row>
    <row r="1242" spans="2:15" ht="18.75" customHeight="1" thickBot="1" x14ac:dyDescent="0.25">
      <c r="B1242" s="342">
        <f t="shared" si="424"/>
        <v>44</v>
      </c>
      <c r="C1242" s="342">
        <f>L1242+I1242+F1242</f>
        <v>15</v>
      </c>
      <c r="D1242" s="342">
        <f>M1242+J1242+G1242</f>
        <v>29</v>
      </c>
      <c r="E1242" s="342">
        <f t="shared" si="425"/>
        <v>3</v>
      </c>
      <c r="F1242" s="342">
        <v>2</v>
      </c>
      <c r="G1242" s="342">
        <v>1</v>
      </c>
      <c r="H1242" s="342">
        <f t="shared" si="426"/>
        <v>16</v>
      </c>
      <c r="I1242" s="342">
        <v>7</v>
      </c>
      <c r="J1242" s="342">
        <v>9</v>
      </c>
      <c r="K1242" s="342">
        <f t="shared" si="427"/>
        <v>25</v>
      </c>
      <c r="L1242" s="342">
        <v>6</v>
      </c>
      <c r="M1242" s="342">
        <v>19</v>
      </c>
      <c r="N1242" s="203" t="s">
        <v>145</v>
      </c>
      <c r="O1242" s="340" t="s">
        <v>140</v>
      </c>
    </row>
    <row r="1243" spans="2:15" ht="18.75" customHeight="1" thickBot="1" x14ac:dyDescent="0.25">
      <c r="B1243" s="342">
        <f t="shared" si="424"/>
        <v>48</v>
      </c>
      <c r="C1243" s="342">
        <f t="shared" ref="C1243" si="493">SUM(C1241:C1242)</f>
        <v>17</v>
      </c>
      <c r="D1243" s="342">
        <f t="shared" ref="D1243" si="494">SUM(D1241:D1242)</f>
        <v>31</v>
      </c>
      <c r="E1243" s="342">
        <f t="shared" si="425"/>
        <v>4</v>
      </c>
      <c r="F1243" s="342">
        <f t="shared" ref="F1243:G1243" si="495">SUM(F1241:F1242)</f>
        <v>3</v>
      </c>
      <c r="G1243" s="342">
        <f t="shared" si="495"/>
        <v>1</v>
      </c>
      <c r="H1243" s="342">
        <f t="shared" si="426"/>
        <v>16</v>
      </c>
      <c r="I1243" s="342">
        <f t="shared" ref="I1243:J1243" si="496">SUM(I1241:I1242)</f>
        <v>7</v>
      </c>
      <c r="J1243" s="342">
        <f t="shared" si="496"/>
        <v>9</v>
      </c>
      <c r="K1243" s="342">
        <f t="shared" si="427"/>
        <v>28</v>
      </c>
      <c r="L1243" s="342">
        <f t="shared" ref="L1243" si="497">SUM(L1241:L1242)</f>
        <v>7</v>
      </c>
      <c r="M1243" s="342">
        <f>SUM(M1241:M1242)</f>
        <v>21</v>
      </c>
      <c r="N1243" s="203" t="s">
        <v>12</v>
      </c>
      <c r="O1243" s="341"/>
    </row>
    <row r="1244" spans="2:15" ht="18.75" customHeight="1" thickBot="1" x14ac:dyDescent="0.25">
      <c r="B1244" s="342">
        <f t="shared" si="424"/>
        <v>7</v>
      </c>
      <c r="C1244" s="342">
        <f>L1244+I1244+F1244</f>
        <v>0</v>
      </c>
      <c r="D1244" s="342">
        <f>M1244+J1244+G1244</f>
        <v>7</v>
      </c>
      <c r="E1244" s="342">
        <f t="shared" si="425"/>
        <v>0</v>
      </c>
      <c r="F1244" s="342">
        <v>0</v>
      </c>
      <c r="G1244" s="342">
        <v>0</v>
      </c>
      <c r="H1244" s="342">
        <f t="shared" si="426"/>
        <v>3</v>
      </c>
      <c r="I1244" s="342">
        <v>0</v>
      </c>
      <c r="J1244" s="342">
        <v>3</v>
      </c>
      <c r="K1244" s="342">
        <f t="shared" si="427"/>
        <v>4</v>
      </c>
      <c r="L1244" s="342">
        <v>0</v>
      </c>
      <c r="M1244" s="342">
        <v>4</v>
      </c>
      <c r="N1244" s="203" t="s">
        <v>146</v>
      </c>
      <c r="O1244" s="340"/>
    </row>
    <row r="1245" spans="2:15" ht="18.75" customHeight="1" thickBot="1" x14ac:dyDescent="0.25">
      <c r="B1245" s="342">
        <f t="shared" si="424"/>
        <v>24</v>
      </c>
      <c r="C1245" s="342">
        <f>L1245+I1245+F1245</f>
        <v>1</v>
      </c>
      <c r="D1245" s="342">
        <f>M1245+J1245+G1245</f>
        <v>23</v>
      </c>
      <c r="E1245" s="342">
        <f t="shared" si="425"/>
        <v>0</v>
      </c>
      <c r="F1245" s="342">
        <v>0</v>
      </c>
      <c r="G1245" s="342">
        <v>0</v>
      </c>
      <c r="H1245" s="342">
        <f t="shared" si="426"/>
        <v>5</v>
      </c>
      <c r="I1245" s="342">
        <v>0</v>
      </c>
      <c r="J1245" s="342">
        <v>5</v>
      </c>
      <c r="K1245" s="342">
        <f t="shared" si="427"/>
        <v>19</v>
      </c>
      <c r="L1245" s="342">
        <v>1</v>
      </c>
      <c r="M1245" s="342">
        <v>18</v>
      </c>
      <c r="N1245" s="203" t="s">
        <v>145</v>
      </c>
      <c r="O1245" s="340" t="s">
        <v>787</v>
      </c>
    </row>
    <row r="1246" spans="2:15" ht="18.75" customHeight="1" thickBot="1" x14ac:dyDescent="0.25">
      <c r="B1246" s="342">
        <f t="shared" si="424"/>
        <v>31</v>
      </c>
      <c r="C1246" s="342">
        <f t="shared" ref="C1246" si="498">SUM(C1244:C1245)</f>
        <v>1</v>
      </c>
      <c r="D1246" s="342">
        <f t="shared" ref="D1246" si="499">SUM(D1244:D1245)</f>
        <v>30</v>
      </c>
      <c r="E1246" s="342">
        <f t="shared" si="425"/>
        <v>0</v>
      </c>
      <c r="F1246" s="342">
        <f t="shared" ref="F1246:G1246" si="500">SUM(F1244:F1245)</f>
        <v>0</v>
      </c>
      <c r="G1246" s="342">
        <f t="shared" si="500"/>
        <v>0</v>
      </c>
      <c r="H1246" s="342">
        <f t="shared" si="426"/>
        <v>8</v>
      </c>
      <c r="I1246" s="342">
        <f t="shared" ref="I1246:J1246" si="501">SUM(I1244:I1245)</f>
        <v>0</v>
      </c>
      <c r="J1246" s="342">
        <f t="shared" si="501"/>
        <v>8</v>
      </c>
      <c r="K1246" s="342">
        <f t="shared" si="427"/>
        <v>23</v>
      </c>
      <c r="L1246" s="342">
        <f t="shared" ref="L1246" si="502">SUM(L1244:L1245)</f>
        <v>1</v>
      </c>
      <c r="M1246" s="342">
        <f>SUM(M1244:M1245)</f>
        <v>22</v>
      </c>
      <c r="N1246" s="203" t="s">
        <v>12</v>
      </c>
      <c r="O1246" s="341"/>
    </row>
    <row r="1247" spans="2:15" ht="18.75" customHeight="1" thickBot="1" x14ac:dyDescent="0.25">
      <c r="B1247" s="342">
        <f t="shared" si="424"/>
        <v>2</v>
      </c>
      <c r="C1247" s="342">
        <f>L1247+I1247+F1247</f>
        <v>2</v>
      </c>
      <c r="D1247" s="342">
        <f>M1247+J1247+G1247</f>
        <v>0</v>
      </c>
      <c r="E1247" s="342">
        <f t="shared" si="425"/>
        <v>0</v>
      </c>
      <c r="F1247" s="342">
        <v>0</v>
      </c>
      <c r="G1247" s="342">
        <v>0</v>
      </c>
      <c r="H1247" s="342">
        <f t="shared" si="426"/>
        <v>2</v>
      </c>
      <c r="I1247" s="342">
        <v>2</v>
      </c>
      <c r="J1247" s="342">
        <v>0</v>
      </c>
      <c r="K1247" s="342">
        <f t="shared" si="427"/>
        <v>0</v>
      </c>
      <c r="L1247" s="342">
        <v>0</v>
      </c>
      <c r="M1247" s="342">
        <v>0</v>
      </c>
      <c r="N1247" s="203" t="s">
        <v>146</v>
      </c>
      <c r="O1247" s="340"/>
    </row>
    <row r="1248" spans="2:15" ht="18.75" customHeight="1" thickBot="1" x14ac:dyDescent="0.25">
      <c r="B1248" s="342">
        <f t="shared" si="424"/>
        <v>26</v>
      </c>
      <c r="C1248" s="342">
        <f>L1248+I1248+F1248</f>
        <v>15</v>
      </c>
      <c r="D1248" s="342">
        <f>M1248+J1248+G1248</f>
        <v>11</v>
      </c>
      <c r="E1248" s="342">
        <f t="shared" si="425"/>
        <v>9</v>
      </c>
      <c r="F1248" s="342">
        <v>7</v>
      </c>
      <c r="G1248" s="342">
        <v>2</v>
      </c>
      <c r="H1248" s="342">
        <f t="shared" si="426"/>
        <v>9</v>
      </c>
      <c r="I1248" s="342">
        <v>7</v>
      </c>
      <c r="J1248" s="342">
        <v>2</v>
      </c>
      <c r="K1248" s="342">
        <f t="shared" si="427"/>
        <v>8</v>
      </c>
      <c r="L1248" s="342">
        <v>1</v>
      </c>
      <c r="M1248" s="342">
        <v>7</v>
      </c>
      <c r="N1248" s="203" t="s">
        <v>145</v>
      </c>
      <c r="O1248" s="340" t="s">
        <v>569</v>
      </c>
    </row>
    <row r="1249" spans="2:15" ht="18.75" customHeight="1" thickBot="1" x14ac:dyDescent="0.25">
      <c r="B1249" s="342">
        <f t="shared" si="424"/>
        <v>28</v>
      </c>
      <c r="C1249" s="342">
        <f t="shared" ref="C1249" si="503">SUM(C1247:C1248)</f>
        <v>17</v>
      </c>
      <c r="D1249" s="342">
        <f t="shared" ref="D1249" si="504">SUM(D1247:D1248)</f>
        <v>11</v>
      </c>
      <c r="E1249" s="342">
        <f t="shared" si="425"/>
        <v>9</v>
      </c>
      <c r="F1249" s="342">
        <f t="shared" ref="F1249:G1249" si="505">SUM(F1247:F1248)</f>
        <v>7</v>
      </c>
      <c r="G1249" s="342">
        <f t="shared" si="505"/>
        <v>2</v>
      </c>
      <c r="H1249" s="342">
        <f t="shared" si="426"/>
        <v>11</v>
      </c>
      <c r="I1249" s="342">
        <f t="shared" ref="I1249:J1249" si="506">SUM(I1247:I1248)</f>
        <v>9</v>
      </c>
      <c r="J1249" s="342">
        <f t="shared" si="506"/>
        <v>2</v>
      </c>
      <c r="K1249" s="342">
        <f t="shared" si="427"/>
        <v>8</v>
      </c>
      <c r="L1249" s="342">
        <f t="shared" ref="L1249" si="507">SUM(L1247:L1248)</f>
        <v>1</v>
      </c>
      <c r="M1249" s="342">
        <f>SUM(M1247:M1248)</f>
        <v>7</v>
      </c>
      <c r="N1249" s="203" t="s">
        <v>12</v>
      </c>
      <c r="O1249" s="341"/>
    </row>
    <row r="1250" spans="2:15" ht="18.75" customHeight="1" thickBot="1" x14ac:dyDescent="0.25">
      <c r="B1250" s="342">
        <f t="shared" si="424"/>
        <v>8</v>
      </c>
      <c r="C1250" s="342">
        <f>L1250+I1250+F1250</f>
        <v>8</v>
      </c>
      <c r="D1250" s="342">
        <f>M1250+J1250+G1250</f>
        <v>0</v>
      </c>
      <c r="E1250" s="342">
        <f t="shared" si="425"/>
        <v>8</v>
      </c>
      <c r="F1250" s="342">
        <v>8</v>
      </c>
      <c r="G1250" s="342">
        <v>0</v>
      </c>
      <c r="H1250" s="342">
        <f t="shared" si="426"/>
        <v>0</v>
      </c>
      <c r="I1250" s="342">
        <v>0</v>
      </c>
      <c r="J1250" s="342">
        <v>0</v>
      </c>
      <c r="K1250" s="342">
        <f t="shared" si="427"/>
        <v>0</v>
      </c>
      <c r="L1250" s="342">
        <v>0</v>
      </c>
      <c r="M1250" s="342">
        <v>0</v>
      </c>
      <c r="N1250" s="203" t="s">
        <v>146</v>
      </c>
      <c r="O1250" s="584" t="s">
        <v>807</v>
      </c>
    </row>
    <row r="1251" spans="2:15" ht="18.75" customHeight="1" thickBot="1" x14ac:dyDescent="0.25">
      <c r="B1251" s="342">
        <f t="shared" si="424"/>
        <v>15</v>
      </c>
      <c r="C1251" s="342">
        <f>L1251+I1251+F1251</f>
        <v>15</v>
      </c>
      <c r="D1251" s="342">
        <f>M1251+J1251+G1251</f>
        <v>0</v>
      </c>
      <c r="E1251" s="342">
        <f t="shared" si="425"/>
        <v>6</v>
      </c>
      <c r="F1251" s="342">
        <v>6</v>
      </c>
      <c r="G1251" s="342">
        <v>0</v>
      </c>
      <c r="H1251" s="342">
        <f t="shared" si="426"/>
        <v>7</v>
      </c>
      <c r="I1251" s="342">
        <v>7</v>
      </c>
      <c r="J1251" s="342">
        <v>0</v>
      </c>
      <c r="K1251" s="342">
        <f t="shared" si="427"/>
        <v>2</v>
      </c>
      <c r="L1251" s="342">
        <v>2</v>
      </c>
      <c r="M1251" s="342">
        <v>0</v>
      </c>
      <c r="N1251" s="203" t="s">
        <v>145</v>
      </c>
      <c r="O1251" s="585"/>
    </row>
    <row r="1252" spans="2:15" ht="18.75" customHeight="1" thickBot="1" x14ac:dyDescent="0.25">
      <c r="B1252" s="342">
        <f t="shared" si="424"/>
        <v>23</v>
      </c>
      <c r="C1252" s="342">
        <f t="shared" ref="C1252" si="508">SUM(C1250:C1251)</f>
        <v>23</v>
      </c>
      <c r="D1252" s="342">
        <f t="shared" ref="D1252" si="509">SUM(D1250:D1251)</f>
        <v>0</v>
      </c>
      <c r="E1252" s="342">
        <f t="shared" si="425"/>
        <v>14</v>
      </c>
      <c r="F1252" s="342">
        <f t="shared" ref="F1252:G1252" si="510">SUM(F1250:F1251)</f>
        <v>14</v>
      </c>
      <c r="G1252" s="342">
        <f t="shared" si="510"/>
        <v>0</v>
      </c>
      <c r="H1252" s="342">
        <f t="shared" si="426"/>
        <v>7</v>
      </c>
      <c r="I1252" s="342">
        <f t="shared" ref="I1252:J1252" si="511">SUM(I1250:I1251)</f>
        <v>7</v>
      </c>
      <c r="J1252" s="342">
        <f t="shared" si="511"/>
        <v>0</v>
      </c>
      <c r="K1252" s="342">
        <f t="shared" si="427"/>
        <v>2</v>
      </c>
      <c r="L1252" s="342">
        <f t="shared" ref="L1252" si="512">SUM(L1250:L1251)</f>
        <v>2</v>
      </c>
      <c r="M1252" s="342">
        <f>SUM(M1250:M1251)</f>
        <v>0</v>
      </c>
      <c r="N1252" s="203" t="s">
        <v>12</v>
      </c>
      <c r="O1252" s="586"/>
    </row>
    <row r="1253" spans="2:15" ht="18.75" customHeight="1" thickBot="1" x14ac:dyDescent="0.25">
      <c r="B1253" s="342">
        <f t="shared" si="424"/>
        <v>6</v>
      </c>
      <c r="C1253" s="342">
        <f>L1253+I1253+F1253</f>
        <v>6</v>
      </c>
      <c r="D1253" s="342">
        <f>M1253+J1253+G1253</f>
        <v>0</v>
      </c>
      <c r="E1253" s="342">
        <f t="shared" si="425"/>
        <v>1</v>
      </c>
      <c r="F1253" s="342">
        <v>1</v>
      </c>
      <c r="G1253" s="342">
        <v>0</v>
      </c>
      <c r="H1253" s="342">
        <f t="shared" si="426"/>
        <v>4</v>
      </c>
      <c r="I1253" s="342">
        <v>4</v>
      </c>
      <c r="J1253" s="342">
        <v>0</v>
      </c>
      <c r="K1253" s="342">
        <f t="shared" si="427"/>
        <v>1</v>
      </c>
      <c r="L1253" s="342">
        <v>1</v>
      </c>
      <c r="M1253" s="342">
        <v>0</v>
      </c>
      <c r="N1253" s="203" t="s">
        <v>146</v>
      </c>
      <c r="O1253" s="340"/>
    </row>
    <row r="1254" spans="2:15" ht="18.75" customHeight="1" thickBot="1" x14ac:dyDescent="0.25">
      <c r="B1254" s="342">
        <f t="shared" si="424"/>
        <v>9</v>
      </c>
      <c r="C1254" s="342">
        <f>L1254+I1254+F1254</f>
        <v>9</v>
      </c>
      <c r="D1254" s="342">
        <f>M1254+J1254+G1254</f>
        <v>0</v>
      </c>
      <c r="E1254" s="342">
        <f t="shared" si="425"/>
        <v>5</v>
      </c>
      <c r="F1254" s="342">
        <v>5</v>
      </c>
      <c r="G1254" s="342">
        <v>0</v>
      </c>
      <c r="H1254" s="342">
        <f t="shared" si="426"/>
        <v>2</v>
      </c>
      <c r="I1254" s="342">
        <v>2</v>
      </c>
      <c r="J1254" s="342">
        <v>0</v>
      </c>
      <c r="K1254" s="342">
        <f t="shared" si="427"/>
        <v>2</v>
      </c>
      <c r="L1254" s="342">
        <v>2</v>
      </c>
      <c r="M1254" s="342">
        <v>0</v>
      </c>
      <c r="N1254" s="203" t="s">
        <v>145</v>
      </c>
      <c r="O1254" s="340" t="s">
        <v>141</v>
      </c>
    </row>
    <row r="1255" spans="2:15" ht="18.75" customHeight="1" thickBot="1" x14ac:dyDescent="0.25">
      <c r="B1255" s="342">
        <f t="shared" si="424"/>
        <v>15</v>
      </c>
      <c r="C1255" s="342">
        <f t="shared" ref="C1255" si="513">SUM(C1253:C1254)</f>
        <v>15</v>
      </c>
      <c r="D1255" s="342">
        <f t="shared" ref="D1255" si="514">SUM(D1253:D1254)</f>
        <v>0</v>
      </c>
      <c r="E1255" s="342">
        <f t="shared" si="425"/>
        <v>6</v>
      </c>
      <c r="F1255" s="342">
        <f t="shared" ref="F1255:G1255" si="515">SUM(F1253:F1254)</f>
        <v>6</v>
      </c>
      <c r="G1255" s="342">
        <f t="shared" si="515"/>
        <v>0</v>
      </c>
      <c r="H1255" s="342">
        <f t="shared" si="426"/>
        <v>6</v>
      </c>
      <c r="I1255" s="342">
        <f t="shared" ref="I1255:J1255" si="516">SUM(I1253:I1254)</f>
        <v>6</v>
      </c>
      <c r="J1255" s="342">
        <f t="shared" si="516"/>
        <v>0</v>
      </c>
      <c r="K1255" s="342">
        <f t="shared" si="427"/>
        <v>3</v>
      </c>
      <c r="L1255" s="342">
        <f t="shared" ref="L1255" si="517">SUM(L1253:L1254)</f>
        <v>3</v>
      </c>
      <c r="M1255" s="342">
        <f>SUM(M1253:M1254)</f>
        <v>0</v>
      </c>
      <c r="N1255" s="203" t="s">
        <v>12</v>
      </c>
      <c r="O1255" s="341"/>
    </row>
    <row r="1256" spans="2:15" ht="18.75" customHeight="1" thickBot="1" x14ac:dyDescent="0.25">
      <c r="B1256" s="342">
        <f t="shared" si="424"/>
        <v>0</v>
      </c>
      <c r="C1256" s="342">
        <f>L1256+I1256+F1256</f>
        <v>0</v>
      </c>
      <c r="D1256" s="342">
        <f>M1256+J1256+G1256</f>
        <v>0</v>
      </c>
      <c r="E1256" s="342">
        <f t="shared" si="425"/>
        <v>0</v>
      </c>
      <c r="F1256" s="342">
        <v>0</v>
      </c>
      <c r="G1256" s="342">
        <v>0</v>
      </c>
      <c r="H1256" s="342">
        <f t="shared" si="426"/>
        <v>0</v>
      </c>
      <c r="I1256" s="342">
        <v>0</v>
      </c>
      <c r="J1256" s="342">
        <v>0</v>
      </c>
      <c r="K1256" s="342">
        <f t="shared" si="427"/>
        <v>0</v>
      </c>
      <c r="L1256" s="342">
        <v>0</v>
      </c>
      <c r="M1256" s="342">
        <v>0</v>
      </c>
      <c r="N1256" s="203" t="s">
        <v>146</v>
      </c>
      <c r="O1256" s="340"/>
    </row>
    <row r="1257" spans="2:15" ht="18.75" customHeight="1" thickBot="1" x14ac:dyDescent="0.25">
      <c r="B1257" s="342">
        <f t="shared" si="424"/>
        <v>38</v>
      </c>
      <c r="C1257" s="342">
        <f>L1257+I1257+F1257</f>
        <v>32</v>
      </c>
      <c r="D1257" s="342">
        <f>M1257+J1257+G1257</f>
        <v>6</v>
      </c>
      <c r="E1257" s="342">
        <f t="shared" si="425"/>
        <v>9</v>
      </c>
      <c r="F1257" s="342">
        <v>9</v>
      </c>
      <c r="G1257" s="342">
        <v>0</v>
      </c>
      <c r="H1257" s="342">
        <f t="shared" si="426"/>
        <v>24</v>
      </c>
      <c r="I1257" s="342">
        <v>18</v>
      </c>
      <c r="J1257" s="342">
        <v>6</v>
      </c>
      <c r="K1257" s="342">
        <f t="shared" si="427"/>
        <v>5</v>
      </c>
      <c r="L1257" s="342">
        <v>5</v>
      </c>
      <c r="M1257" s="342">
        <v>0</v>
      </c>
      <c r="N1257" s="203" t="s">
        <v>145</v>
      </c>
      <c r="O1257" s="340" t="s">
        <v>203</v>
      </c>
    </row>
    <row r="1258" spans="2:15" ht="18.75" customHeight="1" thickBot="1" x14ac:dyDescent="0.25">
      <c r="B1258" s="342">
        <f t="shared" si="424"/>
        <v>38</v>
      </c>
      <c r="C1258" s="342">
        <f t="shared" ref="C1258:L1258" si="518">SUM(C1256:C1257)</f>
        <v>32</v>
      </c>
      <c r="D1258" s="342">
        <f t="shared" si="518"/>
        <v>6</v>
      </c>
      <c r="E1258" s="342">
        <f t="shared" si="425"/>
        <v>9</v>
      </c>
      <c r="F1258" s="342">
        <f t="shared" si="518"/>
        <v>9</v>
      </c>
      <c r="G1258" s="342">
        <f t="shared" si="518"/>
        <v>0</v>
      </c>
      <c r="H1258" s="342">
        <f t="shared" si="426"/>
        <v>24</v>
      </c>
      <c r="I1258" s="342">
        <f t="shared" si="518"/>
        <v>18</v>
      </c>
      <c r="J1258" s="342">
        <f t="shared" si="518"/>
        <v>6</v>
      </c>
      <c r="K1258" s="342">
        <f t="shared" si="427"/>
        <v>5</v>
      </c>
      <c r="L1258" s="342">
        <f t="shared" si="518"/>
        <v>5</v>
      </c>
      <c r="M1258" s="342">
        <f>SUM(M1256:M1257)</f>
        <v>0</v>
      </c>
      <c r="N1258" s="203" t="s">
        <v>12</v>
      </c>
      <c r="O1258" s="341"/>
    </row>
    <row r="1259" spans="2:15" ht="18.75" customHeight="1" thickBot="1" x14ac:dyDescent="0.25">
      <c r="B1259" s="342">
        <f t="shared" ref="B1259:M1261" si="519">B1199+B1202+B1205+B1208+B1211+B1214+B1217+B1220+B1223+B1226+B1229+B1232+B1235+B1238+B1241+B1244+B1247+B1250+B1253+B1256</f>
        <v>351</v>
      </c>
      <c r="C1259" s="342">
        <f t="shared" si="519"/>
        <v>176</v>
      </c>
      <c r="D1259" s="342">
        <f t="shared" si="519"/>
        <v>175</v>
      </c>
      <c r="E1259" s="342">
        <f t="shared" si="519"/>
        <v>74</v>
      </c>
      <c r="F1259" s="342">
        <f t="shared" si="519"/>
        <v>62</v>
      </c>
      <c r="G1259" s="342">
        <f t="shared" si="519"/>
        <v>12</v>
      </c>
      <c r="H1259" s="342">
        <f t="shared" si="519"/>
        <v>120</v>
      </c>
      <c r="I1259" s="342">
        <f t="shared" si="519"/>
        <v>72</v>
      </c>
      <c r="J1259" s="342">
        <f t="shared" si="519"/>
        <v>48</v>
      </c>
      <c r="K1259" s="342">
        <f t="shared" si="519"/>
        <v>157</v>
      </c>
      <c r="L1259" s="342">
        <f t="shared" si="519"/>
        <v>42</v>
      </c>
      <c r="M1259" s="342">
        <f>M1199+M1202+M1205+M1208+M1211+M1214+M1217+M1220+M1223+M1226+M1229+M1232+M1235+M1238+M1241+M1244+M1247+M1250+M1253+M1256</f>
        <v>115</v>
      </c>
      <c r="N1259" s="203" t="s">
        <v>146</v>
      </c>
      <c r="O1259" s="308"/>
    </row>
    <row r="1260" spans="2:15" ht="18.75" customHeight="1" thickBot="1" x14ac:dyDescent="0.25">
      <c r="B1260" s="342">
        <f t="shared" si="519"/>
        <v>1186</v>
      </c>
      <c r="C1260" s="342">
        <f t="shared" si="519"/>
        <v>562</v>
      </c>
      <c r="D1260" s="342">
        <f t="shared" si="519"/>
        <v>624</v>
      </c>
      <c r="E1260" s="342">
        <f t="shared" si="519"/>
        <v>279</v>
      </c>
      <c r="F1260" s="342">
        <f t="shared" si="519"/>
        <v>180</v>
      </c>
      <c r="G1260" s="342">
        <f t="shared" si="519"/>
        <v>99</v>
      </c>
      <c r="H1260" s="342">
        <f t="shared" si="519"/>
        <v>461</v>
      </c>
      <c r="I1260" s="342">
        <f t="shared" si="519"/>
        <v>243</v>
      </c>
      <c r="J1260" s="342">
        <f t="shared" si="519"/>
        <v>218</v>
      </c>
      <c r="K1260" s="342">
        <f t="shared" si="519"/>
        <v>446</v>
      </c>
      <c r="L1260" s="342">
        <f t="shared" si="519"/>
        <v>139</v>
      </c>
      <c r="M1260" s="342">
        <f t="shared" si="519"/>
        <v>307</v>
      </c>
      <c r="N1260" s="203" t="s">
        <v>145</v>
      </c>
      <c r="O1260" s="336" t="s">
        <v>188</v>
      </c>
    </row>
    <row r="1261" spans="2:15" ht="18.75" customHeight="1" thickBot="1" x14ac:dyDescent="0.25">
      <c r="B1261" s="342">
        <f t="shared" si="519"/>
        <v>1537</v>
      </c>
      <c r="C1261" s="342">
        <f t="shared" si="519"/>
        <v>738</v>
      </c>
      <c r="D1261" s="342">
        <f t="shared" si="519"/>
        <v>799</v>
      </c>
      <c r="E1261" s="342">
        <f t="shared" si="519"/>
        <v>353</v>
      </c>
      <c r="F1261" s="342">
        <f t="shared" si="519"/>
        <v>242</v>
      </c>
      <c r="G1261" s="342">
        <f t="shared" si="519"/>
        <v>111</v>
      </c>
      <c r="H1261" s="342">
        <f t="shared" si="519"/>
        <v>581</v>
      </c>
      <c r="I1261" s="342">
        <f t="shared" si="519"/>
        <v>315</v>
      </c>
      <c r="J1261" s="342">
        <f t="shared" si="519"/>
        <v>266</v>
      </c>
      <c r="K1261" s="342">
        <f t="shared" si="519"/>
        <v>603</v>
      </c>
      <c r="L1261" s="342">
        <f t="shared" si="519"/>
        <v>181</v>
      </c>
      <c r="M1261" s="342">
        <f t="shared" si="519"/>
        <v>422</v>
      </c>
      <c r="N1261" s="203" t="s">
        <v>12</v>
      </c>
      <c r="O1261" s="205"/>
    </row>
  </sheetData>
  <mergeCells count="155">
    <mergeCell ref="O1208:O1210"/>
    <mergeCell ref="O1214:O1216"/>
    <mergeCell ref="O1250:O1252"/>
    <mergeCell ref="B1196:L1196"/>
    <mergeCell ref="B1197:D1197"/>
    <mergeCell ref="E1197:G1197"/>
    <mergeCell ref="H1197:J1197"/>
    <mergeCell ref="K1197:M1197"/>
    <mergeCell ref="N1197:N1198"/>
    <mergeCell ref="B1187:L1187"/>
    <mergeCell ref="B1188:D1188"/>
    <mergeCell ref="E1188:G1188"/>
    <mergeCell ref="H1188:J1188"/>
    <mergeCell ref="K1188:M1188"/>
    <mergeCell ref="N1188:N1189"/>
    <mergeCell ref="O1166:O1168"/>
    <mergeCell ref="B1172:L1172"/>
    <mergeCell ref="B1173:D1173"/>
    <mergeCell ref="E1173:G1173"/>
    <mergeCell ref="H1173:J1173"/>
    <mergeCell ref="K1173:M1173"/>
    <mergeCell ref="O1058:O1060"/>
    <mergeCell ref="O1061:O1063"/>
    <mergeCell ref="O1076:O1078"/>
    <mergeCell ref="B1163:L1163"/>
    <mergeCell ref="B1164:D1164"/>
    <mergeCell ref="E1164:G1164"/>
    <mergeCell ref="H1164:J1164"/>
    <mergeCell ref="K1164:M1164"/>
    <mergeCell ref="N1164:N1165"/>
    <mergeCell ref="B1025:L1025"/>
    <mergeCell ref="B1026:D1026"/>
    <mergeCell ref="E1026:G1026"/>
    <mergeCell ref="H1026:J1026"/>
    <mergeCell ref="K1026:M1026"/>
    <mergeCell ref="N1026:N1027"/>
    <mergeCell ref="B1001:L1001"/>
    <mergeCell ref="B1002:D1002"/>
    <mergeCell ref="E1002:G1002"/>
    <mergeCell ref="H1002:J1002"/>
    <mergeCell ref="K1002:M1002"/>
    <mergeCell ref="N1002:N1003"/>
    <mergeCell ref="B926:L926"/>
    <mergeCell ref="B927:D927"/>
    <mergeCell ref="E927:G927"/>
    <mergeCell ref="H927:J927"/>
    <mergeCell ref="K927:M927"/>
    <mergeCell ref="N927:N928"/>
    <mergeCell ref="B908:L908"/>
    <mergeCell ref="B909:D909"/>
    <mergeCell ref="E909:G909"/>
    <mergeCell ref="H909:J909"/>
    <mergeCell ref="K909:M909"/>
    <mergeCell ref="N909:N910"/>
    <mergeCell ref="B872:L872"/>
    <mergeCell ref="B873:D873"/>
    <mergeCell ref="E873:G873"/>
    <mergeCell ref="H873:J873"/>
    <mergeCell ref="K873:M873"/>
    <mergeCell ref="N873:N874"/>
    <mergeCell ref="B842:L842"/>
    <mergeCell ref="B843:D843"/>
    <mergeCell ref="E843:G843"/>
    <mergeCell ref="H843:J843"/>
    <mergeCell ref="K843:M843"/>
    <mergeCell ref="N843:N844"/>
    <mergeCell ref="B765:D765"/>
    <mergeCell ref="E765:G765"/>
    <mergeCell ref="H765:J765"/>
    <mergeCell ref="K765:M765"/>
    <mergeCell ref="N765:N766"/>
    <mergeCell ref="B795:D795"/>
    <mergeCell ref="E795:G795"/>
    <mergeCell ref="H795:J795"/>
    <mergeCell ref="K795:M795"/>
    <mergeCell ref="N795:N796"/>
    <mergeCell ref="O713:O715"/>
    <mergeCell ref="B717:D717"/>
    <mergeCell ref="E717:G717"/>
    <mergeCell ref="H717:J717"/>
    <mergeCell ref="K717:M717"/>
    <mergeCell ref="N717:N718"/>
    <mergeCell ref="B698:L698"/>
    <mergeCell ref="B699:D699"/>
    <mergeCell ref="E699:G699"/>
    <mergeCell ref="H699:J699"/>
    <mergeCell ref="K699:M699"/>
    <mergeCell ref="N699:N700"/>
    <mergeCell ref="B659:L659"/>
    <mergeCell ref="B660:D660"/>
    <mergeCell ref="E660:G660"/>
    <mergeCell ref="H660:J660"/>
    <mergeCell ref="K660:M660"/>
    <mergeCell ref="N660:N661"/>
    <mergeCell ref="B632:L632"/>
    <mergeCell ref="B633:D633"/>
    <mergeCell ref="E633:G633"/>
    <mergeCell ref="H633:J633"/>
    <mergeCell ref="K633:M633"/>
    <mergeCell ref="N633:N634"/>
    <mergeCell ref="B563:L563"/>
    <mergeCell ref="B564:D564"/>
    <mergeCell ref="E564:G564"/>
    <mergeCell ref="H564:J564"/>
    <mergeCell ref="K564:M564"/>
    <mergeCell ref="N564:N565"/>
    <mergeCell ref="B458:L458"/>
    <mergeCell ref="B459:D459"/>
    <mergeCell ref="E459:G459"/>
    <mergeCell ref="H459:J459"/>
    <mergeCell ref="K459:M459"/>
    <mergeCell ref="N459:N460"/>
    <mergeCell ref="B362:L362"/>
    <mergeCell ref="B363:D363"/>
    <mergeCell ref="E363:G363"/>
    <mergeCell ref="H363:J363"/>
    <mergeCell ref="K363:M363"/>
    <mergeCell ref="N363:N364"/>
    <mergeCell ref="B326:L326"/>
    <mergeCell ref="B327:D327"/>
    <mergeCell ref="E327:G327"/>
    <mergeCell ref="H327:J327"/>
    <mergeCell ref="K327:M327"/>
    <mergeCell ref="N327:N328"/>
    <mergeCell ref="B254:L254"/>
    <mergeCell ref="B255:D255"/>
    <mergeCell ref="E255:G255"/>
    <mergeCell ref="H255:J255"/>
    <mergeCell ref="K255:M255"/>
    <mergeCell ref="N255:N256"/>
    <mergeCell ref="B161:L161"/>
    <mergeCell ref="B162:D162"/>
    <mergeCell ref="E162:G162"/>
    <mergeCell ref="H162:J162"/>
    <mergeCell ref="K162:M162"/>
    <mergeCell ref="N162:N163"/>
    <mergeCell ref="B1:O1"/>
    <mergeCell ref="B2:L2"/>
    <mergeCell ref="B3:D3"/>
    <mergeCell ref="E3:G3"/>
    <mergeCell ref="H3:J3"/>
    <mergeCell ref="K3:M3"/>
    <mergeCell ref="N3:N4"/>
    <mergeCell ref="B113:L113"/>
    <mergeCell ref="B114:D114"/>
    <mergeCell ref="E114:G114"/>
    <mergeCell ref="H114:J114"/>
    <mergeCell ref="K114:M114"/>
    <mergeCell ref="N114:N115"/>
    <mergeCell ref="B89:L89"/>
    <mergeCell ref="B90:D90"/>
    <mergeCell ref="E90:G90"/>
    <mergeCell ref="H90:J90"/>
    <mergeCell ref="K90:M90"/>
    <mergeCell ref="N90:N91"/>
  </mergeCells>
  <pageMargins left="0.4" right="0.4" top="0.25" bottom="0.25" header="0.25" footer="0.25"/>
  <pageSetup paperSize="9" scale="79" orientation="landscape" r:id="rId1"/>
  <headerFooter alignWithMargins="0"/>
  <rowBreaks count="5" manualBreakCount="5">
    <brk id="37" min="1" max="14" man="1"/>
    <brk id="73" min="1" max="14" man="1"/>
    <brk id="112" min="1" max="14" man="1"/>
    <brk id="1196" max="16383" man="1"/>
    <brk id="1231" min="1" max="14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D1:N30"/>
  <sheetViews>
    <sheetView showGridLines="0" zoomScaleNormal="100" workbookViewId="0">
      <selection activeCell="A38" sqref="A32:XFD38"/>
    </sheetView>
  </sheetViews>
  <sheetFormatPr defaultRowHeight="12.75" x14ac:dyDescent="0.2"/>
  <cols>
    <col min="1" max="3" width="9" style="142"/>
    <col min="4" max="12" width="9.625" style="142" customWidth="1"/>
    <col min="13" max="13" width="35.75" style="142" customWidth="1"/>
    <col min="14" max="14" width="8.25" style="142" customWidth="1"/>
    <col min="15" max="259" width="9" style="142"/>
    <col min="260" max="268" width="9.625" style="142" customWidth="1"/>
    <col min="269" max="269" width="35.75" style="142" customWidth="1"/>
    <col min="270" max="270" width="8.25" style="142" customWidth="1"/>
    <col min="271" max="515" width="9" style="142"/>
    <col min="516" max="524" width="9.625" style="142" customWidth="1"/>
    <col min="525" max="525" width="35.75" style="142" customWidth="1"/>
    <col min="526" max="526" width="8.25" style="142" customWidth="1"/>
    <col min="527" max="771" width="9" style="142"/>
    <col min="772" max="780" width="9.625" style="142" customWidth="1"/>
    <col min="781" max="781" width="35.75" style="142" customWidth="1"/>
    <col min="782" max="782" width="8.25" style="142" customWidth="1"/>
    <col min="783" max="1027" width="9" style="142"/>
    <col min="1028" max="1036" width="9.625" style="142" customWidth="1"/>
    <col min="1037" max="1037" width="35.75" style="142" customWidth="1"/>
    <col min="1038" max="1038" width="8.25" style="142" customWidth="1"/>
    <col min="1039" max="1283" width="9" style="142"/>
    <col min="1284" max="1292" width="9.625" style="142" customWidth="1"/>
    <col min="1293" max="1293" width="35.75" style="142" customWidth="1"/>
    <col min="1294" max="1294" width="8.25" style="142" customWidth="1"/>
    <col min="1295" max="1539" width="9" style="142"/>
    <col min="1540" max="1548" width="9.625" style="142" customWidth="1"/>
    <col min="1549" max="1549" width="35.75" style="142" customWidth="1"/>
    <col min="1550" max="1550" width="8.25" style="142" customWidth="1"/>
    <col min="1551" max="1795" width="9" style="142"/>
    <col min="1796" max="1804" width="9.625" style="142" customWidth="1"/>
    <col min="1805" max="1805" width="35.75" style="142" customWidth="1"/>
    <col min="1806" max="1806" width="8.25" style="142" customWidth="1"/>
    <col min="1807" max="2051" width="9" style="142"/>
    <col min="2052" max="2060" width="9.625" style="142" customWidth="1"/>
    <col min="2061" max="2061" width="35.75" style="142" customWidth="1"/>
    <col min="2062" max="2062" width="8.25" style="142" customWidth="1"/>
    <col min="2063" max="2307" width="9" style="142"/>
    <col min="2308" max="2316" width="9.625" style="142" customWidth="1"/>
    <col min="2317" max="2317" width="35.75" style="142" customWidth="1"/>
    <col min="2318" max="2318" width="8.25" style="142" customWidth="1"/>
    <col min="2319" max="2563" width="9" style="142"/>
    <col min="2564" max="2572" width="9.625" style="142" customWidth="1"/>
    <col min="2573" max="2573" width="35.75" style="142" customWidth="1"/>
    <col min="2574" max="2574" width="8.25" style="142" customWidth="1"/>
    <col min="2575" max="2819" width="9" style="142"/>
    <col min="2820" max="2828" width="9.625" style="142" customWidth="1"/>
    <col min="2829" max="2829" width="35.75" style="142" customWidth="1"/>
    <col min="2830" max="2830" width="8.25" style="142" customWidth="1"/>
    <col min="2831" max="3075" width="9" style="142"/>
    <col min="3076" max="3084" width="9.625" style="142" customWidth="1"/>
    <col min="3085" max="3085" width="35.75" style="142" customWidth="1"/>
    <col min="3086" max="3086" width="8.25" style="142" customWidth="1"/>
    <col min="3087" max="3331" width="9" style="142"/>
    <col min="3332" max="3340" width="9.625" style="142" customWidth="1"/>
    <col min="3341" max="3341" width="35.75" style="142" customWidth="1"/>
    <col min="3342" max="3342" width="8.25" style="142" customWidth="1"/>
    <col min="3343" max="3587" width="9" style="142"/>
    <col min="3588" max="3596" width="9.625" style="142" customWidth="1"/>
    <col min="3597" max="3597" width="35.75" style="142" customWidth="1"/>
    <col min="3598" max="3598" width="8.25" style="142" customWidth="1"/>
    <col min="3599" max="3843" width="9" style="142"/>
    <col min="3844" max="3852" width="9.625" style="142" customWidth="1"/>
    <col min="3853" max="3853" width="35.75" style="142" customWidth="1"/>
    <col min="3854" max="3854" width="8.25" style="142" customWidth="1"/>
    <col min="3855" max="4099" width="9" style="142"/>
    <col min="4100" max="4108" width="9.625" style="142" customWidth="1"/>
    <col min="4109" max="4109" width="35.75" style="142" customWidth="1"/>
    <col min="4110" max="4110" width="8.25" style="142" customWidth="1"/>
    <col min="4111" max="4355" width="9" style="142"/>
    <col min="4356" max="4364" width="9.625" style="142" customWidth="1"/>
    <col min="4365" max="4365" width="35.75" style="142" customWidth="1"/>
    <col min="4366" max="4366" width="8.25" style="142" customWidth="1"/>
    <col min="4367" max="4611" width="9" style="142"/>
    <col min="4612" max="4620" width="9.625" style="142" customWidth="1"/>
    <col min="4621" max="4621" width="35.75" style="142" customWidth="1"/>
    <col min="4622" max="4622" width="8.25" style="142" customWidth="1"/>
    <col min="4623" max="4867" width="9" style="142"/>
    <col min="4868" max="4876" width="9.625" style="142" customWidth="1"/>
    <col min="4877" max="4877" width="35.75" style="142" customWidth="1"/>
    <col min="4878" max="4878" width="8.25" style="142" customWidth="1"/>
    <col min="4879" max="5123" width="9" style="142"/>
    <col min="5124" max="5132" width="9.625" style="142" customWidth="1"/>
    <col min="5133" max="5133" width="35.75" style="142" customWidth="1"/>
    <col min="5134" max="5134" width="8.25" style="142" customWidth="1"/>
    <col min="5135" max="5379" width="9" style="142"/>
    <col min="5380" max="5388" width="9.625" style="142" customWidth="1"/>
    <col min="5389" max="5389" width="35.75" style="142" customWidth="1"/>
    <col min="5390" max="5390" width="8.25" style="142" customWidth="1"/>
    <col min="5391" max="5635" width="9" style="142"/>
    <col min="5636" max="5644" width="9.625" style="142" customWidth="1"/>
    <col min="5645" max="5645" width="35.75" style="142" customWidth="1"/>
    <col min="5646" max="5646" width="8.25" style="142" customWidth="1"/>
    <col min="5647" max="5891" width="9" style="142"/>
    <col min="5892" max="5900" width="9.625" style="142" customWidth="1"/>
    <col min="5901" max="5901" width="35.75" style="142" customWidth="1"/>
    <col min="5902" max="5902" width="8.25" style="142" customWidth="1"/>
    <col min="5903" max="6147" width="9" style="142"/>
    <col min="6148" max="6156" width="9.625" style="142" customWidth="1"/>
    <col min="6157" max="6157" width="35.75" style="142" customWidth="1"/>
    <col min="6158" max="6158" width="8.25" style="142" customWidth="1"/>
    <col min="6159" max="6403" width="9" style="142"/>
    <col min="6404" max="6412" width="9.625" style="142" customWidth="1"/>
    <col min="6413" max="6413" width="35.75" style="142" customWidth="1"/>
    <col min="6414" max="6414" width="8.25" style="142" customWidth="1"/>
    <col min="6415" max="6659" width="9" style="142"/>
    <col min="6660" max="6668" width="9.625" style="142" customWidth="1"/>
    <col min="6669" max="6669" width="35.75" style="142" customWidth="1"/>
    <col min="6670" max="6670" width="8.25" style="142" customWidth="1"/>
    <col min="6671" max="6915" width="9" style="142"/>
    <col min="6916" max="6924" width="9.625" style="142" customWidth="1"/>
    <col min="6925" max="6925" width="35.75" style="142" customWidth="1"/>
    <col min="6926" max="6926" width="8.25" style="142" customWidth="1"/>
    <col min="6927" max="7171" width="9" style="142"/>
    <col min="7172" max="7180" width="9.625" style="142" customWidth="1"/>
    <col min="7181" max="7181" width="35.75" style="142" customWidth="1"/>
    <col min="7182" max="7182" width="8.25" style="142" customWidth="1"/>
    <col min="7183" max="7427" width="9" style="142"/>
    <col min="7428" max="7436" width="9.625" style="142" customWidth="1"/>
    <col min="7437" max="7437" width="35.75" style="142" customWidth="1"/>
    <col min="7438" max="7438" width="8.25" style="142" customWidth="1"/>
    <col min="7439" max="7683" width="9" style="142"/>
    <col min="7684" max="7692" width="9.625" style="142" customWidth="1"/>
    <col min="7693" max="7693" width="35.75" style="142" customWidth="1"/>
    <col min="7694" max="7694" width="8.25" style="142" customWidth="1"/>
    <col min="7695" max="7939" width="9" style="142"/>
    <col min="7940" max="7948" width="9.625" style="142" customWidth="1"/>
    <col min="7949" max="7949" width="35.75" style="142" customWidth="1"/>
    <col min="7950" max="7950" width="8.25" style="142" customWidth="1"/>
    <col min="7951" max="8195" width="9" style="142"/>
    <col min="8196" max="8204" width="9.625" style="142" customWidth="1"/>
    <col min="8205" max="8205" width="35.75" style="142" customWidth="1"/>
    <col min="8206" max="8206" width="8.25" style="142" customWidth="1"/>
    <col min="8207" max="8451" width="9" style="142"/>
    <col min="8452" max="8460" width="9.625" style="142" customWidth="1"/>
    <col min="8461" max="8461" width="35.75" style="142" customWidth="1"/>
    <col min="8462" max="8462" width="8.25" style="142" customWidth="1"/>
    <col min="8463" max="8707" width="9" style="142"/>
    <col min="8708" max="8716" width="9.625" style="142" customWidth="1"/>
    <col min="8717" max="8717" width="35.75" style="142" customWidth="1"/>
    <col min="8718" max="8718" width="8.25" style="142" customWidth="1"/>
    <col min="8719" max="8963" width="9" style="142"/>
    <col min="8964" max="8972" width="9.625" style="142" customWidth="1"/>
    <col min="8973" max="8973" width="35.75" style="142" customWidth="1"/>
    <col min="8974" max="8974" width="8.25" style="142" customWidth="1"/>
    <col min="8975" max="9219" width="9" style="142"/>
    <col min="9220" max="9228" width="9.625" style="142" customWidth="1"/>
    <col min="9229" max="9229" width="35.75" style="142" customWidth="1"/>
    <col min="9230" max="9230" width="8.25" style="142" customWidth="1"/>
    <col min="9231" max="9475" width="9" style="142"/>
    <col min="9476" max="9484" width="9.625" style="142" customWidth="1"/>
    <col min="9485" max="9485" width="35.75" style="142" customWidth="1"/>
    <col min="9486" max="9486" width="8.25" style="142" customWidth="1"/>
    <col min="9487" max="9731" width="9" style="142"/>
    <col min="9732" max="9740" width="9.625" style="142" customWidth="1"/>
    <col min="9741" max="9741" width="35.75" style="142" customWidth="1"/>
    <col min="9742" max="9742" width="8.25" style="142" customWidth="1"/>
    <col min="9743" max="9987" width="9" style="142"/>
    <col min="9988" max="9996" width="9.625" style="142" customWidth="1"/>
    <col min="9997" max="9997" width="35.75" style="142" customWidth="1"/>
    <col min="9998" max="9998" width="8.25" style="142" customWidth="1"/>
    <col min="9999" max="10243" width="9" style="142"/>
    <col min="10244" max="10252" width="9.625" style="142" customWidth="1"/>
    <col min="10253" max="10253" width="35.75" style="142" customWidth="1"/>
    <col min="10254" max="10254" width="8.25" style="142" customWidth="1"/>
    <col min="10255" max="10499" width="9" style="142"/>
    <col min="10500" max="10508" width="9.625" style="142" customWidth="1"/>
    <col min="10509" max="10509" width="35.75" style="142" customWidth="1"/>
    <col min="10510" max="10510" width="8.25" style="142" customWidth="1"/>
    <col min="10511" max="10755" width="9" style="142"/>
    <col min="10756" max="10764" width="9.625" style="142" customWidth="1"/>
    <col min="10765" max="10765" width="35.75" style="142" customWidth="1"/>
    <col min="10766" max="10766" width="8.25" style="142" customWidth="1"/>
    <col min="10767" max="11011" width="9" style="142"/>
    <col min="11012" max="11020" width="9.625" style="142" customWidth="1"/>
    <col min="11021" max="11021" width="35.75" style="142" customWidth="1"/>
    <col min="11022" max="11022" width="8.25" style="142" customWidth="1"/>
    <col min="11023" max="11267" width="9" style="142"/>
    <col min="11268" max="11276" width="9.625" style="142" customWidth="1"/>
    <col min="11277" max="11277" width="35.75" style="142" customWidth="1"/>
    <col min="11278" max="11278" width="8.25" style="142" customWidth="1"/>
    <col min="11279" max="11523" width="9" style="142"/>
    <col min="11524" max="11532" width="9.625" style="142" customWidth="1"/>
    <col min="11533" max="11533" width="35.75" style="142" customWidth="1"/>
    <col min="11534" max="11534" width="8.25" style="142" customWidth="1"/>
    <col min="11535" max="11779" width="9" style="142"/>
    <col min="11780" max="11788" width="9.625" style="142" customWidth="1"/>
    <col min="11789" max="11789" width="35.75" style="142" customWidth="1"/>
    <col min="11790" max="11790" width="8.25" style="142" customWidth="1"/>
    <col min="11791" max="12035" width="9" style="142"/>
    <col min="12036" max="12044" width="9.625" style="142" customWidth="1"/>
    <col min="12045" max="12045" width="35.75" style="142" customWidth="1"/>
    <col min="12046" max="12046" width="8.25" style="142" customWidth="1"/>
    <col min="12047" max="12291" width="9" style="142"/>
    <col min="12292" max="12300" width="9.625" style="142" customWidth="1"/>
    <col min="12301" max="12301" width="35.75" style="142" customWidth="1"/>
    <col min="12302" max="12302" width="8.25" style="142" customWidth="1"/>
    <col min="12303" max="12547" width="9" style="142"/>
    <col min="12548" max="12556" width="9.625" style="142" customWidth="1"/>
    <col min="12557" max="12557" width="35.75" style="142" customWidth="1"/>
    <col min="12558" max="12558" width="8.25" style="142" customWidth="1"/>
    <col min="12559" max="12803" width="9" style="142"/>
    <col min="12804" max="12812" width="9.625" style="142" customWidth="1"/>
    <col min="12813" max="12813" width="35.75" style="142" customWidth="1"/>
    <col min="12814" max="12814" width="8.25" style="142" customWidth="1"/>
    <col min="12815" max="13059" width="9" style="142"/>
    <col min="13060" max="13068" width="9.625" style="142" customWidth="1"/>
    <col min="13069" max="13069" width="35.75" style="142" customWidth="1"/>
    <col min="13070" max="13070" width="8.25" style="142" customWidth="1"/>
    <col min="13071" max="13315" width="9" style="142"/>
    <col min="13316" max="13324" width="9.625" style="142" customWidth="1"/>
    <col min="13325" max="13325" width="35.75" style="142" customWidth="1"/>
    <col min="13326" max="13326" width="8.25" style="142" customWidth="1"/>
    <col min="13327" max="13571" width="9" style="142"/>
    <col min="13572" max="13580" width="9.625" style="142" customWidth="1"/>
    <col min="13581" max="13581" width="35.75" style="142" customWidth="1"/>
    <col min="13582" max="13582" width="8.25" style="142" customWidth="1"/>
    <col min="13583" max="13827" width="9" style="142"/>
    <col min="13828" max="13836" width="9.625" style="142" customWidth="1"/>
    <col min="13837" max="13837" width="35.75" style="142" customWidth="1"/>
    <col min="13838" max="13838" width="8.25" style="142" customWidth="1"/>
    <col min="13839" max="14083" width="9" style="142"/>
    <col min="14084" max="14092" width="9.625" style="142" customWidth="1"/>
    <col min="14093" max="14093" width="35.75" style="142" customWidth="1"/>
    <col min="14094" max="14094" width="8.25" style="142" customWidth="1"/>
    <col min="14095" max="14339" width="9" style="142"/>
    <col min="14340" max="14348" width="9.625" style="142" customWidth="1"/>
    <col min="14349" max="14349" width="35.75" style="142" customWidth="1"/>
    <col min="14350" max="14350" width="8.25" style="142" customWidth="1"/>
    <col min="14351" max="14595" width="9" style="142"/>
    <col min="14596" max="14604" width="9.625" style="142" customWidth="1"/>
    <col min="14605" max="14605" width="35.75" style="142" customWidth="1"/>
    <col min="14606" max="14606" width="8.25" style="142" customWidth="1"/>
    <col min="14607" max="14851" width="9" style="142"/>
    <col min="14852" max="14860" width="9.625" style="142" customWidth="1"/>
    <col min="14861" max="14861" width="35.75" style="142" customWidth="1"/>
    <col min="14862" max="14862" width="8.25" style="142" customWidth="1"/>
    <col min="14863" max="15107" width="9" style="142"/>
    <col min="15108" max="15116" width="9.625" style="142" customWidth="1"/>
    <col min="15117" max="15117" width="35.75" style="142" customWidth="1"/>
    <col min="15118" max="15118" width="8.25" style="142" customWidth="1"/>
    <col min="15119" max="15363" width="9" style="142"/>
    <col min="15364" max="15372" width="9.625" style="142" customWidth="1"/>
    <col min="15373" max="15373" width="35.75" style="142" customWidth="1"/>
    <col min="15374" max="15374" width="8.25" style="142" customWidth="1"/>
    <col min="15375" max="15619" width="9" style="142"/>
    <col min="15620" max="15628" width="9.625" style="142" customWidth="1"/>
    <col min="15629" max="15629" width="35.75" style="142" customWidth="1"/>
    <col min="15630" max="15630" width="8.25" style="142" customWidth="1"/>
    <col min="15631" max="15875" width="9" style="142"/>
    <col min="15876" max="15884" width="9.625" style="142" customWidth="1"/>
    <col min="15885" max="15885" width="35.75" style="142" customWidth="1"/>
    <col min="15886" max="15886" width="8.25" style="142" customWidth="1"/>
    <col min="15887" max="16131" width="9" style="142"/>
    <col min="16132" max="16140" width="9.625" style="142" customWidth="1"/>
    <col min="16141" max="16141" width="35.75" style="142" customWidth="1"/>
    <col min="16142" max="16142" width="8.25" style="142" customWidth="1"/>
    <col min="16143" max="16384" width="9" style="142"/>
  </cols>
  <sheetData>
    <row r="1" spans="4:14" ht="20.100000000000001" customHeight="1" x14ac:dyDescent="0.2">
      <c r="D1" s="593" t="s">
        <v>808</v>
      </c>
      <c r="E1" s="594"/>
      <c r="F1" s="594"/>
      <c r="G1" s="594"/>
      <c r="H1" s="594"/>
      <c r="I1" s="594"/>
      <c r="J1" s="594"/>
      <c r="K1" s="594"/>
      <c r="L1" s="594"/>
      <c r="M1" s="594"/>
      <c r="N1" s="141"/>
    </row>
    <row r="2" spans="4:14" ht="20.100000000000001" customHeight="1" thickBot="1" x14ac:dyDescent="0.25">
      <c r="D2" s="595" t="s">
        <v>809</v>
      </c>
      <c r="E2" s="595"/>
      <c r="F2" s="595"/>
      <c r="G2" s="595"/>
      <c r="H2" s="595"/>
      <c r="I2" s="595"/>
      <c r="J2" s="595"/>
      <c r="K2" s="595"/>
      <c r="L2" s="595"/>
      <c r="M2" s="595"/>
      <c r="N2" s="141"/>
    </row>
    <row r="3" spans="4:14" ht="13.5" thickBot="1" x14ac:dyDescent="0.25">
      <c r="D3" s="596" t="s">
        <v>4</v>
      </c>
      <c r="E3" s="596"/>
      <c r="F3" s="596"/>
      <c r="G3" s="596" t="s">
        <v>145</v>
      </c>
      <c r="H3" s="596"/>
      <c r="I3" s="596"/>
      <c r="J3" s="596" t="s">
        <v>146</v>
      </c>
      <c r="K3" s="596"/>
      <c r="L3" s="596"/>
      <c r="M3" s="143"/>
      <c r="N3" s="141"/>
    </row>
    <row r="4" spans="4:14" ht="13.5" thickBot="1" x14ac:dyDescent="0.25">
      <c r="D4" s="144" t="s">
        <v>227</v>
      </c>
      <c r="E4" s="144" t="s">
        <v>10</v>
      </c>
      <c r="F4" s="144" t="s">
        <v>9</v>
      </c>
      <c r="G4" s="144" t="s">
        <v>227</v>
      </c>
      <c r="H4" s="144" t="s">
        <v>10</v>
      </c>
      <c r="I4" s="144" t="s">
        <v>9</v>
      </c>
      <c r="J4" s="144" t="s">
        <v>227</v>
      </c>
      <c r="K4" s="144" t="s">
        <v>10</v>
      </c>
      <c r="L4" s="144" t="s">
        <v>9</v>
      </c>
      <c r="M4" s="145" t="s">
        <v>66</v>
      </c>
      <c r="N4" s="141"/>
    </row>
    <row r="5" spans="4:14" ht="13.5" thickBot="1" x14ac:dyDescent="0.25">
      <c r="D5" s="146">
        <f>SUM(E5:F5)</f>
        <v>1347</v>
      </c>
      <c r="E5" s="146">
        <f>K5+H5</f>
        <v>372</v>
      </c>
      <c r="F5" s="146">
        <f>L5+I5</f>
        <v>975</v>
      </c>
      <c r="G5" s="147">
        <f>SUM(H5:I5)</f>
        <v>7</v>
      </c>
      <c r="H5" s="147">
        <v>0</v>
      </c>
      <c r="I5" s="147">
        <v>7</v>
      </c>
      <c r="J5" s="147">
        <f>SUM(K5:L5)</f>
        <v>1340</v>
      </c>
      <c r="K5" s="147">
        <v>372</v>
      </c>
      <c r="L5" s="147">
        <v>968</v>
      </c>
      <c r="M5" s="148" t="s">
        <v>68</v>
      </c>
      <c r="N5" s="141"/>
    </row>
    <row r="6" spans="4:14" ht="13.5" thickBot="1" x14ac:dyDescent="0.25">
      <c r="D6" s="146">
        <f t="shared" ref="D6:D29" si="0">SUM(E6:F6)</f>
        <v>616</v>
      </c>
      <c r="E6" s="146">
        <f t="shared" ref="E6:F29" si="1">K6+H6</f>
        <v>3</v>
      </c>
      <c r="F6" s="146">
        <f t="shared" si="1"/>
        <v>613</v>
      </c>
      <c r="G6" s="146">
        <f t="shared" ref="G6:G29" si="2">SUM(H6:I6)</f>
        <v>2</v>
      </c>
      <c r="H6" s="146">
        <v>0</v>
      </c>
      <c r="I6" s="146">
        <v>2</v>
      </c>
      <c r="J6" s="147">
        <f t="shared" ref="J6:J29" si="3">SUM(K6:L6)</f>
        <v>614</v>
      </c>
      <c r="K6" s="146">
        <v>3</v>
      </c>
      <c r="L6" s="146">
        <v>611</v>
      </c>
      <c r="M6" s="148" t="s">
        <v>147</v>
      </c>
      <c r="N6" s="141"/>
    </row>
    <row r="7" spans="4:14" ht="13.5" thickBot="1" x14ac:dyDescent="0.25">
      <c r="D7" s="146">
        <f t="shared" si="0"/>
        <v>1952</v>
      </c>
      <c r="E7" s="146">
        <f t="shared" si="1"/>
        <v>225</v>
      </c>
      <c r="F7" s="146">
        <f t="shared" si="1"/>
        <v>1727</v>
      </c>
      <c r="G7" s="146">
        <f t="shared" si="2"/>
        <v>3</v>
      </c>
      <c r="H7" s="146">
        <v>0</v>
      </c>
      <c r="I7" s="146">
        <v>3</v>
      </c>
      <c r="J7" s="147">
        <f t="shared" si="3"/>
        <v>1949</v>
      </c>
      <c r="K7" s="146">
        <v>225</v>
      </c>
      <c r="L7" s="146">
        <v>1724</v>
      </c>
      <c r="M7" s="148" t="s">
        <v>70</v>
      </c>
      <c r="N7" s="141"/>
    </row>
    <row r="8" spans="4:14" ht="13.5" thickBot="1" x14ac:dyDescent="0.25">
      <c r="D8" s="146">
        <f t="shared" si="0"/>
        <v>3905</v>
      </c>
      <c r="E8" s="146">
        <f t="shared" si="1"/>
        <v>746</v>
      </c>
      <c r="F8" s="146">
        <f t="shared" si="1"/>
        <v>3159</v>
      </c>
      <c r="G8" s="146">
        <f t="shared" si="2"/>
        <v>184</v>
      </c>
      <c r="H8" s="146">
        <v>13</v>
      </c>
      <c r="I8" s="146">
        <v>171</v>
      </c>
      <c r="J8" s="147">
        <f t="shared" si="3"/>
        <v>3721</v>
      </c>
      <c r="K8" s="146">
        <v>733</v>
      </c>
      <c r="L8" s="146">
        <v>2988</v>
      </c>
      <c r="M8" s="148" t="s">
        <v>72</v>
      </c>
      <c r="N8" s="141"/>
    </row>
    <row r="9" spans="4:14" ht="13.5" thickBot="1" x14ac:dyDescent="0.25">
      <c r="D9" s="146">
        <f t="shared" si="0"/>
        <v>2243</v>
      </c>
      <c r="E9" s="146">
        <f t="shared" si="1"/>
        <v>637</v>
      </c>
      <c r="F9" s="146">
        <f t="shared" si="1"/>
        <v>1606</v>
      </c>
      <c r="G9" s="146">
        <f t="shared" si="2"/>
        <v>89</v>
      </c>
      <c r="H9" s="146">
        <v>9</v>
      </c>
      <c r="I9" s="146">
        <v>80</v>
      </c>
      <c r="J9" s="147">
        <f t="shared" si="3"/>
        <v>2154</v>
      </c>
      <c r="K9" s="146">
        <v>628</v>
      </c>
      <c r="L9" s="146">
        <v>1526</v>
      </c>
      <c r="M9" s="148" t="s">
        <v>73</v>
      </c>
      <c r="N9" s="141"/>
    </row>
    <row r="10" spans="4:14" ht="13.5" thickBot="1" x14ac:dyDescent="0.25">
      <c r="D10" s="146">
        <f t="shared" si="0"/>
        <v>1379</v>
      </c>
      <c r="E10" s="146">
        <f t="shared" si="1"/>
        <v>3</v>
      </c>
      <c r="F10" s="146">
        <f t="shared" si="1"/>
        <v>1376</v>
      </c>
      <c r="G10" s="146">
        <f t="shared" si="2"/>
        <v>344</v>
      </c>
      <c r="H10" s="146">
        <v>3</v>
      </c>
      <c r="I10" s="146">
        <v>341</v>
      </c>
      <c r="J10" s="147">
        <f t="shared" si="3"/>
        <v>1035</v>
      </c>
      <c r="K10" s="146">
        <v>0</v>
      </c>
      <c r="L10" s="146">
        <v>1035</v>
      </c>
      <c r="M10" s="148" t="s">
        <v>90</v>
      </c>
      <c r="N10" s="141"/>
    </row>
    <row r="11" spans="4:14" ht="13.5" thickBot="1" x14ac:dyDescent="0.25">
      <c r="D11" s="146">
        <f t="shared" si="0"/>
        <v>1726</v>
      </c>
      <c r="E11" s="146">
        <f t="shared" si="1"/>
        <v>402</v>
      </c>
      <c r="F11" s="146">
        <f t="shared" si="1"/>
        <v>1324</v>
      </c>
      <c r="G11" s="146">
        <f t="shared" si="2"/>
        <v>43</v>
      </c>
      <c r="H11" s="146">
        <v>6</v>
      </c>
      <c r="I11" s="146">
        <v>37</v>
      </c>
      <c r="J11" s="147">
        <f t="shared" si="3"/>
        <v>1683</v>
      </c>
      <c r="K11" s="146">
        <v>396</v>
      </c>
      <c r="L11" s="146">
        <v>1287</v>
      </c>
      <c r="M11" s="148" t="s">
        <v>74</v>
      </c>
      <c r="N11" s="141"/>
    </row>
    <row r="12" spans="4:14" ht="13.5" thickBot="1" x14ac:dyDescent="0.25">
      <c r="D12" s="146">
        <f t="shared" si="0"/>
        <v>915</v>
      </c>
      <c r="E12" s="146">
        <f t="shared" si="1"/>
        <v>234</v>
      </c>
      <c r="F12" s="146">
        <f t="shared" si="1"/>
        <v>681</v>
      </c>
      <c r="G12" s="146">
        <f t="shared" si="2"/>
        <v>12</v>
      </c>
      <c r="H12" s="146">
        <v>0</v>
      </c>
      <c r="I12" s="146">
        <v>12</v>
      </c>
      <c r="J12" s="147">
        <f t="shared" si="3"/>
        <v>903</v>
      </c>
      <c r="K12" s="146">
        <v>234</v>
      </c>
      <c r="L12" s="146">
        <v>669</v>
      </c>
      <c r="M12" s="148" t="s">
        <v>75</v>
      </c>
      <c r="N12" s="141"/>
    </row>
    <row r="13" spans="4:14" ht="13.5" thickBot="1" x14ac:dyDescent="0.25">
      <c r="D13" s="146">
        <f t="shared" si="0"/>
        <v>1067</v>
      </c>
      <c r="E13" s="146">
        <f t="shared" si="1"/>
        <v>233</v>
      </c>
      <c r="F13" s="146">
        <f t="shared" si="1"/>
        <v>834</v>
      </c>
      <c r="G13" s="146">
        <f t="shared" si="2"/>
        <v>59</v>
      </c>
      <c r="H13" s="146">
        <v>19</v>
      </c>
      <c r="I13" s="146">
        <v>40</v>
      </c>
      <c r="J13" s="147">
        <f t="shared" si="3"/>
        <v>1008</v>
      </c>
      <c r="K13" s="146">
        <v>214</v>
      </c>
      <c r="L13" s="146">
        <v>794</v>
      </c>
      <c r="M13" s="148" t="s">
        <v>100</v>
      </c>
      <c r="N13" s="141"/>
    </row>
    <row r="14" spans="4:14" ht="13.5" thickBot="1" x14ac:dyDescent="0.25">
      <c r="D14" s="146">
        <f t="shared" si="0"/>
        <v>753</v>
      </c>
      <c r="E14" s="146">
        <f t="shared" si="1"/>
        <v>272</v>
      </c>
      <c r="F14" s="146">
        <f t="shared" si="1"/>
        <v>481</v>
      </c>
      <c r="G14" s="146">
        <f t="shared" si="2"/>
        <v>13</v>
      </c>
      <c r="H14" s="146">
        <v>0</v>
      </c>
      <c r="I14" s="146">
        <v>13</v>
      </c>
      <c r="J14" s="147">
        <f t="shared" si="3"/>
        <v>740</v>
      </c>
      <c r="K14" s="146">
        <v>272</v>
      </c>
      <c r="L14" s="146">
        <v>468</v>
      </c>
      <c r="M14" s="148" t="s">
        <v>76</v>
      </c>
      <c r="N14" s="141"/>
    </row>
    <row r="15" spans="4:14" ht="13.5" thickBot="1" x14ac:dyDescent="0.25">
      <c r="D15" s="146">
        <f t="shared" si="0"/>
        <v>594</v>
      </c>
      <c r="E15" s="146">
        <f t="shared" si="1"/>
        <v>195</v>
      </c>
      <c r="F15" s="146">
        <f t="shared" si="1"/>
        <v>399</v>
      </c>
      <c r="G15" s="146">
        <f t="shared" si="2"/>
        <v>7</v>
      </c>
      <c r="H15" s="146">
        <v>0</v>
      </c>
      <c r="I15" s="146">
        <v>7</v>
      </c>
      <c r="J15" s="147">
        <f t="shared" si="3"/>
        <v>587</v>
      </c>
      <c r="K15" s="146">
        <v>195</v>
      </c>
      <c r="L15" s="146">
        <v>392</v>
      </c>
      <c r="M15" s="148" t="s">
        <v>77</v>
      </c>
      <c r="N15" s="141"/>
    </row>
    <row r="16" spans="4:14" ht="13.5" thickBot="1" x14ac:dyDescent="0.25">
      <c r="D16" s="146">
        <f t="shared" si="0"/>
        <v>81</v>
      </c>
      <c r="E16" s="146">
        <f t="shared" si="1"/>
        <v>74</v>
      </c>
      <c r="F16" s="146">
        <f t="shared" si="1"/>
        <v>7</v>
      </c>
      <c r="G16" s="146">
        <f t="shared" si="2"/>
        <v>20</v>
      </c>
      <c r="H16" s="146">
        <v>18</v>
      </c>
      <c r="I16" s="146">
        <v>2</v>
      </c>
      <c r="J16" s="147">
        <f t="shared" si="3"/>
        <v>61</v>
      </c>
      <c r="K16" s="146">
        <v>56</v>
      </c>
      <c r="L16" s="146">
        <v>5</v>
      </c>
      <c r="M16" s="148" t="s">
        <v>148</v>
      </c>
      <c r="N16" s="141"/>
    </row>
    <row r="17" spans="4:14" ht="13.5" thickBot="1" x14ac:dyDescent="0.25">
      <c r="D17" s="146">
        <f t="shared" si="0"/>
        <v>447</v>
      </c>
      <c r="E17" s="146">
        <f t="shared" si="1"/>
        <v>114</v>
      </c>
      <c r="F17" s="146">
        <f t="shared" si="1"/>
        <v>333</v>
      </c>
      <c r="G17" s="146">
        <f t="shared" si="2"/>
        <v>17</v>
      </c>
      <c r="H17" s="146">
        <v>0</v>
      </c>
      <c r="I17" s="146">
        <v>17</v>
      </c>
      <c r="J17" s="147">
        <f t="shared" si="3"/>
        <v>430</v>
      </c>
      <c r="K17" s="146">
        <v>114</v>
      </c>
      <c r="L17" s="146">
        <v>316</v>
      </c>
      <c r="M17" s="148" t="s">
        <v>106</v>
      </c>
      <c r="N17" s="141"/>
    </row>
    <row r="18" spans="4:14" ht="13.5" thickBot="1" x14ac:dyDescent="0.25">
      <c r="D18" s="146">
        <f t="shared" si="0"/>
        <v>364</v>
      </c>
      <c r="E18" s="146">
        <f t="shared" si="1"/>
        <v>100</v>
      </c>
      <c r="F18" s="146">
        <f t="shared" si="1"/>
        <v>264</v>
      </c>
      <c r="G18" s="146">
        <f t="shared" si="2"/>
        <v>1</v>
      </c>
      <c r="H18" s="146">
        <v>0</v>
      </c>
      <c r="I18" s="146">
        <v>1</v>
      </c>
      <c r="J18" s="147">
        <f t="shared" si="3"/>
        <v>363</v>
      </c>
      <c r="K18" s="146">
        <v>100</v>
      </c>
      <c r="L18" s="146">
        <v>263</v>
      </c>
      <c r="M18" s="148" t="s">
        <v>109</v>
      </c>
      <c r="N18" s="141"/>
    </row>
    <row r="19" spans="4:14" ht="13.5" thickBot="1" x14ac:dyDescent="0.25">
      <c r="D19" s="146">
        <f t="shared" si="0"/>
        <v>273</v>
      </c>
      <c r="E19" s="146">
        <f t="shared" si="1"/>
        <v>55</v>
      </c>
      <c r="F19" s="146">
        <f t="shared" si="1"/>
        <v>218</v>
      </c>
      <c r="G19" s="146">
        <f t="shared" si="2"/>
        <v>0</v>
      </c>
      <c r="H19" s="146">
        <v>0</v>
      </c>
      <c r="I19" s="146">
        <v>0</v>
      </c>
      <c r="J19" s="147">
        <f t="shared" si="3"/>
        <v>273</v>
      </c>
      <c r="K19" s="146">
        <v>55</v>
      </c>
      <c r="L19" s="146">
        <v>218</v>
      </c>
      <c r="M19" s="148" t="s">
        <v>111</v>
      </c>
      <c r="N19" s="141"/>
    </row>
    <row r="20" spans="4:14" ht="13.5" thickBot="1" x14ac:dyDescent="0.25">
      <c r="D20" s="146">
        <f t="shared" si="0"/>
        <v>317</v>
      </c>
      <c r="E20" s="146">
        <f t="shared" si="1"/>
        <v>113</v>
      </c>
      <c r="F20" s="146">
        <f t="shared" si="1"/>
        <v>204</v>
      </c>
      <c r="G20" s="146">
        <f t="shared" si="2"/>
        <v>4</v>
      </c>
      <c r="H20" s="146">
        <v>0</v>
      </c>
      <c r="I20" s="146">
        <v>4</v>
      </c>
      <c r="J20" s="147">
        <f t="shared" si="3"/>
        <v>313</v>
      </c>
      <c r="K20" s="146">
        <v>113</v>
      </c>
      <c r="L20" s="146">
        <v>200</v>
      </c>
      <c r="M20" s="148" t="s">
        <v>115</v>
      </c>
      <c r="N20" s="141"/>
    </row>
    <row r="21" spans="4:14" ht="13.5" thickBot="1" x14ac:dyDescent="0.25">
      <c r="D21" s="146">
        <f t="shared" si="0"/>
        <v>295</v>
      </c>
      <c r="E21" s="146">
        <f t="shared" si="1"/>
        <v>69</v>
      </c>
      <c r="F21" s="146">
        <f t="shared" si="1"/>
        <v>226</v>
      </c>
      <c r="G21" s="146">
        <f t="shared" si="2"/>
        <v>0</v>
      </c>
      <c r="H21" s="146">
        <v>0</v>
      </c>
      <c r="I21" s="146">
        <v>0</v>
      </c>
      <c r="J21" s="147">
        <f t="shared" si="3"/>
        <v>295</v>
      </c>
      <c r="K21" s="146">
        <v>69</v>
      </c>
      <c r="L21" s="146">
        <v>226</v>
      </c>
      <c r="M21" s="148" t="s">
        <v>117</v>
      </c>
      <c r="N21" s="141"/>
    </row>
    <row r="22" spans="4:14" ht="13.5" thickBot="1" x14ac:dyDescent="0.25">
      <c r="D22" s="146">
        <f t="shared" si="0"/>
        <v>217</v>
      </c>
      <c r="E22" s="146">
        <f t="shared" si="1"/>
        <v>26</v>
      </c>
      <c r="F22" s="146">
        <f t="shared" si="1"/>
        <v>191</v>
      </c>
      <c r="G22" s="146">
        <f t="shared" si="2"/>
        <v>0</v>
      </c>
      <c r="H22" s="146">
        <v>0</v>
      </c>
      <c r="I22" s="146">
        <v>0</v>
      </c>
      <c r="J22" s="147">
        <f t="shared" si="3"/>
        <v>217</v>
      </c>
      <c r="K22" s="146">
        <v>26</v>
      </c>
      <c r="L22" s="146">
        <v>191</v>
      </c>
      <c r="M22" s="148" t="s">
        <v>119</v>
      </c>
      <c r="N22" s="141"/>
    </row>
    <row r="23" spans="4:14" ht="13.5" thickBot="1" x14ac:dyDescent="0.25">
      <c r="D23" s="146">
        <f t="shared" si="0"/>
        <v>1203</v>
      </c>
      <c r="E23" s="146">
        <f t="shared" si="1"/>
        <v>1048</v>
      </c>
      <c r="F23" s="146">
        <f t="shared" si="1"/>
        <v>155</v>
      </c>
      <c r="G23" s="146">
        <f t="shared" si="2"/>
        <v>2</v>
      </c>
      <c r="H23" s="146">
        <v>0</v>
      </c>
      <c r="I23" s="146">
        <v>2</v>
      </c>
      <c r="J23" s="147">
        <f t="shared" si="3"/>
        <v>1201</v>
      </c>
      <c r="K23" s="146">
        <v>1048</v>
      </c>
      <c r="L23" s="146">
        <v>153</v>
      </c>
      <c r="M23" s="148" t="s">
        <v>121</v>
      </c>
      <c r="N23" s="141"/>
    </row>
    <row r="24" spans="4:14" ht="13.5" thickBot="1" x14ac:dyDescent="0.25">
      <c r="D24" s="146">
        <f t="shared" si="0"/>
        <v>155</v>
      </c>
      <c r="E24" s="146">
        <f t="shared" si="1"/>
        <v>23</v>
      </c>
      <c r="F24" s="146">
        <f t="shared" si="1"/>
        <v>132</v>
      </c>
      <c r="G24" s="146">
        <f t="shared" si="2"/>
        <v>2</v>
      </c>
      <c r="H24" s="146">
        <v>1</v>
      </c>
      <c r="I24" s="146">
        <v>1</v>
      </c>
      <c r="J24" s="147">
        <f t="shared" si="3"/>
        <v>153</v>
      </c>
      <c r="K24" s="146">
        <v>22</v>
      </c>
      <c r="L24" s="146">
        <v>131</v>
      </c>
      <c r="M24" s="148" t="s">
        <v>123</v>
      </c>
      <c r="N24" s="141"/>
    </row>
    <row r="25" spans="4:14" ht="13.5" thickBot="1" x14ac:dyDescent="0.25">
      <c r="D25" s="146">
        <f t="shared" si="0"/>
        <v>930</v>
      </c>
      <c r="E25" s="146">
        <f t="shared" si="1"/>
        <v>75</v>
      </c>
      <c r="F25" s="146">
        <f t="shared" si="1"/>
        <v>855</v>
      </c>
      <c r="G25" s="146">
        <f t="shared" si="2"/>
        <v>3</v>
      </c>
      <c r="H25" s="146">
        <v>0</v>
      </c>
      <c r="I25" s="146">
        <v>3</v>
      </c>
      <c r="J25" s="147">
        <f t="shared" si="3"/>
        <v>927</v>
      </c>
      <c r="K25" s="146">
        <v>75</v>
      </c>
      <c r="L25" s="146">
        <v>852</v>
      </c>
      <c r="M25" s="148" t="s">
        <v>151</v>
      </c>
      <c r="N25" s="141"/>
    </row>
    <row r="26" spans="4:14" ht="13.5" thickBot="1" x14ac:dyDescent="0.25">
      <c r="D26" s="146">
        <f t="shared" si="0"/>
        <v>131</v>
      </c>
      <c r="E26" s="146">
        <f t="shared" si="1"/>
        <v>50</v>
      </c>
      <c r="F26" s="146">
        <f t="shared" si="1"/>
        <v>81</v>
      </c>
      <c r="G26" s="146">
        <f t="shared" si="2"/>
        <v>91</v>
      </c>
      <c r="H26" s="146">
        <v>32</v>
      </c>
      <c r="I26" s="146">
        <v>59</v>
      </c>
      <c r="J26" s="147">
        <f t="shared" si="3"/>
        <v>40</v>
      </c>
      <c r="K26" s="146">
        <v>18</v>
      </c>
      <c r="L26" s="146">
        <v>22</v>
      </c>
      <c r="M26" s="148" t="s">
        <v>152</v>
      </c>
      <c r="N26" s="141"/>
    </row>
    <row r="27" spans="4:14" ht="13.5" thickBot="1" x14ac:dyDescent="0.25">
      <c r="D27" s="146">
        <f t="shared" si="0"/>
        <v>285</v>
      </c>
      <c r="E27" s="146">
        <f t="shared" si="1"/>
        <v>26</v>
      </c>
      <c r="F27" s="146">
        <f t="shared" si="1"/>
        <v>259</v>
      </c>
      <c r="G27" s="146">
        <f t="shared" si="2"/>
        <v>25</v>
      </c>
      <c r="H27" s="146">
        <v>2</v>
      </c>
      <c r="I27" s="146">
        <v>23</v>
      </c>
      <c r="J27" s="147">
        <f t="shared" si="3"/>
        <v>260</v>
      </c>
      <c r="K27" s="146">
        <v>24</v>
      </c>
      <c r="L27" s="146">
        <v>236</v>
      </c>
      <c r="M27" s="148" t="s">
        <v>228</v>
      </c>
      <c r="N27" s="141"/>
    </row>
    <row r="28" spans="4:14" ht="13.5" thickBot="1" x14ac:dyDescent="0.25">
      <c r="D28" s="146">
        <f t="shared" si="0"/>
        <v>433</v>
      </c>
      <c r="E28" s="146">
        <f t="shared" si="1"/>
        <v>42</v>
      </c>
      <c r="F28" s="146">
        <f t="shared" si="1"/>
        <v>391</v>
      </c>
      <c r="G28" s="146">
        <f t="shared" si="2"/>
        <v>4</v>
      </c>
      <c r="H28" s="146">
        <v>0</v>
      </c>
      <c r="I28" s="146">
        <v>4</v>
      </c>
      <c r="J28" s="147">
        <f t="shared" si="3"/>
        <v>429</v>
      </c>
      <c r="K28" s="146">
        <v>42</v>
      </c>
      <c r="L28" s="146">
        <v>387</v>
      </c>
      <c r="M28" s="148" t="s">
        <v>153</v>
      </c>
      <c r="N28" s="141"/>
    </row>
    <row r="29" spans="4:14" ht="13.5" thickBot="1" x14ac:dyDescent="0.25">
      <c r="D29" s="146">
        <f t="shared" si="0"/>
        <v>1244</v>
      </c>
      <c r="E29" s="146">
        <f t="shared" si="1"/>
        <v>647</v>
      </c>
      <c r="F29" s="146">
        <f t="shared" si="1"/>
        <v>597</v>
      </c>
      <c r="G29" s="146">
        <f t="shared" si="2"/>
        <v>620</v>
      </c>
      <c r="H29" s="146">
        <v>254</v>
      </c>
      <c r="I29" s="146">
        <v>366</v>
      </c>
      <c r="J29" s="147">
        <f t="shared" si="3"/>
        <v>624</v>
      </c>
      <c r="K29" s="146">
        <v>393</v>
      </c>
      <c r="L29" s="146">
        <v>231</v>
      </c>
      <c r="M29" s="148" t="s">
        <v>155</v>
      </c>
      <c r="N29" s="141"/>
    </row>
    <row r="30" spans="4:14" ht="13.5" thickBot="1" x14ac:dyDescent="0.25">
      <c r="D30" s="146">
        <f t="shared" ref="D30:L30" si="4">SUM(D5:D29)</f>
        <v>22872</v>
      </c>
      <c r="E30" s="146">
        <f t="shared" si="4"/>
        <v>5784</v>
      </c>
      <c r="F30" s="146">
        <f t="shared" si="4"/>
        <v>17088</v>
      </c>
      <c r="G30" s="146">
        <f t="shared" si="4"/>
        <v>1552</v>
      </c>
      <c r="H30" s="146">
        <f t="shared" si="4"/>
        <v>357</v>
      </c>
      <c r="I30" s="146">
        <f t="shared" si="4"/>
        <v>1195</v>
      </c>
      <c r="J30" s="146">
        <f t="shared" si="4"/>
        <v>21320</v>
      </c>
      <c r="K30" s="146">
        <f t="shared" si="4"/>
        <v>5427</v>
      </c>
      <c r="L30" s="146">
        <f t="shared" si="4"/>
        <v>15893</v>
      </c>
      <c r="M30" s="145" t="s">
        <v>188</v>
      </c>
      <c r="N30" s="141"/>
    </row>
  </sheetData>
  <mergeCells count="5">
    <mergeCell ref="D1:M1"/>
    <mergeCell ref="D2:M2"/>
    <mergeCell ref="D3:F3"/>
    <mergeCell ref="G3:I3"/>
    <mergeCell ref="J3:L3"/>
  </mergeCells>
  <pageMargins left="1.63" right="0.4" top="0.25" bottom="0.25" header="0.25" footer="0.25"/>
  <pageSetup paperSize="9" scale="92" orientation="landscape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P398"/>
  <sheetViews>
    <sheetView showGridLines="0" zoomScaleNormal="100" workbookViewId="0">
      <selection activeCell="L3" sqref="C1:L1048576"/>
    </sheetView>
  </sheetViews>
  <sheetFormatPr defaultColWidth="9" defaultRowHeight="16.5" customHeight="1" x14ac:dyDescent="0.2"/>
  <cols>
    <col min="1" max="2" width="9" style="142"/>
    <col min="3" max="4" width="9" style="354"/>
    <col min="5" max="5" width="10.125" style="354" bestFit="1" customWidth="1"/>
    <col min="6" max="8" width="9" style="355"/>
    <col min="9" max="9" width="10.125" style="355" bestFit="1" customWidth="1"/>
    <col min="10" max="10" width="9" style="355"/>
    <col min="11" max="11" width="10.875" style="355" customWidth="1"/>
    <col min="12" max="12" width="37.625" style="354" bestFit="1" customWidth="1"/>
    <col min="13" max="16384" width="9" style="142"/>
  </cols>
  <sheetData>
    <row r="1" spans="3:16" ht="16.5" customHeight="1" x14ac:dyDescent="0.2">
      <c r="C1" s="599" t="s">
        <v>810</v>
      </c>
      <c r="D1" s="600"/>
      <c r="E1" s="600"/>
      <c r="F1" s="600"/>
      <c r="G1" s="600"/>
      <c r="H1" s="600"/>
      <c r="I1" s="600"/>
      <c r="J1" s="600"/>
      <c r="K1" s="600"/>
      <c r="L1" s="600"/>
    </row>
    <row r="2" spans="3:16" ht="16.5" customHeight="1" thickBot="1" x14ac:dyDescent="0.25">
      <c r="C2" s="601" t="s">
        <v>811</v>
      </c>
      <c r="D2" s="601"/>
      <c r="E2" s="601"/>
      <c r="F2" s="601"/>
      <c r="G2" s="601"/>
      <c r="H2" s="601"/>
      <c r="I2" s="601"/>
      <c r="J2" s="601"/>
      <c r="K2" s="601"/>
      <c r="L2" s="601"/>
      <c r="N2" s="150"/>
      <c r="O2" s="150"/>
      <c r="P2" s="150"/>
    </row>
    <row r="3" spans="3:16" ht="16.5" customHeight="1" thickBot="1" x14ac:dyDescent="0.25">
      <c r="C3" s="597" t="s">
        <v>4</v>
      </c>
      <c r="D3" s="597"/>
      <c r="E3" s="597"/>
      <c r="F3" s="598" t="s">
        <v>145</v>
      </c>
      <c r="G3" s="598"/>
      <c r="H3" s="598"/>
      <c r="I3" s="598" t="s">
        <v>146</v>
      </c>
      <c r="J3" s="598"/>
      <c r="K3" s="598"/>
      <c r="L3" s="347" t="s">
        <v>66</v>
      </c>
    </row>
    <row r="4" spans="3:16" ht="16.5" customHeight="1" thickBot="1" x14ac:dyDescent="0.25">
      <c r="C4" s="347" t="s">
        <v>227</v>
      </c>
      <c r="D4" s="347" t="s">
        <v>10</v>
      </c>
      <c r="E4" s="347" t="s">
        <v>9</v>
      </c>
      <c r="F4" s="348" t="s">
        <v>227</v>
      </c>
      <c r="G4" s="348" t="s">
        <v>10</v>
      </c>
      <c r="H4" s="348" t="s">
        <v>9</v>
      </c>
      <c r="I4" s="348" t="s">
        <v>227</v>
      </c>
      <c r="J4" s="348" t="s">
        <v>10</v>
      </c>
      <c r="K4" s="348" t="s">
        <v>9</v>
      </c>
      <c r="L4" s="349" t="s">
        <v>68</v>
      </c>
    </row>
    <row r="5" spans="3:16" ht="16.5" customHeight="1" thickBot="1" x14ac:dyDescent="0.25">
      <c r="C5" s="350">
        <f>SUM(D5:E5)</f>
        <v>1347</v>
      </c>
      <c r="D5" s="350">
        <f>J5+G5</f>
        <v>372</v>
      </c>
      <c r="E5" s="350">
        <f>K5+H5</f>
        <v>975</v>
      </c>
      <c r="F5" s="351">
        <f>SUM(G5:H5)</f>
        <v>7</v>
      </c>
      <c r="G5" s="351">
        <v>0</v>
      </c>
      <c r="H5" s="351">
        <v>7</v>
      </c>
      <c r="I5" s="351">
        <f>SUM(J5:K5)</f>
        <v>1340</v>
      </c>
      <c r="J5" s="351">
        <v>372</v>
      </c>
      <c r="K5" s="351">
        <v>968</v>
      </c>
      <c r="L5" s="352" t="s">
        <v>744</v>
      </c>
    </row>
    <row r="6" spans="3:16" ht="16.5" customHeight="1" thickBot="1" x14ac:dyDescent="0.25">
      <c r="C6" s="350">
        <f t="shared" ref="C6:J6" si="0">SUM(C5)</f>
        <v>1347</v>
      </c>
      <c r="D6" s="350">
        <f t="shared" si="0"/>
        <v>372</v>
      </c>
      <c r="E6" s="350">
        <f t="shared" si="0"/>
        <v>975</v>
      </c>
      <c r="F6" s="351">
        <f t="shared" si="0"/>
        <v>7</v>
      </c>
      <c r="G6" s="351">
        <f t="shared" si="0"/>
        <v>0</v>
      </c>
      <c r="H6" s="351">
        <f t="shared" si="0"/>
        <v>7</v>
      </c>
      <c r="I6" s="351">
        <f t="shared" si="0"/>
        <v>1340</v>
      </c>
      <c r="J6" s="351">
        <f t="shared" si="0"/>
        <v>372</v>
      </c>
      <c r="K6" s="351">
        <f>SUM(K5)</f>
        <v>968</v>
      </c>
      <c r="L6" s="353" t="s">
        <v>244</v>
      </c>
    </row>
    <row r="7" spans="3:16" ht="16.5" customHeight="1" thickBot="1" x14ac:dyDescent="0.25"/>
    <row r="8" spans="3:16" ht="16.5" customHeight="1" thickBot="1" x14ac:dyDescent="0.25">
      <c r="C8" s="597" t="s">
        <v>4</v>
      </c>
      <c r="D8" s="597"/>
      <c r="E8" s="597"/>
      <c r="F8" s="598" t="s">
        <v>145</v>
      </c>
      <c r="G8" s="598"/>
      <c r="H8" s="598"/>
      <c r="I8" s="598" t="s">
        <v>146</v>
      </c>
      <c r="J8" s="598"/>
      <c r="K8" s="598"/>
      <c r="L8" s="347" t="s">
        <v>66</v>
      </c>
    </row>
    <row r="9" spans="3:16" ht="16.5" customHeight="1" thickBot="1" x14ac:dyDescent="0.25">
      <c r="C9" s="347" t="s">
        <v>227</v>
      </c>
      <c r="D9" s="347" t="s">
        <v>10</v>
      </c>
      <c r="E9" s="347" t="s">
        <v>9</v>
      </c>
      <c r="F9" s="348" t="s">
        <v>227</v>
      </c>
      <c r="G9" s="348" t="s">
        <v>10</v>
      </c>
      <c r="H9" s="348" t="s">
        <v>9</v>
      </c>
      <c r="I9" s="348" t="s">
        <v>227</v>
      </c>
      <c r="J9" s="348" t="s">
        <v>10</v>
      </c>
      <c r="K9" s="348" t="s">
        <v>9</v>
      </c>
      <c r="L9" s="349" t="s">
        <v>147</v>
      </c>
    </row>
    <row r="10" spans="3:16" ht="16.5" customHeight="1" thickBot="1" x14ac:dyDescent="0.25">
      <c r="C10" s="350">
        <f>SUM(D10:E10)</f>
        <v>616</v>
      </c>
      <c r="D10" s="350">
        <f>J10+G10</f>
        <v>3</v>
      </c>
      <c r="E10" s="350">
        <f>K10+H10</f>
        <v>613</v>
      </c>
      <c r="F10" s="351">
        <f>SUM(G10:H10)</f>
        <v>2</v>
      </c>
      <c r="G10" s="351">
        <v>0</v>
      </c>
      <c r="H10" s="351">
        <v>2</v>
      </c>
      <c r="I10" s="351">
        <f>SUM(J10:K10)</f>
        <v>614</v>
      </c>
      <c r="J10" s="351">
        <v>3</v>
      </c>
      <c r="K10" s="351">
        <v>611</v>
      </c>
      <c r="L10" s="352" t="s">
        <v>756</v>
      </c>
    </row>
    <row r="11" spans="3:16" ht="16.5" customHeight="1" thickBot="1" x14ac:dyDescent="0.25">
      <c r="C11" s="350">
        <f t="shared" ref="C11:J11" si="1">SUM(C10)</f>
        <v>616</v>
      </c>
      <c r="D11" s="350">
        <f t="shared" si="1"/>
        <v>3</v>
      </c>
      <c r="E11" s="350">
        <f t="shared" si="1"/>
        <v>613</v>
      </c>
      <c r="F11" s="351">
        <f t="shared" si="1"/>
        <v>2</v>
      </c>
      <c r="G11" s="351">
        <f t="shared" si="1"/>
        <v>0</v>
      </c>
      <c r="H11" s="351">
        <f t="shared" si="1"/>
        <v>2</v>
      </c>
      <c r="I11" s="351">
        <f t="shared" si="1"/>
        <v>614</v>
      </c>
      <c r="J11" s="351">
        <f t="shared" si="1"/>
        <v>3</v>
      </c>
      <c r="K11" s="351">
        <f>SUM(K10)</f>
        <v>611</v>
      </c>
      <c r="L11" s="353" t="s">
        <v>244</v>
      </c>
    </row>
    <row r="12" spans="3:16" ht="16.5" customHeight="1" thickBot="1" x14ac:dyDescent="0.25"/>
    <row r="13" spans="3:16" ht="16.5" customHeight="1" thickBot="1" x14ac:dyDescent="0.25">
      <c r="C13" s="597" t="s">
        <v>4</v>
      </c>
      <c r="D13" s="597"/>
      <c r="E13" s="597"/>
      <c r="F13" s="598" t="s">
        <v>145</v>
      </c>
      <c r="G13" s="598"/>
      <c r="H13" s="598"/>
      <c r="I13" s="598" t="s">
        <v>146</v>
      </c>
      <c r="J13" s="598"/>
      <c r="K13" s="598"/>
      <c r="L13" s="347" t="s">
        <v>66</v>
      </c>
    </row>
    <row r="14" spans="3:16" ht="16.5" customHeight="1" thickBot="1" x14ac:dyDescent="0.25">
      <c r="C14" s="347" t="s">
        <v>227</v>
      </c>
      <c r="D14" s="347" t="s">
        <v>10</v>
      </c>
      <c r="E14" s="347" t="s">
        <v>9</v>
      </c>
      <c r="F14" s="348" t="s">
        <v>227</v>
      </c>
      <c r="G14" s="348" t="s">
        <v>10</v>
      </c>
      <c r="H14" s="348" t="s">
        <v>9</v>
      </c>
      <c r="I14" s="348" t="s">
        <v>227</v>
      </c>
      <c r="J14" s="348" t="s">
        <v>10</v>
      </c>
      <c r="K14" s="348" t="s">
        <v>9</v>
      </c>
      <c r="L14" s="349" t="s">
        <v>70</v>
      </c>
    </row>
    <row r="15" spans="3:16" ht="16.5" customHeight="1" thickBot="1" x14ac:dyDescent="0.25">
      <c r="C15" s="350">
        <f>SUM(D15:E15)</f>
        <v>29</v>
      </c>
      <c r="D15" s="350">
        <f>J15+G15</f>
        <v>4</v>
      </c>
      <c r="E15" s="350">
        <f>K15+H15</f>
        <v>25</v>
      </c>
      <c r="F15" s="351">
        <f>SUM(G15:H15)</f>
        <v>0</v>
      </c>
      <c r="G15" s="351">
        <v>0</v>
      </c>
      <c r="H15" s="351">
        <v>0</v>
      </c>
      <c r="I15" s="351">
        <f>SUM(J15:K15)</f>
        <v>29</v>
      </c>
      <c r="J15" s="351">
        <v>4</v>
      </c>
      <c r="K15" s="351">
        <v>25</v>
      </c>
      <c r="L15" s="352" t="s">
        <v>366</v>
      </c>
    </row>
    <row r="16" spans="3:16" ht="16.5" customHeight="1" thickBot="1" x14ac:dyDescent="0.25">
      <c r="C16" s="350">
        <f t="shared" ref="C16:C29" si="2">SUM(D16:E16)</f>
        <v>20</v>
      </c>
      <c r="D16" s="350">
        <f t="shared" ref="D16:E29" si="3">J16+G16</f>
        <v>0</v>
      </c>
      <c r="E16" s="350">
        <f t="shared" si="3"/>
        <v>20</v>
      </c>
      <c r="F16" s="351">
        <f t="shared" ref="F16:F29" si="4">SUM(G16:H16)</f>
        <v>0</v>
      </c>
      <c r="G16" s="351">
        <v>0</v>
      </c>
      <c r="H16" s="351">
        <v>0</v>
      </c>
      <c r="I16" s="351">
        <f t="shared" ref="I16:I29" si="5">SUM(J16:K16)</f>
        <v>20</v>
      </c>
      <c r="J16" s="351">
        <v>0</v>
      </c>
      <c r="K16" s="351">
        <v>20</v>
      </c>
      <c r="L16" s="352" t="s">
        <v>581</v>
      </c>
    </row>
    <row r="17" spans="3:12" ht="16.5" customHeight="1" thickBot="1" x14ac:dyDescent="0.25">
      <c r="C17" s="350">
        <f t="shared" si="2"/>
        <v>25</v>
      </c>
      <c r="D17" s="350">
        <f t="shared" si="3"/>
        <v>0</v>
      </c>
      <c r="E17" s="350">
        <f t="shared" si="3"/>
        <v>25</v>
      </c>
      <c r="F17" s="351">
        <f t="shared" si="4"/>
        <v>0</v>
      </c>
      <c r="G17" s="351">
        <v>0</v>
      </c>
      <c r="H17" s="351">
        <v>0</v>
      </c>
      <c r="I17" s="351">
        <f t="shared" si="5"/>
        <v>25</v>
      </c>
      <c r="J17" s="351">
        <v>0</v>
      </c>
      <c r="K17" s="351">
        <v>25</v>
      </c>
      <c r="L17" s="352" t="s">
        <v>361</v>
      </c>
    </row>
    <row r="18" spans="3:12" ht="16.5" customHeight="1" thickBot="1" x14ac:dyDescent="0.25">
      <c r="C18" s="350">
        <f t="shared" si="2"/>
        <v>23</v>
      </c>
      <c r="D18" s="350">
        <f t="shared" si="3"/>
        <v>0</v>
      </c>
      <c r="E18" s="350">
        <f t="shared" si="3"/>
        <v>23</v>
      </c>
      <c r="F18" s="351">
        <f t="shared" si="4"/>
        <v>0</v>
      </c>
      <c r="G18" s="351">
        <v>0</v>
      </c>
      <c r="H18" s="351">
        <v>0</v>
      </c>
      <c r="I18" s="351">
        <f t="shared" si="5"/>
        <v>23</v>
      </c>
      <c r="J18" s="351">
        <v>0</v>
      </c>
      <c r="K18" s="351">
        <v>23</v>
      </c>
      <c r="L18" s="352" t="s">
        <v>753</v>
      </c>
    </row>
    <row r="19" spans="3:12" ht="16.5" customHeight="1" thickBot="1" x14ac:dyDescent="0.25">
      <c r="C19" s="350">
        <f t="shared" si="2"/>
        <v>21</v>
      </c>
      <c r="D19" s="350">
        <f t="shared" si="3"/>
        <v>0</v>
      </c>
      <c r="E19" s="350">
        <f t="shared" si="3"/>
        <v>21</v>
      </c>
      <c r="F19" s="351">
        <f t="shared" si="4"/>
        <v>0</v>
      </c>
      <c r="G19" s="351">
        <v>0</v>
      </c>
      <c r="H19" s="351">
        <v>0</v>
      </c>
      <c r="I19" s="351">
        <f t="shared" si="5"/>
        <v>21</v>
      </c>
      <c r="J19" s="351">
        <v>0</v>
      </c>
      <c r="K19" s="351">
        <v>21</v>
      </c>
      <c r="L19" s="352" t="s">
        <v>364</v>
      </c>
    </row>
    <row r="20" spans="3:12" ht="16.5" customHeight="1" thickBot="1" x14ac:dyDescent="0.25">
      <c r="C20" s="350">
        <f t="shared" si="2"/>
        <v>28</v>
      </c>
      <c r="D20" s="350">
        <f t="shared" si="3"/>
        <v>5</v>
      </c>
      <c r="E20" s="350">
        <f t="shared" si="3"/>
        <v>23</v>
      </c>
      <c r="F20" s="351">
        <f t="shared" si="4"/>
        <v>0</v>
      </c>
      <c r="G20" s="351">
        <v>0</v>
      </c>
      <c r="H20" s="351">
        <v>0</v>
      </c>
      <c r="I20" s="351">
        <f t="shared" si="5"/>
        <v>28</v>
      </c>
      <c r="J20" s="351">
        <v>5</v>
      </c>
      <c r="K20" s="351">
        <v>23</v>
      </c>
      <c r="L20" s="352" t="s">
        <v>365</v>
      </c>
    </row>
    <row r="21" spans="3:12" ht="16.5" customHeight="1" thickBot="1" x14ac:dyDescent="0.25">
      <c r="C21" s="350">
        <f t="shared" si="2"/>
        <v>20</v>
      </c>
      <c r="D21" s="350">
        <f t="shared" si="3"/>
        <v>0</v>
      </c>
      <c r="E21" s="350">
        <f t="shared" si="3"/>
        <v>20</v>
      </c>
      <c r="F21" s="351">
        <f t="shared" si="4"/>
        <v>0</v>
      </c>
      <c r="G21" s="351">
        <v>0</v>
      </c>
      <c r="H21" s="351">
        <v>0</v>
      </c>
      <c r="I21" s="351">
        <f t="shared" si="5"/>
        <v>20</v>
      </c>
      <c r="J21" s="351">
        <v>0</v>
      </c>
      <c r="K21" s="351">
        <v>20</v>
      </c>
      <c r="L21" s="352" t="s">
        <v>81</v>
      </c>
    </row>
    <row r="22" spans="3:12" ht="16.5" customHeight="1" thickBot="1" x14ac:dyDescent="0.25">
      <c r="C22" s="350">
        <f t="shared" si="2"/>
        <v>8</v>
      </c>
      <c r="D22" s="350">
        <f t="shared" si="3"/>
        <v>0</v>
      </c>
      <c r="E22" s="350">
        <f t="shared" si="3"/>
        <v>8</v>
      </c>
      <c r="F22" s="351">
        <f t="shared" si="4"/>
        <v>0</v>
      </c>
      <c r="G22" s="351">
        <v>0</v>
      </c>
      <c r="H22" s="351">
        <v>0</v>
      </c>
      <c r="I22" s="351">
        <f t="shared" si="5"/>
        <v>8</v>
      </c>
      <c r="J22" s="351">
        <v>0</v>
      </c>
      <c r="K22" s="351">
        <v>8</v>
      </c>
      <c r="L22" s="352" t="s">
        <v>252</v>
      </c>
    </row>
    <row r="23" spans="3:12" ht="16.5" customHeight="1" thickBot="1" x14ac:dyDescent="0.25">
      <c r="C23" s="350">
        <f t="shared" si="2"/>
        <v>18</v>
      </c>
      <c r="D23" s="350">
        <f t="shared" si="3"/>
        <v>0</v>
      </c>
      <c r="E23" s="350">
        <f t="shared" si="3"/>
        <v>18</v>
      </c>
      <c r="F23" s="351">
        <f t="shared" si="4"/>
        <v>0</v>
      </c>
      <c r="G23" s="351">
        <v>0</v>
      </c>
      <c r="H23" s="351">
        <v>0</v>
      </c>
      <c r="I23" s="351">
        <f t="shared" si="5"/>
        <v>18</v>
      </c>
      <c r="J23" s="351">
        <v>0</v>
      </c>
      <c r="K23" s="351">
        <v>18</v>
      </c>
      <c r="L23" s="352" t="s">
        <v>579</v>
      </c>
    </row>
    <row r="24" spans="3:12" ht="16.5" customHeight="1" thickBot="1" x14ac:dyDescent="0.25">
      <c r="C24" s="350">
        <f t="shared" si="2"/>
        <v>229</v>
      </c>
      <c r="D24" s="350">
        <f t="shared" si="3"/>
        <v>199</v>
      </c>
      <c r="E24" s="350">
        <f t="shared" si="3"/>
        <v>30</v>
      </c>
      <c r="F24" s="351">
        <f t="shared" si="4"/>
        <v>0</v>
      </c>
      <c r="G24" s="351">
        <v>0</v>
      </c>
      <c r="H24" s="351">
        <v>0</v>
      </c>
      <c r="I24" s="351">
        <f t="shared" si="5"/>
        <v>229</v>
      </c>
      <c r="J24" s="351">
        <v>199</v>
      </c>
      <c r="K24" s="351">
        <v>30</v>
      </c>
      <c r="L24" s="352" t="s">
        <v>358</v>
      </c>
    </row>
    <row r="25" spans="3:12" ht="16.5" customHeight="1" thickBot="1" x14ac:dyDescent="0.25">
      <c r="C25" s="350">
        <f t="shared" si="2"/>
        <v>22</v>
      </c>
      <c r="D25" s="350">
        <f t="shared" si="3"/>
        <v>0</v>
      </c>
      <c r="E25" s="350">
        <f t="shared" si="3"/>
        <v>22</v>
      </c>
      <c r="F25" s="351">
        <f t="shared" si="4"/>
        <v>0</v>
      </c>
      <c r="G25" s="351">
        <v>0</v>
      </c>
      <c r="H25" s="351">
        <v>0</v>
      </c>
      <c r="I25" s="351">
        <f t="shared" si="5"/>
        <v>22</v>
      </c>
      <c r="J25" s="351">
        <v>0</v>
      </c>
      <c r="K25" s="351">
        <v>22</v>
      </c>
      <c r="L25" s="352" t="s">
        <v>363</v>
      </c>
    </row>
    <row r="26" spans="3:12" ht="16.5" customHeight="1" thickBot="1" x14ac:dyDescent="0.25">
      <c r="C26" s="350">
        <f t="shared" si="2"/>
        <v>13</v>
      </c>
      <c r="D26" s="350">
        <f t="shared" si="3"/>
        <v>0</v>
      </c>
      <c r="E26" s="350">
        <f t="shared" si="3"/>
        <v>13</v>
      </c>
      <c r="F26" s="351">
        <f t="shared" si="4"/>
        <v>0</v>
      </c>
      <c r="G26" s="351">
        <v>0</v>
      </c>
      <c r="H26" s="351">
        <v>0</v>
      </c>
      <c r="I26" s="351">
        <f t="shared" si="5"/>
        <v>13</v>
      </c>
      <c r="J26" s="351">
        <v>0</v>
      </c>
      <c r="K26" s="351">
        <v>13</v>
      </c>
      <c r="L26" s="352" t="s">
        <v>82</v>
      </c>
    </row>
    <row r="27" spans="3:12" ht="16.5" customHeight="1" thickBot="1" x14ac:dyDescent="0.25">
      <c r="C27" s="350">
        <f t="shared" si="2"/>
        <v>20</v>
      </c>
      <c r="D27" s="350">
        <f t="shared" si="3"/>
        <v>0</v>
      </c>
      <c r="E27" s="350">
        <f t="shared" si="3"/>
        <v>20</v>
      </c>
      <c r="F27" s="351">
        <f t="shared" si="4"/>
        <v>0</v>
      </c>
      <c r="G27" s="351">
        <v>0</v>
      </c>
      <c r="H27" s="351">
        <v>0</v>
      </c>
      <c r="I27" s="351">
        <f t="shared" si="5"/>
        <v>20</v>
      </c>
      <c r="J27" s="351">
        <v>0</v>
      </c>
      <c r="K27" s="351">
        <v>20</v>
      </c>
      <c r="L27" s="352" t="s">
        <v>368</v>
      </c>
    </row>
    <row r="28" spans="3:12" ht="16.5" customHeight="1" thickBot="1" x14ac:dyDescent="0.25">
      <c r="C28" s="350">
        <f t="shared" si="2"/>
        <v>17</v>
      </c>
      <c r="D28" s="350">
        <f t="shared" si="3"/>
        <v>2</v>
      </c>
      <c r="E28" s="350">
        <f t="shared" si="3"/>
        <v>15</v>
      </c>
      <c r="F28" s="351">
        <f t="shared" si="4"/>
        <v>0</v>
      </c>
      <c r="G28" s="351">
        <v>0</v>
      </c>
      <c r="H28" s="351">
        <v>0</v>
      </c>
      <c r="I28" s="351">
        <f t="shared" si="5"/>
        <v>17</v>
      </c>
      <c r="J28" s="351">
        <v>2</v>
      </c>
      <c r="K28" s="351">
        <v>15</v>
      </c>
      <c r="L28" s="352" t="s">
        <v>367</v>
      </c>
    </row>
    <row r="29" spans="3:12" ht="16.5" customHeight="1" thickBot="1" x14ac:dyDescent="0.25">
      <c r="C29" s="350">
        <f t="shared" si="2"/>
        <v>1459</v>
      </c>
      <c r="D29" s="350">
        <f t="shared" si="3"/>
        <v>15</v>
      </c>
      <c r="E29" s="350">
        <f t="shared" si="3"/>
        <v>1444</v>
      </c>
      <c r="F29" s="351">
        <f t="shared" si="4"/>
        <v>3</v>
      </c>
      <c r="G29" s="351">
        <v>0</v>
      </c>
      <c r="H29" s="351">
        <v>3</v>
      </c>
      <c r="I29" s="351">
        <f t="shared" si="5"/>
        <v>1456</v>
      </c>
      <c r="J29" s="351">
        <v>15</v>
      </c>
      <c r="K29" s="351">
        <v>1441</v>
      </c>
      <c r="L29" s="352" t="s">
        <v>756</v>
      </c>
    </row>
    <row r="30" spans="3:12" ht="16.5" customHeight="1" thickBot="1" x14ac:dyDescent="0.25">
      <c r="C30" s="350">
        <f t="shared" ref="C30:J30" si="6">SUM(C15:C29)</f>
        <v>1952</v>
      </c>
      <c r="D30" s="350">
        <f t="shared" si="6"/>
        <v>225</v>
      </c>
      <c r="E30" s="350">
        <f t="shared" si="6"/>
        <v>1727</v>
      </c>
      <c r="F30" s="351">
        <f>SUM(F15:F29)</f>
        <v>3</v>
      </c>
      <c r="G30" s="351">
        <f t="shared" si="6"/>
        <v>0</v>
      </c>
      <c r="H30" s="351">
        <f t="shared" si="6"/>
        <v>3</v>
      </c>
      <c r="I30" s="351">
        <f>SUM(I15:I29)</f>
        <v>1949</v>
      </c>
      <c r="J30" s="351">
        <f t="shared" si="6"/>
        <v>225</v>
      </c>
      <c r="K30" s="351">
        <f>SUM(K15:K29)</f>
        <v>1724</v>
      </c>
      <c r="L30" s="353" t="s">
        <v>244</v>
      </c>
    </row>
    <row r="31" spans="3:12" ht="16.5" customHeight="1" thickBot="1" x14ac:dyDescent="0.25"/>
    <row r="32" spans="3:12" ht="16.5" customHeight="1" thickBot="1" x14ac:dyDescent="0.25">
      <c r="C32" s="597" t="s">
        <v>4</v>
      </c>
      <c r="D32" s="597"/>
      <c r="E32" s="597"/>
      <c r="F32" s="598" t="s">
        <v>145</v>
      </c>
      <c r="G32" s="598"/>
      <c r="H32" s="598"/>
      <c r="I32" s="598" t="s">
        <v>146</v>
      </c>
      <c r="J32" s="598"/>
      <c r="K32" s="598"/>
      <c r="L32" s="347" t="s">
        <v>66</v>
      </c>
    </row>
    <row r="33" spans="3:12" ht="16.5" customHeight="1" thickBot="1" x14ac:dyDescent="0.25">
      <c r="C33" s="347" t="s">
        <v>227</v>
      </c>
      <c r="D33" s="347" t="s">
        <v>10</v>
      </c>
      <c r="E33" s="347" t="s">
        <v>9</v>
      </c>
      <c r="F33" s="348" t="s">
        <v>227</v>
      </c>
      <c r="G33" s="348" t="s">
        <v>10</v>
      </c>
      <c r="H33" s="348" t="s">
        <v>9</v>
      </c>
      <c r="I33" s="348" t="s">
        <v>227</v>
      </c>
      <c r="J33" s="348" t="s">
        <v>10</v>
      </c>
      <c r="K33" s="348" t="s">
        <v>9</v>
      </c>
      <c r="L33" s="349" t="s">
        <v>72</v>
      </c>
    </row>
    <row r="34" spans="3:12" ht="16.5" customHeight="1" thickBot="1" x14ac:dyDescent="0.25">
      <c r="C34" s="350">
        <f>SUM(D34:E34)</f>
        <v>188</v>
      </c>
      <c r="D34" s="350">
        <f>J34+G34</f>
        <v>1</v>
      </c>
      <c r="E34" s="350">
        <f>K34+H34</f>
        <v>187</v>
      </c>
      <c r="F34" s="351">
        <f>SUM(G34:H34)</f>
        <v>1</v>
      </c>
      <c r="G34" s="351">
        <v>0</v>
      </c>
      <c r="H34" s="351">
        <v>1</v>
      </c>
      <c r="I34" s="351">
        <f>SUM(J34:K34)</f>
        <v>187</v>
      </c>
      <c r="J34" s="351">
        <v>1</v>
      </c>
      <c r="K34" s="351">
        <v>186</v>
      </c>
      <c r="L34" s="352" t="s">
        <v>375</v>
      </c>
    </row>
    <row r="35" spans="3:12" ht="16.5" customHeight="1" thickBot="1" x14ac:dyDescent="0.25">
      <c r="C35" s="350">
        <f t="shared" ref="C35:C60" si="7">SUM(D35:E35)</f>
        <v>67</v>
      </c>
      <c r="D35" s="350">
        <f t="shared" ref="D35:E60" si="8">J35+G35</f>
        <v>7</v>
      </c>
      <c r="E35" s="350">
        <f t="shared" si="8"/>
        <v>60</v>
      </c>
      <c r="F35" s="351">
        <f t="shared" ref="F35:F60" si="9">SUM(G35:H35)</f>
        <v>3</v>
      </c>
      <c r="G35" s="351">
        <v>0</v>
      </c>
      <c r="H35" s="351">
        <v>3</v>
      </c>
      <c r="I35" s="351">
        <f t="shared" ref="I35:I60" si="10">SUM(J35:K35)</f>
        <v>64</v>
      </c>
      <c r="J35" s="351">
        <v>7</v>
      </c>
      <c r="K35" s="351">
        <v>57</v>
      </c>
      <c r="L35" s="352" t="s">
        <v>348</v>
      </c>
    </row>
    <row r="36" spans="3:12" ht="16.5" customHeight="1" thickBot="1" x14ac:dyDescent="0.25">
      <c r="C36" s="350">
        <f t="shared" si="7"/>
        <v>22</v>
      </c>
      <c r="D36" s="350">
        <f t="shared" si="8"/>
        <v>0</v>
      </c>
      <c r="E36" s="350">
        <f t="shared" si="8"/>
        <v>22</v>
      </c>
      <c r="F36" s="351">
        <f t="shared" si="9"/>
        <v>0</v>
      </c>
      <c r="G36" s="351">
        <v>0</v>
      </c>
      <c r="H36" s="351">
        <v>0</v>
      </c>
      <c r="I36" s="351">
        <f t="shared" si="10"/>
        <v>22</v>
      </c>
      <c r="J36" s="351">
        <v>0</v>
      </c>
      <c r="K36" s="351">
        <v>22</v>
      </c>
      <c r="L36" s="352" t="s">
        <v>364</v>
      </c>
    </row>
    <row r="37" spans="3:12" ht="16.5" customHeight="1" thickBot="1" x14ac:dyDescent="0.25">
      <c r="C37" s="350">
        <f t="shared" si="7"/>
        <v>66</v>
      </c>
      <c r="D37" s="350">
        <f t="shared" si="8"/>
        <v>0</v>
      </c>
      <c r="E37" s="350">
        <f t="shared" si="8"/>
        <v>66</v>
      </c>
      <c r="F37" s="351">
        <f t="shared" si="9"/>
        <v>0</v>
      </c>
      <c r="G37" s="351">
        <v>0</v>
      </c>
      <c r="H37" s="351">
        <v>0</v>
      </c>
      <c r="I37" s="351">
        <f t="shared" si="10"/>
        <v>66</v>
      </c>
      <c r="J37" s="351">
        <v>0</v>
      </c>
      <c r="K37" s="351">
        <v>66</v>
      </c>
      <c r="L37" s="352" t="s">
        <v>371</v>
      </c>
    </row>
    <row r="38" spans="3:12" ht="16.5" customHeight="1" thickBot="1" x14ac:dyDescent="0.25">
      <c r="C38" s="350">
        <f t="shared" si="7"/>
        <v>55</v>
      </c>
      <c r="D38" s="350">
        <f t="shared" si="8"/>
        <v>1</v>
      </c>
      <c r="E38" s="350">
        <f t="shared" si="8"/>
        <v>54</v>
      </c>
      <c r="F38" s="351">
        <f t="shared" si="9"/>
        <v>0</v>
      </c>
      <c r="G38" s="351">
        <v>0</v>
      </c>
      <c r="H38" s="351">
        <v>0</v>
      </c>
      <c r="I38" s="351">
        <f t="shared" si="10"/>
        <v>55</v>
      </c>
      <c r="J38" s="351">
        <v>1</v>
      </c>
      <c r="K38" s="351">
        <v>54</v>
      </c>
      <c r="L38" s="352" t="s">
        <v>496</v>
      </c>
    </row>
    <row r="39" spans="3:12" ht="16.5" customHeight="1" thickBot="1" x14ac:dyDescent="0.25">
      <c r="C39" s="350">
        <f t="shared" si="7"/>
        <v>7</v>
      </c>
      <c r="D39" s="350">
        <f t="shared" si="8"/>
        <v>1</v>
      </c>
      <c r="E39" s="350">
        <f t="shared" si="8"/>
        <v>6</v>
      </c>
      <c r="F39" s="351">
        <f t="shared" si="9"/>
        <v>2</v>
      </c>
      <c r="G39" s="351">
        <v>0</v>
      </c>
      <c r="H39" s="351">
        <v>2</v>
      </c>
      <c r="I39" s="351">
        <f t="shared" si="10"/>
        <v>5</v>
      </c>
      <c r="J39" s="351">
        <v>1</v>
      </c>
      <c r="K39" s="351">
        <v>4</v>
      </c>
      <c r="L39" s="352" t="s">
        <v>344</v>
      </c>
    </row>
    <row r="40" spans="3:12" ht="16.5" customHeight="1" thickBot="1" x14ac:dyDescent="0.25">
      <c r="C40" s="350">
        <f t="shared" si="7"/>
        <v>128</v>
      </c>
      <c r="D40" s="350">
        <f t="shared" si="8"/>
        <v>54</v>
      </c>
      <c r="E40" s="350">
        <f t="shared" si="8"/>
        <v>74</v>
      </c>
      <c r="F40" s="351">
        <f t="shared" si="9"/>
        <v>21</v>
      </c>
      <c r="G40" s="351">
        <v>1</v>
      </c>
      <c r="H40" s="351">
        <v>20</v>
      </c>
      <c r="I40" s="351">
        <f t="shared" si="10"/>
        <v>107</v>
      </c>
      <c r="J40" s="351">
        <v>53</v>
      </c>
      <c r="K40" s="351">
        <v>54</v>
      </c>
      <c r="L40" s="352" t="s">
        <v>406</v>
      </c>
    </row>
    <row r="41" spans="3:12" ht="16.5" customHeight="1" thickBot="1" x14ac:dyDescent="0.25">
      <c r="C41" s="350">
        <f t="shared" si="7"/>
        <v>162</v>
      </c>
      <c r="D41" s="350">
        <f t="shared" si="8"/>
        <v>0</v>
      </c>
      <c r="E41" s="350">
        <f t="shared" si="8"/>
        <v>162</v>
      </c>
      <c r="F41" s="351">
        <f t="shared" si="9"/>
        <v>3</v>
      </c>
      <c r="G41" s="351">
        <v>0</v>
      </c>
      <c r="H41" s="351">
        <v>3</v>
      </c>
      <c r="I41" s="351">
        <f t="shared" si="10"/>
        <v>159</v>
      </c>
      <c r="J41" s="351">
        <v>0</v>
      </c>
      <c r="K41" s="351">
        <v>159</v>
      </c>
      <c r="L41" s="352" t="s">
        <v>455</v>
      </c>
    </row>
    <row r="42" spans="3:12" ht="16.5" customHeight="1" thickBot="1" x14ac:dyDescent="0.25">
      <c r="C42" s="350">
        <f t="shared" si="7"/>
        <v>26</v>
      </c>
      <c r="D42" s="350">
        <f t="shared" si="8"/>
        <v>0</v>
      </c>
      <c r="E42" s="350">
        <f t="shared" si="8"/>
        <v>26</v>
      </c>
      <c r="F42" s="351">
        <f t="shared" si="9"/>
        <v>0</v>
      </c>
      <c r="G42" s="351">
        <v>0</v>
      </c>
      <c r="H42" s="351">
        <v>0</v>
      </c>
      <c r="I42" s="351">
        <f t="shared" si="10"/>
        <v>26</v>
      </c>
      <c r="J42" s="351">
        <v>0</v>
      </c>
      <c r="K42" s="351">
        <v>26</v>
      </c>
      <c r="L42" s="352" t="s">
        <v>670</v>
      </c>
    </row>
    <row r="43" spans="3:12" ht="16.5" customHeight="1" thickBot="1" x14ac:dyDescent="0.25">
      <c r="C43" s="350">
        <f t="shared" si="7"/>
        <v>16</v>
      </c>
      <c r="D43" s="350">
        <f t="shared" si="8"/>
        <v>1</v>
      </c>
      <c r="E43" s="350">
        <f t="shared" si="8"/>
        <v>15</v>
      </c>
      <c r="F43" s="351">
        <f t="shared" si="9"/>
        <v>0</v>
      </c>
      <c r="G43" s="351">
        <v>0</v>
      </c>
      <c r="H43" s="351">
        <v>0</v>
      </c>
      <c r="I43" s="351">
        <f t="shared" si="10"/>
        <v>16</v>
      </c>
      <c r="J43" s="351">
        <v>1</v>
      </c>
      <c r="K43" s="351">
        <v>15</v>
      </c>
      <c r="L43" s="352" t="s">
        <v>365</v>
      </c>
    </row>
    <row r="44" spans="3:12" ht="16.5" customHeight="1" thickBot="1" x14ac:dyDescent="0.25">
      <c r="C44" s="350">
        <f t="shared" si="7"/>
        <v>35</v>
      </c>
      <c r="D44" s="350">
        <f t="shared" si="8"/>
        <v>0</v>
      </c>
      <c r="E44" s="350">
        <f t="shared" si="8"/>
        <v>35</v>
      </c>
      <c r="F44" s="351">
        <f t="shared" si="9"/>
        <v>0</v>
      </c>
      <c r="G44" s="351">
        <v>0</v>
      </c>
      <c r="H44" s="351">
        <v>0</v>
      </c>
      <c r="I44" s="351">
        <f t="shared" si="10"/>
        <v>35</v>
      </c>
      <c r="J44" s="351">
        <v>0</v>
      </c>
      <c r="K44" s="351">
        <v>35</v>
      </c>
      <c r="L44" s="352" t="s">
        <v>380</v>
      </c>
    </row>
    <row r="45" spans="3:12" ht="16.5" customHeight="1" thickBot="1" x14ac:dyDescent="0.25">
      <c r="C45" s="350">
        <f t="shared" si="7"/>
        <v>95</v>
      </c>
      <c r="D45" s="350">
        <f t="shared" si="8"/>
        <v>0</v>
      </c>
      <c r="E45" s="350">
        <f t="shared" si="8"/>
        <v>95</v>
      </c>
      <c r="F45" s="351">
        <f t="shared" si="9"/>
        <v>5</v>
      </c>
      <c r="G45" s="351">
        <v>0</v>
      </c>
      <c r="H45" s="351">
        <v>5</v>
      </c>
      <c r="I45" s="351">
        <f t="shared" si="10"/>
        <v>90</v>
      </c>
      <c r="J45" s="351">
        <v>0</v>
      </c>
      <c r="K45" s="351">
        <v>90</v>
      </c>
      <c r="L45" s="352" t="s">
        <v>454</v>
      </c>
    </row>
    <row r="46" spans="3:12" ht="16.5" customHeight="1" thickBot="1" x14ac:dyDescent="0.25">
      <c r="C46" s="350">
        <f t="shared" si="7"/>
        <v>67</v>
      </c>
      <c r="D46" s="350">
        <f t="shared" si="8"/>
        <v>22</v>
      </c>
      <c r="E46" s="350">
        <f t="shared" si="8"/>
        <v>45</v>
      </c>
      <c r="F46" s="351">
        <f t="shared" si="9"/>
        <v>2</v>
      </c>
      <c r="G46" s="351">
        <v>0</v>
      </c>
      <c r="H46" s="351">
        <v>2</v>
      </c>
      <c r="I46" s="351">
        <f t="shared" si="10"/>
        <v>65</v>
      </c>
      <c r="J46" s="351">
        <v>22</v>
      </c>
      <c r="K46" s="351">
        <v>43</v>
      </c>
      <c r="L46" s="352" t="s">
        <v>378</v>
      </c>
    </row>
    <row r="47" spans="3:12" ht="16.5" customHeight="1" thickBot="1" x14ac:dyDescent="0.25">
      <c r="C47" s="350">
        <f t="shared" si="7"/>
        <v>13</v>
      </c>
      <c r="D47" s="350">
        <f t="shared" si="8"/>
        <v>0</v>
      </c>
      <c r="E47" s="350">
        <f t="shared" si="8"/>
        <v>13</v>
      </c>
      <c r="F47" s="351">
        <f t="shared" si="9"/>
        <v>0</v>
      </c>
      <c r="G47" s="351">
        <v>0</v>
      </c>
      <c r="H47" s="351">
        <v>0</v>
      </c>
      <c r="I47" s="351">
        <f t="shared" si="10"/>
        <v>13</v>
      </c>
      <c r="J47" s="351">
        <v>0</v>
      </c>
      <c r="K47" s="351">
        <v>13</v>
      </c>
      <c r="L47" s="352" t="s">
        <v>254</v>
      </c>
    </row>
    <row r="48" spans="3:12" ht="16.5" customHeight="1" thickBot="1" x14ac:dyDescent="0.25">
      <c r="C48" s="350">
        <f t="shared" si="7"/>
        <v>27</v>
      </c>
      <c r="D48" s="350">
        <f t="shared" si="8"/>
        <v>10</v>
      </c>
      <c r="E48" s="350">
        <f t="shared" si="8"/>
        <v>17</v>
      </c>
      <c r="F48" s="351">
        <f t="shared" si="9"/>
        <v>0</v>
      </c>
      <c r="G48" s="351">
        <v>0</v>
      </c>
      <c r="H48" s="351">
        <v>0</v>
      </c>
      <c r="I48" s="351">
        <f t="shared" si="10"/>
        <v>27</v>
      </c>
      <c r="J48" s="351">
        <v>10</v>
      </c>
      <c r="K48" s="351">
        <v>17</v>
      </c>
      <c r="L48" s="352" t="s">
        <v>71</v>
      </c>
    </row>
    <row r="49" spans="3:12" ht="16.5" customHeight="1" thickBot="1" x14ac:dyDescent="0.25">
      <c r="C49" s="350">
        <f t="shared" si="7"/>
        <v>19</v>
      </c>
      <c r="D49" s="350">
        <f t="shared" si="8"/>
        <v>0</v>
      </c>
      <c r="E49" s="350">
        <f t="shared" si="8"/>
        <v>19</v>
      </c>
      <c r="F49" s="351">
        <f t="shared" si="9"/>
        <v>0</v>
      </c>
      <c r="G49" s="351">
        <v>0</v>
      </c>
      <c r="H49" s="351">
        <v>0</v>
      </c>
      <c r="I49" s="351">
        <f t="shared" si="10"/>
        <v>19</v>
      </c>
      <c r="J49" s="351">
        <v>0</v>
      </c>
      <c r="K49" s="351">
        <v>19</v>
      </c>
      <c r="L49" s="352" t="s">
        <v>83</v>
      </c>
    </row>
    <row r="50" spans="3:12" ht="16.5" customHeight="1" thickBot="1" x14ac:dyDescent="0.25">
      <c r="C50" s="350">
        <f t="shared" si="7"/>
        <v>1564</v>
      </c>
      <c r="D50" s="350">
        <f t="shared" si="8"/>
        <v>339</v>
      </c>
      <c r="E50" s="350">
        <f t="shared" si="8"/>
        <v>1225</v>
      </c>
      <c r="F50" s="351">
        <f t="shared" si="9"/>
        <v>12</v>
      </c>
      <c r="G50" s="351">
        <v>0</v>
      </c>
      <c r="H50" s="351">
        <v>12</v>
      </c>
      <c r="I50" s="351">
        <f t="shared" si="10"/>
        <v>1552</v>
      </c>
      <c r="J50" s="351">
        <v>339</v>
      </c>
      <c r="K50" s="351">
        <v>1213</v>
      </c>
      <c r="L50" s="352" t="s">
        <v>756</v>
      </c>
    </row>
    <row r="51" spans="3:12" ht="16.5" customHeight="1" thickBot="1" x14ac:dyDescent="0.25">
      <c r="C51" s="350">
        <f t="shared" si="7"/>
        <v>922</v>
      </c>
      <c r="D51" s="350">
        <f t="shared" si="8"/>
        <v>232</v>
      </c>
      <c r="E51" s="350">
        <f t="shared" si="8"/>
        <v>690</v>
      </c>
      <c r="F51" s="351">
        <f t="shared" si="9"/>
        <v>110</v>
      </c>
      <c r="G51" s="351">
        <v>10</v>
      </c>
      <c r="H51" s="351">
        <v>100</v>
      </c>
      <c r="I51" s="351">
        <f t="shared" si="10"/>
        <v>812</v>
      </c>
      <c r="J51" s="351">
        <v>222</v>
      </c>
      <c r="K51" s="351">
        <v>590</v>
      </c>
      <c r="L51" s="352" t="s">
        <v>757</v>
      </c>
    </row>
    <row r="52" spans="3:12" ht="16.5" customHeight="1" thickBot="1" x14ac:dyDescent="0.25">
      <c r="C52" s="350">
        <f t="shared" si="7"/>
        <v>298</v>
      </c>
      <c r="D52" s="350">
        <f t="shared" si="8"/>
        <v>66</v>
      </c>
      <c r="E52" s="350">
        <f t="shared" si="8"/>
        <v>232</v>
      </c>
      <c r="F52" s="351">
        <f t="shared" si="9"/>
        <v>25</v>
      </c>
      <c r="G52" s="351">
        <v>2</v>
      </c>
      <c r="H52" s="351">
        <v>23</v>
      </c>
      <c r="I52" s="351">
        <f t="shared" si="10"/>
        <v>273</v>
      </c>
      <c r="J52" s="351">
        <v>64</v>
      </c>
      <c r="K52" s="351">
        <v>209</v>
      </c>
      <c r="L52" s="352" t="s">
        <v>812</v>
      </c>
    </row>
    <row r="53" spans="3:12" ht="16.5" customHeight="1" thickBot="1" x14ac:dyDescent="0.25">
      <c r="C53" s="350">
        <f t="shared" si="7"/>
        <v>20</v>
      </c>
      <c r="D53" s="350">
        <f t="shared" si="8"/>
        <v>12</v>
      </c>
      <c r="E53" s="350">
        <f t="shared" si="8"/>
        <v>8</v>
      </c>
      <c r="F53" s="351">
        <f t="shared" si="9"/>
        <v>0</v>
      </c>
      <c r="G53" s="351">
        <v>0</v>
      </c>
      <c r="H53" s="351">
        <v>0</v>
      </c>
      <c r="I53" s="351">
        <f t="shared" si="10"/>
        <v>20</v>
      </c>
      <c r="J53" s="351">
        <v>12</v>
      </c>
      <c r="K53" s="351">
        <v>8</v>
      </c>
      <c r="L53" s="352" t="s">
        <v>377</v>
      </c>
    </row>
    <row r="54" spans="3:12" ht="16.5" customHeight="1" thickBot="1" x14ac:dyDescent="0.25">
      <c r="C54" s="350">
        <f t="shared" si="7"/>
        <v>14</v>
      </c>
      <c r="D54" s="350">
        <f t="shared" si="8"/>
        <v>0</v>
      </c>
      <c r="E54" s="350">
        <f t="shared" si="8"/>
        <v>14</v>
      </c>
      <c r="F54" s="351">
        <f t="shared" si="9"/>
        <v>0</v>
      </c>
      <c r="G54" s="351">
        <v>0</v>
      </c>
      <c r="H54" s="351">
        <v>0</v>
      </c>
      <c r="I54" s="351">
        <f t="shared" si="10"/>
        <v>14</v>
      </c>
      <c r="J54" s="351">
        <v>0</v>
      </c>
      <c r="K54" s="351">
        <v>14</v>
      </c>
      <c r="L54" s="352" t="s">
        <v>84</v>
      </c>
    </row>
    <row r="55" spans="3:12" ht="16.5" customHeight="1" thickBot="1" x14ac:dyDescent="0.25">
      <c r="C55" s="350">
        <f t="shared" si="7"/>
        <v>20</v>
      </c>
      <c r="D55" s="350">
        <f t="shared" si="8"/>
        <v>0</v>
      </c>
      <c r="E55" s="350">
        <f t="shared" si="8"/>
        <v>20</v>
      </c>
      <c r="F55" s="351">
        <f t="shared" si="9"/>
        <v>0</v>
      </c>
      <c r="G55" s="351">
        <v>0</v>
      </c>
      <c r="H55" s="351">
        <v>0</v>
      </c>
      <c r="I55" s="351">
        <f t="shared" si="10"/>
        <v>20</v>
      </c>
      <c r="J55" s="351">
        <v>0</v>
      </c>
      <c r="K55" s="351">
        <v>20</v>
      </c>
      <c r="L55" s="352" t="s">
        <v>85</v>
      </c>
    </row>
    <row r="56" spans="3:12" ht="16.5" customHeight="1" thickBot="1" x14ac:dyDescent="0.25">
      <c r="C56" s="350">
        <f t="shared" si="7"/>
        <v>28</v>
      </c>
      <c r="D56" s="350">
        <f t="shared" si="8"/>
        <v>0</v>
      </c>
      <c r="E56" s="350">
        <f t="shared" si="8"/>
        <v>28</v>
      </c>
      <c r="F56" s="351">
        <f t="shared" si="9"/>
        <v>0</v>
      </c>
      <c r="G56" s="351">
        <v>0</v>
      </c>
      <c r="H56" s="351">
        <v>0</v>
      </c>
      <c r="I56" s="351">
        <f t="shared" si="10"/>
        <v>28</v>
      </c>
      <c r="J56" s="351">
        <v>0</v>
      </c>
      <c r="K56" s="351">
        <v>28</v>
      </c>
      <c r="L56" s="352" t="s">
        <v>379</v>
      </c>
    </row>
    <row r="57" spans="3:12" ht="16.5" customHeight="1" thickBot="1" x14ac:dyDescent="0.25">
      <c r="C57" s="350">
        <f t="shared" si="7"/>
        <v>13</v>
      </c>
      <c r="D57" s="350">
        <f t="shared" si="8"/>
        <v>0</v>
      </c>
      <c r="E57" s="350">
        <f t="shared" si="8"/>
        <v>13</v>
      </c>
      <c r="F57" s="351">
        <f t="shared" si="9"/>
        <v>0</v>
      </c>
      <c r="G57" s="351">
        <v>0</v>
      </c>
      <c r="H57" s="351">
        <v>0</v>
      </c>
      <c r="I57" s="351">
        <f t="shared" si="10"/>
        <v>13</v>
      </c>
      <c r="J57" s="351">
        <v>0</v>
      </c>
      <c r="K57" s="351">
        <v>13</v>
      </c>
      <c r="L57" s="352" t="s">
        <v>86</v>
      </c>
    </row>
    <row r="58" spans="3:12" ht="16.5" customHeight="1" thickBot="1" x14ac:dyDescent="0.25">
      <c r="C58" s="350">
        <f>SUM(D58:E58)</f>
        <v>11</v>
      </c>
      <c r="D58" s="350">
        <f t="shared" si="8"/>
        <v>0</v>
      </c>
      <c r="E58" s="350">
        <f t="shared" si="8"/>
        <v>11</v>
      </c>
      <c r="F58" s="351">
        <f>SUM(G58:H58)</f>
        <v>0</v>
      </c>
      <c r="G58" s="351">
        <v>0</v>
      </c>
      <c r="H58" s="351">
        <v>0</v>
      </c>
      <c r="I58" s="351">
        <f>SUM(J58:K58)</f>
        <v>11</v>
      </c>
      <c r="J58" s="351">
        <v>0</v>
      </c>
      <c r="K58" s="351">
        <v>11</v>
      </c>
      <c r="L58" s="352" t="s">
        <v>387</v>
      </c>
    </row>
    <row r="59" spans="3:12" ht="16.5" customHeight="1" thickBot="1" x14ac:dyDescent="0.25">
      <c r="C59" s="350">
        <f t="shared" si="7"/>
        <v>8</v>
      </c>
      <c r="D59" s="350">
        <f t="shared" si="8"/>
        <v>0</v>
      </c>
      <c r="E59" s="350">
        <f t="shared" si="8"/>
        <v>8</v>
      </c>
      <c r="F59" s="351">
        <f t="shared" si="9"/>
        <v>0</v>
      </c>
      <c r="G59" s="351">
        <v>0</v>
      </c>
      <c r="H59" s="351">
        <v>0</v>
      </c>
      <c r="I59" s="351">
        <f t="shared" si="10"/>
        <v>8</v>
      </c>
      <c r="J59" s="351">
        <v>0</v>
      </c>
      <c r="K59" s="351">
        <v>8</v>
      </c>
      <c r="L59" s="352" t="s">
        <v>759</v>
      </c>
    </row>
    <row r="60" spans="3:12" ht="16.5" customHeight="1" thickBot="1" x14ac:dyDescent="0.25">
      <c r="C60" s="350">
        <f t="shared" si="7"/>
        <v>14</v>
      </c>
      <c r="D60" s="350">
        <f t="shared" si="8"/>
        <v>0</v>
      </c>
      <c r="E60" s="350">
        <f t="shared" si="8"/>
        <v>14</v>
      </c>
      <c r="F60" s="351">
        <f t="shared" si="9"/>
        <v>0</v>
      </c>
      <c r="G60" s="351">
        <v>0</v>
      </c>
      <c r="H60" s="351">
        <v>0</v>
      </c>
      <c r="I60" s="351">
        <f t="shared" si="10"/>
        <v>14</v>
      </c>
      <c r="J60" s="351">
        <v>0</v>
      </c>
      <c r="K60" s="351">
        <v>14</v>
      </c>
      <c r="L60" s="352" t="s">
        <v>794</v>
      </c>
    </row>
    <row r="61" spans="3:12" ht="16.5" customHeight="1" thickBot="1" x14ac:dyDescent="0.25">
      <c r="C61" s="350">
        <f t="shared" ref="C61:J61" si="11">SUM(C34:C60)</f>
        <v>3905</v>
      </c>
      <c r="D61" s="350">
        <f t="shared" si="11"/>
        <v>746</v>
      </c>
      <c r="E61" s="350">
        <f t="shared" si="11"/>
        <v>3159</v>
      </c>
      <c r="F61" s="351">
        <f t="shared" si="11"/>
        <v>184</v>
      </c>
      <c r="G61" s="351">
        <f t="shared" si="11"/>
        <v>13</v>
      </c>
      <c r="H61" s="351">
        <f t="shared" si="11"/>
        <v>171</v>
      </c>
      <c r="I61" s="351">
        <f t="shared" si="11"/>
        <v>3721</v>
      </c>
      <c r="J61" s="351">
        <f t="shared" si="11"/>
        <v>733</v>
      </c>
      <c r="K61" s="351">
        <f>SUM(K34:K60)</f>
        <v>2988</v>
      </c>
      <c r="L61" s="353" t="s">
        <v>244</v>
      </c>
    </row>
    <row r="62" spans="3:12" ht="16.5" customHeight="1" thickBot="1" x14ac:dyDescent="0.25"/>
    <row r="63" spans="3:12" ht="16.5" customHeight="1" thickBot="1" x14ac:dyDescent="0.25">
      <c r="C63" s="597" t="s">
        <v>4</v>
      </c>
      <c r="D63" s="597"/>
      <c r="E63" s="597"/>
      <c r="F63" s="598" t="s">
        <v>145</v>
      </c>
      <c r="G63" s="598"/>
      <c r="H63" s="598"/>
      <c r="I63" s="598" t="s">
        <v>146</v>
      </c>
      <c r="J63" s="598"/>
      <c r="K63" s="598"/>
      <c r="L63" s="347" t="s">
        <v>66</v>
      </c>
    </row>
    <row r="64" spans="3:12" ht="16.5" customHeight="1" thickBot="1" x14ac:dyDescent="0.25">
      <c r="C64" s="347" t="s">
        <v>227</v>
      </c>
      <c r="D64" s="347" t="s">
        <v>10</v>
      </c>
      <c r="E64" s="347" t="s">
        <v>9</v>
      </c>
      <c r="F64" s="348" t="s">
        <v>227</v>
      </c>
      <c r="G64" s="348" t="s">
        <v>10</v>
      </c>
      <c r="H64" s="348" t="s">
        <v>9</v>
      </c>
      <c r="I64" s="348" t="s">
        <v>227</v>
      </c>
      <c r="J64" s="348" t="s">
        <v>10</v>
      </c>
      <c r="K64" s="348" t="s">
        <v>9</v>
      </c>
      <c r="L64" s="349" t="s">
        <v>73</v>
      </c>
    </row>
    <row r="65" spans="3:12" ht="16.5" customHeight="1" thickBot="1" x14ac:dyDescent="0.25">
      <c r="C65" s="350">
        <f>SUM(D65:E65)</f>
        <v>65</v>
      </c>
      <c r="D65" s="350">
        <f>J65+G65</f>
        <v>20</v>
      </c>
      <c r="E65" s="350">
        <f>K65+H65</f>
        <v>45</v>
      </c>
      <c r="F65" s="351">
        <f>SUM(G65:H65)</f>
        <v>2</v>
      </c>
      <c r="G65" s="351">
        <v>0</v>
      </c>
      <c r="H65" s="351">
        <v>2</v>
      </c>
      <c r="I65" s="351">
        <f>SUM(J65:K65)</f>
        <v>63</v>
      </c>
      <c r="J65" s="351">
        <v>20</v>
      </c>
      <c r="K65" s="351">
        <v>43</v>
      </c>
      <c r="L65" s="352" t="s">
        <v>403</v>
      </c>
    </row>
    <row r="66" spans="3:12" ht="16.5" customHeight="1" thickBot="1" x14ac:dyDescent="0.25">
      <c r="C66" s="350">
        <f t="shared" ref="C66:C88" si="12">SUM(D66:E66)</f>
        <v>75</v>
      </c>
      <c r="D66" s="350">
        <f t="shared" ref="D66:E88" si="13">J66+G66</f>
        <v>33</v>
      </c>
      <c r="E66" s="350">
        <f t="shared" si="13"/>
        <v>42</v>
      </c>
      <c r="F66" s="351">
        <f t="shared" ref="F66:F88" si="14">SUM(G66:H66)</f>
        <v>4</v>
      </c>
      <c r="G66" s="351">
        <v>0</v>
      </c>
      <c r="H66" s="351">
        <v>4</v>
      </c>
      <c r="I66" s="351">
        <f t="shared" ref="I66:I88" si="15">SUM(J66:K66)</f>
        <v>71</v>
      </c>
      <c r="J66" s="351">
        <v>33</v>
      </c>
      <c r="K66" s="351">
        <v>38</v>
      </c>
      <c r="L66" s="352" t="s">
        <v>344</v>
      </c>
    </row>
    <row r="67" spans="3:12" ht="16.5" customHeight="1" thickBot="1" x14ac:dyDescent="0.25">
      <c r="C67" s="350">
        <f t="shared" si="12"/>
        <v>7</v>
      </c>
      <c r="D67" s="350">
        <f t="shared" si="13"/>
        <v>2</v>
      </c>
      <c r="E67" s="350">
        <f t="shared" si="13"/>
        <v>5</v>
      </c>
      <c r="F67" s="351">
        <f t="shared" si="14"/>
        <v>0</v>
      </c>
      <c r="G67" s="351">
        <v>0</v>
      </c>
      <c r="H67" s="351">
        <v>0</v>
      </c>
      <c r="I67" s="351">
        <f t="shared" si="15"/>
        <v>7</v>
      </c>
      <c r="J67" s="351">
        <v>2</v>
      </c>
      <c r="K67" s="351">
        <v>5</v>
      </c>
      <c r="L67" s="352" t="s">
        <v>255</v>
      </c>
    </row>
    <row r="68" spans="3:12" ht="16.5" customHeight="1" thickBot="1" x14ac:dyDescent="0.25">
      <c r="C68" s="350">
        <f t="shared" si="12"/>
        <v>172</v>
      </c>
      <c r="D68" s="350">
        <f t="shared" si="13"/>
        <v>59</v>
      </c>
      <c r="E68" s="350">
        <f t="shared" si="13"/>
        <v>113</v>
      </c>
      <c r="F68" s="351">
        <f t="shared" si="14"/>
        <v>5</v>
      </c>
      <c r="G68" s="351">
        <v>0</v>
      </c>
      <c r="H68" s="351">
        <v>5</v>
      </c>
      <c r="I68" s="351">
        <f t="shared" si="15"/>
        <v>167</v>
      </c>
      <c r="J68" s="351">
        <v>59</v>
      </c>
      <c r="K68" s="351">
        <v>108</v>
      </c>
      <c r="L68" s="352" t="s">
        <v>367</v>
      </c>
    </row>
    <row r="69" spans="3:12" ht="16.5" customHeight="1" thickBot="1" x14ac:dyDescent="0.25">
      <c r="C69" s="350">
        <f t="shared" si="12"/>
        <v>117</v>
      </c>
      <c r="D69" s="350">
        <f t="shared" si="13"/>
        <v>0</v>
      </c>
      <c r="E69" s="350">
        <f t="shared" si="13"/>
        <v>117</v>
      </c>
      <c r="F69" s="351">
        <f t="shared" si="14"/>
        <v>17</v>
      </c>
      <c r="G69" s="351">
        <v>0</v>
      </c>
      <c r="H69" s="351">
        <v>17</v>
      </c>
      <c r="I69" s="351">
        <f t="shared" si="15"/>
        <v>100</v>
      </c>
      <c r="J69" s="351">
        <v>0</v>
      </c>
      <c r="K69" s="351">
        <v>100</v>
      </c>
      <c r="L69" s="352" t="s">
        <v>454</v>
      </c>
    </row>
    <row r="70" spans="3:12" ht="16.5" customHeight="1" thickBot="1" x14ac:dyDescent="0.25">
      <c r="C70" s="350">
        <f t="shared" si="12"/>
        <v>57</v>
      </c>
      <c r="D70" s="350">
        <f t="shared" si="13"/>
        <v>3</v>
      </c>
      <c r="E70" s="350">
        <f t="shared" si="13"/>
        <v>54</v>
      </c>
      <c r="F70" s="351">
        <f t="shared" si="14"/>
        <v>0</v>
      </c>
      <c r="G70" s="351">
        <v>0</v>
      </c>
      <c r="H70" s="351">
        <v>0</v>
      </c>
      <c r="I70" s="351">
        <f t="shared" si="15"/>
        <v>57</v>
      </c>
      <c r="J70" s="351">
        <v>3</v>
      </c>
      <c r="K70" s="351">
        <v>54</v>
      </c>
      <c r="L70" s="352" t="s">
        <v>402</v>
      </c>
    </row>
    <row r="71" spans="3:12" ht="16.5" customHeight="1" thickBot="1" x14ac:dyDescent="0.25">
      <c r="C71" s="350">
        <f t="shared" si="12"/>
        <v>1112</v>
      </c>
      <c r="D71" s="350">
        <f t="shared" si="13"/>
        <v>258</v>
      </c>
      <c r="E71" s="350">
        <f t="shared" si="13"/>
        <v>854</v>
      </c>
      <c r="F71" s="351">
        <f t="shared" si="14"/>
        <v>44</v>
      </c>
      <c r="G71" s="351">
        <v>5</v>
      </c>
      <c r="H71" s="351">
        <v>39</v>
      </c>
      <c r="I71" s="351">
        <f t="shared" si="15"/>
        <v>1068</v>
      </c>
      <c r="J71" s="351">
        <v>253</v>
      </c>
      <c r="K71" s="351">
        <v>815</v>
      </c>
      <c r="L71" s="352" t="s">
        <v>813</v>
      </c>
    </row>
    <row r="72" spans="3:12" ht="16.5" customHeight="1" thickBot="1" x14ac:dyDescent="0.25">
      <c r="C72" s="350">
        <f t="shared" si="12"/>
        <v>19</v>
      </c>
      <c r="D72" s="350">
        <f t="shared" si="13"/>
        <v>0</v>
      </c>
      <c r="E72" s="350">
        <f t="shared" si="13"/>
        <v>19</v>
      </c>
      <c r="F72" s="351">
        <f t="shared" si="14"/>
        <v>0</v>
      </c>
      <c r="G72" s="351">
        <v>0</v>
      </c>
      <c r="H72" s="351">
        <v>0</v>
      </c>
      <c r="I72" s="351">
        <f t="shared" si="15"/>
        <v>19</v>
      </c>
      <c r="J72" s="351">
        <v>0</v>
      </c>
      <c r="K72" s="351">
        <v>19</v>
      </c>
      <c r="L72" s="352" t="s">
        <v>405</v>
      </c>
    </row>
    <row r="73" spans="3:12" ht="16.5" customHeight="1" thickBot="1" x14ac:dyDescent="0.25">
      <c r="C73" s="350">
        <f t="shared" si="12"/>
        <v>40</v>
      </c>
      <c r="D73" s="350">
        <f t="shared" si="13"/>
        <v>0</v>
      </c>
      <c r="E73" s="350">
        <f t="shared" si="13"/>
        <v>40</v>
      </c>
      <c r="F73" s="351">
        <f t="shared" si="14"/>
        <v>2</v>
      </c>
      <c r="G73" s="351">
        <v>0</v>
      </c>
      <c r="H73" s="351">
        <v>2</v>
      </c>
      <c r="I73" s="351">
        <f t="shared" si="15"/>
        <v>38</v>
      </c>
      <c r="J73" s="351">
        <v>0</v>
      </c>
      <c r="K73" s="351">
        <v>38</v>
      </c>
      <c r="L73" s="352" t="s">
        <v>407</v>
      </c>
    </row>
    <row r="74" spans="3:12" ht="16.5" customHeight="1" thickBot="1" x14ac:dyDescent="0.25">
      <c r="C74" s="350">
        <f t="shared" si="12"/>
        <v>105</v>
      </c>
      <c r="D74" s="350">
        <f t="shared" si="13"/>
        <v>0</v>
      </c>
      <c r="E74" s="350">
        <f t="shared" si="13"/>
        <v>105</v>
      </c>
      <c r="F74" s="351">
        <f t="shared" si="14"/>
        <v>3</v>
      </c>
      <c r="G74" s="351">
        <v>0</v>
      </c>
      <c r="H74" s="351">
        <v>3</v>
      </c>
      <c r="I74" s="351">
        <f t="shared" si="15"/>
        <v>102</v>
      </c>
      <c r="J74" s="351">
        <v>0</v>
      </c>
      <c r="K74" s="351">
        <v>102</v>
      </c>
      <c r="L74" s="352" t="s">
        <v>589</v>
      </c>
    </row>
    <row r="75" spans="3:12" ht="16.5" customHeight="1" thickBot="1" x14ac:dyDescent="0.25">
      <c r="C75" s="350">
        <f t="shared" si="12"/>
        <v>46</v>
      </c>
      <c r="D75" s="350">
        <f t="shared" si="13"/>
        <v>0</v>
      </c>
      <c r="E75" s="350">
        <f t="shared" si="13"/>
        <v>46</v>
      </c>
      <c r="F75" s="351">
        <f t="shared" si="14"/>
        <v>2</v>
      </c>
      <c r="G75" s="351">
        <v>0</v>
      </c>
      <c r="H75" s="351">
        <v>2</v>
      </c>
      <c r="I75" s="351">
        <f t="shared" si="15"/>
        <v>44</v>
      </c>
      <c r="J75" s="351">
        <v>0</v>
      </c>
      <c r="K75" s="351">
        <v>44</v>
      </c>
      <c r="L75" s="352" t="s">
        <v>590</v>
      </c>
    </row>
    <row r="76" spans="3:12" ht="16.5" customHeight="1" thickBot="1" x14ac:dyDescent="0.25">
      <c r="C76" s="350">
        <f t="shared" si="12"/>
        <v>103</v>
      </c>
      <c r="D76" s="350">
        <f t="shared" si="13"/>
        <v>30</v>
      </c>
      <c r="E76" s="350">
        <f t="shared" si="13"/>
        <v>73</v>
      </c>
      <c r="F76" s="351">
        <f t="shared" si="14"/>
        <v>7</v>
      </c>
      <c r="G76" s="351">
        <v>2</v>
      </c>
      <c r="H76" s="351">
        <v>5</v>
      </c>
      <c r="I76" s="351">
        <f t="shared" si="15"/>
        <v>96</v>
      </c>
      <c r="J76" s="351">
        <v>28</v>
      </c>
      <c r="K76" s="351">
        <v>68</v>
      </c>
      <c r="L76" s="352" t="s">
        <v>814</v>
      </c>
    </row>
    <row r="77" spans="3:12" ht="16.5" customHeight="1" thickBot="1" x14ac:dyDescent="0.25">
      <c r="C77" s="350">
        <f t="shared" si="12"/>
        <v>12</v>
      </c>
      <c r="D77" s="350">
        <f t="shared" si="13"/>
        <v>12</v>
      </c>
      <c r="E77" s="350">
        <f t="shared" si="13"/>
        <v>0</v>
      </c>
      <c r="F77" s="351">
        <f t="shared" si="14"/>
        <v>0</v>
      </c>
      <c r="G77" s="351">
        <v>0</v>
      </c>
      <c r="H77" s="351">
        <v>0</v>
      </c>
      <c r="I77" s="351">
        <f t="shared" si="15"/>
        <v>12</v>
      </c>
      <c r="J77" s="351">
        <v>12</v>
      </c>
      <c r="K77" s="351">
        <v>0</v>
      </c>
      <c r="L77" s="352" t="s">
        <v>408</v>
      </c>
    </row>
    <row r="78" spans="3:12" ht="16.5" customHeight="1" thickBot="1" x14ac:dyDescent="0.25">
      <c r="C78" s="350">
        <f t="shared" si="12"/>
        <v>10</v>
      </c>
      <c r="D78" s="350">
        <f t="shared" si="13"/>
        <v>5</v>
      </c>
      <c r="E78" s="350">
        <f t="shared" si="13"/>
        <v>5</v>
      </c>
      <c r="F78" s="351">
        <f t="shared" si="14"/>
        <v>0</v>
      </c>
      <c r="G78" s="351">
        <v>0</v>
      </c>
      <c r="H78" s="351">
        <v>0</v>
      </c>
      <c r="I78" s="351">
        <f t="shared" si="15"/>
        <v>10</v>
      </c>
      <c r="J78" s="351">
        <v>5</v>
      </c>
      <c r="K78" s="351">
        <v>5</v>
      </c>
      <c r="L78" s="352" t="s">
        <v>347</v>
      </c>
    </row>
    <row r="79" spans="3:12" ht="16.5" customHeight="1" thickBot="1" x14ac:dyDescent="0.25">
      <c r="C79" s="350">
        <f t="shared" si="12"/>
        <v>10</v>
      </c>
      <c r="D79" s="350">
        <f t="shared" si="13"/>
        <v>1</v>
      </c>
      <c r="E79" s="350">
        <f t="shared" si="13"/>
        <v>9</v>
      </c>
      <c r="F79" s="351">
        <f t="shared" si="14"/>
        <v>2</v>
      </c>
      <c r="G79" s="351">
        <v>1</v>
      </c>
      <c r="H79" s="351">
        <v>1</v>
      </c>
      <c r="I79" s="351">
        <f t="shared" si="15"/>
        <v>8</v>
      </c>
      <c r="J79" s="351">
        <v>0</v>
      </c>
      <c r="K79" s="351">
        <v>8</v>
      </c>
      <c r="L79" s="352" t="s">
        <v>348</v>
      </c>
    </row>
    <row r="80" spans="3:12" ht="16.5" customHeight="1" thickBot="1" x14ac:dyDescent="0.25">
      <c r="C80" s="350">
        <f t="shared" si="12"/>
        <v>24</v>
      </c>
      <c r="D80" s="350">
        <f t="shared" si="13"/>
        <v>0</v>
      </c>
      <c r="E80" s="350">
        <f t="shared" si="13"/>
        <v>24</v>
      </c>
      <c r="F80" s="351">
        <f t="shared" si="14"/>
        <v>0</v>
      </c>
      <c r="G80" s="351">
        <v>0</v>
      </c>
      <c r="H80" s="351">
        <v>0</v>
      </c>
      <c r="I80" s="351">
        <f t="shared" si="15"/>
        <v>24</v>
      </c>
      <c r="J80" s="351">
        <v>0</v>
      </c>
      <c r="K80" s="351">
        <v>24</v>
      </c>
      <c r="L80" s="352" t="s">
        <v>88</v>
      </c>
    </row>
    <row r="81" spans="3:12" ht="16.5" customHeight="1" thickBot="1" x14ac:dyDescent="0.25">
      <c r="C81" s="350">
        <f t="shared" si="12"/>
        <v>24</v>
      </c>
      <c r="D81" s="350">
        <f t="shared" si="13"/>
        <v>3</v>
      </c>
      <c r="E81" s="350">
        <f t="shared" si="13"/>
        <v>21</v>
      </c>
      <c r="F81" s="351">
        <f t="shared" si="14"/>
        <v>0</v>
      </c>
      <c r="G81" s="351">
        <v>0</v>
      </c>
      <c r="H81" s="351">
        <v>0</v>
      </c>
      <c r="I81" s="351">
        <f t="shared" si="15"/>
        <v>24</v>
      </c>
      <c r="J81" s="351">
        <v>3</v>
      </c>
      <c r="K81" s="351">
        <v>21</v>
      </c>
      <c r="L81" s="352" t="s">
        <v>587</v>
      </c>
    </row>
    <row r="82" spans="3:12" ht="16.5" customHeight="1" thickBot="1" x14ac:dyDescent="0.25">
      <c r="C82" s="350">
        <f t="shared" si="12"/>
        <v>23</v>
      </c>
      <c r="D82" s="350">
        <f t="shared" si="13"/>
        <v>23</v>
      </c>
      <c r="E82" s="350">
        <f t="shared" si="13"/>
        <v>0</v>
      </c>
      <c r="F82" s="351">
        <f t="shared" si="14"/>
        <v>0</v>
      </c>
      <c r="G82" s="351">
        <v>0</v>
      </c>
      <c r="H82" s="351">
        <v>0</v>
      </c>
      <c r="I82" s="351">
        <f t="shared" si="15"/>
        <v>23</v>
      </c>
      <c r="J82" s="351">
        <v>23</v>
      </c>
      <c r="K82" s="351">
        <v>0</v>
      </c>
      <c r="L82" s="352" t="s">
        <v>676</v>
      </c>
    </row>
    <row r="83" spans="3:12" ht="16.5" customHeight="1" thickBot="1" x14ac:dyDescent="0.25">
      <c r="C83" s="350">
        <f t="shared" si="12"/>
        <v>85</v>
      </c>
      <c r="D83" s="350">
        <f t="shared" si="13"/>
        <v>85</v>
      </c>
      <c r="E83" s="350">
        <f t="shared" si="13"/>
        <v>0</v>
      </c>
      <c r="F83" s="351">
        <f t="shared" si="14"/>
        <v>0</v>
      </c>
      <c r="G83" s="351">
        <v>0</v>
      </c>
      <c r="H83" s="351">
        <v>0</v>
      </c>
      <c r="I83" s="351">
        <f t="shared" si="15"/>
        <v>85</v>
      </c>
      <c r="J83" s="351">
        <v>85</v>
      </c>
      <c r="K83" s="351">
        <v>0</v>
      </c>
      <c r="L83" s="352" t="s">
        <v>412</v>
      </c>
    </row>
    <row r="84" spans="3:12" ht="16.5" customHeight="1" thickBot="1" x14ac:dyDescent="0.25">
      <c r="C84" s="350">
        <f t="shared" si="12"/>
        <v>17</v>
      </c>
      <c r="D84" s="350">
        <f t="shared" si="13"/>
        <v>17</v>
      </c>
      <c r="E84" s="350">
        <f t="shared" si="13"/>
        <v>0</v>
      </c>
      <c r="F84" s="351">
        <f t="shared" si="14"/>
        <v>0</v>
      </c>
      <c r="G84" s="351">
        <v>0</v>
      </c>
      <c r="H84" s="351">
        <v>0</v>
      </c>
      <c r="I84" s="351">
        <f t="shared" si="15"/>
        <v>17</v>
      </c>
      <c r="J84" s="351">
        <v>17</v>
      </c>
      <c r="K84" s="351">
        <v>0</v>
      </c>
      <c r="L84" s="352" t="s">
        <v>762</v>
      </c>
    </row>
    <row r="85" spans="3:12" ht="16.5" customHeight="1" thickBot="1" x14ac:dyDescent="0.25">
      <c r="C85" s="350">
        <f t="shared" si="12"/>
        <v>47</v>
      </c>
      <c r="D85" s="350">
        <f t="shared" si="13"/>
        <v>47</v>
      </c>
      <c r="E85" s="350">
        <f t="shared" si="13"/>
        <v>0</v>
      </c>
      <c r="F85" s="351">
        <f t="shared" si="14"/>
        <v>0</v>
      </c>
      <c r="G85" s="351">
        <v>0</v>
      </c>
      <c r="H85" s="351">
        <v>0</v>
      </c>
      <c r="I85" s="351">
        <f t="shared" si="15"/>
        <v>47</v>
      </c>
      <c r="J85" s="351">
        <v>47</v>
      </c>
      <c r="K85" s="351">
        <v>0</v>
      </c>
      <c r="L85" s="352" t="s">
        <v>815</v>
      </c>
    </row>
    <row r="86" spans="3:12" ht="16.5" customHeight="1" thickBot="1" x14ac:dyDescent="0.25">
      <c r="C86" s="350">
        <f t="shared" si="12"/>
        <v>3</v>
      </c>
      <c r="D86" s="350">
        <f t="shared" si="13"/>
        <v>3</v>
      </c>
      <c r="E86" s="350">
        <f t="shared" si="13"/>
        <v>0</v>
      </c>
      <c r="F86" s="351">
        <f t="shared" si="14"/>
        <v>0</v>
      </c>
      <c r="G86" s="351">
        <v>0</v>
      </c>
      <c r="H86" s="351">
        <v>0</v>
      </c>
      <c r="I86" s="351">
        <f t="shared" si="15"/>
        <v>3</v>
      </c>
      <c r="J86" s="351">
        <v>3</v>
      </c>
      <c r="K86" s="351">
        <v>0</v>
      </c>
      <c r="L86" s="352" t="s">
        <v>198</v>
      </c>
    </row>
    <row r="87" spans="3:12" ht="16.5" customHeight="1" thickBot="1" x14ac:dyDescent="0.25">
      <c r="C87" s="350">
        <f t="shared" si="12"/>
        <v>26</v>
      </c>
      <c r="D87" s="350">
        <f t="shared" si="13"/>
        <v>0</v>
      </c>
      <c r="E87" s="350">
        <f t="shared" si="13"/>
        <v>26</v>
      </c>
      <c r="F87" s="351">
        <f t="shared" si="14"/>
        <v>0</v>
      </c>
      <c r="G87" s="351">
        <v>0</v>
      </c>
      <c r="H87" s="351">
        <v>0</v>
      </c>
      <c r="I87" s="351">
        <f t="shared" si="15"/>
        <v>26</v>
      </c>
      <c r="J87" s="351">
        <v>0</v>
      </c>
      <c r="K87" s="351">
        <v>26</v>
      </c>
      <c r="L87" s="352" t="s">
        <v>816</v>
      </c>
    </row>
    <row r="88" spans="3:12" ht="16.5" customHeight="1" thickBot="1" x14ac:dyDescent="0.25">
      <c r="C88" s="350">
        <f t="shared" si="12"/>
        <v>44</v>
      </c>
      <c r="D88" s="350">
        <f t="shared" si="13"/>
        <v>36</v>
      </c>
      <c r="E88" s="350">
        <f t="shared" si="13"/>
        <v>8</v>
      </c>
      <c r="F88" s="351">
        <f t="shared" si="14"/>
        <v>1</v>
      </c>
      <c r="G88" s="351">
        <v>1</v>
      </c>
      <c r="H88" s="351">
        <v>0</v>
      </c>
      <c r="I88" s="351">
        <f t="shared" si="15"/>
        <v>43</v>
      </c>
      <c r="J88" s="351">
        <v>35</v>
      </c>
      <c r="K88" s="351">
        <v>8</v>
      </c>
      <c r="L88" s="352" t="s">
        <v>622</v>
      </c>
    </row>
    <row r="89" spans="3:12" ht="16.5" customHeight="1" thickBot="1" x14ac:dyDescent="0.25">
      <c r="C89" s="350">
        <f t="shared" ref="C89:J89" si="16">SUM(C65:C88)</f>
        <v>2243</v>
      </c>
      <c r="D89" s="350">
        <f t="shared" si="16"/>
        <v>637</v>
      </c>
      <c r="E89" s="350">
        <f t="shared" si="16"/>
        <v>1606</v>
      </c>
      <c r="F89" s="351">
        <f t="shared" si="16"/>
        <v>89</v>
      </c>
      <c r="G89" s="351">
        <f t="shared" si="16"/>
        <v>9</v>
      </c>
      <c r="H89" s="351">
        <f t="shared" si="16"/>
        <v>80</v>
      </c>
      <c r="I89" s="351">
        <f t="shared" si="16"/>
        <v>2154</v>
      </c>
      <c r="J89" s="351">
        <f t="shared" si="16"/>
        <v>628</v>
      </c>
      <c r="K89" s="351">
        <f>SUM(K65:K88)</f>
        <v>1526</v>
      </c>
      <c r="L89" s="353" t="s">
        <v>244</v>
      </c>
    </row>
    <row r="90" spans="3:12" ht="16.5" customHeight="1" thickBot="1" x14ac:dyDescent="0.25"/>
    <row r="91" spans="3:12" ht="16.5" customHeight="1" thickBot="1" x14ac:dyDescent="0.25">
      <c r="C91" s="597" t="s">
        <v>4</v>
      </c>
      <c r="D91" s="597"/>
      <c r="E91" s="597"/>
      <c r="F91" s="598" t="s">
        <v>145</v>
      </c>
      <c r="G91" s="598"/>
      <c r="H91" s="598"/>
      <c r="I91" s="598" t="s">
        <v>146</v>
      </c>
      <c r="J91" s="598"/>
      <c r="K91" s="598"/>
      <c r="L91" s="347" t="s">
        <v>66</v>
      </c>
    </row>
    <row r="92" spans="3:12" ht="16.5" customHeight="1" thickBot="1" x14ac:dyDescent="0.25">
      <c r="C92" s="347" t="s">
        <v>227</v>
      </c>
      <c r="D92" s="347" t="s">
        <v>10</v>
      </c>
      <c r="E92" s="347" t="s">
        <v>9</v>
      </c>
      <c r="F92" s="348" t="s">
        <v>227</v>
      </c>
      <c r="G92" s="348" t="s">
        <v>10</v>
      </c>
      <c r="H92" s="348" t="s">
        <v>9</v>
      </c>
      <c r="I92" s="348" t="s">
        <v>227</v>
      </c>
      <c r="J92" s="348" t="s">
        <v>10</v>
      </c>
      <c r="K92" s="348" t="s">
        <v>9</v>
      </c>
      <c r="L92" s="349" t="s">
        <v>90</v>
      </c>
    </row>
    <row r="93" spans="3:12" ht="16.5" customHeight="1" thickBot="1" x14ac:dyDescent="0.25">
      <c r="C93" s="350">
        <f>SUM(D93:E93)</f>
        <v>86</v>
      </c>
      <c r="D93" s="350">
        <f>J93+G93</f>
        <v>0</v>
      </c>
      <c r="E93" s="350">
        <f>K93+H93</f>
        <v>86</v>
      </c>
      <c r="F93" s="351">
        <f>SUM(G93:H93)</f>
        <v>56</v>
      </c>
      <c r="G93" s="351">
        <v>0</v>
      </c>
      <c r="H93" s="351">
        <v>56</v>
      </c>
      <c r="I93" s="351">
        <f>SUM(J93:K93)</f>
        <v>30</v>
      </c>
      <c r="J93" s="351">
        <v>0</v>
      </c>
      <c r="K93" s="351">
        <v>30</v>
      </c>
      <c r="L93" s="352" t="s">
        <v>420</v>
      </c>
    </row>
    <row r="94" spans="3:12" ht="16.5" customHeight="1" thickBot="1" x14ac:dyDescent="0.25">
      <c r="C94" s="350">
        <f t="shared" ref="C94:C102" si="17">SUM(D94:E94)</f>
        <v>19</v>
      </c>
      <c r="D94" s="350">
        <f t="shared" ref="D94:E102" si="18">J94+G94</f>
        <v>0</v>
      </c>
      <c r="E94" s="350">
        <f t="shared" si="18"/>
        <v>19</v>
      </c>
      <c r="F94" s="351">
        <f t="shared" ref="F94:F102" si="19">SUM(G94:H94)</f>
        <v>7</v>
      </c>
      <c r="G94" s="351">
        <v>0</v>
      </c>
      <c r="H94" s="351">
        <v>7</v>
      </c>
      <c r="I94" s="351">
        <f t="shared" ref="I94:I102" si="20">SUM(J94:K94)</f>
        <v>12</v>
      </c>
      <c r="J94" s="351">
        <v>0</v>
      </c>
      <c r="K94" s="351">
        <v>12</v>
      </c>
      <c r="L94" s="352" t="s">
        <v>648</v>
      </c>
    </row>
    <row r="95" spans="3:12" ht="16.5" customHeight="1" thickBot="1" x14ac:dyDescent="0.25">
      <c r="C95" s="350">
        <f t="shared" si="17"/>
        <v>28</v>
      </c>
      <c r="D95" s="350">
        <f t="shared" si="18"/>
        <v>0</v>
      </c>
      <c r="E95" s="350">
        <f t="shared" si="18"/>
        <v>28</v>
      </c>
      <c r="F95" s="351">
        <f t="shared" si="19"/>
        <v>16</v>
      </c>
      <c r="G95" s="351">
        <v>0</v>
      </c>
      <c r="H95" s="351">
        <v>16</v>
      </c>
      <c r="I95" s="351">
        <f t="shared" si="20"/>
        <v>12</v>
      </c>
      <c r="J95" s="351">
        <v>0</v>
      </c>
      <c r="K95" s="351">
        <v>12</v>
      </c>
      <c r="L95" s="352" t="s">
        <v>514</v>
      </c>
    </row>
    <row r="96" spans="3:12" ht="16.5" customHeight="1" thickBot="1" x14ac:dyDescent="0.25">
      <c r="C96" s="350">
        <f t="shared" si="17"/>
        <v>39</v>
      </c>
      <c r="D96" s="350">
        <f t="shared" si="18"/>
        <v>0</v>
      </c>
      <c r="E96" s="350">
        <f t="shared" si="18"/>
        <v>39</v>
      </c>
      <c r="F96" s="351">
        <f t="shared" si="19"/>
        <v>3</v>
      </c>
      <c r="G96" s="351">
        <v>0</v>
      </c>
      <c r="H96" s="351">
        <v>3</v>
      </c>
      <c r="I96" s="351">
        <f t="shared" si="20"/>
        <v>36</v>
      </c>
      <c r="J96" s="351">
        <v>0</v>
      </c>
      <c r="K96" s="351">
        <v>36</v>
      </c>
      <c r="L96" s="352" t="s">
        <v>89</v>
      </c>
    </row>
    <row r="97" spans="3:12" ht="16.5" customHeight="1" thickBot="1" x14ac:dyDescent="0.25">
      <c r="C97" s="350">
        <f t="shared" si="17"/>
        <v>61</v>
      </c>
      <c r="D97" s="350">
        <f t="shared" si="18"/>
        <v>0</v>
      </c>
      <c r="E97" s="350">
        <f t="shared" si="18"/>
        <v>61</v>
      </c>
      <c r="F97" s="351">
        <f t="shared" si="19"/>
        <v>45</v>
      </c>
      <c r="G97" s="351">
        <v>0</v>
      </c>
      <c r="H97" s="351">
        <v>45</v>
      </c>
      <c r="I97" s="351">
        <f t="shared" si="20"/>
        <v>16</v>
      </c>
      <c r="J97" s="351">
        <v>0</v>
      </c>
      <c r="K97" s="351">
        <v>16</v>
      </c>
      <c r="L97" s="352" t="s">
        <v>367</v>
      </c>
    </row>
    <row r="98" spans="3:12" ht="16.5" customHeight="1" thickBot="1" x14ac:dyDescent="0.25">
      <c r="C98" s="350">
        <f t="shared" si="17"/>
        <v>19</v>
      </c>
      <c r="D98" s="350">
        <f t="shared" si="18"/>
        <v>0</v>
      </c>
      <c r="E98" s="350">
        <f t="shared" si="18"/>
        <v>19</v>
      </c>
      <c r="F98" s="351">
        <f t="shared" si="19"/>
        <v>12</v>
      </c>
      <c r="G98" s="351">
        <v>0</v>
      </c>
      <c r="H98" s="351">
        <v>12</v>
      </c>
      <c r="I98" s="351">
        <f t="shared" si="20"/>
        <v>7</v>
      </c>
      <c r="J98" s="351">
        <v>0</v>
      </c>
      <c r="K98" s="351">
        <v>7</v>
      </c>
      <c r="L98" s="352" t="s">
        <v>405</v>
      </c>
    </row>
    <row r="99" spans="3:12" ht="16.5" customHeight="1" thickBot="1" x14ac:dyDescent="0.25">
      <c r="C99" s="350">
        <f t="shared" si="17"/>
        <v>11</v>
      </c>
      <c r="D99" s="350">
        <f t="shared" si="18"/>
        <v>0</v>
      </c>
      <c r="E99" s="350">
        <f t="shared" si="18"/>
        <v>11</v>
      </c>
      <c r="F99" s="351">
        <f t="shared" si="19"/>
        <v>0</v>
      </c>
      <c r="G99" s="351">
        <v>0</v>
      </c>
      <c r="H99" s="351">
        <v>0</v>
      </c>
      <c r="I99" s="351">
        <f t="shared" si="20"/>
        <v>11</v>
      </c>
      <c r="J99" s="351">
        <v>0</v>
      </c>
      <c r="K99" s="351">
        <v>11</v>
      </c>
      <c r="L99" s="352" t="s">
        <v>91</v>
      </c>
    </row>
    <row r="100" spans="3:12" ht="16.5" customHeight="1" thickBot="1" x14ac:dyDescent="0.25">
      <c r="C100" s="350">
        <f t="shared" si="17"/>
        <v>1085</v>
      </c>
      <c r="D100" s="350">
        <f t="shared" si="18"/>
        <v>3</v>
      </c>
      <c r="E100" s="350">
        <f t="shared" si="18"/>
        <v>1082</v>
      </c>
      <c r="F100" s="351">
        <f t="shared" si="19"/>
        <v>197</v>
      </c>
      <c r="G100" s="351">
        <v>3</v>
      </c>
      <c r="H100" s="351">
        <v>194</v>
      </c>
      <c r="I100" s="351">
        <f t="shared" si="20"/>
        <v>888</v>
      </c>
      <c r="J100" s="351">
        <v>0</v>
      </c>
      <c r="K100" s="351">
        <v>888</v>
      </c>
      <c r="L100" s="352" t="s">
        <v>744</v>
      </c>
    </row>
    <row r="101" spans="3:12" ht="16.5" customHeight="1" thickBot="1" x14ac:dyDescent="0.25">
      <c r="C101" s="350">
        <f t="shared" si="17"/>
        <v>2</v>
      </c>
      <c r="D101" s="350">
        <f t="shared" si="18"/>
        <v>0</v>
      </c>
      <c r="E101" s="350">
        <f t="shared" si="18"/>
        <v>2</v>
      </c>
      <c r="F101" s="351">
        <f t="shared" si="19"/>
        <v>0</v>
      </c>
      <c r="G101" s="351">
        <v>0</v>
      </c>
      <c r="H101" s="351">
        <v>0</v>
      </c>
      <c r="I101" s="351">
        <f t="shared" si="20"/>
        <v>2</v>
      </c>
      <c r="J101" s="351">
        <v>0</v>
      </c>
      <c r="K101" s="351">
        <v>2</v>
      </c>
      <c r="L101" s="352" t="s">
        <v>763</v>
      </c>
    </row>
    <row r="102" spans="3:12" ht="16.5" customHeight="1" thickBot="1" x14ac:dyDescent="0.25">
      <c r="C102" s="350">
        <f t="shared" si="17"/>
        <v>29</v>
      </c>
      <c r="D102" s="350">
        <f t="shared" si="18"/>
        <v>0</v>
      </c>
      <c r="E102" s="350">
        <f t="shared" si="18"/>
        <v>29</v>
      </c>
      <c r="F102" s="351">
        <f t="shared" si="19"/>
        <v>8</v>
      </c>
      <c r="G102" s="351">
        <v>0</v>
      </c>
      <c r="H102" s="351">
        <v>8</v>
      </c>
      <c r="I102" s="351">
        <f t="shared" si="20"/>
        <v>21</v>
      </c>
      <c r="J102" s="351">
        <v>0</v>
      </c>
      <c r="K102" s="351">
        <v>21</v>
      </c>
      <c r="L102" s="352" t="s">
        <v>764</v>
      </c>
    </row>
    <row r="103" spans="3:12" ht="16.5" customHeight="1" thickBot="1" x14ac:dyDescent="0.25">
      <c r="C103" s="350">
        <f t="shared" ref="C103:J103" si="21">SUM(C93:C102)</f>
        <v>1379</v>
      </c>
      <c r="D103" s="350">
        <f t="shared" si="21"/>
        <v>3</v>
      </c>
      <c r="E103" s="350">
        <f t="shared" si="21"/>
        <v>1376</v>
      </c>
      <c r="F103" s="351">
        <f t="shared" si="21"/>
        <v>344</v>
      </c>
      <c r="G103" s="351">
        <f t="shared" si="21"/>
        <v>3</v>
      </c>
      <c r="H103" s="351">
        <f t="shared" si="21"/>
        <v>341</v>
      </c>
      <c r="I103" s="351">
        <f t="shared" si="21"/>
        <v>1035</v>
      </c>
      <c r="J103" s="351">
        <f t="shared" si="21"/>
        <v>0</v>
      </c>
      <c r="K103" s="351">
        <f>SUM(K93:K102)</f>
        <v>1035</v>
      </c>
      <c r="L103" s="353" t="s">
        <v>244</v>
      </c>
    </row>
    <row r="104" spans="3:12" ht="16.5" customHeight="1" thickBot="1" x14ac:dyDescent="0.25"/>
    <row r="105" spans="3:12" ht="16.5" customHeight="1" thickBot="1" x14ac:dyDescent="0.25">
      <c r="C105" s="597" t="s">
        <v>4</v>
      </c>
      <c r="D105" s="597"/>
      <c r="E105" s="597"/>
      <c r="F105" s="598" t="s">
        <v>145</v>
      </c>
      <c r="G105" s="598"/>
      <c r="H105" s="598"/>
      <c r="I105" s="598" t="s">
        <v>146</v>
      </c>
      <c r="J105" s="598"/>
      <c r="K105" s="598"/>
      <c r="L105" s="347" t="s">
        <v>66</v>
      </c>
    </row>
    <row r="106" spans="3:12" ht="16.5" customHeight="1" thickBot="1" x14ac:dyDescent="0.25">
      <c r="C106" s="347" t="s">
        <v>227</v>
      </c>
      <c r="D106" s="347" t="s">
        <v>10</v>
      </c>
      <c r="E106" s="347" t="s">
        <v>9</v>
      </c>
      <c r="F106" s="348" t="s">
        <v>227</v>
      </c>
      <c r="G106" s="348" t="s">
        <v>10</v>
      </c>
      <c r="H106" s="348" t="s">
        <v>9</v>
      </c>
      <c r="I106" s="348" t="s">
        <v>227</v>
      </c>
      <c r="J106" s="348" t="s">
        <v>10</v>
      </c>
      <c r="K106" s="348" t="s">
        <v>9</v>
      </c>
      <c r="L106" s="349" t="s">
        <v>74</v>
      </c>
    </row>
    <row r="107" spans="3:12" ht="16.5" customHeight="1" thickBot="1" x14ac:dyDescent="0.25">
      <c r="C107" s="350">
        <f>SUM(D107:E107)</f>
        <v>34</v>
      </c>
      <c r="D107" s="350">
        <f>J107+G107</f>
        <v>0</v>
      </c>
      <c r="E107" s="350">
        <f>K107+H107</f>
        <v>34</v>
      </c>
      <c r="F107" s="351">
        <f>SUM(G107:H107)</f>
        <v>0</v>
      </c>
      <c r="G107" s="351">
        <v>0</v>
      </c>
      <c r="H107" s="351">
        <v>0</v>
      </c>
      <c r="I107" s="351">
        <f>SUM(J107:K107)</f>
        <v>34</v>
      </c>
      <c r="J107" s="351">
        <v>0</v>
      </c>
      <c r="K107" s="351">
        <v>34</v>
      </c>
      <c r="L107" s="352" t="s">
        <v>817</v>
      </c>
    </row>
    <row r="108" spans="3:12" ht="16.5" customHeight="1" thickBot="1" x14ac:dyDescent="0.25">
      <c r="C108" s="350">
        <f t="shared" ref="C108:C137" si="22">SUM(D108:E108)</f>
        <v>30</v>
      </c>
      <c r="D108" s="350">
        <f t="shared" ref="D108:E137" si="23">J108+G108</f>
        <v>0</v>
      </c>
      <c r="E108" s="350">
        <f t="shared" si="23"/>
        <v>30</v>
      </c>
      <c r="F108" s="351">
        <f t="shared" ref="F108:F137" si="24">SUM(G108:H108)</f>
        <v>0</v>
      </c>
      <c r="G108" s="351">
        <v>0</v>
      </c>
      <c r="H108" s="351">
        <v>0</v>
      </c>
      <c r="I108" s="351">
        <f t="shared" ref="I108:I137" si="25">SUM(J108:K108)</f>
        <v>30</v>
      </c>
      <c r="J108" s="351">
        <v>0</v>
      </c>
      <c r="K108" s="351">
        <v>30</v>
      </c>
      <c r="L108" s="352" t="s">
        <v>426</v>
      </c>
    </row>
    <row r="109" spans="3:12" ht="16.5" customHeight="1" thickBot="1" x14ac:dyDescent="0.25">
      <c r="C109" s="350">
        <f t="shared" si="22"/>
        <v>36</v>
      </c>
      <c r="D109" s="350">
        <f t="shared" si="23"/>
        <v>6</v>
      </c>
      <c r="E109" s="350">
        <f t="shared" si="23"/>
        <v>30</v>
      </c>
      <c r="F109" s="351">
        <f t="shared" si="24"/>
        <v>0</v>
      </c>
      <c r="G109" s="351">
        <v>0</v>
      </c>
      <c r="H109" s="351">
        <v>0</v>
      </c>
      <c r="I109" s="351">
        <f t="shared" si="25"/>
        <v>36</v>
      </c>
      <c r="J109" s="351">
        <v>6</v>
      </c>
      <c r="K109" s="351">
        <v>30</v>
      </c>
      <c r="L109" s="352" t="s">
        <v>427</v>
      </c>
    </row>
    <row r="110" spans="3:12" ht="16.5" customHeight="1" thickBot="1" x14ac:dyDescent="0.25">
      <c r="C110" s="350">
        <f t="shared" si="22"/>
        <v>25</v>
      </c>
      <c r="D110" s="350">
        <f t="shared" si="23"/>
        <v>9</v>
      </c>
      <c r="E110" s="350">
        <f t="shared" si="23"/>
        <v>16</v>
      </c>
      <c r="F110" s="351">
        <f t="shared" si="24"/>
        <v>0</v>
      </c>
      <c r="G110" s="351">
        <v>0</v>
      </c>
      <c r="H110" s="351">
        <v>0</v>
      </c>
      <c r="I110" s="351">
        <f t="shared" si="25"/>
        <v>25</v>
      </c>
      <c r="J110" s="351">
        <v>9</v>
      </c>
      <c r="K110" s="351">
        <v>16</v>
      </c>
      <c r="L110" s="352" t="s">
        <v>429</v>
      </c>
    </row>
    <row r="111" spans="3:12" ht="16.5" customHeight="1" thickBot="1" x14ac:dyDescent="0.25">
      <c r="C111" s="350">
        <f t="shared" si="22"/>
        <v>9</v>
      </c>
      <c r="D111" s="350">
        <f t="shared" si="23"/>
        <v>0</v>
      </c>
      <c r="E111" s="350">
        <f t="shared" si="23"/>
        <v>9</v>
      </c>
      <c r="F111" s="351">
        <f t="shared" si="24"/>
        <v>0</v>
      </c>
      <c r="G111" s="351">
        <v>0</v>
      </c>
      <c r="H111" s="351">
        <v>0</v>
      </c>
      <c r="I111" s="351">
        <f t="shared" si="25"/>
        <v>9</v>
      </c>
      <c r="J111" s="351">
        <v>0</v>
      </c>
      <c r="K111" s="351">
        <v>9</v>
      </c>
      <c r="L111" s="352" t="s">
        <v>430</v>
      </c>
    </row>
    <row r="112" spans="3:12" ht="16.5" customHeight="1" thickBot="1" x14ac:dyDescent="0.25">
      <c r="C112" s="350">
        <f t="shared" si="22"/>
        <v>41</v>
      </c>
      <c r="D112" s="350">
        <f t="shared" si="23"/>
        <v>11</v>
      </c>
      <c r="E112" s="350">
        <f t="shared" si="23"/>
        <v>30</v>
      </c>
      <c r="F112" s="351">
        <f t="shared" si="24"/>
        <v>0</v>
      </c>
      <c r="G112" s="351">
        <v>0</v>
      </c>
      <c r="H112" s="351">
        <v>0</v>
      </c>
      <c r="I112" s="351">
        <f t="shared" si="25"/>
        <v>41</v>
      </c>
      <c r="J112" s="351">
        <v>11</v>
      </c>
      <c r="K112" s="351">
        <v>30</v>
      </c>
      <c r="L112" s="352" t="s">
        <v>431</v>
      </c>
    </row>
    <row r="113" spans="3:12" ht="16.5" customHeight="1" thickBot="1" x14ac:dyDescent="0.25">
      <c r="C113" s="350">
        <f t="shared" si="22"/>
        <v>33</v>
      </c>
      <c r="D113" s="350">
        <f t="shared" si="23"/>
        <v>13</v>
      </c>
      <c r="E113" s="350">
        <f t="shared" si="23"/>
        <v>20</v>
      </c>
      <c r="F113" s="351">
        <f t="shared" si="24"/>
        <v>0</v>
      </c>
      <c r="G113" s="351">
        <v>0</v>
      </c>
      <c r="H113" s="351">
        <v>0</v>
      </c>
      <c r="I113" s="351">
        <f t="shared" si="25"/>
        <v>33</v>
      </c>
      <c r="J113" s="351">
        <v>13</v>
      </c>
      <c r="K113" s="351">
        <v>20</v>
      </c>
      <c r="L113" s="352" t="s">
        <v>432</v>
      </c>
    </row>
    <row r="114" spans="3:12" ht="16.5" customHeight="1" thickBot="1" x14ac:dyDescent="0.25">
      <c r="C114" s="350">
        <f t="shared" si="22"/>
        <v>4</v>
      </c>
      <c r="D114" s="350">
        <f t="shared" si="23"/>
        <v>0</v>
      </c>
      <c r="E114" s="350">
        <f t="shared" si="23"/>
        <v>4</v>
      </c>
      <c r="F114" s="351">
        <f t="shared" si="24"/>
        <v>0</v>
      </c>
      <c r="G114" s="351">
        <v>0</v>
      </c>
      <c r="H114" s="351">
        <v>0</v>
      </c>
      <c r="I114" s="351">
        <f t="shared" si="25"/>
        <v>4</v>
      </c>
      <c r="J114" s="351">
        <v>0</v>
      </c>
      <c r="K114" s="351">
        <v>4</v>
      </c>
      <c r="L114" s="352" t="s">
        <v>433</v>
      </c>
    </row>
    <row r="115" spans="3:12" ht="16.5" customHeight="1" thickBot="1" x14ac:dyDescent="0.25">
      <c r="C115" s="350">
        <f t="shared" si="22"/>
        <v>23</v>
      </c>
      <c r="D115" s="350">
        <f t="shared" si="23"/>
        <v>3</v>
      </c>
      <c r="E115" s="350">
        <f t="shared" si="23"/>
        <v>20</v>
      </c>
      <c r="F115" s="351">
        <f t="shared" si="24"/>
        <v>4</v>
      </c>
      <c r="G115" s="351">
        <v>0</v>
      </c>
      <c r="H115" s="351">
        <v>4</v>
      </c>
      <c r="I115" s="351">
        <f t="shared" si="25"/>
        <v>19</v>
      </c>
      <c r="J115" s="351">
        <v>3</v>
      </c>
      <c r="K115" s="351">
        <v>16</v>
      </c>
      <c r="L115" s="352" t="s">
        <v>434</v>
      </c>
    </row>
    <row r="116" spans="3:12" ht="16.5" customHeight="1" thickBot="1" x14ac:dyDescent="0.25">
      <c r="C116" s="350">
        <f t="shared" si="22"/>
        <v>89</v>
      </c>
      <c r="D116" s="350">
        <f t="shared" si="23"/>
        <v>37</v>
      </c>
      <c r="E116" s="350">
        <f t="shared" si="23"/>
        <v>52</v>
      </c>
      <c r="F116" s="351">
        <f t="shared" si="24"/>
        <v>19</v>
      </c>
      <c r="G116" s="351">
        <v>6</v>
      </c>
      <c r="H116" s="351">
        <v>13</v>
      </c>
      <c r="I116" s="351">
        <f t="shared" si="25"/>
        <v>70</v>
      </c>
      <c r="J116" s="351">
        <v>31</v>
      </c>
      <c r="K116" s="351">
        <v>39</v>
      </c>
      <c r="L116" s="352" t="s">
        <v>435</v>
      </c>
    </row>
    <row r="117" spans="3:12" ht="16.5" customHeight="1" thickBot="1" x14ac:dyDescent="0.25">
      <c r="C117" s="350">
        <f t="shared" si="22"/>
        <v>10</v>
      </c>
      <c r="D117" s="350">
        <f t="shared" si="23"/>
        <v>0</v>
      </c>
      <c r="E117" s="350">
        <f t="shared" si="23"/>
        <v>10</v>
      </c>
      <c r="F117" s="351">
        <f t="shared" si="24"/>
        <v>4</v>
      </c>
      <c r="G117" s="351">
        <v>0</v>
      </c>
      <c r="H117" s="351">
        <v>4</v>
      </c>
      <c r="I117" s="351">
        <f t="shared" si="25"/>
        <v>6</v>
      </c>
      <c r="J117" s="351">
        <v>0</v>
      </c>
      <c r="K117" s="351">
        <v>6</v>
      </c>
      <c r="L117" s="352" t="s">
        <v>436</v>
      </c>
    </row>
    <row r="118" spans="3:12" ht="16.5" customHeight="1" thickBot="1" x14ac:dyDescent="0.25">
      <c r="C118" s="350">
        <f t="shared" si="22"/>
        <v>14</v>
      </c>
      <c r="D118" s="350">
        <f t="shared" si="23"/>
        <v>5</v>
      </c>
      <c r="E118" s="350">
        <f t="shared" si="23"/>
        <v>9</v>
      </c>
      <c r="F118" s="351">
        <f t="shared" si="24"/>
        <v>0</v>
      </c>
      <c r="G118" s="351">
        <v>0</v>
      </c>
      <c r="H118" s="351">
        <v>0</v>
      </c>
      <c r="I118" s="351">
        <f t="shared" si="25"/>
        <v>14</v>
      </c>
      <c r="J118" s="351">
        <v>5</v>
      </c>
      <c r="K118" s="351">
        <v>9</v>
      </c>
      <c r="L118" s="352" t="s">
        <v>437</v>
      </c>
    </row>
    <row r="119" spans="3:12" ht="16.5" customHeight="1" thickBot="1" x14ac:dyDescent="0.25">
      <c r="C119" s="350">
        <f t="shared" si="22"/>
        <v>91</v>
      </c>
      <c r="D119" s="350">
        <f t="shared" si="23"/>
        <v>49</v>
      </c>
      <c r="E119" s="350">
        <f t="shared" si="23"/>
        <v>42</v>
      </c>
      <c r="F119" s="351">
        <f t="shared" si="24"/>
        <v>0</v>
      </c>
      <c r="G119" s="351">
        <v>0</v>
      </c>
      <c r="H119" s="351">
        <v>0</v>
      </c>
      <c r="I119" s="351">
        <f t="shared" si="25"/>
        <v>91</v>
      </c>
      <c r="J119" s="351">
        <v>49</v>
      </c>
      <c r="K119" s="351">
        <v>42</v>
      </c>
      <c r="L119" s="352" t="s">
        <v>71</v>
      </c>
    </row>
    <row r="120" spans="3:12" ht="16.5" customHeight="1" thickBot="1" x14ac:dyDescent="0.25">
      <c r="C120" s="350">
        <f t="shared" si="22"/>
        <v>742</v>
      </c>
      <c r="D120" s="350">
        <f t="shared" si="23"/>
        <v>32</v>
      </c>
      <c r="E120" s="350">
        <f t="shared" si="23"/>
        <v>710</v>
      </c>
      <c r="F120" s="351">
        <f t="shared" si="24"/>
        <v>5</v>
      </c>
      <c r="G120" s="351">
        <v>0</v>
      </c>
      <c r="H120" s="351">
        <v>5</v>
      </c>
      <c r="I120" s="351">
        <f t="shared" si="25"/>
        <v>737</v>
      </c>
      <c r="J120" s="351">
        <v>32</v>
      </c>
      <c r="K120" s="351">
        <v>705</v>
      </c>
      <c r="L120" s="352" t="s">
        <v>818</v>
      </c>
    </row>
    <row r="121" spans="3:12" ht="18.75" thickBot="1" x14ac:dyDescent="0.25">
      <c r="C121" s="350">
        <f t="shared" si="22"/>
        <v>60</v>
      </c>
      <c r="D121" s="350">
        <f t="shared" si="23"/>
        <v>0</v>
      </c>
      <c r="E121" s="350">
        <f t="shared" si="23"/>
        <v>60</v>
      </c>
      <c r="F121" s="351">
        <f t="shared" si="24"/>
        <v>0</v>
      </c>
      <c r="G121" s="351">
        <v>0</v>
      </c>
      <c r="H121" s="351">
        <v>0</v>
      </c>
      <c r="I121" s="351">
        <f t="shared" si="25"/>
        <v>60</v>
      </c>
      <c r="J121" s="351">
        <v>0</v>
      </c>
      <c r="K121" s="351">
        <v>60</v>
      </c>
      <c r="L121" s="356" t="s">
        <v>819</v>
      </c>
    </row>
    <row r="122" spans="3:12" ht="16.5" customHeight="1" thickBot="1" x14ac:dyDescent="0.25">
      <c r="C122" s="350">
        <f t="shared" si="22"/>
        <v>222</v>
      </c>
      <c r="D122" s="350">
        <f t="shared" si="23"/>
        <v>26</v>
      </c>
      <c r="E122" s="350">
        <f t="shared" si="23"/>
        <v>196</v>
      </c>
      <c r="F122" s="351">
        <f t="shared" si="24"/>
        <v>11</v>
      </c>
      <c r="G122" s="351">
        <v>0</v>
      </c>
      <c r="H122" s="351">
        <v>11</v>
      </c>
      <c r="I122" s="351">
        <f t="shared" si="25"/>
        <v>211</v>
      </c>
      <c r="J122" s="351">
        <v>26</v>
      </c>
      <c r="K122" s="351">
        <v>185</v>
      </c>
      <c r="L122" s="352" t="s">
        <v>820</v>
      </c>
    </row>
    <row r="123" spans="3:12" ht="16.5" customHeight="1" thickBot="1" x14ac:dyDescent="0.25">
      <c r="C123" s="350">
        <f t="shared" si="22"/>
        <v>11</v>
      </c>
      <c r="D123" s="350">
        <f t="shared" si="23"/>
        <v>1</v>
      </c>
      <c r="E123" s="350">
        <f t="shared" si="23"/>
        <v>10</v>
      </c>
      <c r="F123" s="351">
        <f t="shared" si="24"/>
        <v>0</v>
      </c>
      <c r="G123" s="351">
        <v>0</v>
      </c>
      <c r="H123" s="351">
        <v>0</v>
      </c>
      <c r="I123" s="351">
        <f t="shared" si="25"/>
        <v>11</v>
      </c>
      <c r="J123" s="351">
        <v>1</v>
      </c>
      <c r="K123" s="351">
        <v>10</v>
      </c>
      <c r="L123" s="352" t="s">
        <v>439</v>
      </c>
    </row>
    <row r="124" spans="3:12" ht="16.5" customHeight="1" thickBot="1" x14ac:dyDescent="0.25">
      <c r="C124" s="350">
        <f t="shared" si="22"/>
        <v>21</v>
      </c>
      <c r="D124" s="350">
        <f t="shared" si="23"/>
        <v>21</v>
      </c>
      <c r="E124" s="350">
        <f t="shared" si="23"/>
        <v>0</v>
      </c>
      <c r="F124" s="351">
        <f t="shared" si="24"/>
        <v>0</v>
      </c>
      <c r="G124" s="351">
        <v>0</v>
      </c>
      <c r="H124" s="351">
        <v>0</v>
      </c>
      <c r="I124" s="351">
        <f t="shared" si="25"/>
        <v>21</v>
      </c>
      <c r="J124" s="351">
        <v>21</v>
      </c>
      <c r="K124" s="351">
        <v>0</v>
      </c>
      <c r="L124" s="352" t="s">
        <v>650</v>
      </c>
    </row>
    <row r="125" spans="3:12" ht="16.5" customHeight="1" thickBot="1" x14ac:dyDescent="0.25">
      <c r="C125" s="350">
        <f t="shared" si="22"/>
        <v>8</v>
      </c>
      <c r="D125" s="350">
        <f t="shared" si="23"/>
        <v>7</v>
      </c>
      <c r="E125" s="350">
        <f t="shared" si="23"/>
        <v>1</v>
      </c>
      <c r="F125" s="351">
        <f t="shared" si="24"/>
        <v>0</v>
      </c>
      <c r="G125" s="351">
        <v>0</v>
      </c>
      <c r="H125" s="351">
        <v>0</v>
      </c>
      <c r="I125" s="351">
        <f t="shared" si="25"/>
        <v>8</v>
      </c>
      <c r="J125" s="351">
        <v>7</v>
      </c>
      <c r="K125" s="351">
        <v>1</v>
      </c>
      <c r="L125" s="352" t="s">
        <v>441</v>
      </c>
    </row>
    <row r="126" spans="3:12" ht="16.5" customHeight="1" thickBot="1" x14ac:dyDescent="0.25">
      <c r="C126" s="350">
        <f t="shared" si="22"/>
        <v>3</v>
      </c>
      <c r="D126" s="350">
        <f t="shared" si="23"/>
        <v>3</v>
      </c>
      <c r="E126" s="350">
        <f t="shared" si="23"/>
        <v>0</v>
      </c>
      <c r="F126" s="351">
        <f t="shared" si="24"/>
        <v>0</v>
      </c>
      <c r="G126" s="351">
        <v>0</v>
      </c>
      <c r="H126" s="351">
        <v>0</v>
      </c>
      <c r="I126" s="351">
        <f t="shared" si="25"/>
        <v>3</v>
      </c>
      <c r="J126" s="351">
        <v>3</v>
      </c>
      <c r="K126" s="351">
        <v>0</v>
      </c>
      <c r="L126" s="352" t="s">
        <v>442</v>
      </c>
    </row>
    <row r="127" spans="3:12" ht="16.5" customHeight="1" thickBot="1" x14ac:dyDescent="0.25">
      <c r="C127" s="350">
        <f t="shared" si="22"/>
        <v>9</v>
      </c>
      <c r="D127" s="350">
        <f t="shared" si="23"/>
        <v>9</v>
      </c>
      <c r="E127" s="350">
        <f t="shared" si="23"/>
        <v>0</v>
      </c>
      <c r="F127" s="351">
        <f t="shared" si="24"/>
        <v>0</v>
      </c>
      <c r="G127" s="351">
        <v>0</v>
      </c>
      <c r="H127" s="351">
        <v>0</v>
      </c>
      <c r="I127" s="351">
        <f t="shared" si="25"/>
        <v>9</v>
      </c>
      <c r="J127" s="351">
        <v>9</v>
      </c>
      <c r="K127" s="351">
        <v>0</v>
      </c>
      <c r="L127" s="352" t="s">
        <v>651</v>
      </c>
    </row>
    <row r="128" spans="3:12" ht="16.5" customHeight="1" thickBot="1" x14ac:dyDescent="0.25">
      <c r="C128" s="350">
        <f t="shared" si="22"/>
        <v>62</v>
      </c>
      <c r="D128" s="350">
        <f t="shared" si="23"/>
        <v>62</v>
      </c>
      <c r="E128" s="350">
        <f t="shared" si="23"/>
        <v>0</v>
      </c>
      <c r="F128" s="351">
        <f t="shared" si="24"/>
        <v>0</v>
      </c>
      <c r="G128" s="351">
        <v>0</v>
      </c>
      <c r="H128" s="351">
        <v>0</v>
      </c>
      <c r="I128" s="351">
        <f t="shared" si="25"/>
        <v>62</v>
      </c>
      <c r="J128" s="351">
        <v>62</v>
      </c>
      <c r="K128" s="351">
        <v>0</v>
      </c>
      <c r="L128" s="352" t="s">
        <v>595</v>
      </c>
    </row>
    <row r="129" spans="3:12" ht="16.5" customHeight="1" thickBot="1" x14ac:dyDescent="0.25">
      <c r="C129" s="350">
        <f t="shared" si="22"/>
        <v>3</v>
      </c>
      <c r="D129" s="350">
        <f t="shared" si="23"/>
        <v>3</v>
      </c>
      <c r="E129" s="350">
        <f t="shared" si="23"/>
        <v>0</v>
      </c>
      <c r="F129" s="351">
        <f t="shared" si="24"/>
        <v>0</v>
      </c>
      <c r="G129" s="351">
        <v>0</v>
      </c>
      <c r="H129" s="351">
        <v>0</v>
      </c>
      <c r="I129" s="351">
        <f t="shared" si="25"/>
        <v>3</v>
      </c>
      <c r="J129" s="351">
        <v>3</v>
      </c>
      <c r="K129" s="351">
        <v>0</v>
      </c>
      <c r="L129" s="352" t="s">
        <v>92</v>
      </c>
    </row>
    <row r="130" spans="3:12" ht="16.5" customHeight="1" thickBot="1" x14ac:dyDescent="0.25">
      <c r="C130" s="350">
        <f t="shared" si="22"/>
        <v>17</v>
      </c>
      <c r="D130" s="350">
        <f t="shared" si="23"/>
        <v>17</v>
      </c>
      <c r="E130" s="350">
        <f t="shared" si="23"/>
        <v>0</v>
      </c>
      <c r="F130" s="351">
        <f t="shared" si="24"/>
        <v>0</v>
      </c>
      <c r="G130" s="351">
        <v>0</v>
      </c>
      <c r="H130" s="351">
        <v>0</v>
      </c>
      <c r="I130" s="351">
        <f t="shared" si="25"/>
        <v>17</v>
      </c>
      <c r="J130" s="351">
        <v>17</v>
      </c>
      <c r="K130" s="351">
        <v>0</v>
      </c>
      <c r="L130" s="352" t="s">
        <v>445</v>
      </c>
    </row>
    <row r="131" spans="3:12" ht="16.5" customHeight="1" thickBot="1" x14ac:dyDescent="0.25">
      <c r="C131" s="350">
        <f t="shared" si="22"/>
        <v>26</v>
      </c>
      <c r="D131" s="350">
        <f t="shared" si="23"/>
        <v>26</v>
      </c>
      <c r="E131" s="350">
        <f t="shared" si="23"/>
        <v>0</v>
      </c>
      <c r="F131" s="351">
        <f t="shared" si="24"/>
        <v>0</v>
      </c>
      <c r="G131" s="351">
        <v>0</v>
      </c>
      <c r="H131" s="351">
        <v>0</v>
      </c>
      <c r="I131" s="351">
        <f t="shared" si="25"/>
        <v>26</v>
      </c>
      <c r="J131" s="351">
        <v>26</v>
      </c>
      <c r="K131" s="351">
        <v>0</v>
      </c>
      <c r="L131" s="352" t="s">
        <v>446</v>
      </c>
    </row>
    <row r="132" spans="3:12" ht="16.5" customHeight="1" thickBot="1" x14ac:dyDescent="0.25">
      <c r="C132" s="350">
        <f t="shared" si="22"/>
        <v>13</v>
      </c>
      <c r="D132" s="350">
        <f t="shared" si="23"/>
        <v>13</v>
      </c>
      <c r="E132" s="350">
        <f t="shared" si="23"/>
        <v>0</v>
      </c>
      <c r="F132" s="351">
        <f t="shared" si="24"/>
        <v>0</v>
      </c>
      <c r="G132" s="351">
        <v>0</v>
      </c>
      <c r="H132" s="351">
        <v>0</v>
      </c>
      <c r="I132" s="351">
        <f t="shared" si="25"/>
        <v>13</v>
      </c>
      <c r="J132" s="351">
        <v>13</v>
      </c>
      <c r="K132" s="351">
        <v>0</v>
      </c>
      <c r="L132" s="352" t="s">
        <v>447</v>
      </c>
    </row>
    <row r="133" spans="3:12" ht="16.5" customHeight="1" thickBot="1" x14ac:dyDescent="0.25">
      <c r="C133" s="350">
        <f t="shared" si="22"/>
        <v>24</v>
      </c>
      <c r="D133" s="350">
        <f t="shared" si="23"/>
        <v>24</v>
      </c>
      <c r="E133" s="350">
        <f t="shared" si="23"/>
        <v>0</v>
      </c>
      <c r="F133" s="351">
        <f t="shared" si="24"/>
        <v>0</v>
      </c>
      <c r="G133" s="351">
        <v>0</v>
      </c>
      <c r="H133" s="351">
        <v>0</v>
      </c>
      <c r="I133" s="351">
        <f t="shared" si="25"/>
        <v>24</v>
      </c>
      <c r="J133" s="351">
        <v>24</v>
      </c>
      <c r="K133" s="351">
        <v>0</v>
      </c>
      <c r="L133" s="352" t="s">
        <v>652</v>
      </c>
    </row>
    <row r="134" spans="3:12" ht="16.5" customHeight="1" thickBot="1" x14ac:dyDescent="0.25">
      <c r="C134" s="350">
        <f t="shared" si="22"/>
        <v>36</v>
      </c>
      <c r="D134" s="350">
        <f t="shared" si="23"/>
        <v>13</v>
      </c>
      <c r="E134" s="350">
        <f t="shared" si="23"/>
        <v>23</v>
      </c>
      <c r="F134" s="351">
        <f t="shared" si="24"/>
        <v>0</v>
      </c>
      <c r="G134" s="351">
        <v>0</v>
      </c>
      <c r="H134" s="351">
        <v>0</v>
      </c>
      <c r="I134" s="351">
        <f t="shared" si="25"/>
        <v>36</v>
      </c>
      <c r="J134" s="351">
        <v>13</v>
      </c>
      <c r="K134" s="351">
        <v>23</v>
      </c>
      <c r="L134" s="352" t="s">
        <v>264</v>
      </c>
    </row>
    <row r="135" spans="3:12" ht="16.5" customHeight="1" thickBot="1" x14ac:dyDescent="0.25">
      <c r="C135" s="350">
        <f t="shared" si="22"/>
        <v>5</v>
      </c>
      <c r="D135" s="350">
        <f t="shared" si="23"/>
        <v>5</v>
      </c>
      <c r="E135" s="350">
        <f t="shared" si="23"/>
        <v>0</v>
      </c>
      <c r="F135" s="351">
        <f t="shared" si="24"/>
        <v>0</v>
      </c>
      <c r="G135" s="351">
        <v>0</v>
      </c>
      <c r="H135" s="351">
        <v>0</v>
      </c>
      <c r="I135" s="351">
        <f t="shared" si="25"/>
        <v>5</v>
      </c>
      <c r="J135" s="351">
        <v>5</v>
      </c>
      <c r="K135" s="351">
        <v>0</v>
      </c>
      <c r="L135" s="352" t="s">
        <v>265</v>
      </c>
    </row>
    <row r="136" spans="3:12" ht="16.5" customHeight="1" thickBot="1" x14ac:dyDescent="0.25">
      <c r="C136" s="350">
        <f t="shared" si="22"/>
        <v>23</v>
      </c>
      <c r="D136" s="350">
        <f t="shared" si="23"/>
        <v>5</v>
      </c>
      <c r="E136" s="350">
        <f t="shared" si="23"/>
        <v>18</v>
      </c>
      <c r="F136" s="351">
        <f t="shared" si="24"/>
        <v>0</v>
      </c>
      <c r="G136" s="351">
        <v>0</v>
      </c>
      <c r="H136" s="351">
        <v>0</v>
      </c>
      <c r="I136" s="351">
        <f t="shared" si="25"/>
        <v>23</v>
      </c>
      <c r="J136" s="351">
        <v>5</v>
      </c>
      <c r="K136" s="351">
        <v>18</v>
      </c>
      <c r="L136" s="352" t="s">
        <v>796</v>
      </c>
    </row>
    <row r="137" spans="3:12" ht="16.5" customHeight="1" thickBot="1" x14ac:dyDescent="0.25">
      <c r="C137" s="350">
        <f t="shared" si="22"/>
        <v>2</v>
      </c>
      <c r="D137" s="350">
        <f t="shared" si="23"/>
        <v>2</v>
      </c>
      <c r="E137" s="350">
        <f t="shared" si="23"/>
        <v>0</v>
      </c>
      <c r="F137" s="351">
        <f t="shared" si="24"/>
        <v>0</v>
      </c>
      <c r="G137" s="351">
        <v>0</v>
      </c>
      <c r="H137" s="351">
        <v>0</v>
      </c>
      <c r="I137" s="351">
        <f t="shared" si="25"/>
        <v>2</v>
      </c>
      <c r="J137" s="351">
        <v>2</v>
      </c>
      <c r="K137" s="351">
        <v>0</v>
      </c>
      <c r="L137" s="352" t="s">
        <v>267</v>
      </c>
    </row>
    <row r="138" spans="3:12" ht="16.5" customHeight="1" thickBot="1" x14ac:dyDescent="0.25">
      <c r="C138" s="350">
        <f t="shared" ref="C138:K138" si="26">SUM(C107:C137)</f>
        <v>1726</v>
      </c>
      <c r="D138" s="350">
        <f t="shared" si="26"/>
        <v>402</v>
      </c>
      <c r="E138" s="350">
        <f t="shared" si="26"/>
        <v>1324</v>
      </c>
      <c r="F138" s="351">
        <f t="shared" si="26"/>
        <v>43</v>
      </c>
      <c r="G138" s="351">
        <f t="shared" si="26"/>
        <v>6</v>
      </c>
      <c r="H138" s="351">
        <f t="shared" si="26"/>
        <v>37</v>
      </c>
      <c r="I138" s="351">
        <f t="shared" si="26"/>
        <v>1683</v>
      </c>
      <c r="J138" s="351">
        <f t="shared" si="26"/>
        <v>396</v>
      </c>
      <c r="K138" s="351">
        <f t="shared" si="26"/>
        <v>1287</v>
      </c>
      <c r="L138" s="353" t="s">
        <v>244</v>
      </c>
    </row>
    <row r="139" spans="3:12" ht="16.5" customHeight="1" thickBot="1" x14ac:dyDescent="0.25"/>
    <row r="140" spans="3:12" ht="16.5" customHeight="1" thickBot="1" x14ac:dyDescent="0.25">
      <c r="C140" s="597" t="s">
        <v>4</v>
      </c>
      <c r="D140" s="597"/>
      <c r="E140" s="597"/>
      <c r="F140" s="598" t="s">
        <v>145</v>
      </c>
      <c r="G140" s="598"/>
      <c r="H140" s="598"/>
      <c r="I140" s="598" t="s">
        <v>146</v>
      </c>
      <c r="J140" s="598"/>
      <c r="K140" s="598"/>
      <c r="L140" s="347" t="s">
        <v>66</v>
      </c>
    </row>
    <row r="141" spans="3:12" ht="16.5" customHeight="1" thickBot="1" x14ac:dyDescent="0.25">
      <c r="C141" s="347" t="s">
        <v>227</v>
      </c>
      <c r="D141" s="347" t="s">
        <v>10</v>
      </c>
      <c r="E141" s="347" t="s">
        <v>9</v>
      </c>
      <c r="F141" s="348" t="s">
        <v>227</v>
      </c>
      <c r="G141" s="348" t="s">
        <v>10</v>
      </c>
      <c r="H141" s="348" t="s">
        <v>9</v>
      </c>
      <c r="I141" s="348" t="s">
        <v>227</v>
      </c>
      <c r="J141" s="348" t="s">
        <v>10</v>
      </c>
      <c r="K141" s="348" t="s">
        <v>9</v>
      </c>
      <c r="L141" s="349" t="s">
        <v>75</v>
      </c>
    </row>
    <row r="142" spans="3:12" ht="16.5" customHeight="1" thickBot="1" x14ac:dyDescent="0.25">
      <c r="C142" s="350">
        <f>SUM(D142:E142)</f>
        <v>9</v>
      </c>
      <c r="D142" s="350">
        <f>J142+G142</f>
        <v>0</v>
      </c>
      <c r="E142" s="350">
        <f>K142+H142</f>
        <v>9</v>
      </c>
      <c r="F142" s="351">
        <f>SUM(G142:H142)</f>
        <v>0</v>
      </c>
      <c r="G142" s="351">
        <v>0</v>
      </c>
      <c r="H142" s="351">
        <v>0</v>
      </c>
      <c r="I142" s="351">
        <f>SUM(J142:K142)</f>
        <v>9</v>
      </c>
      <c r="J142" s="351">
        <v>0</v>
      </c>
      <c r="K142" s="351">
        <v>9</v>
      </c>
      <c r="L142" s="357" t="s">
        <v>654</v>
      </c>
    </row>
    <row r="143" spans="3:12" ht="16.5" customHeight="1" thickBot="1" x14ac:dyDescent="0.25">
      <c r="C143" s="350">
        <f t="shared" ref="C143:C156" si="27">SUM(D143:E143)</f>
        <v>3</v>
      </c>
      <c r="D143" s="350">
        <f t="shared" ref="D143:E156" si="28">J143+G143</f>
        <v>0</v>
      </c>
      <c r="E143" s="350">
        <f t="shared" si="28"/>
        <v>3</v>
      </c>
      <c r="F143" s="351">
        <f t="shared" ref="F143:F156" si="29">SUM(G143:H143)</f>
        <v>0</v>
      </c>
      <c r="G143" s="351">
        <v>0</v>
      </c>
      <c r="H143" s="351">
        <v>0</v>
      </c>
      <c r="I143" s="351">
        <f t="shared" ref="I143:I156" si="30">SUM(J143:K143)</f>
        <v>3</v>
      </c>
      <c r="J143" s="351">
        <v>0</v>
      </c>
      <c r="K143" s="351">
        <v>3</v>
      </c>
      <c r="L143" s="352" t="s">
        <v>624</v>
      </c>
    </row>
    <row r="144" spans="3:12" ht="16.5" customHeight="1" thickBot="1" x14ac:dyDescent="0.25">
      <c r="C144" s="350">
        <f t="shared" si="27"/>
        <v>3</v>
      </c>
      <c r="D144" s="350">
        <f t="shared" si="28"/>
        <v>0</v>
      </c>
      <c r="E144" s="350">
        <f t="shared" si="28"/>
        <v>3</v>
      </c>
      <c r="F144" s="351">
        <f t="shared" si="29"/>
        <v>0</v>
      </c>
      <c r="G144" s="351">
        <v>0</v>
      </c>
      <c r="H144" s="351">
        <v>0</v>
      </c>
      <c r="I144" s="351">
        <f t="shared" si="30"/>
        <v>3</v>
      </c>
      <c r="J144" s="351">
        <v>0</v>
      </c>
      <c r="K144" s="351">
        <v>3</v>
      </c>
      <c r="L144" s="352" t="s">
        <v>453</v>
      </c>
    </row>
    <row r="145" spans="3:12" ht="16.5" customHeight="1" thickBot="1" x14ac:dyDescent="0.25">
      <c r="C145" s="350">
        <f t="shared" si="27"/>
        <v>3</v>
      </c>
      <c r="D145" s="350">
        <f t="shared" si="28"/>
        <v>0</v>
      </c>
      <c r="E145" s="350">
        <f t="shared" si="28"/>
        <v>3</v>
      </c>
      <c r="F145" s="351">
        <f t="shared" si="29"/>
        <v>0</v>
      </c>
      <c r="G145" s="351">
        <v>0</v>
      </c>
      <c r="H145" s="351">
        <v>0</v>
      </c>
      <c r="I145" s="351">
        <f t="shared" si="30"/>
        <v>3</v>
      </c>
      <c r="J145" s="351">
        <v>0</v>
      </c>
      <c r="K145" s="351">
        <v>3</v>
      </c>
      <c r="L145" s="352" t="s">
        <v>406</v>
      </c>
    </row>
    <row r="146" spans="3:12" ht="16.5" customHeight="1" thickBot="1" x14ac:dyDescent="0.25">
      <c r="C146" s="350">
        <f t="shared" si="27"/>
        <v>5</v>
      </c>
      <c r="D146" s="350">
        <f t="shared" si="28"/>
        <v>0</v>
      </c>
      <c r="E146" s="350">
        <f t="shared" si="28"/>
        <v>5</v>
      </c>
      <c r="F146" s="351">
        <f t="shared" si="29"/>
        <v>1</v>
      </c>
      <c r="G146" s="351">
        <v>0</v>
      </c>
      <c r="H146" s="351">
        <v>1</v>
      </c>
      <c r="I146" s="351">
        <f t="shared" si="30"/>
        <v>4</v>
      </c>
      <c r="J146" s="351">
        <v>0</v>
      </c>
      <c r="K146" s="351">
        <v>4</v>
      </c>
      <c r="L146" s="352" t="s">
        <v>348</v>
      </c>
    </row>
    <row r="147" spans="3:12" ht="16.5" customHeight="1" thickBot="1" x14ac:dyDescent="0.25">
      <c r="C147" s="350">
        <f t="shared" si="27"/>
        <v>2</v>
      </c>
      <c r="D147" s="350">
        <f t="shared" si="28"/>
        <v>0</v>
      </c>
      <c r="E147" s="350">
        <f t="shared" si="28"/>
        <v>2</v>
      </c>
      <c r="F147" s="351">
        <f t="shared" si="29"/>
        <v>2</v>
      </c>
      <c r="G147" s="351">
        <v>0</v>
      </c>
      <c r="H147" s="351">
        <v>2</v>
      </c>
      <c r="I147" s="351">
        <f t="shared" si="30"/>
        <v>0</v>
      </c>
      <c r="J147" s="351">
        <v>0</v>
      </c>
      <c r="K147" s="351">
        <v>0</v>
      </c>
      <c r="L147" s="352" t="s">
        <v>347</v>
      </c>
    </row>
    <row r="148" spans="3:12" ht="16.5" customHeight="1" thickBot="1" x14ac:dyDescent="0.25">
      <c r="C148" s="350">
        <f t="shared" si="27"/>
        <v>4</v>
      </c>
      <c r="D148" s="350">
        <f t="shared" si="28"/>
        <v>0</v>
      </c>
      <c r="E148" s="350">
        <f t="shared" si="28"/>
        <v>4</v>
      </c>
      <c r="F148" s="351">
        <f t="shared" si="29"/>
        <v>0</v>
      </c>
      <c r="G148" s="351">
        <v>0</v>
      </c>
      <c r="H148" s="351">
        <v>0</v>
      </c>
      <c r="I148" s="351">
        <f t="shared" si="30"/>
        <v>4</v>
      </c>
      <c r="J148" s="351">
        <v>0</v>
      </c>
      <c r="K148" s="351">
        <v>4</v>
      </c>
      <c r="L148" s="352" t="s">
        <v>454</v>
      </c>
    </row>
    <row r="149" spans="3:12" ht="16.5" customHeight="1" thickBot="1" x14ac:dyDescent="0.25">
      <c r="C149" s="350">
        <f t="shared" si="27"/>
        <v>3</v>
      </c>
      <c r="D149" s="350">
        <f t="shared" si="28"/>
        <v>3</v>
      </c>
      <c r="E149" s="350">
        <f t="shared" si="28"/>
        <v>0</v>
      </c>
      <c r="F149" s="351">
        <f t="shared" si="29"/>
        <v>0</v>
      </c>
      <c r="G149" s="351">
        <v>0</v>
      </c>
      <c r="H149" s="351">
        <v>0</v>
      </c>
      <c r="I149" s="351">
        <f t="shared" si="30"/>
        <v>3</v>
      </c>
      <c r="J149" s="351">
        <v>3</v>
      </c>
      <c r="K149" s="351">
        <v>0</v>
      </c>
      <c r="L149" s="352" t="s">
        <v>364</v>
      </c>
    </row>
    <row r="150" spans="3:12" ht="16.5" customHeight="1" thickBot="1" x14ac:dyDescent="0.25">
      <c r="C150" s="350">
        <f t="shared" si="27"/>
        <v>3</v>
      </c>
      <c r="D150" s="350">
        <f t="shared" si="28"/>
        <v>0</v>
      </c>
      <c r="E150" s="350">
        <f t="shared" si="28"/>
        <v>3</v>
      </c>
      <c r="F150" s="351">
        <f t="shared" si="29"/>
        <v>1</v>
      </c>
      <c r="G150" s="351">
        <v>0</v>
      </c>
      <c r="H150" s="351">
        <v>1</v>
      </c>
      <c r="I150" s="351">
        <f t="shared" si="30"/>
        <v>2</v>
      </c>
      <c r="J150" s="351">
        <v>0</v>
      </c>
      <c r="K150" s="351">
        <v>2</v>
      </c>
      <c r="L150" s="352" t="s">
        <v>94</v>
      </c>
    </row>
    <row r="151" spans="3:12" ht="16.5" customHeight="1" thickBot="1" x14ac:dyDescent="0.25">
      <c r="C151" s="350">
        <f t="shared" si="27"/>
        <v>0</v>
      </c>
      <c r="D151" s="350">
        <f t="shared" si="28"/>
        <v>0</v>
      </c>
      <c r="E151" s="350">
        <f t="shared" si="28"/>
        <v>0</v>
      </c>
      <c r="F151" s="351">
        <f t="shared" si="29"/>
        <v>0</v>
      </c>
      <c r="G151" s="351">
        <v>0</v>
      </c>
      <c r="H151" s="351">
        <v>0</v>
      </c>
      <c r="I151" s="351">
        <f t="shared" si="30"/>
        <v>0</v>
      </c>
      <c r="J151" s="351">
        <v>0</v>
      </c>
      <c r="K151" s="351">
        <v>0</v>
      </c>
      <c r="L151" s="352" t="s">
        <v>344</v>
      </c>
    </row>
    <row r="152" spans="3:12" ht="16.5" customHeight="1" thickBot="1" x14ac:dyDescent="0.25">
      <c r="C152" s="350">
        <f t="shared" si="27"/>
        <v>2</v>
      </c>
      <c r="D152" s="350">
        <f t="shared" si="28"/>
        <v>0</v>
      </c>
      <c r="E152" s="350">
        <f t="shared" si="28"/>
        <v>2</v>
      </c>
      <c r="F152" s="351">
        <f t="shared" si="29"/>
        <v>0</v>
      </c>
      <c r="G152" s="351">
        <v>0</v>
      </c>
      <c r="H152" s="351">
        <v>0</v>
      </c>
      <c r="I152" s="351">
        <f t="shared" si="30"/>
        <v>2</v>
      </c>
      <c r="J152" s="351">
        <v>0</v>
      </c>
      <c r="K152" s="351">
        <v>2</v>
      </c>
      <c r="L152" s="352" t="s">
        <v>95</v>
      </c>
    </row>
    <row r="153" spans="3:12" ht="16.5" customHeight="1" thickBot="1" x14ac:dyDescent="0.25">
      <c r="C153" s="350">
        <f t="shared" si="27"/>
        <v>11</v>
      </c>
      <c r="D153" s="350">
        <f t="shared" si="28"/>
        <v>0</v>
      </c>
      <c r="E153" s="350">
        <f t="shared" si="28"/>
        <v>11</v>
      </c>
      <c r="F153" s="351">
        <f t="shared" si="29"/>
        <v>8</v>
      </c>
      <c r="G153" s="351">
        <v>0</v>
      </c>
      <c r="H153" s="351">
        <v>8</v>
      </c>
      <c r="I153" s="351">
        <f t="shared" si="30"/>
        <v>3</v>
      </c>
      <c r="J153" s="351">
        <v>0</v>
      </c>
      <c r="K153" s="351">
        <v>3</v>
      </c>
      <c r="L153" s="357" t="s">
        <v>270</v>
      </c>
    </row>
    <row r="154" spans="3:12" ht="16.5" customHeight="1" thickBot="1" x14ac:dyDescent="0.25">
      <c r="C154" s="350">
        <f t="shared" si="27"/>
        <v>6</v>
      </c>
      <c r="D154" s="350">
        <f t="shared" si="28"/>
        <v>0</v>
      </c>
      <c r="E154" s="350">
        <f t="shared" si="28"/>
        <v>6</v>
      </c>
      <c r="F154" s="351">
        <f t="shared" si="29"/>
        <v>0</v>
      </c>
      <c r="G154" s="351">
        <v>0</v>
      </c>
      <c r="H154" s="351">
        <v>0</v>
      </c>
      <c r="I154" s="351">
        <f t="shared" si="30"/>
        <v>6</v>
      </c>
      <c r="J154" s="351">
        <v>0</v>
      </c>
      <c r="K154" s="351">
        <v>6</v>
      </c>
      <c r="L154" s="357" t="s">
        <v>466</v>
      </c>
    </row>
    <row r="155" spans="3:12" ht="16.5" customHeight="1" thickBot="1" x14ac:dyDescent="0.25">
      <c r="C155" s="350">
        <f t="shared" si="27"/>
        <v>1</v>
      </c>
      <c r="D155" s="350">
        <f t="shared" si="28"/>
        <v>0</v>
      </c>
      <c r="E155" s="350">
        <f t="shared" si="28"/>
        <v>1</v>
      </c>
      <c r="F155" s="351">
        <f t="shared" si="29"/>
        <v>0</v>
      </c>
      <c r="G155" s="351">
        <v>0</v>
      </c>
      <c r="H155" s="351">
        <v>0</v>
      </c>
      <c r="I155" s="351">
        <f t="shared" si="30"/>
        <v>1</v>
      </c>
      <c r="J155" s="351">
        <v>0</v>
      </c>
      <c r="K155" s="351">
        <v>1</v>
      </c>
      <c r="L155" s="357" t="s">
        <v>97</v>
      </c>
    </row>
    <row r="156" spans="3:12" ht="16.5" customHeight="1" thickBot="1" x14ac:dyDescent="0.25">
      <c r="C156" s="350">
        <f t="shared" si="27"/>
        <v>860</v>
      </c>
      <c r="D156" s="350">
        <f t="shared" si="28"/>
        <v>231</v>
      </c>
      <c r="E156" s="350">
        <f t="shared" si="28"/>
        <v>629</v>
      </c>
      <c r="F156" s="351">
        <f t="shared" si="29"/>
        <v>0</v>
      </c>
      <c r="G156" s="351">
        <v>0</v>
      </c>
      <c r="H156" s="351">
        <v>0</v>
      </c>
      <c r="I156" s="351">
        <f t="shared" si="30"/>
        <v>860</v>
      </c>
      <c r="J156" s="351">
        <v>231</v>
      </c>
      <c r="K156" s="351">
        <v>629</v>
      </c>
      <c r="L156" s="352" t="s">
        <v>756</v>
      </c>
    </row>
    <row r="157" spans="3:12" ht="16.5" customHeight="1" thickBot="1" x14ac:dyDescent="0.25">
      <c r="C157" s="350">
        <f t="shared" ref="C157:J157" si="31">SUM(C142:C156)</f>
        <v>915</v>
      </c>
      <c r="D157" s="350">
        <f t="shared" si="31"/>
        <v>234</v>
      </c>
      <c r="E157" s="350">
        <f t="shared" si="31"/>
        <v>681</v>
      </c>
      <c r="F157" s="351">
        <f t="shared" si="31"/>
        <v>12</v>
      </c>
      <c r="G157" s="351">
        <f t="shared" si="31"/>
        <v>0</v>
      </c>
      <c r="H157" s="351">
        <f t="shared" si="31"/>
        <v>12</v>
      </c>
      <c r="I157" s="351">
        <f t="shared" si="31"/>
        <v>903</v>
      </c>
      <c r="J157" s="351">
        <f t="shared" si="31"/>
        <v>234</v>
      </c>
      <c r="K157" s="351">
        <f>SUM(K142:K156)</f>
        <v>669</v>
      </c>
      <c r="L157" s="353" t="s">
        <v>244</v>
      </c>
    </row>
    <row r="158" spans="3:12" ht="16.5" customHeight="1" thickBot="1" x14ac:dyDescent="0.25"/>
    <row r="159" spans="3:12" ht="16.5" customHeight="1" thickBot="1" x14ac:dyDescent="0.25">
      <c r="C159" s="597" t="s">
        <v>4</v>
      </c>
      <c r="D159" s="597"/>
      <c r="E159" s="597"/>
      <c r="F159" s="598" t="s">
        <v>145</v>
      </c>
      <c r="G159" s="598"/>
      <c r="H159" s="598"/>
      <c r="I159" s="598" t="s">
        <v>146</v>
      </c>
      <c r="J159" s="598"/>
      <c r="K159" s="598"/>
      <c r="L159" s="347" t="s">
        <v>66</v>
      </c>
    </row>
    <row r="160" spans="3:12" ht="16.5" customHeight="1" thickBot="1" x14ac:dyDescent="0.25">
      <c r="C160" s="347" t="s">
        <v>227</v>
      </c>
      <c r="D160" s="347" t="s">
        <v>10</v>
      </c>
      <c r="E160" s="347" t="s">
        <v>9</v>
      </c>
      <c r="F160" s="348" t="s">
        <v>227</v>
      </c>
      <c r="G160" s="348" t="s">
        <v>10</v>
      </c>
      <c r="H160" s="348" t="s">
        <v>9</v>
      </c>
      <c r="I160" s="348" t="s">
        <v>227</v>
      </c>
      <c r="J160" s="348" t="s">
        <v>10</v>
      </c>
      <c r="K160" s="348" t="s">
        <v>9</v>
      </c>
      <c r="L160" s="349" t="s">
        <v>100</v>
      </c>
    </row>
    <row r="161" spans="3:12" ht="16.5" customHeight="1" thickBot="1" x14ac:dyDescent="0.25">
      <c r="C161" s="350">
        <f>SUM(D161:E161)</f>
        <v>3</v>
      </c>
      <c r="D161" s="350">
        <f>J161+G161</f>
        <v>0</v>
      </c>
      <c r="E161" s="350">
        <f>K161+H161</f>
        <v>3</v>
      </c>
      <c r="F161" s="351">
        <f>SUM(G161:H161)</f>
        <v>0</v>
      </c>
      <c r="G161" s="351">
        <v>0</v>
      </c>
      <c r="H161" s="351">
        <v>0</v>
      </c>
      <c r="I161" s="351">
        <f>SUM(J161:K161)</f>
        <v>3</v>
      </c>
      <c r="J161" s="351">
        <v>0</v>
      </c>
      <c r="K161" s="351">
        <v>3</v>
      </c>
      <c r="L161" s="352" t="s">
        <v>453</v>
      </c>
    </row>
    <row r="162" spans="3:12" ht="16.5" customHeight="1" thickBot="1" x14ac:dyDescent="0.25">
      <c r="C162" s="350">
        <f t="shared" ref="C162:C185" si="32">SUM(D162:E162)</f>
        <v>20</v>
      </c>
      <c r="D162" s="350">
        <f t="shared" ref="D162:E185" si="33">J162+G162</f>
        <v>0</v>
      </c>
      <c r="E162" s="350">
        <f t="shared" si="33"/>
        <v>20</v>
      </c>
      <c r="F162" s="351">
        <f t="shared" ref="F162:F185" si="34">SUM(G162:H162)</f>
        <v>0</v>
      </c>
      <c r="G162" s="351">
        <v>0</v>
      </c>
      <c r="H162" s="351">
        <v>0</v>
      </c>
      <c r="I162" s="351">
        <f t="shared" ref="I162:I185" si="35">SUM(J162:K162)</f>
        <v>20</v>
      </c>
      <c r="J162" s="351">
        <v>0</v>
      </c>
      <c r="K162" s="351">
        <v>20</v>
      </c>
      <c r="L162" s="352" t="s">
        <v>470</v>
      </c>
    </row>
    <row r="163" spans="3:12" ht="16.5" customHeight="1" thickBot="1" x14ac:dyDescent="0.25">
      <c r="C163" s="350">
        <f t="shared" si="32"/>
        <v>36</v>
      </c>
      <c r="D163" s="350">
        <f t="shared" si="33"/>
        <v>2</v>
      </c>
      <c r="E163" s="350">
        <f t="shared" si="33"/>
        <v>34</v>
      </c>
      <c r="F163" s="351">
        <f t="shared" si="34"/>
        <v>0</v>
      </c>
      <c r="G163" s="351">
        <v>0</v>
      </c>
      <c r="H163" s="351">
        <v>0</v>
      </c>
      <c r="I163" s="351">
        <f t="shared" si="35"/>
        <v>36</v>
      </c>
      <c r="J163" s="351">
        <v>2</v>
      </c>
      <c r="K163" s="351">
        <v>34</v>
      </c>
      <c r="L163" s="357" t="s">
        <v>402</v>
      </c>
    </row>
    <row r="164" spans="3:12" ht="16.5" customHeight="1" thickBot="1" x14ac:dyDescent="0.25">
      <c r="C164" s="350">
        <f t="shared" si="32"/>
        <v>69</v>
      </c>
      <c r="D164" s="350">
        <f t="shared" si="33"/>
        <v>0</v>
      </c>
      <c r="E164" s="350">
        <f t="shared" si="33"/>
        <v>69</v>
      </c>
      <c r="F164" s="351">
        <f t="shared" si="34"/>
        <v>5</v>
      </c>
      <c r="G164" s="351">
        <v>0</v>
      </c>
      <c r="H164" s="351">
        <v>5</v>
      </c>
      <c r="I164" s="351">
        <f t="shared" si="35"/>
        <v>64</v>
      </c>
      <c r="J164" s="351">
        <v>0</v>
      </c>
      <c r="K164" s="351">
        <v>64</v>
      </c>
      <c r="L164" s="352" t="s">
        <v>472</v>
      </c>
    </row>
    <row r="165" spans="3:12" ht="16.5" customHeight="1" thickBot="1" x14ac:dyDescent="0.25">
      <c r="C165" s="350">
        <f t="shared" si="32"/>
        <v>27</v>
      </c>
      <c r="D165" s="350">
        <f t="shared" si="33"/>
        <v>6</v>
      </c>
      <c r="E165" s="350">
        <f t="shared" si="33"/>
        <v>21</v>
      </c>
      <c r="F165" s="351">
        <f t="shared" si="34"/>
        <v>14</v>
      </c>
      <c r="G165" s="351">
        <v>4</v>
      </c>
      <c r="H165" s="351">
        <v>10</v>
      </c>
      <c r="I165" s="351">
        <f t="shared" si="35"/>
        <v>13</v>
      </c>
      <c r="J165" s="351">
        <v>2</v>
      </c>
      <c r="K165" s="351">
        <v>11</v>
      </c>
      <c r="L165" s="352" t="s">
        <v>417</v>
      </c>
    </row>
    <row r="166" spans="3:12" ht="16.5" customHeight="1" thickBot="1" x14ac:dyDescent="0.25">
      <c r="C166" s="350">
        <f t="shared" si="32"/>
        <v>6</v>
      </c>
      <c r="D166" s="350">
        <f t="shared" si="33"/>
        <v>0</v>
      </c>
      <c r="E166" s="350">
        <f t="shared" si="33"/>
        <v>6</v>
      </c>
      <c r="F166" s="351">
        <f t="shared" si="34"/>
        <v>1</v>
      </c>
      <c r="G166" s="351">
        <v>0</v>
      </c>
      <c r="H166" s="351">
        <v>1</v>
      </c>
      <c r="I166" s="351">
        <f t="shared" si="35"/>
        <v>5</v>
      </c>
      <c r="J166" s="351">
        <v>0</v>
      </c>
      <c r="K166" s="351">
        <v>5</v>
      </c>
      <c r="L166" s="352" t="s">
        <v>454</v>
      </c>
    </row>
    <row r="167" spans="3:12" ht="16.5" customHeight="1" thickBot="1" x14ac:dyDescent="0.25">
      <c r="C167" s="350">
        <f t="shared" si="32"/>
        <v>9</v>
      </c>
      <c r="D167" s="350">
        <f t="shared" si="33"/>
        <v>0</v>
      </c>
      <c r="E167" s="350">
        <f t="shared" si="33"/>
        <v>9</v>
      </c>
      <c r="F167" s="351">
        <f t="shared" si="34"/>
        <v>0</v>
      </c>
      <c r="G167" s="351">
        <v>0</v>
      </c>
      <c r="H167" s="351">
        <v>0</v>
      </c>
      <c r="I167" s="351">
        <f t="shared" si="35"/>
        <v>9</v>
      </c>
      <c r="J167" s="351">
        <v>0</v>
      </c>
      <c r="K167" s="351">
        <v>9</v>
      </c>
      <c r="L167" s="352" t="s">
        <v>367</v>
      </c>
    </row>
    <row r="168" spans="3:12" ht="16.5" customHeight="1" thickBot="1" x14ac:dyDescent="0.25">
      <c r="C168" s="350">
        <f t="shared" si="32"/>
        <v>600</v>
      </c>
      <c r="D168" s="350">
        <f t="shared" si="33"/>
        <v>49</v>
      </c>
      <c r="E168" s="350">
        <f t="shared" si="33"/>
        <v>551</v>
      </c>
      <c r="F168" s="351">
        <f t="shared" si="34"/>
        <v>3</v>
      </c>
      <c r="G168" s="351">
        <v>0</v>
      </c>
      <c r="H168" s="351">
        <v>3</v>
      </c>
      <c r="I168" s="351">
        <f t="shared" si="35"/>
        <v>597</v>
      </c>
      <c r="J168" s="351">
        <v>49</v>
      </c>
      <c r="K168" s="351">
        <v>548</v>
      </c>
      <c r="L168" s="357" t="s">
        <v>756</v>
      </c>
    </row>
    <row r="169" spans="3:12" ht="16.5" customHeight="1" thickBot="1" x14ac:dyDescent="0.25">
      <c r="C169" s="350">
        <f t="shared" si="32"/>
        <v>18</v>
      </c>
      <c r="D169" s="350">
        <f t="shared" si="33"/>
        <v>0</v>
      </c>
      <c r="E169" s="350">
        <f t="shared" si="33"/>
        <v>18</v>
      </c>
      <c r="F169" s="351">
        <f t="shared" si="34"/>
        <v>0</v>
      </c>
      <c r="G169" s="351">
        <v>0</v>
      </c>
      <c r="H169" s="351">
        <v>0</v>
      </c>
      <c r="I169" s="351">
        <f t="shared" si="35"/>
        <v>18</v>
      </c>
      <c r="J169" s="351">
        <v>0</v>
      </c>
      <c r="K169" s="351">
        <v>18</v>
      </c>
      <c r="L169" s="357" t="s">
        <v>474</v>
      </c>
    </row>
    <row r="170" spans="3:12" ht="16.5" customHeight="1" thickBot="1" x14ac:dyDescent="0.25">
      <c r="C170" s="350">
        <f t="shared" si="32"/>
        <v>20</v>
      </c>
      <c r="D170" s="350">
        <f t="shared" si="33"/>
        <v>0</v>
      </c>
      <c r="E170" s="350">
        <f t="shared" si="33"/>
        <v>20</v>
      </c>
      <c r="F170" s="351">
        <f t="shared" si="34"/>
        <v>0</v>
      </c>
      <c r="G170" s="351">
        <v>0</v>
      </c>
      <c r="H170" s="351">
        <v>0</v>
      </c>
      <c r="I170" s="351">
        <f t="shared" si="35"/>
        <v>20</v>
      </c>
      <c r="J170" s="351">
        <v>0</v>
      </c>
      <c r="K170" s="351">
        <v>20</v>
      </c>
      <c r="L170" s="357" t="s">
        <v>347</v>
      </c>
    </row>
    <row r="171" spans="3:12" ht="16.5" customHeight="1" thickBot="1" x14ac:dyDescent="0.25">
      <c r="C171" s="350">
        <f t="shared" si="32"/>
        <v>84</v>
      </c>
      <c r="D171" s="350">
        <f t="shared" si="33"/>
        <v>63</v>
      </c>
      <c r="E171" s="350">
        <f t="shared" si="33"/>
        <v>21</v>
      </c>
      <c r="F171" s="351">
        <f t="shared" si="34"/>
        <v>18</v>
      </c>
      <c r="G171" s="351">
        <v>0</v>
      </c>
      <c r="H171" s="351">
        <v>18</v>
      </c>
      <c r="I171" s="351">
        <f t="shared" si="35"/>
        <v>66</v>
      </c>
      <c r="J171" s="351">
        <v>63</v>
      </c>
      <c r="K171" s="351">
        <v>3</v>
      </c>
      <c r="L171" s="357" t="s">
        <v>656</v>
      </c>
    </row>
    <row r="172" spans="3:12" ht="16.5" customHeight="1" thickBot="1" x14ac:dyDescent="0.25">
      <c r="C172" s="350">
        <f t="shared" si="32"/>
        <v>17</v>
      </c>
      <c r="D172" s="350">
        <f t="shared" si="33"/>
        <v>13</v>
      </c>
      <c r="E172" s="350">
        <f t="shared" si="33"/>
        <v>4</v>
      </c>
      <c r="F172" s="351">
        <f t="shared" si="34"/>
        <v>14</v>
      </c>
      <c r="G172" s="351">
        <v>13</v>
      </c>
      <c r="H172" s="351">
        <v>1</v>
      </c>
      <c r="I172" s="351">
        <f t="shared" si="35"/>
        <v>3</v>
      </c>
      <c r="J172" s="351">
        <v>0</v>
      </c>
      <c r="K172" s="351">
        <v>3</v>
      </c>
      <c r="L172" s="352" t="s">
        <v>475</v>
      </c>
    </row>
    <row r="173" spans="3:12" ht="16.5" customHeight="1" thickBot="1" x14ac:dyDescent="0.25">
      <c r="C173" s="350">
        <f t="shared" si="32"/>
        <v>8</v>
      </c>
      <c r="D173" s="350">
        <f t="shared" si="33"/>
        <v>0</v>
      </c>
      <c r="E173" s="350">
        <f t="shared" si="33"/>
        <v>8</v>
      </c>
      <c r="F173" s="351">
        <f t="shared" si="34"/>
        <v>0</v>
      </c>
      <c r="G173" s="351">
        <v>0</v>
      </c>
      <c r="H173" s="351">
        <v>0</v>
      </c>
      <c r="I173" s="351">
        <f t="shared" si="35"/>
        <v>8</v>
      </c>
      <c r="J173" s="351">
        <v>0</v>
      </c>
      <c r="K173" s="351">
        <v>8</v>
      </c>
      <c r="L173" s="352" t="s">
        <v>255</v>
      </c>
    </row>
    <row r="174" spans="3:12" ht="16.5" customHeight="1" thickBot="1" x14ac:dyDescent="0.25">
      <c r="C174" s="350">
        <f t="shared" si="32"/>
        <v>14</v>
      </c>
      <c r="D174" s="350">
        <f t="shared" si="33"/>
        <v>0</v>
      </c>
      <c r="E174" s="350">
        <f t="shared" si="33"/>
        <v>14</v>
      </c>
      <c r="F174" s="351">
        <f t="shared" si="34"/>
        <v>1</v>
      </c>
      <c r="G174" s="351">
        <v>0</v>
      </c>
      <c r="H174" s="351">
        <v>1</v>
      </c>
      <c r="I174" s="351">
        <f t="shared" si="35"/>
        <v>13</v>
      </c>
      <c r="J174" s="351">
        <v>0</v>
      </c>
      <c r="K174" s="351">
        <v>13</v>
      </c>
      <c r="L174" s="352" t="s">
        <v>348</v>
      </c>
    </row>
    <row r="175" spans="3:12" ht="16.5" customHeight="1" thickBot="1" x14ac:dyDescent="0.25">
      <c r="C175" s="350">
        <f t="shared" si="32"/>
        <v>41</v>
      </c>
      <c r="D175" s="350">
        <f t="shared" si="33"/>
        <v>41</v>
      </c>
      <c r="E175" s="350">
        <f t="shared" si="33"/>
        <v>0</v>
      </c>
      <c r="F175" s="351">
        <f t="shared" si="34"/>
        <v>0</v>
      </c>
      <c r="G175" s="351">
        <v>0</v>
      </c>
      <c r="H175" s="351">
        <v>0</v>
      </c>
      <c r="I175" s="351">
        <f t="shared" si="35"/>
        <v>41</v>
      </c>
      <c r="J175" s="351">
        <v>41</v>
      </c>
      <c r="K175" s="351">
        <v>0</v>
      </c>
      <c r="L175" s="352" t="s">
        <v>481</v>
      </c>
    </row>
    <row r="176" spans="3:12" ht="16.5" customHeight="1" thickBot="1" x14ac:dyDescent="0.25">
      <c r="C176" s="350">
        <f t="shared" si="32"/>
        <v>17</v>
      </c>
      <c r="D176" s="350">
        <f t="shared" si="33"/>
        <v>17</v>
      </c>
      <c r="E176" s="350">
        <f t="shared" si="33"/>
        <v>0</v>
      </c>
      <c r="F176" s="351">
        <f t="shared" si="34"/>
        <v>0</v>
      </c>
      <c r="G176" s="351">
        <v>0</v>
      </c>
      <c r="H176" s="351">
        <v>0</v>
      </c>
      <c r="I176" s="351">
        <f t="shared" si="35"/>
        <v>17</v>
      </c>
      <c r="J176" s="351">
        <v>17</v>
      </c>
      <c r="K176" s="351">
        <v>0</v>
      </c>
      <c r="L176" s="352" t="s">
        <v>821</v>
      </c>
    </row>
    <row r="177" spans="3:12" ht="16.5" customHeight="1" thickBot="1" x14ac:dyDescent="0.25">
      <c r="C177" s="350">
        <f t="shared" si="32"/>
        <v>1</v>
      </c>
      <c r="D177" s="350">
        <f t="shared" si="33"/>
        <v>0</v>
      </c>
      <c r="E177" s="350">
        <f t="shared" si="33"/>
        <v>1</v>
      </c>
      <c r="F177" s="351">
        <f t="shared" si="34"/>
        <v>0</v>
      </c>
      <c r="G177" s="351">
        <v>0</v>
      </c>
      <c r="H177" s="351">
        <v>0</v>
      </c>
      <c r="I177" s="351">
        <f t="shared" si="35"/>
        <v>1</v>
      </c>
      <c r="J177" s="351">
        <v>0</v>
      </c>
      <c r="K177" s="351">
        <v>1</v>
      </c>
      <c r="L177" s="352" t="s">
        <v>822</v>
      </c>
    </row>
    <row r="178" spans="3:12" ht="16.5" customHeight="1" thickBot="1" x14ac:dyDescent="0.25">
      <c r="C178" s="350">
        <f t="shared" si="32"/>
        <v>19</v>
      </c>
      <c r="D178" s="350">
        <f t="shared" si="33"/>
        <v>0</v>
      </c>
      <c r="E178" s="350">
        <f t="shared" si="33"/>
        <v>19</v>
      </c>
      <c r="F178" s="351">
        <f t="shared" si="34"/>
        <v>0</v>
      </c>
      <c r="G178" s="351">
        <v>0</v>
      </c>
      <c r="H178" s="351">
        <v>0</v>
      </c>
      <c r="I178" s="351">
        <f t="shared" si="35"/>
        <v>19</v>
      </c>
      <c r="J178" s="351">
        <v>0</v>
      </c>
      <c r="K178" s="351">
        <v>19</v>
      </c>
      <c r="L178" s="357" t="s">
        <v>476</v>
      </c>
    </row>
    <row r="179" spans="3:12" ht="16.5" customHeight="1" thickBot="1" x14ac:dyDescent="0.25">
      <c r="C179" s="350">
        <f t="shared" si="32"/>
        <v>37</v>
      </c>
      <c r="D179" s="350">
        <f t="shared" si="33"/>
        <v>36</v>
      </c>
      <c r="E179" s="350">
        <f t="shared" si="33"/>
        <v>1</v>
      </c>
      <c r="F179" s="351">
        <f t="shared" si="34"/>
        <v>0</v>
      </c>
      <c r="G179" s="351">
        <v>0</v>
      </c>
      <c r="H179" s="351">
        <v>0</v>
      </c>
      <c r="I179" s="351">
        <f t="shared" si="35"/>
        <v>37</v>
      </c>
      <c r="J179" s="351">
        <v>36</v>
      </c>
      <c r="K179" s="351">
        <v>1</v>
      </c>
      <c r="L179" s="357" t="s">
        <v>479</v>
      </c>
    </row>
    <row r="180" spans="3:12" ht="16.5" customHeight="1" thickBot="1" x14ac:dyDescent="0.25">
      <c r="C180" s="350">
        <f t="shared" si="32"/>
        <v>1</v>
      </c>
      <c r="D180" s="350">
        <f t="shared" si="33"/>
        <v>0</v>
      </c>
      <c r="E180" s="350">
        <f t="shared" si="33"/>
        <v>1</v>
      </c>
      <c r="F180" s="351">
        <f t="shared" si="34"/>
        <v>0</v>
      </c>
      <c r="G180" s="351">
        <v>0</v>
      </c>
      <c r="H180" s="351">
        <v>0</v>
      </c>
      <c r="I180" s="351">
        <f t="shared" si="35"/>
        <v>1</v>
      </c>
      <c r="J180" s="351">
        <v>0</v>
      </c>
      <c r="K180" s="351">
        <v>1</v>
      </c>
      <c r="L180" s="352" t="s">
        <v>377</v>
      </c>
    </row>
    <row r="181" spans="3:12" ht="16.5" customHeight="1" thickBot="1" x14ac:dyDescent="0.25">
      <c r="C181" s="350">
        <f t="shared" si="32"/>
        <v>3</v>
      </c>
      <c r="D181" s="350">
        <f t="shared" si="33"/>
        <v>3</v>
      </c>
      <c r="E181" s="350">
        <f t="shared" si="33"/>
        <v>0</v>
      </c>
      <c r="F181" s="351">
        <f t="shared" si="34"/>
        <v>1</v>
      </c>
      <c r="G181" s="351">
        <v>1</v>
      </c>
      <c r="H181" s="351">
        <v>0</v>
      </c>
      <c r="I181" s="351">
        <f t="shared" si="35"/>
        <v>2</v>
      </c>
      <c r="J181" s="351">
        <v>2</v>
      </c>
      <c r="K181" s="351">
        <v>0</v>
      </c>
      <c r="L181" s="352" t="s">
        <v>823</v>
      </c>
    </row>
    <row r="182" spans="3:12" ht="16.5" customHeight="1" thickBot="1" x14ac:dyDescent="0.25">
      <c r="C182" s="350">
        <f t="shared" si="32"/>
        <v>3</v>
      </c>
      <c r="D182" s="350">
        <f t="shared" si="33"/>
        <v>3</v>
      </c>
      <c r="E182" s="350">
        <f t="shared" si="33"/>
        <v>0</v>
      </c>
      <c r="F182" s="351">
        <f t="shared" si="34"/>
        <v>1</v>
      </c>
      <c r="G182" s="351">
        <v>1</v>
      </c>
      <c r="H182" s="351">
        <v>0</v>
      </c>
      <c r="I182" s="351">
        <f t="shared" si="35"/>
        <v>2</v>
      </c>
      <c r="J182" s="351">
        <v>2</v>
      </c>
      <c r="K182" s="351">
        <v>0</v>
      </c>
      <c r="L182" s="352" t="s">
        <v>824</v>
      </c>
    </row>
    <row r="183" spans="3:12" ht="16.5" customHeight="1" thickBot="1" x14ac:dyDescent="0.25">
      <c r="C183" s="350">
        <f t="shared" si="32"/>
        <v>4</v>
      </c>
      <c r="D183" s="350">
        <f t="shared" si="33"/>
        <v>0</v>
      </c>
      <c r="E183" s="350">
        <f t="shared" si="33"/>
        <v>4</v>
      </c>
      <c r="F183" s="351">
        <f t="shared" si="34"/>
        <v>0</v>
      </c>
      <c r="G183" s="351">
        <v>0</v>
      </c>
      <c r="H183" s="351">
        <v>0</v>
      </c>
      <c r="I183" s="351">
        <f t="shared" si="35"/>
        <v>4</v>
      </c>
      <c r="J183" s="351">
        <v>0</v>
      </c>
      <c r="K183" s="351">
        <v>4</v>
      </c>
      <c r="L183" s="352" t="s">
        <v>825</v>
      </c>
    </row>
    <row r="184" spans="3:12" ht="16.5" customHeight="1" thickBot="1" x14ac:dyDescent="0.25">
      <c r="C184" s="350">
        <f t="shared" si="32"/>
        <v>9</v>
      </c>
      <c r="D184" s="350">
        <f t="shared" si="33"/>
        <v>0</v>
      </c>
      <c r="E184" s="350">
        <f t="shared" si="33"/>
        <v>9</v>
      </c>
      <c r="F184" s="351">
        <f t="shared" si="34"/>
        <v>1</v>
      </c>
      <c r="G184" s="351">
        <v>0</v>
      </c>
      <c r="H184" s="351">
        <v>1</v>
      </c>
      <c r="I184" s="351">
        <f t="shared" si="35"/>
        <v>8</v>
      </c>
      <c r="J184" s="351">
        <v>0</v>
      </c>
      <c r="K184" s="351">
        <v>8</v>
      </c>
      <c r="L184" s="352" t="s">
        <v>826</v>
      </c>
    </row>
    <row r="185" spans="3:12" ht="16.5" customHeight="1" thickBot="1" x14ac:dyDescent="0.25">
      <c r="C185" s="350">
        <f t="shared" si="32"/>
        <v>1</v>
      </c>
      <c r="D185" s="350">
        <f t="shared" si="33"/>
        <v>0</v>
      </c>
      <c r="E185" s="350">
        <f t="shared" si="33"/>
        <v>1</v>
      </c>
      <c r="F185" s="351">
        <f t="shared" si="34"/>
        <v>0</v>
      </c>
      <c r="G185" s="351">
        <v>0</v>
      </c>
      <c r="H185" s="351">
        <v>0</v>
      </c>
      <c r="I185" s="351">
        <f t="shared" si="35"/>
        <v>1</v>
      </c>
      <c r="J185" s="351">
        <v>0</v>
      </c>
      <c r="K185" s="351">
        <v>1</v>
      </c>
      <c r="L185" s="352" t="s">
        <v>827</v>
      </c>
    </row>
    <row r="186" spans="3:12" ht="16.5" customHeight="1" thickBot="1" x14ac:dyDescent="0.25">
      <c r="C186" s="350">
        <f t="shared" ref="C186:J186" si="36">SUM(C161:C185)</f>
        <v>1067</v>
      </c>
      <c r="D186" s="350">
        <f t="shared" si="36"/>
        <v>233</v>
      </c>
      <c r="E186" s="350">
        <f t="shared" si="36"/>
        <v>834</v>
      </c>
      <c r="F186" s="351">
        <f t="shared" si="36"/>
        <v>59</v>
      </c>
      <c r="G186" s="351">
        <f t="shared" si="36"/>
        <v>19</v>
      </c>
      <c r="H186" s="351">
        <f t="shared" si="36"/>
        <v>40</v>
      </c>
      <c r="I186" s="351">
        <f t="shared" si="36"/>
        <v>1008</v>
      </c>
      <c r="J186" s="351">
        <f t="shared" si="36"/>
        <v>214</v>
      </c>
      <c r="K186" s="351">
        <f>SUM(K161:K185)</f>
        <v>794</v>
      </c>
      <c r="L186" s="353" t="s">
        <v>244</v>
      </c>
    </row>
    <row r="187" spans="3:12" ht="16.5" customHeight="1" thickBot="1" x14ac:dyDescent="0.25"/>
    <row r="188" spans="3:12" ht="16.5" customHeight="1" thickBot="1" x14ac:dyDescent="0.25">
      <c r="C188" s="597" t="s">
        <v>4</v>
      </c>
      <c r="D188" s="597"/>
      <c r="E188" s="597"/>
      <c r="F188" s="598" t="s">
        <v>145</v>
      </c>
      <c r="G188" s="598"/>
      <c r="H188" s="598"/>
      <c r="I188" s="598" t="s">
        <v>146</v>
      </c>
      <c r="J188" s="598"/>
      <c r="K188" s="598"/>
      <c r="L188" s="347" t="s">
        <v>66</v>
      </c>
    </row>
    <row r="189" spans="3:12" ht="16.5" customHeight="1" thickBot="1" x14ac:dyDescent="0.25">
      <c r="C189" s="347" t="s">
        <v>227</v>
      </c>
      <c r="D189" s="347" t="s">
        <v>10</v>
      </c>
      <c r="E189" s="347" t="s">
        <v>9</v>
      </c>
      <c r="F189" s="348" t="s">
        <v>227</v>
      </c>
      <c r="G189" s="348" t="s">
        <v>10</v>
      </c>
      <c r="H189" s="348" t="s">
        <v>9</v>
      </c>
      <c r="I189" s="348" t="s">
        <v>227</v>
      </c>
      <c r="J189" s="348" t="s">
        <v>10</v>
      </c>
      <c r="K189" s="348" t="s">
        <v>9</v>
      </c>
      <c r="L189" s="349" t="s">
        <v>76</v>
      </c>
    </row>
    <row r="190" spans="3:12" ht="16.5" customHeight="1" thickBot="1" x14ac:dyDescent="0.25">
      <c r="C190" s="350">
        <f>SUM(D190:E190)</f>
        <v>635</v>
      </c>
      <c r="D190" s="350">
        <f>J190+G190</f>
        <v>155</v>
      </c>
      <c r="E190" s="350">
        <f>K190+H190</f>
        <v>480</v>
      </c>
      <c r="F190" s="351">
        <f>SUM(G190:H190)</f>
        <v>13</v>
      </c>
      <c r="G190" s="351">
        <v>0</v>
      </c>
      <c r="H190" s="351">
        <v>13</v>
      </c>
      <c r="I190" s="351">
        <f>SUM(J190:K190)</f>
        <v>622</v>
      </c>
      <c r="J190" s="351">
        <v>155</v>
      </c>
      <c r="K190" s="351">
        <v>467</v>
      </c>
      <c r="L190" s="352" t="s">
        <v>756</v>
      </c>
    </row>
    <row r="191" spans="3:12" ht="16.5" customHeight="1" thickBot="1" x14ac:dyDescent="0.25">
      <c r="C191" s="350">
        <f t="shared" ref="C191:C196" si="37">SUM(D191:E191)</f>
        <v>7</v>
      </c>
      <c r="D191" s="350">
        <f t="shared" ref="D191:E196" si="38">J191+G191</f>
        <v>7</v>
      </c>
      <c r="E191" s="350">
        <f t="shared" si="38"/>
        <v>0</v>
      </c>
      <c r="F191" s="351">
        <f t="shared" ref="F191:F196" si="39">SUM(G191:H191)</f>
        <v>0</v>
      </c>
      <c r="G191" s="351">
        <v>0</v>
      </c>
      <c r="H191" s="351">
        <v>0</v>
      </c>
      <c r="I191" s="351">
        <f t="shared" ref="I191:I196" si="40">SUM(J191:K191)</f>
        <v>7</v>
      </c>
      <c r="J191" s="351">
        <v>7</v>
      </c>
      <c r="K191" s="351">
        <v>0</v>
      </c>
      <c r="L191" s="352" t="s">
        <v>102</v>
      </c>
    </row>
    <row r="192" spans="3:12" ht="16.5" customHeight="1" thickBot="1" x14ac:dyDescent="0.25">
      <c r="C192" s="350">
        <f t="shared" si="37"/>
        <v>7</v>
      </c>
      <c r="D192" s="350">
        <f t="shared" si="38"/>
        <v>7</v>
      </c>
      <c r="E192" s="350">
        <f t="shared" si="38"/>
        <v>0</v>
      </c>
      <c r="F192" s="351">
        <f t="shared" si="39"/>
        <v>0</v>
      </c>
      <c r="G192" s="351">
        <v>0</v>
      </c>
      <c r="H192" s="351">
        <v>0</v>
      </c>
      <c r="I192" s="351">
        <f t="shared" si="40"/>
        <v>7</v>
      </c>
      <c r="J192" s="351">
        <v>7</v>
      </c>
      <c r="K192" s="351">
        <v>0</v>
      </c>
      <c r="L192" s="352" t="s">
        <v>484</v>
      </c>
    </row>
    <row r="193" spans="3:12" ht="16.5" customHeight="1" thickBot="1" x14ac:dyDescent="0.25">
      <c r="C193" s="350">
        <f t="shared" si="37"/>
        <v>27</v>
      </c>
      <c r="D193" s="350">
        <f t="shared" si="38"/>
        <v>26</v>
      </c>
      <c r="E193" s="350">
        <f t="shared" si="38"/>
        <v>1</v>
      </c>
      <c r="F193" s="351">
        <f t="shared" si="39"/>
        <v>0</v>
      </c>
      <c r="G193" s="351">
        <v>0</v>
      </c>
      <c r="H193" s="351">
        <v>0</v>
      </c>
      <c r="I193" s="351">
        <f t="shared" si="40"/>
        <v>27</v>
      </c>
      <c r="J193" s="351">
        <v>26</v>
      </c>
      <c r="K193" s="351">
        <v>1</v>
      </c>
      <c r="L193" s="357" t="s">
        <v>828</v>
      </c>
    </row>
    <row r="194" spans="3:12" ht="16.5" customHeight="1" thickBot="1" x14ac:dyDescent="0.25">
      <c r="C194" s="350">
        <f t="shared" si="37"/>
        <v>43</v>
      </c>
      <c r="D194" s="350">
        <f t="shared" si="38"/>
        <v>43</v>
      </c>
      <c r="E194" s="350">
        <f t="shared" si="38"/>
        <v>0</v>
      </c>
      <c r="F194" s="351">
        <f t="shared" si="39"/>
        <v>0</v>
      </c>
      <c r="G194" s="351">
        <v>0</v>
      </c>
      <c r="H194" s="351">
        <v>0</v>
      </c>
      <c r="I194" s="351">
        <f t="shared" si="40"/>
        <v>43</v>
      </c>
      <c r="J194" s="351">
        <v>43</v>
      </c>
      <c r="K194" s="351">
        <v>0</v>
      </c>
      <c r="L194" s="357" t="s">
        <v>485</v>
      </c>
    </row>
    <row r="195" spans="3:12" ht="16.5" customHeight="1" thickBot="1" x14ac:dyDescent="0.25">
      <c r="C195" s="350">
        <f t="shared" si="37"/>
        <v>17</v>
      </c>
      <c r="D195" s="350">
        <f t="shared" si="38"/>
        <v>17</v>
      </c>
      <c r="E195" s="350">
        <f t="shared" si="38"/>
        <v>0</v>
      </c>
      <c r="F195" s="351">
        <f t="shared" si="39"/>
        <v>0</v>
      </c>
      <c r="G195" s="351">
        <v>0</v>
      </c>
      <c r="H195" s="351">
        <v>0</v>
      </c>
      <c r="I195" s="351">
        <f t="shared" si="40"/>
        <v>17</v>
      </c>
      <c r="J195" s="351">
        <v>17</v>
      </c>
      <c r="K195" s="351">
        <v>0</v>
      </c>
      <c r="L195" s="357" t="s">
        <v>829</v>
      </c>
    </row>
    <row r="196" spans="3:12" ht="16.5" customHeight="1" thickBot="1" x14ac:dyDescent="0.25">
      <c r="C196" s="350">
        <f t="shared" si="37"/>
        <v>17</v>
      </c>
      <c r="D196" s="350">
        <f t="shared" si="38"/>
        <v>17</v>
      </c>
      <c r="E196" s="350">
        <f t="shared" si="38"/>
        <v>0</v>
      </c>
      <c r="F196" s="351">
        <f t="shared" si="39"/>
        <v>0</v>
      </c>
      <c r="G196" s="351">
        <v>0</v>
      </c>
      <c r="H196" s="351">
        <v>0</v>
      </c>
      <c r="I196" s="351">
        <f t="shared" si="40"/>
        <v>17</v>
      </c>
      <c r="J196" s="351">
        <v>17</v>
      </c>
      <c r="K196" s="351">
        <v>0</v>
      </c>
      <c r="L196" s="352" t="s">
        <v>487</v>
      </c>
    </row>
    <row r="197" spans="3:12" ht="16.5" customHeight="1" thickBot="1" x14ac:dyDescent="0.25">
      <c r="C197" s="350">
        <v>753</v>
      </c>
      <c r="D197" s="350">
        <v>272</v>
      </c>
      <c r="E197" s="350">
        <v>481</v>
      </c>
      <c r="F197" s="351">
        <v>13</v>
      </c>
      <c r="G197" s="351">
        <v>0</v>
      </c>
      <c r="H197" s="351">
        <v>13</v>
      </c>
      <c r="I197" s="351">
        <v>740</v>
      </c>
      <c r="J197" s="351">
        <v>272</v>
      </c>
      <c r="K197" s="351">
        <v>468</v>
      </c>
      <c r="L197" s="353" t="s">
        <v>244</v>
      </c>
    </row>
    <row r="198" spans="3:12" ht="16.5" customHeight="1" thickBot="1" x14ac:dyDescent="0.25"/>
    <row r="199" spans="3:12" ht="16.5" customHeight="1" thickBot="1" x14ac:dyDescent="0.25">
      <c r="C199" s="597" t="s">
        <v>4</v>
      </c>
      <c r="D199" s="597"/>
      <c r="E199" s="597"/>
      <c r="F199" s="598" t="s">
        <v>145</v>
      </c>
      <c r="G199" s="598"/>
      <c r="H199" s="598"/>
      <c r="I199" s="598" t="s">
        <v>146</v>
      </c>
      <c r="J199" s="598"/>
      <c r="K199" s="598"/>
      <c r="L199" s="347" t="s">
        <v>66</v>
      </c>
    </row>
    <row r="200" spans="3:12" ht="16.5" customHeight="1" thickBot="1" x14ac:dyDescent="0.25">
      <c r="C200" s="347" t="s">
        <v>227</v>
      </c>
      <c r="D200" s="347" t="s">
        <v>10</v>
      </c>
      <c r="E200" s="347" t="s">
        <v>9</v>
      </c>
      <c r="F200" s="348" t="s">
        <v>227</v>
      </c>
      <c r="G200" s="348" t="s">
        <v>10</v>
      </c>
      <c r="H200" s="348" t="s">
        <v>9</v>
      </c>
      <c r="I200" s="348" t="s">
        <v>227</v>
      </c>
      <c r="J200" s="348" t="s">
        <v>10</v>
      </c>
      <c r="K200" s="348" t="s">
        <v>9</v>
      </c>
      <c r="L200" s="349" t="s">
        <v>77</v>
      </c>
    </row>
    <row r="201" spans="3:12" ht="16.5" customHeight="1" thickBot="1" x14ac:dyDescent="0.25">
      <c r="C201" s="350">
        <f>SUM(D201:E201)</f>
        <v>594</v>
      </c>
      <c r="D201" s="350">
        <f>J201+G201</f>
        <v>195</v>
      </c>
      <c r="E201" s="350">
        <f>K201+H201</f>
        <v>399</v>
      </c>
      <c r="F201" s="351">
        <f>SUM(G201:H201)</f>
        <v>7</v>
      </c>
      <c r="G201" s="351">
        <v>0</v>
      </c>
      <c r="H201" s="351">
        <v>7</v>
      </c>
      <c r="I201" s="351">
        <f>SUM(J201:K201)</f>
        <v>587</v>
      </c>
      <c r="J201" s="351">
        <v>195</v>
      </c>
      <c r="K201" s="351">
        <v>392</v>
      </c>
      <c r="L201" s="357" t="s">
        <v>830</v>
      </c>
    </row>
    <row r="202" spans="3:12" ht="16.5" customHeight="1" thickBot="1" x14ac:dyDescent="0.25">
      <c r="C202" s="350">
        <f t="shared" ref="C202:J202" si="41">SUM(C201)</f>
        <v>594</v>
      </c>
      <c r="D202" s="350">
        <f t="shared" si="41"/>
        <v>195</v>
      </c>
      <c r="E202" s="350">
        <f t="shared" si="41"/>
        <v>399</v>
      </c>
      <c r="F202" s="351">
        <f t="shared" si="41"/>
        <v>7</v>
      </c>
      <c r="G202" s="351">
        <f t="shared" si="41"/>
        <v>0</v>
      </c>
      <c r="H202" s="351">
        <f t="shared" si="41"/>
        <v>7</v>
      </c>
      <c r="I202" s="351">
        <f t="shared" si="41"/>
        <v>587</v>
      </c>
      <c r="J202" s="351">
        <f t="shared" si="41"/>
        <v>195</v>
      </c>
      <c r="K202" s="351">
        <f>SUM(K201)</f>
        <v>392</v>
      </c>
      <c r="L202" s="353" t="s">
        <v>244</v>
      </c>
    </row>
    <row r="203" spans="3:12" ht="16.5" customHeight="1" thickBot="1" x14ac:dyDescent="0.25"/>
    <row r="204" spans="3:12" ht="16.5" customHeight="1" thickBot="1" x14ac:dyDescent="0.25">
      <c r="C204" s="597" t="s">
        <v>4</v>
      </c>
      <c r="D204" s="597"/>
      <c r="E204" s="597"/>
      <c r="F204" s="597" t="s">
        <v>145</v>
      </c>
      <c r="G204" s="597"/>
      <c r="H204" s="597"/>
      <c r="I204" s="597" t="s">
        <v>146</v>
      </c>
      <c r="J204" s="597"/>
      <c r="K204" s="597"/>
      <c r="L204" s="347" t="s">
        <v>66</v>
      </c>
    </row>
    <row r="205" spans="3:12" ht="16.5" customHeight="1" thickBot="1" x14ac:dyDescent="0.25">
      <c r="C205" s="347" t="s">
        <v>227</v>
      </c>
      <c r="D205" s="347" t="s">
        <v>10</v>
      </c>
      <c r="E205" s="347" t="s">
        <v>9</v>
      </c>
      <c r="F205" s="347" t="s">
        <v>227</v>
      </c>
      <c r="G205" s="347" t="s">
        <v>10</v>
      </c>
      <c r="H205" s="347" t="s">
        <v>9</v>
      </c>
      <c r="I205" s="347" t="s">
        <v>227</v>
      </c>
      <c r="J205" s="347" t="s">
        <v>10</v>
      </c>
      <c r="K205" s="347" t="s">
        <v>9</v>
      </c>
      <c r="L205" s="349" t="s">
        <v>148</v>
      </c>
    </row>
    <row r="206" spans="3:12" ht="16.5" customHeight="1" thickBot="1" x14ac:dyDescent="0.25">
      <c r="C206" s="350">
        <f>SUM(D206:E206)</f>
        <v>7</v>
      </c>
      <c r="D206" s="350">
        <f>J206+G206</f>
        <v>4</v>
      </c>
      <c r="E206" s="350">
        <f>K206+H206</f>
        <v>3</v>
      </c>
      <c r="F206" s="350">
        <f>SUM(G206:H206)</f>
        <v>2</v>
      </c>
      <c r="G206" s="350">
        <v>1</v>
      </c>
      <c r="H206" s="350">
        <v>1</v>
      </c>
      <c r="I206" s="350">
        <f>SUM(J206:K206)</f>
        <v>5</v>
      </c>
      <c r="J206" s="350">
        <v>3</v>
      </c>
      <c r="K206" s="350">
        <v>2</v>
      </c>
      <c r="L206" s="352" t="s">
        <v>602</v>
      </c>
    </row>
    <row r="207" spans="3:12" ht="16.5" customHeight="1" thickBot="1" x14ac:dyDescent="0.25">
      <c r="C207" s="350">
        <f t="shared" ref="C207:C209" si="42">SUM(D207:E207)</f>
        <v>6</v>
      </c>
      <c r="D207" s="350">
        <f t="shared" ref="D207:E209" si="43">J207+G207</f>
        <v>3</v>
      </c>
      <c r="E207" s="350">
        <f t="shared" si="43"/>
        <v>3</v>
      </c>
      <c r="F207" s="350">
        <f t="shared" ref="F207:F209" si="44">SUM(G207:H207)</f>
        <v>1</v>
      </c>
      <c r="G207" s="350">
        <v>1</v>
      </c>
      <c r="H207" s="350">
        <v>0</v>
      </c>
      <c r="I207" s="350">
        <f t="shared" ref="I207:I209" si="45">SUM(J207:K207)</f>
        <v>5</v>
      </c>
      <c r="J207" s="350">
        <v>2</v>
      </c>
      <c r="K207" s="350">
        <v>3</v>
      </c>
      <c r="L207" s="352" t="s">
        <v>603</v>
      </c>
    </row>
    <row r="208" spans="3:12" ht="16.5" customHeight="1" thickBot="1" x14ac:dyDescent="0.25">
      <c r="C208" s="350">
        <f t="shared" si="42"/>
        <v>51</v>
      </c>
      <c r="D208" s="350">
        <f t="shared" si="43"/>
        <v>51</v>
      </c>
      <c r="E208" s="350">
        <f t="shared" si="43"/>
        <v>0</v>
      </c>
      <c r="F208" s="350">
        <f t="shared" si="44"/>
        <v>13</v>
      </c>
      <c r="G208" s="350">
        <v>13</v>
      </c>
      <c r="H208" s="350">
        <v>0</v>
      </c>
      <c r="I208" s="350">
        <f t="shared" si="45"/>
        <v>38</v>
      </c>
      <c r="J208" s="350">
        <v>38</v>
      </c>
      <c r="K208" s="350">
        <v>0</v>
      </c>
      <c r="L208" s="357" t="s">
        <v>563</v>
      </c>
    </row>
    <row r="209" spans="3:12" ht="16.5" customHeight="1" thickBot="1" x14ac:dyDescent="0.25">
      <c r="C209" s="350">
        <f t="shared" si="42"/>
        <v>17</v>
      </c>
      <c r="D209" s="350">
        <f t="shared" si="43"/>
        <v>16</v>
      </c>
      <c r="E209" s="350">
        <f t="shared" si="43"/>
        <v>1</v>
      </c>
      <c r="F209" s="350">
        <f t="shared" si="44"/>
        <v>4</v>
      </c>
      <c r="G209" s="350">
        <v>3</v>
      </c>
      <c r="H209" s="350">
        <v>1</v>
      </c>
      <c r="I209" s="350">
        <f t="shared" si="45"/>
        <v>13</v>
      </c>
      <c r="J209" s="350">
        <v>13</v>
      </c>
      <c r="K209" s="350">
        <v>0</v>
      </c>
      <c r="L209" s="357" t="s">
        <v>564</v>
      </c>
    </row>
    <row r="210" spans="3:12" ht="16.5" customHeight="1" thickBot="1" x14ac:dyDescent="0.25">
      <c r="C210" s="350">
        <f t="shared" ref="C210:J210" si="46">SUM(C206:C209)</f>
        <v>81</v>
      </c>
      <c r="D210" s="350">
        <f t="shared" si="46"/>
        <v>74</v>
      </c>
      <c r="E210" s="350">
        <f t="shared" si="46"/>
        <v>7</v>
      </c>
      <c r="F210" s="350">
        <f t="shared" si="46"/>
        <v>20</v>
      </c>
      <c r="G210" s="350">
        <f t="shared" si="46"/>
        <v>18</v>
      </c>
      <c r="H210" s="350">
        <f t="shared" si="46"/>
        <v>2</v>
      </c>
      <c r="I210" s="350">
        <f t="shared" si="46"/>
        <v>61</v>
      </c>
      <c r="J210" s="350">
        <f t="shared" si="46"/>
        <v>56</v>
      </c>
      <c r="K210" s="350">
        <f>SUM(K206:K209)</f>
        <v>5</v>
      </c>
      <c r="L210" s="353" t="s">
        <v>244</v>
      </c>
    </row>
    <row r="211" spans="3:12" ht="16.5" customHeight="1" thickBot="1" x14ac:dyDescent="0.25"/>
    <row r="212" spans="3:12" ht="16.5" customHeight="1" thickBot="1" x14ac:dyDescent="0.25">
      <c r="C212" s="597" t="s">
        <v>4</v>
      </c>
      <c r="D212" s="597"/>
      <c r="E212" s="597"/>
      <c r="F212" s="598" t="s">
        <v>145</v>
      </c>
      <c r="G212" s="598"/>
      <c r="H212" s="598"/>
      <c r="I212" s="598" t="s">
        <v>146</v>
      </c>
      <c r="J212" s="598"/>
      <c r="K212" s="598"/>
      <c r="L212" s="347" t="s">
        <v>66</v>
      </c>
    </row>
    <row r="213" spans="3:12" ht="16.5" customHeight="1" thickBot="1" x14ac:dyDescent="0.25">
      <c r="C213" s="347" t="s">
        <v>227</v>
      </c>
      <c r="D213" s="347" t="s">
        <v>10</v>
      </c>
      <c r="E213" s="347" t="s">
        <v>9</v>
      </c>
      <c r="F213" s="348" t="s">
        <v>227</v>
      </c>
      <c r="G213" s="348" t="s">
        <v>10</v>
      </c>
      <c r="H213" s="348" t="s">
        <v>9</v>
      </c>
      <c r="I213" s="348" t="s">
        <v>227</v>
      </c>
      <c r="J213" s="348" t="s">
        <v>10</v>
      </c>
      <c r="K213" s="348" t="s">
        <v>9</v>
      </c>
      <c r="L213" s="349" t="s">
        <v>106</v>
      </c>
    </row>
    <row r="214" spans="3:12" ht="16.5" customHeight="1" thickBot="1" x14ac:dyDescent="0.25">
      <c r="C214" s="350">
        <f>SUM(D214:E214)</f>
        <v>49</v>
      </c>
      <c r="D214" s="350">
        <f>J214+G214</f>
        <v>0</v>
      </c>
      <c r="E214" s="350">
        <f>K214+H214</f>
        <v>49</v>
      </c>
      <c r="F214" s="351">
        <f>SUM(G214:H214)</f>
        <v>2</v>
      </c>
      <c r="G214" s="351">
        <v>0</v>
      </c>
      <c r="H214" s="351">
        <v>2</v>
      </c>
      <c r="I214" s="351">
        <f>SUM(J214:K214)</f>
        <v>47</v>
      </c>
      <c r="J214" s="351">
        <v>0</v>
      </c>
      <c r="K214" s="351">
        <v>47</v>
      </c>
      <c r="L214" s="357" t="s">
        <v>279</v>
      </c>
    </row>
    <row r="215" spans="3:12" ht="16.5" customHeight="1" thickBot="1" x14ac:dyDescent="0.25">
      <c r="C215" s="350">
        <f t="shared" ref="C215:C228" si="47">SUM(D215:E215)</f>
        <v>148</v>
      </c>
      <c r="D215" s="350">
        <f t="shared" ref="D215:E228" si="48">J215+G215</f>
        <v>17</v>
      </c>
      <c r="E215" s="350">
        <f t="shared" si="48"/>
        <v>131</v>
      </c>
      <c r="F215" s="351">
        <f t="shared" ref="F215:F228" si="49">SUM(G215:H215)</f>
        <v>3</v>
      </c>
      <c r="G215" s="351">
        <v>0</v>
      </c>
      <c r="H215" s="351">
        <v>3</v>
      </c>
      <c r="I215" s="351">
        <f t="shared" ref="I215:I228" si="50">SUM(J215:K215)</f>
        <v>145</v>
      </c>
      <c r="J215" s="351">
        <v>17</v>
      </c>
      <c r="K215" s="351">
        <v>128</v>
      </c>
      <c r="L215" s="352" t="s">
        <v>756</v>
      </c>
    </row>
    <row r="216" spans="3:12" ht="16.5" customHeight="1" thickBot="1" x14ac:dyDescent="0.25">
      <c r="C216" s="350">
        <f t="shared" si="47"/>
        <v>17</v>
      </c>
      <c r="D216" s="350">
        <f t="shared" si="48"/>
        <v>0</v>
      </c>
      <c r="E216" s="350">
        <f t="shared" si="48"/>
        <v>17</v>
      </c>
      <c r="F216" s="351">
        <f t="shared" si="49"/>
        <v>2</v>
      </c>
      <c r="G216" s="351">
        <v>0</v>
      </c>
      <c r="H216" s="351">
        <v>2</v>
      </c>
      <c r="I216" s="351">
        <f t="shared" si="50"/>
        <v>15</v>
      </c>
      <c r="J216" s="351">
        <v>0</v>
      </c>
      <c r="K216" s="351">
        <v>15</v>
      </c>
      <c r="L216" s="357" t="s">
        <v>451</v>
      </c>
    </row>
    <row r="217" spans="3:12" ht="16.5" customHeight="1" thickBot="1" x14ac:dyDescent="0.25">
      <c r="C217" s="350">
        <f t="shared" si="47"/>
        <v>18</v>
      </c>
      <c r="D217" s="350">
        <f t="shared" si="48"/>
        <v>0</v>
      </c>
      <c r="E217" s="350">
        <f t="shared" si="48"/>
        <v>18</v>
      </c>
      <c r="F217" s="351">
        <f t="shared" si="49"/>
        <v>2</v>
      </c>
      <c r="G217" s="351">
        <v>0</v>
      </c>
      <c r="H217" s="351">
        <v>2</v>
      </c>
      <c r="I217" s="351">
        <f t="shared" si="50"/>
        <v>16</v>
      </c>
      <c r="J217" s="351">
        <v>0</v>
      </c>
      <c r="K217" s="351">
        <v>16</v>
      </c>
      <c r="L217" s="352" t="s">
        <v>454</v>
      </c>
    </row>
    <row r="218" spans="3:12" ht="16.5" customHeight="1" thickBot="1" x14ac:dyDescent="0.25">
      <c r="C218" s="350">
        <f t="shared" si="47"/>
        <v>29</v>
      </c>
      <c r="D218" s="350">
        <f t="shared" si="48"/>
        <v>2</v>
      </c>
      <c r="E218" s="350">
        <f t="shared" si="48"/>
        <v>27</v>
      </c>
      <c r="F218" s="351">
        <f t="shared" si="49"/>
        <v>2</v>
      </c>
      <c r="G218" s="351">
        <v>0</v>
      </c>
      <c r="H218" s="351">
        <v>2</v>
      </c>
      <c r="I218" s="351">
        <f t="shared" si="50"/>
        <v>27</v>
      </c>
      <c r="J218" s="351">
        <v>2</v>
      </c>
      <c r="K218" s="351">
        <v>25</v>
      </c>
      <c r="L218" s="352" t="s">
        <v>344</v>
      </c>
    </row>
    <row r="219" spans="3:12" ht="16.5" customHeight="1" thickBot="1" x14ac:dyDescent="0.25">
      <c r="C219" s="350">
        <f t="shared" si="47"/>
        <v>18</v>
      </c>
      <c r="D219" s="350">
        <f t="shared" si="48"/>
        <v>0</v>
      </c>
      <c r="E219" s="350">
        <f t="shared" si="48"/>
        <v>18</v>
      </c>
      <c r="F219" s="351">
        <f t="shared" si="49"/>
        <v>2</v>
      </c>
      <c r="G219" s="351">
        <v>0</v>
      </c>
      <c r="H219" s="351">
        <v>2</v>
      </c>
      <c r="I219" s="351">
        <f t="shared" si="50"/>
        <v>16</v>
      </c>
      <c r="J219" s="351">
        <v>0</v>
      </c>
      <c r="K219" s="351">
        <v>16</v>
      </c>
      <c r="L219" s="352" t="s">
        <v>105</v>
      </c>
    </row>
    <row r="220" spans="3:12" ht="16.5" customHeight="1" thickBot="1" x14ac:dyDescent="0.25">
      <c r="C220" s="350">
        <f t="shared" si="47"/>
        <v>20</v>
      </c>
      <c r="D220" s="350">
        <f t="shared" si="48"/>
        <v>3</v>
      </c>
      <c r="E220" s="350">
        <f t="shared" si="48"/>
        <v>17</v>
      </c>
      <c r="F220" s="351">
        <f t="shared" si="49"/>
        <v>1</v>
      </c>
      <c r="G220" s="351">
        <v>0</v>
      </c>
      <c r="H220" s="351">
        <v>1</v>
      </c>
      <c r="I220" s="351">
        <f t="shared" si="50"/>
        <v>19</v>
      </c>
      <c r="J220" s="351">
        <v>3</v>
      </c>
      <c r="K220" s="351">
        <v>16</v>
      </c>
      <c r="L220" s="352" t="s">
        <v>367</v>
      </c>
    </row>
    <row r="221" spans="3:12" ht="16.5" customHeight="1" thickBot="1" x14ac:dyDescent="0.25">
      <c r="C221" s="350">
        <f t="shared" si="47"/>
        <v>33</v>
      </c>
      <c r="D221" s="350">
        <f t="shared" si="48"/>
        <v>2</v>
      </c>
      <c r="E221" s="350">
        <f t="shared" si="48"/>
        <v>31</v>
      </c>
      <c r="F221" s="351">
        <f t="shared" si="49"/>
        <v>2</v>
      </c>
      <c r="G221" s="351">
        <v>0</v>
      </c>
      <c r="H221" s="351">
        <v>2</v>
      </c>
      <c r="I221" s="351">
        <f t="shared" si="50"/>
        <v>31</v>
      </c>
      <c r="J221" s="351">
        <v>2</v>
      </c>
      <c r="K221" s="351">
        <v>29</v>
      </c>
      <c r="L221" s="352" t="s">
        <v>347</v>
      </c>
    </row>
    <row r="222" spans="3:12" ht="16.5" customHeight="1" thickBot="1" x14ac:dyDescent="0.25">
      <c r="C222" s="350">
        <f t="shared" si="47"/>
        <v>30</v>
      </c>
      <c r="D222" s="350">
        <f t="shared" si="48"/>
        <v>7</v>
      </c>
      <c r="E222" s="350">
        <f t="shared" si="48"/>
        <v>23</v>
      </c>
      <c r="F222" s="351">
        <f t="shared" si="49"/>
        <v>1</v>
      </c>
      <c r="G222" s="351">
        <v>0</v>
      </c>
      <c r="H222" s="351">
        <v>1</v>
      </c>
      <c r="I222" s="351">
        <f t="shared" si="50"/>
        <v>29</v>
      </c>
      <c r="J222" s="351">
        <v>7</v>
      </c>
      <c r="K222" s="351">
        <v>22</v>
      </c>
      <c r="L222" s="357" t="s">
        <v>280</v>
      </c>
    </row>
    <row r="223" spans="3:12" ht="16.5" customHeight="1" thickBot="1" x14ac:dyDescent="0.25">
      <c r="C223" s="350">
        <f t="shared" si="47"/>
        <v>17</v>
      </c>
      <c r="D223" s="350">
        <f t="shared" si="48"/>
        <v>17</v>
      </c>
      <c r="E223" s="350">
        <f t="shared" si="48"/>
        <v>0</v>
      </c>
      <c r="F223" s="351">
        <f t="shared" si="49"/>
        <v>0</v>
      </c>
      <c r="G223" s="351">
        <v>0</v>
      </c>
      <c r="H223" s="351">
        <v>0</v>
      </c>
      <c r="I223" s="351">
        <f t="shared" si="50"/>
        <v>17</v>
      </c>
      <c r="J223" s="351">
        <v>17</v>
      </c>
      <c r="K223" s="351">
        <v>0</v>
      </c>
      <c r="L223" s="357" t="s">
        <v>509</v>
      </c>
    </row>
    <row r="224" spans="3:12" ht="16.5" customHeight="1" thickBot="1" x14ac:dyDescent="0.25">
      <c r="C224" s="350">
        <f t="shared" si="47"/>
        <v>1</v>
      </c>
      <c r="D224" s="350">
        <f t="shared" si="48"/>
        <v>1</v>
      </c>
      <c r="E224" s="350">
        <f t="shared" si="48"/>
        <v>0</v>
      </c>
      <c r="F224" s="351">
        <f t="shared" si="49"/>
        <v>0</v>
      </c>
      <c r="G224" s="351">
        <v>0</v>
      </c>
      <c r="H224" s="351">
        <v>0</v>
      </c>
      <c r="I224" s="351">
        <f t="shared" si="50"/>
        <v>1</v>
      </c>
      <c r="J224" s="351">
        <v>1</v>
      </c>
      <c r="K224" s="351">
        <v>0</v>
      </c>
      <c r="L224" s="352" t="s">
        <v>107</v>
      </c>
    </row>
    <row r="225" spans="3:12" ht="16.5" customHeight="1" thickBot="1" x14ac:dyDescent="0.25">
      <c r="C225" s="350">
        <f t="shared" si="47"/>
        <v>1</v>
      </c>
      <c r="D225" s="350">
        <f t="shared" si="48"/>
        <v>1</v>
      </c>
      <c r="E225" s="350">
        <f t="shared" si="48"/>
        <v>0</v>
      </c>
      <c r="F225" s="351">
        <f t="shared" si="49"/>
        <v>0</v>
      </c>
      <c r="G225" s="351">
        <v>0</v>
      </c>
      <c r="H225" s="351">
        <v>0</v>
      </c>
      <c r="I225" s="351">
        <f t="shared" si="50"/>
        <v>1</v>
      </c>
      <c r="J225" s="351">
        <v>1</v>
      </c>
      <c r="K225" s="351">
        <v>0</v>
      </c>
      <c r="L225" s="357" t="s">
        <v>510</v>
      </c>
    </row>
    <row r="226" spans="3:12" ht="16.5" customHeight="1" thickBot="1" x14ac:dyDescent="0.25">
      <c r="C226" s="350">
        <f t="shared" si="47"/>
        <v>17</v>
      </c>
      <c r="D226" s="350">
        <f t="shared" si="48"/>
        <v>17</v>
      </c>
      <c r="E226" s="350">
        <f t="shared" si="48"/>
        <v>0</v>
      </c>
      <c r="F226" s="351">
        <f t="shared" si="49"/>
        <v>0</v>
      </c>
      <c r="G226" s="351">
        <v>0</v>
      </c>
      <c r="H226" s="351">
        <v>0</v>
      </c>
      <c r="I226" s="351">
        <f t="shared" si="50"/>
        <v>17</v>
      </c>
      <c r="J226" s="351">
        <v>17</v>
      </c>
      <c r="K226" s="351">
        <v>0</v>
      </c>
      <c r="L226" s="357" t="s">
        <v>511</v>
      </c>
    </row>
    <row r="227" spans="3:12" ht="16.5" customHeight="1" thickBot="1" x14ac:dyDescent="0.25">
      <c r="C227" s="350">
        <f t="shared" si="47"/>
        <v>12</v>
      </c>
      <c r="D227" s="350">
        <f t="shared" si="48"/>
        <v>12</v>
      </c>
      <c r="E227" s="350">
        <f t="shared" si="48"/>
        <v>0</v>
      </c>
      <c r="F227" s="351">
        <f t="shared" si="49"/>
        <v>0</v>
      </c>
      <c r="G227" s="351">
        <v>0</v>
      </c>
      <c r="H227" s="351">
        <v>0</v>
      </c>
      <c r="I227" s="351">
        <f t="shared" si="50"/>
        <v>12</v>
      </c>
      <c r="J227" s="351">
        <v>12</v>
      </c>
      <c r="K227" s="351">
        <v>0</v>
      </c>
      <c r="L227" s="352" t="s">
        <v>512</v>
      </c>
    </row>
    <row r="228" spans="3:12" ht="16.5" customHeight="1" thickBot="1" x14ac:dyDescent="0.25">
      <c r="C228" s="350">
        <f t="shared" si="47"/>
        <v>37</v>
      </c>
      <c r="D228" s="350">
        <f t="shared" si="48"/>
        <v>35</v>
      </c>
      <c r="E228" s="350">
        <f t="shared" si="48"/>
        <v>2</v>
      </c>
      <c r="F228" s="351">
        <f t="shared" si="49"/>
        <v>0</v>
      </c>
      <c r="G228" s="351">
        <v>0</v>
      </c>
      <c r="H228" s="351">
        <v>0</v>
      </c>
      <c r="I228" s="351">
        <f t="shared" si="50"/>
        <v>37</v>
      </c>
      <c r="J228" s="351">
        <v>35</v>
      </c>
      <c r="K228" s="351">
        <v>2</v>
      </c>
      <c r="L228" s="352" t="s">
        <v>513</v>
      </c>
    </row>
    <row r="229" spans="3:12" ht="16.5" customHeight="1" thickBot="1" x14ac:dyDescent="0.25">
      <c r="C229" s="350">
        <f t="shared" ref="C229:J229" si="51">SUM(C214:C228)</f>
        <v>447</v>
      </c>
      <c r="D229" s="350">
        <f t="shared" si="51"/>
        <v>114</v>
      </c>
      <c r="E229" s="350">
        <f t="shared" si="51"/>
        <v>333</v>
      </c>
      <c r="F229" s="351">
        <f t="shared" si="51"/>
        <v>17</v>
      </c>
      <c r="G229" s="351">
        <f t="shared" si="51"/>
        <v>0</v>
      </c>
      <c r="H229" s="351">
        <f t="shared" si="51"/>
        <v>17</v>
      </c>
      <c r="I229" s="351">
        <f t="shared" si="51"/>
        <v>430</v>
      </c>
      <c r="J229" s="351">
        <f t="shared" si="51"/>
        <v>114</v>
      </c>
      <c r="K229" s="351">
        <f>SUM(K214:K228)</f>
        <v>316</v>
      </c>
      <c r="L229" s="353" t="s">
        <v>244</v>
      </c>
    </row>
    <row r="230" spans="3:12" ht="16.5" customHeight="1" thickBot="1" x14ac:dyDescent="0.25"/>
    <row r="231" spans="3:12" ht="16.5" customHeight="1" thickBot="1" x14ac:dyDescent="0.25">
      <c r="C231" s="597" t="s">
        <v>4</v>
      </c>
      <c r="D231" s="597"/>
      <c r="E231" s="597"/>
      <c r="F231" s="598" t="s">
        <v>145</v>
      </c>
      <c r="G231" s="598"/>
      <c r="H231" s="598"/>
      <c r="I231" s="598" t="s">
        <v>146</v>
      </c>
      <c r="J231" s="598"/>
      <c r="K231" s="598"/>
      <c r="L231" s="347" t="s">
        <v>66</v>
      </c>
    </row>
    <row r="232" spans="3:12" ht="16.5" customHeight="1" thickBot="1" x14ac:dyDescent="0.25">
      <c r="C232" s="350">
        <f>SUM(D232:E232)</f>
        <v>0</v>
      </c>
      <c r="D232" s="347" t="s">
        <v>10</v>
      </c>
      <c r="E232" s="347" t="s">
        <v>9</v>
      </c>
      <c r="F232" s="348" t="s">
        <v>227</v>
      </c>
      <c r="G232" s="348" t="s">
        <v>10</v>
      </c>
      <c r="H232" s="348" t="s">
        <v>9</v>
      </c>
      <c r="I232" s="348" t="s">
        <v>227</v>
      </c>
      <c r="J232" s="348" t="s">
        <v>10</v>
      </c>
      <c r="K232" s="348" t="s">
        <v>9</v>
      </c>
      <c r="L232" s="349" t="s">
        <v>109</v>
      </c>
    </row>
    <row r="233" spans="3:12" ht="16.5" customHeight="1" thickBot="1" x14ac:dyDescent="0.25">
      <c r="C233" s="350">
        <f>SUM(D233:E233)</f>
        <v>6</v>
      </c>
      <c r="D233" s="350">
        <f>J233+G233</f>
        <v>0</v>
      </c>
      <c r="E233" s="350">
        <f>K233+H233</f>
        <v>6</v>
      </c>
      <c r="F233" s="351">
        <f>SUM(G233:H233)</f>
        <v>0</v>
      </c>
      <c r="G233" s="351">
        <v>0</v>
      </c>
      <c r="H233" s="351">
        <v>0</v>
      </c>
      <c r="I233" s="351">
        <f>SUM(J233:K233)</f>
        <v>6</v>
      </c>
      <c r="J233" s="351">
        <v>0</v>
      </c>
      <c r="K233" s="351">
        <v>6</v>
      </c>
      <c r="L233" s="352" t="s">
        <v>454</v>
      </c>
    </row>
    <row r="234" spans="3:12" ht="16.5" customHeight="1" thickBot="1" x14ac:dyDescent="0.25">
      <c r="C234" s="350">
        <f t="shared" ref="C234:C239" si="52">SUM(D234:E234)</f>
        <v>63</v>
      </c>
      <c r="D234" s="350">
        <f t="shared" ref="D234:E239" si="53">J234+G234</f>
        <v>21</v>
      </c>
      <c r="E234" s="350">
        <f t="shared" si="53"/>
        <v>42</v>
      </c>
      <c r="F234" s="351">
        <f t="shared" ref="F234:F239" si="54">SUM(G234:H234)</f>
        <v>0</v>
      </c>
      <c r="G234" s="351">
        <v>0</v>
      </c>
      <c r="H234" s="351">
        <v>0</v>
      </c>
      <c r="I234" s="351">
        <f t="shared" ref="I234:I239" si="55">SUM(J234:K234)</f>
        <v>63</v>
      </c>
      <c r="J234" s="351">
        <v>21</v>
      </c>
      <c r="K234" s="351">
        <v>42</v>
      </c>
      <c r="L234" s="352" t="s">
        <v>514</v>
      </c>
    </row>
    <row r="235" spans="3:12" ht="16.5" customHeight="1" thickBot="1" x14ac:dyDescent="0.25">
      <c r="C235" s="350">
        <f t="shared" si="52"/>
        <v>59</v>
      </c>
      <c r="D235" s="350">
        <f t="shared" si="53"/>
        <v>59</v>
      </c>
      <c r="E235" s="350">
        <f t="shared" si="53"/>
        <v>0</v>
      </c>
      <c r="F235" s="351">
        <f t="shared" si="54"/>
        <v>0</v>
      </c>
      <c r="G235" s="351">
        <v>0</v>
      </c>
      <c r="H235" s="351">
        <v>0</v>
      </c>
      <c r="I235" s="351">
        <f t="shared" si="55"/>
        <v>59</v>
      </c>
      <c r="J235" s="351">
        <v>59</v>
      </c>
      <c r="K235" s="351">
        <v>0</v>
      </c>
      <c r="L235" s="352" t="s">
        <v>515</v>
      </c>
    </row>
    <row r="236" spans="3:12" ht="16.5" customHeight="1" thickBot="1" x14ac:dyDescent="0.25">
      <c r="C236" s="350">
        <f t="shared" si="52"/>
        <v>18</v>
      </c>
      <c r="D236" s="350">
        <f t="shared" si="53"/>
        <v>0</v>
      </c>
      <c r="E236" s="350">
        <f t="shared" si="53"/>
        <v>18</v>
      </c>
      <c r="F236" s="351">
        <f t="shared" si="54"/>
        <v>0</v>
      </c>
      <c r="G236" s="351">
        <v>0</v>
      </c>
      <c r="H236" s="351">
        <v>0</v>
      </c>
      <c r="I236" s="351">
        <f t="shared" si="55"/>
        <v>18</v>
      </c>
      <c r="J236" s="351">
        <v>0</v>
      </c>
      <c r="K236" s="351">
        <v>18</v>
      </c>
      <c r="L236" s="352" t="s">
        <v>108</v>
      </c>
    </row>
    <row r="237" spans="3:12" ht="16.5" customHeight="1" thickBot="1" x14ac:dyDescent="0.25">
      <c r="C237" s="350">
        <f t="shared" si="52"/>
        <v>62</v>
      </c>
      <c r="D237" s="350">
        <f t="shared" si="53"/>
        <v>20</v>
      </c>
      <c r="E237" s="350">
        <f t="shared" si="53"/>
        <v>42</v>
      </c>
      <c r="F237" s="351">
        <f t="shared" si="54"/>
        <v>0</v>
      </c>
      <c r="G237" s="351">
        <v>0</v>
      </c>
      <c r="H237" s="351">
        <v>0</v>
      </c>
      <c r="I237" s="351">
        <f t="shared" si="55"/>
        <v>62</v>
      </c>
      <c r="J237" s="351">
        <v>20</v>
      </c>
      <c r="K237" s="351">
        <v>42</v>
      </c>
      <c r="L237" s="352" t="s">
        <v>628</v>
      </c>
    </row>
    <row r="238" spans="3:12" ht="16.5" customHeight="1" thickBot="1" x14ac:dyDescent="0.25">
      <c r="C238" s="350">
        <f t="shared" si="52"/>
        <v>131</v>
      </c>
      <c r="D238" s="350">
        <f t="shared" si="53"/>
        <v>0</v>
      </c>
      <c r="E238" s="350">
        <f t="shared" si="53"/>
        <v>131</v>
      </c>
      <c r="F238" s="351">
        <f t="shared" si="54"/>
        <v>0</v>
      </c>
      <c r="G238" s="351">
        <v>0</v>
      </c>
      <c r="H238" s="351">
        <v>0</v>
      </c>
      <c r="I238" s="351">
        <f t="shared" si="55"/>
        <v>131</v>
      </c>
      <c r="J238" s="351">
        <v>0</v>
      </c>
      <c r="K238" s="351">
        <v>131</v>
      </c>
      <c r="L238" s="352" t="s">
        <v>831</v>
      </c>
    </row>
    <row r="239" spans="3:12" ht="16.5" customHeight="1" thickBot="1" x14ac:dyDescent="0.25">
      <c r="C239" s="350">
        <f t="shared" si="52"/>
        <v>25</v>
      </c>
      <c r="D239" s="350">
        <f t="shared" si="53"/>
        <v>0</v>
      </c>
      <c r="E239" s="350">
        <f t="shared" si="53"/>
        <v>25</v>
      </c>
      <c r="F239" s="351">
        <f t="shared" si="54"/>
        <v>1</v>
      </c>
      <c r="G239" s="351">
        <v>0</v>
      </c>
      <c r="H239" s="351">
        <v>1</v>
      </c>
      <c r="I239" s="351">
        <f t="shared" si="55"/>
        <v>24</v>
      </c>
      <c r="J239" s="351">
        <v>0</v>
      </c>
      <c r="K239" s="351">
        <v>24</v>
      </c>
      <c r="L239" s="352" t="s">
        <v>455</v>
      </c>
    </row>
    <row r="240" spans="3:12" ht="16.5" customHeight="1" thickBot="1" x14ac:dyDescent="0.25">
      <c r="C240" s="350">
        <f t="shared" ref="C240:J240" si="56">SUM(C233:C239)</f>
        <v>364</v>
      </c>
      <c r="D240" s="350">
        <f t="shared" si="56"/>
        <v>100</v>
      </c>
      <c r="E240" s="350">
        <f t="shared" si="56"/>
        <v>264</v>
      </c>
      <c r="F240" s="351">
        <f t="shared" si="56"/>
        <v>1</v>
      </c>
      <c r="G240" s="351">
        <f t="shared" si="56"/>
        <v>0</v>
      </c>
      <c r="H240" s="351">
        <f t="shared" si="56"/>
        <v>1</v>
      </c>
      <c r="I240" s="351">
        <f t="shared" si="56"/>
        <v>363</v>
      </c>
      <c r="J240" s="351">
        <f t="shared" si="56"/>
        <v>100</v>
      </c>
      <c r="K240" s="351">
        <f>SUM(K233:K239)</f>
        <v>263</v>
      </c>
      <c r="L240" s="353" t="s">
        <v>244</v>
      </c>
    </row>
    <row r="241" spans="3:12" ht="16.5" customHeight="1" thickBot="1" x14ac:dyDescent="0.25"/>
    <row r="242" spans="3:12" ht="16.5" customHeight="1" thickBot="1" x14ac:dyDescent="0.25">
      <c r="C242" s="597" t="s">
        <v>4</v>
      </c>
      <c r="D242" s="597"/>
      <c r="E242" s="597"/>
      <c r="F242" s="598" t="s">
        <v>145</v>
      </c>
      <c r="G242" s="598"/>
      <c r="H242" s="598"/>
      <c r="I242" s="598" t="s">
        <v>146</v>
      </c>
      <c r="J242" s="598"/>
      <c r="K242" s="598"/>
      <c r="L242" s="347" t="s">
        <v>66</v>
      </c>
    </row>
    <row r="243" spans="3:12" ht="16.5" customHeight="1" thickBot="1" x14ac:dyDescent="0.25">
      <c r="C243" s="347" t="s">
        <v>227</v>
      </c>
      <c r="D243" s="347" t="s">
        <v>10</v>
      </c>
      <c r="E243" s="347" t="s">
        <v>9</v>
      </c>
      <c r="F243" s="348" t="s">
        <v>227</v>
      </c>
      <c r="G243" s="348" t="s">
        <v>10</v>
      </c>
      <c r="H243" s="348" t="s">
        <v>9</v>
      </c>
      <c r="I243" s="348" t="s">
        <v>227</v>
      </c>
      <c r="J243" s="348" t="s">
        <v>10</v>
      </c>
      <c r="K243" s="348" t="s">
        <v>9</v>
      </c>
      <c r="L243" s="349" t="s">
        <v>111</v>
      </c>
    </row>
    <row r="244" spans="3:12" ht="16.5" customHeight="1" thickBot="1" x14ac:dyDescent="0.25">
      <c r="C244" s="350">
        <f>SUM(D244:E244)</f>
        <v>4</v>
      </c>
      <c r="D244" s="350">
        <f>J244+G244</f>
        <v>0</v>
      </c>
      <c r="E244" s="350">
        <f>K244+H244</f>
        <v>4</v>
      </c>
      <c r="F244" s="351">
        <f>SUM(G244:H244)</f>
        <v>0</v>
      </c>
      <c r="G244" s="351">
        <v>0</v>
      </c>
      <c r="H244" s="351">
        <v>0</v>
      </c>
      <c r="I244" s="351">
        <f>SUM(J244:K244)</f>
        <v>4</v>
      </c>
      <c r="J244" s="351">
        <v>0</v>
      </c>
      <c r="K244" s="351">
        <v>4</v>
      </c>
      <c r="L244" s="352" t="s">
        <v>367</v>
      </c>
    </row>
    <row r="245" spans="3:12" ht="16.5" customHeight="1" thickBot="1" x14ac:dyDescent="0.25">
      <c r="C245" s="350">
        <f t="shared" ref="C245:C253" si="57">SUM(D245:E245)</f>
        <v>17</v>
      </c>
      <c r="D245" s="350">
        <f t="shared" ref="D245:E253" si="58">J245+G245</f>
        <v>0</v>
      </c>
      <c r="E245" s="350">
        <f t="shared" si="58"/>
        <v>17</v>
      </c>
      <c r="F245" s="351">
        <f t="shared" ref="F245:F253" si="59">SUM(G245:H245)</f>
        <v>0</v>
      </c>
      <c r="G245" s="351">
        <v>0</v>
      </c>
      <c r="H245" s="351">
        <v>0</v>
      </c>
      <c r="I245" s="351">
        <f t="shared" ref="I245:I253" si="60">SUM(J245:K245)</f>
        <v>17</v>
      </c>
      <c r="J245" s="351">
        <v>0</v>
      </c>
      <c r="K245" s="351">
        <v>17</v>
      </c>
      <c r="L245" s="352" t="s">
        <v>347</v>
      </c>
    </row>
    <row r="246" spans="3:12" ht="16.5" customHeight="1" thickBot="1" x14ac:dyDescent="0.25">
      <c r="C246" s="350">
        <f t="shared" si="57"/>
        <v>21</v>
      </c>
      <c r="D246" s="350">
        <f t="shared" si="58"/>
        <v>0</v>
      </c>
      <c r="E246" s="350">
        <f t="shared" si="58"/>
        <v>21</v>
      </c>
      <c r="F246" s="351">
        <f t="shared" si="59"/>
        <v>0</v>
      </c>
      <c r="G246" s="351">
        <v>0</v>
      </c>
      <c r="H246" s="351">
        <v>0</v>
      </c>
      <c r="I246" s="351">
        <f t="shared" si="60"/>
        <v>21</v>
      </c>
      <c r="J246" s="351">
        <v>0</v>
      </c>
      <c r="K246" s="351">
        <v>21</v>
      </c>
      <c r="L246" s="352" t="s">
        <v>454</v>
      </c>
    </row>
    <row r="247" spans="3:12" ht="16.5" customHeight="1" thickBot="1" x14ac:dyDescent="0.25">
      <c r="C247" s="350">
        <f t="shared" si="57"/>
        <v>46</v>
      </c>
      <c r="D247" s="350">
        <f t="shared" si="58"/>
        <v>0</v>
      </c>
      <c r="E247" s="350">
        <f t="shared" si="58"/>
        <v>46</v>
      </c>
      <c r="F247" s="351">
        <f t="shared" si="59"/>
        <v>0</v>
      </c>
      <c r="G247" s="351">
        <v>0</v>
      </c>
      <c r="H247" s="351">
        <v>0</v>
      </c>
      <c r="I247" s="351">
        <f t="shared" si="60"/>
        <v>46</v>
      </c>
      <c r="J247" s="351">
        <v>0</v>
      </c>
      <c r="K247" s="351">
        <v>46</v>
      </c>
      <c r="L247" s="352" t="s">
        <v>110</v>
      </c>
    </row>
    <row r="248" spans="3:12" ht="16.5" customHeight="1" thickBot="1" x14ac:dyDescent="0.25">
      <c r="C248" s="350">
        <f t="shared" si="57"/>
        <v>38</v>
      </c>
      <c r="D248" s="350">
        <f t="shared" si="58"/>
        <v>34</v>
      </c>
      <c r="E248" s="350">
        <f t="shared" si="58"/>
        <v>4</v>
      </c>
      <c r="F248" s="351">
        <f t="shared" si="59"/>
        <v>0</v>
      </c>
      <c r="G248" s="351">
        <v>0</v>
      </c>
      <c r="H248" s="351">
        <v>0</v>
      </c>
      <c r="I248" s="351">
        <f t="shared" si="60"/>
        <v>38</v>
      </c>
      <c r="J248" s="351">
        <v>34</v>
      </c>
      <c r="K248" s="351">
        <v>4</v>
      </c>
      <c r="L248" s="357" t="s">
        <v>504</v>
      </c>
    </row>
    <row r="249" spans="3:12" ht="16.5" customHeight="1" thickBot="1" x14ac:dyDescent="0.25">
      <c r="C249" s="350">
        <f t="shared" si="57"/>
        <v>50</v>
      </c>
      <c r="D249" s="350">
        <f t="shared" si="58"/>
        <v>0</v>
      </c>
      <c r="E249" s="350">
        <f t="shared" si="58"/>
        <v>50</v>
      </c>
      <c r="F249" s="351">
        <f t="shared" si="59"/>
        <v>0</v>
      </c>
      <c r="G249" s="351">
        <v>0</v>
      </c>
      <c r="H249" s="351">
        <v>0</v>
      </c>
      <c r="I249" s="351">
        <f t="shared" si="60"/>
        <v>50</v>
      </c>
      <c r="J249" s="351">
        <v>0</v>
      </c>
      <c r="K249" s="351">
        <v>50</v>
      </c>
      <c r="L249" s="357" t="s">
        <v>505</v>
      </c>
    </row>
    <row r="250" spans="3:12" ht="16.5" customHeight="1" thickBot="1" x14ac:dyDescent="0.25">
      <c r="C250" s="350">
        <f t="shared" si="57"/>
        <v>10</v>
      </c>
      <c r="D250" s="350">
        <f t="shared" si="58"/>
        <v>10</v>
      </c>
      <c r="E250" s="350">
        <f t="shared" si="58"/>
        <v>0</v>
      </c>
      <c r="F250" s="351">
        <f t="shared" si="59"/>
        <v>0</v>
      </c>
      <c r="G250" s="351">
        <v>0</v>
      </c>
      <c r="H250" s="351">
        <v>0</v>
      </c>
      <c r="I250" s="351">
        <f t="shared" si="60"/>
        <v>10</v>
      </c>
      <c r="J250" s="351">
        <v>10</v>
      </c>
      <c r="K250" s="351">
        <v>0</v>
      </c>
      <c r="L250" s="352" t="s">
        <v>506</v>
      </c>
    </row>
    <row r="251" spans="3:12" ht="16.5" customHeight="1" thickBot="1" x14ac:dyDescent="0.25">
      <c r="C251" s="350">
        <f t="shared" si="57"/>
        <v>4</v>
      </c>
      <c r="D251" s="350">
        <f t="shared" si="58"/>
        <v>4</v>
      </c>
      <c r="E251" s="350">
        <f t="shared" si="58"/>
        <v>0</v>
      </c>
      <c r="F251" s="351">
        <f t="shared" si="59"/>
        <v>0</v>
      </c>
      <c r="G251" s="351">
        <v>0</v>
      </c>
      <c r="H251" s="351">
        <v>0</v>
      </c>
      <c r="I251" s="351">
        <f t="shared" si="60"/>
        <v>4</v>
      </c>
      <c r="J251" s="351">
        <v>4</v>
      </c>
      <c r="K251" s="351">
        <v>0</v>
      </c>
      <c r="L251" s="352" t="s">
        <v>276</v>
      </c>
    </row>
    <row r="252" spans="3:12" ht="16.5" customHeight="1" thickBot="1" x14ac:dyDescent="0.25">
      <c r="C252" s="350">
        <f t="shared" si="57"/>
        <v>50</v>
      </c>
      <c r="D252" s="350">
        <f t="shared" si="58"/>
        <v>0</v>
      </c>
      <c r="E252" s="350">
        <f t="shared" si="58"/>
        <v>50</v>
      </c>
      <c r="F252" s="351">
        <f t="shared" si="59"/>
        <v>0</v>
      </c>
      <c r="G252" s="351">
        <v>0</v>
      </c>
      <c r="H252" s="351">
        <v>0</v>
      </c>
      <c r="I252" s="351">
        <f t="shared" si="60"/>
        <v>50</v>
      </c>
      <c r="J252" s="351">
        <v>0</v>
      </c>
      <c r="K252" s="351">
        <v>50</v>
      </c>
      <c r="L252" s="357" t="s">
        <v>832</v>
      </c>
    </row>
    <row r="253" spans="3:12" ht="16.5" customHeight="1" thickBot="1" x14ac:dyDescent="0.25">
      <c r="C253" s="350">
        <f t="shared" si="57"/>
        <v>33</v>
      </c>
      <c r="D253" s="350">
        <f t="shared" si="58"/>
        <v>7</v>
      </c>
      <c r="E253" s="350">
        <f t="shared" si="58"/>
        <v>26</v>
      </c>
      <c r="F253" s="351">
        <f t="shared" si="59"/>
        <v>0</v>
      </c>
      <c r="G253" s="351">
        <v>0</v>
      </c>
      <c r="H253" s="351">
        <v>0</v>
      </c>
      <c r="I253" s="351">
        <f t="shared" si="60"/>
        <v>33</v>
      </c>
      <c r="J253" s="351">
        <v>7</v>
      </c>
      <c r="K253" s="351">
        <v>26</v>
      </c>
      <c r="L253" s="352" t="s">
        <v>278</v>
      </c>
    </row>
    <row r="254" spans="3:12" ht="16.5" customHeight="1" thickBot="1" x14ac:dyDescent="0.25">
      <c r="C254" s="350">
        <f t="shared" ref="C254:J254" si="61">SUM(C244:C253)</f>
        <v>273</v>
      </c>
      <c r="D254" s="350">
        <f t="shared" si="61"/>
        <v>55</v>
      </c>
      <c r="E254" s="350">
        <f t="shared" si="61"/>
        <v>218</v>
      </c>
      <c r="F254" s="351">
        <f t="shared" si="61"/>
        <v>0</v>
      </c>
      <c r="G254" s="351">
        <f t="shared" si="61"/>
        <v>0</v>
      </c>
      <c r="H254" s="351">
        <f t="shared" si="61"/>
        <v>0</v>
      </c>
      <c r="I254" s="351">
        <f t="shared" si="61"/>
        <v>273</v>
      </c>
      <c r="J254" s="351">
        <f t="shared" si="61"/>
        <v>55</v>
      </c>
      <c r="K254" s="351">
        <f>SUM(K244:K253)</f>
        <v>218</v>
      </c>
      <c r="L254" s="353" t="s">
        <v>244</v>
      </c>
    </row>
    <row r="255" spans="3:12" ht="16.5" customHeight="1" thickBot="1" x14ac:dyDescent="0.25"/>
    <row r="256" spans="3:12" ht="16.5" customHeight="1" thickBot="1" x14ac:dyDescent="0.25">
      <c r="C256" s="597" t="s">
        <v>4</v>
      </c>
      <c r="D256" s="597"/>
      <c r="E256" s="597"/>
      <c r="F256" s="598" t="s">
        <v>145</v>
      </c>
      <c r="G256" s="598"/>
      <c r="H256" s="598"/>
      <c r="I256" s="598" t="s">
        <v>146</v>
      </c>
      <c r="J256" s="598"/>
      <c r="K256" s="598"/>
      <c r="L256" s="347" t="s">
        <v>66</v>
      </c>
    </row>
    <row r="257" spans="3:12" ht="16.5" customHeight="1" thickBot="1" x14ac:dyDescent="0.25">
      <c r="C257" s="347" t="s">
        <v>227</v>
      </c>
      <c r="D257" s="347" t="s">
        <v>10</v>
      </c>
      <c r="E257" s="347" t="s">
        <v>9</v>
      </c>
      <c r="F257" s="348" t="s">
        <v>227</v>
      </c>
      <c r="G257" s="348" t="s">
        <v>10</v>
      </c>
      <c r="H257" s="348" t="s">
        <v>9</v>
      </c>
      <c r="I257" s="348" t="s">
        <v>227</v>
      </c>
      <c r="J257" s="348" t="s">
        <v>10</v>
      </c>
      <c r="K257" s="348" t="s">
        <v>9</v>
      </c>
      <c r="L257" s="349" t="s">
        <v>115</v>
      </c>
    </row>
    <row r="258" spans="3:12" ht="16.5" customHeight="1" thickBot="1" x14ac:dyDescent="0.25">
      <c r="C258" s="350">
        <f>SUM(D258:E258)</f>
        <v>28</v>
      </c>
      <c r="D258" s="350">
        <f>J258+G258</f>
        <v>0</v>
      </c>
      <c r="E258" s="350">
        <f>K258+H258</f>
        <v>28</v>
      </c>
      <c r="F258" s="351">
        <f>SUM(G258:H258)</f>
        <v>4</v>
      </c>
      <c r="G258" s="351">
        <v>0</v>
      </c>
      <c r="H258" s="351">
        <v>4</v>
      </c>
      <c r="I258" s="351">
        <f>SUM(J258:K258)</f>
        <v>24</v>
      </c>
      <c r="J258" s="351">
        <v>0</v>
      </c>
      <c r="K258" s="351">
        <v>24</v>
      </c>
      <c r="L258" s="352" t="s">
        <v>367</v>
      </c>
    </row>
    <row r="259" spans="3:12" ht="16.5" customHeight="1" thickBot="1" x14ac:dyDescent="0.25">
      <c r="C259" s="350">
        <f t="shared" ref="C259:C265" si="62">SUM(D259:E259)</f>
        <v>14</v>
      </c>
      <c r="D259" s="350">
        <f t="shared" ref="D259:E265" si="63">J259+G259</f>
        <v>6</v>
      </c>
      <c r="E259" s="350">
        <f t="shared" si="63"/>
        <v>8</v>
      </c>
      <c r="F259" s="351">
        <f t="shared" ref="F259:F265" si="64">SUM(G259:H259)</f>
        <v>0</v>
      </c>
      <c r="G259" s="351">
        <v>0</v>
      </c>
      <c r="H259" s="351">
        <v>0</v>
      </c>
      <c r="I259" s="351">
        <f t="shared" ref="I259:I265" si="65">SUM(J259:K259)</f>
        <v>14</v>
      </c>
      <c r="J259" s="351">
        <v>6</v>
      </c>
      <c r="K259" s="351">
        <v>8</v>
      </c>
      <c r="L259" s="352" t="s">
        <v>347</v>
      </c>
    </row>
    <row r="260" spans="3:12" ht="16.5" customHeight="1" thickBot="1" x14ac:dyDescent="0.25">
      <c r="C260" s="350">
        <f t="shared" si="62"/>
        <v>29</v>
      </c>
      <c r="D260" s="350">
        <f t="shared" si="63"/>
        <v>21</v>
      </c>
      <c r="E260" s="350">
        <f t="shared" si="63"/>
        <v>8</v>
      </c>
      <c r="F260" s="351">
        <f t="shared" si="64"/>
        <v>0</v>
      </c>
      <c r="G260" s="351">
        <v>0</v>
      </c>
      <c r="H260" s="351">
        <v>0</v>
      </c>
      <c r="I260" s="351">
        <f t="shared" si="65"/>
        <v>29</v>
      </c>
      <c r="J260" s="351">
        <v>21</v>
      </c>
      <c r="K260" s="351">
        <v>8</v>
      </c>
      <c r="L260" s="352" t="s">
        <v>114</v>
      </c>
    </row>
    <row r="261" spans="3:12" ht="16.5" customHeight="1" thickBot="1" x14ac:dyDescent="0.25">
      <c r="C261" s="350">
        <f t="shared" si="62"/>
        <v>56</v>
      </c>
      <c r="D261" s="350">
        <f t="shared" si="63"/>
        <v>56</v>
      </c>
      <c r="E261" s="350">
        <f t="shared" si="63"/>
        <v>0</v>
      </c>
      <c r="F261" s="351">
        <f t="shared" si="64"/>
        <v>0</v>
      </c>
      <c r="G261" s="351">
        <v>0</v>
      </c>
      <c r="H261" s="351">
        <v>0</v>
      </c>
      <c r="I261" s="351">
        <f t="shared" si="65"/>
        <v>56</v>
      </c>
      <c r="J261" s="351">
        <v>56</v>
      </c>
      <c r="K261" s="351">
        <v>0</v>
      </c>
      <c r="L261" s="357" t="s">
        <v>518</v>
      </c>
    </row>
    <row r="262" spans="3:12" ht="16.5" customHeight="1" thickBot="1" x14ac:dyDescent="0.25">
      <c r="C262" s="350">
        <f t="shared" si="62"/>
        <v>118</v>
      </c>
      <c r="D262" s="350">
        <f t="shared" si="63"/>
        <v>0</v>
      </c>
      <c r="E262" s="350">
        <f t="shared" si="63"/>
        <v>118</v>
      </c>
      <c r="F262" s="351">
        <f t="shared" si="64"/>
        <v>0</v>
      </c>
      <c r="G262" s="351">
        <v>0</v>
      </c>
      <c r="H262" s="351">
        <v>0</v>
      </c>
      <c r="I262" s="351">
        <f t="shared" si="65"/>
        <v>118</v>
      </c>
      <c r="J262" s="351">
        <v>0</v>
      </c>
      <c r="K262" s="351">
        <v>118</v>
      </c>
      <c r="L262" s="352" t="s">
        <v>256</v>
      </c>
    </row>
    <row r="263" spans="3:12" ht="16.5" customHeight="1" thickBot="1" x14ac:dyDescent="0.25">
      <c r="C263" s="350">
        <f t="shared" si="62"/>
        <v>48</v>
      </c>
      <c r="D263" s="350">
        <f t="shared" si="63"/>
        <v>6</v>
      </c>
      <c r="E263" s="350">
        <f t="shared" si="63"/>
        <v>42</v>
      </c>
      <c r="F263" s="351">
        <f t="shared" si="64"/>
        <v>0</v>
      </c>
      <c r="G263" s="351">
        <v>0</v>
      </c>
      <c r="H263" s="351">
        <v>0</v>
      </c>
      <c r="I263" s="351">
        <f t="shared" si="65"/>
        <v>48</v>
      </c>
      <c r="J263" s="351">
        <v>6</v>
      </c>
      <c r="K263" s="351">
        <v>42</v>
      </c>
      <c r="L263" s="357" t="s">
        <v>280</v>
      </c>
    </row>
    <row r="264" spans="3:12" ht="16.5" customHeight="1" thickBot="1" x14ac:dyDescent="0.25">
      <c r="C264" s="350">
        <f t="shared" si="62"/>
        <v>3</v>
      </c>
      <c r="D264" s="350">
        <f t="shared" si="63"/>
        <v>3</v>
      </c>
      <c r="E264" s="350">
        <f t="shared" si="63"/>
        <v>0</v>
      </c>
      <c r="F264" s="351">
        <f t="shared" si="64"/>
        <v>0</v>
      </c>
      <c r="G264" s="351">
        <v>0</v>
      </c>
      <c r="H264" s="351">
        <v>0</v>
      </c>
      <c r="I264" s="351">
        <f t="shared" si="65"/>
        <v>3</v>
      </c>
      <c r="J264" s="351">
        <v>3</v>
      </c>
      <c r="K264" s="351">
        <v>0</v>
      </c>
      <c r="L264" s="352" t="s">
        <v>282</v>
      </c>
    </row>
    <row r="265" spans="3:12" ht="16.5" customHeight="1" thickBot="1" x14ac:dyDescent="0.25">
      <c r="C265" s="350">
        <f t="shared" si="62"/>
        <v>21</v>
      </c>
      <c r="D265" s="350">
        <f t="shared" si="63"/>
        <v>21</v>
      </c>
      <c r="E265" s="350">
        <f t="shared" si="63"/>
        <v>0</v>
      </c>
      <c r="F265" s="351">
        <f t="shared" si="64"/>
        <v>0</v>
      </c>
      <c r="G265" s="351">
        <v>0</v>
      </c>
      <c r="H265" s="351">
        <v>0</v>
      </c>
      <c r="I265" s="351">
        <f t="shared" si="65"/>
        <v>21</v>
      </c>
      <c r="J265" s="351">
        <v>21</v>
      </c>
      <c r="K265" s="351">
        <v>0</v>
      </c>
      <c r="L265" s="357" t="s">
        <v>517</v>
      </c>
    </row>
    <row r="266" spans="3:12" ht="16.5" customHeight="1" thickBot="1" x14ac:dyDescent="0.25">
      <c r="C266" s="350">
        <f t="shared" ref="C266:K266" si="66">SUM(C258:C265)</f>
        <v>317</v>
      </c>
      <c r="D266" s="350">
        <f t="shared" si="66"/>
        <v>113</v>
      </c>
      <c r="E266" s="350">
        <f t="shared" si="66"/>
        <v>204</v>
      </c>
      <c r="F266" s="351">
        <f t="shared" si="66"/>
        <v>4</v>
      </c>
      <c r="G266" s="351">
        <f t="shared" si="66"/>
        <v>0</v>
      </c>
      <c r="H266" s="351">
        <f t="shared" si="66"/>
        <v>4</v>
      </c>
      <c r="I266" s="351">
        <f t="shared" si="66"/>
        <v>313</v>
      </c>
      <c r="J266" s="351">
        <f t="shared" si="66"/>
        <v>113</v>
      </c>
      <c r="K266" s="351">
        <f t="shared" si="66"/>
        <v>200</v>
      </c>
      <c r="L266" s="353" t="s">
        <v>244</v>
      </c>
    </row>
    <row r="267" spans="3:12" ht="16.5" customHeight="1" thickBot="1" x14ac:dyDescent="0.25"/>
    <row r="268" spans="3:12" ht="16.5" customHeight="1" thickBot="1" x14ac:dyDescent="0.25">
      <c r="C268" s="597" t="s">
        <v>4</v>
      </c>
      <c r="D268" s="597"/>
      <c r="E268" s="597"/>
      <c r="F268" s="598" t="s">
        <v>145</v>
      </c>
      <c r="G268" s="598"/>
      <c r="H268" s="598"/>
      <c r="I268" s="598" t="s">
        <v>146</v>
      </c>
      <c r="J268" s="598"/>
      <c r="K268" s="598"/>
      <c r="L268" s="347" t="s">
        <v>66</v>
      </c>
    </row>
    <row r="269" spans="3:12" ht="16.5" customHeight="1" thickBot="1" x14ac:dyDescent="0.25">
      <c r="C269" s="347" t="s">
        <v>227</v>
      </c>
      <c r="D269" s="347" t="s">
        <v>10</v>
      </c>
      <c r="E269" s="347" t="s">
        <v>9</v>
      </c>
      <c r="F269" s="348" t="s">
        <v>227</v>
      </c>
      <c r="G269" s="348" t="s">
        <v>10</v>
      </c>
      <c r="H269" s="348" t="s">
        <v>9</v>
      </c>
      <c r="I269" s="348" t="s">
        <v>227</v>
      </c>
      <c r="J269" s="348" t="s">
        <v>10</v>
      </c>
      <c r="K269" s="348" t="s">
        <v>9</v>
      </c>
      <c r="L269" s="349" t="s">
        <v>117</v>
      </c>
    </row>
    <row r="270" spans="3:12" ht="16.5" customHeight="1" thickBot="1" x14ac:dyDescent="0.25">
      <c r="C270" s="350">
        <f>SUM(D270:E270)</f>
        <v>54</v>
      </c>
      <c r="D270" s="350">
        <f>J270+G270</f>
        <v>4</v>
      </c>
      <c r="E270" s="350">
        <f>K270+H270</f>
        <v>50</v>
      </c>
      <c r="F270" s="351">
        <f>SUM(G270:H270)</f>
        <v>0</v>
      </c>
      <c r="G270" s="351">
        <v>0</v>
      </c>
      <c r="H270" s="351">
        <v>0</v>
      </c>
      <c r="I270" s="351">
        <f>SUM(J270:K270)</f>
        <v>54</v>
      </c>
      <c r="J270" s="351">
        <v>4</v>
      </c>
      <c r="K270" s="351">
        <v>50</v>
      </c>
      <c r="L270" s="352" t="s">
        <v>367</v>
      </c>
    </row>
    <row r="271" spans="3:12" ht="16.5" customHeight="1" thickBot="1" x14ac:dyDescent="0.25">
      <c r="C271" s="350">
        <f t="shared" ref="C271:C276" si="67">SUM(D271:E271)</f>
        <v>76</v>
      </c>
      <c r="D271" s="350">
        <f t="shared" ref="D271:E276" si="68">J271+G271</f>
        <v>0</v>
      </c>
      <c r="E271" s="350">
        <f t="shared" si="68"/>
        <v>76</v>
      </c>
      <c r="F271" s="351">
        <f t="shared" ref="F271:F276" si="69">SUM(G271:H271)</f>
        <v>0</v>
      </c>
      <c r="G271" s="351">
        <v>0</v>
      </c>
      <c r="H271" s="351">
        <v>0</v>
      </c>
      <c r="I271" s="351">
        <f t="shared" ref="I271:I276" si="70">SUM(J271:K271)</f>
        <v>76</v>
      </c>
      <c r="J271" s="351">
        <v>0</v>
      </c>
      <c r="K271" s="351">
        <v>76</v>
      </c>
      <c r="L271" s="352" t="s">
        <v>454</v>
      </c>
    </row>
    <row r="272" spans="3:12" ht="16.5" customHeight="1" thickBot="1" x14ac:dyDescent="0.25">
      <c r="C272" s="350">
        <f t="shared" si="67"/>
        <v>64</v>
      </c>
      <c r="D272" s="350">
        <f t="shared" si="68"/>
        <v>14</v>
      </c>
      <c r="E272" s="350">
        <f t="shared" si="68"/>
        <v>50</v>
      </c>
      <c r="F272" s="351">
        <f t="shared" si="69"/>
        <v>0</v>
      </c>
      <c r="G272" s="351">
        <v>0</v>
      </c>
      <c r="H272" s="351">
        <v>0</v>
      </c>
      <c r="I272" s="351">
        <f t="shared" si="70"/>
        <v>64</v>
      </c>
      <c r="J272" s="351">
        <v>14</v>
      </c>
      <c r="K272" s="351">
        <v>50</v>
      </c>
      <c r="L272" s="352" t="s">
        <v>347</v>
      </c>
    </row>
    <row r="273" spans="3:12" ht="16.5" customHeight="1" thickBot="1" x14ac:dyDescent="0.25">
      <c r="C273" s="350">
        <f t="shared" si="67"/>
        <v>44</v>
      </c>
      <c r="D273" s="350">
        <f t="shared" si="68"/>
        <v>0</v>
      </c>
      <c r="E273" s="350">
        <f t="shared" si="68"/>
        <v>44</v>
      </c>
      <c r="F273" s="351">
        <f t="shared" si="69"/>
        <v>0</v>
      </c>
      <c r="G273" s="351">
        <v>0</v>
      </c>
      <c r="H273" s="351">
        <v>0</v>
      </c>
      <c r="I273" s="351">
        <f t="shared" si="70"/>
        <v>44</v>
      </c>
      <c r="J273" s="351">
        <v>0</v>
      </c>
      <c r="K273" s="351">
        <v>44</v>
      </c>
      <c r="L273" s="352" t="s">
        <v>116</v>
      </c>
    </row>
    <row r="274" spans="3:12" ht="16.5" customHeight="1" thickBot="1" x14ac:dyDescent="0.25">
      <c r="C274" s="350">
        <f t="shared" si="67"/>
        <v>4</v>
      </c>
      <c r="D274" s="350">
        <f t="shared" si="68"/>
        <v>4</v>
      </c>
      <c r="E274" s="350">
        <f t="shared" si="68"/>
        <v>0</v>
      </c>
      <c r="F274" s="351">
        <f t="shared" si="69"/>
        <v>0</v>
      </c>
      <c r="G274" s="351">
        <v>0</v>
      </c>
      <c r="H274" s="351">
        <v>0</v>
      </c>
      <c r="I274" s="351">
        <f t="shared" si="70"/>
        <v>4</v>
      </c>
      <c r="J274" s="351">
        <v>4</v>
      </c>
      <c r="K274" s="351">
        <v>0</v>
      </c>
      <c r="L274" s="352" t="s">
        <v>521</v>
      </c>
    </row>
    <row r="275" spans="3:12" ht="16.5" customHeight="1" thickBot="1" x14ac:dyDescent="0.25">
      <c r="C275" s="350">
        <f t="shared" si="67"/>
        <v>30</v>
      </c>
      <c r="D275" s="350">
        <f t="shared" si="68"/>
        <v>30</v>
      </c>
      <c r="E275" s="350">
        <f t="shared" si="68"/>
        <v>0</v>
      </c>
      <c r="F275" s="351">
        <f t="shared" si="69"/>
        <v>0</v>
      </c>
      <c r="G275" s="351">
        <v>0</v>
      </c>
      <c r="H275" s="351">
        <v>0</v>
      </c>
      <c r="I275" s="351">
        <f t="shared" si="70"/>
        <v>30</v>
      </c>
      <c r="J275" s="351">
        <v>30</v>
      </c>
      <c r="K275" s="351">
        <v>0</v>
      </c>
      <c r="L275" s="352" t="s">
        <v>523</v>
      </c>
    </row>
    <row r="276" spans="3:12" ht="16.5" customHeight="1" thickBot="1" x14ac:dyDescent="0.25">
      <c r="C276" s="350">
        <f t="shared" si="67"/>
        <v>23</v>
      </c>
      <c r="D276" s="350">
        <f t="shared" si="68"/>
        <v>17</v>
      </c>
      <c r="E276" s="350">
        <f t="shared" si="68"/>
        <v>6</v>
      </c>
      <c r="F276" s="351">
        <f t="shared" si="69"/>
        <v>0</v>
      </c>
      <c r="G276" s="351">
        <v>0</v>
      </c>
      <c r="H276" s="351">
        <v>0</v>
      </c>
      <c r="I276" s="351">
        <f t="shared" si="70"/>
        <v>23</v>
      </c>
      <c r="J276" s="351">
        <v>17</v>
      </c>
      <c r="K276" s="351">
        <v>6</v>
      </c>
      <c r="L276" s="357" t="s">
        <v>668</v>
      </c>
    </row>
    <row r="277" spans="3:12" ht="16.5" customHeight="1" thickBot="1" x14ac:dyDescent="0.25">
      <c r="C277" s="350">
        <f t="shared" ref="C277:J277" si="71">SUM(C270:C276)</f>
        <v>295</v>
      </c>
      <c r="D277" s="350">
        <f t="shared" si="71"/>
        <v>69</v>
      </c>
      <c r="E277" s="350">
        <f t="shared" si="71"/>
        <v>226</v>
      </c>
      <c r="F277" s="351">
        <f t="shared" si="71"/>
        <v>0</v>
      </c>
      <c r="G277" s="351">
        <f t="shared" si="71"/>
        <v>0</v>
      </c>
      <c r="H277" s="351">
        <f t="shared" si="71"/>
        <v>0</v>
      </c>
      <c r="I277" s="351">
        <f t="shared" si="71"/>
        <v>295</v>
      </c>
      <c r="J277" s="351">
        <f t="shared" si="71"/>
        <v>69</v>
      </c>
      <c r="K277" s="351">
        <f>SUM(K270:K276)</f>
        <v>226</v>
      </c>
      <c r="L277" s="353" t="s">
        <v>244</v>
      </c>
    </row>
    <row r="278" spans="3:12" ht="16.5" customHeight="1" thickBot="1" x14ac:dyDescent="0.25"/>
    <row r="279" spans="3:12" ht="16.5" customHeight="1" thickBot="1" x14ac:dyDescent="0.25">
      <c r="C279" s="597" t="s">
        <v>4</v>
      </c>
      <c r="D279" s="597"/>
      <c r="E279" s="597"/>
      <c r="F279" s="598" t="s">
        <v>145</v>
      </c>
      <c r="G279" s="598"/>
      <c r="H279" s="598"/>
      <c r="I279" s="598" t="s">
        <v>146</v>
      </c>
      <c r="J279" s="598"/>
      <c r="K279" s="598"/>
      <c r="L279" s="347" t="s">
        <v>66</v>
      </c>
    </row>
    <row r="280" spans="3:12" ht="16.5" customHeight="1" thickBot="1" x14ac:dyDescent="0.25">
      <c r="C280" s="347" t="s">
        <v>227</v>
      </c>
      <c r="D280" s="347" t="s">
        <v>10</v>
      </c>
      <c r="E280" s="347" t="s">
        <v>9</v>
      </c>
      <c r="F280" s="348" t="s">
        <v>227</v>
      </c>
      <c r="G280" s="348" t="s">
        <v>10</v>
      </c>
      <c r="H280" s="348" t="s">
        <v>9</v>
      </c>
      <c r="I280" s="348" t="s">
        <v>227</v>
      </c>
      <c r="J280" s="348" t="s">
        <v>10</v>
      </c>
      <c r="K280" s="348" t="s">
        <v>9</v>
      </c>
      <c r="L280" s="349" t="s">
        <v>119</v>
      </c>
    </row>
    <row r="281" spans="3:12" ht="16.5" customHeight="1" thickBot="1" x14ac:dyDescent="0.25">
      <c r="C281" s="350">
        <f>SUM(D281:E281)</f>
        <v>11</v>
      </c>
      <c r="D281" s="350">
        <f>J281+G281</f>
        <v>11</v>
      </c>
      <c r="E281" s="350">
        <f>K281+H281</f>
        <v>0</v>
      </c>
      <c r="F281" s="351">
        <f>SUM(G281:H281)</f>
        <v>0</v>
      </c>
      <c r="G281" s="351">
        <v>0</v>
      </c>
      <c r="H281" s="351">
        <v>0</v>
      </c>
      <c r="I281" s="351">
        <f>SUM(J281:K281)</f>
        <v>11</v>
      </c>
      <c r="J281" s="351">
        <v>11</v>
      </c>
      <c r="K281" s="351">
        <v>0</v>
      </c>
      <c r="L281" s="357" t="s">
        <v>525</v>
      </c>
    </row>
    <row r="282" spans="3:12" ht="16.5" customHeight="1" thickBot="1" x14ac:dyDescent="0.25">
      <c r="C282" s="350">
        <f t="shared" ref="C282:C288" si="72">SUM(D282:E282)</f>
        <v>3</v>
      </c>
      <c r="D282" s="350">
        <f t="shared" ref="D282:E288" si="73">J282+G282</f>
        <v>3</v>
      </c>
      <c r="E282" s="350">
        <f t="shared" si="73"/>
        <v>0</v>
      </c>
      <c r="F282" s="351">
        <f t="shared" ref="F282:F288" si="74">SUM(G282:H282)</f>
        <v>0</v>
      </c>
      <c r="G282" s="351">
        <v>0</v>
      </c>
      <c r="H282" s="351">
        <v>0</v>
      </c>
      <c r="I282" s="351">
        <f t="shared" ref="I282:I288" si="75">SUM(J282:K282)</f>
        <v>3</v>
      </c>
      <c r="J282" s="351">
        <v>3</v>
      </c>
      <c r="K282" s="351">
        <v>0</v>
      </c>
      <c r="L282" s="352" t="s">
        <v>526</v>
      </c>
    </row>
    <row r="283" spans="3:12" ht="16.5" customHeight="1" thickBot="1" x14ac:dyDescent="0.25">
      <c r="C283" s="350">
        <f t="shared" si="72"/>
        <v>12</v>
      </c>
      <c r="D283" s="350">
        <f t="shared" si="73"/>
        <v>12</v>
      </c>
      <c r="E283" s="350">
        <f t="shared" si="73"/>
        <v>0</v>
      </c>
      <c r="F283" s="351">
        <f t="shared" si="74"/>
        <v>0</v>
      </c>
      <c r="G283" s="351">
        <v>0</v>
      </c>
      <c r="H283" s="351">
        <v>0</v>
      </c>
      <c r="I283" s="351">
        <f t="shared" si="75"/>
        <v>12</v>
      </c>
      <c r="J283" s="351">
        <v>12</v>
      </c>
      <c r="K283" s="351">
        <v>0</v>
      </c>
      <c r="L283" s="357" t="s">
        <v>776</v>
      </c>
    </row>
    <row r="284" spans="3:12" ht="16.5" customHeight="1" thickBot="1" x14ac:dyDescent="0.25">
      <c r="C284" s="350">
        <f t="shared" si="72"/>
        <v>41</v>
      </c>
      <c r="D284" s="350">
        <f t="shared" si="73"/>
        <v>0</v>
      </c>
      <c r="E284" s="350">
        <f t="shared" si="73"/>
        <v>41</v>
      </c>
      <c r="F284" s="351">
        <f t="shared" si="74"/>
        <v>0</v>
      </c>
      <c r="G284" s="351">
        <v>0</v>
      </c>
      <c r="H284" s="351">
        <v>0</v>
      </c>
      <c r="I284" s="351">
        <f t="shared" si="75"/>
        <v>41</v>
      </c>
      <c r="J284" s="351">
        <v>0</v>
      </c>
      <c r="K284" s="351">
        <v>41</v>
      </c>
      <c r="L284" s="352" t="s">
        <v>367</v>
      </c>
    </row>
    <row r="285" spans="3:12" ht="16.5" customHeight="1" thickBot="1" x14ac:dyDescent="0.25">
      <c r="C285" s="350">
        <f t="shared" si="72"/>
        <v>20</v>
      </c>
      <c r="D285" s="350">
        <f t="shared" si="73"/>
        <v>0</v>
      </c>
      <c r="E285" s="350">
        <f t="shared" si="73"/>
        <v>20</v>
      </c>
      <c r="F285" s="351">
        <f t="shared" si="74"/>
        <v>0</v>
      </c>
      <c r="G285" s="351">
        <v>0</v>
      </c>
      <c r="H285" s="351">
        <v>0</v>
      </c>
      <c r="I285" s="351">
        <f t="shared" si="75"/>
        <v>20</v>
      </c>
      <c r="J285" s="351">
        <v>0</v>
      </c>
      <c r="K285" s="351">
        <v>20</v>
      </c>
      <c r="L285" s="352" t="s">
        <v>347</v>
      </c>
    </row>
    <row r="286" spans="3:12" ht="16.5" customHeight="1" thickBot="1" x14ac:dyDescent="0.25">
      <c r="C286" s="350">
        <f t="shared" si="72"/>
        <v>77</v>
      </c>
      <c r="D286" s="350">
        <f t="shared" si="73"/>
        <v>0</v>
      </c>
      <c r="E286" s="350">
        <f t="shared" si="73"/>
        <v>77</v>
      </c>
      <c r="F286" s="351">
        <f t="shared" si="74"/>
        <v>0</v>
      </c>
      <c r="G286" s="351">
        <v>0</v>
      </c>
      <c r="H286" s="351">
        <v>0</v>
      </c>
      <c r="I286" s="351">
        <f t="shared" si="75"/>
        <v>77</v>
      </c>
      <c r="J286" s="351">
        <v>0</v>
      </c>
      <c r="K286" s="351">
        <v>77</v>
      </c>
      <c r="L286" s="352" t="s">
        <v>833</v>
      </c>
    </row>
    <row r="287" spans="3:12" ht="16.5" customHeight="1" thickBot="1" x14ac:dyDescent="0.25">
      <c r="C287" s="350">
        <f t="shared" si="72"/>
        <v>23</v>
      </c>
      <c r="D287" s="350">
        <f t="shared" si="73"/>
        <v>0</v>
      </c>
      <c r="E287" s="350">
        <f t="shared" si="73"/>
        <v>23</v>
      </c>
      <c r="F287" s="351">
        <f t="shared" si="74"/>
        <v>0</v>
      </c>
      <c r="G287" s="351">
        <v>0</v>
      </c>
      <c r="H287" s="351">
        <v>0</v>
      </c>
      <c r="I287" s="351">
        <f t="shared" si="75"/>
        <v>23</v>
      </c>
      <c r="J287" s="351">
        <v>0</v>
      </c>
      <c r="K287" s="351">
        <v>23</v>
      </c>
      <c r="L287" s="357" t="s">
        <v>451</v>
      </c>
    </row>
    <row r="288" spans="3:12" ht="16.5" customHeight="1" thickBot="1" x14ac:dyDescent="0.25">
      <c r="C288" s="350">
        <f t="shared" si="72"/>
        <v>30</v>
      </c>
      <c r="D288" s="350">
        <f t="shared" si="73"/>
        <v>0</v>
      </c>
      <c r="E288" s="350">
        <f t="shared" si="73"/>
        <v>30</v>
      </c>
      <c r="F288" s="351">
        <f t="shared" si="74"/>
        <v>0</v>
      </c>
      <c r="G288" s="351">
        <v>0</v>
      </c>
      <c r="H288" s="351">
        <v>0</v>
      </c>
      <c r="I288" s="351">
        <f t="shared" si="75"/>
        <v>30</v>
      </c>
      <c r="J288" s="351">
        <v>0</v>
      </c>
      <c r="K288" s="351">
        <v>30</v>
      </c>
      <c r="L288" s="357" t="s">
        <v>834</v>
      </c>
    </row>
    <row r="289" spans="3:12" ht="16.5" customHeight="1" thickBot="1" x14ac:dyDescent="0.25">
      <c r="C289" s="351">
        <f t="shared" ref="C289:J289" si="76">SUM(C281:C288)</f>
        <v>217</v>
      </c>
      <c r="D289" s="351">
        <f t="shared" si="76"/>
        <v>26</v>
      </c>
      <c r="E289" s="351">
        <f t="shared" si="76"/>
        <v>191</v>
      </c>
      <c r="F289" s="351">
        <f t="shared" si="76"/>
        <v>0</v>
      </c>
      <c r="G289" s="351">
        <f t="shared" si="76"/>
        <v>0</v>
      </c>
      <c r="H289" s="351">
        <f t="shared" si="76"/>
        <v>0</v>
      </c>
      <c r="I289" s="351">
        <f t="shared" si="76"/>
        <v>217</v>
      </c>
      <c r="J289" s="351">
        <f t="shared" si="76"/>
        <v>26</v>
      </c>
      <c r="K289" s="351">
        <f>SUM(K281:K288)</f>
        <v>191</v>
      </c>
      <c r="L289" s="353" t="s">
        <v>244</v>
      </c>
    </row>
    <row r="290" spans="3:12" ht="16.5" customHeight="1" thickBot="1" x14ac:dyDescent="0.25"/>
    <row r="291" spans="3:12" ht="16.5" customHeight="1" thickBot="1" x14ac:dyDescent="0.25">
      <c r="C291" s="597" t="s">
        <v>4</v>
      </c>
      <c r="D291" s="597"/>
      <c r="E291" s="597"/>
      <c r="F291" s="598" t="s">
        <v>145</v>
      </c>
      <c r="G291" s="598"/>
      <c r="H291" s="598"/>
      <c r="I291" s="598" t="s">
        <v>146</v>
      </c>
      <c r="J291" s="598"/>
      <c r="K291" s="598"/>
      <c r="L291" s="347" t="s">
        <v>66</v>
      </c>
    </row>
    <row r="292" spans="3:12" ht="16.5" customHeight="1" thickBot="1" x14ac:dyDescent="0.25">
      <c r="C292" s="347" t="s">
        <v>227</v>
      </c>
      <c r="D292" s="347" t="s">
        <v>10</v>
      </c>
      <c r="E292" s="347" t="s">
        <v>9</v>
      </c>
      <c r="F292" s="348" t="s">
        <v>227</v>
      </c>
      <c r="G292" s="348" t="s">
        <v>10</v>
      </c>
      <c r="H292" s="348" t="s">
        <v>9</v>
      </c>
      <c r="I292" s="348" t="s">
        <v>227</v>
      </c>
      <c r="J292" s="348" t="s">
        <v>10</v>
      </c>
      <c r="K292" s="348" t="s">
        <v>9</v>
      </c>
      <c r="L292" s="349" t="s">
        <v>121</v>
      </c>
    </row>
    <row r="293" spans="3:12" ht="16.5" customHeight="1" thickBot="1" x14ac:dyDescent="0.25">
      <c r="C293" s="350">
        <f>SUM(D293:E293)</f>
        <v>311</v>
      </c>
      <c r="D293" s="350">
        <f>J293+G293</f>
        <v>158</v>
      </c>
      <c r="E293" s="350">
        <f>K293+H293</f>
        <v>153</v>
      </c>
      <c r="F293" s="351">
        <f>SUM(G293:H293)</f>
        <v>0</v>
      </c>
      <c r="G293" s="351">
        <v>0</v>
      </c>
      <c r="H293" s="351">
        <v>0</v>
      </c>
      <c r="I293" s="351">
        <f>SUM(J293:K293)</f>
        <v>311</v>
      </c>
      <c r="J293" s="351">
        <v>158</v>
      </c>
      <c r="K293" s="351">
        <v>153</v>
      </c>
      <c r="L293" s="352" t="s">
        <v>529</v>
      </c>
    </row>
    <row r="294" spans="3:12" ht="16.5" customHeight="1" thickBot="1" x14ac:dyDescent="0.25">
      <c r="C294" s="350">
        <f t="shared" ref="C294:C299" si="77">SUM(D294:E294)</f>
        <v>92</v>
      </c>
      <c r="D294" s="350">
        <f t="shared" ref="D294:E299" si="78">J294+G294</f>
        <v>90</v>
      </c>
      <c r="E294" s="350">
        <f t="shared" si="78"/>
        <v>2</v>
      </c>
      <c r="F294" s="351">
        <f t="shared" ref="F294:F299" si="79">SUM(G294:H294)</f>
        <v>2</v>
      </c>
      <c r="G294" s="351">
        <v>0</v>
      </c>
      <c r="H294" s="351">
        <v>2</v>
      </c>
      <c r="I294" s="351">
        <f t="shared" ref="I294:I299" si="80">SUM(J294:K294)</f>
        <v>90</v>
      </c>
      <c r="J294" s="351">
        <v>90</v>
      </c>
      <c r="K294" s="351">
        <v>0</v>
      </c>
      <c r="L294" s="352" t="s">
        <v>530</v>
      </c>
    </row>
    <row r="295" spans="3:12" ht="16.5" customHeight="1" thickBot="1" x14ac:dyDescent="0.25">
      <c r="C295" s="350">
        <f t="shared" si="77"/>
        <v>96</v>
      </c>
      <c r="D295" s="350">
        <f t="shared" si="78"/>
        <v>96</v>
      </c>
      <c r="E295" s="350">
        <f t="shared" si="78"/>
        <v>0</v>
      </c>
      <c r="F295" s="351">
        <f t="shared" si="79"/>
        <v>0</v>
      </c>
      <c r="G295" s="351">
        <v>0</v>
      </c>
      <c r="H295" s="351">
        <v>0</v>
      </c>
      <c r="I295" s="351">
        <f t="shared" si="80"/>
        <v>96</v>
      </c>
      <c r="J295" s="351">
        <v>96</v>
      </c>
      <c r="K295" s="351">
        <v>0</v>
      </c>
      <c r="L295" s="352" t="s">
        <v>531</v>
      </c>
    </row>
    <row r="296" spans="3:12" ht="16.5" customHeight="1" thickBot="1" x14ac:dyDescent="0.25">
      <c r="C296" s="350">
        <f t="shared" si="77"/>
        <v>515</v>
      </c>
      <c r="D296" s="350">
        <f t="shared" si="78"/>
        <v>515</v>
      </c>
      <c r="E296" s="350">
        <f t="shared" si="78"/>
        <v>0</v>
      </c>
      <c r="F296" s="351">
        <f t="shared" si="79"/>
        <v>0</v>
      </c>
      <c r="G296" s="351">
        <v>0</v>
      </c>
      <c r="H296" s="351">
        <v>0</v>
      </c>
      <c r="I296" s="351">
        <f t="shared" si="80"/>
        <v>515</v>
      </c>
      <c r="J296" s="351">
        <v>515</v>
      </c>
      <c r="K296" s="351">
        <v>0</v>
      </c>
      <c r="L296" s="352" t="s">
        <v>533</v>
      </c>
    </row>
    <row r="297" spans="3:12" ht="16.5" customHeight="1" thickBot="1" x14ac:dyDescent="0.25">
      <c r="C297" s="350">
        <f t="shared" si="77"/>
        <v>2</v>
      </c>
      <c r="D297" s="350">
        <f t="shared" si="78"/>
        <v>2</v>
      </c>
      <c r="E297" s="350">
        <f t="shared" si="78"/>
        <v>0</v>
      </c>
      <c r="F297" s="351">
        <f t="shared" si="79"/>
        <v>0</v>
      </c>
      <c r="G297" s="351">
        <v>0</v>
      </c>
      <c r="H297" s="351">
        <v>0</v>
      </c>
      <c r="I297" s="351">
        <f t="shared" si="80"/>
        <v>2</v>
      </c>
      <c r="J297" s="351">
        <v>2</v>
      </c>
      <c r="K297" s="351">
        <v>0</v>
      </c>
      <c r="L297" s="352" t="s">
        <v>835</v>
      </c>
    </row>
    <row r="298" spans="3:12" ht="16.5" customHeight="1" thickBot="1" x14ac:dyDescent="0.25">
      <c r="C298" s="350">
        <f t="shared" si="77"/>
        <v>173</v>
      </c>
      <c r="D298" s="350">
        <f t="shared" si="78"/>
        <v>173</v>
      </c>
      <c r="E298" s="350">
        <f t="shared" si="78"/>
        <v>0</v>
      </c>
      <c r="F298" s="351">
        <f t="shared" si="79"/>
        <v>0</v>
      </c>
      <c r="G298" s="351">
        <v>0</v>
      </c>
      <c r="H298" s="351">
        <v>0</v>
      </c>
      <c r="I298" s="351">
        <f t="shared" si="80"/>
        <v>173</v>
      </c>
      <c r="J298" s="351">
        <v>173</v>
      </c>
      <c r="K298" s="351">
        <v>0</v>
      </c>
      <c r="L298" s="352" t="s">
        <v>549</v>
      </c>
    </row>
    <row r="299" spans="3:12" ht="16.5" customHeight="1" thickBot="1" x14ac:dyDescent="0.25">
      <c r="C299" s="350">
        <f t="shared" si="77"/>
        <v>14</v>
      </c>
      <c r="D299" s="350">
        <f t="shared" si="78"/>
        <v>14</v>
      </c>
      <c r="E299" s="350">
        <f t="shared" si="78"/>
        <v>0</v>
      </c>
      <c r="F299" s="351">
        <f t="shared" si="79"/>
        <v>0</v>
      </c>
      <c r="G299" s="351">
        <v>0</v>
      </c>
      <c r="H299" s="351">
        <v>0</v>
      </c>
      <c r="I299" s="351">
        <f t="shared" si="80"/>
        <v>14</v>
      </c>
      <c r="J299" s="351">
        <v>14</v>
      </c>
      <c r="K299" s="351">
        <v>0</v>
      </c>
      <c r="L299" s="352" t="s">
        <v>550</v>
      </c>
    </row>
    <row r="300" spans="3:12" ht="16.5" customHeight="1" thickBot="1" x14ac:dyDescent="0.25">
      <c r="C300" s="350">
        <f t="shared" ref="C300:J300" si="81">SUM(C293:C299)</f>
        <v>1203</v>
      </c>
      <c r="D300" s="350">
        <f t="shared" si="81"/>
        <v>1048</v>
      </c>
      <c r="E300" s="350">
        <f t="shared" si="81"/>
        <v>155</v>
      </c>
      <c r="F300" s="351">
        <f t="shared" si="81"/>
        <v>2</v>
      </c>
      <c r="G300" s="351">
        <f t="shared" si="81"/>
        <v>0</v>
      </c>
      <c r="H300" s="351">
        <f t="shared" si="81"/>
        <v>2</v>
      </c>
      <c r="I300" s="351">
        <f t="shared" si="81"/>
        <v>1201</v>
      </c>
      <c r="J300" s="351">
        <f t="shared" si="81"/>
        <v>1048</v>
      </c>
      <c r="K300" s="351">
        <f>SUM(K293:K299)</f>
        <v>153</v>
      </c>
      <c r="L300" s="353" t="s">
        <v>244</v>
      </c>
    </row>
    <row r="301" spans="3:12" ht="16.5" customHeight="1" thickBot="1" x14ac:dyDescent="0.25"/>
    <row r="302" spans="3:12" ht="16.5" customHeight="1" thickBot="1" x14ac:dyDescent="0.25">
      <c r="C302" s="597" t="s">
        <v>4</v>
      </c>
      <c r="D302" s="597"/>
      <c r="E302" s="597"/>
      <c r="F302" s="598" t="s">
        <v>145</v>
      </c>
      <c r="G302" s="598"/>
      <c r="H302" s="598"/>
      <c r="I302" s="598" t="s">
        <v>146</v>
      </c>
      <c r="J302" s="598"/>
      <c r="K302" s="598"/>
      <c r="L302" s="347" t="s">
        <v>66</v>
      </c>
    </row>
    <row r="303" spans="3:12" ht="16.5" customHeight="1" thickBot="1" x14ac:dyDescent="0.25">
      <c r="C303" s="347" t="s">
        <v>227</v>
      </c>
      <c r="D303" s="347" t="s">
        <v>10</v>
      </c>
      <c r="E303" s="347" t="s">
        <v>9</v>
      </c>
      <c r="F303" s="348" t="s">
        <v>227</v>
      </c>
      <c r="G303" s="348" t="s">
        <v>10</v>
      </c>
      <c r="H303" s="348" t="s">
        <v>9</v>
      </c>
      <c r="I303" s="348" t="s">
        <v>227</v>
      </c>
      <c r="J303" s="348" t="s">
        <v>10</v>
      </c>
      <c r="K303" s="348" t="s">
        <v>9</v>
      </c>
      <c r="L303" s="349" t="s">
        <v>123</v>
      </c>
    </row>
    <row r="304" spans="3:12" ht="16.5" customHeight="1" thickBot="1" x14ac:dyDescent="0.25">
      <c r="C304" s="350">
        <f>SUM(D304:E304)</f>
        <v>40</v>
      </c>
      <c r="D304" s="350">
        <f>J304+G304</f>
        <v>1</v>
      </c>
      <c r="E304" s="350">
        <f>K304+H304</f>
        <v>39</v>
      </c>
      <c r="F304" s="351">
        <f>SUM(G304:H304)</f>
        <v>2</v>
      </c>
      <c r="G304" s="351">
        <v>1</v>
      </c>
      <c r="H304" s="351">
        <v>1</v>
      </c>
      <c r="I304" s="351">
        <f>SUM(J304:K304)</f>
        <v>38</v>
      </c>
      <c r="J304" s="351">
        <v>0</v>
      </c>
      <c r="K304" s="351">
        <v>38</v>
      </c>
      <c r="L304" s="352" t="s">
        <v>558</v>
      </c>
    </row>
    <row r="305" spans="3:12" ht="16.5" customHeight="1" thickBot="1" x14ac:dyDescent="0.25">
      <c r="C305" s="350">
        <f t="shared" ref="C305:C308" si="82">SUM(D305:E305)</f>
        <v>9</v>
      </c>
      <c r="D305" s="350">
        <f t="shared" ref="D305:E308" si="83">J305+G305</f>
        <v>9</v>
      </c>
      <c r="E305" s="350">
        <f t="shared" si="83"/>
        <v>0</v>
      </c>
      <c r="F305" s="351">
        <f t="shared" ref="F305:F308" si="84">SUM(G305:H305)</f>
        <v>0</v>
      </c>
      <c r="G305" s="351">
        <v>0</v>
      </c>
      <c r="H305" s="351">
        <v>0</v>
      </c>
      <c r="I305" s="351">
        <f t="shared" ref="I305:I308" si="85">SUM(J305:K305)</f>
        <v>9</v>
      </c>
      <c r="J305" s="351">
        <v>9</v>
      </c>
      <c r="K305" s="351">
        <v>0</v>
      </c>
      <c r="L305" s="352" t="s">
        <v>122</v>
      </c>
    </row>
    <row r="306" spans="3:12" ht="16.5" customHeight="1" thickBot="1" x14ac:dyDescent="0.25">
      <c r="C306" s="350">
        <f t="shared" si="82"/>
        <v>44</v>
      </c>
      <c r="D306" s="350">
        <f t="shared" si="83"/>
        <v>0</v>
      </c>
      <c r="E306" s="350">
        <f t="shared" si="83"/>
        <v>44</v>
      </c>
      <c r="F306" s="351">
        <f t="shared" si="84"/>
        <v>0</v>
      </c>
      <c r="G306" s="351">
        <v>0</v>
      </c>
      <c r="H306" s="351">
        <v>0</v>
      </c>
      <c r="I306" s="351">
        <f t="shared" si="85"/>
        <v>44</v>
      </c>
      <c r="J306" s="351">
        <v>0</v>
      </c>
      <c r="K306" s="351">
        <v>44</v>
      </c>
      <c r="L306" s="357" t="s">
        <v>286</v>
      </c>
    </row>
    <row r="307" spans="3:12" ht="16.5" customHeight="1" thickBot="1" x14ac:dyDescent="0.25">
      <c r="C307" s="350">
        <f t="shared" si="82"/>
        <v>13</v>
      </c>
      <c r="D307" s="350">
        <f t="shared" si="83"/>
        <v>13</v>
      </c>
      <c r="E307" s="350">
        <f t="shared" si="83"/>
        <v>0</v>
      </c>
      <c r="F307" s="351">
        <f t="shared" si="84"/>
        <v>0</v>
      </c>
      <c r="G307" s="351">
        <v>0</v>
      </c>
      <c r="H307" s="351">
        <v>0</v>
      </c>
      <c r="I307" s="351">
        <f t="shared" si="85"/>
        <v>13</v>
      </c>
      <c r="J307" s="351">
        <v>13</v>
      </c>
      <c r="K307" s="351">
        <v>0</v>
      </c>
      <c r="L307" s="352" t="s">
        <v>559</v>
      </c>
    </row>
    <row r="308" spans="3:12" ht="16.5" customHeight="1" thickBot="1" x14ac:dyDescent="0.25">
      <c r="C308" s="350">
        <f t="shared" si="82"/>
        <v>49</v>
      </c>
      <c r="D308" s="350">
        <f t="shared" si="83"/>
        <v>0</v>
      </c>
      <c r="E308" s="350">
        <f t="shared" si="83"/>
        <v>49</v>
      </c>
      <c r="F308" s="351">
        <f t="shared" si="84"/>
        <v>0</v>
      </c>
      <c r="G308" s="351">
        <v>0</v>
      </c>
      <c r="H308" s="351">
        <v>0</v>
      </c>
      <c r="I308" s="351">
        <f t="shared" si="85"/>
        <v>49</v>
      </c>
      <c r="J308" s="351">
        <v>0</v>
      </c>
      <c r="K308" s="351">
        <v>49</v>
      </c>
      <c r="L308" s="352" t="s">
        <v>124</v>
      </c>
    </row>
    <row r="309" spans="3:12" ht="16.5" customHeight="1" thickBot="1" x14ac:dyDescent="0.25">
      <c r="C309" s="350">
        <f t="shared" ref="C309:J309" si="86">SUM(C304:C308)</f>
        <v>155</v>
      </c>
      <c r="D309" s="350">
        <f t="shared" si="86"/>
        <v>23</v>
      </c>
      <c r="E309" s="350">
        <f t="shared" si="86"/>
        <v>132</v>
      </c>
      <c r="F309" s="351">
        <f t="shared" si="86"/>
        <v>2</v>
      </c>
      <c r="G309" s="351">
        <f t="shared" si="86"/>
        <v>1</v>
      </c>
      <c r="H309" s="351">
        <f t="shared" si="86"/>
        <v>1</v>
      </c>
      <c r="I309" s="351">
        <f t="shared" si="86"/>
        <v>153</v>
      </c>
      <c r="J309" s="351">
        <f t="shared" si="86"/>
        <v>22</v>
      </c>
      <c r="K309" s="351">
        <f>SUM(K304:K308)</f>
        <v>131</v>
      </c>
      <c r="L309" s="353" t="s">
        <v>244</v>
      </c>
    </row>
    <row r="310" spans="3:12" ht="16.5" customHeight="1" thickBot="1" x14ac:dyDescent="0.25"/>
    <row r="311" spans="3:12" ht="16.5" customHeight="1" thickBot="1" x14ac:dyDescent="0.25">
      <c r="C311" s="602" t="s">
        <v>4</v>
      </c>
      <c r="D311" s="602"/>
      <c r="E311" s="602"/>
      <c r="F311" s="602" t="s">
        <v>145</v>
      </c>
      <c r="G311" s="602"/>
      <c r="H311" s="602"/>
      <c r="I311" s="602" t="s">
        <v>146</v>
      </c>
      <c r="J311" s="602"/>
      <c r="K311" s="602"/>
      <c r="L311" s="358" t="s">
        <v>66</v>
      </c>
    </row>
    <row r="312" spans="3:12" ht="16.5" customHeight="1" thickBot="1" x14ac:dyDescent="0.25">
      <c r="C312" s="358" t="s">
        <v>227</v>
      </c>
      <c r="D312" s="358" t="s">
        <v>10</v>
      </c>
      <c r="E312" s="358" t="s">
        <v>9</v>
      </c>
      <c r="F312" s="358" t="s">
        <v>227</v>
      </c>
      <c r="G312" s="358" t="s">
        <v>10</v>
      </c>
      <c r="H312" s="358" t="s">
        <v>9</v>
      </c>
      <c r="I312" s="358" t="s">
        <v>227</v>
      </c>
      <c r="J312" s="358" t="s">
        <v>10</v>
      </c>
      <c r="K312" s="358" t="s">
        <v>9</v>
      </c>
      <c r="L312" s="359" t="s">
        <v>151</v>
      </c>
    </row>
    <row r="313" spans="3:12" ht="16.5" customHeight="1" thickBot="1" x14ac:dyDescent="0.25">
      <c r="C313" s="360">
        <f>SUM(D313:E313)</f>
        <v>49</v>
      </c>
      <c r="D313" s="360">
        <f>J313+G313</f>
        <v>0</v>
      </c>
      <c r="E313" s="360">
        <f>K313+H313</f>
        <v>49</v>
      </c>
      <c r="F313" s="360">
        <f>SUM(G313:H313)</f>
        <v>1</v>
      </c>
      <c r="G313" s="360">
        <v>0</v>
      </c>
      <c r="H313" s="360">
        <v>1</v>
      </c>
      <c r="I313" s="360">
        <f>SUM(J313:K313)</f>
        <v>48</v>
      </c>
      <c r="J313" s="360">
        <v>0</v>
      </c>
      <c r="K313" s="360">
        <v>48</v>
      </c>
      <c r="L313" s="357" t="s">
        <v>290</v>
      </c>
    </row>
    <row r="314" spans="3:12" ht="16.5" customHeight="1" thickBot="1" x14ac:dyDescent="0.25">
      <c r="C314" s="360">
        <f t="shared" ref="C314:C356" si="87">SUM(D314:E314)</f>
        <v>19</v>
      </c>
      <c r="D314" s="360">
        <f t="shared" ref="D314:E356" si="88">J314+G314</f>
        <v>0</v>
      </c>
      <c r="E314" s="360">
        <f t="shared" si="88"/>
        <v>19</v>
      </c>
      <c r="F314" s="360">
        <f t="shared" ref="F314:F356" si="89">SUM(G314:H314)</f>
        <v>0</v>
      </c>
      <c r="G314" s="360">
        <v>0</v>
      </c>
      <c r="H314" s="360">
        <v>0</v>
      </c>
      <c r="I314" s="360">
        <f t="shared" ref="I314:I356" si="90">SUM(J314:K314)</f>
        <v>19</v>
      </c>
      <c r="J314" s="360">
        <v>0</v>
      </c>
      <c r="K314" s="360">
        <v>19</v>
      </c>
      <c r="L314" s="357" t="s">
        <v>291</v>
      </c>
    </row>
    <row r="315" spans="3:12" ht="16.5" customHeight="1" thickBot="1" x14ac:dyDescent="0.25">
      <c r="C315" s="360">
        <f t="shared" si="87"/>
        <v>50</v>
      </c>
      <c r="D315" s="360">
        <f t="shared" si="88"/>
        <v>0</v>
      </c>
      <c r="E315" s="360">
        <f t="shared" si="88"/>
        <v>50</v>
      </c>
      <c r="F315" s="360">
        <f t="shared" si="89"/>
        <v>0</v>
      </c>
      <c r="G315" s="360">
        <v>0</v>
      </c>
      <c r="H315" s="360">
        <v>0</v>
      </c>
      <c r="I315" s="360">
        <f t="shared" si="90"/>
        <v>50</v>
      </c>
      <c r="J315" s="360">
        <v>0</v>
      </c>
      <c r="K315" s="360">
        <v>50</v>
      </c>
      <c r="L315" s="357" t="s">
        <v>292</v>
      </c>
    </row>
    <row r="316" spans="3:12" ht="16.5" customHeight="1" thickBot="1" x14ac:dyDescent="0.25">
      <c r="C316" s="360">
        <f t="shared" si="87"/>
        <v>20</v>
      </c>
      <c r="D316" s="360">
        <f t="shared" si="88"/>
        <v>0</v>
      </c>
      <c r="E316" s="360">
        <f t="shared" si="88"/>
        <v>20</v>
      </c>
      <c r="F316" s="360">
        <f t="shared" si="89"/>
        <v>2</v>
      </c>
      <c r="G316" s="360">
        <v>0</v>
      </c>
      <c r="H316" s="360">
        <v>2</v>
      </c>
      <c r="I316" s="360">
        <f t="shared" si="90"/>
        <v>18</v>
      </c>
      <c r="J316" s="360">
        <v>0</v>
      </c>
      <c r="K316" s="360">
        <v>18</v>
      </c>
      <c r="L316" s="357" t="s">
        <v>293</v>
      </c>
    </row>
    <row r="317" spans="3:12" ht="16.5" customHeight="1" thickBot="1" x14ac:dyDescent="0.25">
      <c r="C317" s="360">
        <f t="shared" si="87"/>
        <v>42</v>
      </c>
      <c r="D317" s="360">
        <f t="shared" si="88"/>
        <v>0</v>
      </c>
      <c r="E317" s="360">
        <f t="shared" si="88"/>
        <v>42</v>
      </c>
      <c r="F317" s="360">
        <f t="shared" si="89"/>
        <v>0</v>
      </c>
      <c r="G317" s="360">
        <v>0</v>
      </c>
      <c r="H317" s="360">
        <v>0</v>
      </c>
      <c r="I317" s="360">
        <f t="shared" si="90"/>
        <v>42</v>
      </c>
      <c r="J317" s="360">
        <v>0</v>
      </c>
      <c r="K317" s="360">
        <v>42</v>
      </c>
      <c r="L317" s="357" t="s">
        <v>294</v>
      </c>
    </row>
    <row r="318" spans="3:12" ht="16.5" customHeight="1" thickBot="1" x14ac:dyDescent="0.25">
      <c r="C318" s="360">
        <f t="shared" si="87"/>
        <v>39</v>
      </c>
      <c r="D318" s="360">
        <f t="shared" si="88"/>
        <v>0</v>
      </c>
      <c r="E318" s="360">
        <f t="shared" si="88"/>
        <v>39</v>
      </c>
      <c r="F318" s="360">
        <f t="shared" si="89"/>
        <v>0</v>
      </c>
      <c r="G318" s="360">
        <v>0</v>
      </c>
      <c r="H318" s="360">
        <v>0</v>
      </c>
      <c r="I318" s="360">
        <f t="shared" si="90"/>
        <v>39</v>
      </c>
      <c r="J318" s="360">
        <v>0</v>
      </c>
      <c r="K318" s="360">
        <v>39</v>
      </c>
      <c r="L318" s="357" t="s">
        <v>295</v>
      </c>
    </row>
    <row r="319" spans="3:12" ht="16.5" customHeight="1" thickBot="1" x14ac:dyDescent="0.25">
      <c r="C319" s="360">
        <f t="shared" si="87"/>
        <v>43</v>
      </c>
      <c r="D319" s="360">
        <f t="shared" si="88"/>
        <v>0</v>
      </c>
      <c r="E319" s="360">
        <f t="shared" si="88"/>
        <v>43</v>
      </c>
      <c r="F319" s="360">
        <f t="shared" si="89"/>
        <v>0</v>
      </c>
      <c r="G319" s="360">
        <v>0</v>
      </c>
      <c r="H319" s="360">
        <v>0</v>
      </c>
      <c r="I319" s="360">
        <f t="shared" si="90"/>
        <v>43</v>
      </c>
      <c r="J319" s="360">
        <v>0</v>
      </c>
      <c r="K319" s="360">
        <v>43</v>
      </c>
      <c r="L319" s="357" t="s">
        <v>296</v>
      </c>
    </row>
    <row r="320" spans="3:12" ht="16.5" customHeight="1" thickBot="1" x14ac:dyDescent="0.25">
      <c r="C320" s="360">
        <f t="shared" si="87"/>
        <v>28</v>
      </c>
      <c r="D320" s="360">
        <f t="shared" si="88"/>
        <v>0</v>
      </c>
      <c r="E320" s="360">
        <f t="shared" si="88"/>
        <v>28</v>
      </c>
      <c r="F320" s="360">
        <f t="shared" si="89"/>
        <v>0</v>
      </c>
      <c r="G320" s="360">
        <v>0</v>
      </c>
      <c r="H320" s="360">
        <v>0</v>
      </c>
      <c r="I320" s="360">
        <f t="shared" si="90"/>
        <v>28</v>
      </c>
      <c r="J320" s="360">
        <v>0</v>
      </c>
      <c r="K320" s="360">
        <v>28</v>
      </c>
      <c r="L320" s="357" t="s">
        <v>297</v>
      </c>
    </row>
    <row r="321" spans="3:12" ht="16.5" customHeight="1" thickBot="1" x14ac:dyDescent="0.25">
      <c r="C321" s="360">
        <f t="shared" si="87"/>
        <v>36</v>
      </c>
      <c r="D321" s="360">
        <f t="shared" si="88"/>
        <v>0</v>
      </c>
      <c r="E321" s="360">
        <f t="shared" si="88"/>
        <v>36</v>
      </c>
      <c r="F321" s="360">
        <f t="shared" si="89"/>
        <v>0</v>
      </c>
      <c r="G321" s="360">
        <v>0</v>
      </c>
      <c r="H321" s="360">
        <v>0</v>
      </c>
      <c r="I321" s="360">
        <f t="shared" si="90"/>
        <v>36</v>
      </c>
      <c r="J321" s="360">
        <v>0</v>
      </c>
      <c r="K321" s="360">
        <v>36</v>
      </c>
      <c r="L321" s="357" t="s">
        <v>782</v>
      </c>
    </row>
    <row r="322" spans="3:12" ht="16.5" customHeight="1" thickBot="1" x14ac:dyDescent="0.25">
      <c r="C322" s="360">
        <f t="shared" si="87"/>
        <v>23</v>
      </c>
      <c r="D322" s="360">
        <f t="shared" si="88"/>
        <v>0</v>
      </c>
      <c r="E322" s="360">
        <f t="shared" si="88"/>
        <v>23</v>
      </c>
      <c r="F322" s="360">
        <f t="shared" si="89"/>
        <v>0</v>
      </c>
      <c r="G322" s="360">
        <v>0</v>
      </c>
      <c r="H322" s="360">
        <v>0</v>
      </c>
      <c r="I322" s="360">
        <f t="shared" si="90"/>
        <v>23</v>
      </c>
      <c r="J322" s="360">
        <v>0</v>
      </c>
      <c r="K322" s="360">
        <v>23</v>
      </c>
      <c r="L322" s="357" t="s">
        <v>299</v>
      </c>
    </row>
    <row r="323" spans="3:12" ht="16.5" customHeight="1" thickBot="1" x14ac:dyDescent="0.25">
      <c r="C323" s="360">
        <f t="shared" si="87"/>
        <v>23</v>
      </c>
      <c r="D323" s="360">
        <f t="shared" si="88"/>
        <v>0</v>
      </c>
      <c r="E323" s="360">
        <f t="shared" si="88"/>
        <v>23</v>
      </c>
      <c r="F323" s="360">
        <f t="shared" si="89"/>
        <v>0</v>
      </c>
      <c r="G323" s="360">
        <v>0</v>
      </c>
      <c r="H323" s="360">
        <v>0</v>
      </c>
      <c r="I323" s="360">
        <f t="shared" si="90"/>
        <v>23</v>
      </c>
      <c r="J323" s="360">
        <v>0</v>
      </c>
      <c r="K323" s="360">
        <v>23</v>
      </c>
      <c r="L323" s="357" t="s">
        <v>300</v>
      </c>
    </row>
    <row r="324" spans="3:12" ht="16.5" customHeight="1" thickBot="1" x14ac:dyDescent="0.25">
      <c r="C324" s="360">
        <f t="shared" si="87"/>
        <v>27</v>
      </c>
      <c r="D324" s="360">
        <f t="shared" si="88"/>
        <v>0</v>
      </c>
      <c r="E324" s="360">
        <f t="shared" si="88"/>
        <v>27</v>
      </c>
      <c r="F324" s="360">
        <f t="shared" si="89"/>
        <v>0</v>
      </c>
      <c r="G324" s="360">
        <v>0</v>
      </c>
      <c r="H324" s="360">
        <v>0</v>
      </c>
      <c r="I324" s="360">
        <f t="shared" si="90"/>
        <v>27</v>
      </c>
      <c r="J324" s="360">
        <v>0</v>
      </c>
      <c r="K324" s="360">
        <v>27</v>
      </c>
      <c r="L324" s="357" t="s">
        <v>301</v>
      </c>
    </row>
    <row r="325" spans="3:12" ht="16.5" customHeight="1" thickBot="1" x14ac:dyDescent="0.25">
      <c r="C325" s="360">
        <f t="shared" si="87"/>
        <v>29</v>
      </c>
      <c r="D325" s="360">
        <f t="shared" si="88"/>
        <v>0</v>
      </c>
      <c r="E325" s="360">
        <f t="shared" si="88"/>
        <v>29</v>
      </c>
      <c r="F325" s="360">
        <f t="shared" si="89"/>
        <v>0</v>
      </c>
      <c r="G325" s="360">
        <v>0</v>
      </c>
      <c r="H325" s="360">
        <v>0</v>
      </c>
      <c r="I325" s="360">
        <f t="shared" si="90"/>
        <v>29</v>
      </c>
      <c r="J325" s="360">
        <v>0</v>
      </c>
      <c r="K325" s="360">
        <v>29</v>
      </c>
      <c r="L325" s="357" t="s">
        <v>302</v>
      </c>
    </row>
    <row r="326" spans="3:12" ht="16.5" customHeight="1" thickBot="1" x14ac:dyDescent="0.25">
      <c r="C326" s="360">
        <f t="shared" si="87"/>
        <v>22</v>
      </c>
      <c r="D326" s="360">
        <f t="shared" si="88"/>
        <v>0</v>
      </c>
      <c r="E326" s="360">
        <f t="shared" si="88"/>
        <v>22</v>
      </c>
      <c r="F326" s="360">
        <f t="shared" si="89"/>
        <v>0</v>
      </c>
      <c r="G326" s="360">
        <v>0</v>
      </c>
      <c r="H326" s="360">
        <v>0</v>
      </c>
      <c r="I326" s="360">
        <f t="shared" si="90"/>
        <v>22</v>
      </c>
      <c r="J326" s="360">
        <v>0</v>
      </c>
      <c r="K326" s="360">
        <v>22</v>
      </c>
      <c r="L326" s="357" t="s">
        <v>303</v>
      </c>
    </row>
    <row r="327" spans="3:12" ht="16.5" customHeight="1" thickBot="1" x14ac:dyDescent="0.25">
      <c r="C327" s="360">
        <f t="shared" si="87"/>
        <v>28</v>
      </c>
      <c r="D327" s="360">
        <f t="shared" si="88"/>
        <v>0</v>
      </c>
      <c r="E327" s="360">
        <f t="shared" si="88"/>
        <v>28</v>
      </c>
      <c r="F327" s="360">
        <f t="shared" si="89"/>
        <v>0</v>
      </c>
      <c r="G327" s="360">
        <v>0</v>
      </c>
      <c r="H327" s="360">
        <v>0</v>
      </c>
      <c r="I327" s="360">
        <f t="shared" si="90"/>
        <v>28</v>
      </c>
      <c r="J327" s="360">
        <v>0</v>
      </c>
      <c r="K327" s="360">
        <v>28</v>
      </c>
      <c r="L327" s="357" t="s">
        <v>304</v>
      </c>
    </row>
    <row r="328" spans="3:12" ht="16.5" customHeight="1" thickBot="1" x14ac:dyDescent="0.25">
      <c r="C328" s="360">
        <f t="shared" si="87"/>
        <v>24</v>
      </c>
      <c r="D328" s="360">
        <f t="shared" si="88"/>
        <v>0</v>
      </c>
      <c r="E328" s="360">
        <f t="shared" si="88"/>
        <v>24</v>
      </c>
      <c r="F328" s="360">
        <f t="shared" si="89"/>
        <v>0</v>
      </c>
      <c r="G328" s="360">
        <v>0</v>
      </c>
      <c r="H328" s="360">
        <v>0</v>
      </c>
      <c r="I328" s="360">
        <f t="shared" si="90"/>
        <v>24</v>
      </c>
      <c r="J328" s="360">
        <v>0</v>
      </c>
      <c r="K328" s="360">
        <v>24</v>
      </c>
      <c r="L328" s="357" t="s">
        <v>305</v>
      </c>
    </row>
    <row r="329" spans="3:12" ht="16.5" customHeight="1" thickBot="1" x14ac:dyDescent="0.25">
      <c r="C329" s="360">
        <f t="shared" si="87"/>
        <v>33</v>
      </c>
      <c r="D329" s="360">
        <f t="shared" si="88"/>
        <v>0</v>
      </c>
      <c r="E329" s="360">
        <f t="shared" si="88"/>
        <v>33</v>
      </c>
      <c r="F329" s="360">
        <f t="shared" si="89"/>
        <v>0</v>
      </c>
      <c r="G329" s="360">
        <v>0</v>
      </c>
      <c r="H329" s="360">
        <v>0</v>
      </c>
      <c r="I329" s="360">
        <f t="shared" si="90"/>
        <v>33</v>
      </c>
      <c r="J329" s="360">
        <v>0</v>
      </c>
      <c r="K329" s="360">
        <v>33</v>
      </c>
      <c r="L329" s="357" t="s">
        <v>804</v>
      </c>
    </row>
    <row r="330" spans="3:12" ht="16.5" customHeight="1" thickBot="1" x14ac:dyDescent="0.25">
      <c r="C330" s="360">
        <f t="shared" si="87"/>
        <v>12</v>
      </c>
      <c r="D330" s="360">
        <f t="shared" si="88"/>
        <v>0</v>
      </c>
      <c r="E330" s="360">
        <f t="shared" si="88"/>
        <v>12</v>
      </c>
      <c r="F330" s="360">
        <f t="shared" si="89"/>
        <v>0</v>
      </c>
      <c r="G330" s="360">
        <v>0</v>
      </c>
      <c r="H330" s="360">
        <v>0</v>
      </c>
      <c r="I330" s="360">
        <f t="shared" si="90"/>
        <v>12</v>
      </c>
      <c r="J330" s="360">
        <v>0</v>
      </c>
      <c r="K330" s="360">
        <v>12</v>
      </c>
      <c r="L330" s="357" t="s">
        <v>307</v>
      </c>
    </row>
    <row r="331" spans="3:12" ht="16.5" customHeight="1" thickBot="1" x14ac:dyDescent="0.25">
      <c r="C331" s="360">
        <f t="shared" si="87"/>
        <v>14</v>
      </c>
      <c r="D331" s="360">
        <f t="shared" si="88"/>
        <v>0</v>
      </c>
      <c r="E331" s="360">
        <f t="shared" si="88"/>
        <v>14</v>
      </c>
      <c r="F331" s="360">
        <f t="shared" si="89"/>
        <v>0</v>
      </c>
      <c r="G331" s="360">
        <v>0</v>
      </c>
      <c r="H331" s="360">
        <v>0</v>
      </c>
      <c r="I331" s="360">
        <f t="shared" si="90"/>
        <v>14</v>
      </c>
      <c r="J331" s="360">
        <v>0</v>
      </c>
      <c r="K331" s="360">
        <v>14</v>
      </c>
      <c r="L331" s="357" t="s">
        <v>308</v>
      </c>
    </row>
    <row r="332" spans="3:12" ht="16.5" customHeight="1" thickBot="1" x14ac:dyDescent="0.25">
      <c r="C332" s="360">
        <f t="shared" si="87"/>
        <v>45</v>
      </c>
      <c r="D332" s="360">
        <f t="shared" si="88"/>
        <v>0</v>
      </c>
      <c r="E332" s="360">
        <f t="shared" si="88"/>
        <v>45</v>
      </c>
      <c r="F332" s="360">
        <f t="shared" si="89"/>
        <v>0</v>
      </c>
      <c r="G332" s="360">
        <v>0</v>
      </c>
      <c r="H332" s="360">
        <v>0</v>
      </c>
      <c r="I332" s="360">
        <f t="shared" si="90"/>
        <v>45</v>
      </c>
      <c r="J332" s="360">
        <v>0</v>
      </c>
      <c r="K332" s="360">
        <v>45</v>
      </c>
      <c r="L332" s="357" t="s">
        <v>309</v>
      </c>
    </row>
    <row r="333" spans="3:12" ht="16.5" customHeight="1" thickBot="1" x14ac:dyDescent="0.25">
      <c r="C333" s="360">
        <f t="shared" si="87"/>
        <v>13</v>
      </c>
      <c r="D333" s="360">
        <f t="shared" si="88"/>
        <v>0</v>
      </c>
      <c r="E333" s="360">
        <f t="shared" si="88"/>
        <v>13</v>
      </c>
      <c r="F333" s="360">
        <f t="shared" si="89"/>
        <v>0</v>
      </c>
      <c r="G333" s="360">
        <v>0</v>
      </c>
      <c r="H333" s="360">
        <v>0</v>
      </c>
      <c r="I333" s="360">
        <f t="shared" si="90"/>
        <v>13</v>
      </c>
      <c r="J333" s="360">
        <v>0</v>
      </c>
      <c r="K333" s="360">
        <v>13</v>
      </c>
      <c r="L333" s="357" t="s">
        <v>310</v>
      </c>
    </row>
    <row r="334" spans="3:12" ht="16.5" customHeight="1" thickBot="1" x14ac:dyDescent="0.25">
      <c r="C334" s="360">
        <f t="shared" si="87"/>
        <v>51</v>
      </c>
      <c r="D334" s="360">
        <f t="shared" si="88"/>
        <v>0</v>
      </c>
      <c r="E334" s="360">
        <f t="shared" si="88"/>
        <v>51</v>
      </c>
      <c r="F334" s="360">
        <f t="shared" si="89"/>
        <v>0</v>
      </c>
      <c r="G334" s="360">
        <v>0</v>
      </c>
      <c r="H334" s="360">
        <v>0</v>
      </c>
      <c r="I334" s="360">
        <f t="shared" si="90"/>
        <v>51</v>
      </c>
      <c r="J334" s="360">
        <v>0</v>
      </c>
      <c r="K334" s="360">
        <v>51</v>
      </c>
      <c r="L334" s="357" t="s">
        <v>311</v>
      </c>
    </row>
    <row r="335" spans="3:12" ht="16.5" customHeight="1" thickBot="1" x14ac:dyDescent="0.25">
      <c r="C335" s="360">
        <f t="shared" si="87"/>
        <v>7</v>
      </c>
      <c r="D335" s="360">
        <f t="shared" si="88"/>
        <v>0</v>
      </c>
      <c r="E335" s="360">
        <f t="shared" si="88"/>
        <v>7</v>
      </c>
      <c r="F335" s="360">
        <f t="shared" si="89"/>
        <v>0</v>
      </c>
      <c r="G335" s="360">
        <v>0</v>
      </c>
      <c r="H335" s="360">
        <v>0</v>
      </c>
      <c r="I335" s="360">
        <f t="shared" si="90"/>
        <v>7</v>
      </c>
      <c r="J335" s="360">
        <v>0</v>
      </c>
      <c r="K335" s="360">
        <v>7</v>
      </c>
      <c r="L335" s="357" t="s">
        <v>312</v>
      </c>
    </row>
    <row r="336" spans="3:12" ht="16.5" customHeight="1" thickBot="1" x14ac:dyDescent="0.25">
      <c r="C336" s="360">
        <f t="shared" si="87"/>
        <v>14</v>
      </c>
      <c r="D336" s="360">
        <f t="shared" si="88"/>
        <v>0</v>
      </c>
      <c r="E336" s="360">
        <f t="shared" si="88"/>
        <v>14</v>
      </c>
      <c r="F336" s="360">
        <f t="shared" si="89"/>
        <v>0</v>
      </c>
      <c r="G336" s="360">
        <v>0</v>
      </c>
      <c r="H336" s="360">
        <v>0</v>
      </c>
      <c r="I336" s="360">
        <f t="shared" si="90"/>
        <v>14</v>
      </c>
      <c r="J336" s="360">
        <v>0</v>
      </c>
      <c r="K336" s="360">
        <v>14</v>
      </c>
      <c r="L336" s="357" t="s">
        <v>313</v>
      </c>
    </row>
    <row r="337" spans="3:12" ht="16.5" customHeight="1" thickBot="1" x14ac:dyDescent="0.25">
      <c r="C337" s="360">
        <f t="shared" si="87"/>
        <v>14</v>
      </c>
      <c r="D337" s="360">
        <f t="shared" si="88"/>
        <v>0</v>
      </c>
      <c r="E337" s="360">
        <f t="shared" si="88"/>
        <v>14</v>
      </c>
      <c r="F337" s="360">
        <f t="shared" si="89"/>
        <v>0</v>
      </c>
      <c r="G337" s="360">
        <v>0</v>
      </c>
      <c r="H337" s="360">
        <v>0</v>
      </c>
      <c r="I337" s="360">
        <f t="shared" si="90"/>
        <v>14</v>
      </c>
      <c r="J337" s="360">
        <v>0</v>
      </c>
      <c r="K337" s="360">
        <v>14</v>
      </c>
      <c r="L337" s="357" t="s">
        <v>314</v>
      </c>
    </row>
    <row r="338" spans="3:12" ht="16.5" customHeight="1" thickBot="1" x14ac:dyDescent="0.25">
      <c r="C338" s="360">
        <f t="shared" si="87"/>
        <v>12</v>
      </c>
      <c r="D338" s="360">
        <f t="shared" si="88"/>
        <v>0</v>
      </c>
      <c r="E338" s="360">
        <f t="shared" si="88"/>
        <v>12</v>
      </c>
      <c r="F338" s="360">
        <f t="shared" si="89"/>
        <v>0</v>
      </c>
      <c r="G338" s="360">
        <v>0</v>
      </c>
      <c r="H338" s="360">
        <v>0</v>
      </c>
      <c r="I338" s="360">
        <f t="shared" si="90"/>
        <v>12</v>
      </c>
      <c r="J338" s="360">
        <v>0</v>
      </c>
      <c r="K338" s="360">
        <v>12</v>
      </c>
      <c r="L338" s="357" t="s">
        <v>315</v>
      </c>
    </row>
    <row r="339" spans="3:12" ht="16.5" customHeight="1" thickBot="1" x14ac:dyDescent="0.25">
      <c r="C339" s="360">
        <f t="shared" si="87"/>
        <v>18</v>
      </c>
      <c r="D339" s="360">
        <f t="shared" si="88"/>
        <v>0</v>
      </c>
      <c r="E339" s="360">
        <f t="shared" si="88"/>
        <v>18</v>
      </c>
      <c r="F339" s="360">
        <f t="shared" si="89"/>
        <v>0</v>
      </c>
      <c r="G339" s="360">
        <v>0</v>
      </c>
      <c r="H339" s="360">
        <v>0</v>
      </c>
      <c r="I339" s="360">
        <f t="shared" si="90"/>
        <v>18</v>
      </c>
      <c r="J339" s="360">
        <v>0</v>
      </c>
      <c r="K339" s="360">
        <v>18</v>
      </c>
      <c r="L339" s="357" t="s">
        <v>316</v>
      </c>
    </row>
    <row r="340" spans="3:12" ht="16.5" customHeight="1" thickBot="1" x14ac:dyDescent="0.25">
      <c r="C340" s="360">
        <f t="shared" si="87"/>
        <v>11</v>
      </c>
      <c r="D340" s="360">
        <f t="shared" si="88"/>
        <v>0</v>
      </c>
      <c r="E340" s="360">
        <f t="shared" si="88"/>
        <v>11</v>
      </c>
      <c r="F340" s="360">
        <f t="shared" si="89"/>
        <v>0</v>
      </c>
      <c r="G340" s="360">
        <v>0</v>
      </c>
      <c r="H340" s="360">
        <v>0</v>
      </c>
      <c r="I340" s="360">
        <f t="shared" si="90"/>
        <v>11</v>
      </c>
      <c r="J340" s="360">
        <v>0</v>
      </c>
      <c r="K340" s="360">
        <v>11</v>
      </c>
      <c r="L340" s="357" t="s">
        <v>317</v>
      </c>
    </row>
    <row r="341" spans="3:12" ht="16.5" customHeight="1" thickBot="1" x14ac:dyDescent="0.25">
      <c r="C341" s="360">
        <f t="shared" si="87"/>
        <v>13</v>
      </c>
      <c r="D341" s="360">
        <f t="shared" si="88"/>
        <v>0</v>
      </c>
      <c r="E341" s="360">
        <f t="shared" si="88"/>
        <v>13</v>
      </c>
      <c r="F341" s="360">
        <f t="shared" si="89"/>
        <v>0</v>
      </c>
      <c r="G341" s="360">
        <v>0</v>
      </c>
      <c r="H341" s="360">
        <v>0</v>
      </c>
      <c r="I341" s="360">
        <f t="shared" si="90"/>
        <v>13</v>
      </c>
      <c r="J341" s="360">
        <v>0</v>
      </c>
      <c r="K341" s="360">
        <v>13</v>
      </c>
      <c r="L341" s="357" t="s">
        <v>318</v>
      </c>
    </row>
    <row r="342" spans="3:12" ht="16.5" customHeight="1" thickBot="1" x14ac:dyDescent="0.25">
      <c r="C342" s="360">
        <f t="shared" si="87"/>
        <v>9</v>
      </c>
      <c r="D342" s="360">
        <f t="shared" si="88"/>
        <v>0</v>
      </c>
      <c r="E342" s="360">
        <f t="shared" si="88"/>
        <v>9</v>
      </c>
      <c r="F342" s="360">
        <f t="shared" si="89"/>
        <v>0</v>
      </c>
      <c r="G342" s="360">
        <v>0</v>
      </c>
      <c r="H342" s="360">
        <v>0</v>
      </c>
      <c r="I342" s="360">
        <f t="shared" si="90"/>
        <v>9</v>
      </c>
      <c r="J342" s="360">
        <v>0</v>
      </c>
      <c r="K342" s="360">
        <v>9</v>
      </c>
      <c r="L342" s="357" t="s">
        <v>319</v>
      </c>
    </row>
    <row r="343" spans="3:12" ht="16.5" customHeight="1" thickBot="1" x14ac:dyDescent="0.25">
      <c r="C343" s="360">
        <f t="shared" si="87"/>
        <v>35</v>
      </c>
      <c r="D343" s="360">
        <f t="shared" si="88"/>
        <v>0</v>
      </c>
      <c r="E343" s="360">
        <f t="shared" si="88"/>
        <v>35</v>
      </c>
      <c r="F343" s="360">
        <f t="shared" si="89"/>
        <v>0</v>
      </c>
      <c r="G343" s="360">
        <v>0</v>
      </c>
      <c r="H343" s="360">
        <v>0</v>
      </c>
      <c r="I343" s="360">
        <f t="shared" si="90"/>
        <v>35</v>
      </c>
      <c r="J343" s="360">
        <v>0</v>
      </c>
      <c r="K343" s="360">
        <v>35</v>
      </c>
      <c r="L343" s="357" t="s">
        <v>320</v>
      </c>
    </row>
    <row r="344" spans="3:12" ht="16.5" customHeight="1" thickBot="1" x14ac:dyDescent="0.25">
      <c r="C344" s="360">
        <f t="shared" si="87"/>
        <v>16</v>
      </c>
      <c r="D344" s="360">
        <f t="shared" si="88"/>
        <v>0</v>
      </c>
      <c r="E344" s="360">
        <f t="shared" si="88"/>
        <v>16</v>
      </c>
      <c r="F344" s="360">
        <f t="shared" si="89"/>
        <v>0</v>
      </c>
      <c r="G344" s="360">
        <v>0</v>
      </c>
      <c r="H344" s="360">
        <v>0</v>
      </c>
      <c r="I344" s="360">
        <f t="shared" si="90"/>
        <v>16</v>
      </c>
      <c r="J344" s="360">
        <v>0</v>
      </c>
      <c r="K344" s="360">
        <v>16</v>
      </c>
      <c r="L344" s="357" t="s">
        <v>321</v>
      </c>
    </row>
    <row r="345" spans="3:12" ht="16.5" customHeight="1" thickBot="1" x14ac:dyDescent="0.25">
      <c r="C345" s="360">
        <f t="shared" si="87"/>
        <v>11</v>
      </c>
      <c r="D345" s="360">
        <f t="shared" si="88"/>
        <v>0</v>
      </c>
      <c r="E345" s="360">
        <f t="shared" si="88"/>
        <v>11</v>
      </c>
      <c r="F345" s="360">
        <f t="shared" si="89"/>
        <v>0</v>
      </c>
      <c r="G345" s="360">
        <v>0</v>
      </c>
      <c r="H345" s="360">
        <v>0</v>
      </c>
      <c r="I345" s="360">
        <f t="shared" si="90"/>
        <v>11</v>
      </c>
      <c r="J345" s="360">
        <v>0</v>
      </c>
      <c r="K345" s="360">
        <v>11</v>
      </c>
      <c r="L345" s="357" t="s">
        <v>322</v>
      </c>
    </row>
    <row r="346" spans="3:12" ht="16.5" customHeight="1" thickBot="1" x14ac:dyDescent="0.25">
      <c r="C346" s="360">
        <f t="shared" si="87"/>
        <v>15</v>
      </c>
      <c r="D346" s="360">
        <f t="shared" si="88"/>
        <v>0</v>
      </c>
      <c r="E346" s="360">
        <f t="shared" si="88"/>
        <v>15</v>
      </c>
      <c r="F346" s="360">
        <f t="shared" si="89"/>
        <v>0</v>
      </c>
      <c r="G346" s="360">
        <v>0</v>
      </c>
      <c r="H346" s="360">
        <v>0</v>
      </c>
      <c r="I346" s="360">
        <f t="shared" si="90"/>
        <v>15</v>
      </c>
      <c r="J346" s="360">
        <v>0</v>
      </c>
      <c r="K346" s="360">
        <v>15</v>
      </c>
      <c r="L346" s="357" t="s">
        <v>323</v>
      </c>
    </row>
    <row r="347" spans="3:12" ht="16.5" customHeight="1" thickBot="1" x14ac:dyDescent="0.25">
      <c r="C347" s="360">
        <f t="shared" si="87"/>
        <v>10</v>
      </c>
      <c r="D347" s="360">
        <f t="shared" si="88"/>
        <v>0</v>
      </c>
      <c r="E347" s="360">
        <f t="shared" si="88"/>
        <v>10</v>
      </c>
      <c r="F347" s="360">
        <f t="shared" si="89"/>
        <v>0</v>
      </c>
      <c r="G347" s="360">
        <v>0</v>
      </c>
      <c r="H347" s="360">
        <v>0</v>
      </c>
      <c r="I347" s="360">
        <f t="shared" si="90"/>
        <v>10</v>
      </c>
      <c r="J347" s="360">
        <v>0</v>
      </c>
      <c r="K347" s="360">
        <v>10</v>
      </c>
      <c r="L347" s="357" t="s">
        <v>324</v>
      </c>
    </row>
    <row r="348" spans="3:12" ht="16.5" customHeight="1" thickBot="1" x14ac:dyDescent="0.25">
      <c r="C348" s="360">
        <f t="shared" si="87"/>
        <v>10</v>
      </c>
      <c r="D348" s="360">
        <f t="shared" si="88"/>
        <v>10</v>
      </c>
      <c r="E348" s="360">
        <f t="shared" si="88"/>
        <v>0</v>
      </c>
      <c r="F348" s="360">
        <f t="shared" si="89"/>
        <v>0</v>
      </c>
      <c r="G348" s="360">
        <v>0</v>
      </c>
      <c r="H348" s="360">
        <v>0</v>
      </c>
      <c r="I348" s="360">
        <f t="shared" si="90"/>
        <v>10</v>
      </c>
      <c r="J348" s="360">
        <v>10</v>
      </c>
      <c r="K348" s="360">
        <v>0</v>
      </c>
      <c r="L348" s="357" t="s">
        <v>325</v>
      </c>
    </row>
    <row r="349" spans="3:12" ht="16.5" customHeight="1" thickBot="1" x14ac:dyDescent="0.25">
      <c r="C349" s="360">
        <f t="shared" si="87"/>
        <v>7</v>
      </c>
      <c r="D349" s="360">
        <f t="shared" si="88"/>
        <v>7</v>
      </c>
      <c r="E349" s="360">
        <f t="shared" si="88"/>
        <v>0</v>
      </c>
      <c r="F349" s="360">
        <f t="shared" si="89"/>
        <v>0</v>
      </c>
      <c r="G349" s="360">
        <v>0</v>
      </c>
      <c r="H349" s="360">
        <v>0</v>
      </c>
      <c r="I349" s="360">
        <f t="shared" si="90"/>
        <v>7</v>
      </c>
      <c r="J349" s="360">
        <v>7</v>
      </c>
      <c r="K349" s="360">
        <v>0</v>
      </c>
      <c r="L349" s="357" t="s">
        <v>326</v>
      </c>
    </row>
    <row r="350" spans="3:12" ht="16.5" customHeight="1" thickBot="1" x14ac:dyDescent="0.25">
      <c r="C350" s="360">
        <f t="shared" si="87"/>
        <v>9</v>
      </c>
      <c r="D350" s="360">
        <f t="shared" si="88"/>
        <v>9</v>
      </c>
      <c r="E350" s="360">
        <f t="shared" si="88"/>
        <v>0</v>
      </c>
      <c r="F350" s="360">
        <f t="shared" si="89"/>
        <v>0</v>
      </c>
      <c r="G350" s="360">
        <v>0</v>
      </c>
      <c r="H350" s="360">
        <v>0</v>
      </c>
      <c r="I350" s="360">
        <f t="shared" si="90"/>
        <v>9</v>
      </c>
      <c r="J350" s="360">
        <v>9</v>
      </c>
      <c r="K350" s="360">
        <v>0</v>
      </c>
      <c r="L350" s="357" t="s">
        <v>327</v>
      </c>
    </row>
    <row r="351" spans="3:12" ht="16.5" customHeight="1" thickBot="1" x14ac:dyDescent="0.25">
      <c r="C351" s="360">
        <f t="shared" si="87"/>
        <v>13</v>
      </c>
      <c r="D351" s="360">
        <f t="shared" si="88"/>
        <v>13</v>
      </c>
      <c r="E351" s="360">
        <f t="shared" si="88"/>
        <v>0</v>
      </c>
      <c r="F351" s="360">
        <f t="shared" si="89"/>
        <v>0</v>
      </c>
      <c r="G351" s="360">
        <v>0</v>
      </c>
      <c r="H351" s="360">
        <v>0</v>
      </c>
      <c r="I351" s="360">
        <f t="shared" si="90"/>
        <v>13</v>
      </c>
      <c r="J351" s="360">
        <v>13</v>
      </c>
      <c r="K351" s="360">
        <v>0</v>
      </c>
      <c r="L351" s="357" t="s">
        <v>328</v>
      </c>
    </row>
    <row r="352" spans="3:12" ht="16.5" customHeight="1" thickBot="1" x14ac:dyDescent="0.25">
      <c r="C352" s="360">
        <f t="shared" si="87"/>
        <v>8</v>
      </c>
      <c r="D352" s="360">
        <f t="shared" si="88"/>
        <v>8</v>
      </c>
      <c r="E352" s="360">
        <f t="shared" si="88"/>
        <v>0</v>
      </c>
      <c r="F352" s="360">
        <f t="shared" si="89"/>
        <v>0</v>
      </c>
      <c r="G352" s="360">
        <v>0</v>
      </c>
      <c r="H352" s="360">
        <v>0</v>
      </c>
      <c r="I352" s="360">
        <f t="shared" si="90"/>
        <v>8</v>
      </c>
      <c r="J352" s="360">
        <v>8</v>
      </c>
      <c r="K352" s="360">
        <v>0</v>
      </c>
      <c r="L352" s="357" t="s">
        <v>329</v>
      </c>
    </row>
    <row r="353" spans="3:12" ht="16.5" customHeight="1" thickBot="1" x14ac:dyDescent="0.25">
      <c r="C353" s="360">
        <f t="shared" si="87"/>
        <v>10</v>
      </c>
      <c r="D353" s="360">
        <f t="shared" si="88"/>
        <v>10</v>
      </c>
      <c r="E353" s="360">
        <f t="shared" si="88"/>
        <v>0</v>
      </c>
      <c r="F353" s="360">
        <f t="shared" si="89"/>
        <v>0</v>
      </c>
      <c r="G353" s="360">
        <v>0</v>
      </c>
      <c r="H353" s="360">
        <v>0</v>
      </c>
      <c r="I353" s="360">
        <f t="shared" si="90"/>
        <v>10</v>
      </c>
      <c r="J353" s="360">
        <v>10</v>
      </c>
      <c r="K353" s="360">
        <v>0</v>
      </c>
      <c r="L353" s="357" t="s">
        <v>330</v>
      </c>
    </row>
    <row r="354" spans="3:12" ht="16.5" customHeight="1" thickBot="1" x14ac:dyDescent="0.25">
      <c r="C354" s="360">
        <f t="shared" si="87"/>
        <v>6</v>
      </c>
      <c r="D354" s="360">
        <f t="shared" si="88"/>
        <v>6</v>
      </c>
      <c r="E354" s="360">
        <f t="shared" si="88"/>
        <v>0</v>
      </c>
      <c r="F354" s="360">
        <f t="shared" si="89"/>
        <v>0</v>
      </c>
      <c r="G354" s="360">
        <v>0</v>
      </c>
      <c r="H354" s="360">
        <v>0</v>
      </c>
      <c r="I354" s="360">
        <f t="shared" si="90"/>
        <v>6</v>
      </c>
      <c r="J354" s="360">
        <v>6</v>
      </c>
      <c r="K354" s="360">
        <v>0</v>
      </c>
      <c r="L354" s="357" t="s">
        <v>331</v>
      </c>
    </row>
    <row r="355" spans="3:12" ht="16.5" customHeight="1" thickBot="1" x14ac:dyDescent="0.25">
      <c r="C355" s="360">
        <f t="shared" si="87"/>
        <v>7</v>
      </c>
      <c r="D355" s="360">
        <f t="shared" si="88"/>
        <v>7</v>
      </c>
      <c r="E355" s="360">
        <f t="shared" si="88"/>
        <v>0</v>
      </c>
      <c r="F355" s="360">
        <f t="shared" si="89"/>
        <v>0</v>
      </c>
      <c r="G355" s="360">
        <v>0</v>
      </c>
      <c r="H355" s="360">
        <v>0</v>
      </c>
      <c r="I355" s="360">
        <f t="shared" si="90"/>
        <v>7</v>
      </c>
      <c r="J355" s="360">
        <v>7</v>
      </c>
      <c r="K355" s="360">
        <v>0</v>
      </c>
      <c r="L355" s="357" t="s">
        <v>332</v>
      </c>
    </row>
    <row r="356" spans="3:12" ht="16.5" customHeight="1" thickBot="1" x14ac:dyDescent="0.25">
      <c r="C356" s="360">
        <f t="shared" si="87"/>
        <v>5</v>
      </c>
      <c r="D356" s="360">
        <f t="shared" si="88"/>
        <v>5</v>
      </c>
      <c r="E356" s="360">
        <f t="shared" si="88"/>
        <v>0</v>
      </c>
      <c r="F356" s="360">
        <f t="shared" si="89"/>
        <v>0</v>
      </c>
      <c r="G356" s="360">
        <v>0</v>
      </c>
      <c r="H356" s="360">
        <v>0</v>
      </c>
      <c r="I356" s="360">
        <f t="shared" si="90"/>
        <v>5</v>
      </c>
      <c r="J356" s="360">
        <v>5</v>
      </c>
      <c r="K356" s="360">
        <v>0</v>
      </c>
      <c r="L356" s="357" t="s">
        <v>333</v>
      </c>
    </row>
    <row r="357" spans="3:12" ht="16.5" customHeight="1" thickBot="1" x14ac:dyDescent="0.25">
      <c r="C357" s="360">
        <f t="shared" ref="C357:J357" si="91">SUM(C313:C356)</f>
        <v>930</v>
      </c>
      <c r="D357" s="360">
        <f t="shared" si="91"/>
        <v>75</v>
      </c>
      <c r="E357" s="360">
        <f t="shared" si="91"/>
        <v>855</v>
      </c>
      <c r="F357" s="360">
        <f t="shared" si="91"/>
        <v>3</v>
      </c>
      <c r="G357" s="360">
        <f t="shared" si="91"/>
        <v>0</v>
      </c>
      <c r="H357" s="360">
        <f t="shared" si="91"/>
        <v>3</v>
      </c>
      <c r="I357" s="360">
        <f t="shared" si="91"/>
        <v>927</v>
      </c>
      <c r="J357" s="360">
        <f t="shared" si="91"/>
        <v>75</v>
      </c>
      <c r="K357" s="360">
        <f>SUM(K313:K356)</f>
        <v>852</v>
      </c>
      <c r="L357" s="359" t="s">
        <v>4</v>
      </c>
    </row>
    <row r="358" spans="3:12" ht="16.5" customHeight="1" thickBot="1" x14ac:dyDescent="0.25"/>
    <row r="359" spans="3:12" ht="16.5" customHeight="1" thickBot="1" x14ac:dyDescent="0.25">
      <c r="C359" s="597" t="s">
        <v>4</v>
      </c>
      <c r="D359" s="597"/>
      <c r="E359" s="597"/>
      <c r="F359" s="597" t="s">
        <v>145</v>
      </c>
      <c r="G359" s="597"/>
      <c r="H359" s="597"/>
      <c r="I359" s="597" t="s">
        <v>146</v>
      </c>
      <c r="J359" s="597"/>
      <c r="K359" s="597"/>
      <c r="L359" s="347" t="s">
        <v>66</v>
      </c>
    </row>
    <row r="360" spans="3:12" ht="16.5" customHeight="1" thickBot="1" x14ac:dyDescent="0.25">
      <c r="C360" s="347" t="s">
        <v>227</v>
      </c>
      <c r="D360" s="347" t="s">
        <v>10</v>
      </c>
      <c r="E360" s="347" t="s">
        <v>9</v>
      </c>
      <c r="F360" s="347" t="s">
        <v>227</v>
      </c>
      <c r="G360" s="347" t="s">
        <v>10</v>
      </c>
      <c r="H360" s="347" t="s">
        <v>9</v>
      </c>
      <c r="I360" s="347" t="s">
        <v>227</v>
      </c>
      <c r="J360" s="347" t="s">
        <v>10</v>
      </c>
      <c r="K360" s="347" t="s">
        <v>9</v>
      </c>
      <c r="L360" s="349" t="s">
        <v>152</v>
      </c>
    </row>
    <row r="361" spans="3:12" ht="16.5" customHeight="1" thickBot="1" x14ac:dyDescent="0.25">
      <c r="C361" s="350">
        <f>SUM(D361:E361)</f>
        <v>131</v>
      </c>
      <c r="D361" s="350">
        <f>J361+G361</f>
        <v>50</v>
      </c>
      <c r="E361" s="350">
        <f>K361+H361</f>
        <v>81</v>
      </c>
      <c r="F361" s="350">
        <f>SUM(G361:H361)</f>
        <v>91</v>
      </c>
      <c r="G361" s="350">
        <v>32</v>
      </c>
      <c r="H361" s="350">
        <v>59</v>
      </c>
      <c r="I361" s="350">
        <f>SUM(J361:K361)</f>
        <v>40</v>
      </c>
      <c r="J361" s="350">
        <v>18</v>
      </c>
      <c r="K361" s="350">
        <v>22</v>
      </c>
      <c r="L361" s="352" t="s">
        <v>336</v>
      </c>
    </row>
    <row r="362" spans="3:12" ht="16.5" customHeight="1" thickBot="1" x14ac:dyDescent="0.25">
      <c r="C362" s="350">
        <f t="shared" ref="C362:J362" si="92">SUM(C361)</f>
        <v>131</v>
      </c>
      <c r="D362" s="350">
        <f t="shared" si="92"/>
        <v>50</v>
      </c>
      <c r="E362" s="350">
        <f t="shared" si="92"/>
        <v>81</v>
      </c>
      <c r="F362" s="350">
        <f t="shared" si="92"/>
        <v>91</v>
      </c>
      <c r="G362" s="350">
        <f t="shared" si="92"/>
        <v>32</v>
      </c>
      <c r="H362" s="350">
        <f t="shared" si="92"/>
        <v>59</v>
      </c>
      <c r="I362" s="350">
        <f t="shared" si="92"/>
        <v>40</v>
      </c>
      <c r="J362" s="350">
        <f t="shared" si="92"/>
        <v>18</v>
      </c>
      <c r="K362" s="350">
        <f>SUM(K361)</f>
        <v>22</v>
      </c>
      <c r="L362" s="353" t="s">
        <v>244</v>
      </c>
    </row>
    <row r="363" spans="3:12" ht="16.5" customHeight="1" thickBot="1" x14ac:dyDescent="0.25"/>
    <row r="364" spans="3:12" ht="16.5" customHeight="1" thickBot="1" x14ac:dyDescent="0.25">
      <c r="C364" s="597" t="s">
        <v>4</v>
      </c>
      <c r="D364" s="597"/>
      <c r="E364" s="597"/>
      <c r="F364" s="597" t="s">
        <v>145</v>
      </c>
      <c r="G364" s="597"/>
      <c r="H364" s="597"/>
      <c r="I364" s="597" t="s">
        <v>146</v>
      </c>
      <c r="J364" s="597"/>
      <c r="K364" s="597"/>
      <c r="L364" s="347" t="s">
        <v>66</v>
      </c>
    </row>
    <row r="365" spans="3:12" ht="16.5" customHeight="1" thickBot="1" x14ac:dyDescent="0.25">
      <c r="C365" s="347" t="s">
        <v>227</v>
      </c>
      <c r="D365" s="347" t="s">
        <v>10</v>
      </c>
      <c r="E365" s="347" t="s">
        <v>9</v>
      </c>
      <c r="F365" s="347" t="s">
        <v>227</v>
      </c>
      <c r="G365" s="347" t="s">
        <v>10</v>
      </c>
      <c r="H365" s="347" t="s">
        <v>9</v>
      </c>
      <c r="I365" s="347" t="s">
        <v>227</v>
      </c>
      <c r="J365" s="347" t="s">
        <v>10</v>
      </c>
      <c r="K365" s="347" t="s">
        <v>9</v>
      </c>
      <c r="L365" s="349" t="s">
        <v>228</v>
      </c>
    </row>
    <row r="366" spans="3:12" ht="16.5" customHeight="1" thickBot="1" x14ac:dyDescent="0.25">
      <c r="C366" s="350">
        <f>SUM(D366:E366)</f>
        <v>108</v>
      </c>
      <c r="D366" s="350">
        <f>J366+G366</f>
        <v>0</v>
      </c>
      <c r="E366" s="350">
        <f>K366+H366</f>
        <v>108</v>
      </c>
      <c r="F366" s="350">
        <f>SUM(G366:H366)</f>
        <v>12</v>
      </c>
      <c r="G366" s="350">
        <v>0</v>
      </c>
      <c r="H366" s="350">
        <v>12</v>
      </c>
      <c r="I366" s="350">
        <f>SUM(J366:K366)</f>
        <v>96</v>
      </c>
      <c r="J366" s="350">
        <v>0</v>
      </c>
      <c r="K366" s="350">
        <v>96</v>
      </c>
      <c r="L366" s="352" t="s">
        <v>334</v>
      </c>
    </row>
    <row r="367" spans="3:12" ht="16.5" customHeight="1" thickBot="1" x14ac:dyDescent="0.25">
      <c r="C367" s="350">
        <f t="shared" ref="C367:C369" si="93">SUM(D367:E367)</f>
        <v>84</v>
      </c>
      <c r="D367" s="350">
        <f t="shared" ref="D367:E369" si="94">J367+G367</f>
        <v>0</v>
      </c>
      <c r="E367" s="350">
        <f t="shared" si="94"/>
        <v>84</v>
      </c>
      <c r="F367" s="350">
        <f t="shared" ref="F367:F369" si="95">SUM(G367:H367)</f>
        <v>9</v>
      </c>
      <c r="G367" s="350">
        <v>0</v>
      </c>
      <c r="H367" s="350">
        <v>9</v>
      </c>
      <c r="I367" s="350">
        <f t="shared" ref="I367:I369" si="96">SUM(J367:K367)</f>
        <v>75</v>
      </c>
      <c r="J367" s="350">
        <v>0</v>
      </c>
      <c r="K367" s="350">
        <v>75</v>
      </c>
      <c r="L367" s="352" t="s">
        <v>335</v>
      </c>
    </row>
    <row r="368" spans="3:12" ht="16.5" customHeight="1" thickBot="1" x14ac:dyDescent="0.25">
      <c r="C368" s="350">
        <f t="shared" si="93"/>
        <v>40</v>
      </c>
      <c r="D368" s="350">
        <f t="shared" si="94"/>
        <v>13</v>
      </c>
      <c r="E368" s="350">
        <f t="shared" si="94"/>
        <v>27</v>
      </c>
      <c r="F368" s="350">
        <f t="shared" si="95"/>
        <v>4</v>
      </c>
      <c r="G368" s="350">
        <v>2</v>
      </c>
      <c r="H368" s="350">
        <v>2</v>
      </c>
      <c r="I368" s="350">
        <f t="shared" si="96"/>
        <v>36</v>
      </c>
      <c r="J368" s="350">
        <v>11</v>
      </c>
      <c r="K368" s="350">
        <v>25</v>
      </c>
      <c r="L368" s="352" t="s">
        <v>572</v>
      </c>
    </row>
    <row r="369" spans="3:12" ht="16.5" customHeight="1" thickBot="1" x14ac:dyDescent="0.25">
      <c r="C369" s="350">
        <f t="shared" si="93"/>
        <v>53</v>
      </c>
      <c r="D369" s="350">
        <f t="shared" si="94"/>
        <v>13</v>
      </c>
      <c r="E369" s="350">
        <f t="shared" si="94"/>
        <v>40</v>
      </c>
      <c r="F369" s="350">
        <f t="shared" si="95"/>
        <v>0</v>
      </c>
      <c r="G369" s="350">
        <v>0</v>
      </c>
      <c r="H369" s="350">
        <v>0</v>
      </c>
      <c r="I369" s="350">
        <f t="shared" si="96"/>
        <v>53</v>
      </c>
      <c r="J369" s="350">
        <v>13</v>
      </c>
      <c r="K369" s="350">
        <v>40</v>
      </c>
      <c r="L369" s="352" t="s">
        <v>573</v>
      </c>
    </row>
    <row r="370" spans="3:12" ht="16.5" customHeight="1" thickBot="1" x14ac:dyDescent="0.25">
      <c r="C370" s="350">
        <f t="shared" ref="C370:J370" si="97">SUM(C366:C369)</f>
        <v>285</v>
      </c>
      <c r="D370" s="350">
        <f t="shared" si="97"/>
        <v>26</v>
      </c>
      <c r="E370" s="350">
        <f t="shared" si="97"/>
        <v>259</v>
      </c>
      <c r="F370" s="350">
        <f t="shared" si="97"/>
        <v>25</v>
      </c>
      <c r="G370" s="350">
        <f t="shared" si="97"/>
        <v>2</v>
      </c>
      <c r="H370" s="350">
        <f t="shared" si="97"/>
        <v>23</v>
      </c>
      <c r="I370" s="350">
        <f t="shared" si="97"/>
        <v>260</v>
      </c>
      <c r="J370" s="350">
        <f t="shared" si="97"/>
        <v>24</v>
      </c>
      <c r="K370" s="350">
        <f>SUM(K366:K369)</f>
        <v>236</v>
      </c>
      <c r="L370" s="353" t="s">
        <v>244</v>
      </c>
    </row>
    <row r="371" spans="3:12" ht="16.5" customHeight="1" thickBot="1" x14ac:dyDescent="0.25"/>
    <row r="372" spans="3:12" ht="16.5" customHeight="1" thickBot="1" x14ac:dyDescent="0.25">
      <c r="C372" s="597" t="s">
        <v>4</v>
      </c>
      <c r="D372" s="597"/>
      <c r="E372" s="597"/>
      <c r="F372" s="597" t="s">
        <v>145</v>
      </c>
      <c r="G372" s="597"/>
      <c r="H372" s="597"/>
      <c r="I372" s="597" t="s">
        <v>146</v>
      </c>
      <c r="J372" s="597"/>
      <c r="K372" s="597"/>
      <c r="L372" s="347" t="s">
        <v>66</v>
      </c>
    </row>
    <row r="373" spans="3:12" ht="16.5" customHeight="1" thickBot="1" x14ac:dyDescent="0.25">
      <c r="C373" s="347" t="s">
        <v>227</v>
      </c>
      <c r="D373" s="347" t="s">
        <v>10</v>
      </c>
      <c r="E373" s="347" t="s">
        <v>9</v>
      </c>
      <c r="F373" s="347" t="s">
        <v>227</v>
      </c>
      <c r="G373" s="347" t="s">
        <v>10</v>
      </c>
      <c r="H373" s="347" t="s">
        <v>9</v>
      </c>
      <c r="I373" s="347" t="s">
        <v>227</v>
      </c>
      <c r="J373" s="347" t="s">
        <v>10</v>
      </c>
      <c r="K373" s="347" t="s">
        <v>9</v>
      </c>
      <c r="L373" s="349" t="s">
        <v>153</v>
      </c>
    </row>
    <row r="374" spans="3:12" ht="16.5" customHeight="1" thickBot="1" x14ac:dyDescent="0.25">
      <c r="C374" s="350">
        <f>SUM(D374:E374)</f>
        <v>433</v>
      </c>
      <c r="D374" s="350">
        <f>J374+G374</f>
        <v>42</v>
      </c>
      <c r="E374" s="350">
        <f>K374+H374</f>
        <v>391</v>
      </c>
      <c r="F374" s="350">
        <f>SUM(G374:H374)</f>
        <v>4</v>
      </c>
      <c r="G374" s="350">
        <v>0</v>
      </c>
      <c r="H374" s="350">
        <v>4</v>
      </c>
      <c r="I374" s="350">
        <f>SUM(J374:K374)</f>
        <v>429</v>
      </c>
      <c r="J374" s="350">
        <v>42</v>
      </c>
      <c r="K374" s="350">
        <v>387</v>
      </c>
      <c r="L374" s="352" t="s">
        <v>153</v>
      </c>
    </row>
    <row r="375" spans="3:12" ht="16.5" customHeight="1" thickBot="1" x14ac:dyDescent="0.25">
      <c r="C375" s="350">
        <f t="shared" ref="C375:J375" si="98">SUM(C374)</f>
        <v>433</v>
      </c>
      <c r="D375" s="350">
        <f t="shared" si="98"/>
        <v>42</v>
      </c>
      <c r="E375" s="350">
        <f t="shared" si="98"/>
        <v>391</v>
      </c>
      <c r="F375" s="350">
        <f t="shared" si="98"/>
        <v>4</v>
      </c>
      <c r="G375" s="350">
        <f t="shared" si="98"/>
        <v>0</v>
      </c>
      <c r="H375" s="350">
        <f t="shared" si="98"/>
        <v>4</v>
      </c>
      <c r="I375" s="350">
        <f t="shared" si="98"/>
        <v>429</v>
      </c>
      <c r="J375" s="350">
        <f t="shared" si="98"/>
        <v>42</v>
      </c>
      <c r="K375" s="350">
        <f>SUM(K374)</f>
        <v>387</v>
      </c>
      <c r="L375" s="353" t="s">
        <v>244</v>
      </c>
    </row>
    <row r="376" spans="3:12" ht="16.5" customHeight="1" thickBot="1" x14ac:dyDescent="0.25"/>
    <row r="377" spans="3:12" ht="16.5" customHeight="1" thickBot="1" x14ac:dyDescent="0.25">
      <c r="C377" s="597" t="s">
        <v>4</v>
      </c>
      <c r="D377" s="597"/>
      <c r="E377" s="597"/>
      <c r="F377" s="597" t="s">
        <v>145</v>
      </c>
      <c r="G377" s="597"/>
      <c r="H377" s="597"/>
      <c r="I377" s="597" t="s">
        <v>146</v>
      </c>
      <c r="J377" s="597"/>
      <c r="K377" s="597"/>
      <c r="L377" s="347" t="s">
        <v>66</v>
      </c>
    </row>
    <row r="378" spans="3:12" ht="16.5" customHeight="1" thickBot="1" x14ac:dyDescent="0.25">
      <c r="C378" s="347" t="s">
        <v>227</v>
      </c>
      <c r="D378" s="347" t="s">
        <v>10</v>
      </c>
      <c r="E378" s="347" t="s">
        <v>9</v>
      </c>
      <c r="F378" s="347" t="s">
        <v>227</v>
      </c>
      <c r="G378" s="347" t="s">
        <v>10</v>
      </c>
      <c r="H378" s="347" t="s">
        <v>9</v>
      </c>
      <c r="I378" s="347" t="s">
        <v>227</v>
      </c>
      <c r="J378" s="347" t="s">
        <v>10</v>
      </c>
      <c r="K378" s="347" t="s">
        <v>9</v>
      </c>
      <c r="L378" s="349" t="s">
        <v>155</v>
      </c>
    </row>
    <row r="379" spans="3:12" ht="16.5" customHeight="1" thickBot="1" x14ac:dyDescent="0.25">
      <c r="C379" s="350">
        <f>SUM(D379:E379)</f>
        <v>132</v>
      </c>
      <c r="D379" s="350">
        <f>J379+G379</f>
        <v>51</v>
      </c>
      <c r="E379" s="350">
        <f>K379+H379</f>
        <v>81</v>
      </c>
      <c r="F379" s="350">
        <f>SUM(G379:H379)</f>
        <v>55</v>
      </c>
      <c r="G379" s="350">
        <v>4</v>
      </c>
      <c r="H379" s="350">
        <v>51</v>
      </c>
      <c r="I379" s="350">
        <f>SUM(J379:K379)</f>
        <v>77</v>
      </c>
      <c r="J379" s="350">
        <v>47</v>
      </c>
      <c r="K379" s="350">
        <v>30</v>
      </c>
      <c r="L379" s="352" t="s">
        <v>127</v>
      </c>
    </row>
    <row r="380" spans="3:12" ht="16.5" customHeight="1" thickBot="1" x14ac:dyDescent="0.25">
      <c r="C380" s="350">
        <f t="shared" ref="C380:C397" si="99">SUM(D380:E380)</f>
        <v>131</v>
      </c>
      <c r="D380" s="350">
        <f t="shared" ref="D380:E397" si="100">J380+G380</f>
        <v>53</v>
      </c>
      <c r="E380" s="350">
        <f t="shared" si="100"/>
        <v>78</v>
      </c>
      <c r="F380" s="350">
        <f t="shared" ref="F380:F397" si="101">SUM(G380:H380)</f>
        <v>52</v>
      </c>
      <c r="G380" s="350">
        <v>13</v>
      </c>
      <c r="H380" s="350">
        <v>39</v>
      </c>
      <c r="I380" s="350">
        <f t="shared" ref="I380:I397" si="102">SUM(J380:K380)</f>
        <v>79</v>
      </c>
      <c r="J380" s="350">
        <v>40</v>
      </c>
      <c r="K380" s="350">
        <v>39</v>
      </c>
      <c r="L380" s="352" t="s">
        <v>836</v>
      </c>
    </row>
    <row r="381" spans="3:12" ht="16.5" customHeight="1" thickBot="1" x14ac:dyDescent="0.25">
      <c r="C381" s="350">
        <f t="shared" si="99"/>
        <v>12</v>
      </c>
      <c r="D381" s="350">
        <f t="shared" si="100"/>
        <v>3</v>
      </c>
      <c r="E381" s="350">
        <f t="shared" si="100"/>
        <v>9</v>
      </c>
      <c r="F381" s="350">
        <f t="shared" si="101"/>
        <v>11</v>
      </c>
      <c r="G381" s="350">
        <v>2</v>
      </c>
      <c r="H381" s="350">
        <v>9</v>
      </c>
      <c r="I381" s="350">
        <f t="shared" si="102"/>
        <v>1</v>
      </c>
      <c r="J381" s="350">
        <v>1</v>
      </c>
      <c r="K381" s="350">
        <v>0</v>
      </c>
      <c r="L381" s="352" t="s">
        <v>129</v>
      </c>
    </row>
    <row r="382" spans="3:12" ht="16.5" customHeight="1" thickBot="1" x14ac:dyDescent="0.25">
      <c r="C382" s="350">
        <f t="shared" si="99"/>
        <v>132</v>
      </c>
      <c r="D382" s="350">
        <f t="shared" si="100"/>
        <v>118</v>
      </c>
      <c r="E382" s="350">
        <f t="shared" si="100"/>
        <v>14</v>
      </c>
      <c r="F382" s="350">
        <f t="shared" si="101"/>
        <v>55</v>
      </c>
      <c r="G382" s="350">
        <v>43</v>
      </c>
      <c r="H382" s="350">
        <v>12</v>
      </c>
      <c r="I382" s="350">
        <f t="shared" si="102"/>
        <v>77</v>
      </c>
      <c r="J382" s="350">
        <v>75</v>
      </c>
      <c r="K382" s="350">
        <v>2</v>
      </c>
      <c r="L382" s="352" t="s">
        <v>130</v>
      </c>
    </row>
    <row r="383" spans="3:12" ht="16.5" customHeight="1" thickBot="1" x14ac:dyDescent="0.25">
      <c r="C383" s="350">
        <f t="shared" si="99"/>
        <v>171</v>
      </c>
      <c r="D383" s="350">
        <f t="shared" si="100"/>
        <v>63</v>
      </c>
      <c r="E383" s="350">
        <f t="shared" si="100"/>
        <v>108</v>
      </c>
      <c r="F383" s="350">
        <f t="shared" si="101"/>
        <v>77</v>
      </c>
      <c r="G383" s="350">
        <v>12</v>
      </c>
      <c r="H383" s="350">
        <v>65</v>
      </c>
      <c r="I383" s="350">
        <f t="shared" si="102"/>
        <v>94</v>
      </c>
      <c r="J383" s="350">
        <v>51</v>
      </c>
      <c r="K383" s="350">
        <v>43</v>
      </c>
      <c r="L383" s="352" t="s">
        <v>131</v>
      </c>
    </row>
    <row r="384" spans="3:12" ht="16.5" customHeight="1" thickBot="1" x14ac:dyDescent="0.25">
      <c r="C384" s="350">
        <f t="shared" si="99"/>
        <v>67</v>
      </c>
      <c r="D384" s="350">
        <f t="shared" si="100"/>
        <v>22</v>
      </c>
      <c r="E384" s="350">
        <f t="shared" si="100"/>
        <v>45</v>
      </c>
      <c r="F384" s="350">
        <f t="shared" si="101"/>
        <v>33</v>
      </c>
      <c r="G384" s="350">
        <v>5</v>
      </c>
      <c r="H384" s="350">
        <v>28</v>
      </c>
      <c r="I384" s="350">
        <f t="shared" si="102"/>
        <v>34</v>
      </c>
      <c r="J384" s="350">
        <v>17</v>
      </c>
      <c r="K384" s="350">
        <v>17</v>
      </c>
      <c r="L384" s="352" t="s">
        <v>132</v>
      </c>
    </row>
    <row r="385" spans="3:12" ht="16.5" customHeight="1" thickBot="1" x14ac:dyDescent="0.25">
      <c r="C385" s="350">
        <f t="shared" si="99"/>
        <v>159</v>
      </c>
      <c r="D385" s="350">
        <f t="shared" si="100"/>
        <v>141</v>
      </c>
      <c r="E385" s="350">
        <f t="shared" si="100"/>
        <v>18</v>
      </c>
      <c r="F385" s="350">
        <f t="shared" si="101"/>
        <v>79</v>
      </c>
      <c r="G385" s="350">
        <v>63</v>
      </c>
      <c r="H385" s="350">
        <v>16</v>
      </c>
      <c r="I385" s="350">
        <f t="shared" si="102"/>
        <v>80</v>
      </c>
      <c r="J385" s="350">
        <v>78</v>
      </c>
      <c r="K385" s="350">
        <v>2</v>
      </c>
      <c r="L385" s="352" t="s">
        <v>133</v>
      </c>
    </row>
    <row r="386" spans="3:12" ht="16.5" customHeight="1" thickBot="1" x14ac:dyDescent="0.25">
      <c r="C386" s="350">
        <f t="shared" si="99"/>
        <v>21</v>
      </c>
      <c r="D386" s="350">
        <f t="shared" si="100"/>
        <v>6</v>
      </c>
      <c r="E386" s="350">
        <f t="shared" si="100"/>
        <v>15</v>
      </c>
      <c r="F386" s="350">
        <f t="shared" si="101"/>
        <v>5</v>
      </c>
      <c r="G386" s="350">
        <v>0</v>
      </c>
      <c r="H386" s="350">
        <v>5</v>
      </c>
      <c r="I386" s="350">
        <f t="shared" si="102"/>
        <v>16</v>
      </c>
      <c r="J386" s="350">
        <v>6</v>
      </c>
      <c r="K386" s="350">
        <v>10</v>
      </c>
      <c r="L386" s="352" t="s">
        <v>134</v>
      </c>
    </row>
    <row r="387" spans="3:12" ht="16.5" customHeight="1" thickBot="1" x14ac:dyDescent="0.25">
      <c r="C387" s="350">
        <f t="shared" si="99"/>
        <v>22</v>
      </c>
      <c r="D387" s="350">
        <f t="shared" si="100"/>
        <v>0</v>
      </c>
      <c r="E387" s="350">
        <f t="shared" si="100"/>
        <v>22</v>
      </c>
      <c r="F387" s="350">
        <f t="shared" si="101"/>
        <v>6</v>
      </c>
      <c r="G387" s="350">
        <v>0</v>
      </c>
      <c r="H387" s="350">
        <v>6</v>
      </c>
      <c r="I387" s="350">
        <f t="shared" si="102"/>
        <v>16</v>
      </c>
      <c r="J387" s="350">
        <v>0</v>
      </c>
      <c r="K387" s="350">
        <v>16</v>
      </c>
      <c r="L387" s="352" t="s">
        <v>135</v>
      </c>
    </row>
    <row r="388" spans="3:12" ht="16.5" customHeight="1" thickBot="1" x14ac:dyDescent="0.25">
      <c r="C388" s="350">
        <f t="shared" si="99"/>
        <v>13</v>
      </c>
      <c r="D388" s="350">
        <f t="shared" si="100"/>
        <v>8</v>
      </c>
      <c r="E388" s="350">
        <f t="shared" si="100"/>
        <v>5</v>
      </c>
      <c r="F388" s="350">
        <f t="shared" si="101"/>
        <v>8</v>
      </c>
      <c r="G388" s="350">
        <v>3</v>
      </c>
      <c r="H388" s="350">
        <v>5</v>
      </c>
      <c r="I388" s="350">
        <f t="shared" si="102"/>
        <v>5</v>
      </c>
      <c r="J388" s="350">
        <v>5</v>
      </c>
      <c r="K388" s="350">
        <v>0</v>
      </c>
      <c r="L388" s="352" t="s">
        <v>137</v>
      </c>
    </row>
    <row r="389" spans="3:12" ht="16.5" customHeight="1" thickBot="1" x14ac:dyDescent="0.25">
      <c r="C389" s="350">
        <f t="shared" si="99"/>
        <v>162</v>
      </c>
      <c r="D389" s="350">
        <f t="shared" si="100"/>
        <v>84</v>
      </c>
      <c r="E389" s="350">
        <f t="shared" si="100"/>
        <v>78</v>
      </c>
      <c r="F389" s="350">
        <f t="shared" si="101"/>
        <v>137</v>
      </c>
      <c r="G389" s="350">
        <v>70</v>
      </c>
      <c r="H389" s="350">
        <v>67</v>
      </c>
      <c r="I389" s="350">
        <f t="shared" si="102"/>
        <v>25</v>
      </c>
      <c r="J389" s="350">
        <v>14</v>
      </c>
      <c r="K389" s="350">
        <v>11</v>
      </c>
      <c r="L389" s="357" t="s">
        <v>204</v>
      </c>
    </row>
    <row r="390" spans="3:12" ht="16.5" customHeight="1" thickBot="1" x14ac:dyDescent="0.25">
      <c r="C390" s="350">
        <f t="shared" si="99"/>
        <v>28</v>
      </c>
      <c r="D390" s="350">
        <f t="shared" si="100"/>
        <v>10</v>
      </c>
      <c r="E390" s="350">
        <f t="shared" si="100"/>
        <v>18</v>
      </c>
      <c r="F390" s="350">
        <f t="shared" si="101"/>
        <v>12</v>
      </c>
      <c r="G390" s="350">
        <v>3</v>
      </c>
      <c r="H390" s="350">
        <v>9</v>
      </c>
      <c r="I390" s="350">
        <f t="shared" si="102"/>
        <v>16</v>
      </c>
      <c r="J390" s="350">
        <v>7</v>
      </c>
      <c r="K390" s="350">
        <v>9</v>
      </c>
      <c r="L390" s="352" t="s">
        <v>138</v>
      </c>
    </row>
    <row r="391" spans="3:12" ht="16.5" customHeight="1" thickBot="1" x14ac:dyDescent="0.25">
      <c r="C391" s="350">
        <f t="shared" si="99"/>
        <v>7</v>
      </c>
      <c r="D391" s="350">
        <f t="shared" si="100"/>
        <v>0</v>
      </c>
      <c r="E391" s="350">
        <f t="shared" si="100"/>
        <v>7</v>
      </c>
      <c r="F391" s="350">
        <f t="shared" si="101"/>
        <v>1</v>
      </c>
      <c r="G391" s="350">
        <v>0</v>
      </c>
      <c r="H391" s="350">
        <v>1</v>
      </c>
      <c r="I391" s="350">
        <f t="shared" si="102"/>
        <v>6</v>
      </c>
      <c r="J391" s="350">
        <v>0</v>
      </c>
      <c r="K391" s="350">
        <v>6</v>
      </c>
      <c r="L391" s="352" t="s">
        <v>139</v>
      </c>
    </row>
    <row r="392" spans="3:12" ht="16.5" customHeight="1" thickBot="1" x14ac:dyDescent="0.25">
      <c r="C392" s="350">
        <f t="shared" si="99"/>
        <v>45</v>
      </c>
      <c r="D392" s="350">
        <f t="shared" si="100"/>
        <v>14</v>
      </c>
      <c r="E392" s="350">
        <f t="shared" si="100"/>
        <v>31</v>
      </c>
      <c r="F392" s="350">
        <f t="shared" si="101"/>
        <v>21</v>
      </c>
      <c r="G392" s="350">
        <v>7</v>
      </c>
      <c r="H392" s="350">
        <v>14</v>
      </c>
      <c r="I392" s="350">
        <f t="shared" si="102"/>
        <v>24</v>
      </c>
      <c r="J392" s="350">
        <v>7</v>
      </c>
      <c r="K392" s="350">
        <v>17</v>
      </c>
      <c r="L392" s="352" t="s">
        <v>140</v>
      </c>
    </row>
    <row r="393" spans="3:12" ht="16.5" customHeight="1" thickBot="1" x14ac:dyDescent="0.25">
      <c r="C393" s="350">
        <f t="shared" si="99"/>
        <v>27</v>
      </c>
      <c r="D393" s="350">
        <f t="shared" si="100"/>
        <v>2</v>
      </c>
      <c r="E393" s="350">
        <f t="shared" si="100"/>
        <v>25</v>
      </c>
      <c r="F393" s="350">
        <f t="shared" si="101"/>
        <v>9</v>
      </c>
      <c r="G393" s="350">
        <v>1</v>
      </c>
      <c r="H393" s="350">
        <v>8</v>
      </c>
      <c r="I393" s="350">
        <f t="shared" si="102"/>
        <v>18</v>
      </c>
      <c r="J393" s="350">
        <v>1</v>
      </c>
      <c r="K393" s="350">
        <v>17</v>
      </c>
      <c r="L393" s="352" t="s">
        <v>787</v>
      </c>
    </row>
    <row r="394" spans="3:12" ht="16.5" customHeight="1" thickBot="1" x14ac:dyDescent="0.25">
      <c r="C394" s="350">
        <f t="shared" si="99"/>
        <v>56</v>
      </c>
      <c r="D394" s="350">
        <f t="shared" si="100"/>
        <v>23</v>
      </c>
      <c r="E394" s="350">
        <f t="shared" si="100"/>
        <v>33</v>
      </c>
      <c r="F394" s="350">
        <f t="shared" si="101"/>
        <v>38</v>
      </c>
      <c r="G394" s="350">
        <v>13</v>
      </c>
      <c r="H394" s="350">
        <v>25</v>
      </c>
      <c r="I394" s="350">
        <f t="shared" si="102"/>
        <v>18</v>
      </c>
      <c r="J394" s="350">
        <v>10</v>
      </c>
      <c r="K394" s="350">
        <v>8</v>
      </c>
      <c r="L394" s="357" t="s">
        <v>569</v>
      </c>
    </row>
    <row r="395" spans="3:12" ht="16.5" customHeight="1" thickBot="1" x14ac:dyDescent="0.25">
      <c r="C395" s="350">
        <f t="shared" si="99"/>
        <v>24</v>
      </c>
      <c r="D395" s="350">
        <f t="shared" si="100"/>
        <v>24</v>
      </c>
      <c r="E395" s="350">
        <f t="shared" si="100"/>
        <v>0</v>
      </c>
      <c r="F395" s="350">
        <f t="shared" si="101"/>
        <v>6</v>
      </c>
      <c r="G395" s="350">
        <v>6</v>
      </c>
      <c r="H395" s="350">
        <v>0</v>
      </c>
      <c r="I395" s="350">
        <f t="shared" si="102"/>
        <v>18</v>
      </c>
      <c r="J395" s="350">
        <v>18</v>
      </c>
      <c r="K395" s="350">
        <v>0</v>
      </c>
      <c r="L395" s="357" t="s">
        <v>193</v>
      </c>
    </row>
    <row r="396" spans="3:12" ht="16.5" customHeight="1" thickBot="1" x14ac:dyDescent="0.25">
      <c r="C396" s="350">
        <f t="shared" si="99"/>
        <v>8</v>
      </c>
      <c r="D396" s="350">
        <f t="shared" si="100"/>
        <v>8</v>
      </c>
      <c r="E396" s="350">
        <f t="shared" si="100"/>
        <v>0</v>
      </c>
      <c r="F396" s="350">
        <f t="shared" si="101"/>
        <v>3</v>
      </c>
      <c r="G396" s="350">
        <v>3</v>
      </c>
      <c r="H396" s="350">
        <v>0</v>
      </c>
      <c r="I396" s="350">
        <f t="shared" si="102"/>
        <v>5</v>
      </c>
      <c r="J396" s="350">
        <v>5</v>
      </c>
      <c r="K396" s="350">
        <v>0</v>
      </c>
      <c r="L396" s="352" t="s">
        <v>141</v>
      </c>
    </row>
    <row r="397" spans="3:12" ht="16.5" customHeight="1" thickBot="1" x14ac:dyDescent="0.25">
      <c r="C397" s="350">
        <f t="shared" si="99"/>
        <v>27</v>
      </c>
      <c r="D397" s="350">
        <f t="shared" si="100"/>
        <v>17</v>
      </c>
      <c r="E397" s="350">
        <f t="shared" si="100"/>
        <v>10</v>
      </c>
      <c r="F397" s="350">
        <f t="shared" si="101"/>
        <v>12</v>
      </c>
      <c r="G397" s="350">
        <v>6</v>
      </c>
      <c r="H397" s="350">
        <v>6</v>
      </c>
      <c r="I397" s="350">
        <f t="shared" si="102"/>
        <v>15</v>
      </c>
      <c r="J397" s="350">
        <v>11</v>
      </c>
      <c r="K397" s="350">
        <v>4</v>
      </c>
      <c r="L397" s="361" t="s">
        <v>203</v>
      </c>
    </row>
    <row r="398" spans="3:12" ht="16.5" customHeight="1" thickBot="1" x14ac:dyDescent="0.25">
      <c r="C398" s="350">
        <f t="shared" ref="C398:K398" si="103">SUM(C379:C397)</f>
        <v>1244</v>
      </c>
      <c r="D398" s="350">
        <f t="shared" si="103"/>
        <v>647</v>
      </c>
      <c r="E398" s="350">
        <f t="shared" si="103"/>
        <v>597</v>
      </c>
      <c r="F398" s="350">
        <f t="shared" si="103"/>
        <v>620</v>
      </c>
      <c r="G398" s="350">
        <f t="shared" si="103"/>
        <v>254</v>
      </c>
      <c r="H398" s="350">
        <f t="shared" si="103"/>
        <v>366</v>
      </c>
      <c r="I398" s="350">
        <f t="shared" si="103"/>
        <v>624</v>
      </c>
      <c r="J398" s="350">
        <f t="shared" si="103"/>
        <v>393</v>
      </c>
      <c r="K398" s="350">
        <f t="shared" si="103"/>
        <v>231</v>
      </c>
      <c r="L398" s="353" t="s">
        <v>244</v>
      </c>
    </row>
  </sheetData>
  <mergeCells count="77">
    <mergeCell ref="C377:E377"/>
    <mergeCell ref="F377:H377"/>
    <mergeCell ref="I377:K377"/>
    <mergeCell ref="C364:E364"/>
    <mergeCell ref="F364:H364"/>
    <mergeCell ref="I364:K364"/>
    <mergeCell ref="C372:E372"/>
    <mergeCell ref="F372:H372"/>
    <mergeCell ref="I372:K372"/>
    <mergeCell ref="C311:E311"/>
    <mergeCell ref="F311:H311"/>
    <mergeCell ref="I311:K311"/>
    <mergeCell ref="C359:E359"/>
    <mergeCell ref="F359:H359"/>
    <mergeCell ref="I359:K359"/>
    <mergeCell ref="C291:E291"/>
    <mergeCell ref="F291:H291"/>
    <mergeCell ref="I291:K291"/>
    <mergeCell ref="C302:E302"/>
    <mergeCell ref="F302:H302"/>
    <mergeCell ref="I302:K302"/>
    <mergeCell ref="C268:E268"/>
    <mergeCell ref="F268:H268"/>
    <mergeCell ref="I268:K268"/>
    <mergeCell ref="C279:E279"/>
    <mergeCell ref="F279:H279"/>
    <mergeCell ref="I279:K279"/>
    <mergeCell ref="C242:E242"/>
    <mergeCell ref="F242:H242"/>
    <mergeCell ref="I242:K242"/>
    <mergeCell ref="C256:E256"/>
    <mergeCell ref="F256:H256"/>
    <mergeCell ref="I256:K256"/>
    <mergeCell ref="C212:E212"/>
    <mergeCell ref="F212:H212"/>
    <mergeCell ref="I212:K212"/>
    <mergeCell ref="C231:E231"/>
    <mergeCell ref="F231:H231"/>
    <mergeCell ref="I231:K231"/>
    <mergeCell ref="C199:E199"/>
    <mergeCell ref="F199:H199"/>
    <mergeCell ref="I199:K199"/>
    <mergeCell ref="C204:E204"/>
    <mergeCell ref="F204:H204"/>
    <mergeCell ref="I204:K204"/>
    <mergeCell ref="C159:E159"/>
    <mergeCell ref="F159:H159"/>
    <mergeCell ref="I159:K159"/>
    <mergeCell ref="C188:E188"/>
    <mergeCell ref="F188:H188"/>
    <mergeCell ref="I188:K188"/>
    <mergeCell ref="C105:E105"/>
    <mergeCell ref="F105:H105"/>
    <mergeCell ref="I105:K105"/>
    <mergeCell ref="C140:E140"/>
    <mergeCell ref="F140:H140"/>
    <mergeCell ref="I140:K140"/>
    <mergeCell ref="C63:E63"/>
    <mergeCell ref="F63:H63"/>
    <mergeCell ref="I63:K63"/>
    <mergeCell ref="C91:E91"/>
    <mergeCell ref="F91:H91"/>
    <mergeCell ref="I91:K91"/>
    <mergeCell ref="C13:E13"/>
    <mergeCell ref="F13:H13"/>
    <mergeCell ref="I13:K13"/>
    <mergeCell ref="C32:E32"/>
    <mergeCell ref="F32:H32"/>
    <mergeCell ref="I32:K32"/>
    <mergeCell ref="C8:E8"/>
    <mergeCell ref="F8:H8"/>
    <mergeCell ref="I8:K8"/>
    <mergeCell ref="C1:L1"/>
    <mergeCell ref="C2:L2"/>
    <mergeCell ref="C3:E3"/>
    <mergeCell ref="F3:H3"/>
    <mergeCell ref="I3:K3"/>
  </mergeCells>
  <pageMargins left="1.19" right="0.4" top="0.25" bottom="0.25" header="0.25" footer="0.25"/>
  <pageSetup paperSize="9" scale="85" orientation="landscape" r:id="rId1"/>
  <headerFooter alignWithMargins="0"/>
  <rowBreaks count="10" manualBreakCount="10">
    <brk id="31" max="16383" man="1"/>
    <brk id="62" min="2" max="11" man="1"/>
    <brk id="103" min="2" max="11" man="1"/>
    <brk id="139" min="2" max="11" man="1"/>
    <brk id="186" min="2" max="11" man="1"/>
    <brk id="230" min="2" max="11" man="1"/>
    <brk id="277" min="2" max="11" man="1"/>
    <brk id="310" min="2" max="11" man="1"/>
    <brk id="351" min="2" max="11" man="1"/>
    <brk id="376" min="2" max="11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V83"/>
  <sheetViews>
    <sheetView showGridLines="0" view="pageBreakPreview" topLeftCell="A58" zoomScaleNormal="100" zoomScaleSheetLayoutView="100" workbookViewId="0">
      <selection activeCell="M25" sqref="M25"/>
    </sheetView>
  </sheetViews>
  <sheetFormatPr defaultRowHeight="12.75" x14ac:dyDescent="0.2"/>
  <cols>
    <col min="1" max="1" width="9" style="142"/>
    <col min="2" max="4" width="6.125" style="142" customWidth="1"/>
    <col min="5" max="19" width="4.875" style="142" customWidth="1"/>
    <col min="20" max="20" width="9.625" style="142" customWidth="1"/>
    <col min="21" max="21" width="35.75" style="142" customWidth="1"/>
    <col min="22" max="22" width="1.375" style="142" customWidth="1"/>
    <col min="23" max="23" width="9" style="142"/>
    <col min="24" max="25" width="5" style="142" bestFit="1" customWidth="1"/>
    <col min="26" max="257" width="9" style="142"/>
    <col min="258" max="260" width="6.125" style="142" customWidth="1"/>
    <col min="261" max="275" width="4.875" style="142" customWidth="1"/>
    <col min="276" max="276" width="9.625" style="142" customWidth="1"/>
    <col min="277" max="277" width="35.75" style="142" customWidth="1"/>
    <col min="278" max="278" width="1.375" style="142" customWidth="1"/>
    <col min="279" max="279" width="9" style="142"/>
    <col min="280" max="281" width="5" style="142" bestFit="1" customWidth="1"/>
    <col min="282" max="513" width="9" style="142"/>
    <col min="514" max="516" width="6.125" style="142" customWidth="1"/>
    <col min="517" max="531" width="4.875" style="142" customWidth="1"/>
    <col min="532" max="532" width="9.625" style="142" customWidth="1"/>
    <col min="533" max="533" width="35.75" style="142" customWidth="1"/>
    <col min="534" max="534" width="1.375" style="142" customWidth="1"/>
    <col min="535" max="535" width="9" style="142"/>
    <col min="536" max="537" width="5" style="142" bestFit="1" customWidth="1"/>
    <col min="538" max="769" width="9" style="142"/>
    <col min="770" max="772" width="6.125" style="142" customWidth="1"/>
    <col min="773" max="787" width="4.875" style="142" customWidth="1"/>
    <col min="788" max="788" width="9.625" style="142" customWidth="1"/>
    <col min="789" max="789" width="35.75" style="142" customWidth="1"/>
    <col min="790" max="790" width="1.375" style="142" customWidth="1"/>
    <col min="791" max="791" width="9" style="142"/>
    <col min="792" max="793" width="5" style="142" bestFit="1" customWidth="1"/>
    <col min="794" max="1025" width="9" style="142"/>
    <col min="1026" max="1028" width="6.125" style="142" customWidth="1"/>
    <col min="1029" max="1043" width="4.875" style="142" customWidth="1"/>
    <col min="1044" max="1044" width="9.625" style="142" customWidth="1"/>
    <col min="1045" max="1045" width="35.75" style="142" customWidth="1"/>
    <col min="1046" max="1046" width="1.375" style="142" customWidth="1"/>
    <col min="1047" max="1047" width="9" style="142"/>
    <col min="1048" max="1049" width="5" style="142" bestFit="1" customWidth="1"/>
    <col min="1050" max="1281" width="9" style="142"/>
    <col min="1282" max="1284" width="6.125" style="142" customWidth="1"/>
    <col min="1285" max="1299" width="4.875" style="142" customWidth="1"/>
    <col min="1300" max="1300" width="9.625" style="142" customWidth="1"/>
    <col min="1301" max="1301" width="35.75" style="142" customWidth="1"/>
    <col min="1302" max="1302" width="1.375" style="142" customWidth="1"/>
    <col min="1303" max="1303" width="9" style="142"/>
    <col min="1304" max="1305" width="5" style="142" bestFit="1" customWidth="1"/>
    <col min="1306" max="1537" width="9" style="142"/>
    <col min="1538" max="1540" width="6.125" style="142" customWidth="1"/>
    <col min="1541" max="1555" width="4.875" style="142" customWidth="1"/>
    <col min="1556" max="1556" width="9.625" style="142" customWidth="1"/>
    <col min="1557" max="1557" width="35.75" style="142" customWidth="1"/>
    <col min="1558" max="1558" width="1.375" style="142" customWidth="1"/>
    <col min="1559" max="1559" width="9" style="142"/>
    <col min="1560" max="1561" width="5" style="142" bestFit="1" customWidth="1"/>
    <col min="1562" max="1793" width="9" style="142"/>
    <col min="1794" max="1796" width="6.125" style="142" customWidth="1"/>
    <col min="1797" max="1811" width="4.875" style="142" customWidth="1"/>
    <col min="1812" max="1812" width="9.625" style="142" customWidth="1"/>
    <col min="1813" max="1813" width="35.75" style="142" customWidth="1"/>
    <col min="1814" max="1814" width="1.375" style="142" customWidth="1"/>
    <col min="1815" max="1815" width="9" style="142"/>
    <col min="1816" max="1817" width="5" style="142" bestFit="1" customWidth="1"/>
    <col min="1818" max="2049" width="9" style="142"/>
    <col min="2050" max="2052" width="6.125" style="142" customWidth="1"/>
    <col min="2053" max="2067" width="4.875" style="142" customWidth="1"/>
    <col min="2068" max="2068" width="9.625" style="142" customWidth="1"/>
    <col min="2069" max="2069" width="35.75" style="142" customWidth="1"/>
    <col min="2070" max="2070" width="1.375" style="142" customWidth="1"/>
    <col min="2071" max="2071" width="9" style="142"/>
    <col min="2072" max="2073" width="5" style="142" bestFit="1" customWidth="1"/>
    <col min="2074" max="2305" width="9" style="142"/>
    <col min="2306" max="2308" width="6.125" style="142" customWidth="1"/>
    <col min="2309" max="2323" width="4.875" style="142" customWidth="1"/>
    <col min="2324" max="2324" width="9.625" style="142" customWidth="1"/>
    <col min="2325" max="2325" width="35.75" style="142" customWidth="1"/>
    <col min="2326" max="2326" width="1.375" style="142" customWidth="1"/>
    <col min="2327" max="2327" width="9" style="142"/>
    <col min="2328" max="2329" width="5" style="142" bestFit="1" customWidth="1"/>
    <col min="2330" max="2561" width="9" style="142"/>
    <col min="2562" max="2564" width="6.125" style="142" customWidth="1"/>
    <col min="2565" max="2579" width="4.875" style="142" customWidth="1"/>
    <col min="2580" max="2580" width="9.625" style="142" customWidth="1"/>
    <col min="2581" max="2581" width="35.75" style="142" customWidth="1"/>
    <col min="2582" max="2582" width="1.375" style="142" customWidth="1"/>
    <col min="2583" max="2583" width="9" style="142"/>
    <col min="2584" max="2585" width="5" style="142" bestFit="1" customWidth="1"/>
    <col min="2586" max="2817" width="9" style="142"/>
    <col min="2818" max="2820" width="6.125" style="142" customWidth="1"/>
    <col min="2821" max="2835" width="4.875" style="142" customWidth="1"/>
    <col min="2836" max="2836" width="9.625" style="142" customWidth="1"/>
    <col min="2837" max="2837" width="35.75" style="142" customWidth="1"/>
    <col min="2838" max="2838" width="1.375" style="142" customWidth="1"/>
    <col min="2839" max="2839" width="9" style="142"/>
    <col min="2840" max="2841" width="5" style="142" bestFit="1" customWidth="1"/>
    <col min="2842" max="3073" width="9" style="142"/>
    <col min="3074" max="3076" width="6.125" style="142" customWidth="1"/>
    <col min="3077" max="3091" width="4.875" style="142" customWidth="1"/>
    <col min="3092" max="3092" width="9.625" style="142" customWidth="1"/>
    <col min="3093" max="3093" width="35.75" style="142" customWidth="1"/>
    <col min="3094" max="3094" width="1.375" style="142" customWidth="1"/>
    <col min="3095" max="3095" width="9" style="142"/>
    <col min="3096" max="3097" width="5" style="142" bestFit="1" customWidth="1"/>
    <col min="3098" max="3329" width="9" style="142"/>
    <col min="3330" max="3332" width="6.125" style="142" customWidth="1"/>
    <col min="3333" max="3347" width="4.875" style="142" customWidth="1"/>
    <col min="3348" max="3348" width="9.625" style="142" customWidth="1"/>
    <col min="3349" max="3349" width="35.75" style="142" customWidth="1"/>
    <col min="3350" max="3350" width="1.375" style="142" customWidth="1"/>
    <col min="3351" max="3351" width="9" style="142"/>
    <col min="3352" max="3353" width="5" style="142" bestFit="1" customWidth="1"/>
    <col min="3354" max="3585" width="9" style="142"/>
    <col min="3586" max="3588" width="6.125" style="142" customWidth="1"/>
    <col min="3589" max="3603" width="4.875" style="142" customWidth="1"/>
    <col min="3604" max="3604" width="9.625" style="142" customWidth="1"/>
    <col min="3605" max="3605" width="35.75" style="142" customWidth="1"/>
    <col min="3606" max="3606" width="1.375" style="142" customWidth="1"/>
    <col min="3607" max="3607" width="9" style="142"/>
    <col min="3608" max="3609" width="5" style="142" bestFit="1" customWidth="1"/>
    <col min="3610" max="3841" width="9" style="142"/>
    <col min="3842" max="3844" width="6.125" style="142" customWidth="1"/>
    <col min="3845" max="3859" width="4.875" style="142" customWidth="1"/>
    <col min="3860" max="3860" width="9.625" style="142" customWidth="1"/>
    <col min="3861" max="3861" width="35.75" style="142" customWidth="1"/>
    <col min="3862" max="3862" width="1.375" style="142" customWidth="1"/>
    <col min="3863" max="3863" width="9" style="142"/>
    <col min="3864" max="3865" width="5" style="142" bestFit="1" customWidth="1"/>
    <col min="3866" max="4097" width="9" style="142"/>
    <col min="4098" max="4100" width="6.125" style="142" customWidth="1"/>
    <col min="4101" max="4115" width="4.875" style="142" customWidth="1"/>
    <col min="4116" max="4116" width="9.625" style="142" customWidth="1"/>
    <col min="4117" max="4117" width="35.75" style="142" customWidth="1"/>
    <col min="4118" max="4118" width="1.375" style="142" customWidth="1"/>
    <col min="4119" max="4119" width="9" style="142"/>
    <col min="4120" max="4121" width="5" style="142" bestFit="1" customWidth="1"/>
    <col min="4122" max="4353" width="9" style="142"/>
    <col min="4354" max="4356" width="6.125" style="142" customWidth="1"/>
    <col min="4357" max="4371" width="4.875" style="142" customWidth="1"/>
    <col min="4372" max="4372" width="9.625" style="142" customWidth="1"/>
    <col min="4373" max="4373" width="35.75" style="142" customWidth="1"/>
    <col min="4374" max="4374" width="1.375" style="142" customWidth="1"/>
    <col min="4375" max="4375" width="9" style="142"/>
    <col min="4376" max="4377" width="5" style="142" bestFit="1" customWidth="1"/>
    <col min="4378" max="4609" width="9" style="142"/>
    <col min="4610" max="4612" width="6.125" style="142" customWidth="1"/>
    <col min="4613" max="4627" width="4.875" style="142" customWidth="1"/>
    <col min="4628" max="4628" width="9.625" style="142" customWidth="1"/>
    <col min="4629" max="4629" width="35.75" style="142" customWidth="1"/>
    <col min="4630" max="4630" width="1.375" style="142" customWidth="1"/>
    <col min="4631" max="4631" width="9" style="142"/>
    <col min="4632" max="4633" width="5" style="142" bestFit="1" customWidth="1"/>
    <col min="4634" max="4865" width="9" style="142"/>
    <col min="4866" max="4868" width="6.125" style="142" customWidth="1"/>
    <col min="4869" max="4883" width="4.875" style="142" customWidth="1"/>
    <col min="4884" max="4884" width="9.625" style="142" customWidth="1"/>
    <col min="4885" max="4885" width="35.75" style="142" customWidth="1"/>
    <col min="4886" max="4886" width="1.375" style="142" customWidth="1"/>
    <col min="4887" max="4887" width="9" style="142"/>
    <col min="4888" max="4889" width="5" style="142" bestFit="1" customWidth="1"/>
    <col min="4890" max="5121" width="9" style="142"/>
    <col min="5122" max="5124" width="6.125" style="142" customWidth="1"/>
    <col min="5125" max="5139" width="4.875" style="142" customWidth="1"/>
    <col min="5140" max="5140" width="9.625" style="142" customWidth="1"/>
    <col min="5141" max="5141" width="35.75" style="142" customWidth="1"/>
    <col min="5142" max="5142" width="1.375" style="142" customWidth="1"/>
    <col min="5143" max="5143" width="9" style="142"/>
    <col min="5144" max="5145" width="5" style="142" bestFit="1" customWidth="1"/>
    <col min="5146" max="5377" width="9" style="142"/>
    <col min="5378" max="5380" width="6.125" style="142" customWidth="1"/>
    <col min="5381" max="5395" width="4.875" style="142" customWidth="1"/>
    <col min="5396" max="5396" width="9.625" style="142" customWidth="1"/>
    <col min="5397" max="5397" width="35.75" style="142" customWidth="1"/>
    <col min="5398" max="5398" width="1.375" style="142" customWidth="1"/>
    <col min="5399" max="5399" width="9" style="142"/>
    <col min="5400" max="5401" width="5" style="142" bestFit="1" customWidth="1"/>
    <col min="5402" max="5633" width="9" style="142"/>
    <col min="5634" max="5636" width="6.125" style="142" customWidth="1"/>
    <col min="5637" max="5651" width="4.875" style="142" customWidth="1"/>
    <col min="5652" max="5652" width="9.625" style="142" customWidth="1"/>
    <col min="5653" max="5653" width="35.75" style="142" customWidth="1"/>
    <col min="5654" max="5654" width="1.375" style="142" customWidth="1"/>
    <col min="5655" max="5655" width="9" style="142"/>
    <col min="5656" max="5657" width="5" style="142" bestFit="1" customWidth="1"/>
    <col min="5658" max="5889" width="9" style="142"/>
    <col min="5890" max="5892" width="6.125" style="142" customWidth="1"/>
    <col min="5893" max="5907" width="4.875" style="142" customWidth="1"/>
    <col min="5908" max="5908" width="9.625" style="142" customWidth="1"/>
    <col min="5909" max="5909" width="35.75" style="142" customWidth="1"/>
    <col min="5910" max="5910" width="1.375" style="142" customWidth="1"/>
    <col min="5911" max="5911" width="9" style="142"/>
    <col min="5912" max="5913" width="5" style="142" bestFit="1" customWidth="1"/>
    <col min="5914" max="6145" width="9" style="142"/>
    <col min="6146" max="6148" width="6.125" style="142" customWidth="1"/>
    <col min="6149" max="6163" width="4.875" style="142" customWidth="1"/>
    <col min="6164" max="6164" width="9.625" style="142" customWidth="1"/>
    <col min="6165" max="6165" width="35.75" style="142" customWidth="1"/>
    <col min="6166" max="6166" width="1.375" style="142" customWidth="1"/>
    <col min="6167" max="6167" width="9" style="142"/>
    <col min="6168" max="6169" width="5" style="142" bestFit="1" customWidth="1"/>
    <col min="6170" max="6401" width="9" style="142"/>
    <col min="6402" max="6404" width="6.125" style="142" customWidth="1"/>
    <col min="6405" max="6419" width="4.875" style="142" customWidth="1"/>
    <col min="6420" max="6420" width="9.625" style="142" customWidth="1"/>
    <col min="6421" max="6421" width="35.75" style="142" customWidth="1"/>
    <col min="6422" max="6422" width="1.375" style="142" customWidth="1"/>
    <col min="6423" max="6423" width="9" style="142"/>
    <col min="6424" max="6425" width="5" style="142" bestFit="1" customWidth="1"/>
    <col min="6426" max="6657" width="9" style="142"/>
    <col min="6658" max="6660" width="6.125" style="142" customWidth="1"/>
    <col min="6661" max="6675" width="4.875" style="142" customWidth="1"/>
    <col min="6676" max="6676" width="9.625" style="142" customWidth="1"/>
    <col min="6677" max="6677" width="35.75" style="142" customWidth="1"/>
    <col min="6678" max="6678" width="1.375" style="142" customWidth="1"/>
    <col min="6679" max="6679" width="9" style="142"/>
    <col min="6680" max="6681" width="5" style="142" bestFit="1" customWidth="1"/>
    <col min="6682" max="6913" width="9" style="142"/>
    <col min="6914" max="6916" width="6.125" style="142" customWidth="1"/>
    <col min="6917" max="6931" width="4.875" style="142" customWidth="1"/>
    <col min="6932" max="6932" width="9.625" style="142" customWidth="1"/>
    <col min="6933" max="6933" width="35.75" style="142" customWidth="1"/>
    <col min="6934" max="6934" width="1.375" style="142" customWidth="1"/>
    <col min="6935" max="6935" width="9" style="142"/>
    <col min="6936" max="6937" width="5" style="142" bestFit="1" customWidth="1"/>
    <col min="6938" max="7169" width="9" style="142"/>
    <col min="7170" max="7172" width="6.125" style="142" customWidth="1"/>
    <col min="7173" max="7187" width="4.875" style="142" customWidth="1"/>
    <col min="7188" max="7188" width="9.625" style="142" customWidth="1"/>
    <col min="7189" max="7189" width="35.75" style="142" customWidth="1"/>
    <col min="7190" max="7190" width="1.375" style="142" customWidth="1"/>
    <col min="7191" max="7191" width="9" style="142"/>
    <col min="7192" max="7193" width="5" style="142" bestFit="1" customWidth="1"/>
    <col min="7194" max="7425" width="9" style="142"/>
    <col min="7426" max="7428" width="6.125" style="142" customWidth="1"/>
    <col min="7429" max="7443" width="4.875" style="142" customWidth="1"/>
    <col min="7444" max="7444" width="9.625" style="142" customWidth="1"/>
    <col min="7445" max="7445" width="35.75" style="142" customWidth="1"/>
    <col min="7446" max="7446" width="1.375" style="142" customWidth="1"/>
    <col min="7447" max="7447" width="9" style="142"/>
    <col min="7448" max="7449" width="5" style="142" bestFit="1" customWidth="1"/>
    <col min="7450" max="7681" width="9" style="142"/>
    <col min="7682" max="7684" width="6.125" style="142" customWidth="1"/>
    <col min="7685" max="7699" width="4.875" style="142" customWidth="1"/>
    <col min="7700" max="7700" width="9.625" style="142" customWidth="1"/>
    <col min="7701" max="7701" width="35.75" style="142" customWidth="1"/>
    <col min="7702" max="7702" width="1.375" style="142" customWidth="1"/>
    <col min="7703" max="7703" width="9" style="142"/>
    <col min="7704" max="7705" width="5" style="142" bestFit="1" customWidth="1"/>
    <col min="7706" max="7937" width="9" style="142"/>
    <col min="7938" max="7940" width="6.125" style="142" customWidth="1"/>
    <col min="7941" max="7955" width="4.875" style="142" customWidth="1"/>
    <col min="7956" max="7956" width="9.625" style="142" customWidth="1"/>
    <col min="7957" max="7957" width="35.75" style="142" customWidth="1"/>
    <col min="7958" max="7958" width="1.375" style="142" customWidth="1"/>
    <col min="7959" max="7959" width="9" style="142"/>
    <col min="7960" max="7961" width="5" style="142" bestFit="1" customWidth="1"/>
    <col min="7962" max="8193" width="9" style="142"/>
    <col min="8194" max="8196" width="6.125" style="142" customWidth="1"/>
    <col min="8197" max="8211" width="4.875" style="142" customWidth="1"/>
    <col min="8212" max="8212" width="9.625" style="142" customWidth="1"/>
    <col min="8213" max="8213" width="35.75" style="142" customWidth="1"/>
    <col min="8214" max="8214" width="1.375" style="142" customWidth="1"/>
    <col min="8215" max="8215" width="9" style="142"/>
    <col min="8216" max="8217" width="5" style="142" bestFit="1" customWidth="1"/>
    <col min="8218" max="8449" width="9" style="142"/>
    <col min="8450" max="8452" width="6.125" style="142" customWidth="1"/>
    <col min="8453" max="8467" width="4.875" style="142" customWidth="1"/>
    <col min="8468" max="8468" width="9.625" style="142" customWidth="1"/>
    <col min="8469" max="8469" width="35.75" style="142" customWidth="1"/>
    <col min="8470" max="8470" width="1.375" style="142" customWidth="1"/>
    <col min="8471" max="8471" width="9" style="142"/>
    <col min="8472" max="8473" width="5" style="142" bestFit="1" customWidth="1"/>
    <col min="8474" max="8705" width="9" style="142"/>
    <col min="8706" max="8708" width="6.125" style="142" customWidth="1"/>
    <col min="8709" max="8723" width="4.875" style="142" customWidth="1"/>
    <col min="8724" max="8724" width="9.625" style="142" customWidth="1"/>
    <col min="8725" max="8725" width="35.75" style="142" customWidth="1"/>
    <col min="8726" max="8726" width="1.375" style="142" customWidth="1"/>
    <col min="8727" max="8727" width="9" style="142"/>
    <col min="8728" max="8729" width="5" style="142" bestFit="1" customWidth="1"/>
    <col min="8730" max="8961" width="9" style="142"/>
    <col min="8962" max="8964" width="6.125" style="142" customWidth="1"/>
    <col min="8965" max="8979" width="4.875" style="142" customWidth="1"/>
    <col min="8980" max="8980" width="9.625" style="142" customWidth="1"/>
    <col min="8981" max="8981" width="35.75" style="142" customWidth="1"/>
    <col min="8982" max="8982" width="1.375" style="142" customWidth="1"/>
    <col min="8983" max="8983" width="9" style="142"/>
    <col min="8984" max="8985" width="5" style="142" bestFit="1" customWidth="1"/>
    <col min="8986" max="9217" width="9" style="142"/>
    <col min="9218" max="9220" width="6.125" style="142" customWidth="1"/>
    <col min="9221" max="9235" width="4.875" style="142" customWidth="1"/>
    <col min="9236" max="9236" width="9.625" style="142" customWidth="1"/>
    <col min="9237" max="9237" width="35.75" style="142" customWidth="1"/>
    <col min="9238" max="9238" width="1.375" style="142" customWidth="1"/>
    <col min="9239" max="9239" width="9" style="142"/>
    <col min="9240" max="9241" width="5" style="142" bestFit="1" customWidth="1"/>
    <col min="9242" max="9473" width="9" style="142"/>
    <col min="9474" max="9476" width="6.125" style="142" customWidth="1"/>
    <col min="9477" max="9491" width="4.875" style="142" customWidth="1"/>
    <col min="9492" max="9492" width="9.625" style="142" customWidth="1"/>
    <col min="9493" max="9493" width="35.75" style="142" customWidth="1"/>
    <col min="9494" max="9494" width="1.375" style="142" customWidth="1"/>
    <col min="9495" max="9495" width="9" style="142"/>
    <col min="9496" max="9497" width="5" style="142" bestFit="1" customWidth="1"/>
    <col min="9498" max="9729" width="9" style="142"/>
    <col min="9730" max="9732" width="6.125" style="142" customWidth="1"/>
    <col min="9733" max="9747" width="4.875" style="142" customWidth="1"/>
    <col min="9748" max="9748" width="9.625" style="142" customWidth="1"/>
    <col min="9749" max="9749" width="35.75" style="142" customWidth="1"/>
    <col min="9750" max="9750" width="1.375" style="142" customWidth="1"/>
    <col min="9751" max="9751" width="9" style="142"/>
    <col min="9752" max="9753" width="5" style="142" bestFit="1" customWidth="1"/>
    <col min="9754" max="9985" width="9" style="142"/>
    <col min="9986" max="9988" width="6.125" style="142" customWidth="1"/>
    <col min="9989" max="10003" width="4.875" style="142" customWidth="1"/>
    <col min="10004" max="10004" width="9.625" style="142" customWidth="1"/>
    <col min="10005" max="10005" width="35.75" style="142" customWidth="1"/>
    <col min="10006" max="10006" width="1.375" style="142" customWidth="1"/>
    <col min="10007" max="10007" width="9" style="142"/>
    <col min="10008" max="10009" width="5" style="142" bestFit="1" customWidth="1"/>
    <col min="10010" max="10241" width="9" style="142"/>
    <col min="10242" max="10244" width="6.125" style="142" customWidth="1"/>
    <col min="10245" max="10259" width="4.875" style="142" customWidth="1"/>
    <col min="10260" max="10260" width="9.625" style="142" customWidth="1"/>
    <col min="10261" max="10261" width="35.75" style="142" customWidth="1"/>
    <col min="10262" max="10262" width="1.375" style="142" customWidth="1"/>
    <col min="10263" max="10263" width="9" style="142"/>
    <col min="10264" max="10265" width="5" style="142" bestFit="1" customWidth="1"/>
    <col min="10266" max="10497" width="9" style="142"/>
    <col min="10498" max="10500" width="6.125" style="142" customWidth="1"/>
    <col min="10501" max="10515" width="4.875" style="142" customWidth="1"/>
    <col min="10516" max="10516" width="9.625" style="142" customWidth="1"/>
    <col min="10517" max="10517" width="35.75" style="142" customWidth="1"/>
    <col min="10518" max="10518" width="1.375" style="142" customWidth="1"/>
    <col min="10519" max="10519" width="9" style="142"/>
    <col min="10520" max="10521" width="5" style="142" bestFit="1" customWidth="1"/>
    <col min="10522" max="10753" width="9" style="142"/>
    <col min="10754" max="10756" width="6.125" style="142" customWidth="1"/>
    <col min="10757" max="10771" width="4.875" style="142" customWidth="1"/>
    <col min="10772" max="10772" width="9.625" style="142" customWidth="1"/>
    <col min="10773" max="10773" width="35.75" style="142" customWidth="1"/>
    <col min="10774" max="10774" width="1.375" style="142" customWidth="1"/>
    <col min="10775" max="10775" width="9" style="142"/>
    <col min="10776" max="10777" width="5" style="142" bestFit="1" customWidth="1"/>
    <col min="10778" max="11009" width="9" style="142"/>
    <col min="11010" max="11012" width="6.125" style="142" customWidth="1"/>
    <col min="11013" max="11027" width="4.875" style="142" customWidth="1"/>
    <col min="11028" max="11028" width="9.625" style="142" customWidth="1"/>
    <col min="11029" max="11029" width="35.75" style="142" customWidth="1"/>
    <col min="11030" max="11030" width="1.375" style="142" customWidth="1"/>
    <col min="11031" max="11031" width="9" style="142"/>
    <col min="11032" max="11033" width="5" style="142" bestFit="1" customWidth="1"/>
    <col min="11034" max="11265" width="9" style="142"/>
    <col min="11266" max="11268" width="6.125" style="142" customWidth="1"/>
    <col min="11269" max="11283" width="4.875" style="142" customWidth="1"/>
    <col min="11284" max="11284" width="9.625" style="142" customWidth="1"/>
    <col min="11285" max="11285" width="35.75" style="142" customWidth="1"/>
    <col min="11286" max="11286" width="1.375" style="142" customWidth="1"/>
    <col min="11287" max="11287" width="9" style="142"/>
    <col min="11288" max="11289" width="5" style="142" bestFit="1" customWidth="1"/>
    <col min="11290" max="11521" width="9" style="142"/>
    <col min="11522" max="11524" width="6.125" style="142" customWidth="1"/>
    <col min="11525" max="11539" width="4.875" style="142" customWidth="1"/>
    <col min="11540" max="11540" width="9.625" style="142" customWidth="1"/>
    <col min="11541" max="11541" width="35.75" style="142" customWidth="1"/>
    <col min="11542" max="11542" width="1.375" style="142" customWidth="1"/>
    <col min="11543" max="11543" width="9" style="142"/>
    <col min="11544" max="11545" width="5" style="142" bestFit="1" customWidth="1"/>
    <col min="11546" max="11777" width="9" style="142"/>
    <col min="11778" max="11780" width="6.125" style="142" customWidth="1"/>
    <col min="11781" max="11795" width="4.875" style="142" customWidth="1"/>
    <col min="11796" max="11796" width="9.625" style="142" customWidth="1"/>
    <col min="11797" max="11797" width="35.75" style="142" customWidth="1"/>
    <col min="11798" max="11798" width="1.375" style="142" customWidth="1"/>
    <col min="11799" max="11799" width="9" style="142"/>
    <col min="11800" max="11801" width="5" style="142" bestFit="1" customWidth="1"/>
    <col min="11802" max="12033" width="9" style="142"/>
    <col min="12034" max="12036" width="6.125" style="142" customWidth="1"/>
    <col min="12037" max="12051" width="4.875" style="142" customWidth="1"/>
    <col min="12052" max="12052" width="9.625" style="142" customWidth="1"/>
    <col min="12053" max="12053" width="35.75" style="142" customWidth="1"/>
    <col min="12054" max="12054" width="1.375" style="142" customWidth="1"/>
    <col min="12055" max="12055" width="9" style="142"/>
    <col min="12056" max="12057" width="5" style="142" bestFit="1" customWidth="1"/>
    <col min="12058" max="12289" width="9" style="142"/>
    <col min="12290" max="12292" width="6.125" style="142" customWidth="1"/>
    <col min="12293" max="12307" width="4.875" style="142" customWidth="1"/>
    <col min="12308" max="12308" width="9.625" style="142" customWidth="1"/>
    <col min="12309" max="12309" width="35.75" style="142" customWidth="1"/>
    <col min="12310" max="12310" width="1.375" style="142" customWidth="1"/>
    <col min="12311" max="12311" width="9" style="142"/>
    <col min="12312" max="12313" width="5" style="142" bestFit="1" customWidth="1"/>
    <col min="12314" max="12545" width="9" style="142"/>
    <col min="12546" max="12548" width="6.125" style="142" customWidth="1"/>
    <col min="12549" max="12563" width="4.875" style="142" customWidth="1"/>
    <col min="12564" max="12564" width="9.625" style="142" customWidth="1"/>
    <col min="12565" max="12565" width="35.75" style="142" customWidth="1"/>
    <col min="12566" max="12566" width="1.375" style="142" customWidth="1"/>
    <col min="12567" max="12567" width="9" style="142"/>
    <col min="12568" max="12569" width="5" style="142" bestFit="1" customWidth="1"/>
    <col min="12570" max="12801" width="9" style="142"/>
    <col min="12802" max="12804" width="6.125" style="142" customWidth="1"/>
    <col min="12805" max="12819" width="4.875" style="142" customWidth="1"/>
    <col min="12820" max="12820" width="9.625" style="142" customWidth="1"/>
    <col min="12821" max="12821" width="35.75" style="142" customWidth="1"/>
    <col min="12822" max="12822" width="1.375" style="142" customWidth="1"/>
    <col min="12823" max="12823" width="9" style="142"/>
    <col min="12824" max="12825" width="5" style="142" bestFit="1" customWidth="1"/>
    <col min="12826" max="13057" width="9" style="142"/>
    <col min="13058" max="13060" width="6.125" style="142" customWidth="1"/>
    <col min="13061" max="13075" width="4.875" style="142" customWidth="1"/>
    <col min="13076" max="13076" width="9.625" style="142" customWidth="1"/>
    <col min="13077" max="13077" width="35.75" style="142" customWidth="1"/>
    <col min="13078" max="13078" width="1.375" style="142" customWidth="1"/>
    <col min="13079" max="13079" width="9" style="142"/>
    <col min="13080" max="13081" width="5" style="142" bestFit="1" customWidth="1"/>
    <col min="13082" max="13313" width="9" style="142"/>
    <col min="13314" max="13316" width="6.125" style="142" customWidth="1"/>
    <col min="13317" max="13331" width="4.875" style="142" customWidth="1"/>
    <col min="13332" max="13332" width="9.625" style="142" customWidth="1"/>
    <col min="13333" max="13333" width="35.75" style="142" customWidth="1"/>
    <col min="13334" max="13334" width="1.375" style="142" customWidth="1"/>
    <col min="13335" max="13335" width="9" style="142"/>
    <col min="13336" max="13337" width="5" style="142" bestFit="1" customWidth="1"/>
    <col min="13338" max="13569" width="9" style="142"/>
    <col min="13570" max="13572" width="6.125" style="142" customWidth="1"/>
    <col min="13573" max="13587" width="4.875" style="142" customWidth="1"/>
    <col min="13588" max="13588" width="9.625" style="142" customWidth="1"/>
    <col min="13589" max="13589" width="35.75" style="142" customWidth="1"/>
    <col min="13590" max="13590" width="1.375" style="142" customWidth="1"/>
    <col min="13591" max="13591" width="9" style="142"/>
    <col min="13592" max="13593" width="5" style="142" bestFit="1" customWidth="1"/>
    <col min="13594" max="13825" width="9" style="142"/>
    <col min="13826" max="13828" width="6.125" style="142" customWidth="1"/>
    <col min="13829" max="13843" width="4.875" style="142" customWidth="1"/>
    <col min="13844" max="13844" width="9.625" style="142" customWidth="1"/>
    <col min="13845" max="13845" width="35.75" style="142" customWidth="1"/>
    <col min="13846" max="13846" width="1.375" style="142" customWidth="1"/>
    <col min="13847" max="13847" width="9" style="142"/>
    <col min="13848" max="13849" width="5" style="142" bestFit="1" customWidth="1"/>
    <col min="13850" max="14081" width="9" style="142"/>
    <col min="14082" max="14084" width="6.125" style="142" customWidth="1"/>
    <col min="14085" max="14099" width="4.875" style="142" customWidth="1"/>
    <col min="14100" max="14100" width="9.625" style="142" customWidth="1"/>
    <col min="14101" max="14101" width="35.75" style="142" customWidth="1"/>
    <col min="14102" max="14102" width="1.375" style="142" customWidth="1"/>
    <col min="14103" max="14103" width="9" style="142"/>
    <col min="14104" max="14105" width="5" style="142" bestFit="1" customWidth="1"/>
    <col min="14106" max="14337" width="9" style="142"/>
    <col min="14338" max="14340" width="6.125" style="142" customWidth="1"/>
    <col min="14341" max="14355" width="4.875" style="142" customWidth="1"/>
    <col min="14356" max="14356" width="9.625" style="142" customWidth="1"/>
    <col min="14357" max="14357" width="35.75" style="142" customWidth="1"/>
    <col min="14358" max="14358" width="1.375" style="142" customWidth="1"/>
    <col min="14359" max="14359" width="9" style="142"/>
    <col min="14360" max="14361" width="5" style="142" bestFit="1" customWidth="1"/>
    <col min="14362" max="14593" width="9" style="142"/>
    <col min="14594" max="14596" width="6.125" style="142" customWidth="1"/>
    <col min="14597" max="14611" width="4.875" style="142" customWidth="1"/>
    <col min="14612" max="14612" width="9.625" style="142" customWidth="1"/>
    <col min="14613" max="14613" width="35.75" style="142" customWidth="1"/>
    <col min="14614" max="14614" width="1.375" style="142" customWidth="1"/>
    <col min="14615" max="14615" width="9" style="142"/>
    <col min="14616" max="14617" width="5" style="142" bestFit="1" customWidth="1"/>
    <col min="14618" max="14849" width="9" style="142"/>
    <col min="14850" max="14852" width="6.125" style="142" customWidth="1"/>
    <col min="14853" max="14867" width="4.875" style="142" customWidth="1"/>
    <col min="14868" max="14868" width="9.625" style="142" customWidth="1"/>
    <col min="14869" max="14869" width="35.75" style="142" customWidth="1"/>
    <col min="14870" max="14870" width="1.375" style="142" customWidth="1"/>
    <col min="14871" max="14871" width="9" style="142"/>
    <col min="14872" max="14873" width="5" style="142" bestFit="1" customWidth="1"/>
    <col min="14874" max="15105" width="9" style="142"/>
    <col min="15106" max="15108" width="6.125" style="142" customWidth="1"/>
    <col min="15109" max="15123" width="4.875" style="142" customWidth="1"/>
    <col min="15124" max="15124" width="9.625" style="142" customWidth="1"/>
    <col min="15125" max="15125" width="35.75" style="142" customWidth="1"/>
    <col min="15126" max="15126" width="1.375" style="142" customWidth="1"/>
    <col min="15127" max="15127" width="9" style="142"/>
    <col min="15128" max="15129" width="5" style="142" bestFit="1" customWidth="1"/>
    <col min="15130" max="15361" width="9" style="142"/>
    <col min="15362" max="15364" width="6.125" style="142" customWidth="1"/>
    <col min="15365" max="15379" width="4.875" style="142" customWidth="1"/>
    <col min="15380" max="15380" width="9.625" style="142" customWidth="1"/>
    <col min="15381" max="15381" width="35.75" style="142" customWidth="1"/>
    <col min="15382" max="15382" width="1.375" style="142" customWidth="1"/>
    <col min="15383" max="15383" width="9" style="142"/>
    <col min="15384" max="15385" width="5" style="142" bestFit="1" customWidth="1"/>
    <col min="15386" max="15617" width="9" style="142"/>
    <col min="15618" max="15620" width="6.125" style="142" customWidth="1"/>
    <col min="15621" max="15635" width="4.875" style="142" customWidth="1"/>
    <col min="15636" max="15636" width="9.625" style="142" customWidth="1"/>
    <col min="15637" max="15637" width="35.75" style="142" customWidth="1"/>
    <col min="15638" max="15638" width="1.375" style="142" customWidth="1"/>
    <col min="15639" max="15639" width="9" style="142"/>
    <col min="15640" max="15641" width="5" style="142" bestFit="1" customWidth="1"/>
    <col min="15642" max="15873" width="9" style="142"/>
    <col min="15874" max="15876" width="6.125" style="142" customWidth="1"/>
    <col min="15877" max="15891" width="4.875" style="142" customWidth="1"/>
    <col min="15892" max="15892" width="9.625" style="142" customWidth="1"/>
    <col min="15893" max="15893" width="35.75" style="142" customWidth="1"/>
    <col min="15894" max="15894" width="1.375" style="142" customWidth="1"/>
    <col min="15895" max="15895" width="9" style="142"/>
    <col min="15896" max="15897" width="5" style="142" bestFit="1" customWidth="1"/>
    <col min="15898" max="16129" width="9" style="142"/>
    <col min="16130" max="16132" width="6.125" style="142" customWidth="1"/>
    <col min="16133" max="16147" width="4.875" style="142" customWidth="1"/>
    <col min="16148" max="16148" width="9.625" style="142" customWidth="1"/>
    <col min="16149" max="16149" width="35.75" style="142" customWidth="1"/>
    <col min="16150" max="16150" width="1.375" style="142" customWidth="1"/>
    <col min="16151" max="16151" width="9" style="142"/>
    <col min="16152" max="16153" width="5" style="142" bestFit="1" customWidth="1"/>
    <col min="16154" max="16384" width="9" style="142"/>
  </cols>
  <sheetData>
    <row r="1" spans="2:22" ht="0.95" customHeight="1" x14ac:dyDescent="0.2"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</row>
    <row r="2" spans="2:22" ht="20.100000000000001" customHeight="1" x14ac:dyDescent="0.2">
      <c r="B2" s="594" t="s">
        <v>837</v>
      </c>
      <c r="C2" s="594"/>
      <c r="D2" s="594"/>
      <c r="E2" s="594"/>
      <c r="F2" s="594"/>
      <c r="G2" s="594"/>
      <c r="H2" s="594"/>
      <c r="I2" s="594"/>
      <c r="J2" s="594"/>
      <c r="K2" s="594"/>
      <c r="L2" s="594"/>
      <c r="M2" s="594"/>
      <c r="N2" s="594"/>
      <c r="O2" s="594"/>
      <c r="P2" s="594"/>
      <c r="Q2" s="594"/>
      <c r="R2" s="594"/>
      <c r="S2" s="594"/>
      <c r="T2" s="594"/>
      <c r="U2" s="594"/>
      <c r="V2" s="141"/>
    </row>
    <row r="3" spans="2:22" ht="20.100000000000001" customHeight="1" thickBot="1" x14ac:dyDescent="0.25">
      <c r="B3" s="595" t="s">
        <v>838</v>
      </c>
      <c r="C3" s="595"/>
      <c r="D3" s="595"/>
      <c r="E3" s="595"/>
      <c r="F3" s="595"/>
      <c r="G3" s="595"/>
      <c r="H3" s="595"/>
      <c r="I3" s="595"/>
      <c r="J3" s="595"/>
      <c r="K3" s="595"/>
      <c r="L3" s="595"/>
      <c r="M3" s="595"/>
      <c r="N3" s="595"/>
      <c r="O3" s="595"/>
      <c r="P3" s="595"/>
      <c r="Q3" s="595"/>
      <c r="R3" s="595"/>
      <c r="S3" s="595"/>
      <c r="T3" s="595"/>
      <c r="U3" s="595"/>
      <c r="V3" s="141"/>
    </row>
    <row r="4" spans="2:22" ht="13.5" thickBot="1" x14ac:dyDescent="0.25">
      <c r="B4" s="603" t="s">
        <v>4</v>
      </c>
      <c r="C4" s="603"/>
      <c r="D4" s="603"/>
      <c r="E4" s="603" t="s">
        <v>53</v>
      </c>
      <c r="F4" s="603"/>
      <c r="G4" s="603"/>
      <c r="H4" s="603" t="s">
        <v>61</v>
      </c>
      <c r="I4" s="603"/>
      <c r="J4" s="603"/>
      <c r="K4" s="603" t="s">
        <v>60</v>
      </c>
      <c r="L4" s="603"/>
      <c r="M4" s="603"/>
      <c r="N4" s="603" t="s">
        <v>57</v>
      </c>
      <c r="O4" s="603"/>
      <c r="P4" s="603"/>
      <c r="Q4" s="603" t="s">
        <v>56</v>
      </c>
      <c r="R4" s="603"/>
      <c r="S4" s="603"/>
      <c r="T4" s="604" t="s">
        <v>792</v>
      </c>
      <c r="U4" s="143"/>
      <c r="V4" s="141"/>
    </row>
    <row r="5" spans="2:22" ht="15" customHeight="1" thickBot="1" x14ac:dyDescent="0.25">
      <c r="B5" s="144" t="s">
        <v>227</v>
      </c>
      <c r="C5" s="144" t="s">
        <v>10</v>
      </c>
      <c r="D5" s="144" t="s">
        <v>9</v>
      </c>
      <c r="E5" s="144" t="s">
        <v>227</v>
      </c>
      <c r="F5" s="144" t="s">
        <v>10</v>
      </c>
      <c r="G5" s="144" t="s">
        <v>9</v>
      </c>
      <c r="H5" s="144" t="s">
        <v>227</v>
      </c>
      <c r="I5" s="144" t="s">
        <v>10</v>
      </c>
      <c r="J5" s="144" t="s">
        <v>9</v>
      </c>
      <c r="K5" s="144" t="s">
        <v>227</v>
      </c>
      <c r="L5" s="144" t="s">
        <v>10</v>
      </c>
      <c r="M5" s="144" t="s">
        <v>9</v>
      </c>
      <c r="N5" s="144" t="s">
        <v>227</v>
      </c>
      <c r="O5" s="144" t="s">
        <v>10</v>
      </c>
      <c r="P5" s="144" t="s">
        <v>9</v>
      </c>
      <c r="Q5" s="144" t="s">
        <v>227</v>
      </c>
      <c r="R5" s="144" t="s">
        <v>10</v>
      </c>
      <c r="S5" s="144" t="s">
        <v>9</v>
      </c>
      <c r="T5" s="605"/>
      <c r="U5" s="145" t="s">
        <v>144</v>
      </c>
      <c r="V5" s="141"/>
    </row>
    <row r="6" spans="2:22" ht="13.5" thickBot="1" x14ac:dyDescent="0.25">
      <c r="B6" s="149">
        <f>SUM(C6:D6)</f>
        <v>1340</v>
      </c>
      <c r="C6" s="149">
        <f>R6+O6+L6+I6+F6</f>
        <v>372</v>
      </c>
      <c r="D6" s="149">
        <f>S6+P6+M6+J6+G6</f>
        <v>968</v>
      </c>
      <c r="E6" s="149">
        <f>SUM(F6:G6)</f>
        <v>767</v>
      </c>
      <c r="F6" s="149">
        <v>151</v>
      </c>
      <c r="G6" s="149">
        <v>616</v>
      </c>
      <c r="H6" s="149">
        <f>SUM(I6:J6)</f>
        <v>16</v>
      </c>
      <c r="I6" s="149">
        <v>3</v>
      </c>
      <c r="J6" s="149">
        <v>13</v>
      </c>
      <c r="K6" s="149">
        <f>SUM(L6:M6)</f>
        <v>519</v>
      </c>
      <c r="L6" s="149">
        <v>212</v>
      </c>
      <c r="M6" s="149">
        <v>307</v>
      </c>
      <c r="N6" s="149">
        <f>SUM(O6:P6)</f>
        <v>35</v>
      </c>
      <c r="O6" s="149">
        <v>6</v>
      </c>
      <c r="P6" s="149">
        <v>29</v>
      </c>
      <c r="Q6" s="149">
        <f>SUM(R6:S6)</f>
        <v>3</v>
      </c>
      <c r="R6" s="149">
        <v>0</v>
      </c>
      <c r="S6" s="149">
        <v>3</v>
      </c>
      <c r="T6" s="151" t="s">
        <v>146</v>
      </c>
      <c r="U6" s="155"/>
      <c r="V6" s="141"/>
    </row>
    <row r="7" spans="2:22" ht="13.5" thickBot="1" x14ac:dyDescent="0.25">
      <c r="B7" s="149">
        <f t="shared" ref="B7:B70" si="0">SUM(C7:D7)</f>
        <v>7</v>
      </c>
      <c r="C7" s="149">
        <f t="shared" ref="C7:D70" si="1">R7+O7+L7+I7+F7</f>
        <v>0</v>
      </c>
      <c r="D7" s="149">
        <f t="shared" si="1"/>
        <v>7</v>
      </c>
      <c r="E7" s="149">
        <f t="shared" ref="E7:E70" si="2">SUM(F7:G7)</f>
        <v>0</v>
      </c>
      <c r="F7" s="149">
        <v>0</v>
      </c>
      <c r="G7" s="149">
        <v>0</v>
      </c>
      <c r="H7" s="149">
        <f t="shared" ref="H7:H70" si="3">SUM(I7:J7)</f>
        <v>0</v>
      </c>
      <c r="I7" s="149">
        <v>0</v>
      </c>
      <c r="J7" s="149">
        <v>0</v>
      </c>
      <c r="K7" s="149">
        <f t="shared" ref="K7:K70" si="4">SUM(L7:M7)</f>
        <v>5</v>
      </c>
      <c r="L7" s="149">
        <v>0</v>
      </c>
      <c r="M7" s="149">
        <v>5</v>
      </c>
      <c r="N7" s="149">
        <f t="shared" ref="N7:N70" si="5">SUM(O7:P7)</f>
        <v>1</v>
      </c>
      <c r="O7" s="149">
        <v>0</v>
      </c>
      <c r="P7" s="149">
        <v>1</v>
      </c>
      <c r="Q7" s="149">
        <f t="shared" ref="Q7:Q70" si="6">SUM(R7:S7)</f>
        <v>1</v>
      </c>
      <c r="R7" s="149">
        <v>0</v>
      </c>
      <c r="S7" s="149">
        <v>1</v>
      </c>
      <c r="T7" s="151" t="s">
        <v>145</v>
      </c>
      <c r="U7" s="155" t="s">
        <v>68</v>
      </c>
      <c r="V7" s="141"/>
    </row>
    <row r="8" spans="2:22" ht="13.5" thickBot="1" x14ac:dyDescent="0.25">
      <c r="B8" s="149">
        <f t="shared" ref="B8:R8" si="7">SUM(B6:B7)</f>
        <v>1347</v>
      </c>
      <c r="C8" s="149">
        <f t="shared" si="7"/>
        <v>372</v>
      </c>
      <c r="D8" s="149">
        <f t="shared" si="7"/>
        <v>975</v>
      </c>
      <c r="E8" s="149">
        <f t="shared" si="7"/>
        <v>767</v>
      </c>
      <c r="F8" s="149">
        <f t="shared" si="7"/>
        <v>151</v>
      </c>
      <c r="G8" s="149">
        <f t="shared" si="7"/>
        <v>616</v>
      </c>
      <c r="H8" s="149">
        <f t="shared" si="7"/>
        <v>16</v>
      </c>
      <c r="I8" s="149">
        <f t="shared" si="7"/>
        <v>3</v>
      </c>
      <c r="J8" s="149">
        <f t="shared" si="7"/>
        <v>13</v>
      </c>
      <c r="K8" s="149">
        <f t="shared" si="7"/>
        <v>524</v>
      </c>
      <c r="L8" s="149">
        <f t="shared" si="7"/>
        <v>212</v>
      </c>
      <c r="M8" s="149">
        <f t="shared" si="7"/>
        <v>312</v>
      </c>
      <c r="N8" s="149">
        <f t="shared" si="7"/>
        <v>36</v>
      </c>
      <c r="O8" s="149">
        <f t="shared" si="7"/>
        <v>6</v>
      </c>
      <c r="P8" s="149">
        <f t="shared" si="7"/>
        <v>30</v>
      </c>
      <c r="Q8" s="149">
        <f t="shared" si="7"/>
        <v>4</v>
      </c>
      <c r="R8" s="149">
        <f t="shared" si="7"/>
        <v>0</v>
      </c>
      <c r="S8" s="149">
        <f>SUM(S6:S7)</f>
        <v>4</v>
      </c>
      <c r="T8" s="151" t="s">
        <v>12</v>
      </c>
      <c r="U8" s="156"/>
      <c r="V8" s="141"/>
    </row>
    <row r="9" spans="2:22" ht="13.5" thickBot="1" x14ac:dyDescent="0.25">
      <c r="B9" s="149">
        <f t="shared" si="0"/>
        <v>614</v>
      </c>
      <c r="C9" s="149">
        <f t="shared" si="1"/>
        <v>3</v>
      </c>
      <c r="D9" s="149">
        <f t="shared" si="1"/>
        <v>611</v>
      </c>
      <c r="E9" s="149">
        <f t="shared" si="2"/>
        <v>472</v>
      </c>
      <c r="F9" s="149">
        <v>1</v>
      </c>
      <c r="G9" s="149">
        <v>471</v>
      </c>
      <c r="H9" s="149">
        <f t="shared" si="3"/>
        <v>13</v>
      </c>
      <c r="I9" s="149">
        <v>0</v>
      </c>
      <c r="J9" s="149">
        <v>13</v>
      </c>
      <c r="K9" s="149">
        <f t="shared" si="4"/>
        <v>124</v>
      </c>
      <c r="L9" s="149">
        <v>2</v>
      </c>
      <c r="M9" s="149">
        <v>122</v>
      </c>
      <c r="N9" s="149">
        <f t="shared" si="5"/>
        <v>3</v>
      </c>
      <c r="O9" s="149">
        <v>0</v>
      </c>
      <c r="P9" s="149">
        <v>3</v>
      </c>
      <c r="Q9" s="149">
        <f t="shared" si="6"/>
        <v>2</v>
      </c>
      <c r="R9" s="149">
        <v>0</v>
      </c>
      <c r="S9" s="149">
        <v>2</v>
      </c>
      <c r="T9" s="151" t="s">
        <v>146</v>
      </c>
      <c r="U9" s="155"/>
      <c r="V9" s="141"/>
    </row>
    <row r="10" spans="2:22" ht="13.5" thickBot="1" x14ac:dyDescent="0.25">
      <c r="B10" s="149">
        <f t="shared" si="0"/>
        <v>2</v>
      </c>
      <c r="C10" s="149">
        <f t="shared" si="1"/>
        <v>0</v>
      </c>
      <c r="D10" s="149">
        <f t="shared" si="1"/>
        <v>2</v>
      </c>
      <c r="E10" s="149">
        <f t="shared" si="2"/>
        <v>0</v>
      </c>
      <c r="F10" s="149">
        <v>0</v>
      </c>
      <c r="G10" s="149">
        <v>0</v>
      </c>
      <c r="H10" s="149">
        <f t="shared" si="3"/>
        <v>0</v>
      </c>
      <c r="I10" s="149">
        <v>0</v>
      </c>
      <c r="J10" s="149">
        <v>0</v>
      </c>
      <c r="K10" s="149">
        <f t="shared" si="4"/>
        <v>2</v>
      </c>
      <c r="L10" s="149">
        <v>0</v>
      </c>
      <c r="M10" s="149">
        <v>2</v>
      </c>
      <c r="N10" s="149">
        <f t="shared" si="5"/>
        <v>0</v>
      </c>
      <c r="O10" s="149">
        <v>0</v>
      </c>
      <c r="P10" s="149">
        <v>0</v>
      </c>
      <c r="Q10" s="149">
        <f t="shared" si="6"/>
        <v>0</v>
      </c>
      <c r="R10" s="149">
        <v>0</v>
      </c>
      <c r="S10" s="149">
        <v>0</v>
      </c>
      <c r="T10" s="151" t="s">
        <v>145</v>
      </c>
      <c r="U10" s="155" t="s">
        <v>147</v>
      </c>
      <c r="V10" s="141"/>
    </row>
    <row r="11" spans="2:22" ht="13.5" thickBot="1" x14ac:dyDescent="0.25">
      <c r="B11" s="149">
        <f t="shared" ref="B11:R11" si="8">SUM(B9:B10)</f>
        <v>616</v>
      </c>
      <c r="C11" s="149">
        <f t="shared" si="8"/>
        <v>3</v>
      </c>
      <c r="D11" s="149">
        <f t="shared" si="8"/>
        <v>613</v>
      </c>
      <c r="E11" s="149">
        <f t="shared" si="8"/>
        <v>472</v>
      </c>
      <c r="F11" s="149">
        <f t="shared" si="8"/>
        <v>1</v>
      </c>
      <c r="G11" s="149">
        <f t="shared" si="8"/>
        <v>471</v>
      </c>
      <c r="H11" s="149">
        <f t="shared" si="8"/>
        <v>13</v>
      </c>
      <c r="I11" s="149">
        <f t="shared" si="8"/>
        <v>0</v>
      </c>
      <c r="J11" s="149">
        <f t="shared" si="8"/>
        <v>13</v>
      </c>
      <c r="K11" s="149">
        <f t="shared" si="8"/>
        <v>126</v>
      </c>
      <c r="L11" s="149">
        <f t="shared" si="8"/>
        <v>2</v>
      </c>
      <c r="M11" s="149">
        <f t="shared" si="8"/>
        <v>124</v>
      </c>
      <c r="N11" s="149">
        <f t="shared" si="8"/>
        <v>3</v>
      </c>
      <c r="O11" s="149">
        <f t="shared" si="8"/>
        <v>0</v>
      </c>
      <c r="P11" s="149">
        <f t="shared" si="8"/>
        <v>3</v>
      </c>
      <c r="Q11" s="149">
        <f t="shared" si="8"/>
        <v>2</v>
      </c>
      <c r="R11" s="149">
        <f t="shared" si="8"/>
        <v>0</v>
      </c>
      <c r="S11" s="149">
        <f>SUM(S9:S10)</f>
        <v>2</v>
      </c>
      <c r="T11" s="151" t="s">
        <v>12</v>
      </c>
      <c r="U11" s="156"/>
      <c r="V11" s="141"/>
    </row>
    <row r="12" spans="2:22" ht="13.5" thickBot="1" x14ac:dyDescent="0.25">
      <c r="B12" s="149">
        <f t="shared" si="0"/>
        <v>1949</v>
      </c>
      <c r="C12" s="149">
        <f t="shared" si="1"/>
        <v>225</v>
      </c>
      <c r="D12" s="149">
        <f t="shared" si="1"/>
        <v>1724</v>
      </c>
      <c r="E12" s="149">
        <f t="shared" si="2"/>
        <v>591</v>
      </c>
      <c r="F12" s="149">
        <v>26</v>
      </c>
      <c r="G12" s="149">
        <v>565</v>
      </c>
      <c r="H12" s="149">
        <f t="shared" si="3"/>
        <v>274</v>
      </c>
      <c r="I12" s="149">
        <v>16</v>
      </c>
      <c r="J12" s="149">
        <v>258</v>
      </c>
      <c r="K12" s="149">
        <f t="shared" si="4"/>
        <v>1022</v>
      </c>
      <c r="L12" s="149">
        <v>174</v>
      </c>
      <c r="M12" s="149">
        <v>848</v>
      </c>
      <c r="N12" s="149">
        <f t="shared" si="5"/>
        <v>17</v>
      </c>
      <c r="O12" s="149">
        <v>7</v>
      </c>
      <c r="P12" s="149">
        <v>10</v>
      </c>
      <c r="Q12" s="149">
        <f t="shared" si="6"/>
        <v>45</v>
      </c>
      <c r="R12" s="149">
        <v>2</v>
      </c>
      <c r="S12" s="149">
        <v>43</v>
      </c>
      <c r="T12" s="151" t="s">
        <v>146</v>
      </c>
      <c r="U12" s="155"/>
      <c r="V12" s="141"/>
    </row>
    <row r="13" spans="2:22" ht="13.5" thickBot="1" x14ac:dyDescent="0.25">
      <c r="B13" s="149">
        <f t="shared" si="0"/>
        <v>3</v>
      </c>
      <c r="C13" s="149">
        <f t="shared" si="1"/>
        <v>0</v>
      </c>
      <c r="D13" s="149">
        <f t="shared" si="1"/>
        <v>3</v>
      </c>
      <c r="E13" s="149">
        <f t="shared" si="2"/>
        <v>2</v>
      </c>
      <c r="F13" s="149">
        <v>0</v>
      </c>
      <c r="G13" s="149">
        <v>2</v>
      </c>
      <c r="H13" s="149">
        <f t="shared" si="3"/>
        <v>0</v>
      </c>
      <c r="I13" s="149">
        <v>0</v>
      </c>
      <c r="J13" s="149">
        <v>0</v>
      </c>
      <c r="K13" s="149">
        <f t="shared" si="4"/>
        <v>1</v>
      </c>
      <c r="L13" s="149">
        <v>0</v>
      </c>
      <c r="M13" s="149">
        <v>1</v>
      </c>
      <c r="N13" s="149">
        <f t="shared" si="5"/>
        <v>0</v>
      </c>
      <c r="O13" s="149">
        <v>0</v>
      </c>
      <c r="P13" s="149">
        <v>0</v>
      </c>
      <c r="Q13" s="149">
        <f t="shared" si="6"/>
        <v>0</v>
      </c>
      <c r="R13" s="149">
        <v>0</v>
      </c>
      <c r="S13" s="149">
        <v>0</v>
      </c>
      <c r="T13" s="151" t="s">
        <v>145</v>
      </c>
      <c r="U13" s="155" t="s">
        <v>70</v>
      </c>
      <c r="V13" s="141"/>
    </row>
    <row r="14" spans="2:22" ht="13.5" thickBot="1" x14ac:dyDescent="0.25">
      <c r="B14" s="149">
        <f t="shared" ref="B14:R14" si="9">SUM(B12:B13)</f>
        <v>1952</v>
      </c>
      <c r="C14" s="149">
        <f t="shared" si="9"/>
        <v>225</v>
      </c>
      <c r="D14" s="149">
        <f t="shared" si="9"/>
        <v>1727</v>
      </c>
      <c r="E14" s="149">
        <f t="shared" si="9"/>
        <v>593</v>
      </c>
      <c r="F14" s="149">
        <f t="shared" si="9"/>
        <v>26</v>
      </c>
      <c r="G14" s="149">
        <f t="shared" si="9"/>
        <v>567</v>
      </c>
      <c r="H14" s="149">
        <f t="shared" si="9"/>
        <v>274</v>
      </c>
      <c r="I14" s="149">
        <f t="shared" si="9"/>
        <v>16</v>
      </c>
      <c r="J14" s="149">
        <f t="shared" si="9"/>
        <v>258</v>
      </c>
      <c r="K14" s="149">
        <f t="shared" si="9"/>
        <v>1023</v>
      </c>
      <c r="L14" s="149">
        <f t="shared" si="9"/>
        <v>174</v>
      </c>
      <c r="M14" s="149">
        <f t="shared" si="9"/>
        <v>849</v>
      </c>
      <c r="N14" s="149">
        <f t="shared" si="9"/>
        <v>17</v>
      </c>
      <c r="O14" s="149">
        <f t="shared" si="9"/>
        <v>7</v>
      </c>
      <c r="P14" s="149">
        <f t="shared" si="9"/>
        <v>10</v>
      </c>
      <c r="Q14" s="149">
        <f t="shared" si="9"/>
        <v>45</v>
      </c>
      <c r="R14" s="149">
        <f t="shared" si="9"/>
        <v>2</v>
      </c>
      <c r="S14" s="149">
        <f>SUM(S12:S13)</f>
        <v>43</v>
      </c>
      <c r="T14" s="151" t="s">
        <v>12</v>
      </c>
      <c r="U14" s="156"/>
      <c r="V14" s="141"/>
    </row>
    <row r="15" spans="2:22" ht="13.5" thickBot="1" x14ac:dyDescent="0.25">
      <c r="B15" s="149">
        <f t="shared" si="0"/>
        <v>3721</v>
      </c>
      <c r="C15" s="149">
        <f t="shared" si="1"/>
        <v>733</v>
      </c>
      <c r="D15" s="149">
        <f t="shared" si="1"/>
        <v>2988</v>
      </c>
      <c r="E15" s="149">
        <f t="shared" si="2"/>
        <v>1732</v>
      </c>
      <c r="F15" s="149">
        <v>200</v>
      </c>
      <c r="G15" s="149">
        <v>1532</v>
      </c>
      <c r="H15" s="149">
        <f t="shared" si="3"/>
        <v>574</v>
      </c>
      <c r="I15" s="149">
        <v>106</v>
      </c>
      <c r="J15" s="149">
        <v>468</v>
      </c>
      <c r="K15" s="149">
        <f t="shared" si="4"/>
        <v>1259</v>
      </c>
      <c r="L15" s="149">
        <v>380</v>
      </c>
      <c r="M15" s="149">
        <v>879</v>
      </c>
      <c r="N15" s="149">
        <f t="shared" si="5"/>
        <v>107</v>
      </c>
      <c r="O15" s="149">
        <v>27</v>
      </c>
      <c r="P15" s="149">
        <v>80</v>
      </c>
      <c r="Q15" s="149">
        <f t="shared" si="6"/>
        <v>49</v>
      </c>
      <c r="R15" s="149">
        <v>20</v>
      </c>
      <c r="S15" s="149">
        <v>29</v>
      </c>
      <c r="T15" s="151" t="s">
        <v>146</v>
      </c>
      <c r="U15" s="155"/>
      <c r="V15" s="141"/>
    </row>
    <row r="16" spans="2:22" ht="13.5" thickBot="1" x14ac:dyDescent="0.25">
      <c r="B16" s="149">
        <f t="shared" si="0"/>
        <v>184</v>
      </c>
      <c r="C16" s="149">
        <f t="shared" si="1"/>
        <v>13</v>
      </c>
      <c r="D16" s="149">
        <f t="shared" si="1"/>
        <v>171</v>
      </c>
      <c r="E16" s="149">
        <f t="shared" si="2"/>
        <v>26</v>
      </c>
      <c r="F16" s="149">
        <v>0</v>
      </c>
      <c r="G16" s="149">
        <v>26</v>
      </c>
      <c r="H16" s="149">
        <f t="shared" si="3"/>
        <v>60</v>
      </c>
      <c r="I16" s="149">
        <v>10</v>
      </c>
      <c r="J16" s="149">
        <v>50</v>
      </c>
      <c r="K16" s="149">
        <f t="shared" si="4"/>
        <v>60</v>
      </c>
      <c r="L16" s="149">
        <v>3</v>
      </c>
      <c r="M16" s="149">
        <v>57</v>
      </c>
      <c r="N16" s="149">
        <f t="shared" si="5"/>
        <v>14</v>
      </c>
      <c r="O16" s="149">
        <v>0</v>
      </c>
      <c r="P16" s="149">
        <v>14</v>
      </c>
      <c r="Q16" s="149">
        <f t="shared" si="6"/>
        <v>24</v>
      </c>
      <c r="R16" s="149">
        <v>0</v>
      </c>
      <c r="S16" s="149">
        <v>24</v>
      </c>
      <c r="T16" s="151" t="s">
        <v>145</v>
      </c>
      <c r="U16" s="155" t="s">
        <v>72</v>
      </c>
      <c r="V16" s="141"/>
    </row>
    <row r="17" spans="2:22" ht="13.5" thickBot="1" x14ac:dyDescent="0.25">
      <c r="B17" s="149">
        <f t="shared" ref="B17:R17" si="10">SUM(B15:B16)</f>
        <v>3905</v>
      </c>
      <c r="C17" s="149">
        <f t="shared" si="10"/>
        <v>746</v>
      </c>
      <c r="D17" s="149">
        <f t="shared" si="10"/>
        <v>3159</v>
      </c>
      <c r="E17" s="149">
        <f t="shared" si="10"/>
        <v>1758</v>
      </c>
      <c r="F17" s="149">
        <f t="shared" si="10"/>
        <v>200</v>
      </c>
      <c r="G17" s="149">
        <f t="shared" si="10"/>
        <v>1558</v>
      </c>
      <c r="H17" s="149">
        <f t="shared" si="10"/>
        <v>634</v>
      </c>
      <c r="I17" s="149">
        <f t="shared" si="10"/>
        <v>116</v>
      </c>
      <c r="J17" s="149">
        <f t="shared" si="10"/>
        <v>518</v>
      </c>
      <c r="K17" s="149">
        <f t="shared" si="10"/>
        <v>1319</v>
      </c>
      <c r="L17" s="149">
        <f t="shared" si="10"/>
        <v>383</v>
      </c>
      <c r="M17" s="149">
        <f t="shared" si="10"/>
        <v>936</v>
      </c>
      <c r="N17" s="149">
        <f t="shared" si="10"/>
        <v>121</v>
      </c>
      <c r="O17" s="149">
        <f t="shared" si="10"/>
        <v>27</v>
      </c>
      <c r="P17" s="149">
        <f t="shared" si="10"/>
        <v>94</v>
      </c>
      <c r="Q17" s="149">
        <f t="shared" si="10"/>
        <v>73</v>
      </c>
      <c r="R17" s="149">
        <f t="shared" si="10"/>
        <v>20</v>
      </c>
      <c r="S17" s="149">
        <f>SUM(S15:S16)</f>
        <v>53</v>
      </c>
      <c r="T17" s="151" t="s">
        <v>12</v>
      </c>
      <c r="U17" s="156"/>
      <c r="V17" s="141"/>
    </row>
    <row r="18" spans="2:22" ht="13.5" thickBot="1" x14ac:dyDescent="0.25">
      <c r="B18" s="149">
        <f t="shared" si="0"/>
        <v>2154</v>
      </c>
      <c r="C18" s="149">
        <f t="shared" si="1"/>
        <v>628</v>
      </c>
      <c r="D18" s="149">
        <f t="shared" si="1"/>
        <v>1526</v>
      </c>
      <c r="E18" s="149">
        <f t="shared" si="2"/>
        <v>696</v>
      </c>
      <c r="F18" s="149">
        <v>132</v>
      </c>
      <c r="G18" s="149">
        <v>564</v>
      </c>
      <c r="H18" s="149">
        <f t="shared" si="3"/>
        <v>201</v>
      </c>
      <c r="I18" s="149">
        <v>28</v>
      </c>
      <c r="J18" s="149">
        <v>173</v>
      </c>
      <c r="K18" s="149">
        <f t="shared" si="4"/>
        <v>1116</v>
      </c>
      <c r="L18" s="149">
        <v>448</v>
      </c>
      <c r="M18" s="149">
        <v>668</v>
      </c>
      <c r="N18" s="149">
        <f t="shared" si="5"/>
        <v>131</v>
      </c>
      <c r="O18" s="149">
        <v>20</v>
      </c>
      <c r="P18" s="149">
        <v>111</v>
      </c>
      <c r="Q18" s="149">
        <f t="shared" si="6"/>
        <v>10</v>
      </c>
      <c r="R18" s="149">
        <v>0</v>
      </c>
      <c r="S18" s="149">
        <v>10</v>
      </c>
      <c r="T18" s="151" t="s">
        <v>146</v>
      </c>
      <c r="U18" s="155"/>
      <c r="V18" s="141"/>
    </row>
    <row r="19" spans="2:22" ht="13.5" thickBot="1" x14ac:dyDescent="0.25">
      <c r="B19" s="149">
        <f t="shared" si="0"/>
        <v>89</v>
      </c>
      <c r="C19" s="149">
        <f t="shared" si="1"/>
        <v>9</v>
      </c>
      <c r="D19" s="149">
        <f t="shared" si="1"/>
        <v>80</v>
      </c>
      <c r="E19" s="149">
        <f t="shared" si="2"/>
        <v>15</v>
      </c>
      <c r="F19" s="149">
        <v>3</v>
      </c>
      <c r="G19" s="149">
        <v>12</v>
      </c>
      <c r="H19" s="149">
        <f t="shared" si="3"/>
        <v>11</v>
      </c>
      <c r="I19" s="149">
        <v>0</v>
      </c>
      <c r="J19" s="149">
        <v>11</v>
      </c>
      <c r="K19" s="149">
        <f t="shared" si="4"/>
        <v>40</v>
      </c>
      <c r="L19" s="149">
        <v>6</v>
      </c>
      <c r="M19" s="149">
        <v>34</v>
      </c>
      <c r="N19" s="149">
        <f t="shared" si="5"/>
        <v>22</v>
      </c>
      <c r="O19" s="149">
        <v>0</v>
      </c>
      <c r="P19" s="149">
        <v>22</v>
      </c>
      <c r="Q19" s="149">
        <f t="shared" si="6"/>
        <v>1</v>
      </c>
      <c r="R19" s="149">
        <v>0</v>
      </c>
      <c r="S19" s="149">
        <v>1</v>
      </c>
      <c r="T19" s="151" t="s">
        <v>145</v>
      </c>
      <c r="U19" s="155" t="s">
        <v>73</v>
      </c>
      <c r="V19" s="141"/>
    </row>
    <row r="20" spans="2:22" ht="13.5" thickBot="1" x14ac:dyDescent="0.25">
      <c r="B20" s="149">
        <f t="shared" ref="B20:R20" si="11">SUM(B18:B19)</f>
        <v>2243</v>
      </c>
      <c r="C20" s="149">
        <f t="shared" si="11"/>
        <v>637</v>
      </c>
      <c r="D20" s="149">
        <f t="shared" si="11"/>
        <v>1606</v>
      </c>
      <c r="E20" s="149">
        <f t="shared" si="11"/>
        <v>711</v>
      </c>
      <c r="F20" s="149">
        <f t="shared" si="11"/>
        <v>135</v>
      </c>
      <c r="G20" s="149">
        <f t="shared" si="11"/>
        <v>576</v>
      </c>
      <c r="H20" s="149">
        <f t="shared" si="11"/>
        <v>212</v>
      </c>
      <c r="I20" s="149">
        <f t="shared" si="11"/>
        <v>28</v>
      </c>
      <c r="J20" s="149">
        <f t="shared" si="11"/>
        <v>184</v>
      </c>
      <c r="K20" s="149">
        <f t="shared" si="11"/>
        <v>1156</v>
      </c>
      <c r="L20" s="149">
        <f t="shared" si="11"/>
        <v>454</v>
      </c>
      <c r="M20" s="149">
        <f t="shared" si="11"/>
        <v>702</v>
      </c>
      <c r="N20" s="149">
        <f t="shared" si="11"/>
        <v>153</v>
      </c>
      <c r="O20" s="149">
        <f t="shared" si="11"/>
        <v>20</v>
      </c>
      <c r="P20" s="149">
        <f t="shared" si="11"/>
        <v>133</v>
      </c>
      <c r="Q20" s="149">
        <f t="shared" si="11"/>
        <v>11</v>
      </c>
      <c r="R20" s="149">
        <f t="shared" si="11"/>
        <v>0</v>
      </c>
      <c r="S20" s="149">
        <f>SUM(S18:S19)</f>
        <v>11</v>
      </c>
      <c r="T20" s="151" t="s">
        <v>12</v>
      </c>
      <c r="U20" s="156"/>
      <c r="V20" s="141"/>
    </row>
    <row r="21" spans="2:22" ht="13.5" thickBot="1" x14ac:dyDescent="0.25">
      <c r="B21" s="149">
        <f t="shared" si="0"/>
        <v>1035</v>
      </c>
      <c r="C21" s="149">
        <f t="shared" si="1"/>
        <v>0</v>
      </c>
      <c r="D21" s="149">
        <f t="shared" si="1"/>
        <v>1035</v>
      </c>
      <c r="E21" s="149">
        <f t="shared" si="2"/>
        <v>412</v>
      </c>
      <c r="F21" s="149">
        <v>0</v>
      </c>
      <c r="G21" s="149">
        <v>412</v>
      </c>
      <c r="H21" s="149">
        <f t="shared" si="3"/>
        <v>483</v>
      </c>
      <c r="I21" s="149">
        <v>0</v>
      </c>
      <c r="J21" s="149">
        <v>483</v>
      </c>
      <c r="K21" s="149">
        <f t="shared" si="4"/>
        <v>134</v>
      </c>
      <c r="L21" s="149">
        <v>0</v>
      </c>
      <c r="M21" s="149">
        <v>134</v>
      </c>
      <c r="N21" s="149">
        <f t="shared" si="5"/>
        <v>4</v>
      </c>
      <c r="O21" s="149">
        <v>0</v>
      </c>
      <c r="P21" s="149">
        <v>4</v>
      </c>
      <c r="Q21" s="149">
        <f t="shared" si="6"/>
        <v>2</v>
      </c>
      <c r="R21" s="149">
        <v>0</v>
      </c>
      <c r="S21" s="149">
        <v>2</v>
      </c>
      <c r="T21" s="151" t="s">
        <v>146</v>
      </c>
      <c r="U21" s="155"/>
      <c r="V21" s="141"/>
    </row>
    <row r="22" spans="2:22" ht="13.5" thickBot="1" x14ac:dyDescent="0.25">
      <c r="B22" s="149">
        <f t="shared" si="0"/>
        <v>344</v>
      </c>
      <c r="C22" s="149">
        <f t="shared" si="1"/>
        <v>3</v>
      </c>
      <c r="D22" s="149">
        <f t="shared" si="1"/>
        <v>341</v>
      </c>
      <c r="E22" s="149">
        <f t="shared" si="2"/>
        <v>14</v>
      </c>
      <c r="F22" s="149">
        <v>1</v>
      </c>
      <c r="G22" s="149">
        <v>13</v>
      </c>
      <c r="H22" s="149">
        <f t="shared" si="3"/>
        <v>124</v>
      </c>
      <c r="I22" s="149">
        <v>1</v>
      </c>
      <c r="J22" s="149">
        <v>123</v>
      </c>
      <c r="K22" s="149">
        <f t="shared" si="4"/>
        <v>171</v>
      </c>
      <c r="L22" s="149">
        <v>1</v>
      </c>
      <c r="M22" s="149">
        <v>170</v>
      </c>
      <c r="N22" s="149">
        <f t="shared" si="5"/>
        <v>32</v>
      </c>
      <c r="O22" s="149">
        <v>0</v>
      </c>
      <c r="P22" s="149">
        <v>32</v>
      </c>
      <c r="Q22" s="149">
        <f t="shared" si="6"/>
        <v>3</v>
      </c>
      <c r="R22" s="149">
        <v>0</v>
      </c>
      <c r="S22" s="149">
        <v>3</v>
      </c>
      <c r="T22" s="151" t="s">
        <v>145</v>
      </c>
      <c r="U22" s="155" t="s">
        <v>90</v>
      </c>
      <c r="V22" s="141"/>
    </row>
    <row r="23" spans="2:22" ht="13.5" thickBot="1" x14ac:dyDescent="0.25">
      <c r="B23" s="149">
        <f t="shared" ref="B23:R23" si="12">SUM(B21:B22)</f>
        <v>1379</v>
      </c>
      <c r="C23" s="149">
        <f t="shared" si="12"/>
        <v>3</v>
      </c>
      <c r="D23" s="149">
        <f t="shared" si="12"/>
        <v>1376</v>
      </c>
      <c r="E23" s="149">
        <f t="shared" si="12"/>
        <v>426</v>
      </c>
      <c r="F23" s="149">
        <f t="shared" si="12"/>
        <v>1</v>
      </c>
      <c r="G23" s="149">
        <f t="shared" si="12"/>
        <v>425</v>
      </c>
      <c r="H23" s="149">
        <f t="shared" si="12"/>
        <v>607</v>
      </c>
      <c r="I23" s="149">
        <f t="shared" si="12"/>
        <v>1</v>
      </c>
      <c r="J23" s="149">
        <f t="shared" si="12"/>
        <v>606</v>
      </c>
      <c r="K23" s="149">
        <f t="shared" si="12"/>
        <v>305</v>
      </c>
      <c r="L23" s="149">
        <f t="shared" si="12"/>
        <v>1</v>
      </c>
      <c r="M23" s="149">
        <f t="shared" si="12"/>
        <v>304</v>
      </c>
      <c r="N23" s="149">
        <f t="shared" si="12"/>
        <v>36</v>
      </c>
      <c r="O23" s="149">
        <f t="shared" si="12"/>
        <v>0</v>
      </c>
      <c r="P23" s="149">
        <f t="shared" si="12"/>
        <v>36</v>
      </c>
      <c r="Q23" s="149">
        <f t="shared" si="12"/>
        <v>5</v>
      </c>
      <c r="R23" s="149">
        <f t="shared" si="12"/>
        <v>0</v>
      </c>
      <c r="S23" s="149">
        <f>SUM(S21:S22)</f>
        <v>5</v>
      </c>
      <c r="T23" s="151" t="s">
        <v>12</v>
      </c>
      <c r="U23" s="156"/>
      <c r="V23" s="141"/>
    </row>
    <row r="24" spans="2:22" ht="13.5" thickBot="1" x14ac:dyDescent="0.25">
      <c r="B24" s="149">
        <f t="shared" si="0"/>
        <v>1683</v>
      </c>
      <c r="C24" s="149">
        <f t="shared" si="1"/>
        <v>396</v>
      </c>
      <c r="D24" s="149">
        <f t="shared" si="1"/>
        <v>1287</v>
      </c>
      <c r="E24" s="149">
        <f t="shared" si="2"/>
        <v>213</v>
      </c>
      <c r="F24" s="149">
        <v>47</v>
      </c>
      <c r="G24" s="149">
        <v>166</v>
      </c>
      <c r="H24" s="149">
        <f t="shared" si="3"/>
        <v>683</v>
      </c>
      <c r="I24" s="149">
        <v>115</v>
      </c>
      <c r="J24" s="149">
        <v>568</v>
      </c>
      <c r="K24" s="149">
        <f t="shared" si="4"/>
        <v>774</v>
      </c>
      <c r="L24" s="149">
        <v>231</v>
      </c>
      <c r="M24" s="149">
        <v>543</v>
      </c>
      <c r="N24" s="149">
        <f t="shared" si="5"/>
        <v>13</v>
      </c>
      <c r="O24" s="149">
        <v>3</v>
      </c>
      <c r="P24" s="149">
        <v>10</v>
      </c>
      <c r="Q24" s="149">
        <f t="shared" si="6"/>
        <v>0</v>
      </c>
      <c r="R24" s="149">
        <v>0</v>
      </c>
      <c r="S24" s="149">
        <v>0</v>
      </c>
      <c r="T24" s="151" t="s">
        <v>146</v>
      </c>
      <c r="U24" s="155"/>
      <c r="V24" s="141"/>
    </row>
    <row r="25" spans="2:22" ht="13.5" thickBot="1" x14ac:dyDescent="0.25">
      <c r="B25" s="149">
        <f t="shared" si="0"/>
        <v>43</v>
      </c>
      <c r="C25" s="149">
        <f t="shared" si="1"/>
        <v>6</v>
      </c>
      <c r="D25" s="149">
        <f t="shared" si="1"/>
        <v>37</v>
      </c>
      <c r="E25" s="149">
        <f t="shared" si="2"/>
        <v>0</v>
      </c>
      <c r="F25" s="149">
        <v>0</v>
      </c>
      <c r="G25" s="149">
        <v>0</v>
      </c>
      <c r="H25" s="149">
        <f t="shared" si="3"/>
        <v>0</v>
      </c>
      <c r="I25" s="149">
        <v>0</v>
      </c>
      <c r="J25" s="149">
        <v>0</v>
      </c>
      <c r="K25" s="149">
        <f t="shared" si="4"/>
        <v>38</v>
      </c>
      <c r="L25" s="149">
        <v>4</v>
      </c>
      <c r="M25" s="149">
        <v>34</v>
      </c>
      <c r="N25" s="149">
        <f t="shared" si="5"/>
        <v>5</v>
      </c>
      <c r="O25" s="149">
        <v>2</v>
      </c>
      <c r="P25" s="149">
        <v>3</v>
      </c>
      <c r="Q25" s="149">
        <f t="shared" si="6"/>
        <v>0</v>
      </c>
      <c r="R25" s="149">
        <v>0</v>
      </c>
      <c r="S25" s="149">
        <v>0</v>
      </c>
      <c r="T25" s="151" t="s">
        <v>145</v>
      </c>
      <c r="U25" s="155" t="s">
        <v>74</v>
      </c>
      <c r="V25" s="141"/>
    </row>
    <row r="26" spans="2:22" ht="13.5" thickBot="1" x14ac:dyDescent="0.25">
      <c r="B26" s="149">
        <f t="shared" ref="B26:R26" si="13">SUM(B24:B25)</f>
        <v>1726</v>
      </c>
      <c r="C26" s="149">
        <f t="shared" si="13"/>
        <v>402</v>
      </c>
      <c r="D26" s="149">
        <f t="shared" si="13"/>
        <v>1324</v>
      </c>
      <c r="E26" s="149">
        <f t="shared" si="13"/>
        <v>213</v>
      </c>
      <c r="F26" s="149">
        <f t="shared" si="13"/>
        <v>47</v>
      </c>
      <c r="G26" s="149">
        <f t="shared" si="13"/>
        <v>166</v>
      </c>
      <c r="H26" s="149">
        <f t="shared" si="13"/>
        <v>683</v>
      </c>
      <c r="I26" s="149">
        <f t="shared" si="13"/>
        <v>115</v>
      </c>
      <c r="J26" s="149">
        <f t="shared" si="13"/>
        <v>568</v>
      </c>
      <c r="K26" s="149">
        <f t="shared" si="13"/>
        <v>812</v>
      </c>
      <c r="L26" s="149">
        <f t="shared" si="13"/>
        <v>235</v>
      </c>
      <c r="M26" s="149">
        <f t="shared" si="13"/>
        <v>577</v>
      </c>
      <c r="N26" s="149">
        <f t="shared" si="13"/>
        <v>18</v>
      </c>
      <c r="O26" s="149">
        <f t="shared" si="13"/>
        <v>5</v>
      </c>
      <c r="P26" s="149">
        <f t="shared" si="13"/>
        <v>13</v>
      </c>
      <c r="Q26" s="149">
        <f t="shared" si="13"/>
        <v>0</v>
      </c>
      <c r="R26" s="149">
        <f t="shared" si="13"/>
        <v>0</v>
      </c>
      <c r="S26" s="149">
        <f>SUM(S24:S25)</f>
        <v>0</v>
      </c>
      <c r="T26" s="151" t="s">
        <v>12</v>
      </c>
      <c r="U26" s="156"/>
      <c r="V26" s="141"/>
    </row>
    <row r="27" spans="2:22" ht="13.5" thickBot="1" x14ac:dyDescent="0.25">
      <c r="B27" s="149">
        <f t="shared" si="0"/>
        <v>903</v>
      </c>
      <c r="C27" s="149">
        <f t="shared" si="1"/>
        <v>234</v>
      </c>
      <c r="D27" s="149">
        <f t="shared" si="1"/>
        <v>669</v>
      </c>
      <c r="E27" s="149">
        <f t="shared" si="2"/>
        <v>219</v>
      </c>
      <c r="F27" s="149">
        <v>79</v>
      </c>
      <c r="G27" s="149">
        <v>140</v>
      </c>
      <c r="H27" s="149">
        <f t="shared" si="3"/>
        <v>91</v>
      </c>
      <c r="I27" s="149">
        <v>40</v>
      </c>
      <c r="J27" s="149">
        <v>51</v>
      </c>
      <c r="K27" s="149">
        <f t="shared" si="4"/>
        <v>48</v>
      </c>
      <c r="L27" s="149">
        <v>14</v>
      </c>
      <c r="M27" s="149">
        <v>34</v>
      </c>
      <c r="N27" s="149">
        <f t="shared" si="5"/>
        <v>290</v>
      </c>
      <c r="O27" s="149">
        <v>101</v>
      </c>
      <c r="P27" s="149">
        <v>189</v>
      </c>
      <c r="Q27" s="149">
        <f t="shared" si="6"/>
        <v>255</v>
      </c>
      <c r="R27" s="149">
        <v>0</v>
      </c>
      <c r="S27" s="149">
        <v>255</v>
      </c>
      <c r="T27" s="151" t="s">
        <v>146</v>
      </c>
      <c r="U27" s="155"/>
      <c r="V27" s="141"/>
    </row>
    <row r="28" spans="2:22" ht="13.5" thickBot="1" x14ac:dyDescent="0.25">
      <c r="B28" s="149">
        <f t="shared" si="0"/>
        <v>12</v>
      </c>
      <c r="C28" s="149">
        <f t="shared" si="1"/>
        <v>0</v>
      </c>
      <c r="D28" s="149">
        <f t="shared" si="1"/>
        <v>12</v>
      </c>
      <c r="E28" s="149">
        <f t="shared" si="2"/>
        <v>0</v>
      </c>
      <c r="F28" s="149">
        <v>0</v>
      </c>
      <c r="G28" s="149">
        <v>0</v>
      </c>
      <c r="H28" s="149">
        <f t="shared" si="3"/>
        <v>2</v>
      </c>
      <c r="I28" s="149">
        <v>0</v>
      </c>
      <c r="J28" s="149">
        <v>2</v>
      </c>
      <c r="K28" s="149">
        <f t="shared" si="4"/>
        <v>5</v>
      </c>
      <c r="L28" s="149">
        <v>0</v>
      </c>
      <c r="M28" s="149">
        <v>5</v>
      </c>
      <c r="N28" s="149">
        <f t="shared" si="5"/>
        <v>2</v>
      </c>
      <c r="O28" s="149">
        <v>0</v>
      </c>
      <c r="P28" s="149">
        <v>2</v>
      </c>
      <c r="Q28" s="149">
        <f t="shared" si="6"/>
        <v>3</v>
      </c>
      <c r="R28" s="149">
        <v>0</v>
      </c>
      <c r="S28" s="149">
        <v>3</v>
      </c>
      <c r="T28" s="151" t="s">
        <v>145</v>
      </c>
      <c r="U28" s="155" t="s">
        <v>75</v>
      </c>
      <c r="V28" s="141"/>
    </row>
    <row r="29" spans="2:22" ht="13.5" thickBot="1" x14ac:dyDescent="0.25">
      <c r="B29" s="149">
        <f t="shared" ref="B29:R29" si="14">SUM(B27:B28)</f>
        <v>915</v>
      </c>
      <c r="C29" s="149">
        <f t="shared" si="14"/>
        <v>234</v>
      </c>
      <c r="D29" s="149">
        <f t="shared" si="14"/>
        <v>681</v>
      </c>
      <c r="E29" s="149">
        <f t="shared" si="14"/>
        <v>219</v>
      </c>
      <c r="F29" s="149">
        <f t="shared" si="14"/>
        <v>79</v>
      </c>
      <c r="G29" s="149">
        <f t="shared" si="14"/>
        <v>140</v>
      </c>
      <c r="H29" s="149">
        <f t="shared" si="14"/>
        <v>93</v>
      </c>
      <c r="I29" s="149">
        <f t="shared" si="14"/>
        <v>40</v>
      </c>
      <c r="J29" s="149">
        <f t="shared" si="14"/>
        <v>53</v>
      </c>
      <c r="K29" s="149">
        <f t="shared" si="14"/>
        <v>53</v>
      </c>
      <c r="L29" s="149">
        <f t="shared" si="14"/>
        <v>14</v>
      </c>
      <c r="M29" s="149">
        <f t="shared" si="14"/>
        <v>39</v>
      </c>
      <c r="N29" s="149">
        <f t="shared" si="14"/>
        <v>292</v>
      </c>
      <c r="O29" s="149">
        <f t="shared" si="14"/>
        <v>101</v>
      </c>
      <c r="P29" s="149">
        <f t="shared" si="14"/>
        <v>191</v>
      </c>
      <c r="Q29" s="149">
        <f t="shared" si="14"/>
        <v>258</v>
      </c>
      <c r="R29" s="149">
        <f t="shared" si="14"/>
        <v>0</v>
      </c>
      <c r="S29" s="149">
        <f>SUM(S27:S28)</f>
        <v>258</v>
      </c>
      <c r="T29" s="151" t="s">
        <v>12</v>
      </c>
      <c r="U29" s="156"/>
      <c r="V29" s="141"/>
    </row>
    <row r="30" spans="2:22" ht="13.5" thickBot="1" x14ac:dyDescent="0.25">
      <c r="B30" s="149">
        <f t="shared" si="0"/>
        <v>1008</v>
      </c>
      <c r="C30" s="149">
        <f t="shared" si="1"/>
        <v>214</v>
      </c>
      <c r="D30" s="149">
        <f t="shared" si="1"/>
        <v>794</v>
      </c>
      <c r="E30" s="149">
        <f t="shared" si="2"/>
        <v>642</v>
      </c>
      <c r="F30" s="149">
        <v>186</v>
      </c>
      <c r="G30" s="149">
        <v>456</v>
      </c>
      <c r="H30" s="149">
        <f t="shared" si="3"/>
        <v>148</v>
      </c>
      <c r="I30" s="149">
        <v>0</v>
      </c>
      <c r="J30" s="149">
        <v>148</v>
      </c>
      <c r="K30" s="149">
        <f t="shared" si="4"/>
        <v>209</v>
      </c>
      <c r="L30" s="149">
        <v>28</v>
      </c>
      <c r="M30" s="149">
        <v>181</v>
      </c>
      <c r="N30" s="149">
        <f t="shared" si="5"/>
        <v>6</v>
      </c>
      <c r="O30" s="149">
        <v>0</v>
      </c>
      <c r="P30" s="149">
        <v>6</v>
      </c>
      <c r="Q30" s="149">
        <f t="shared" si="6"/>
        <v>3</v>
      </c>
      <c r="R30" s="149">
        <v>0</v>
      </c>
      <c r="S30" s="149">
        <v>3</v>
      </c>
      <c r="T30" s="151" t="s">
        <v>146</v>
      </c>
      <c r="U30" s="155"/>
      <c r="V30" s="141"/>
    </row>
    <row r="31" spans="2:22" ht="13.5" thickBot="1" x14ac:dyDescent="0.25">
      <c r="B31" s="149">
        <f t="shared" si="0"/>
        <v>59</v>
      </c>
      <c r="C31" s="149">
        <f t="shared" si="1"/>
        <v>19</v>
      </c>
      <c r="D31" s="149">
        <f t="shared" si="1"/>
        <v>40</v>
      </c>
      <c r="E31" s="149">
        <f t="shared" si="2"/>
        <v>32</v>
      </c>
      <c r="F31" s="149">
        <v>13</v>
      </c>
      <c r="G31" s="149">
        <v>19</v>
      </c>
      <c r="H31" s="149">
        <f t="shared" si="3"/>
        <v>1</v>
      </c>
      <c r="I31" s="149">
        <v>0</v>
      </c>
      <c r="J31" s="149">
        <v>1</v>
      </c>
      <c r="K31" s="149">
        <f t="shared" si="4"/>
        <v>19</v>
      </c>
      <c r="L31" s="149">
        <v>5</v>
      </c>
      <c r="M31" s="149">
        <v>14</v>
      </c>
      <c r="N31" s="149">
        <f t="shared" si="5"/>
        <v>6</v>
      </c>
      <c r="O31" s="149">
        <v>1</v>
      </c>
      <c r="P31" s="149">
        <v>5</v>
      </c>
      <c r="Q31" s="149">
        <f t="shared" si="6"/>
        <v>1</v>
      </c>
      <c r="R31" s="149">
        <v>0</v>
      </c>
      <c r="S31" s="149">
        <v>1</v>
      </c>
      <c r="T31" s="151" t="s">
        <v>145</v>
      </c>
      <c r="U31" s="155" t="s">
        <v>100</v>
      </c>
      <c r="V31" s="141"/>
    </row>
    <row r="32" spans="2:22" ht="13.5" thickBot="1" x14ac:dyDescent="0.25">
      <c r="B32" s="149">
        <f t="shared" ref="B32:R32" si="15">SUM(B30:B31)</f>
        <v>1067</v>
      </c>
      <c r="C32" s="149">
        <f t="shared" si="15"/>
        <v>233</v>
      </c>
      <c r="D32" s="149">
        <f t="shared" si="15"/>
        <v>834</v>
      </c>
      <c r="E32" s="149">
        <f t="shared" si="15"/>
        <v>674</v>
      </c>
      <c r="F32" s="149">
        <f t="shared" si="15"/>
        <v>199</v>
      </c>
      <c r="G32" s="149">
        <f t="shared" si="15"/>
        <v>475</v>
      </c>
      <c r="H32" s="149">
        <f t="shared" si="15"/>
        <v>149</v>
      </c>
      <c r="I32" s="149">
        <f t="shared" si="15"/>
        <v>0</v>
      </c>
      <c r="J32" s="149">
        <f t="shared" si="15"/>
        <v>149</v>
      </c>
      <c r="K32" s="149">
        <f t="shared" si="15"/>
        <v>228</v>
      </c>
      <c r="L32" s="149">
        <f t="shared" si="15"/>
        <v>33</v>
      </c>
      <c r="M32" s="149">
        <f t="shared" si="15"/>
        <v>195</v>
      </c>
      <c r="N32" s="149">
        <f t="shared" si="15"/>
        <v>12</v>
      </c>
      <c r="O32" s="149">
        <f t="shared" si="15"/>
        <v>1</v>
      </c>
      <c r="P32" s="149">
        <f t="shared" si="15"/>
        <v>11</v>
      </c>
      <c r="Q32" s="149">
        <f t="shared" si="15"/>
        <v>4</v>
      </c>
      <c r="R32" s="149">
        <f t="shared" si="15"/>
        <v>0</v>
      </c>
      <c r="S32" s="149">
        <f>SUM(S30:S31)</f>
        <v>4</v>
      </c>
      <c r="T32" s="151" t="s">
        <v>12</v>
      </c>
      <c r="U32" s="156"/>
      <c r="V32" s="141"/>
    </row>
    <row r="33" spans="2:22" ht="13.5" thickBot="1" x14ac:dyDescent="0.25">
      <c r="B33" s="149">
        <f t="shared" si="0"/>
        <v>740</v>
      </c>
      <c r="C33" s="149">
        <f t="shared" si="1"/>
        <v>272</v>
      </c>
      <c r="D33" s="149">
        <f t="shared" si="1"/>
        <v>468</v>
      </c>
      <c r="E33" s="149">
        <f t="shared" si="2"/>
        <v>14</v>
      </c>
      <c r="F33" s="149">
        <v>14</v>
      </c>
      <c r="G33" s="149">
        <v>0</v>
      </c>
      <c r="H33" s="149">
        <f t="shared" si="3"/>
        <v>374</v>
      </c>
      <c r="I33" s="149">
        <v>38</v>
      </c>
      <c r="J33" s="149">
        <v>336</v>
      </c>
      <c r="K33" s="149">
        <f t="shared" si="4"/>
        <v>343</v>
      </c>
      <c r="L33" s="149">
        <v>218</v>
      </c>
      <c r="M33" s="149">
        <v>125</v>
      </c>
      <c r="N33" s="149">
        <f t="shared" si="5"/>
        <v>8</v>
      </c>
      <c r="O33" s="149">
        <v>2</v>
      </c>
      <c r="P33" s="149">
        <v>6</v>
      </c>
      <c r="Q33" s="149">
        <f t="shared" si="6"/>
        <v>1</v>
      </c>
      <c r="R33" s="149">
        <v>0</v>
      </c>
      <c r="S33" s="149">
        <v>1</v>
      </c>
      <c r="T33" s="151" t="s">
        <v>146</v>
      </c>
      <c r="U33" s="155"/>
      <c r="V33" s="141"/>
    </row>
    <row r="34" spans="2:22" ht="13.5" thickBot="1" x14ac:dyDescent="0.25">
      <c r="B34" s="149">
        <f t="shared" si="0"/>
        <v>13</v>
      </c>
      <c r="C34" s="149">
        <f t="shared" si="1"/>
        <v>0</v>
      </c>
      <c r="D34" s="149">
        <f t="shared" si="1"/>
        <v>13</v>
      </c>
      <c r="E34" s="149">
        <f t="shared" si="2"/>
        <v>0</v>
      </c>
      <c r="F34" s="149">
        <v>0</v>
      </c>
      <c r="G34" s="149">
        <v>0</v>
      </c>
      <c r="H34" s="149">
        <f t="shared" si="3"/>
        <v>0</v>
      </c>
      <c r="I34" s="149">
        <v>0</v>
      </c>
      <c r="J34" s="149">
        <v>0</v>
      </c>
      <c r="K34" s="149">
        <f t="shared" si="4"/>
        <v>7</v>
      </c>
      <c r="L34" s="149">
        <v>0</v>
      </c>
      <c r="M34" s="149">
        <v>7</v>
      </c>
      <c r="N34" s="149">
        <f t="shared" si="5"/>
        <v>5</v>
      </c>
      <c r="O34" s="149">
        <v>0</v>
      </c>
      <c r="P34" s="149">
        <v>5</v>
      </c>
      <c r="Q34" s="149">
        <f t="shared" si="6"/>
        <v>1</v>
      </c>
      <c r="R34" s="149">
        <v>0</v>
      </c>
      <c r="S34" s="149">
        <v>1</v>
      </c>
      <c r="T34" s="151" t="s">
        <v>145</v>
      </c>
      <c r="U34" s="155" t="s">
        <v>76</v>
      </c>
      <c r="V34" s="141"/>
    </row>
    <row r="35" spans="2:22" ht="13.5" thickBot="1" x14ac:dyDescent="0.25">
      <c r="B35" s="149">
        <f t="shared" ref="B35:R35" si="16">SUM(B33:B34)</f>
        <v>753</v>
      </c>
      <c r="C35" s="149">
        <f t="shared" si="16"/>
        <v>272</v>
      </c>
      <c r="D35" s="149">
        <f t="shared" si="16"/>
        <v>481</v>
      </c>
      <c r="E35" s="149">
        <f t="shared" si="16"/>
        <v>14</v>
      </c>
      <c r="F35" s="149">
        <f t="shared" si="16"/>
        <v>14</v>
      </c>
      <c r="G35" s="149">
        <f t="shared" si="16"/>
        <v>0</v>
      </c>
      <c r="H35" s="149">
        <f t="shared" si="16"/>
        <v>374</v>
      </c>
      <c r="I35" s="149">
        <f t="shared" si="16"/>
        <v>38</v>
      </c>
      <c r="J35" s="149">
        <f t="shared" si="16"/>
        <v>336</v>
      </c>
      <c r="K35" s="149">
        <f t="shared" si="16"/>
        <v>350</v>
      </c>
      <c r="L35" s="149">
        <f t="shared" si="16"/>
        <v>218</v>
      </c>
      <c r="M35" s="149">
        <f t="shared" si="16"/>
        <v>132</v>
      </c>
      <c r="N35" s="149">
        <f t="shared" si="16"/>
        <v>13</v>
      </c>
      <c r="O35" s="149">
        <f t="shared" si="16"/>
        <v>2</v>
      </c>
      <c r="P35" s="149">
        <f t="shared" si="16"/>
        <v>11</v>
      </c>
      <c r="Q35" s="149">
        <f t="shared" si="16"/>
        <v>2</v>
      </c>
      <c r="R35" s="149">
        <f t="shared" si="16"/>
        <v>0</v>
      </c>
      <c r="S35" s="149">
        <f>SUM(S33:S34)</f>
        <v>2</v>
      </c>
      <c r="T35" s="151" t="s">
        <v>12</v>
      </c>
      <c r="U35" s="156"/>
      <c r="V35" s="141"/>
    </row>
    <row r="36" spans="2:22" ht="13.5" thickBot="1" x14ac:dyDescent="0.25">
      <c r="B36" s="149">
        <f t="shared" si="0"/>
        <v>587</v>
      </c>
      <c r="C36" s="149">
        <f t="shared" si="1"/>
        <v>195</v>
      </c>
      <c r="D36" s="149">
        <f t="shared" si="1"/>
        <v>392</v>
      </c>
      <c r="E36" s="149">
        <f t="shared" si="2"/>
        <v>195</v>
      </c>
      <c r="F36" s="149">
        <v>56</v>
      </c>
      <c r="G36" s="149">
        <v>139</v>
      </c>
      <c r="H36" s="149">
        <f t="shared" si="3"/>
        <v>110</v>
      </c>
      <c r="I36" s="149">
        <v>31</v>
      </c>
      <c r="J36" s="149">
        <v>79</v>
      </c>
      <c r="K36" s="149">
        <f t="shared" si="4"/>
        <v>275</v>
      </c>
      <c r="L36" s="149">
        <v>108</v>
      </c>
      <c r="M36" s="149">
        <v>167</v>
      </c>
      <c r="N36" s="149">
        <f t="shared" si="5"/>
        <v>4</v>
      </c>
      <c r="O36" s="149">
        <v>0</v>
      </c>
      <c r="P36" s="149">
        <v>4</v>
      </c>
      <c r="Q36" s="149">
        <f t="shared" si="6"/>
        <v>3</v>
      </c>
      <c r="R36" s="149">
        <v>0</v>
      </c>
      <c r="S36" s="149">
        <v>3</v>
      </c>
      <c r="T36" s="151" t="s">
        <v>146</v>
      </c>
      <c r="U36" s="155"/>
      <c r="V36" s="141"/>
    </row>
    <row r="37" spans="2:22" ht="13.5" thickBot="1" x14ac:dyDescent="0.25">
      <c r="B37" s="149">
        <f t="shared" si="0"/>
        <v>7</v>
      </c>
      <c r="C37" s="149">
        <f t="shared" si="1"/>
        <v>0</v>
      </c>
      <c r="D37" s="149">
        <f t="shared" si="1"/>
        <v>7</v>
      </c>
      <c r="E37" s="149">
        <f t="shared" si="2"/>
        <v>0</v>
      </c>
      <c r="F37" s="149">
        <v>0</v>
      </c>
      <c r="G37" s="149">
        <v>0</v>
      </c>
      <c r="H37" s="149">
        <f t="shared" si="3"/>
        <v>1</v>
      </c>
      <c r="I37" s="149">
        <v>0</v>
      </c>
      <c r="J37" s="149">
        <v>1</v>
      </c>
      <c r="K37" s="149">
        <f t="shared" si="4"/>
        <v>4</v>
      </c>
      <c r="L37" s="149">
        <v>0</v>
      </c>
      <c r="M37" s="149">
        <v>4</v>
      </c>
      <c r="N37" s="149">
        <f t="shared" si="5"/>
        <v>2</v>
      </c>
      <c r="O37" s="149">
        <v>0</v>
      </c>
      <c r="P37" s="149">
        <v>2</v>
      </c>
      <c r="Q37" s="149">
        <f t="shared" si="6"/>
        <v>0</v>
      </c>
      <c r="R37" s="149">
        <v>0</v>
      </c>
      <c r="S37" s="149">
        <v>0</v>
      </c>
      <c r="T37" s="151" t="s">
        <v>145</v>
      </c>
      <c r="U37" s="155" t="s">
        <v>77</v>
      </c>
      <c r="V37" s="141"/>
    </row>
    <row r="38" spans="2:22" ht="13.5" thickBot="1" x14ac:dyDescent="0.25">
      <c r="B38" s="149">
        <f t="shared" ref="B38:R38" si="17">SUM(B36:B37)</f>
        <v>594</v>
      </c>
      <c r="C38" s="149">
        <f t="shared" si="17"/>
        <v>195</v>
      </c>
      <c r="D38" s="149">
        <f t="shared" si="17"/>
        <v>399</v>
      </c>
      <c r="E38" s="149">
        <f t="shared" si="17"/>
        <v>195</v>
      </c>
      <c r="F38" s="149">
        <f t="shared" si="17"/>
        <v>56</v>
      </c>
      <c r="G38" s="149">
        <f t="shared" si="17"/>
        <v>139</v>
      </c>
      <c r="H38" s="149">
        <f t="shared" si="17"/>
        <v>111</v>
      </c>
      <c r="I38" s="149">
        <f t="shared" si="17"/>
        <v>31</v>
      </c>
      <c r="J38" s="149">
        <f t="shared" si="17"/>
        <v>80</v>
      </c>
      <c r="K38" s="149">
        <f t="shared" si="17"/>
        <v>279</v>
      </c>
      <c r="L38" s="149">
        <f t="shared" si="17"/>
        <v>108</v>
      </c>
      <c r="M38" s="149">
        <f t="shared" si="17"/>
        <v>171</v>
      </c>
      <c r="N38" s="149">
        <f t="shared" si="17"/>
        <v>6</v>
      </c>
      <c r="O38" s="149">
        <f t="shared" si="17"/>
        <v>0</v>
      </c>
      <c r="P38" s="149">
        <f t="shared" si="17"/>
        <v>6</v>
      </c>
      <c r="Q38" s="149">
        <f t="shared" si="17"/>
        <v>3</v>
      </c>
      <c r="R38" s="149">
        <f t="shared" si="17"/>
        <v>0</v>
      </c>
      <c r="S38" s="149">
        <f>SUM(S36:S37)</f>
        <v>3</v>
      </c>
      <c r="T38" s="151" t="s">
        <v>12</v>
      </c>
      <c r="U38" s="156"/>
      <c r="V38" s="141"/>
    </row>
    <row r="39" spans="2:22" ht="13.5" thickBot="1" x14ac:dyDescent="0.25">
      <c r="B39" s="149">
        <f t="shared" si="0"/>
        <v>61</v>
      </c>
      <c r="C39" s="149">
        <f t="shared" si="1"/>
        <v>56</v>
      </c>
      <c r="D39" s="149">
        <f t="shared" si="1"/>
        <v>5</v>
      </c>
      <c r="E39" s="149">
        <f t="shared" si="2"/>
        <v>0</v>
      </c>
      <c r="F39" s="149">
        <v>0</v>
      </c>
      <c r="G39" s="149">
        <v>0</v>
      </c>
      <c r="H39" s="149">
        <f t="shared" si="3"/>
        <v>16</v>
      </c>
      <c r="I39" s="149">
        <v>14</v>
      </c>
      <c r="J39" s="149">
        <v>2</v>
      </c>
      <c r="K39" s="149">
        <f t="shared" si="4"/>
        <v>38</v>
      </c>
      <c r="L39" s="149">
        <v>37</v>
      </c>
      <c r="M39" s="149">
        <v>1</v>
      </c>
      <c r="N39" s="149">
        <f t="shared" si="5"/>
        <v>4</v>
      </c>
      <c r="O39" s="149">
        <v>4</v>
      </c>
      <c r="P39" s="149">
        <v>0</v>
      </c>
      <c r="Q39" s="149">
        <f t="shared" si="6"/>
        <v>3</v>
      </c>
      <c r="R39" s="149">
        <v>1</v>
      </c>
      <c r="S39" s="149">
        <v>2</v>
      </c>
      <c r="T39" s="151" t="s">
        <v>146</v>
      </c>
      <c r="U39" s="155"/>
      <c r="V39" s="141"/>
    </row>
    <row r="40" spans="2:22" ht="13.5" thickBot="1" x14ac:dyDescent="0.25">
      <c r="B40" s="149">
        <f t="shared" si="0"/>
        <v>20</v>
      </c>
      <c r="C40" s="149">
        <f t="shared" si="1"/>
        <v>18</v>
      </c>
      <c r="D40" s="149">
        <f t="shared" si="1"/>
        <v>2</v>
      </c>
      <c r="E40" s="149">
        <f t="shared" si="2"/>
        <v>0</v>
      </c>
      <c r="F40" s="149">
        <v>0</v>
      </c>
      <c r="G40" s="149">
        <v>0</v>
      </c>
      <c r="H40" s="149">
        <f t="shared" si="3"/>
        <v>0</v>
      </c>
      <c r="I40" s="149">
        <v>0</v>
      </c>
      <c r="J40" s="149">
        <v>0</v>
      </c>
      <c r="K40" s="149">
        <f t="shared" si="4"/>
        <v>16</v>
      </c>
      <c r="L40" s="149">
        <v>15</v>
      </c>
      <c r="M40" s="149">
        <v>1</v>
      </c>
      <c r="N40" s="149">
        <f t="shared" si="5"/>
        <v>3</v>
      </c>
      <c r="O40" s="149">
        <v>2</v>
      </c>
      <c r="P40" s="149">
        <v>1</v>
      </c>
      <c r="Q40" s="149">
        <f t="shared" si="6"/>
        <v>1</v>
      </c>
      <c r="R40" s="149">
        <v>1</v>
      </c>
      <c r="S40" s="149">
        <v>0</v>
      </c>
      <c r="T40" s="151" t="s">
        <v>145</v>
      </c>
      <c r="U40" s="155" t="s">
        <v>148</v>
      </c>
      <c r="V40" s="141"/>
    </row>
    <row r="41" spans="2:22" ht="13.5" thickBot="1" x14ac:dyDescent="0.25">
      <c r="B41" s="149">
        <f t="shared" ref="B41:R41" si="18">SUM(B39:B40)</f>
        <v>81</v>
      </c>
      <c r="C41" s="149">
        <f t="shared" si="18"/>
        <v>74</v>
      </c>
      <c r="D41" s="149">
        <f t="shared" si="18"/>
        <v>7</v>
      </c>
      <c r="E41" s="149">
        <f t="shared" si="18"/>
        <v>0</v>
      </c>
      <c r="F41" s="149">
        <f t="shared" si="18"/>
        <v>0</v>
      </c>
      <c r="G41" s="149">
        <f t="shared" si="18"/>
        <v>0</v>
      </c>
      <c r="H41" s="149">
        <f t="shared" si="18"/>
        <v>16</v>
      </c>
      <c r="I41" s="149">
        <f t="shared" si="18"/>
        <v>14</v>
      </c>
      <c r="J41" s="149">
        <f t="shared" si="18"/>
        <v>2</v>
      </c>
      <c r="K41" s="149">
        <f t="shared" si="18"/>
        <v>54</v>
      </c>
      <c r="L41" s="149">
        <f t="shared" si="18"/>
        <v>52</v>
      </c>
      <c r="M41" s="149">
        <f t="shared" si="18"/>
        <v>2</v>
      </c>
      <c r="N41" s="149">
        <f t="shared" si="18"/>
        <v>7</v>
      </c>
      <c r="O41" s="149">
        <f t="shared" si="18"/>
        <v>6</v>
      </c>
      <c r="P41" s="149">
        <f t="shared" si="18"/>
        <v>1</v>
      </c>
      <c r="Q41" s="149">
        <f t="shared" si="18"/>
        <v>4</v>
      </c>
      <c r="R41" s="149">
        <f t="shared" si="18"/>
        <v>2</v>
      </c>
      <c r="S41" s="149">
        <f>SUM(S39:S40)</f>
        <v>2</v>
      </c>
      <c r="T41" s="151" t="s">
        <v>12</v>
      </c>
      <c r="U41" s="156"/>
      <c r="V41" s="141"/>
    </row>
    <row r="42" spans="2:22" ht="13.5" thickBot="1" x14ac:dyDescent="0.25">
      <c r="B42" s="149">
        <f t="shared" si="0"/>
        <v>430</v>
      </c>
      <c r="C42" s="149">
        <f t="shared" si="1"/>
        <v>114</v>
      </c>
      <c r="D42" s="149">
        <f t="shared" si="1"/>
        <v>316</v>
      </c>
      <c r="E42" s="149">
        <f t="shared" si="2"/>
        <v>95</v>
      </c>
      <c r="F42" s="149">
        <v>19</v>
      </c>
      <c r="G42" s="149">
        <v>76</v>
      </c>
      <c r="H42" s="149">
        <f t="shared" si="3"/>
        <v>222</v>
      </c>
      <c r="I42" s="149">
        <v>45</v>
      </c>
      <c r="J42" s="149">
        <v>177</v>
      </c>
      <c r="K42" s="149">
        <f t="shared" si="4"/>
        <v>113</v>
      </c>
      <c r="L42" s="149">
        <v>50</v>
      </c>
      <c r="M42" s="149">
        <v>63</v>
      </c>
      <c r="N42" s="149">
        <f t="shared" si="5"/>
        <v>0</v>
      </c>
      <c r="O42" s="149">
        <v>0</v>
      </c>
      <c r="P42" s="149">
        <v>0</v>
      </c>
      <c r="Q42" s="149">
        <f t="shared" si="6"/>
        <v>0</v>
      </c>
      <c r="R42" s="149">
        <v>0</v>
      </c>
      <c r="S42" s="149">
        <v>0</v>
      </c>
      <c r="T42" s="151" t="s">
        <v>146</v>
      </c>
      <c r="U42" s="155"/>
      <c r="V42" s="141"/>
    </row>
    <row r="43" spans="2:22" ht="13.5" thickBot="1" x14ac:dyDescent="0.25">
      <c r="B43" s="149">
        <f t="shared" si="0"/>
        <v>17</v>
      </c>
      <c r="C43" s="149">
        <f t="shared" si="1"/>
        <v>0</v>
      </c>
      <c r="D43" s="149">
        <f t="shared" si="1"/>
        <v>17</v>
      </c>
      <c r="E43" s="149">
        <f t="shared" si="2"/>
        <v>2</v>
      </c>
      <c r="F43" s="149">
        <v>0</v>
      </c>
      <c r="G43" s="149">
        <v>2</v>
      </c>
      <c r="H43" s="149">
        <f t="shared" si="3"/>
        <v>11</v>
      </c>
      <c r="I43" s="149">
        <v>0</v>
      </c>
      <c r="J43" s="149">
        <v>11</v>
      </c>
      <c r="K43" s="149">
        <f t="shared" si="4"/>
        <v>4</v>
      </c>
      <c r="L43" s="149">
        <v>0</v>
      </c>
      <c r="M43" s="149">
        <v>4</v>
      </c>
      <c r="N43" s="149">
        <f t="shared" si="5"/>
        <v>0</v>
      </c>
      <c r="O43" s="149">
        <v>0</v>
      </c>
      <c r="P43" s="149">
        <v>0</v>
      </c>
      <c r="Q43" s="149">
        <f t="shared" si="6"/>
        <v>0</v>
      </c>
      <c r="R43" s="149">
        <v>0</v>
      </c>
      <c r="S43" s="149">
        <v>0</v>
      </c>
      <c r="T43" s="151" t="s">
        <v>145</v>
      </c>
      <c r="U43" s="155" t="s">
        <v>106</v>
      </c>
      <c r="V43" s="141"/>
    </row>
    <row r="44" spans="2:22" ht="13.5" thickBot="1" x14ac:dyDescent="0.25">
      <c r="B44" s="149">
        <f t="shared" ref="B44:R44" si="19">SUM(B42:B43)</f>
        <v>447</v>
      </c>
      <c r="C44" s="149">
        <f t="shared" si="19"/>
        <v>114</v>
      </c>
      <c r="D44" s="149">
        <f t="shared" si="19"/>
        <v>333</v>
      </c>
      <c r="E44" s="149">
        <f t="shared" si="19"/>
        <v>97</v>
      </c>
      <c r="F44" s="149">
        <f t="shared" si="19"/>
        <v>19</v>
      </c>
      <c r="G44" s="149">
        <f t="shared" si="19"/>
        <v>78</v>
      </c>
      <c r="H44" s="149">
        <f t="shared" si="19"/>
        <v>233</v>
      </c>
      <c r="I44" s="149">
        <f t="shared" si="19"/>
        <v>45</v>
      </c>
      <c r="J44" s="149">
        <f t="shared" si="19"/>
        <v>188</v>
      </c>
      <c r="K44" s="149">
        <f t="shared" si="19"/>
        <v>117</v>
      </c>
      <c r="L44" s="149">
        <f t="shared" si="19"/>
        <v>50</v>
      </c>
      <c r="M44" s="149">
        <f t="shared" si="19"/>
        <v>67</v>
      </c>
      <c r="N44" s="149">
        <f t="shared" si="19"/>
        <v>0</v>
      </c>
      <c r="O44" s="149">
        <f t="shared" si="19"/>
        <v>0</v>
      </c>
      <c r="P44" s="149">
        <f t="shared" si="19"/>
        <v>0</v>
      </c>
      <c r="Q44" s="149">
        <f t="shared" si="19"/>
        <v>0</v>
      </c>
      <c r="R44" s="149">
        <f t="shared" si="19"/>
        <v>0</v>
      </c>
      <c r="S44" s="149">
        <f>SUM(S42:S43)</f>
        <v>0</v>
      </c>
      <c r="T44" s="151" t="s">
        <v>12</v>
      </c>
      <c r="U44" s="156"/>
      <c r="V44" s="141"/>
    </row>
    <row r="45" spans="2:22" ht="13.5" thickBot="1" x14ac:dyDescent="0.25">
      <c r="B45" s="149">
        <f t="shared" si="0"/>
        <v>363</v>
      </c>
      <c r="C45" s="149">
        <f t="shared" si="1"/>
        <v>100</v>
      </c>
      <c r="D45" s="149">
        <f t="shared" si="1"/>
        <v>263</v>
      </c>
      <c r="E45" s="149">
        <f t="shared" si="2"/>
        <v>210</v>
      </c>
      <c r="F45" s="149">
        <v>55</v>
      </c>
      <c r="G45" s="149">
        <v>155</v>
      </c>
      <c r="H45" s="149">
        <f t="shared" si="3"/>
        <v>73</v>
      </c>
      <c r="I45" s="149">
        <v>7</v>
      </c>
      <c r="J45" s="149">
        <v>66</v>
      </c>
      <c r="K45" s="149">
        <f t="shared" si="4"/>
        <v>74</v>
      </c>
      <c r="L45" s="149">
        <v>38</v>
      </c>
      <c r="M45" s="149">
        <v>36</v>
      </c>
      <c r="N45" s="149">
        <f t="shared" si="5"/>
        <v>0</v>
      </c>
      <c r="O45" s="149">
        <v>0</v>
      </c>
      <c r="P45" s="149">
        <v>0</v>
      </c>
      <c r="Q45" s="149">
        <f t="shared" si="6"/>
        <v>6</v>
      </c>
      <c r="R45" s="149">
        <v>0</v>
      </c>
      <c r="S45" s="149">
        <v>6</v>
      </c>
      <c r="T45" s="151" t="s">
        <v>146</v>
      </c>
      <c r="U45" s="155"/>
      <c r="V45" s="141"/>
    </row>
    <row r="46" spans="2:22" ht="13.5" thickBot="1" x14ac:dyDescent="0.25">
      <c r="B46" s="149">
        <f t="shared" si="0"/>
        <v>1</v>
      </c>
      <c r="C46" s="149">
        <f t="shared" si="1"/>
        <v>0</v>
      </c>
      <c r="D46" s="149">
        <f t="shared" si="1"/>
        <v>1</v>
      </c>
      <c r="E46" s="149">
        <f t="shared" si="2"/>
        <v>0</v>
      </c>
      <c r="F46" s="149">
        <v>0</v>
      </c>
      <c r="G46" s="149">
        <v>0</v>
      </c>
      <c r="H46" s="149">
        <f t="shared" si="3"/>
        <v>0</v>
      </c>
      <c r="I46" s="149">
        <v>0</v>
      </c>
      <c r="J46" s="149">
        <v>0</v>
      </c>
      <c r="K46" s="149">
        <f t="shared" si="4"/>
        <v>1</v>
      </c>
      <c r="L46" s="149">
        <v>0</v>
      </c>
      <c r="M46" s="149">
        <v>1</v>
      </c>
      <c r="N46" s="149">
        <f t="shared" si="5"/>
        <v>0</v>
      </c>
      <c r="O46" s="149">
        <v>0</v>
      </c>
      <c r="P46" s="149">
        <v>0</v>
      </c>
      <c r="Q46" s="149">
        <f t="shared" si="6"/>
        <v>0</v>
      </c>
      <c r="R46" s="149">
        <v>0</v>
      </c>
      <c r="S46" s="149">
        <v>0</v>
      </c>
      <c r="T46" s="151" t="s">
        <v>145</v>
      </c>
      <c r="U46" s="155" t="s">
        <v>109</v>
      </c>
      <c r="V46" s="141"/>
    </row>
    <row r="47" spans="2:22" ht="13.5" thickBot="1" x14ac:dyDescent="0.25">
      <c r="B47" s="149">
        <f t="shared" ref="B47:R47" si="20">SUM(B45:B46)</f>
        <v>364</v>
      </c>
      <c r="C47" s="149">
        <f t="shared" si="20"/>
        <v>100</v>
      </c>
      <c r="D47" s="149">
        <f t="shared" si="20"/>
        <v>264</v>
      </c>
      <c r="E47" s="149">
        <f t="shared" si="20"/>
        <v>210</v>
      </c>
      <c r="F47" s="149">
        <f t="shared" si="20"/>
        <v>55</v>
      </c>
      <c r="G47" s="149">
        <f t="shared" si="20"/>
        <v>155</v>
      </c>
      <c r="H47" s="149">
        <f t="shared" si="20"/>
        <v>73</v>
      </c>
      <c r="I47" s="149">
        <f t="shared" si="20"/>
        <v>7</v>
      </c>
      <c r="J47" s="149">
        <f t="shared" si="20"/>
        <v>66</v>
      </c>
      <c r="K47" s="149">
        <f t="shared" si="20"/>
        <v>75</v>
      </c>
      <c r="L47" s="149">
        <f t="shared" si="20"/>
        <v>38</v>
      </c>
      <c r="M47" s="149">
        <f t="shared" si="20"/>
        <v>37</v>
      </c>
      <c r="N47" s="149">
        <f t="shared" si="20"/>
        <v>0</v>
      </c>
      <c r="O47" s="149">
        <f t="shared" si="20"/>
        <v>0</v>
      </c>
      <c r="P47" s="149">
        <f t="shared" si="20"/>
        <v>0</v>
      </c>
      <c r="Q47" s="149">
        <f t="shared" si="20"/>
        <v>6</v>
      </c>
      <c r="R47" s="149">
        <f t="shared" si="20"/>
        <v>0</v>
      </c>
      <c r="S47" s="149">
        <f>SUM(S45:S46)</f>
        <v>6</v>
      </c>
      <c r="T47" s="151" t="s">
        <v>12</v>
      </c>
      <c r="U47" s="156"/>
      <c r="V47" s="141"/>
    </row>
    <row r="48" spans="2:22" ht="13.5" thickBot="1" x14ac:dyDescent="0.25">
      <c r="B48" s="149">
        <f t="shared" si="0"/>
        <v>273</v>
      </c>
      <c r="C48" s="149">
        <f t="shared" si="1"/>
        <v>55</v>
      </c>
      <c r="D48" s="149">
        <f t="shared" si="1"/>
        <v>218</v>
      </c>
      <c r="E48" s="149">
        <f t="shared" si="2"/>
        <v>111</v>
      </c>
      <c r="F48" s="149">
        <v>6</v>
      </c>
      <c r="G48" s="149">
        <v>105</v>
      </c>
      <c r="H48" s="149">
        <f t="shared" si="3"/>
        <v>68</v>
      </c>
      <c r="I48" s="149">
        <v>22</v>
      </c>
      <c r="J48" s="149">
        <v>46</v>
      </c>
      <c r="K48" s="149">
        <f t="shared" si="4"/>
        <v>86</v>
      </c>
      <c r="L48" s="149">
        <v>27</v>
      </c>
      <c r="M48" s="149">
        <v>59</v>
      </c>
      <c r="N48" s="149">
        <f t="shared" si="5"/>
        <v>4</v>
      </c>
      <c r="O48" s="149">
        <v>0</v>
      </c>
      <c r="P48" s="149">
        <v>4</v>
      </c>
      <c r="Q48" s="149">
        <f t="shared" si="6"/>
        <v>4</v>
      </c>
      <c r="R48" s="149">
        <v>0</v>
      </c>
      <c r="S48" s="149">
        <v>4</v>
      </c>
      <c r="T48" s="151" t="s">
        <v>146</v>
      </c>
      <c r="U48" s="155"/>
      <c r="V48" s="141"/>
    </row>
    <row r="49" spans="2:22" ht="13.5" thickBot="1" x14ac:dyDescent="0.25">
      <c r="B49" s="149">
        <f t="shared" si="0"/>
        <v>0</v>
      </c>
      <c r="C49" s="149">
        <f t="shared" si="1"/>
        <v>0</v>
      </c>
      <c r="D49" s="149">
        <f t="shared" si="1"/>
        <v>0</v>
      </c>
      <c r="E49" s="149">
        <f t="shared" si="2"/>
        <v>0</v>
      </c>
      <c r="F49" s="149">
        <v>0</v>
      </c>
      <c r="G49" s="149">
        <v>0</v>
      </c>
      <c r="H49" s="149">
        <f t="shared" si="3"/>
        <v>0</v>
      </c>
      <c r="I49" s="149">
        <v>0</v>
      </c>
      <c r="J49" s="149">
        <v>0</v>
      </c>
      <c r="K49" s="149">
        <f t="shared" si="4"/>
        <v>0</v>
      </c>
      <c r="L49" s="149">
        <v>0</v>
      </c>
      <c r="M49" s="149">
        <v>0</v>
      </c>
      <c r="N49" s="149">
        <f t="shared" si="5"/>
        <v>0</v>
      </c>
      <c r="O49" s="149">
        <v>0</v>
      </c>
      <c r="P49" s="149">
        <v>0</v>
      </c>
      <c r="Q49" s="149">
        <f t="shared" si="6"/>
        <v>0</v>
      </c>
      <c r="R49" s="149">
        <v>0</v>
      </c>
      <c r="S49" s="149">
        <v>0</v>
      </c>
      <c r="T49" s="151" t="s">
        <v>145</v>
      </c>
      <c r="U49" s="155" t="s">
        <v>111</v>
      </c>
      <c r="V49" s="141"/>
    </row>
    <row r="50" spans="2:22" ht="13.5" thickBot="1" x14ac:dyDescent="0.25">
      <c r="B50" s="149">
        <f t="shared" ref="B50:R50" si="21">SUM(B48:B49)</f>
        <v>273</v>
      </c>
      <c r="C50" s="149">
        <f t="shared" si="21"/>
        <v>55</v>
      </c>
      <c r="D50" s="149">
        <f t="shared" si="21"/>
        <v>218</v>
      </c>
      <c r="E50" s="149">
        <f t="shared" si="21"/>
        <v>111</v>
      </c>
      <c r="F50" s="149">
        <f t="shared" si="21"/>
        <v>6</v>
      </c>
      <c r="G50" s="149">
        <f t="shared" si="21"/>
        <v>105</v>
      </c>
      <c r="H50" s="149">
        <f t="shared" si="21"/>
        <v>68</v>
      </c>
      <c r="I50" s="149">
        <f t="shared" si="21"/>
        <v>22</v>
      </c>
      <c r="J50" s="149">
        <f t="shared" si="21"/>
        <v>46</v>
      </c>
      <c r="K50" s="149">
        <f t="shared" si="21"/>
        <v>86</v>
      </c>
      <c r="L50" s="149">
        <f t="shared" si="21"/>
        <v>27</v>
      </c>
      <c r="M50" s="149">
        <f t="shared" si="21"/>
        <v>59</v>
      </c>
      <c r="N50" s="149">
        <f t="shared" si="21"/>
        <v>4</v>
      </c>
      <c r="O50" s="149">
        <f t="shared" si="21"/>
        <v>0</v>
      </c>
      <c r="P50" s="149">
        <f t="shared" si="21"/>
        <v>4</v>
      </c>
      <c r="Q50" s="149">
        <f t="shared" si="21"/>
        <v>4</v>
      </c>
      <c r="R50" s="149">
        <f t="shared" si="21"/>
        <v>0</v>
      </c>
      <c r="S50" s="149">
        <f>SUM(S48:S49)</f>
        <v>4</v>
      </c>
      <c r="T50" s="151" t="s">
        <v>12</v>
      </c>
      <c r="U50" s="156"/>
      <c r="V50" s="141"/>
    </row>
    <row r="51" spans="2:22" ht="13.5" thickBot="1" x14ac:dyDescent="0.25">
      <c r="B51" s="149">
        <f t="shared" si="0"/>
        <v>313</v>
      </c>
      <c r="C51" s="149">
        <f t="shared" si="1"/>
        <v>113</v>
      </c>
      <c r="D51" s="149">
        <f t="shared" si="1"/>
        <v>200</v>
      </c>
      <c r="E51" s="149">
        <f t="shared" si="2"/>
        <v>181</v>
      </c>
      <c r="F51" s="149">
        <v>24</v>
      </c>
      <c r="G51" s="149">
        <v>157</v>
      </c>
      <c r="H51" s="149">
        <f t="shared" si="3"/>
        <v>31</v>
      </c>
      <c r="I51" s="149">
        <v>12</v>
      </c>
      <c r="J51" s="149">
        <v>19</v>
      </c>
      <c r="K51" s="149">
        <f t="shared" si="4"/>
        <v>97</v>
      </c>
      <c r="L51" s="149">
        <v>77</v>
      </c>
      <c r="M51" s="149">
        <v>20</v>
      </c>
      <c r="N51" s="149">
        <f t="shared" si="5"/>
        <v>4</v>
      </c>
      <c r="O51" s="149">
        <v>0</v>
      </c>
      <c r="P51" s="149">
        <v>4</v>
      </c>
      <c r="Q51" s="149">
        <f t="shared" si="6"/>
        <v>0</v>
      </c>
      <c r="R51" s="149">
        <v>0</v>
      </c>
      <c r="S51" s="149">
        <v>0</v>
      </c>
      <c r="T51" s="151" t="s">
        <v>146</v>
      </c>
      <c r="U51" s="155"/>
      <c r="V51" s="141"/>
    </row>
    <row r="52" spans="2:22" ht="13.5" thickBot="1" x14ac:dyDescent="0.25">
      <c r="B52" s="149">
        <f t="shared" si="0"/>
        <v>4</v>
      </c>
      <c r="C52" s="149">
        <f t="shared" si="1"/>
        <v>0</v>
      </c>
      <c r="D52" s="149">
        <f t="shared" si="1"/>
        <v>4</v>
      </c>
      <c r="E52" s="149">
        <f t="shared" si="2"/>
        <v>0</v>
      </c>
      <c r="F52" s="149">
        <v>0</v>
      </c>
      <c r="G52" s="149">
        <v>0</v>
      </c>
      <c r="H52" s="149">
        <f t="shared" si="3"/>
        <v>4</v>
      </c>
      <c r="I52" s="149">
        <v>0</v>
      </c>
      <c r="J52" s="149">
        <v>4</v>
      </c>
      <c r="K52" s="149">
        <f t="shared" si="4"/>
        <v>0</v>
      </c>
      <c r="L52" s="149">
        <v>0</v>
      </c>
      <c r="M52" s="149">
        <v>0</v>
      </c>
      <c r="N52" s="149">
        <f t="shared" si="5"/>
        <v>0</v>
      </c>
      <c r="O52" s="149">
        <v>0</v>
      </c>
      <c r="P52" s="149">
        <v>0</v>
      </c>
      <c r="Q52" s="149">
        <f t="shared" si="6"/>
        <v>0</v>
      </c>
      <c r="R52" s="149">
        <v>0</v>
      </c>
      <c r="S52" s="149">
        <v>0</v>
      </c>
      <c r="T52" s="151" t="s">
        <v>145</v>
      </c>
      <c r="U52" s="155" t="s">
        <v>115</v>
      </c>
      <c r="V52" s="141"/>
    </row>
    <row r="53" spans="2:22" ht="13.5" thickBot="1" x14ac:dyDescent="0.25">
      <c r="B53" s="149">
        <f t="shared" ref="B53:R53" si="22">SUM(B51:B52)</f>
        <v>317</v>
      </c>
      <c r="C53" s="149">
        <f t="shared" si="22"/>
        <v>113</v>
      </c>
      <c r="D53" s="149">
        <f t="shared" si="22"/>
        <v>204</v>
      </c>
      <c r="E53" s="149">
        <f t="shared" si="22"/>
        <v>181</v>
      </c>
      <c r="F53" s="149">
        <f t="shared" si="22"/>
        <v>24</v>
      </c>
      <c r="G53" s="149">
        <f t="shared" si="22"/>
        <v>157</v>
      </c>
      <c r="H53" s="149">
        <f t="shared" si="22"/>
        <v>35</v>
      </c>
      <c r="I53" s="149">
        <f t="shared" si="22"/>
        <v>12</v>
      </c>
      <c r="J53" s="149">
        <f t="shared" si="22"/>
        <v>23</v>
      </c>
      <c r="K53" s="149">
        <f t="shared" si="22"/>
        <v>97</v>
      </c>
      <c r="L53" s="149">
        <f t="shared" si="22"/>
        <v>77</v>
      </c>
      <c r="M53" s="149">
        <f t="shared" si="22"/>
        <v>20</v>
      </c>
      <c r="N53" s="149">
        <f t="shared" si="22"/>
        <v>4</v>
      </c>
      <c r="O53" s="149">
        <f t="shared" si="22"/>
        <v>0</v>
      </c>
      <c r="P53" s="149">
        <f t="shared" si="22"/>
        <v>4</v>
      </c>
      <c r="Q53" s="149">
        <f t="shared" si="22"/>
        <v>0</v>
      </c>
      <c r="R53" s="149">
        <f t="shared" si="22"/>
        <v>0</v>
      </c>
      <c r="S53" s="149">
        <f>SUM(S51:S52)</f>
        <v>0</v>
      </c>
      <c r="T53" s="151" t="s">
        <v>12</v>
      </c>
      <c r="U53" s="156"/>
      <c r="V53" s="141"/>
    </row>
    <row r="54" spans="2:22" ht="13.5" thickBot="1" x14ac:dyDescent="0.25">
      <c r="B54" s="149">
        <f t="shared" si="0"/>
        <v>295</v>
      </c>
      <c r="C54" s="149">
        <f t="shared" si="1"/>
        <v>69</v>
      </c>
      <c r="D54" s="149">
        <f t="shared" si="1"/>
        <v>226</v>
      </c>
      <c r="E54" s="149">
        <f t="shared" si="2"/>
        <v>48</v>
      </c>
      <c r="F54" s="149">
        <v>9</v>
      </c>
      <c r="G54" s="149">
        <v>39</v>
      </c>
      <c r="H54" s="149">
        <f t="shared" si="3"/>
        <v>123</v>
      </c>
      <c r="I54" s="149">
        <v>13</v>
      </c>
      <c r="J54" s="149">
        <v>110</v>
      </c>
      <c r="K54" s="149">
        <f t="shared" si="4"/>
        <v>118</v>
      </c>
      <c r="L54" s="149">
        <v>47</v>
      </c>
      <c r="M54" s="149">
        <v>71</v>
      </c>
      <c r="N54" s="149">
        <f t="shared" si="5"/>
        <v>6</v>
      </c>
      <c r="O54" s="149">
        <v>0</v>
      </c>
      <c r="P54" s="149">
        <v>6</v>
      </c>
      <c r="Q54" s="149">
        <f t="shared" si="6"/>
        <v>0</v>
      </c>
      <c r="R54" s="149">
        <v>0</v>
      </c>
      <c r="S54" s="149">
        <v>0</v>
      </c>
      <c r="T54" s="151" t="s">
        <v>146</v>
      </c>
      <c r="U54" s="155"/>
      <c r="V54" s="141"/>
    </row>
    <row r="55" spans="2:22" ht="13.5" thickBot="1" x14ac:dyDescent="0.25">
      <c r="B55" s="149">
        <f t="shared" si="0"/>
        <v>0</v>
      </c>
      <c r="C55" s="149">
        <f t="shared" si="1"/>
        <v>0</v>
      </c>
      <c r="D55" s="149">
        <f t="shared" si="1"/>
        <v>0</v>
      </c>
      <c r="E55" s="149">
        <f t="shared" si="2"/>
        <v>0</v>
      </c>
      <c r="F55" s="149">
        <v>0</v>
      </c>
      <c r="G55" s="149">
        <v>0</v>
      </c>
      <c r="H55" s="149">
        <f t="shared" si="3"/>
        <v>0</v>
      </c>
      <c r="I55" s="149">
        <v>0</v>
      </c>
      <c r="J55" s="149">
        <v>0</v>
      </c>
      <c r="K55" s="149">
        <f t="shared" si="4"/>
        <v>0</v>
      </c>
      <c r="L55" s="149">
        <v>0</v>
      </c>
      <c r="M55" s="149">
        <v>0</v>
      </c>
      <c r="N55" s="149">
        <f t="shared" si="5"/>
        <v>0</v>
      </c>
      <c r="O55" s="149">
        <v>0</v>
      </c>
      <c r="P55" s="149">
        <v>0</v>
      </c>
      <c r="Q55" s="149">
        <f t="shared" si="6"/>
        <v>0</v>
      </c>
      <c r="R55" s="149">
        <v>0</v>
      </c>
      <c r="S55" s="149">
        <v>0</v>
      </c>
      <c r="T55" s="151" t="s">
        <v>145</v>
      </c>
      <c r="U55" s="155" t="s">
        <v>117</v>
      </c>
      <c r="V55" s="141"/>
    </row>
    <row r="56" spans="2:22" ht="13.5" thickBot="1" x14ac:dyDescent="0.25">
      <c r="B56" s="149">
        <f t="shared" ref="B56:R56" si="23">SUM(B54:B55)</f>
        <v>295</v>
      </c>
      <c r="C56" s="149">
        <f t="shared" si="23"/>
        <v>69</v>
      </c>
      <c r="D56" s="149">
        <f t="shared" si="23"/>
        <v>226</v>
      </c>
      <c r="E56" s="149">
        <f t="shared" si="23"/>
        <v>48</v>
      </c>
      <c r="F56" s="149">
        <f t="shared" si="23"/>
        <v>9</v>
      </c>
      <c r="G56" s="149">
        <f t="shared" si="23"/>
        <v>39</v>
      </c>
      <c r="H56" s="149">
        <f t="shared" si="23"/>
        <v>123</v>
      </c>
      <c r="I56" s="149">
        <f t="shared" si="23"/>
        <v>13</v>
      </c>
      <c r="J56" s="149">
        <f t="shared" si="23"/>
        <v>110</v>
      </c>
      <c r="K56" s="149">
        <f t="shared" si="23"/>
        <v>118</v>
      </c>
      <c r="L56" s="149">
        <f t="shared" si="23"/>
        <v>47</v>
      </c>
      <c r="M56" s="149">
        <f t="shared" si="23"/>
        <v>71</v>
      </c>
      <c r="N56" s="149">
        <f t="shared" si="23"/>
        <v>6</v>
      </c>
      <c r="O56" s="149">
        <f t="shared" si="23"/>
        <v>0</v>
      </c>
      <c r="P56" s="149">
        <f t="shared" si="23"/>
        <v>6</v>
      </c>
      <c r="Q56" s="149">
        <f t="shared" si="23"/>
        <v>0</v>
      </c>
      <c r="R56" s="149">
        <f t="shared" si="23"/>
        <v>0</v>
      </c>
      <c r="S56" s="149">
        <f>SUM(S54:S55)</f>
        <v>0</v>
      </c>
      <c r="T56" s="151" t="s">
        <v>12</v>
      </c>
      <c r="U56" s="156"/>
      <c r="V56" s="141"/>
    </row>
    <row r="57" spans="2:22" ht="13.5" thickBot="1" x14ac:dyDescent="0.25">
      <c r="B57" s="149">
        <f t="shared" si="0"/>
        <v>217</v>
      </c>
      <c r="C57" s="149">
        <f t="shared" si="1"/>
        <v>26</v>
      </c>
      <c r="D57" s="149">
        <f t="shared" si="1"/>
        <v>191</v>
      </c>
      <c r="E57" s="149">
        <f t="shared" si="2"/>
        <v>118</v>
      </c>
      <c r="F57" s="149">
        <v>9</v>
      </c>
      <c r="G57" s="149">
        <v>109</v>
      </c>
      <c r="H57" s="149">
        <f t="shared" si="3"/>
        <v>73</v>
      </c>
      <c r="I57" s="149">
        <v>10</v>
      </c>
      <c r="J57" s="149">
        <v>63</v>
      </c>
      <c r="K57" s="149">
        <f t="shared" si="4"/>
        <v>26</v>
      </c>
      <c r="L57" s="149">
        <v>7</v>
      </c>
      <c r="M57" s="149">
        <v>19</v>
      </c>
      <c r="N57" s="149">
        <f t="shared" si="5"/>
        <v>0</v>
      </c>
      <c r="O57" s="149">
        <v>0</v>
      </c>
      <c r="P57" s="149">
        <v>0</v>
      </c>
      <c r="Q57" s="149">
        <f t="shared" si="6"/>
        <v>0</v>
      </c>
      <c r="R57" s="149">
        <v>0</v>
      </c>
      <c r="S57" s="149">
        <v>0</v>
      </c>
      <c r="T57" s="151" t="s">
        <v>146</v>
      </c>
      <c r="U57" s="155"/>
      <c r="V57" s="141"/>
    </row>
    <row r="58" spans="2:22" ht="13.5" thickBot="1" x14ac:dyDescent="0.25">
      <c r="B58" s="149">
        <f t="shared" si="0"/>
        <v>0</v>
      </c>
      <c r="C58" s="149">
        <f t="shared" si="1"/>
        <v>0</v>
      </c>
      <c r="D58" s="149">
        <f t="shared" si="1"/>
        <v>0</v>
      </c>
      <c r="E58" s="149">
        <f t="shared" si="2"/>
        <v>0</v>
      </c>
      <c r="F58" s="149">
        <v>0</v>
      </c>
      <c r="G58" s="149">
        <v>0</v>
      </c>
      <c r="H58" s="149">
        <f t="shared" si="3"/>
        <v>0</v>
      </c>
      <c r="I58" s="149">
        <v>0</v>
      </c>
      <c r="J58" s="149">
        <v>0</v>
      </c>
      <c r="K58" s="149">
        <f t="shared" si="4"/>
        <v>0</v>
      </c>
      <c r="L58" s="149">
        <v>0</v>
      </c>
      <c r="M58" s="149">
        <v>0</v>
      </c>
      <c r="N58" s="149">
        <f t="shared" si="5"/>
        <v>0</v>
      </c>
      <c r="O58" s="149">
        <v>0</v>
      </c>
      <c r="P58" s="149">
        <v>0</v>
      </c>
      <c r="Q58" s="149">
        <f t="shared" si="6"/>
        <v>0</v>
      </c>
      <c r="R58" s="149">
        <v>0</v>
      </c>
      <c r="S58" s="149">
        <v>0</v>
      </c>
      <c r="T58" s="151" t="s">
        <v>145</v>
      </c>
      <c r="U58" s="155" t="s">
        <v>119</v>
      </c>
      <c r="V58" s="141"/>
    </row>
    <row r="59" spans="2:22" ht="13.5" thickBot="1" x14ac:dyDescent="0.25">
      <c r="B59" s="149">
        <f t="shared" ref="B59:R59" si="24">SUM(B57:B58)</f>
        <v>217</v>
      </c>
      <c r="C59" s="149">
        <f t="shared" si="24"/>
        <v>26</v>
      </c>
      <c r="D59" s="149">
        <f t="shared" si="24"/>
        <v>191</v>
      </c>
      <c r="E59" s="149">
        <f t="shared" si="24"/>
        <v>118</v>
      </c>
      <c r="F59" s="149">
        <f t="shared" si="24"/>
        <v>9</v>
      </c>
      <c r="G59" s="149">
        <f t="shared" si="24"/>
        <v>109</v>
      </c>
      <c r="H59" s="149">
        <f t="shared" si="24"/>
        <v>73</v>
      </c>
      <c r="I59" s="149">
        <f t="shared" si="24"/>
        <v>10</v>
      </c>
      <c r="J59" s="149">
        <f t="shared" si="24"/>
        <v>63</v>
      </c>
      <c r="K59" s="149">
        <f t="shared" si="24"/>
        <v>26</v>
      </c>
      <c r="L59" s="149">
        <f t="shared" si="24"/>
        <v>7</v>
      </c>
      <c r="M59" s="149">
        <f t="shared" si="24"/>
        <v>19</v>
      </c>
      <c r="N59" s="149">
        <f t="shared" si="24"/>
        <v>0</v>
      </c>
      <c r="O59" s="149">
        <f t="shared" si="24"/>
        <v>0</v>
      </c>
      <c r="P59" s="149">
        <f t="shared" si="24"/>
        <v>0</v>
      </c>
      <c r="Q59" s="149">
        <f t="shared" si="24"/>
        <v>0</v>
      </c>
      <c r="R59" s="149">
        <f t="shared" si="24"/>
        <v>0</v>
      </c>
      <c r="S59" s="149">
        <f>SUM(S57:S58)</f>
        <v>0</v>
      </c>
      <c r="T59" s="151" t="s">
        <v>12</v>
      </c>
      <c r="U59" s="156"/>
      <c r="V59" s="141"/>
    </row>
    <row r="60" spans="2:22" ht="13.5" thickBot="1" x14ac:dyDescent="0.25">
      <c r="B60" s="149">
        <f t="shared" si="0"/>
        <v>1201</v>
      </c>
      <c r="C60" s="149">
        <f t="shared" si="1"/>
        <v>1048</v>
      </c>
      <c r="D60" s="149">
        <f t="shared" si="1"/>
        <v>153</v>
      </c>
      <c r="E60" s="149">
        <f t="shared" si="2"/>
        <v>18</v>
      </c>
      <c r="F60" s="149">
        <v>18</v>
      </c>
      <c r="G60" s="149">
        <v>0</v>
      </c>
      <c r="H60" s="149">
        <f t="shared" si="3"/>
        <v>545</v>
      </c>
      <c r="I60" s="149">
        <v>392</v>
      </c>
      <c r="J60" s="149">
        <v>153</v>
      </c>
      <c r="K60" s="149">
        <f t="shared" si="4"/>
        <v>623</v>
      </c>
      <c r="L60" s="149">
        <v>623</v>
      </c>
      <c r="M60" s="149">
        <v>0</v>
      </c>
      <c r="N60" s="149">
        <f t="shared" si="5"/>
        <v>15</v>
      </c>
      <c r="O60" s="149">
        <v>15</v>
      </c>
      <c r="P60" s="149">
        <v>0</v>
      </c>
      <c r="Q60" s="149">
        <f t="shared" si="6"/>
        <v>0</v>
      </c>
      <c r="R60" s="149">
        <v>0</v>
      </c>
      <c r="S60" s="149">
        <v>0</v>
      </c>
      <c r="T60" s="151" t="s">
        <v>146</v>
      </c>
      <c r="U60" s="155"/>
      <c r="V60" s="141"/>
    </row>
    <row r="61" spans="2:22" ht="13.5" thickBot="1" x14ac:dyDescent="0.25">
      <c r="B61" s="149">
        <f t="shared" si="0"/>
        <v>2</v>
      </c>
      <c r="C61" s="149">
        <f t="shared" si="1"/>
        <v>0</v>
      </c>
      <c r="D61" s="149">
        <f t="shared" si="1"/>
        <v>2</v>
      </c>
      <c r="E61" s="149">
        <f t="shared" si="2"/>
        <v>2</v>
      </c>
      <c r="F61" s="149">
        <v>0</v>
      </c>
      <c r="G61" s="149">
        <v>2</v>
      </c>
      <c r="H61" s="149">
        <f t="shared" si="3"/>
        <v>0</v>
      </c>
      <c r="I61" s="149">
        <v>0</v>
      </c>
      <c r="J61" s="149">
        <v>0</v>
      </c>
      <c r="K61" s="149">
        <f t="shared" si="4"/>
        <v>0</v>
      </c>
      <c r="L61" s="149">
        <v>0</v>
      </c>
      <c r="M61" s="149">
        <v>0</v>
      </c>
      <c r="N61" s="149">
        <f t="shared" si="5"/>
        <v>0</v>
      </c>
      <c r="O61" s="149">
        <v>0</v>
      </c>
      <c r="P61" s="149">
        <v>0</v>
      </c>
      <c r="Q61" s="149">
        <f t="shared" si="6"/>
        <v>0</v>
      </c>
      <c r="R61" s="149">
        <v>0</v>
      </c>
      <c r="S61" s="149">
        <v>0</v>
      </c>
      <c r="T61" s="151" t="s">
        <v>145</v>
      </c>
      <c r="U61" s="155" t="s">
        <v>121</v>
      </c>
      <c r="V61" s="141"/>
    </row>
    <row r="62" spans="2:22" ht="13.5" thickBot="1" x14ac:dyDescent="0.25">
      <c r="B62" s="149">
        <f t="shared" ref="B62:R62" si="25">SUM(B60:B61)</f>
        <v>1203</v>
      </c>
      <c r="C62" s="149">
        <f t="shared" si="25"/>
        <v>1048</v>
      </c>
      <c r="D62" s="149">
        <f t="shared" si="25"/>
        <v>155</v>
      </c>
      <c r="E62" s="149">
        <f t="shared" si="25"/>
        <v>20</v>
      </c>
      <c r="F62" s="149">
        <f t="shared" si="25"/>
        <v>18</v>
      </c>
      <c r="G62" s="149">
        <f t="shared" si="25"/>
        <v>2</v>
      </c>
      <c r="H62" s="149">
        <f t="shared" si="25"/>
        <v>545</v>
      </c>
      <c r="I62" s="149">
        <f t="shared" si="25"/>
        <v>392</v>
      </c>
      <c r="J62" s="149">
        <f t="shared" si="25"/>
        <v>153</v>
      </c>
      <c r="K62" s="149">
        <f t="shared" si="25"/>
        <v>623</v>
      </c>
      <c r="L62" s="149">
        <f t="shared" si="25"/>
        <v>623</v>
      </c>
      <c r="M62" s="149">
        <f t="shared" si="25"/>
        <v>0</v>
      </c>
      <c r="N62" s="149">
        <f t="shared" si="25"/>
        <v>15</v>
      </c>
      <c r="O62" s="149">
        <f t="shared" si="25"/>
        <v>15</v>
      </c>
      <c r="P62" s="149">
        <f t="shared" si="25"/>
        <v>0</v>
      </c>
      <c r="Q62" s="149">
        <f t="shared" si="25"/>
        <v>0</v>
      </c>
      <c r="R62" s="149">
        <f t="shared" si="25"/>
        <v>0</v>
      </c>
      <c r="S62" s="149">
        <f>SUM(S60:S61)</f>
        <v>0</v>
      </c>
      <c r="T62" s="151" t="s">
        <v>12</v>
      </c>
      <c r="U62" s="156"/>
      <c r="V62" s="141"/>
    </row>
    <row r="63" spans="2:22" ht="13.5" thickBot="1" x14ac:dyDescent="0.25">
      <c r="B63" s="149">
        <f t="shared" si="0"/>
        <v>153</v>
      </c>
      <c r="C63" s="149">
        <f t="shared" si="1"/>
        <v>22</v>
      </c>
      <c r="D63" s="149">
        <f t="shared" si="1"/>
        <v>131</v>
      </c>
      <c r="E63" s="149">
        <f t="shared" si="2"/>
        <v>89</v>
      </c>
      <c r="F63" s="149">
        <v>4</v>
      </c>
      <c r="G63" s="149">
        <v>85</v>
      </c>
      <c r="H63" s="149">
        <f t="shared" si="3"/>
        <v>18</v>
      </c>
      <c r="I63" s="149">
        <v>3</v>
      </c>
      <c r="J63" s="149">
        <v>15</v>
      </c>
      <c r="K63" s="149">
        <f t="shared" si="4"/>
        <v>43</v>
      </c>
      <c r="L63" s="149">
        <v>15</v>
      </c>
      <c r="M63" s="149">
        <v>28</v>
      </c>
      <c r="N63" s="149">
        <f t="shared" si="5"/>
        <v>0</v>
      </c>
      <c r="O63" s="149">
        <v>0</v>
      </c>
      <c r="P63" s="149">
        <v>0</v>
      </c>
      <c r="Q63" s="149">
        <f t="shared" si="6"/>
        <v>3</v>
      </c>
      <c r="R63" s="149">
        <v>0</v>
      </c>
      <c r="S63" s="149">
        <v>3</v>
      </c>
      <c r="T63" s="151" t="s">
        <v>146</v>
      </c>
      <c r="U63" s="155"/>
      <c r="V63" s="141"/>
    </row>
    <row r="64" spans="2:22" ht="13.5" thickBot="1" x14ac:dyDescent="0.25">
      <c r="B64" s="149">
        <f t="shared" si="0"/>
        <v>2</v>
      </c>
      <c r="C64" s="149">
        <f t="shared" si="1"/>
        <v>1</v>
      </c>
      <c r="D64" s="149">
        <f t="shared" si="1"/>
        <v>1</v>
      </c>
      <c r="E64" s="149">
        <f t="shared" si="2"/>
        <v>0</v>
      </c>
      <c r="F64" s="149">
        <v>0</v>
      </c>
      <c r="G64" s="149">
        <v>0</v>
      </c>
      <c r="H64" s="149">
        <f t="shared" si="3"/>
        <v>0</v>
      </c>
      <c r="I64" s="149">
        <v>0</v>
      </c>
      <c r="J64" s="149">
        <v>0</v>
      </c>
      <c r="K64" s="149">
        <f t="shared" si="4"/>
        <v>2</v>
      </c>
      <c r="L64" s="149">
        <v>1</v>
      </c>
      <c r="M64" s="149">
        <v>1</v>
      </c>
      <c r="N64" s="149">
        <f t="shared" si="5"/>
        <v>0</v>
      </c>
      <c r="O64" s="149">
        <v>0</v>
      </c>
      <c r="P64" s="149">
        <v>0</v>
      </c>
      <c r="Q64" s="149">
        <f t="shared" si="6"/>
        <v>0</v>
      </c>
      <c r="R64" s="149">
        <v>0</v>
      </c>
      <c r="S64" s="149">
        <v>0</v>
      </c>
      <c r="T64" s="151" t="s">
        <v>145</v>
      </c>
      <c r="U64" s="155" t="s">
        <v>123</v>
      </c>
      <c r="V64" s="141"/>
    </row>
    <row r="65" spans="2:22" ht="13.5" thickBot="1" x14ac:dyDescent="0.25">
      <c r="B65" s="149">
        <f t="shared" ref="B65:R65" si="26">SUM(B63:B64)</f>
        <v>155</v>
      </c>
      <c r="C65" s="149">
        <f t="shared" si="26"/>
        <v>23</v>
      </c>
      <c r="D65" s="149">
        <f t="shared" si="26"/>
        <v>132</v>
      </c>
      <c r="E65" s="149">
        <f t="shared" si="26"/>
        <v>89</v>
      </c>
      <c r="F65" s="149">
        <f t="shared" si="26"/>
        <v>4</v>
      </c>
      <c r="G65" s="149">
        <f t="shared" si="26"/>
        <v>85</v>
      </c>
      <c r="H65" s="149">
        <f t="shared" si="26"/>
        <v>18</v>
      </c>
      <c r="I65" s="149">
        <f t="shared" si="26"/>
        <v>3</v>
      </c>
      <c r="J65" s="149">
        <f t="shared" si="26"/>
        <v>15</v>
      </c>
      <c r="K65" s="149">
        <f t="shared" si="26"/>
        <v>45</v>
      </c>
      <c r="L65" s="149">
        <f t="shared" si="26"/>
        <v>16</v>
      </c>
      <c r="M65" s="149">
        <f t="shared" si="26"/>
        <v>29</v>
      </c>
      <c r="N65" s="149">
        <f t="shared" si="26"/>
        <v>0</v>
      </c>
      <c r="O65" s="149">
        <f t="shared" si="26"/>
        <v>0</v>
      </c>
      <c r="P65" s="149">
        <f t="shared" si="26"/>
        <v>0</v>
      </c>
      <c r="Q65" s="149">
        <f t="shared" si="26"/>
        <v>3</v>
      </c>
      <c r="R65" s="149">
        <f t="shared" si="26"/>
        <v>0</v>
      </c>
      <c r="S65" s="149">
        <f>SUM(S63:S64)</f>
        <v>3</v>
      </c>
      <c r="T65" s="151" t="s">
        <v>12</v>
      </c>
      <c r="U65" s="156"/>
      <c r="V65" s="141"/>
    </row>
    <row r="66" spans="2:22" ht="13.5" thickBot="1" x14ac:dyDescent="0.25">
      <c r="B66" s="149">
        <f t="shared" si="0"/>
        <v>927</v>
      </c>
      <c r="C66" s="149">
        <f t="shared" si="1"/>
        <v>75</v>
      </c>
      <c r="D66" s="149">
        <f t="shared" si="1"/>
        <v>852</v>
      </c>
      <c r="E66" s="149">
        <f t="shared" si="2"/>
        <v>432</v>
      </c>
      <c r="F66" s="149">
        <v>75</v>
      </c>
      <c r="G66" s="149">
        <v>357</v>
      </c>
      <c r="H66" s="149">
        <f t="shared" si="3"/>
        <v>211</v>
      </c>
      <c r="I66" s="149">
        <v>0</v>
      </c>
      <c r="J66" s="149">
        <v>211</v>
      </c>
      <c r="K66" s="149">
        <f t="shared" si="4"/>
        <v>178</v>
      </c>
      <c r="L66" s="149">
        <v>0</v>
      </c>
      <c r="M66" s="149">
        <v>178</v>
      </c>
      <c r="N66" s="149">
        <f t="shared" si="5"/>
        <v>64</v>
      </c>
      <c r="O66" s="149">
        <v>0</v>
      </c>
      <c r="P66" s="149">
        <v>64</v>
      </c>
      <c r="Q66" s="149">
        <f t="shared" si="6"/>
        <v>42</v>
      </c>
      <c r="R66" s="149">
        <v>0</v>
      </c>
      <c r="S66" s="149">
        <v>42</v>
      </c>
      <c r="T66" s="151" t="s">
        <v>146</v>
      </c>
      <c r="U66" s="155"/>
      <c r="V66" s="141"/>
    </row>
    <row r="67" spans="2:22" ht="13.5" thickBot="1" x14ac:dyDescent="0.25">
      <c r="B67" s="149">
        <f t="shared" si="0"/>
        <v>3</v>
      </c>
      <c r="C67" s="149">
        <f t="shared" si="1"/>
        <v>0</v>
      </c>
      <c r="D67" s="149">
        <f t="shared" si="1"/>
        <v>3</v>
      </c>
      <c r="E67" s="149">
        <f t="shared" si="2"/>
        <v>3</v>
      </c>
      <c r="F67" s="149">
        <v>0</v>
      </c>
      <c r="G67" s="149">
        <v>3</v>
      </c>
      <c r="H67" s="149">
        <f t="shared" si="3"/>
        <v>0</v>
      </c>
      <c r="I67" s="149">
        <v>0</v>
      </c>
      <c r="J67" s="149">
        <v>0</v>
      </c>
      <c r="K67" s="149">
        <f t="shared" si="4"/>
        <v>0</v>
      </c>
      <c r="L67" s="149">
        <v>0</v>
      </c>
      <c r="M67" s="149">
        <v>0</v>
      </c>
      <c r="N67" s="149">
        <f t="shared" si="5"/>
        <v>0</v>
      </c>
      <c r="O67" s="149">
        <v>0</v>
      </c>
      <c r="P67" s="149">
        <v>0</v>
      </c>
      <c r="Q67" s="149">
        <f t="shared" si="6"/>
        <v>0</v>
      </c>
      <c r="R67" s="149">
        <v>0</v>
      </c>
      <c r="S67" s="149">
        <v>0</v>
      </c>
      <c r="T67" s="151" t="s">
        <v>145</v>
      </c>
      <c r="U67" s="155" t="s">
        <v>151</v>
      </c>
      <c r="V67" s="141"/>
    </row>
    <row r="68" spans="2:22" ht="13.5" thickBot="1" x14ac:dyDescent="0.25">
      <c r="B68" s="149">
        <f t="shared" ref="B68:R68" si="27">SUM(B66:B67)</f>
        <v>930</v>
      </c>
      <c r="C68" s="149">
        <f t="shared" si="27"/>
        <v>75</v>
      </c>
      <c r="D68" s="149">
        <f t="shared" si="27"/>
        <v>855</v>
      </c>
      <c r="E68" s="149">
        <f t="shared" si="27"/>
        <v>435</v>
      </c>
      <c r="F68" s="149">
        <f t="shared" si="27"/>
        <v>75</v>
      </c>
      <c r="G68" s="149">
        <f t="shared" si="27"/>
        <v>360</v>
      </c>
      <c r="H68" s="149">
        <f t="shared" si="27"/>
        <v>211</v>
      </c>
      <c r="I68" s="149">
        <f t="shared" si="27"/>
        <v>0</v>
      </c>
      <c r="J68" s="149">
        <f t="shared" si="27"/>
        <v>211</v>
      </c>
      <c r="K68" s="149">
        <f t="shared" si="27"/>
        <v>178</v>
      </c>
      <c r="L68" s="149">
        <f t="shared" si="27"/>
        <v>0</v>
      </c>
      <c r="M68" s="149">
        <f t="shared" si="27"/>
        <v>178</v>
      </c>
      <c r="N68" s="149">
        <f t="shared" si="27"/>
        <v>64</v>
      </c>
      <c r="O68" s="149">
        <f t="shared" si="27"/>
        <v>0</v>
      </c>
      <c r="P68" s="149">
        <f t="shared" si="27"/>
        <v>64</v>
      </c>
      <c r="Q68" s="149">
        <f t="shared" si="27"/>
        <v>42</v>
      </c>
      <c r="R68" s="149">
        <f t="shared" si="27"/>
        <v>0</v>
      </c>
      <c r="S68" s="149">
        <f>SUM(S66:S67)</f>
        <v>42</v>
      </c>
      <c r="T68" s="151" t="s">
        <v>12</v>
      </c>
      <c r="U68" s="156"/>
      <c r="V68" s="141"/>
    </row>
    <row r="69" spans="2:22" ht="13.5" thickBot="1" x14ac:dyDescent="0.25">
      <c r="B69" s="149">
        <f t="shared" si="0"/>
        <v>40</v>
      </c>
      <c r="C69" s="149">
        <f t="shared" si="1"/>
        <v>18</v>
      </c>
      <c r="D69" s="149">
        <f t="shared" si="1"/>
        <v>22</v>
      </c>
      <c r="E69" s="149">
        <f t="shared" si="2"/>
        <v>18</v>
      </c>
      <c r="F69" s="149">
        <v>6</v>
      </c>
      <c r="G69" s="149">
        <v>12</v>
      </c>
      <c r="H69" s="149">
        <f t="shared" si="3"/>
        <v>10</v>
      </c>
      <c r="I69" s="149">
        <v>4</v>
      </c>
      <c r="J69" s="149">
        <v>6</v>
      </c>
      <c r="K69" s="149">
        <f t="shared" si="4"/>
        <v>10</v>
      </c>
      <c r="L69" s="149">
        <v>7</v>
      </c>
      <c r="M69" s="149">
        <v>3</v>
      </c>
      <c r="N69" s="149">
        <f t="shared" si="5"/>
        <v>2</v>
      </c>
      <c r="O69" s="149">
        <v>1</v>
      </c>
      <c r="P69" s="149">
        <v>1</v>
      </c>
      <c r="Q69" s="149">
        <f t="shared" si="6"/>
        <v>0</v>
      </c>
      <c r="R69" s="149">
        <v>0</v>
      </c>
      <c r="S69" s="149">
        <v>0</v>
      </c>
      <c r="T69" s="151" t="s">
        <v>146</v>
      </c>
      <c r="U69" s="155"/>
      <c r="V69" s="141"/>
    </row>
    <row r="70" spans="2:22" ht="13.5" thickBot="1" x14ac:dyDescent="0.25">
      <c r="B70" s="149">
        <f t="shared" si="0"/>
        <v>91</v>
      </c>
      <c r="C70" s="149">
        <f t="shared" si="1"/>
        <v>32</v>
      </c>
      <c r="D70" s="149">
        <f t="shared" si="1"/>
        <v>59</v>
      </c>
      <c r="E70" s="149">
        <f t="shared" si="2"/>
        <v>20</v>
      </c>
      <c r="F70" s="149">
        <v>5</v>
      </c>
      <c r="G70" s="149">
        <v>15</v>
      </c>
      <c r="H70" s="149">
        <f t="shared" si="3"/>
        <v>29</v>
      </c>
      <c r="I70" s="149">
        <v>9</v>
      </c>
      <c r="J70" s="149">
        <v>20</v>
      </c>
      <c r="K70" s="149">
        <f t="shared" si="4"/>
        <v>40</v>
      </c>
      <c r="L70" s="149">
        <v>18</v>
      </c>
      <c r="M70" s="149">
        <v>22</v>
      </c>
      <c r="N70" s="149">
        <f t="shared" si="5"/>
        <v>2</v>
      </c>
      <c r="O70" s="149">
        <v>0</v>
      </c>
      <c r="P70" s="149">
        <v>2</v>
      </c>
      <c r="Q70" s="149">
        <f t="shared" si="6"/>
        <v>0</v>
      </c>
      <c r="R70" s="149">
        <v>0</v>
      </c>
      <c r="S70" s="149">
        <v>0</v>
      </c>
      <c r="T70" s="151" t="s">
        <v>145</v>
      </c>
      <c r="U70" s="155" t="s">
        <v>152</v>
      </c>
      <c r="V70" s="141"/>
    </row>
    <row r="71" spans="2:22" ht="13.5" thickBot="1" x14ac:dyDescent="0.25">
      <c r="B71" s="149">
        <f t="shared" ref="B71:R71" si="28">SUM(B69:B70)</f>
        <v>131</v>
      </c>
      <c r="C71" s="149">
        <f t="shared" si="28"/>
        <v>50</v>
      </c>
      <c r="D71" s="149">
        <f t="shared" si="28"/>
        <v>81</v>
      </c>
      <c r="E71" s="149">
        <f t="shared" si="28"/>
        <v>38</v>
      </c>
      <c r="F71" s="149">
        <f t="shared" si="28"/>
        <v>11</v>
      </c>
      <c r="G71" s="149">
        <f t="shared" si="28"/>
        <v>27</v>
      </c>
      <c r="H71" s="149">
        <f t="shared" si="28"/>
        <v>39</v>
      </c>
      <c r="I71" s="149">
        <f t="shared" si="28"/>
        <v>13</v>
      </c>
      <c r="J71" s="149">
        <f t="shared" si="28"/>
        <v>26</v>
      </c>
      <c r="K71" s="149">
        <f t="shared" si="28"/>
        <v>50</v>
      </c>
      <c r="L71" s="149">
        <f t="shared" si="28"/>
        <v>25</v>
      </c>
      <c r="M71" s="149">
        <f t="shared" si="28"/>
        <v>25</v>
      </c>
      <c r="N71" s="149">
        <f t="shared" si="28"/>
        <v>4</v>
      </c>
      <c r="O71" s="149">
        <f t="shared" si="28"/>
        <v>1</v>
      </c>
      <c r="P71" s="149">
        <f t="shared" si="28"/>
        <v>3</v>
      </c>
      <c r="Q71" s="149">
        <f t="shared" si="28"/>
        <v>0</v>
      </c>
      <c r="R71" s="149">
        <f t="shared" si="28"/>
        <v>0</v>
      </c>
      <c r="S71" s="149">
        <f>SUM(S69:S70)</f>
        <v>0</v>
      </c>
      <c r="T71" s="151" t="s">
        <v>12</v>
      </c>
      <c r="U71" s="156"/>
      <c r="V71" s="141"/>
    </row>
    <row r="72" spans="2:22" ht="13.5" thickBot="1" x14ac:dyDescent="0.25">
      <c r="B72" s="149">
        <f t="shared" ref="B72:B79" si="29">SUM(C72:D72)</f>
        <v>260</v>
      </c>
      <c r="C72" s="149">
        <f t="shared" ref="C72:D79" si="30">R72+O72+L72+I72+F72</f>
        <v>24</v>
      </c>
      <c r="D72" s="149">
        <f t="shared" si="30"/>
        <v>236</v>
      </c>
      <c r="E72" s="149">
        <f t="shared" ref="E72:E73" si="31">SUM(F72:G72)</f>
        <v>86</v>
      </c>
      <c r="F72" s="149">
        <v>3</v>
      </c>
      <c r="G72" s="149">
        <v>83</v>
      </c>
      <c r="H72" s="149">
        <f t="shared" ref="H72:H73" si="32">SUM(I72:J72)</f>
        <v>55</v>
      </c>
      <c r="I72" s="149">
        <v>0</v>
      </c>
      <c r="J72" s="149">
        <v>55</v>
      </c>
      <c r="K72" s="149">
        <f t="shared" ref="K72:K73" si="33">SUM(L72:M72)</f>
        <v>105</v>
      </c>
      <c r="L72" s="149">
        <v>21</v>
      </c>
      <c r="M72" s="149">
        <v>84</v>
      </c>
      <c r="N72" s="149">
        <f t="shared" ref="N72:N79" si="34">SUM(O72:P72)</f>
        <v>8</v>
      </c>
      <c r="O72" s="149">
        <v>0</v>
      </c>
      <c r="P72" s="149">
        <v>8</v>
      </c>
      <c r="Q72" s="149">
        <f t="shared" ref="Q72:Q73" si="35">SUM(R72:S72)</f>
        <v>6</v>
      </c>
      <c r="R72" s="149">
        <v>0</v>
      </c>
      <c r="S72" s="149">
        <v>6</v>
      </c>
      <c r="T72" s="151" t="s">
        <v>146</v>
      </c>
      <c r="U72" s="155"/>
      <c r="V72" s="141"/>
    </row>
    <row r="73" spans="2:22" ht="13.5" thickBot="1" x14ac:dyDescent="0.25">
      <c r="B73" s="149">
        <f t="shared" si="29"/>
        <v>25</v>
      </c>
      <c r="C73" s="149">
        <f t="shared" si="30"/>
        <v>2</v>
      </c>
      <c r="D73" s="149">
        <f t="shared" si="30"/>
        <v>23</v>
      </c>
      <c r="E73" s="149">
        <f t="shared" si="31"/>
        <v>1</v>
      </c>
      <c r="F73" s="149">
        <v>0</v>
      </c>
      <c r="G73" s="149">
        <v>1</v>
      </c>
      <c r="H73" s="149">
        <f t="shared" si="32"/>
        <v>2</v>
      </c>
      <c r="I73" s="149">
        <v>0</v>
      </c>
      <c r="J73" s="149">
        <v>2</v>
      </c>
      <c r="K73" s="149">
        <f t="shared" si="33"/>
        <v>19</v>
      </c>
      <c r="L73" s="149">
        <v>2</v>
      </c>
      <c r="M73" s="149">
        <v>17</v>
      </c>
      <c r="N73" s="149">
        <f t="shared" si="34"/>
        <v>3</v>
      </c>
      <c r="O73" s="149">
        <v>0</v>
      </c>
      <c r="P73" s="149">
        <v>3</v>
      </c>
      <c r="Q73" s="149">
        <f t="shared" si="35"/>
        <v>0</v>
      </c>
      <c r="R73" s="149">
        <v>0</v>
      </c>
      <c r="S73" s="149">
        <v>0</v>
      </c>
      <c r="T73" s="151" t="s">
        <v>145</v>
      </c>
      <c r="U73" s="155" t="s">
        <v>228</v>
      </c>
      <c r="V73" s="141"/>
    </row>
    <row r="74" spans="2:22" ht="13.5" thickBot="1" x14ac:dyDescent="0.25">
      <c r="B74" s="149">
        <f t="shared" ref="B74:R74" si="36">SUM(B72:B73)</f>
        <v>285</v>
      </c>
      <c r="C74" s="149">
        <f t="shared" si="36"/>
        <v>26</v>
      </c>
      <c r="D74" s="149">
        <f t="shared" si="36"/>
        <v>259</v>
      </c>
      <c r="E74" s="149">
        <f t="shared" si="36"/>
        <v>87</v>
      </c>
      <c r="F74" s="149">
        <f t="shared" si="36"/>
        <v>3</v>
      </c>
      <c r="G74" s="149">
        <f t="shared" si="36"/>
        <v>84</v>
      </c>
      <c r="H74" s="149">
        <f t="shared" si="36"/>
        <v>57</v>
      </c>
      <c r="I74" s="149">
        <f t="shared" si="36"/>
        <v>0</v>
      </c>
      <c r="J74" s="149">
        <f t="shared" si="36"/>
        <v>57</v>
      </c>
      <c r="K74" s="149">
        <f t="shared" si="36"/>
        <v>124</v>
      </c>
      <c r="L74" s="149">
        <f t="shared" si="36"/>
        <v>23</v>
      </c>
      <c r="M74" s="149">
        <f t="shared" si="36"/>
        <v>101</v>
      </c>
      <c r="N74" s="149">
        <f t="shared" si="36"/>
        <v>11</v>
      </c>
      <c r="O74" s="149">
        <f t="shared" si="36"/>
        <v>0</v>
      </c>
      <c r="P74" s="149">
        <f t="shared" si="36"/>
        <v>11</v>
      </c>
      <c r="Q74" s="149">
        <f t="shared" si="36"/>
        <v>6</v>
      </c>
      <c r="R74" s="149">
        <f t="shared" si="36"/>
        <v>0</v>
      </c>
      <c r="S74" s="149">
        <f>SUM(S72:S73)</f>
        <v>6</v>
      </c>
      <c r="T74" s="151" t="s">
        <v>12</v>
      </c>
      <c r="U74" s="156"/>
      <c r="V74" s="141"/>
    </row>
    <row r="75" spans="2:22" ht="13.5" thickBot="1" x14ac:dyDescent="0.25">
      <c r="B75" s="149">
        <f t="shared" si="29"/>
        <v>429</v>
      </c>
      <c r="C75" s="149">
        <f t="shared" si="30"/>
        <v>42</v>
      </c>
      <c r="D75" s="149">
        <f t="shared" si="30"/>
        <v>387</v>
      </c>
      <c r="E75" s="149">
        <f t="shared" ref="E75:E79" si="37">SUM(F75:G75)</f>
        <v>278</v>
      </c>
      <c r="F75" s="149">
        <v>19</v>
      </c>
      <c r="G75" s="149">
        <v>259</v>
      </c>
      <c r="H75" s="149">
        <f t="shared" ref="H75:H79" si="38">SUM(I75:J75)</f>
        <v>86</v>
      </c>
      <c r="I75" s="149">
        <v>16</v>
      </c>
      <c r="J75" s="149">
        <v>70</v>
      </c>
      <c r="K75" s="149">
        <f t="shared" ref="K75:K79" si="39">SUM(L75:M75)</f>
        <v>54</v>
      </c>
      <c r="L75" s="149">
        <v>6</v>
      </c>
      <c r="M75" s="149">
        <v>48</v>
      </c>
      <c r="N75" s="149">
        <f t="shared" si="34"/>
        <v>6</v>
      </c>
      <c r="O75" s="149">
        <v>1</v>
      </c>
      <c r="P75" s="149">
        <v>5</v>
      </c>
      <c r="Q75" s="149">
        <f t="shared" ref="Q75:Q79" si="40">SUM(R75:S75)</f>
        <v>5</v>
      </c>
      <c r="R75" s="149">
        <v>0</v>
      </c>
      <c r="S75" s="149">
        <v>5</v>
      </c>
      <c r="T75" s="151" t="s">
        <v>146</v>
      </c>
      <c r="U75" s="155"/>
      <c r="V75" s="141"/>
    </row>
    <row r="76" spans="2:22" ht="13.5" thickBot="1" x14ac:dyDescent="0.25">
      <c r="B76" s="149">
        <f t="shared" si="29"/>
        <v>4</v>
      </c>
      <c r="C76" s="149">
        <f t="shared" si="30"/>
        <v>0</v>
      </c>
      <c r="D76" s="149">
        <f t="shared" si="30"/>
        <v>4</v>
      </c>
      <c r="E76" s="149">
        <f t="shared" si="37"/>
        <v>1</v>
      </c>
      <c r="F76" s="149">
        <v>0</v>
      </c>
      <c r="G76" s="149">
        <v>1</v>
      </c>
      <c r="H76" s="149">
        <f t="shared" si="38"/>
        <v>0</v>
      </c>
      <c r="I76" s="149">
        <v>0</v>
      </c>
      <c r="J76" s="149">
        <v>0</v>
      </c>
      <c r="K76" s="149">
        <f t="shared" si="39"/>
        <v>2</v>
      </c>
      <c r="L76" s="149">
        <v>0</v>
      </c>
      <c r="M76" s="149">
        <v>2</v>
      </c>
      <c r="N76" s="149">
        <f t="shared" si="34"/>
        <v>1</v>
      </c>
      <c r="O76" s="149">
        <v>0</v>
      </c>
      <c r="P76" s="149">
        <v>1</v>
      </c>
      <c r="Q76" s="149">
        <f t="shared" si="40"/>
        <v>0</v>
      </c>
      <c r="R76" s="149">
        <v>0</v>
      </c>
      <c r="S76" s="149">
        <v>0</v>
      </c>
      <c r="T76" s="151" t="s">
        <v>145</v>
      </c>
      <c r="U76" s="155" t="s">
        <v>153</v>
      </c>
      <c r="V76" s="141"/>
    </row>
    <row r="77" spans="2:22" ht="13.5" thickBot="1" x14ac:dyDescent="0.25">
      <c r="B77" s="149">
        <f t="shared" ref="B77:R77" si="41">SUM(B75:B76)</f>
        <v>433</v>
      </c>
      <c r="C77" s="149">
        <f t="shared" si="41"/>
        <v>42</v>
      </c>
      <c r="D77" s="149">
        <f t="shared" si="41"/>
        <v>391</v>
      </c>
      <c r="E77" s="149">
        <f t="shared" si="41"/>
        <v>279</v>
      </c>
      <c r="F77" s="149">
        <f t="shared" si="41"/>
        <v>19</v>
      </c>
      <c r="G77" s="149">
        <f t="shared" si="41"/>
        <v>260</v>
      </c>
      <c r="H77" s="149">
        <f t="shared" si="41"/>
        <v>86</v>
      </c>
      <c r="I77" s="149">
        <f t="shared" si="41"/>
        <v>16</v>
      </c>
      <c r="J77" s="149">
        <f t="shared" si="41"/>
        <v>70</v>
      </c>
      <c r="K77" s="149">
        <f t="shared" si="41"/>
        <v>56</v>
      </c>
      <c r="L77" s="149">
        <f t="shared" si="41"/>
        <v>6</v>
      </c>
      <c r="M77" s="149">
        <f t="shared" si="41"/>
        <v>50</v>
      </c>
      <c r="N77" s="149">
        <f t="shared" si="41"/>
        <v>7</v>
      </c>
      <c r="O77" s="149">
        <f t="shared" si="41"/>
        <v>1</v>
      </c>
      <c r="P77" s="149">
        <f t="shared" si="41"/>
        <v>6</v>
      </c>
      <c r="Q77" s="149">
        <f t="shared" si="41"/>
        <v>5</v>
      </c>
      <c r="R77" s="149">
        <f t="shared" si="41"/>
        <v>0</v>
      </c>
      <c r="S77" s="149">
        <f>SUM(S75:S76)</f>
        <v>5</v>
      </c>
      <c r="T77" s="151" t="s">
        <v>12</v>
      </c>
      <c r="U77" s="156"/>
      <c r="V77" s="141"/>
    </row>
    <row r="78" spans="2:22" ht="13.5" thickBot="1" x14ac:dyDescent="0.25">
      <c r="B78" s="149">
        <f t="shared" si="29"/>
        <v>624</v>
      </c>
      <c r="C78" s="149">
        <f t="shared" si="30"/>
        <v>393</v>
      </c>
      <c r="D78" s="149">
        <f t="shared" si="30"/>
        <v>231</v>
      </c>
      <c r="E78" s="149">
        <f t="shared" si="37"/>
        <v>157</v>
      </c>
      <c r="F78" s="149">
        <v>78</v>
      </c>
      <c r="G78" s="149">
        <v>79</v>
      </c>
      <c r="H78" s="149">
        <f t="shared" si="38"/>
        <v>75</v>
      </c>
      <c r="I78" s="149">
        <v>32</v>
      </c>
      <c r="J78" s="149">
        <v>43</v>
      </c>
      <c r="K78" s="149">
        <f t="shared" si="39"/>
        <v>311</v>
      </c>
      <c r="L78" s="149">
        <v>230</v>
      </c>
      <c r="M78" s="149">
        <v>81</v>
      </c>
      <c r="N78" s="149">
        <f t="shared" si="34"/>
        <v>42</v>
      </c>
      <c r="O78" s="149">
        <v>36</v>
      </c>
      <c r="P78" s="149">
        <v>6</v>
      </c>
      <c r="Q78" s="149">
        <f t="shared" si="40"/>
        <v>39</v>
      </c>
      <c r="R78" s="149">
        <v>17</v>
      </c>
      <c r="S78" s="149">
        <v>22</v>
      </c>
      <c r="T78" s="151" t="s">
        <v>146</v>
      </c>
      <c r="U78" s="155"/>
      <c r="V78" s="141"/>
    </row>
    <row r="79" spans="2:22" ht="13.5" thickBot="1" x14ac:dyDescent="0.25">
      <c r="B79" s="149">
        <f t="shared" si="29"/>
        <v>620</v>
      </c>
      <c r="C79" s="149">
        <f t="shared" si="30"/>
        <v>254</v>
      </c>
      <c r="D79" s="149">
        <f t="shared" si="30"/>
        <v>366</v>
      </c>
      <c r="E79" s="149">
        <f t="shared" si="37"/>
        <v>97</v>
      </c>
      <c r="F79" s="149">
        <v>23</v>
      </c>
      <c r="G79" s="149">
        <v>74</v>
      </c>
      <c r="H79" s="149">
        <f t="shared" si="38"/>
        <v>66</v>
      </c>
      <c r="I79" s="149">
        <v>16</v>
      </c>
      <c r="J79" s="149">
        <v>50</v>
      </c>
      <c r="K79" s="149">
        <f t="shared" si="39"/>
        <v>372</v>
      </c>
      <c r="L79" s="149">
        <v>179</v>
      </c>
      <c r="M79" s="149">
        <v>193</v>
      </c>
      <c r="N79" s="149">
        <f t="shared" si="34"/>
        <v>50</v>
      </c>
      <c r="O79" s="149">
        <v>27</v>
      </c>
      <c r="P79" s="149">
        <v>23</v>
      </c>
      <c r="Q79" s="149">
        <f t="shared" si="40"/>
        <v>35</v>
      </c>
      <c r="R79" s="149">
        <v>9</v>
      </c>
      <c r="S79" s="149">
        <v>26</v>
      </c>
      <c r="T79" s="151" t="s">
        <v>145</v>
      </c>
      <c r="U79" s="155" t="s">
        <v>155</v>
      </c>
      <c r="V79" s="141"/>
    </row>
    <row r="80" spans="2:22" ht="13.5" thickBot="1" x14ac:dyDescent="0.25">
      <c r="B80" s="149">
        <f t="shared" ref="B80:R80" si="42">SUM(B78:B79)</f>
        <v>1244</v>
      </c>
      <c r="C80" s="149">
        <f t="shared" si="42"/>
        <v>647</v>
      </c>
      <c r="D80" s="149">
        <f t="shared" si="42"/>
        <v>597</v>
      </c>
      <c r="E80" s="149">
        <f t="shared" si="42"/>
        <v>254</v>
      </c>
      <c r="F80" s="149">
        <f t="shared" si="42"/>
        <v>101</v>
      </c>
      <c r="G80" s="149">
        <f t="shared" si="42"/>
        <v>153</v>
      </c>
      <c r="H80" s="149">
        <f t="shared" si="42"/>
        <v>141</v>
      </c>
      <c r="I80" s="149">
        <f t="shared" si="42"/>
        <v>48</v>
      </c>
      <c r="J80" s="149">
        <f t="shared" si="42"/>
        <v>93</v>
      </c>
      <c r="K80" s="149">
        <f t="shared" si="42"/>
        <v>683</v>
      </c>
      <c r="L80" s="149">
        <f t="shared" si="42"/>
        <v>409</v>
      </c>
      <c r="M80" s="149">
        <f t="shared" si="42"/>
        <v>274</v>
      </c>
      <c r="N80" s="149">
        <f t="shared" si="42"/>
        <v>92</v>
      </c>
      <c r="O80" s="149">
        <f t="shared" si="42"/>
        <v>63</v>
      </c>
      <c r="P80" s="149">
        <f t="shared" si="42"/>
        <v>29</v>
      </c>
      <c r="Q80" s="149">
        <f t="shared" si="42"/>
        <v>74</v>
      </c>
      <c r="R80" s="149">
        <f t="shared" si="42"/>
        <v>26</v>
      </c>
      <c r="S80" s="149">
        <f>SUM(S78:S79)</f>
        <v>48</v>
      </c>
      <c r="T80" s="151" t="s">
        <v>12</v>
      </c>
      <c r="U80" s="156"/>
      <c r="V80" s="141"/>
    </row>
    <row r="81" spans="2:22" ht="13.5" thickBot="1" x14ac:dyDescent="0.25">
      <c r="B81" s="149">
        <f t="shared" ref="B81:R83" si="43">B6+B9+B12+B15+B18+B21+B24+B27+B30+B33+B36+B39+B42+B45+B48+B51+B54+B57+B60+B63+B66+B69+B72+B75+B78</f>
        <v>21320</v>
      </c>
      <c r="C81" s="149">
        <f t="shared" si="43"/>
        <v>5427</v>
      </c>
      <c r="D81" s="149">
        <f t="shared" si="43"/>
        <v>15893</v>
      </c>
      <c r="E81" s="149">
        <f t="shared" si="43"/>
        <v>7794</v>
      </c>
      <c r="F81" s="149">
        <f t="shared" si="43"/>
        <v>1217</v>
      </c>
      <c r="G81" s="149">
        <f t="shared" si="43"/>
        <v>6577</v>
      </c>
      <c r="H81" s="149">
        <f t="shared" si="43"/>
        <v>4573</v>
      </c>
      <c r="I81" s="149">
        <f t="shared" si="43"/>
        <v>947</v>
      </c>
      <c r="J81" s="149">
        <f t="shared" si="43"/>
        <v>3626</v>
      </c>
      <c r="K81" s="149">
        <f t="shared" si="43"/>
        <v>7699</v>
      </c>
      <c r="L81" s="149">
        <f t="shared" si="43"/>
        <v>3000</v>
      </c>
      <c r="M81" s="149">
        <f t="shared" si="43"/>
        <v>4699</v>
      </c>
      <c r="N81" s="149">
        <f t="shared" si="43"/>
        <v>773</v>
      </c>
      <c r="O81" s="149">
        <f t="shared" si="43"/>
        <v>223</v>
      </c>
      <c r="P81" s="149">
        <f t="shared" si="43"/>
        <v>550</v>
      </c>
      <c r="Q81" s="149">
        <f t="shared" si="43"/>
        <v>481</v>
      </c>
      <c r="R81" s="149">
        <f t="shared" si="43"/>
        <v>40</v>
      </c>
      <c r="S81" s="149">
        <f>S6+S9+S12+S15+S18+S21+S24+S27+S30+S33+S36+S39+S42+S45+S48+S51+S54+S57+S60+S63+S66+S69+S72+S75+S78</f>
        <v>441</v>
      </c>
      <c r="T81" s="151" t="s">
        <v>146</v>
      </c>
      <c r="U81" s="143"/>
      <c r="V81" s="141"/>
    </row>
    <row r="82" spans="2:22" ht="13.5" thickBot="1" x14ac:dyDescent="0.25">
      <c r="B82" s="149">
        <f t="shared" si="43"/>
        <v>1552</v>
      </c>
      <c r="C82" s="149">
        <f t="shared" si="43"/>
        <v>357</v>
      </c>
      <c r="D82" s="149">
        <f t="shared" si="43"/>
        <v>1195</v>
      </c>
      <c r="E82" s="149">
        <f t="shared" si="43"/>
        <v>215</v>
      </c>
      <c r="F82" s="149">
        <f t="shared" si="43"/>
        <v>45</v>
      </c>
      <c r="G82" s="149">
        <f t="shared" si="43"/>
        <v>170</v>
      </c>
      <c r="H82" s="149">
        <f t="shared" si="43"/>
        <v>311</v>
      </c>
      <c r="I82" s="149">
        <f t="shared" si="43"/>
        <v>36</v>
      </c>
      <c r="J82" s="149">
        <f t="shared" si="43"/>
        <v>275</v>
      </c>
      <c r="K82" s="149">
        <f t="shared" si="43"/>
        <v>808</v>
      </c>
      <c r="L82" s="149">
        <f t="shared" si="43"/>
        <v>234</v>
      </c>
      <c r="M82" s="149">
        <f t="shared" si="43"/>
        <v>574</v>
      </c>
      <c r="N82" s="149">
        <f t="shared" si="43"/>
        <v>148</v>
      </c>
      <c r="O82" s="149">
        <f t="shared" si="43"/>
        <v>32</v>
      </c>
      <c r="P82" s="149">
        <f t="shared" si="43"/>
        <v>116</v>
      </c>
      <c r="Q82" s="149">
        <f t="shared" si="43"/>
        <v>70</v>
      </c>
      <c r="R82" s="149">
        <f t="shared" si="43"/>
        <v>10</v>
      </c>
      <c r="S82" s="149">
        <f t="shared" ref="S82:S83" si="44">S7+S10+S13+S16+S19+S22+S25+S28+S31+S34+S37+S40+S43+S46+S49+S52+S55+S58+S61+S64+S67+S70+S73+S76+S79</f>
        <v>60</v>
      </c>
      <c r="T82" s="151" t="s">
        <v>145</v>
      </c>
      <c r="U82" s="157" t="s">
        <v>188</v>
      </c>
      <c r="V82" s="141"/>
    </row>
    <row r="83" spans="2:22" ht="13.5" thickBot="1" x14ac:dyDescent="0.25">
      <c r="B83" s="149">
        <f t="shared" si="43"/>
        <v>22872</v>
      </c>
      <c r="C83" s="149">
        <f t="shared" si="43"/>
        <v>5784</v>
      </c>
      <c r="D83" s="149">
        <f t="shared" si="43"/>
        <v>17088</v>
      </c>
      <c r="E83" s="149">
        <f t="shared" si="43"/>
        <v>8009</v>
      </c>
      <c r="F83" s="149">
        <f t="shared" si="43"/>
        <v>1262</v>
      </c>
      <c r="G83" s="149">
        <f t="shared" si="43"/>
        <v>6747</v>
      </c>
      <c r="H83" s="149">
        <f t="shared" si="43"/>
        <v>4884</v>
      </c>
      <c r="I83" s="149">
        <f t="shared" si="43"/>
        <v>983</v>
      </c>
      <c r="J83" s="149">
        <f t="shared" si="43"/>
        <v>3901</v>
      </c>
      <c r="K83" s="149">
        <f t="shared" si="43"/>
        <v>8507</v>
      </c>
      <c r="L83" s="149">
        <f t="shared" si="43"/>
        <v>3234</v>
      </c>
      <c r="M83" s="149">
        <f t="shared" si="43"/>
        <v>5273</v>
      </c>
      <c r="N83" s="149">
        <f t="shared" si="43"/>
        <v>921</v>
      </c>
      <c r="O83" s="149">
        <f t="shared" si="43"/>
        <v>255</v>
      </c>
      <c r="P83" s="149">
        <f t="shared" si="43"/>
        <v>666</v>
      </c>
      <c r="Q83" s="149">
        <f t="shared" si="43"/>
        <v>551</v>
      </c>
      <c r="R83" s="149">
        <f t="shared" si="43"/>
        <v>50</v>
      </c>
      <c r="S83" s="149">
        <f t="shared" si="44"/>
        <v>501</v>
      </c>
      <c r="T83" s="151" t="s">
        <v>12</v>
      </c>
      <c r="U83" s="145"/>
      <c r="V83" s="141"/>
    </row>
  </sheetData>
  <mergeCells count="9">
    <mergeCell ref="B2:U2"/>
    <mergeCell ref="B3:U3"/>
    <mergeCell ref="B4:D4"/>
    <mergeCell ref="E4:G4"/>
    <mergeCell ref="H4:J4"/>
    <mergeCell ref="K4:M4"/>
    <mergeCell ref="N4:P4"/>
    <mergeCell ref="Q4:S4"/>
    <mergeCell ref="T4:T5"/>
  </mergeCells>
  <printOptions horizontalCentered="1" verticalCentered="1"/>
  <pageMargins left="0.4" right="0.4" top="0" bottom="0" header="0.25" footer="0.25"/>
  <pageSetup paperSize="9" scale="96" orientation="landscape" r:id="rId1"/>
  <headerFooter alignWithMargins="0"/>
  <rowBreaks count="1" manualBreakCount="1">
    <brk id="44" min="1" max="20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044"/>
  <sheetViews>
    <sheetView showGridLines="0" zoomScaleNormal="100" workbookViewId="0">
      <selection activeCell="U1" sqref="A1:U1048576"/>
    </sheetView>
  </sheetViews>
  <sheetFormatPr defaultRowHeight="12.75" x14ac:dyDescent="0.2"/>
  <cols>
    <col min="1" max="1" width="9" style="354"/>
    <col min="2" max="4" width="6.125" style="354" customWidth="1"/>
    <col min="5" max="19" width="4.875" style="354" customWidth="1"/>
    <col min="20" max="20" width="9.625" style="354" customWidth="1"/>
    <col min="21" max="21" width="47.375" style="354" customWidth="1"/>
    <col min="22" max="22" width="1.375" style="142" customWidth="1"/>
    <col min="23" max="257" width="9" style="142"/>
    <col min="258" max="260" width="6.125" style="142" customWidth="1"/>
    <col min="261" max="275" width="4.875" style="142" customWidth="1"/>
    <col min="276" max="276" width="9.625" style="142" customWidth="1"/>
    <col min="277" max="277" width="53.125" style="142" customWidth="1"/>
    <col min="278" max="278" width="1.375" style="142" customWidth="1"/>
    <col min="279" max="513" width="9" style="142"/>
    <col min="514" max="516" width="6.125" style="142" customWidth="1"/>
    <col min="517" max="531" width="4.875" style="142" customWidth="1"/>
    <col min="532" max="532" width="9.625" style="142" customWidth="1"/>
    <col min="533" max="533" width="53.125" style="142" customWidth="1"/>
    <col min="534" max="534" width="1.375" style="142" customWidth="1"/>
    <col min="535" max="769" width="9" style="142"/>
    <col min="770" max="772" width="6.125" style="142" customWidth="1"/>
    <col min="773" max="787" width="4.875" style="142" customWidth="1"/>
    <col min="788" max="788" width="9.625" style="142" customWidth="1"/>
    <col min="789" max="789" width="53.125" style="142" customWidth="1"/>
    <col min="790" max="790" width="1.375" style="142" customWidth="1"/>
    <col min="791" max="1025" width="9" style="142"/>
    <col min="1026" max="1028" width="6.125" style="142" customWidth="1"/>
    <col min="1029" max="1043" width="4.875" style="142" customWidth="1"/>
    <col min="1044" max="1044" width="9.625" style="142" customWidth="1"/>
    <col min="1045" max="1045" width="53.125" style="142" customWidth="1"/>
    <col min="1046" max="1046" width="1.375" style="142" customWidth="1"/>
    <col min="1047" max="1281" width="9" style="142"/>
    <col min="1282" max="1284" width="6.125" style="142" customWidth="1"/>
    <col min="1285" max="1299" width="4.875" style="142" customWidth="1"/>
    <col min="1300" max="1300" width="9.625" style="142" customWidth="1"/>
    <col min="1301" max="1301" width="53.125" style="142" customWidth="1"/>
    <col min="1302" max="1302" width="1.375" style="142" customWidth="1"/>
    <col min="1303" max="1537" width="9" style="142"/>
    <col min="1538" max="1540" width="6.125" style="142" customWidth="1"/>
    <col min="1541" max="1555" width="4.875" style="142" customWidth="1"/>
    <col min="1556" max="1556" width="9.625" style="142" customWidth="1"/>
    <col min="1557" max="1557" width="53.125" style="142" customWidth="1"/>
    <col min="1558" max="1558" width="1.375" style="142" customWidth="1"/>
    <col min="1559" max="1793" width="9" style="142"/>
    <col min="1794" max="1796" width="6.125" style="142" customWidth="1"/>
    <col min="1797" max="1811" width="4.875" style="142" customWidth="1"/>
    <col min="1812" max="1812" width="9.625" style="142" customWidth="1"/>
    <col min="1813" max="1813" width="53.125" style="142" customWidth="1"/>
    <col min="1814" max="1814" width="1.375" style="142" customWidth="1"/>
    <col min="1815" max="2049" width="9" style="142"/>
    <col min="2050" max="2052" width="6.125" style="142" customWidth="1"/>
    <col min="2053" max="2067" width="4.875" style="142" customWidth="1"/>
    <col min="2068" max="2068" width="9.625" style="142" customWidth="1"/>
    <col min="2069" max="2069" width="53.125" style="142" customWidth="1"/>
    <col min="2070" max="2070" width="1.375" style="142" customWidth="1"/>
    <col min="2071" max="2305" width="9" style="142"/>
    <col min="2306" max="2308" width="6.125" style="142" customWidth="1"/>
    <col min="2309" max="2323" width="4.875" style="142" customWidth="1"/>
    <col min="2324" max="2324" width="9.625" style="142" customWidth="1"/>
    <col min="2325" max="2325" width="53.125" style="142" customWidth="1"/>
    <col min="2326" max="2326" width="1.375" style="142" customWidth="1"/>
    <col min="2327" max="2561" width="9" style="142"/>
    <col min="2562" max="2564" width="6.125" style="142" customWidth="1"/>
    <col min="2565" max="2579" width="4.875" style="142" customWidth="1"/>
    <col min="2580" max="2580" width="9.625" style="142" customWidth="1"/>
    <col min="2581" max="2581" width="53.125" style="142" customWidth="1"/>
    <col min="2582" max="2582" width="1.375" style="142" customWidth="1"/>
    <col min="2583" max="2817" width="9" style="142"/>
    <col min="2818" max="2820" width="6.125" style="142" customWidth="1"/>
    <col min="2821" max="2835" width="4.875" style="142" customWidth="1"/>
    <col min="2836" max="2836" width="9.625" style="142" customWidth="1"/>
    <col min="2837" max="2837" width="53.125" style="142" customWidth="1"/>
    <col min="2838" max="2838" width="1.375" style="142" customWidth="1"/>
    <col min="2839" max="3073" width="9" style="142"/>
    <col min="3074" max="3076" width="6.125" style="142" customWidth="1"/>
    <col min="3077" max="3091" width="4.875" style="142" customWidth="1"/>
    <col min="3092" max="3092" width="9.625" style="142" customWidth="1"/>
    <col min="3093" max="3093" width="53.125" style="142" customWidth="1"/>
    <col min="3094" max="3094" width="1.375" style="142" customWidth="1"/>
    <col min="3095" max="3329" width="9" style="142"/>
    <col min="3330" max="3332" width="6.125" style="142" customWidth="1"/>
    <col min="3333" max="3347" width="4.875" style="142" customWidth="1"/>
    <col min="3348" max="3348" width="9.625" style="142" customWidth="1"/>
    <col min="3349" max="3349" width="53.125" style="142" customWidth="1"/>
    <col min="3350" max="3350" width="1.375" style="142" customWidth="1"/>
    <col min="3351" max="3585" width="9" style="142"/>
    <col min="3586" max="3588" width="6.125" style="142" customWidth="1"/>
    <col min="3589" max="3603" width="4.875" style="142" customWidth="1"/>
    <col min="3604" max="3604" width="9.625" style="142" customWidth="1"/>
    <col min="3605" max="3605" width="53.125" style="142" customWidth="1"/>
    <col min="3606" max="3606" width="1.375" style="142" customWidth="1"/>
    <col min="3607" max="3841" width="9" style="142"/>
    <col min="3842" max="3844" width="6.125" style="142" customWidth="1"/>
    <col min="3845" max="3859" width="4.875" style="142" customWidth="1"/>
    <col min="3860" max="3860" width="9.625" style="142" customWidth="1"/>
    <col min="3861" max="3861" width="53.125" style="142" customWidth="1"/>
    <col min="3862" max="3862" width="1.375" style="142" customWidth="1"/>
    <col min="3863" max="4097" width="9" style="142"/>
    <col min="4098" max="4100" width="6.125" style="142" customWidth="1"/>
    <col min="4101" max="4115" width="4.875" style="142" customWidth="1"/>
    <col min="4116" max="4116" width="9.625" style="142" customWidth="1"/>
    <col min="4117" max="4117" width="53.125" style="142" customWidth="1"/>
    <col min="4118" max="4118" width="1.375" style="142" customWidth="1"/>
    <col min="4119" max="4353" width="9" style="142"/>
    <col min="4354" max="4356" width="6.125" style="142" customWidth="1"/>
    <col min="4357" max="4371" width="4.875" style="142" customWidth="1"/>
    <col min="4372" max="4372" width="9.625" style="142" customWidth="1"/>
    <col min="4373" max="4373" width="53.125" style="142" customWidth="1"/>
    <col min="4374" max="4374" width="1.375" style="142" customWidth="1"/>
    <col min="4375" max="4609" width="9" style="142"/>
    <col min="4610" max="4612" width="6.125" style="142" customWidth="1"/>
    <col min="4613" max="4627" width="4.875" style="142" customWidth="1"/>
    <col min="4628" max="4628" width="9.625" style="142" customWidth="1"/>
    <col min="4629" max="4629" width="53.125" style="142" customWidth="1"/>
    <col min="4630" max="4630" width="1.375" style="142" customWidth="1"/>
    <col min="4631" max="4865" width="9" style="142"/>
    <col min="4866" max="4868" width="6.125" style="142" customWidth="1"/>
    <col min="4869" max="4883" width="4.875" style="142" customWidth="1"/>
    <col min="4884" max="4884" width="9.625" style="142" customWidth="1"/>
    <col min="4885" max="4885" width="53.125" style="142" customWidth="1"/>
    <col min="4886" max="4886" width="1.375" style="142" customWidth="1"/>
    <col min="4887" max="5121" width="9" style="142"/>
    <col min="5122" max="5124" width="6.125" style="142" customWidth="1"/>
    <col min="5125" max="5139" width="4.875" style="142" customWidth="1"/>
    <col min="5140" max="5140" width="9.625" style="142" customWidth="1"/>
    <col min="5141" max="5141" width="53.125" style="142" customWidth="1"/>
    <col min="5142" max="5142" width="1.375" style="142" customWidth="1"/>
    <col min="5143" max="5377" width="9" style="142"/>
    <col min="5378" max="5380" width="6.125" style="142" customWidth="1"/>
    <col min="5381" max="5395" width="4.875" style="142" customWidth="1"/>
    <col min="5396" max="5396" width="9.625" style="142" customWidth="1"/>
    <col min="5397" max="5397" width="53.125" style="142" customWidth="1"/>
    <col min="5398" max="5398" width="1.375" style="142" customWidth="1"/>
    <col min="5399" max="5633" width="9" style="142"/>
    <col min="5634" max="5636" width="6.125" style="142" customWidth="1"/>
    <col min="5637" max="5651" width="4.875" style="142" customWidth="1"/>
    <col min="5652" max="5652" width="9.625" style="142" customWidth="1"/>
    <col min="5653" max="5653" width="53.125" style="142" customWidth="1"/>
    <col min="5654" max="5654" width="1.375" style="142" customWidth="1"/>
    <col min="5655" max="5889" width="9" style="142"/>
    <col min="5890" max="5892" width="6.125" style="142" customWidth="1"/>
    <col min="5893" max="5907" width="4.875" style="142" customWidth="1"/>
    <col min="5908" max="5908" width="9.625" style="142" customWidth="1"/>
    <col min="5909" max="5909" width="53.125" style="142" customWidth="1"/>
    <col min="5910" max="5910" width="1.375" style="142" customWidth="1"/>
    <col min="5911" max="6145" width="9" style="142"/>
    <col min="6146" max="6148" width="6.125" style="142" customWidth="1"/>
    <col min="6149" max="6163" width="4.875" style="142" customWidth="1"/>
    <col min="6164" max="6164" width="9.625" style="142" customWidth="1"/>
    <col min="6165" max="6165" width="53.125" style="142" customWidth="1"/>
    <col min="6166" max="6166" width="1.375" style="142" customWidth="1"/>
    <col min="6167" max="6401" width="9" style="142"/>
    <col min="6402" max="6404" width="6.125" style="142" customWidth="1"/>
    <col min="6405" max="6419" width="4.875" style="142" customWidth="1"/>
    <col min="6420" max="6420" width="9.625" style="142" customWidth="1"/>
    <col min="6421" max="6421" width="53.125" style="142" customWidth="1"/>
    <col min="6422" max="6422" width="1.375" style="142" customWidth="1"/>
    <col min="6423" max="6657" width="9" style="142"/>
    <col min="6658" max="6660" width="6.125" style="142" customWidth="1"/>
    <col min="6661" max="6675" width="4.875" style="142" customWidth="1"/>
    <col min="6676" max="6676" width="9.625" style="142" customWidth="1"/>
    <col min="6677" max="6677" width="53.125" style="142" customWidth="1"/>
    <col min="6678" max="6678" width="1.375" style="142" customWidth="1"/>
    <col min="6679" max="6913" width="9" style="142"/>
    <col min="6914" max="6916" width="6.125" style="142" customWidth="1"/>
    <col min="6917" max="6931" width="4.875" style="142" customWidth="1"/>
    <col min="6932" max="6932" width="9.625" style="142" customWidth="1"/>
    <col min="6933" max="6933" width="53.125" style="142" customWidth="1"/>
    <col min="6934" max="6934" width="1.375" style="142" customWidth="1"/>
    <col min="6935" max="7169" width="9" style="142"/>
    <col min="7170" max="7172" width="6.125" style="142" customWidth="1"/>
    <col min="7173" max="7187" width="4.875" style="142" customWidth="1"/>
    <col min="7188" max="7188" width="9.625" style="142" customWidth="1"/>
    <col min="7189" max="7189" width="53.125" style="142" customWidth="1"/>
    <col min="7190" max="7190" width="1.375" style="142" customWidth="1"/>
    <col min="7191" max="7425" width="9" style="142"/>
    <col min="7426" max="7428" width="6.125" style="142" customWidth="1"/>
    <col min="7429" max="7443" width="4.875" style="142" customWidth="1"/>
    <col min="7444" max="7444" width="9.625" style="142" customWidth="1"/>
    <col min="7445" max="7445" width="53.125" style="142" customWidth="1"/>
    <col min="7446" max="7446" width="1.375" style="142" customWidth="1"/>
    <col min="7447" max="7681" width="9" style="142"/>
    <col min="7682" max="7684" width="6.125" style="142" customWidth="1"/>
    <col min="7685" max="7699" width="4.875" style="142" customWidth="1"/>
    <col min="7700" max="7700" width="9.625" style="142" customWidth="1"/>
    <col min="7701" max="7701" width="53.125" style="142" customWidth="1"/>
    <col min="7702" max="7702" width="1.375" style="142" customWidth="1"/>
    <col min="7703" max="7937" width="9" style="142"/>
    <col min="7938" max="7940" width="6.125" style="142" customWidth="1"/>
    <col min="7941" max="7955" width="4.875" style="142" customWidth="1"/>
    <col min="7956" max="7956" width="9.625" style="142" customWidth="1"/>
    <col min="7957" max="7957" width="53.125" style="142" customWidth="1"/>
    <col min="7958" max="7958" width="1.375" style="142" customWidth="1"/>
    <col min="7959" max="8193" width="9" style="142"/>
    <col min="8194" max="8196" width="6.125" style="142" customWidth="1"/>
    <col min="8197" max="8211" width="4.875" style="142" customWidth="1"/>
    <col min="8212" max="8212" width="9.625" style="142" customWidth="1"/>
    <col min="8213" max="8213" width="53.125" style="142" customWidth="1"/>
    <col min="8214" max="8214" width="1.375" style="142" customWidth="1"/>
    <col min="8215" max="8449" width="9" style="142"/>
    <col min="8450" max="8452" width="6.125" style="142" customWidth="1"/>
    <col min="8453" max="8467" width="4.875" style="142" customWidth="1"/>
    <col min="8468" max="8468" width="9.625" style="142" customWidth="1"/>
    <col min="8469" max="8469" width="53.125" style="142" customWidth="1"/>
    <col min="8470" max="8470" width="1.375" style="142" customWidth="1"/>
    <col min="8471" max="8705" width="9" style="142"/>
    <col min="8706" max="8708" width="6.125" style="142" customWidth="1"/>
    <col min="8709" max="8723" width="4.875" style="142" customWidth="1"/>
    <col min="8724" max="8724" width="9.625" style="142" customWidth="1"/>
    <col min="8725" max="8725" width="53.125" style="142" customWidth="1"/>
    <col min="8726" max="8726" width="1.375" style="142" customWidth="1"/>
    <col min="8727" max="8961" width="9" style="142"/>
    <col min="8962" max="8964" width="6.125" style="142" customWidth="1"/>
    <col min="8965" max="8979" width="4.875" style="142" customWidth="1"/>
    <col min="8980" max="8980" width="9.625" style="142" customWidth="1"/>
    <col min="8981" max="8981" width="53.125" style="142" customWidth="1"/>
    <col min="8982" max="8982" width="1.375" style="142" customWidth="1"/>
    <col min="8983" max="9217" width="9" style="142"/>
    <col min="9218" max="9220" width="6.125" style="142" customWidth="1"/>
    <col min="9221" max="9235" width="4.875" style="142" customWidth="1"/>
    <col min="9236" max="9236" width="9.625" style="142" customWidth="1"/>
    <col min="9237" max="9237" width="53.125" style="142" customWidth="1"/>
    <col min="9238" max="9238" width="1.375" style="142" customWidth="1"/>
    <col min="9239" max="9473" width="9" style="142"/>
    <col min="9474" max="9476" width="6.125" style="142" customWidth="1"/>
    <col min="9477" max="9491" width="4.875" style="142" customWidth="1"/>
    <col min="9492" max="9492" width="9.625" style="142" customWidth="1"/>
    <col min="9493" max="9493" width="53.125" style="142" customWidth="1"/>
    <col min="9494" max="9494" width="1.375" style="142" customWidth="1"/>
    <col min="9495" max="9729" width="9" style="142"/>
    <col min="9730" max="9732" width="6.125" style="142" customWidth="1"/>
    <col min="9733" max="9747" width="4.875" style="142" customWidth="1"/>
    <col min="9748" max="9748" width="9.625" style="142" customWidth="1"/>
    <col min="9749" max="9749" width="53.125" style="142" customWidth="1"/>
    <col min="9750" max="9750" width="1.375" style="142" customWidth="1"/>
    <col min="9751" max="9985" width="9" style="142"/>
    <col min="9986" max="9988" width="6.125" style="142" customWidth="1"/>
    <col min="9989" max="10003" width="4.875" style="142" customWidth="1"/>
    <col min="10004" max="10004" width="9.625" style="142" customWidth="1"/>
    <col min="10005" max="10005" width="53.125" style="142" customWidth="1"/>
    <col min="10006" max="10006" width="1.375" style="142" customWidth="1"/>
    <col min="10007" max="10241" width="9" style="142"/>
    <col min="10242" max="10244" width="6.125" style="142" customWidth="1"/>
    <col min="10245" max="10259" width="4.875" style="142" customWidth="1"/>
    <col min="10260" max="10260" width="9.625" style="142" customWidth="1"/>
    <col min="10261" max="10261" width="53.125" style="142" customWidth="1"/>
    <col min="10262" max="10262" width="1.375" style="142" customWidth="1"/>
    <col min="10263" max="10497" width="9" style="142"/>
    <col min="10498" max="10500" width="6.125" style="142" customWidth="1"/>
    <col min="10501" max="10515" width="4.875" style="142" customWidth="1"/>
    <col min="10516" max="10516" width="9.625" style="142" customWidth="1"/>
    <col min="10517" max="10517" width="53.125" style="142" customWidth="1"/>
    <col min="10518" max="10518" width="1.375" style="142" customWidth="1"/>
    <col min="10519" max="10753" width="9" style="142"/>
    <col min="10754" max="10756" width="6.125" style="142" customWidth="1"/>
    <col min="10757" max="10771" width="4.875" style="142" customWidth="1"/>
    <col min="10772" max="10772" width="9.625" style="142" customWidth="1"/>
    <col min="10773" max="10773" width="53.125" style="142" customWidth="1"/>
    <col min="10774" max="10774" width="1.375" style="142" customWidth="1"/>
    <col min="10775" max="11009" width="9" style="142"/>
    <col min="11010" max="11012" width="6.125" style="142" customWidth="1"/>
    <col min="11013" max="11027" width="4.875" style="142" customWidth="1"/>
    <col min="11028" max="11028" width="9.625" style="142" customWidth="1"/>
    <col min="11029" max="11029" width="53.125" style="142" customWidth="1"/>
    <col min="11030" max="11030" width="1.375" style="142" customWidth="1"/>
    <col min="11031" max="11265" width="9" style="142"/>
    <col min="11266" max="11268" width="6.125" style="142" customWidth="1"/>
    <col min="11269" max="11283" width="4.875" style="142" customWidth="1"/>
    <col min="11284" max="11284" width="9.625" style="142" customWidth="1"/>
    <col min="11285" max="11285" width="53.125" style="142" customWidth="1"/>
    <col min="11286" max="11286" width="1.375" style="142" customWidth="1"/>
    <col min="11287" max="11521" width="9" style="142"/>
    <col min="11522" max="11524" width="6.125" style="142" customWidth="1"/>
    <col min="11525" max="11539" width="4.875" style="142" customWidth="1"/>
    <col min="11540" max="11540" width="9.625" style="142" customWidth="1"/>
    <col min="11541" max="11541" width="53.125" style="142" customWidth="1"/>
    <col min="11542" max="11542" width="1.375" style="142" customWidth="1"/>
    <col min="11543" max="11777" width="9" style="142"/>
    <col min="11778" max="11780" width="6.125" style="142" customWidth="1"/>
    <col min="11781" max="11795" width="4.875" style="142" customWidth="1"/>
    <col min="11796" max="11796" width="9.625" style="142" customWidth="1"/>
    <col min="11797" max="11797" width="53.125" style="142" customWidth="1"/>
    <col min="11798" max="11798" width="1.375" style="142" customWidth="1"/>
    <col min="11799" max="12033" width="9" style="142"/>
    <col min="12034" max="12036" width="6.125" style="142" customWidth="1"/>
    <col min="12037" max="12051" width="4.875" style="142" customWidth="1"/>
    <col min="12052" max="12052" width="9.625" style="142" customWidth="1"/>
    <col min="12053" max="12053" width="53.125" style="142" customWidth="1"/>
    <col min="12054" max="12054" width="1.375" style="142" customWidth="1"/>
    <col min="12055" max="12289" width="9" style="142"/>
    <col min="12290" max="12292" width="6.125" style="142" customWidth="1"/>
    <col min="12293" max="12307" width="4.875" style="142" customWidth="1"/>
    <col min="12308" max="12308" width="9.625" style="142" customWidth="1"/>
    <col min="12309" max="12309" width="53.125" style="142" customWidth="1"/>
    <col min="12310" max="12310" width="1.375" style="142" customWidth="1"/>
    <col min="12311" max="12545" width="9" style="142"/>
    <col min="12546" max="12548" width="6.125" style="142" customWidth="1"/>
    <col min="12549" max="12563" width="4.875" style="142" customWidth="1"/>
    <col min="12564" max="12564" width="9.625" style="142" customWidth="1"/>
    <col min="12565" max="12565" width="53.125" style="142" customWidth="1"/>
    <col min="12566" max="12566" width="1.375" style="142" customWidth="1"/>
    <col min="12567" max="12801" width="9" style="142"/>
    <col min="12802" max="12804" width="6.125" style="142" customWidth="1"/>
    <col min="12805" max="12819" width="4.875" style="142" customWidth="1"/>
    <col min="12820" max="12820" width="9.625" style="142" customWidth="1"/>
    <col min="12821" max="12821" width="53.125" style="142" customWidth="1"/>
    <col min="12822" max="12822" width="1.375" style="142" customWidth="1"/>
    <col min="12823" max="13057" width="9" style="142"/>
    <col min="13058" max="13060" width="6.125" style="142" customWidth="1"/>
    <col min="13061" max="13075" width="4.875" style="142" customWidth="1"/>
    <col min="13076" max="13076" width="9.625" style="142" customWidth="1"/>
    <col min="13077" max="13077" width="53.125" style="142" customWidth="1"/>
    <col min="13078" max="13078" width="1.375" style="142" customWidth="1"/>
    <col min="13079" max="13313" width="9" style="142"/>
    <col min="13314" max="13316" width="6.125" style="142" customWidth="1"/>
    <col min="13317" max="13331" width="4.875" style="142" customWidth="1"/>
    <col min="13332" max="13332" width="9.625" style="142" customWidth="1"/>
    <col min="13333" max="13333" width="53.125" style="142" customWidth="1"/>
    <col min="13334" max="13334" width="1.375" style="142" customWidth="1"/>
    <col min="13335" max="13569" width="9" style="142"/>
    <col min="13570" max="13572" width="6.125" style="142" customWidth="1"/>
    <col min="13573" max="13587" width="4.875" style="142" customWidth="1"/>
    <col min="13588" max="13588" width="9.625" style="142" customWidth="1"/>
    <col min="13589" max="13589" width="53.125" style="142" customWidth="1"/>
    <col min="13590" max="13590" width="1.375" style="142" customWidth="1"/>
    <col min="13591" max="13825" width="9" style="142"/>
    <col min="13826" max="13828" width="6.125" style="142" customWidth="1"/>
    <col min="13829" max="13843" width="4.875" style="142" customWidth="1"/>
    <col min="13844" max="13844" width="9.625" style="142" customWidth="1"/>
    <col min="13845" max="13845" width="53.125" style="142" customWidth="1"/>
    <col min="13846" max="13846" width="1.375" style="142" customWidth="1"/>
    <col min="13847" max="14081" width="9" style="142"/>
    <col min="14082" max="14084" width="6.125" style="142" customWidth="1"/>
    <col min="14085" max="14099" width="4.875" style="142" customWidth="1"/>
    <col min="14100" max="14100" width="9.625" style="142" customWidth="1"/>
    <col min="14101" max="14101" width="53.125" style="142" customWidth="1"/>
    <col min="14102" max="14102" width="1.375" style="142" customWidth="1"/>
    <col min="14103" max="14337" width="9" style="142"/>
    <col min="14338" max="14340" width="6.125" style="142" customWidth="1"/>
    <col min="14341" max="14355" width="4.875" style="142" customWidth="1"/>
    <col min="14356" max="14356" width="9.625" style="142" customWidth="1"/>
    <col min="14357" max="14357" width="53.125" style="142" customWidth="1"/>
    <col min="14358" max="14358" width="1.375" style="142" customWidth="1"/>
    <col min="14359" max="14593" width="9" style="142"/>
    <col min="14594" max="14596" width="6.125" style="142" customWidth="1"/>
    <col min="14597" max="14611" width="4.875" style="142" customWidth="1"/>
    <col min="14612" max="14612" width="9.625" style="142" customWidth="1"/>
    <col min="14613" max="14613" width="53.125" style="142" customWidth="1"/>
    <col min="14614" max="14614" width="1.375" style="142" customWidth="1"/>
    <col min="14615" max="14849" width="9" style="142"/>
    <col min="14850" max="14852" width="6.125" style="142" customWidth="1"/>
    <col min="14853" max="14867" width="4.875" style="142" customWidth="1"/>
    <col min="14868" max="14868" width="9.625" style="142" customWidth="1"/>
    <col min="14869" max="14869" width="53.125" style="142" customWidth="1"/>
    <col min="14870" max="14870" width="1.375" style="142" customWidth="1"/>
    <col min="14871" max="15105" width="9" style="142"/>
    <col min="15106" max="15108" width="6.125" style="142" customWidth="1"/>
    <col min="15109" max="15123" width="4.875" style="142" customWidth="1"/>
    <col min="15124" max="15124" width="9.625" style="142" customWidth="1"/>
    <col min="15125" max="15125" width="53.125" style="142" customWidth="1"/>
    <col min="15126" max="15126" width="1.375" style="142" customWidth="1"/>
    <col min="15127" max="15361" width="9" style="142"/>
    <col min="15362" max="15364" width="6.125" style="142" customWidth="1"/>
    <col min="15365" max="15379" width="4.875" style="142" customWidth="1"/>
    <col min="15380" max="15380" width="9.625" style="142" customWidth="1"/>
    <col min="15381" max="15381" width="53.125" style="142" customWidth="1"/>
    <col min="15382" max="15382" width="1.375" style="142" customWidth="1"/>
    <col min="15383" max="15617" width="9" style="142"/>
    <col min="15618" max="15620" width="6.125" style="142" customWidth="1"/>
    <col min="15621" max="15635" width="4.875" style="142" customWidth="1"/>
    <col min="15636" max="15636" width="9.625" style="142" customWidth="1"/>
    <col min="15637" max="15637" width="53.125" style="142" customWidth="1"/>
    <col min="15638" max="15638" width="1.375" style="142" customWidth="1"/>
    <col min="15639" max="15873" width="9" style="142"/>
    <col min="15874" max="15876" width="6.125" style="142" customWidth="1"/>
    <col min="15877" max="15891" width="4.875" style="142" customWidth="1"/>
    <col min="15892" max="15892" width="9.625" style="142" customWidth="1"/>
    <col min="15893" max="15893" width="53.125" style="142" customWidth="1"/>
    <col min="15894" max="15894" width="1.375" style="142" customWidth="1"/>
    <col min="15895" max="16129" width="9" style="142"/>
    <col min="16130" max="16132" width="6.125" style="142" customWidth="1"/>
    <col min="16133" max="16147" width="4.875" style="142" customWidth="1"/>
    <col min="16148" max="16148" width="9.625" style="142" customWidth="1"/>
    <col min="16149" max="16149" width="53.125" style="142" customWidth="1"/>
    <col min="16150" max="16150" width="1.375" style="142" customWidth="1"/>
    <col min="16151" max="16384" width="9" style="142"/>
  </cols>
  <sheetData>
    <row r="1" spans="2:25" ht="0.95" customHeight="1" x14ac:dyDescent="0.2">
      <c r="B1" s="362"/>
      <c r="C1" s="362"/>
      <c r="D1" s="362"/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/>
      <c r="S1" s="362"/>
      <c r="T1" s="362"/>
      <c r="U1" s="362"/>
      <c r="V1" s="141"/>
    </row>
    <row r="2" spans="2:25" ht="18" customHeight="1" x14ac:dyDescent="0.2">
      <c r="B2" s="599" t="s">
        <v>839</v>
      </c>
      <c r="C2" s="600"/>
      <c r="D2" s="600"/>
      <c r="E2" s="600"/>
      <c r="F2" s="600"/>
      <c r="G2" s="600"/>
      <c r="H2" s="600"/>
      <c r="I2" s="600"/>
      <c r="J2" s="600"/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141"/>
    </row>
    <row r="3" spans="2:25" ht="18" customHeight="1" thickBot="1" x14ac:dyDescent="0.25">
      <c r="B3" s="601" t="s">
        <v>840</v>
      </c>
      <c r="C3" s="601"/>
      <c r="D3" s="601"/>
      <c r="E3" s="601"/>
      <c r="F3" s="601"/>
      <c r="G3" s="601"/>
      <c r="H3" s="601"/>
      <c r="I3" s="601"/>
      <c r="J3" s="601"/>
      <c r="K3" s="601"/>
      <c r="L3" s="601"/>
      <c r="M3" s="601"/>
      <c r="N3" s="601"/>
      <c r="O3" s="601"/>
      <c r="P3" s="601"/>
      <c r="Q3" s="601"/>
      <c r="R3" s="601"/>
      <c r="S3" s="601"/>
      <c r="T3" s="601"/>
      <c r="U3" s="601"/>
      <c r="V3" s="141"/>
    </row>
    <row r="4" spans="2:25" ht="13.5" customHeight="1" thickBot="1" x14ac:dyDescent="0.25">
      <c r="B4" s="607" t="s">
        <v>4</v>
      </c>
      <c r="C4" s="607"/>
      <c r="D4" s="607"/>
      <c r="E4" s="607" t="s">
        <v>53</v>
      </c>
      <c r="F4" s="607"/>
      <c r="G4" s="607"/>
      <c r="H4" s="607" t="s">
        <v>61</v>
      </c>
      <c r="I4" s="607"/>
      <c r="J4" s="607"/>
      <c r="K4" s="607" t="s">
        <v>60</v>
      </c>
      <c r="L4" s="607"/>
      <c r="M4" s="607"/>
      <c r="N4" s="607" t="s">
        <v>57</v>
      </c>
      <c r="O4" s="607"/>
      <c r="P4" s="607"/>
      <c r="Q4" s="607" t="s">
        <v>56</v>
      </c>
      <c r="R4" s="607"/>
      <c r="S4" s="607"/>
      <c r="T4" s="608" t="s">
        <v>792</v>
      </c>
      <c r="U4" s="347" t="s">
        <v>144</v>
      </c>
      <c r="V4" s="141"/>
      <c r="W4" s="158"/>
      <c r="X4" s="158"/>
      <c r="Y4" s="158"/>
    </row>
    <row r="5" spans="2:25" ht="13.5" thickBot="1" x14ac:dyDescent="0.25">
      <c r="B5" s="347" t="s">
        <v>227</v>
      </c>
      <c r="C5" s="347" t="s">
        <v>10</v>
      </c>
      <c r="D5" s="347" t="s">
        <v>9</v>
      </c>
      <c r="E5" s="347" t="s">
        <v>227</v>
      </c>
      <c r="F5" s="347" t="s">
        <v>10</v>
      </c>
      <c r="G5" s="347" t="s">
        <v>9</v>
      </c>
      <c r="H5" s="347" t="s">
        <v>227</v>
      </c>
      <c r="I5" s="347" t="s">
        <v>10</v>
      </c>
      <c r="J5" s="347" t="s">
        <v>9</v>
      </c>
      <c r="K5" s="347" t="s">
        <v>227</v>
      </c>
      <c r="L5" s="347" t="s">
        <v>10</v>
      </c>
      <c r="M5" s="347" t="s">
        <v>9</v>
      </c>
      <c r="N5" s="347" t="s">
        <v>227</v>
      </c>
      <c r="O5" s="347" t="s">
        <v>10</v>
      </c>
      <c r="P5" s="347" t="s">
        <v>9</v>
      </c>
      <c r="Q5" s="347" t="s">
        <v>227</v>
      </c>
      <c r="R5" s="347" t="s">
        <v>10</v>
      </c>
      <c r="S5" s="347" t="s">
        <v>9</v>
      </c>
      <c r="T5" s="609"/>
      <c r="U5" s="363" t="s">
        <v>68</v>
      </c>
      <c r="V5" s="141"/>
    </row>
    <row r="6" spans="2:25" ht="13.5" thickBot="1" x14ac:dyDescent="0.25">
      <c r="B6" s="364">
        <f>SUM(C6:D6)</f>
        <v>1340</v>
      </c>
      <c r="C6" s="364">
        <f>R6+O6+L6+I6+F6</f>
        <v>372</v>
      </c>
      <c r="D6" s="364">
        <f>S6+P6+M6+J6+G6</f>
        <v>968</v>
      </c>
      <c r="E6" s="364">
        <f>SUM(F6:G6)</f>
        <v>767</v>
      </c>
      <c r="F6" s="364">
        <v>151</v>
      </c>
      <c r="G6" s="364">
        <v>616</v>
      </c>
      <c r="H6" s="364">
        <f>SUM(I6:J6)</f>
        <v>16</v>
      </c>
      <c r="I6" s="364">
        <v>3</v>
      </c>
      <c r="J6" s="364">
        <v>13</v>
      </c>
      <c r="K6" s="364">
        <f>SUM(L6:M6)</f>
        <v>519</v>
      </c>
      <c r="L6" s="364">
        <v>212</v>
      </c>
      <c r="M6" s="364">
        <v>307</v>
      </c>
      <c r="N6" s="364">
        <f>SUM(O6:P6)</f>
        <v>35</v>
      </c>
      <c r="O6" s="364">
        <v>6</v>
      </c>
      <c r="P6" s="364">
        <v>29</v>
      </c>
      <c r="Q6" s="364">
        <f>SUM(R6:S6)</f>
        <v>3</v>
      </c>
      <c r="R6" s="364">
        <v>0</v>
      </c>
      <c r="S6" s="364">
        <v>3</v>
      </c>
      <c r="T6" s="353" t="s">
        <v>146</v>
      </c>
      <c r="U6" s="365"/>
      <c r="V6" s="141"/>
    </row>
    <row r="7" spans="2:25" ht="13.5" thickBot="1" x14ac:dyDescent="0.25">
      <c r="B7" s="364">
        <f t="shared" ref="B7" si="0">SUM(C7:D7)</f>
        <v>7</v>
      </c>
      <c r="C7" s="364">
        <f t="shared" ref="C7:D7" si="1">R7+O7+L7+I7+F7</f>
        <v>0</v>
      </c>
      <c r="D7" s="364">
        <f t="shared" si="1"/>
        <v>7</v>
      </c>
      <c r="E7" s="364">
        <f t="shared" ref="E7" si="2">SUM(F7:G7)</f>
        <v>0</v>
      </c>
      <c r="F7" s="364">
        <v>0</v>
      </c>
      <c r="G7" s="364">
        <v>0</v>
      </c>
      <c r="H7" s="364">
        <f t="shared" ref="H7" si="3">SUM(I7:J7)</f>
        <v>0</v>
      </c>
      <c r="I7" s="364">
        <v>0</v>
      </c>
      <c r="J7" s="364">
        <v>0</v>
      </c>
      <c r="K7" s="364">
        <f t="shared" ref="K7" si="4">SUM(L7:M7)</f>
        <v>5</v>
      </c>
      <c r="L7" s="364">
        <v>0</v>
      </c>
      <c r="M7" s="364">
        <v>5</v>
      </c>
      <c r="N7" s="364">
        <f t="shared" ref="N7" si="5">SUM(O7:P7)</f>
        <v>1</v>
      </c>
      <c r="O7" s="364">
        <v>0</v>
      </c>
      <c r="P7" s="364">
        <v>1</v>
      </c>
      <c r="Q7" s="364">
        <f t="shared" ref="Q7" si="6">SUM(R7:S7)</f>
        <v>1</v>
      </c>
      <c r="R7" s="364">
        <v>0</v>
      </c>
      <c r="S7" s="364">
        <v>1</v>
      </c>
      <c r="T7" s="353" t="s">
        <v>145</v>
      </c>
      <c r="U7" s="365" t="s">
        <v>744</v>
      </c>
      <c r="V7" s="141"/>
    </row>
    <row r="8" spans="2:25" ht="13.5" thickBot="1" x14ac:dyDescent="0.25">
      <c r="B8" s="364">
        <f t="shared" ref="B8:R8" si="7">SUM(B6:B7)</f>
        <v>1347</v>
      </c>
      <c r="C8" s="364">
        <f t="shared" si="7"/>
        <v>372</v>
      </c>
      <c r="D8" s="364">
        <f t="shared" si="7"/>
        <v>975</v>
      </c>
      <c r="E8" s="364">
        <f t="shared" si="7"/>
        <v>767</v>
      </c>
      <c r="F8" s="364">
        <f t="shared" si="7"/>
        <v>151</v>
      </c>
      <c r="G8" s="364">
        <f t="shared" si="7"/>
        <v>616</v>
      </c>
      <c r="H8" s="364">
        <f t="shared" si="7"/>
        <v>16</v>
      </c>
      <c r="I8" s="364">
        <f t="shared" si="7"/>
        <v>3</v>
      </c>
      <c r="J8" s="364">
        <f t="shared" si="7"/>
        <v>13</v>
      </c>
      <c r="K8" s="364">
        <f t="shared" si="7"/>
        <v>524</v>
      </c>
      <c r="L8" s="364">
        <f t="shared" si="7"/>
        <v>212</v>
      </c>
      <c r="M8" s="364">
        <f t="shared" si="7"/>
        <v>312</v>
      </c>
      <c r="N8" s="364">
        <f t="shared" si="7"/>
        <v>36</v>
      </c>
      <c r="O8" s="364">
        <f t="shared" si="7"/>
        <v>6</v>
      </c>
      <c r="P8" s="364">
        <f t="shared" si="7"/>
        <v>30</v>
      </c>
      <c r="Q8" s="364">
        <f t="shared" si="7"/>
        <v>4</v>
      </c>
      <c r="R8" s="364">
        <f t="shared" si="7"/>
        <v>0</v>
      </c>
      <c r="S8" s="364">
        <f>SUM(S6:S7)</f>
        <v>4</v>
      </c>
      <c r="T8" s="353" t="s">
        <v>12</v>
      </c>
      <c r="U8" s="366"/>
      <c r="V8" s="141"/>
    </row>
    <row r="9" spans="2:25" ht="13.5" thickBot="1" x14ac:dyDescent="0.25">
      <c r="B9" s="364">
        <f t="shared" ref="B9:R11" si="8">B6</f>
        <v>1340</v>
      </c>
      <c r="C9" s="364">
        <f t="shared" si="8"/>
        <v>372</v>
      </c>
      <c r="D9" s="364">
        <f t="shared" si="8"/>
        <v>968</v>
      </c>
      <c r="E9" s="364">
        <f t="shared" si="8"/>
        <v>767</v>
      </c>
      <c r="F9" s="364">
        <f t="shared" si="8"/>
        <v>151</v>
      </c>
      <c r="G9" s="364">
        <f t="shared" si="8"/>
        <v>616</v>
      </c>
      <c r="H9" s="364">
        <f t="shared" si="8"/>
        <v>16</v>
      </c>
      <c r="I9" s="364">
        <f t="shared" si="8"/>
        <v>3</v>
      </c>
      <c r="J9" s="364">
        <f t="shared" si="8"/>
        <v>13</v>
      </c>
      <c r="K9" s="364">
        <f t="shared" si="8"/>
        <v>519</v>
      </c>
      <c r="L9" s="364">
        <f t="shared" si="8"/>
        <v>212</v>
      </c>
      <c r="M9" s="364">
        <f t="shared" si="8"/>
        <v>307</v>
      </c>
      <c r="N9" s="364">
        <f t="shared" si="8"/>
        <v>35</v>
      </c>
      <c r="O9" s="364">
        <f t="shared" si="8"/>
        <v>6</v>
      </c>
      <c r="P9" s="364">
        <f t="shared" si="8"/>
        <v>29</v>
      </c>
      <c r="Q9" s="364">
        <f t="shared" si="8"/>
        <v>3</v>
      </c>
      <c r="R9" s="364">
        <f t="shared" si="8"/>
        <v>0</v>
      </c>
      <c r="S9" s="364">
        <f>S6</f>
        <v>3</v>
      </c>
      <c r="T9" s="353" t="s">
        <v>146</v>
      </c>
      <c r="U9" s="367"/>
      <c r="V9" s="141"/>
    </row>
    <row r="10" spans="2:25" ht="13.5" thickBot="1" x14ac:dyDescent="0.25">
      <c r="B10" s="364">
        <f t="shared" si="8"/>
        <v>7</v>
      </c>
      <c r="C10" s="364">
        <f t="shared" si="8"/>
        <v>0</v>
      </c>
      <c r="D10" s="364">
        <f t="shared" si="8"/>
        <v>7</v>
      </c>
      <c r="E10" s="364">
        <f t="shared" si="8"/>
        <v>0</v>
      </c>
      <c r="F10" s="364">
        <f t="shared" si="8"/>
        <v>0</v>
      </c>
      <c r="G10" s="364">
        <f t="shared" si="8"/>
        <v>0</v>
      </c>
      <c r="H10" s="364">
        <f t="shared" si="8"/>
        <v>0</v>
      </c>
      <c r="I10" s="364">
        <f t="shared" si="8"/>
        <v>0</v>
      </c>
      <c r="J10" s="364">
        <f t="shared" si="8"/>
        <v>0</v>
      </c>
      <c r="K10" s="364">
        <f t="shared" si="8"/>
        <v>5</v>
      </c>
      <c r="L10" s="364">
        <f t="shared" si="8"/>
        <v>0</v>
      </c>
      <c r="M10" s="364">
        <f t="shared" si="8"/>
        <v>5</v>
      </c>
      <c r="N10" s="364">
        <f t="shared" si="8"/>
        <v>1</v>
      </c>
      <c r="O10" s="364">
        <f t="shared" si="8"/>
        <v>0</v>
      </c>
      <c r="P10" s="364">
        <f t="shared" si="8"/>
        <v>1</v>
      </c>
      <c r="Q10" s="364">
        <f t="shared" si="8"/>
        <v>1</v>
      </c>
      <c r="R10" s="364">
        <f t="shared" si="8"/>
        <v>0</v>
      </c>
      <c r="S10" s="364">
        <f t="shared" ref="S10:S11" si="9">S7</f>
        <v>1</v>
      </c>
      <c r="T10" s="353" t="s">
        <v>145</v>
      </c>
      <c r="U10" s="368" t="s">
        <v>188</v>
      </c>
      <c r="V10" s="141"/>
    </row>
    <row r="11" spans="2:25" ht="13.5" thickBot="1" x14ac:dyDescent="0.25">
      <c r="B11" s="364">
        <f t="shared" si="8"/>
        <v>1347</v>
      </c>
      <c r="C11" s="364">
        <f t="shared" si="8"/>
        <v>372</v>
      </c>
      <c r="D11" s="364">
        <f t="shared" si="8"/>
        <v>975</v>
      </c>
      <c r="E11" s="364">
        <f t="shared" si="8"/>
        <v>767</v>
      </c>
      <c r="F11" s="364">
        <f t="shared" si="8"/>
        <v>151</v>
      </c>
      <c r="G11" s="364">
        <f t="shared" si="8"/>
        <v>616</v>
      </c>
      <c r="H11" s="364">
        <f t="shared" si="8"/>
        <v>16</v>
      </c>
      <c r="I11" s="364">
        <f t="shared" si="8"/>
        <v>3</v>
      </c>
      <c r="J11" s="364">
        <f t="shared" si="8"/>
        <v>13</v>
      </c>
      <c r="K11" s="364">
        <f t="shared" si="8"/>
        <v>524</v>
      </c>
      <c r="L11" s="364">
        <f t="shared" si="8"/>
        <v>212</v>
      </c>
      <c r="M11" s="364">
        <f t="shared" si="8"/>
        <v>312</v>
      </c>
      <c r="N11" s="364">
        <f t="shared" si="8"/>
        <v>36</v>
      </c>
      <c r="O11" s="364">
        <f t="shared" si="8"/>
        <v>6</v>
      </c>
      <c r="P11" s="364">
        <f t="shared" si="8"/>
        <v>30</v>
      </c>
      <c r="Q11" s="364">
        <f t="shared" si="8"/>
        <v>4</v>
      </c>
      <c r="R11" s="364">
        <f t="shared" si="8"/>
        <v>0</v>
      </c>
      <c r="S11" s="364">
        <f t="shared" si="9"/>
        <v>4</v>
      </c>
      <c r="T11" s="353" t="s">
        <v>12</v>
      </c>
      <c r="U11" s="363"/>
      <c r="V11" s="141"/>
    </row>
    <row r="12" spans="2:25" ht="18.75" customHeight="1" thickBot="1" x14ac:dyDescent="0.25">
      <c r="B12" s="606"/>
      <c r="C12" s="606"/>
      <c r="D12" s="606"/>
      <c r="E12" s="606"/>
      <c r="F12" s="606"/>
      <c r="G12" s="606"/>
      <c r="H12" s="606"/>
      <c r="I12" s="606"/>
      <c r="J12" s="606"/>
      <c r="K12" s="606"/>
      <c r="L12" s="606"/>
      <c r="M12" s="606"/>
      <c r="N12" s="606"/>
      <c r="O12" s="606"/>
      <c r="P12" s="606"/>
      <c r="Q12" s="606"/>
      <c r="R12" s="606"/>
      <c r="S12" s="606"/>
      <c r="T12" s="606"/>
      <c r="U12" s="606"/>
      <c r="V12" s="141"/>
    </row>
    <row r="13" spans="2:25" ht="13.5" customHeight="1" thickBot="1" x14ac:dyDescent="0.25">
      <c r="B13" s="607" t="s">
        <v>4</v>
      </c>
      <c r="C13" s="607"/>
      <c r="D13" s="607"/>
      <c r="E13" s="607" t="s">
        <v>53</v>
      </c>
      <c r="F13" s="607"/>
      <c r="G13" s="607"/>
      <c r="H13" s="607" t="s">
        <v>61</v>
      </c>
      <c r="I13" s="607"/>
      <c r="J13" s="607"/>
      <c r="K13" s="607" t="s">
        <v>60</v>
      </c>
      <c r="L13" s="607"/>
      <c r="M13" s="607"/>
      <c r="N13" s="607" t="s">
        <v>57</v>
      </c>
      <c r="O13" s="607"/>
      <c r="P13" s="607"/>
      <c r="Q13" s="607" t="s">
        <v>56</v>
      </c>
      <c r="R13" s="607"/>
      <c r="S13" s="607"/>
      <c r="T13" s="608" t="s">
        <v>792</v>
      </c>
      <c r="U13" s="347" t="s">
        <v>144</v>
      </c>
      <c r="V13" s="141"/>
    </row>
    <row r="14" spans="2:25" ht="13.5" thickBot="1" x14ac:dyDescent="0.25">
      <c r="B14" s="347" t="s">
        <v>227</v>
      </c>
      <c r="C14" s="347" t="s">
        <v>10</v>
      </c>
      <c r="D14" s="347" t="s">
        <v>9</v>
      </c>
      <c r="E14" s="347" t="s">
        <v>227</v>
      </c>
      <c r="F14" s="347" t="s">
        <v>10</v>
      </c>
      <c r="G14" s="347" t="s">
        <v>9</v>
      </c>
      <c r="H14" s="347" t="s">
        <v>227</v>
      </c>
      <c r="I14" s="347" t="s">
        <v>10</v>
      </c>
      <c r="J14" s="347" t="s">
        <v>9</v>
      </c>
      <c r="K14" s="347" t="s">
        <v>227</v>
      </c>
      <c r="L14" s="347" t="s">
        <v>10</v>
      </c>
      <c r="M14" s="347" t="s">
        <v>9</v>
      </c>
      <c r="N14" s="347" t="s">
        <v>227</v>
      </c>
      <c r="O14" s="347" t="s">
        <v>10</v>
      </c>
      <c r="P14" s="347" t="s">
        <v>9</v>
      </c>
      <c r="Q14" s="347" t="s">
        <v>227</v>
      </c>
      <c r="R14" s="347" t="s">
        <v>10</v>
      </c>
      <c r="S14" s="347" t="s">
        <v>9</v>
      </c>
      <c r="T14" s="609"/>
      <c r="U14" s="363" t="s">
        <v>147</v>
      </c>
      <c r="V14" s="141"/>
    </row>
    <row r="15" spans="2:25" ht="13.5" thickBot="1" x14ac:dyDescent="0.25">
      <c r="B15" s="364">
        <f>SUM(C15:D15)</f>
        <v>614</v>
      </c>
      <c r="C15" s="364">
        <f>R15+O15+L15+I15+F15</f>
        <v>3</v>
      </c>
      <c r="D15" s="364">
        <f>S15+P15+M15+J15+G15</f>
        <v>611</v>
      </c>
      <c r="E15" s="364">
        <f>SUM(F15:G15)</f>
        <v>472</v>
      </c>
      <c r="F15" s="364">
        <v>1</v>
      </c>
      <c r="G15" s="364">
        <v>471</v>
      </c>
      <c r="H15" s="364">
        <f>SUM(I15:J15)</f>
        <v>13</v>
      </c>
      <c r="I15" s="364">
        <v>0</v>
      </c>
      <c r="J15" s="364">
        <v>13</v>
      </c>
      <c r="K15" s="364">
        <f>SUM(L15:M15)</f>
        <v>124</v>
      </c>
      <c r="L15" s="364">
        <v>2</v>
      </c>
      <c r="M15" s="364">
        <v>122</v>
      </c>
      <c r="N15" s="364">
        <f>SUM(O15:P15)</f>
        <v>3</v>
      </c>
      <c r="O15" s="364">
        <v>0</v>
      </c>
      <c r="P15" s="364">
        <v>3</v>
      </c>
      <c r="Q15" s="364">
        <f>SUM(R15:S15)</f>
        <v>2</v>
      </c>
      <c r="R15" s="364">
        <v>0</v>
      </c>
      <c r="S15" s="364">
        <v>2</v>
      </c>
      <c r="T15" s="353" t="s">
        <v>146</v>
      </c>
      <c r="U15" s="365"/>
      <c r="V15" s="141"/>
    </row>
    <row r="16" spans="2:25" ht="13.5" thickBot="1" x14ac:dyDescent="0.25">
      <c r="B16" s="364">
        <f t="shared" ref="B16" si="10">SUM(C16:D16)</f>
        <v>2</v>
      </c>
      <c r="C16" s="364">
        <f t="shared" ref="C16:D16" si="11">R16+O16+L16+I16+F16</f>
        <v>0</v>
      </c>
      <c r="D16" s="364">
        <f t="shared" si="11"/>
        <v>2</v>
      </c>
      <c r="E16" s="364">
        <f t="shared" ref="E16" si="12">SUM(F16:G16)</f>
        <v>0</v>
      </c>
      <c r="F16" s="364">
        <v>0</v>
      </c>
      <c r="G16" s="364">
        <v>0</v>
      </c>
      <c r="H16" s="364">
        <f t="shared" ref="H16" si="13">SUM(I16:J16)</f>
        <v>0</v>
      </c>
      <c r="I16" s="364">
        <v>0</v>
      </c>
      <c r="J16" s="364">
        <v>0</v>
      </c>
      <c r="K16" s="364">
        <f t="shared" ref="K16" si="14">SUM(L16:M16)</f>
        <v>2</v>
      </c>
      <c r="L16" s="364">
        <v>0</v>
      </c>
      <c r="M16" s="364">
        <v>2</v>
      </c>
      <c r="N16" s="364">
        <f t="shared" ref="N16" si="15">SUM(O16:P16)</f>
        <v>0</v>
      </c>
      <c r="O16" s="364">
        <v>0</v>
      </c>
      <c r="P16" s="364">
        <v>0</v>
      </c>
      <c r="Q16" s="364">
        <f t="shared" ref="Q16" si="16">SUM(R16:S16)</f>
        <v>0</v>
      </c>
      <c r="R16" s="364">
        <v>0</v>
      </c>
      <c r="S16" s="364">
        <v>0</v>
      </c>
      <c r="T16" s="353" t="s">
        <v>145</v>
      </c>
      <c r="U16" s="365" t="s">
        <v>756</v>
      </c>
      <c r="V16" s="141"/>
    </row>
    <row r="17" spans="2:22" ht="13.5" thickBot="1" x14ac:dyDescent="0.25">
      <c r="B17" s="364">
        <f t="shared" ref="B17:R17" si="17">SUM(B15:B16)</f>
        <v>616</v>
      </c>
      <c r="C17" s="364">
        <f t="shared" si="17"/>
        <v>3</v>
      </c>
      <c r="D17" s="364">
        <f t="shared" si="17"/>
        <v>613</v>
      </c>
      <c r="E17" s="364">
        <f t="shared" si="17"/>
        <v>472</v>
      </c>
      <c r="F17" s="364">
        <f t="shared" si="17"/>
        <v>1</v>
      </c>
      <c r="G17" s="364">
        <f t="shared" si="17"/>
        <v>471</v>
      </c>
      <c r="H17" s="364">
        <f t="shared" si="17"/>
        <v>13</v>
      </c>
      <c r="I17" s="364">
        <f t="shared" si="17"/>
        <v>0</v>
      </c>
      <c r="J17" s="364">
        <f t="shared" si="17"/>
        <v>13</v>
      </c>
      <c r="K17" s="364">
        <f t="shared" si="17"/>
        <v>126</v>
      </c>
      <c r="L17" s="364">
        <f t="shared" si="17"/>
        <v>2</v>
      </c>
      <c r="M17" s="364">
        <f t="shared" si="17"/>
        <v>124</v>
      </c>
      <c r="N17" s="364">
        <f t="shared" si="17"/>
        <v>3</v>
      </c>
      <c r="O17" s="364">
        <f t="shared" si="17"/>
        <v>0</v>
      </c>
      <c r="P17" s="364">
        <f t="shared" si="17"/>
        <v>3</v>
      </c>
      <c r="Q17" s="364">
        <f t="shared" si="17"/>
        <v>2</v>
      </c>
      <c r="R17" s="364">
        <f t="shared" si="17"/>
        <v>0</v>
      </c>
      <c r="S17" s="364">
        <f>SUM(S15:S16)</f>
        <v>2</v>
      </c>
      <c r="T17" s="353" t="s">
        <v>12</v>
      </c>
      <c r="U17" s="366"/>
      <c r="V17" s="141"/>
    </row>
    <row r="18" spans="2:22" ht="13.5" thickBot="1" x14ac:dyDescent="0.25">
      <c r="B18" s="364">
        <f t="shared" ref="B18:R20" si="18">B15</f>
        <v>614</v>
      </c>
      <c r="C18" s="364">
        <f t="shared" si="18"/>
        <v>3</v>
      </c>
      <c r="D18" s="364">
        <f t="shared" si="18"/>
        <v>611</v>
      </c>
      <c r="E18" s="364">
        <f t="shared" si="18"/>
        <v>472</v>
      </c>
      <c r="F18" s="364">
        <f t="shared" si="18"/>
        <v>1</v>
      </c>
      <c r="G18" s="364">
        <f t="shared" si="18"/>
        <v>471</v>
      </c>
      <c r="H18" s="364">
        <f t="shared" si="18"/>
        <v>13</v>
      </c>
      <c r="I18" s="364">
        <f t="shared" si="18"/>
        <v>0</v>
      </c>
      <c r="J18" s="364">
        <f t="shared" si="18"/>
        <v>13</v>
      </c>
      <c r="K18" s="364">
        <f t="shared" si="18"/>
        <v>124</v>
      </c>
      <c r="L18" s="364">
        <f t="shared" si="18"/>
        <v>2</v>
      </c>
      <c r="M18" s="364">
        <f t="shared" si="18"/>
        <v>122</v>
      </c>
      <c r="N18" s="364">
        <f t="shared" si="18"/>
        <v>3</v>
      </c>
      <c r="O18" s="364">
        <f t="shared" si="18"/>
        <v>0</v>
      </c>
      <c r="P18" s="364">
        <f t="shared" si="18"/>
        <v>3</v>
      </c>
      <c r="Q18" s="364">
        <f t="shared" si="18"/>
        <v>2</v>
      </c>
      <c r="R18" s="364">
        <f t="shared" si="18"/>
        <v>0</v>
      </c>
      <c r="S18" s="364">
        <f>S15</f>
        <v>2</v>
      </c>
      <c r="T18" s="353" t="s">
        <v>146</v>
      </c>
      <c r="U18" s="367"/>
      <c r="V18" s="141"/>
    </row>
    <row r="19" spans="2:22" ht="13.5" thickBot="1" x14ac:dyDescent="0.25">
      <c r="B19" s="364">
        <f t="shared" si="18"/>
        <v>2</v>
      </c>
      <c r="C19" s="364">
        <f t="shared" si="18"/>
        <v>0</v>
      </c>
      <c r="D19" s="364">
        <f t="shared" si="18"/>
        <v>2</v>
      </c>
      <c r="E19" s="364">
        <f t="shared" si="18"/>
        <v>0</v>
      </c>
      <c r="F19" s="364">
        <f t="shared" si="18"/>
        <v>0</v>
      </c>
      <c r="G19" s="364">
        <f t="shared" si="18"/>
        <v>0</v>
      </c>
      <c r="H19" s="364">
        <f t="shared" si="18"/>
        <v>0</v>
      </c>
      <c r="I19" s="364">
        <f t="shared" si="18"/>
        <v>0</v>
      </c>
      <c r="J19" s="364">
        <f t="shared" si="18"/>
        <v>0</v>
      </c>
      <c r="K19" s="364">
        <f t="shared" si="18"/>
        <v>2</v>
      </c>
      <c r="L19" s="364">
        <f t="shared" si="18"/>
        <v>0</v>
      </c>
      <c r="M19" s="364">
        <f t="shared" si="18"/>
        <v>2</v>
      </c>
      <c r="N19" s="364">
        <f t="shared" si="18"/>
        <v>0</v>
      </c>
      <c r="O19" s="364">
        <f t="shared" si="18"/>
        <v>0</v>
      </c>
      <c r="P19" s="364">
        <f t="shared" si="18"/>
        <v>0</v>
      </c>
      <c r="Q19" s="364">
        <f t="shared" si="18"/>
        <v>0</v>
      </c>
      <c r="R19" s="364">
        <f t="shared" si="18"/>
        <v>0</v>
      </c>
      <c r="S19" s="364">
        <f t="shared" ref="S19:S20" si="19">S16</f>
        <v>0</v>
      </c>
      <c r="T19" s="353" t="s">
        <v>145</v>
      </c>
      <c r="U19" s="368" t="s">
        <v>188</v>
      </c>
      <c r="V19" s="141"/>
    </row>
    <row r="20" spans="2:22" ht="13.5" thickBot="1" x14ac:dyDescent="0.25">
      <c r="B20" s="364">
        <f t="shared" si="18"/>
        <v>616</v>
      </c>
      <c r="C20" s="364">
        <f t="shared" si="18"/>
        <v>3</v>
      </c>
      <c r="D20" s="364">
        <f t="shared" si="18"/>
        <v>613</v>
      </c>
      <c r="E20" s="364">
        <f t="shared" si="18"/>
        <v>472</v>
      </c>
      <c r="F20" s="364">
        <f t="shared" si="18"/>
        <v>1</v>
      </c>
      <c r="G20" s="364">
        <f t="shared" si="18"/>
        <v>471</v>
      </c>
      <c r="H20" s="364">
        <f t="shared" si="18"/>
        <v>13</v>
      </c>
      <c r="I20" s="364">
        <f t="shared" si="18"/>
        <v>0</v>
      </c>
      <c r="J20" s="364">
        <f t="shared" si="18"/>
        <v>13</v>
      </c>
      <c r="K20" s="364">
        <f t="shared" si="18"/>
        <v>126</v>
      </c>
      <c r="L20" s="364">
        <f t="shared" si="18"/>
        <v>2</v>
      </c>
      <c r="M20" s="364">
        <f t="shared" si="18"/>
        <v>124</v>
      </c>
      <c r="N20" s="364">
        <f t="shared" si="18"/>
        <v>3</v>
      </c>
      <c r="O20" s="364">
        <f t="shared" si="18"/>
        <v>0</v>
      </c>
      <c r="P20" s="364">
        <f t="shared" si="18"/>
        <v>3</v>
      </c>
      <c r="Q20" s="364">
        <f t="shared" si="18"/>
        <v>2</v>
      </c>
      <c r="R20" s="364">
        <f t="shared" si="18"/>
        <v>0</v>
      </c>
      <c r="S20" s="364">
        <f t="shared" si="19"/>
        <v>2</v>
      </c>
      <c r="T20" s="353" t="s">
        <v>12</v>
      </c>
      <c r="U20" s="363"/>
      <c r="V20" s="141"/>
    </row>
    <row r="21" spans="2:22" ht="18" customHeight="1" thickBot="1" x14ac:dyDescent="0.25">
      <c r="B21" s="610"/>
      <c r="C21" s="610"/>
      <c r="D21" s="610"/>
      <c r="E21" s="610"/>
      <c r="F21" s="610"/>
      <c r="G21" s="610"/>
      <c r="H21" s="610"/>
      <c r="I21" s="610"/>
      <c r="J21" s="610"/>
      <c r="K21" s="610"/>
      <c r="L21" s="610"/>
      <c r="M21" s="610"/>
      <c r="N21" s="610"/>
      <c r="O21" s="610"/>
      <c r="P21" s="610"/>
      <c r="Q21" s="610"/>
      <c r="R21" s="610"/>
      <c r="S21" s="610"/>
      <c r="T21" s="610"/>
      <c r="U21" s="610"/>
      <c r="V21" s="141"/>
    </row>
    <row r="22" spans="2:22" ht="13.5" customHeight="1" thickBot="1" x14ac:dyDescent="0.25">
      <c r="B22" s="607" t="s">
        <v>4</v>
      </c>
      <c r="C22" s="607"/>
      <c r="D22" s="607"/>
      <c r="E22" s="607" t="s">
        <v>53</v>
      </c>
      <c r="F22" s="607"/>
      <c r="G22" s="607"/>
      <c r="H22" s="607" t="s">
        <v>61</v>
      </c>
      <c r="I22" s="607"/>
      <c r="J22" s="607"/>
      <c r="K22" s="607" t="s">
        <v>60</v>
      </c>
      <c r="L22" s="607"/>
      <c r="M22" s="607"/>
      <c r="N22" s="607" t="s">
        <v>57</v>
      </c>
      <c r="O22" s="607"/>
      <c r="P22" s="607"/>
      <c r="Q22" s="607" t="s">
        <v>56</v>
      </c>
      <c r="R22" s="607"/>
      <c r="S22" s="607"/>
      <c r="T22" s="608" t="s">
        <v>792</v>
      </c>
      <c r="U22" s="347" t="s">
        <v>144</v>
      </c>
      <c r="V22" s="141"/>
    </row>
    <row r="23" spans="2:22" ht="13.5" thickBot="1" x14ac:dyDescent="0.25">
      <c r="B23" s="347" t="s">
        <v>227</v>
      </c>
      <c r="C23" s="347" t="s">
        <v>10</v>
      </c>
      <c r="D23" s="347" t="s">
        <v>9</v>
      </c>
      <c r="E23" s="347" t="s">
        <v>227</v>
      </c>
      <c r="F23" s="347" t="s">
        <v>10</v>
      </c>
      <c r="G23" s="347" t="s">
        <v>9</v>
      </c>
      <c r="H23" s="347" t="s">
        <v>227</v>
      </c>
      <c r="I23" s="347" t="s">
        <v>10</v>
      </c>
      <c r="J23" s="347" t="s">
        <v>9</v>
      </c>
      <c r="K23" s="347" t="s">
        <v>227</v>
      </c>
      <c r="L23" s="347" t="s">
        <v>10</v>
      </c>
      <c r="M23" s="347" t="s">
        <v>9</v>
      </c>
      <c r="N23" s="347" t="s">
        <v>227</v>
      </c>
      <c r="O23" s="347" t="s">
        <v>10</v>
      </c>
      <c r="P23" s="347" t="s">
        <v>9</v>
      </c>
      <c r="Q23" s="347" t="s">
        <v>227</v>
      </c>
      <c r="R23" s="347" t="s">
        <v>10</v>
      </c>
      <c r="S23" s="347" t="s">
        <v>9</v>
      </c>
      <c r="T23" s="609"/>
      <c r="U23" s="363" t="s">
        <v>70</v>
      </c>
      <c r="V23" s="141"/>
    </row>
    <row r="24" spans="2:22" ht="13.5" thickBot="1" x14ac:dyDescent="0.25">
      <c r="B24" s="364">
        <f>SUM(C24:D24)</f>
        <v>29</v>
      </c>
      <c r="C24" s="364">
        <f>R24+O24+L24+I24+F24</f>
        <v>4</v>
      </c>
      <c r="D24" s="364">
        <f>S24+P24+M24+J24+G24</f>
        <v>25</v>
      </c>
      <c r="E24" s="364">
        <f>SUM(F24:G24)</f>
        <v>0</v>
      </c>
      <c r="F24" s="364">
        <v>0</v>
      </c>
      <c r="G24" s="364">
        <v>0</v>
      </c>
      <c r="H24" s="364">
        <f>SUM(I24:J24)</f>
        <v>15</v>
      </c>
      <c r="I24" s="364">
        <v>1</v>
      </c>
      <c r="J24" s="364">
        <v>14</v>
      </c>
      <c r="K24" s="364">
        <f>SUM(L24:M24)</f>
        <v>14</v>
      </c>
      <c r="L24" s="364">
        <v>3</v>
      </c>
      <c r="M24" s="364">
        <v>11</v>
      </c>
      <c r="N24" s="364">
        <f>SUM(O24:P24)</f>
        <v>0</v>
      </c>
      <c r="O24" s="364">
        <v>0</v>
      </c>
      <c r="P24" s="364">
        <v>0</v>
      </c>
      <c r="Q24" s="364">
        <f>SUM(R24:S24)</f>
        <v>0</v>
      </c>
      <c r="R24" s="364">
        <v>0</v>
      </c>
      <c r="S24" s="364">
        <v>0</v>
      </c>
      <c r="T24" s="353" t="s">
        <v>146</v>
      </c>
      <c r="U24" s="365"/>
      <c r="V24" s="141"/>
    </row>
    <row r="25" spans="2:22" ht="13.5" thickBot="1" x14ac:dyDescent="0.25">
      <c r="B25" s="364">
        <f t="shared" ref="B25" si="20">SUM(C25:D25)</f>
        <v>0</v>
      </c>
      <c r="C25" s="364">
        <f t="shared" ref="C25:D25" si="21">R25+O25+L25+I25+F25</f>
        <v>0</v>
      </c>
      <c r="D25" s="364">
        <f t="shared" si="21"/>
        <v>0</v>
      </c>
      <c r="E25" s="364">
        <f t="shared" ref="E25:E67" si="22">SUM(F25:G25)</f>
        <v>0</v>
      </c>
      <c r="F25" s="364">
        <v>0</v>
      </c>
      <c r="G25" s="364">
        <v>0</v>
      </c>
      <c r="H25" s="364">
        <f t="shared" ref="H25:H67" si="23">SUM(I25:J25)</f>
        <v>0</v>
      </c>
      <c r="I25" s="364">
        <v>0</v>
      </c>
      <c r="J25" s="364">
        <v>0</v>
      </c>
      <c r="K25" s="364">
        <f t="shared" ref="K25:K67" si="24">SUM(L25:M25)</f>
        <v>0</v>
      </c>
      <c r="L25" s="364">
        <v>0</v>
      </c>
      <c r="M25" s="364">
        <v>0</v>
      </c>
      <c r="N25" s="364">
        <f t="shared" ref="N25:N67" si="25">SUM(O25:P25)</f>
        <v>0</v>
      </c>
      <c r="O25" s="364">
        <v>0</v>
      </c>
      <c r="P25" s="364">
        <v>0</v>
      </c>
      <c r="Q25" s="364">
        <f t="shared" ref="Q25:Q67" si="26">SUM(R25:S25)</f>
        <v>0</v>
      </c>
      <c r="R25" s="364">
        <v>0</v>
      </c>
      <c r="S25" s="364">
        <v>0</v>
      </c>
      <c r="T25" s="353" t="s">
        <v>145</v>
      </c>
      <c r="U25" s="365" t="s">
        <v>366</v>
      </c>
      <c r="V25" s="141"/>
    </row>
    <row r="26" spans="2:22" ht="13.5" thickBot="1" x14ac:dyDescent="0.25">
      <c r="B26" s="364">
        <f t="shared" ref="B26:R26" si="27">SUM(B24:B25)</f>
        <v>29</v>
      </c>
      <c r="C26" s="364">
        <f t="shared" si="27"/>
        <v>4</v>
      </c>
      <c r="D26" s="364">
        <f t="shared" si="27"/>
        <v>25</v>
      </c>
      <c r="E26" s="364">
        <f t="shared" si="27"/>
        <v>0</v>
      </c>
      <c r="F26" s="364">
        <f t="shared" si="27"/>
        <v>0</v>
      </c>
      <c r="G26" s="364">
        <f t="shared" si="27"/>
        <v>0</v>
      </c>
      <c r="H26" s="364">
        <f t="shared" si="27"/>
        <v>15</v>
      </c>
      <c r="I26" s="364">
        <f t="shared" si="27"/>
        <v>1</v>
      </c>
      <c r="J26" s="364">
        <f t="shared" si="27"/>
        <v>14</v>
      </c>
      <c r="K26" s="364">
        <f t="shared" si="27"/>
        <v>14</v>
      </c>
      <c r="L26" s="364">
        <f t="shared" si="27"/>
        <v>3</v>
      </c>
      <c r="M26" s="364">
        <f t="shared" si="27"/>
        <v>11</v>
      </c>
      <c r="N26" s="364">
        <f t="shared" si="27"/>
        <v>0</v>
      </c>
      <c r="O26" s="364">
        <f t="shared" si="27"/>
        <v>0</v>
      </c>
      <c r="P26" s="364">
        <f t="shared" si="27"/>
        <v>0</v>
      </c>
      <c r="Q26" s="364">
        <f t="shared" si="27"/>
        <v>0</v>
      </c>
      <c r="R26" s="364">
        <f t="shared" si="27"/>
        <v>0</v>
      </c>
      <c r="S26" s="364">
        <f>SUM(S24:S25)</f>
        <v>0</v>
      </c>
      <c r="T26" s="353" t="s">
        <v>12</v>
      </c>
      <c r="U26" s="366"/>
      <c r="V26" s="141"/>
    </row>
    <row r="27" spans="2:22" ht="13.5" thickBot="1" x14ac:dyDescent="0.25">
      <c r="B27" s="364">
        <f t="shared" ref="B27:B28" si="28">SUM(C27:D27)</f>
        <v>20</v>
      </c>
      <c r="C27" s="364">
        <f t="shared" ref="C27:D28" si="29">R27+O27+L27+I27+F27</f>
        <v>0</v>
      </c>
      <c r="D27" s="364">
        <f t="shared" si="29"/>
        <v>20</v>
      </c>
      <c r="E27" s="364">
        <f t="shared" si="22"/>
        <v>15</v>
      </c>
      <c r="F27" s="364">
        <v>0</v>
      </c>
      <c r="G27" s="364">
        <v>15</v>
      </c>
      <c r="H27" s="364">
        <f t="shared" si="23"/>
        <v>0</v>
      </c>
      <c r="I27" s="364">
        <v>0</v>
      </c>
      <c r="J27" s="364">
        <v>0</v>
      </c>
      <c r="K27" s="364">
        <f t="shared" si="24"/>
        <v>4</v>
      </c>
      <c r="L27" s="364">
        <v>0</v>
      </c>
      <c r="M27" s="364">
        <v>4</v>
      </c>
      <c r="N27" s="364">
        <f t="shared" si="25"/>
        <v>1</v>
      </c>
      <c r="O27" s="364">
        <v>0</v>
      </c>
      <c r="P27" s="364">
        <v>1</v>
      </c>
      <c r="Q27" s="364">
        <f t="shared" si="26"/>
        <v>0</v>
      </c>
      <c r="R27" s="364">
        <v>0</v>
      </c>
      <c r="S27" s="364">
        <v>0</v>
      </c>
      <c r="T27" s="353" t="s">
        <v>146</v>
      </c>
      <c r="U27" s="365"/>
      <c r="V27" s="141"/>
    </row>
    <row r="28" spans="2:22" ht="13.5" thickBot="1" x14ac:dyDescent="0.25">
      <c r="B28" s="364">
        <f t="shared" si="28"/>
        <v>0</v>
      </c>
      <c r="C28" s="364">
        <f t="shared" si="29"/>
        <v>0</v>
      </c>
      <c r="D28" s="364">
        <f t="shared" si="29"/>
        <v>0</v>
      </c>
      <c r="E28" s="364">
        <f t="shared" si="22"/>
        <v>0</v>
      </c>
      <c r="F28" s="364">
        <v>0</v>
      </c>
      <c r="G28" s="364">
        <v>0</v>
      </c>
      <c r="H28" s="364">
        <f t="shared" si="23"/>
        <v>0</v>
      </c>
      <c r="I28" s="364">
        <v>0</v>
      </c>
      <c r="J28" s="364">
        <v>0</v>
      </c>
      <c r="K28" s="364">
        <f t="shared" si="24"/>
        <v>0</v>
      </c>
      <c r="L28" s="364">
        <v>0</v>
      </c>
      <c r="M28" s="364">
        <v>0</v>
      </c>
      <c r="N28" s="364">
        <f t="shared" si="25"/>
        <v>0</v>
      </c>
      <c r="O28" s="364">
        <v>0</v>
      </c>
      <c r="P28" s="364">
        <v>0</v>
      </c>
      <c r="Q28" s="364">
        <f t="shared" si="26"/>
        <v>0</v>
      </c>
      <c r="R28" s="364">
        <v>0</v>
      </c>
      <c r="S28" s="364">
        <v>0</v>
      </c>
      <c r="T28" s="353" t="s">
        <v>145</v>
      </c>
      <c r="U28" s="365" t="s">
        <v>581</v>
      </c>
      <c r="V28" s="141"/>
    </row>
    <row r="29" spans="2:22" ht="13.5" thickBot="1" x14ac:dyDescent="0.25">
      <c r="B29" s="364">
        <f t="shared" ref="B29:R29" si="30">SUM(B27:B28)</f>
        <v>20</v>
      </c>
      <c r="C29" s="364">
        <f t="shared" si="30"/>
        <v>0</v>
      </c>
      <c r="D29" s="364">
        <f t="shared" si="30"/>
        <v>20</v>
      </c>
      <c r="E29" s="364">
        <f t="shared" si="30"/>
        <v>15</v>
      </c>
      <c r="F29" s="364">
        <f t="shared" si="30"/>
        <v>0</v>
      </c>
      <c r="G29" s="364">
        <f t="shared" si="30"/>
        <v>15</v>
      </c>
      <c r="H29" s="364">
        <f t="shared" si="30"/>
        <v>0</v>
      </c>
      <c r="I29" s="364">
        <f t="shared" si="30"/>
        <v>0</v>
      </c>
      <c r="J29" s="364">
        <f t="shared" si="30"/>
        <v>0</v>
      </c>
      <c r="K29" s="364">
        <f t="shared" si="30"/>
        <v>4</v>
      </c>
      <c r="L29" s="364">
        <f t="shared" si="30"/>
        <v>0</v>
      </c>
      <c r="M29" s="364">
        <f t="shared" si="30"/>
        <v>4</v>
      </c>
      <c r="N29" s="364">
        <f t="shared" si="30"/>
        <v>1</v>
      </c>
      <c r="O29" s="364">
        <f t="shared" si="30"/>
        <v>0</v>
      </c>
      <c r="P29" s="364">
        <f t="shared" si="30"/>
        <v>1</v>
      </c>
      <c r="Q29" s="364">
        <f t="shared" si="30"/>
        <v>0</v>
      </c>
      <c r="R29" s="364">
        <f t="shared" si="30"/>
        <v>0</v>
      </c>
      <c r="S29" s="364">
        <f>SUM(S27:S28)</f>
        <v>0</v>
      </c>
      <c r="T29" s="353" t="s">
        <v>12</v>
      </c>
      <c r="U29" s="366"/>
      <c r="V29" s="141"/>
    </row>
    <row r="30" spans="2:22" ht="13.5" thickBot="1" x14ac:dyDescent="0.25">
      <c r="B30" s="364">
        <f t="shared" ref="B30:B31" si="31">SUM(C30:D30)</f>
        <v>25</v>
      </c>
      <c r="C30" s="364">
        <f t="shared" ref="C30:D31" si="32">R30+O30+L30+I30+F30</f>
        <v>0</v>
      </c>
      <c r="D30" s="364">
        <f t="shared" si="32"/>
        <v>25</v>
      </c>
      <c r="E30" s="364">
        <f t="shared" si="22"/>
        <v>4</v>
      </c>
      <c r="F30" s="364">
        <v>0</v>
      </c>
      <c r="G30" s="364">
        <v>4</v>
      </c>
      <c r="H30" s="364">
        <f t="shared" si="23"/>
        <v>13</v>
      </c>
      <c r="I30" s="364">
        <v>0</v>
      </c>
      <c r="J30" s="364">
        <v>13</v>
      </c>
      <c r="K30" s="364">
        <f t="shared" si="24"/>
        <v>7</v>
      </c>
      <c r="L30" s="364">
        <v>0</v>
      </c>
      <c r="M30" s="364">
        <v>7</v>
      </c>
      <c r="N30" s="364">
        <f t="shared" si="25"/>
        <v>1</v>
      </c>
      <c r="O30" s="364">
        <v>0</v>
      </c>
      <c r="P30" s="364">
        <v>1</v>
      </c>
      <c r="Q30" s="364">
        <f t="shared" si="26"/>
        <v>0</v>
      </c>
      <c r="R30" s="364">
        <v>0</v>
      </c>
      <c r="S30" s="364">
        <v>0</v>
      </c>
      <c r="T30" s="353" t="s">
        <v>146</v>
      </c>
      <c r="U30" s="365"/>
      <c r="V30" s="141"/>
    </row>
    <row r="31" spans="2:22" ht="13.5" thickBot="1" x14ac:dyDescent="0.25">
      <c r="B31" s="364">
        <f t="shared" si="31"/>
        <v>0</v>
      </c>
      <c r="C31" s="364">
        <f t="shared" si="32"/>
        <v>0</v>
      </c>
      <c r="D31" s="364">
        <f t="shared" si="32"/>
        <v>0</v>
      </c>
      <c r="E31" s="364">
        <f t="shared" si="22"/>
        <v>0</v>
      </c>
      <c r="F31" s="364">
        <v>0</v>
      </c>
      <c r="G31" s="364">
        <v>0</v>
      </c>
      <c r="H31" s="364">
        <f t="shared" si="23"/>
        <v>0</v>
      </c>
      <c r="I31" s="364">
        <v>0</v>
      </c>
      <c r="J31" s="364">
        <v>0</v>
      </c>
      <c r="K31" s="364">
        <f t="shared" si="24"/>
        <v>0</v>
      </c>
      <c r="L31" s="364">
        <v>0</v>
      </c>
      <c r="M31" s="364">
        <v>0</v>
      </c>
      <c r="N31" s="364">
        <f t="shared" si="25"/>
        <v>0</v>
      </c>
      <c r="O31" s="364">
        <v>0</v>
      </c>
      <c r="P31" s="364">
        <v>0</v>
      </c>
      <c r="Q31" s="364">
        <f t="shared" si="26"/>
        <v>0</v>
      </c>
      <c r="R31" s="364">
        <v>0</v>
      </c>
      <c r="S31" s="364">
        <v>0</v>
      </c>
      <c r="T31" s="353" t="s">
        <v>145</v>
      </c>
      <c r="U31" s="365" t="s">
        <v>361</v>
      </c>
      <c r="V31" s="141"/>
    </row>
    <row r="32" spans="2:22" ht="13.5" thickBot="1" x14ac:dyDescent="0.25">
      <c r="B32" s="364">
        <f t="shared" ref="B32:R32" si="33">SUM(B30:B31)</f>
        <v>25</v>
      </c>
      <c r="C32" s="364">
        <f t="shared" si="33"/>
        <v>0</v>
      </c>
      <c r="D32" s="364">
        <f t="shared" si="33"/>
        <v>25</v>
      </c>
      <c r="E32" s="364">
        <f t="shared" si="33"/>
        <v>4</v>
      </c>
      <c r="F32" s="364">
        <f t="shared" si="33"/>
        <v>0</v>
      </c>
      <c r="G32" s="364">
        <f t="shared" si="33"/>
        <v>4</v>
      </c>
      <c r="H32" s="364">
        <f t="shared" si="33"/>
        <v>13</v>
      </c>
      <c r="I32" s="364">
        <f t="shared" si="33"/>
        <v>0</v>
      </c>
      <c r="J32" s="364">
        <f t="shared" si="33"/>
        <v>13</v>
      </c>
      <c r="K32" s="364">
        <f t="shared" si="33"/>
        <v>7</v>
      </c>
      <c r="L32" s="364">
        <f t="shared" si="33"/>
        <v>0</v>
      </c>
      <c r="M32" s="364">
        <f t="shared" si="33"/>
        <v>7</v>
      </c>
      <c r="N32" s="364">
        <f t="shared" si="33"/>
        <v>1</v>
      </c>
      <c r="O32" s="364">
        <f t="shared" si="33"/>
        <v>0</v>
      </c>
      <c r="P32" s="364">
        <f t="shared" si="33"/>
        <v>1</v>
      </c>
      <c r="Q32" s="364">
        <f t="shared" si="33"/>
        <v>0</v>
      </c>
      <c r="R32" s="364">
        <f t="shared" si="33"/>
        <v>0</v>
      </c>
      <c r="S32" s="364">
        <f>SUM(S30:S31)</f>
        <v>0</v>
      </c>
      <c r="T32" s="353" t="s">
        <v>12</v>
      </c>
      <c r="U32" s="366"/>
      <c r="V32" s="141"/>
    </row>
    <row r="33" spans="2:22" ht="13.5" thickBot="1" x14ac:dyDescent="0.25">
      <c r="B33" s="364">
        <f t="shared" ref="B33:B34" si="34">SUM(C33:D33)</f>
        <v>23</v>
      </c>
      <c r="C33" s="364">
        <f t="shared" ref="C33:D34" si="35">R33+O33+L33+I33+F33</f>
        <v>0</v>
      </c>
      <c r="D33" s="364">
        <f t="shared" si="35"/>
        <v>23</v>
      </c>
      <c r="E33" s="364">
        <f t="shared" si="22"/>
        <v>13</v>
      </c>
      <c r="F33" s="364">
        <v>0</v>
      </c>
      <c r="G33" s="364">
        <v>13</v>
      </c>
      <c r="H33" s="364">
        <f t="shared" si="23"/>
        <v>0</v>
      </c>
      <c r="I33" s="364">
        <v>0</v>
      </c>
      <c r="J33" s="364">
        <v>0</v>
      </c>
      <c r="K33" s="364">
        <f t="shared" si="24"/>
        <v>9</v>
      </c>
      <c r="L33" s="364">
        <v>0</v>
      </c>
      <c r="M33" s="364">
        <v>9</v>
      </c>
      <c r="N33" s="364">
        <f t="shared" si="25"/>
        <v>1</v>
      </c>
      <c r="O33" s="364">
        <v>0</v>
      </c>
      <c r="P33" s="364">
        <v>1</v>
      </c>
      <c r="Q33" s="364">
        <f t="shared" si="26"/>
        <v>0</v>
      </c>
      <c r="R33" s="364">
        <v>0</v>
      </c>
      <c r="S33" s="364">
        <v>0</v>
      </c>
      <c r="T33" s="353" t="s">
        <v>146</v>
      </c>
      <c r="U33" s="365"/>
      <c r="V33" s="141"/>
    </row>
    <row r="34" spans="2:22" ht="13.5" thickBot="1" x14ac:dyDescent="0.25">
      <c r="B34" s="364">
        <f t="shared" si="34"/>
        <v>0</v>
      </c>
      <c r="C34" s="364">
        <f t="shared" si="35"/>
        <v>0</v>
      </c>
      <c r="D34" s="364">
        <f t="shared" si="35"/>
        <v>0</v>
      </c>
      <c r="E34" s="364">
        <f t="shared" si="22"/>
        <v>0</v>
      </c>
      <c r="F34" s="364">
        <v>0</v>
      </c>
      <c r="G34" s="364">
        <v>0</v>
      </c>
      <c r="H34" s="364">
        <f t="shared" si="23"/>
        <v>0</v>
      </c>
      <c r="I34" s="364">
        <v>0</v>
      </c>
      <c r="J34" s="364">
        <v>0</v>
      </c>
      <c r="K34" s="364">
        <f t="shared" si="24"/>
        <v>0</v>
      </c>
      <c r="L34" s="364">
        <v>0</v>
      </c>
      <c r="M34" s="364">
        <v>0</v>
      </c>
      <c r="N34" s="364">
        <f t="shared" si="25"/>
        <v>0</v>
      </c>
      <c r="O34" s="364">
        <v>0</v>
      </c>
      <c r="P34" s="364">
        <v>0</v>
      </c>
      <c r="Q34" s="364">
        <f t="shared" si="26"/>
        <v>0</v>
      </c>
      <c r="R34" s="364">
        <v>0</v>
      </c>
      <c r="S34" s="364">
        <v>0</v>
      </c>
      <c r="T34" s="353" t="s">
        <v>145</v>
      </c>
      <c r="U34" s="365" t="s">
        <v>753</v>
      </c>
      <c r="V34" s="141"/>
    </row>
    <row r="35" spans="2:22" ht="13.5" thickBot="1" x14ac:dyDescent="0.25">
      <c r="B35" s="364">
        <f t="shared" ref="B35:R35" si="36">SUM(B33:B34)</f>
        <v>23</v>
      </c>
      <c r="C35" s="364">
        <f t="shared" si="36"/>
        <v>0</v>
      </c>
      <c r="D35" s="364">
        <f t="shared" si="36"/>
        <v>23</v>
      </c>
      <c r="E35" s="364">
        <f t="shared" si="36"/>
        <v>13</v>
      </c>
      <c r="F35" s="364">
        <f t="shared" si="36"/>
        <v>0</v>
      </c>
      <c r="G35" s="364">
        <f t="shared" si="36"/>
        <v>13</v>
      </c>
      <c r="H35" s="364">
        <f t="shared" si="36"/>
        <v>0</v>
      </c>
      <c r="I35" s="364">
        <f t="shared" si="36"/>
        <v>0</v>
      </c>
      <c r="J35" s="364">
        <f t="shared" si="36"/>
        <v>0</v>
      </c>
      <c r="K35" s="364">
        <f t="shared" si="36"/>
        <v>9</v>
      </c>
      <c r="L35" s="364">
        <f t="shared" si="36"/>
        <v>0</v>
      </c>
      <c r="M35" s="364">
        <f t="shared" si="36"/>
        <v>9</v>
      </c>
      <c r="N35" s="364">
        <f t="shared" si="36"/>
        <v>1</v>
      </c>
      <c r="O35" s="364">
        <f t="shared" si="36"/>
        <v>0</v>
      </c>
      <c r="P35" s="364">
        <f t="shared" si="36"/>
        <v>1</v>
      </c>
      <c r="Q35" s="364">
        <f t="shared" si="36"/>
        <v>0</v>
      </c>
      <c r="R35" s="364">
        <f t="shared" si="36"/>
        <v>0</v>
      </c>
      <c r="S35" s="364">
        <f>SUM(S33:S34)</f>
        <v>0</v>
      </c>
      <c r="T35" s="353" t="s">
        <v>12</v>
      </c>
      <c r="U35" s="366"/>
      <c r="V35" s="141"/>
    </row>
    <row r="36" spans="2:22" ht="13.5" thickBot="1" x14ac:dyDescent="0.25">
      <c r="B36" s="364">
        <f t="shared" ref="B36:B37" si="37">SUM(C36:D36)</f>
        <v>21</v>
      </c>
      <c r="C36" s="364">
        <f t="shared" ref="C36:D37" si="38">R36+O36+L36+I36+F36</f>
        <v>0</v>
      </c>
      <c r="D36" s="364">
        <f t="shared" si="38"/>
        <v>21</v>
      </c>
      <c r="E36" s="364">
        <f t="shared" si="22"/>
        <v>13</v>
      </c>
      <c r="F36" s="364">
        <v>0</v>
      </c>
      <c r="G36" s="364">
        <v>13</v>
      </c>
      <c r="H36" s="364">
        <f t="shared" si="23"/>
        <v>0</v>
      </c>
      <c r="I36" s="364">
        <v>0</v>
      </c>
      <c r="J36" s="364">
        <v>0</v>
      </c>
      <c r="K36" s="364">
        <f t="shared" si="24"/>
        <v>8</v>
      </c>
      <c r="L36" s="364">
        <v>0</v>
      </c>
      <c r="M36" s="364">
        <v>8</v>
      </c>
      <c r="N36" s="364">
        <f t="shared" si="25"/>
        <v>0</v>
      </c>
      <c r="O36" s="364">
        <v>0</v>
      </c>
      <c r="P36" s="364">
        <v>0</v>
      </c>
      <c r="Q36" s="364">
        <f t="shared" si="26"/>
        <v>0</v>
      </c>
      <c r="R36" s="364">
        <v>0</v>
      </c>
      <c r="S36" s="364">
        <v>0</v>
      </c>
      <c r="T36" s="353" t="s">
        <v>146</v>
      </c>
      <c r="U36" s="365"/>
      <c r="V36" s="141"/>
    </row>
    <row r="37" spans="2:22" ht="13.5" thickBot="1" x14ac:dyDescent="0.25">
      <c r="B37" s="364">
        <f t="shared" si="37"/>
        <v>0</v>
      </c>
      <c r="C37" s="364">
        <f t="shared" si="38"/>
        <v>0</v>
      </c>
      <c r="D37" s="364">
        <f t="shared" si="38"/>
        <v>0</v>
      </c>
      <c r="E37" s="364">
        <f t="shared" si="22"/>
        <v>0</v>
      </c>
      <c r="F37" s="364">
        <v>0</v>
      </c>
      <c r="G37" s="364">
        <v>0</v>
      </c>
      <c r="H37" s="364">
        <f t="shared" si="23"/>
        <v>0</v>
      </c>
      <c r="I37" s="364">
        <v>0</v>
      </c>
      <c r="J37" s="364">
        <v>0</v>
      </c>
      <c r="K37" s="364">
        <f t="shared" si="24"/>
        <v>0</v>
      </c>
      <c r="L37" s="364">
        <v>0</v>
      </c>
      <c r="M37" s="364">
        <v>0</v>
      </c>
      <c r="N37" s="364">
        <f t="shared" si="25"/>
        <v>0</v>
      </c>
      <c r="O37" s="364">
        <v>0</v>
      </c>
      <c r="P37" s="364">
        <v>0</v>
      </c>
      <c r="Q37" s="364">
        <f t="shared" si="26"/>
        <v>0</v>
      </c>
      <c r="R37" s="364">
        <v>0</v>
      </c>
      <c r="S37" s="364">
        <v>0</v>
      </c>
      <c r="T37" s="353" t="s">
        <v>145</v>
      </c>
      <c r="U37" s="365" t="s">
        <v>364</v>
      </c>
      <c r="V37" s="141"/>
    </row>
    <row r="38" spans="2:22" ht="13.5" thickBot="1" x14ac:dyDescent="0.25">
      <c r="B38" s="364">
        <f t="shared" ref="B38:R38" si="39">SUM(B36:B37)</f>
        <v>21</v>
      </c>
      <c r="C38" s="364">
        <f t="shared" si="39"/>
        <v>0</v>
      </c>
      <c r="D38" s="364">
        <f t="shared" si="39"/>
        <v>21</v>
      </c>
      <c r="E38" s="364">
        <f t="shared" si="39"/>
        <v>13</v>
      </c>
      <c r="F38" s="364">
        <f t="shared" si="39"/>
        <v>0</v>
      </c>
      <c r="G38" s="364">
        <f t="shared" si="39"/>
        <v>13</v>
      </c>
      <c r="H38" s="364">
        <f t="shared" si="39"/>
        <v>0</v>
      </c>
      <c r="I38" s="364">
        <f t="shared" si="39"/>
        <v>0</v>
      </c>
      <c r="J38" s="364">
        <f t="shared" si="39"/>
        <v>0</v>
      </c>
      <c r="K38" s="364">
        <f t="shared" si="39"/>
        <v>8</v>
      </c>
      <c r="L38" s="364">
        <f t="shared" si="39"/>
        <v>0</v>
      </c>
      <c r="M38" s="364">
        <f t="shared" si="39"/>
        <v>8</v>
      </c>
      <c r="N38" s="364">
        <f t="shared" si="39"/>
        <v>0</v>
      </c>
      <c r="O38" s="364">
        <f t="shared" si="39"/>
        <v>0</v>
      </c>
      <c r="P38" s="364">
        <f t="shared" si="39"/>
        <v>0</v>
      </c>
      <c r="Q38" s="364">
        <f t="shared" si="39"/>
        <v>0</v>
      </c>
      <c r="R38" s="364">
        <f t="shared" si="39"/>
        <v>0</v>
      </c>
      <c r="S38" s="364">
        <f>SUM(S36:S37)</f>
        <v>0</v>
      </c>
      <c r="T38" s="353" t="s">
        <v>12</v>
      </c>
      <c r="U38" s="366"/>
      <c r="V38" s="141"/>
    </row>
    <row r="39" spans="2:22" ht="13.5" thickBot="1" x14ac:dyDescent="0.25">
      <c r="B39" s="364">
        <f t="shared" ref="B39:B40" si="40">SUM(C39:D39)</f>
        <v>28</v>
      </c>
      <c r="C39" s="364">
        <f t="shared" ref="C39:D40" si="41">R39+O39+L39+I39+F39</f>
        <v>5</v>
      </c>
      <c r="D39" s="364">
        <f t="shared" si="41"/>
        <v>23</v>
      </c>
      <c r="E39" s="364">
        <f t="shared" si="22"/>
        <v>11</v>
      </c>
      <c r="F39" s="364">
        <v>2</v>
      </c>
      <c r="G39" s="364">
        <v>9</v>
      </c>
      <c r="H39" s="364">
        <f t="shared" si="23"/>
        <v>8</v>
      </c>
      <c r="I39" s="364">
        <v>1</v>
      </c>
      <c r="J39" s="364">
        <v>7</v>
      </c>
      <c r="K39" s="364">
        <f t="shared" si="24"/>
        <v>9</v>
      </c>
      <c r="L39" s="364">
        <v>2</v>
      </c>
      <c r="M39" s="364">
        <v>7</v>
      </c>
      <c r="N39" s="364">
        <f t="shared" si="25"/>
        <v>0</v>
      </c>
      <c r="O39" s="364">
        <v>0</v>
      </c>
      <c r="P39" s="364">
        <v>0</v>
      </c>
      <c r="Q39" s="364">
        <f t="shared" si="26"/>
        <v>0</v>
      </c>
      <c r="R39" s="364">
        <v>0</v>
      </c>
      <c r="S39" s="364">
        <v>0</v>
      </c>
      <c r="T39" s="353" t="s">
        <v>146</v>
      </c>
      <c r="U39" s="365"/>
      <c r="V39" s="141"/>
    </row>
    <row r="40" spans="2:22" ht="13.5" thickBot="1" x14ac:dyDescent="0.25">
      <c r="B40" s="364">
        <f t="shared" si="40"/>
        <v>0</v>
      </c>
      <c r="C40" s="364">
        <f t="shared" si="41"/>
        <v>0</v>
      </c>
      <c r="D40" s="364">
        <f t="shared" si="41"/>
        <v>0</v>
      </c>
      <c r="E40" s="364">
        <f t="shared" si="22"/>
        <v>0</v>
      </c>
      <c r="F40" s="364">
        <v>0</v>
      </c>
      <c r="G40" s="364">
        <v>0</v>
      </c>
      <c r="H40" s="364">
        <f t="shared" si="23"/>
        <v>0</v>
      </c>
      <c r="I40" s="364">
        <v>0</v>
      </c>
      <c r="J40" s="364">
        <v>0</v>
      </c>
      <c r="K40" s="364">
        <f t="shared" si="24"/>
        <v>0</v>
      </c>
      <c r="L40" s="364">
        <v>0</v>
      </c>
      <c r="M40" s="364">
        <v>0</v>
      </c>
      <c r="N40" s="364">
        <f t="shared" si="25"/>
        <v>0</v>
      </c>
      <c r="O40" s="364">
        <v>0</v>
      </c>
      <c r="P40" s="364">
        <v>0</v>
      </c>
      <c r="Q40" s="364">
        <f t="shared" si="26"/>
        <v>0</v>
      </c>
      <c r="R40" s="364">
        <v>0</v>
      </c>
      <c r="S40" s="364">
        <v>0</v>
      </c>
      <c r="T40" s="353" t="s">
        <v>145</v>
      </c>
      <c r="U40" s="365" t="s">
        <v>365</v>
      </c>
      <c r="V40" s="141"/>
    </row>
    <row r="41" spans="2:22" ht="13.5" thickBot="1" x14ac:dyDescent="0.25">
      <c r="B41" s="364">
        <f t="shared" ref="B41:R41" si="42">SUM(B39:B40)</f>
        <v>28</v>
      </c>
      <c r="C41" s="364">
        <f t="shared" si="42"/>
        <v>5</v>
      </c>
      <c r="D41" s="364">
        <f t="shared" si="42"/>
        <v>23</v>
      </c>
      <c r="E41" s="364">
        <f t="shared" si="42"/>
        <v>11</v>
      </c>
      <c r="F41" s="364">
        <f t="shared" si="42"/>
        <v>2</v>
      </c>
      <c r="G41" s="364">
        <f t="shared" si="42"/>
        <v>9</v>
      </c>
      <c r="H41" s="364">
        <f t="shared" si="42"/>
        <v>8</v>
      </c>
      <c r="I41" s="364">
        <f t="shared" si="42"/>
        <v>1</v>
      </c>
      <c r="J41" s="364">
        <f t="shared" si="42"/>
        <v>7</v>
      </c>
      <c r="K41" s="364">
        <f t="shared" si="42"/>
        <v>9</v>
      </c>
      <c r="L41" s="364">
        <f t="shared" si="42"/>
        <v>2</v>
      </c>
      <c r="M41" s="364">
        <f t="shared" si="42"/>
        <v>7</v>
      </c>
      <c r="N41" s="364">
        <f t="shared" si="42"/>
        <v>0</v>
      </c>
      <c r="O41" s="364">
        <f t="shared" si="42"/>
        <v>0</v>
      </c>
      <c r="P41" s="364">
        <f t="shared" si="42"/>
        <v>0</v>
      </c>
      <c r="Q41" s="364">
        <f t="shared" si="42"/>
        <v>0</v>
      </c>
      <c r="R41" s="364">
        <f t="shared" si="42"/>
        <v>0</v>
      </c>
      <c r="S41" s="364">
        <f>SUM(S39:S40)</f>
        <v>0</v>
      </c>
      <c r="T41" s="353" t="s">
        <v>12</v>
      </c>
      <c r="U41" s="366"/>
      <c r="V41" s="141"/>
    </row>
    <row r="42" spans="2:22" ht="13.5" thickBot="1" x14ac:dyDescent="0.25">
      <c r="B42" s="364">
        <f t="shared" ref="B42:B43" si="43">SUM(C42:D42)</f>
        <v>20</v>
      </c>
      <c r="C42" s="364">
        <f t="shared" ref="C42:D43" si="44">R42+O42+L42+I42+F42</f>
        <v>0</v>
      </c>
      <c r="D42" s="364">
        <f t="shared" si="44"/>
        <v>20</v>
      </c>
      <c r="E42" s="364">
        <f t="shared" si="22"/>
        <v>12</v>
      </c>
      <c r="F42" s="364">
        <v>0</v>
      </c>
      <c r="G42" s="364">
        <v>12</v>
      </c>
      <c r="H42" s="364">
        <f t="shared" si="23"/>
        <v>4</v>
      </c>
      <c r="I42" s="364">
        <v>0</v>
      </c>
      <c r="J42" s="364">
        <v>4</v>
      </c>
      <c r="K42" s="364">
        <f t="shared" si="24"/>
        <v>4</v>
      </c>
      <c r="L42" s="364">
        <v>0</v>
      </c>
      <c r="M42" s="364">
        <v>4</v>
      </c>
      <c r="N42" s="364">
        <f t="shared" si="25"/>
        <v>0</v>
      </c>
      <c r="O42" s="364">
        <v>0</v>
      </c>
      <c r="P42" s="364">
        <v>0</v>
      </c>
      <c r="Q42" s="364">
        <f t="shared" si="26"/>
        <v>0</v>
      </c>
      <c r="R42" s="364">
        <v>0</v>
      </c>
      <c r="S42" s="364">
        <v>0</v>
      </c>
      <c r="T42" s="353" t="s">
        <v>146</v>
      </c>
      <c r="U42" s="365"/>
      <c r="V42" s="141"/>
    </row>
    <row r="43" spans="2:22" ht="13.5" thickBot="1" x14ac:dyDescent="0.25">
      <c r="B43" s="364">
        <f t="shared" si="43"/>
        <v>0</v>
      </c>
      <c r="C43" s="364">
        <f t="shared" si="44"/>
        <v>0</v>
      </c>
      <c r="D43" s="364">
        <f t="shared" si="44"/>
        <v>0</v>
      </c>
      <c r="E43" s="364">
        <f t="shared" si="22"/>
        <v>0</v>
      </c>
      <c r="F43" s="364">
        <v>0</v>
      </c>
      <c r="G43" s="364">
        <v>0</v>
      </c>
      <c r="H43" s="364">
        <f t="shared" si="23"/>
        <v>0</v>
      </c>
      <c r="I43" s="364">
        <v>0</v>
      </c>
      <c r="J43" s="364">
        <v>0</v>
      </c>
      <c r="K43" s="364">
        <f t="shared" si="24"/>
        <v>0</v>
      </c>
      <c r="L43" s="364">
        <v>0</v>
      </c>
      <c r="M43" s="364">
        <v>0</v>
      </c>
      <c r="N43" s="364">
        <f t="shared" si="25"/>
        <v>0</v>
      </c>
      <c r="O43" s="364">
        <v>0</v>
      </c>
      <c r="P43" s="364">
        <v>0</v>
      </c>
      <c r="Q43" s="364">
        <f t="shared" si="26"/>
        <v>0</v>
      </c>
      <c r="R43" s="364">
        <v>0</v>
      </c>
      <c r="S43" s="364">
        <v>0</v>
      </c>
      <c r="T43" s="353" t="s">
        <v>145</v>
      </c>
      <c r="U43" s="365" t="s">
        <v>81</v>
      </c>
      <c r="V43" s="141"/>
    </row>
    <row r="44" spans="2:22" ht="13.5" thickBot="1" x14ac:dyDescent="0.25">
      <c r="B44" s="364">
        <f t="shared" ref="B44:R44" si="45">SUM(B42:B43)</f>
        <v>20</v>
      </c>
      <c r="C44" s="364">
        <f t="shared" si="45"/>
        <v>0</v>
      </c>
      <c r="D44" s="364">
        <f t="shared" si="45"/>
        <v>20</v>
      </c>
      <c r="E44" s="364">
        <f t="shared" si="45"/>
        <v>12</v>
      </c>
      <c r="F44" s="364">
        <f t="shared" si="45"/>
        <v>0</v>
      </c>
      <c r="G44" s="364">
        <f t="shared" si="45"/>
        <v>12</v>
      </c>
      <c r="H44" s="364">
        <f t="shared" si="45"/>
        <v>4</v>
      </c>
      <c r="I44" s="364">
        <f t="shared" si="45"/>
        <v>0</v>
      </c>
      <c r="J44" s="364">
        <f t="shared" si="45"/>
        <v>4</v>
      </c>
      <c r="K44" s="364">
        <f t="shared" si="45"/>
        <v>4</v>
      </c>
      <c r="L44" s="364">
        <f t="shared" si="45"/>
        <v>0</v>
      </c>
      <c r="M44" s="364">
        <f t="shared" si="45"/>
        <v>4</v>
      </c>
      <c r="N44" s="364">
        <f t="shared" si="45"/>
        <v>0</v>
      </c>
      <c r="O44" s="364">
        <f t="shared" si="45"/>
        <v>0</v>
      </c>
      <c r="P44" s="364">
        <f t="shared" si="45"/>
        <v>0</v>
      </c>
      <c r="Q44" s="364">
        <f t="shared" si="45"/>
        <v>0</v>
      </c>
      <c r="R44" s="364">
        <f t="shared" si="45"/>
        <v>0</v>
      </c>
      <c r="S44" s="364">
        <f>SUM(S42:S43)</f>
        <v>0</v>
      </c>
      <c r="T44" s="353" t="s">
        <v>12</v>
      </c>
      <c r="U44" s="366"/>
      <c r="V44" s="141"/>
    </row>
    <row r="45" spans="2:22" ht="13.5" thickBot="1" x14ac:dyDescent="0.25">
      <c r="B45" s="364">
        <f t="shared" ref="B45:B46" si="46">SUM(C45:D45)</f>
        <v>8</v>
      </c>
      <c r="C45" s="364">
        <f t="shared" ref="C45:D46" si="47">R45+O45+L45+I45+F45</f>
        <v>0</v>
      </c>
      <c r="D45" s="364">
        <f t="shared" si="47"/>
        <v>8</v>
      </c>
      <c r="E45" s="364">
        <f t="shared" si="22"/>
        <v>6</v>
      </c>
      <c r="F45" s="364">
        <v>0</v>
      </c>
      <c r="G45" s="364">
        <v>6</v>
      </c>
      <c r="H45" s="364">
        <f t="shared" si="23"/>
        <v>0</v>
      </c>
      <c r="I45" s="364">
        <v>0</v>
      </c>
      <c r="J45" s="364">
        <v>0</v>
      </c>
      <c r="K45" s="364">
        <f t="shared" si="24"/>
        <v>2</v>
      </c>
      <c r="L45" s="364">
        <v>0</v>
      </c>
      <c r="M45" s="364">
        <v>2</v>
      </c>
      <c r="N45" s="364">
        <f t="shared" si="25"/>
        <v>0</v>
      </c>
      <c r="O45" s="364">
        <v>0</v>
      </c>
      <c r="P45" s="364">
        <v>0</v>
      </c>
      <c r="Q45" s="364">
        <f t="shared" si="26"/>
        <v>0</v>
      </c>
      <c r="R45" s="364">
        <v>0</v>
      </c>
      <c r="S45" s="364">
        <v>0</v>
      </c>
      <c r="T45" s="353" t="s">
        <v>146</v>
      </c>
      <c r="U45" s="365"/>
      <c r="V45" s="141"/>
    </row>
    <row r="46" spans="2:22" ht="13.5" thickBot="1" x14ac:dyDescent="0.25">
      <c r="B46" s="364">
        <f t="shared" si="46"/>
        <v>0</v>
      </c>
      <c r="C46" s="364">
        <f t="shared" si="47"/>
        <v>0</v>
      </c>
      <c r="D46" s="364">
        <f t="shared" si="47"/>
        <v>0</v>
      </c>
      <c r="E46" s="364">
        <f t="shared" si="22"/>
        <v>0</v>
      </c>
      <c r="F46" s="364">
        <v>0</v>
      </c>
      <c r="G46" s="364">
        <v>0</v>
      </c>
      <c r="H46" s="364">
        <f t="shared" si="23"/>
        <v>0</v>
      </c>
      <c r="I46" s="364">
        <v>0</v>
      </c>
      <c r="J46" s="364">
        <v>0</v>
      </c>
      <c r="K46" s="364">
        <f t="shared" si="24"/>
        <v>0</v>
      </c>
      <c r="L46" s="364">
        <v>0</v>
      </c>
      <c r="M46" s="364">
        <v>0</v>
      </c>
      <c r="N46" s="364">
        <f t="shared" si="25"/>
        <v>0</v>
      </c>
      <c r="O46" s="364">
        <v>0</v>
      </c>
      <c r="P46" s="364">
        <v>0</v>
      </c>
      <c r="Q46" s="364">
        <f t="shared" si="26"/>
        <v>0</v>
      </c>
      <c r="R46" s="364">
        <v>0</v>
      </c>
      <c r="S46" s="364">
        <v>0</v>
      </c>
      <c r="T46" s="353" t="s">
        <v>145</v>
      </c>
      <c r="U46" s="365" t="s">
        <v>252</v>
      </c>
      <c r="V46" s="141"/>
    </row>
    <row r="47" spans="2:22" ht="13.5" thickBot="1" x14ac:dyDescent="0.25">
      <c r="B47" s="364">
        <f t="shared" ref="B47:R47" si="48">SUM(B45:B46)</f>
        <v>8</v>
      </c>
      <c r="C47" s="364">
        <f t="shared" si="48"/>
        <v>0</v>
      </c>
      <c r="D47" s="364">
        <f t="shared" si="48"/>
        <v>8</v>
      </c>
      <c r="E47" s="364">
        <f t="shared" si="48"/>
        <v>6</v>
      </c>
      <c r="F47" s="364">
        <f t="shared" si="48"/>
        <v>0</v>
      </c>
      <c r="G47" s="364">
        <f t="shared" si="48"/>
        <v>6</v>
      </c>
      <c r="H47" s="364">
        <f t="shared" si="48"/>
        <v>0</v>
      </c>
      <c r="I47" s="364">
        <f t="shared" si="48"/>
        <v>0</v>
      </c>
      <c r="J47" s="364">
        <f t="shared" si="48"/>
        <v>0</v>
      </c>
      <c r="K47" s="364">
        <f t="shared" si="48"/>
        <v>2</v>
      </c>
      <c r="L47" s="364">
        <f t="shared" si="48"/>
        <v>0</v>
      </c>
      <c r="M47" s="364">
        <f t="shared" si="48"/>
        <v>2</v>
      </c>
      <c r="N47" s="364">
        <f t="shared" si="48"/>
        <v>0</v>
      </c>
      <c r="O47" s="364">
        <f t="shared" si="48"/>
        <v>0</v>
      </c>
      <c r="P47" s="364">
        <f t="shared" si="48"/>
        <v>0</v>
      </c>
      <c r="Q47" s="364">
        <f t="shared" si="48"/>
        <v>0</v>
      </c>
      <c r="R47" s="364">
        <f t="shared" si="48"/>
        <v>0</v>
      </c>
      <c r="S47" s="364">
        <f>SUM(S45:S46)</f>
        <v>0</v>
      </c>
      <c r="T47" s="353" t="s">
        <v>12</v>
      </c>
      <c r="U47" s="366"/>
      <c r="V47" s="141"/>
    </row>
    <row r="48" spans="2:22" ht="13.5" thickBot="1" x14ac:dyDescent="0.25">
      <c r="B48" s="364">
        <f t="shared" ref="B48:B49" si="49">SUM(C48:D48)</f>
        <v>18</v>
      </c>
      <c r="C48" s="364">
        <f t="shared" ref="C48:D49" si="50">R48+O48+L48+I48+F48</f>
        <v>0</v>
      </c>
      <c r="D48" s="364">
        <f t="shared" si="50"/>
        <v>18</v>
      </c>
      <c r="E48" s="364">
        <f t="shared" si="22"/>
        <v>9</v>
      </c>
      <c r="F48" s="364">
        <v>0</v>
      </c>
      <c r="G48" s="364">
        <v>9</v>
      </c>
      <c r="H48" s="364">
        <f t="shared" si="23"/>
        <v>4</v>
      </c>
      <c r="I48" s="364">
        <v>0</v>
      </c>
      <c r="J48" s="364">
        <v>4</v>
      </c>
      <c r="K48" s="364">
        <f t="shared" si="24"/>
        <v>5</v>
      </c>
      <c r="L48" s="364">
        <v>0</v>
      </c>
      <c r="M48" s="364">
        <v>5</v>
      </c>
      <c r="N48" s="364">
        <f t="shared" si="25"/>
        <v>0</v>
      </c>
      <c r="O48" s="364">
        <v>0</v>
      </c>
      <c r="P48" s="364">
        <v>0</v>
      </c>
      <c r="Q48" s="364">
        <f t="shared" si="26"/>
        <v>0</v>
      </c>
      <c r="R48" s="364">
        <v>0</v>
      </c>
      <c r="S48" s="364">
        <v>0</v>
      </c>
      <c r="T48" s="353" t="s">
        <v>146</v>
      </c>
      <c r="U48" s="365"/>
      <c r="V48" s="141"/>
    </row>
    <row r="49" spans="2:22" ht="13.5" thickBot="1" x14ac:dyDescent="0.25">
      <c r="B49" s="364">
        <f t="shared" si="49"/>
        <v>0</v>
      </c>
      <c r="C49" s="364">
        <f t="shared" si="50"/>
        <v>0</v>
      </c>
      <c r="D49" s="364">
        <f t="shared" si="50"/>
        <v>0</v>
      </c>
      <c r="E49" s="364">
        <f t="shared" si="22"/>
        <v>0</v>
      </c>
      <c r="F49" s="364">
        <v>0</v>
      </c>
      <c r="G49" s="364">
        <v>0</v>
      </c>
      <c r="H49" s="364">
        <f t="shared" si="23"/>
        <v>0</v>
      </c>
      <c r="I49" s="364">
        <v>0</v>
      </c>
      <c r="J49" s="364">
        <v>0</v>
      </c>
      <c r="K49" s="364">
        <f t="shared" si="24"/>
        <v>0</v>
      </c>
      <c r="L49" s="364">
        <v>0</v>
      </c>
      <c r="M49" s="364">
        <v>0</v>
      </c>
      <c r="N49" s="364">
        <f t="shared" si="25"/>
        <v>0</v>
      </c>
      <c r="O49" s="364">
        <v>0</v>
      </c>
      <c r="P49" s="364">
        <v>0</v>
      </c>
      <c r="Q49" s="364">
        <f t="shared" si="26"/>
        <v>0</v>
      </c>
      <c r="R49" s="364">
        <v>0</v>
      </c>
      <c r="S49" s="364">
        <v>0</v>
      </c>
      <c r="T49" s="353" t="s">
        <v>145</v>
      </c>
      <c r="U49" s="365" t="s">
        <v>579</v>
      </c>
      <c r="V49" s="141"/>
    </row>
    <row r="50" spans="2:22" ht="13.5" thickBot="1" x14ac:dyDescent="0.25">
      <c r="B50" s="364">
        <f t="shared" ref="B50:R50" si="51">SUM(B48:B49)</f>
        <v>18</v>
      </c>
      <c r="C50" s="364">
        <f t="shared" si="51"/>
        <v>0</v>
      </c>
      <c r="D50" s="364">
        <f t="shared" si="51"/>
        <v>18</v>
      </c>
      <c r="E50" s="364">
        <f t="shared" si="51"/>
        <v>9</v>
      </c>
      <c r="F50" s="364">
        <f t="shared" si="51"/>
        <v>0</v>
      </c>
      <c r="G50" s="364">
        <f t="shared" si="51"/>
        <v>9</v>
      </c>
      <c r="H50" s="364">
        <f t="shared" si="51"/>
        <v>4</v>
      </c>
      <c r="I50" s="364">
        <f t="shared" si="51"/>
        <v>0</v>
      </c>
      <c r="J50" s="364">
        <f t="shared" si="51"/>
        <v>4</v>
      </c>
      <c r="K50" s="364">
        <f t="shared" si="51"/>
        <v>5</v>
      </c>
      <c r="L50" s="364">
        <f t="shared" si="51"/>
        <v>0</v>
      </c>
      <c r="M50" s="364">
        <f t="shared" si="51"/>
        <v>5</v>
      </c>
      <c r="N50" s="364">
        <f t="shared" si="51"/>
        <v>0</v>
      </c>
      <c r="O50" s="364">
        <f t="shared" si="51"/>
        <v>0</v>
      </c>
      <c r="P50" s="364">
        <f t="shared" si="51"/>
        <v>0</v>
      </c>
      <c r="Q50" s="364">
        <f t="shared" si="51"/>
        <v>0</v>
      </c>
      <c r="R50" s="364">
        <f t="shared" si="51"/>
        <v>0</v>
      </c>
      <c r="S50" s="364">
        <f>SUM(S48:S49)</f>
        <v>0</v>
      </c>
      <c r="T50" s="353" t="s">
        <v>12</v>
      </c>
      <c r="U50" s="366"/>
      <c r="V50" s="141"/>
    </row>
    <row r="51" spans="2:22" ht="13.5" thickBot="1" x14ac:dyDescent="0.25">
      <c r="B51" s="364">
        <f t="shared" ref="B51:B52" si="52">SUM(C51:D51)</f>
        <v>229</v>
      </c>
      <c r="C51" s="364">
        <f t="shared" ref="C51:D52" si="53">R51+O51+L51+I51+F51</f>
        <v>199</v>
      </c>
      <c r="D51" s="364">
        <f t="shared" si="53"/>
        <v>30</v>
      </c>
      <c r="E51" s="364">
        <f t="shared" si="22"/>
        <v>42</v>
      </c>
      <c r="F51" s="364">
        <v>22</v>
      </c>
      <c r="G51" s="364">
        <v>20</v>
      </c>
      <c r="H51" s="364">
        <f t="shared" si="23"/>
        <v>10</v>
      </c>
      <c r="I51" s="364">
        <v>10</v>
      </c>
      <c r="J51" s="364">
        <v>0</v>
      </c>
      <c r="K51" s="364">
        <f t="shared" si="24"/>
        <v>175</v>
      </c>
      <c r="L51" s="364">
        <v>166</v>
      </c>
      <c r="M51" s="364">
        <v>9</v>
      </c>
      <c r="N51" s="364">
        <f t="shared" si="25"/>
        <v>2</v>
      </c>
      <c r="O51" s="364">
        <v>1</v>
      </c>
      <c r="P51" s="364">
        <v>1</v>
      </c>
      <c r="Q51" s="364">
        <f t="shared" si="26"/>
        <v>0</v>
      </c>
      <c r="R51" s="364">
        <v>0</v>
      </c>
      <c r="S51" s="364">
        <v>0</v>
      </c>
      <c r="T51" s="353" t="s">
        <v>146</v>
      </c>
      <c r="U51" s="365"/>
      <c r="V51" s="141"/>
    </row>
    <row r="52" spans="2:22" ht="13.5" thickBot="1" x14ac:dyDescent="0.25">
      <c r="B52" s="364">
        <f t="shared" si="52"/>
        <v>0</v>
      </c>
      <c r="C52" s="364">
        <f t="shared" si="53"/>
        <v>0</v>
      </c>
      <c r="D52" s="364">
        <f t="shared" si="53"/>
        <v>0</v>
      </c>
      <c r="E52" s="364">
        <f t="shared" si="22"/>
        <v>0</v>
      </c>
      <c r="F52" s="364">
        <v>0</v>
      </c>
      <c r="G52" s="364">
        <v>0</v>
      </c>
      <c r="H52" s="364">
        <f t="shared" si="23"/>
        <v>0</v>
      </c>
      <c r="I52" s="364">
        <v>0</v>
      </c>
      <c r="J52" s="364">
        <v>0</v>
      </c>
      <c r="K52" s="364">
        <f t="shared" si="24"/>
        <v>0</v>
      </c>
      <c r="L52" s="364">
        <v>0</v>
      </c>
      <c r="M52" s="364">
        <v>0</v>
      </c>
      <c r="N52" s="364">
        <f t="shared" si="25"/>
        <v>0</v>
      </c>
      <c r="O52" s="364">
        <v>0</v>
      </c>
      <c r="P52" s="364">
        <v>0</v>
      </c>
      <c r="Q52" s="364">
        <f t="shared" si="26"/>
        <v>0</v>
      </c>
      <c r="R52" s="364">
        <v>0</v>
      </c>
      <c r="S52" s="364">
        <v>0</v>
      </c>
      <c r="T52" s="353" t="s">
        <v>145</v>
      </c>
      <c r="U52" s="365" t="s">
        <v>358</v>
      </c>
      <c r="V52" s="141"/>
    </row>
    <row r="53" spans="2:22" ht="13.5" thickBot="1" x14ac:dyDescent="0.25">
      <c r="B53" s="364">
        <f t="shared" ref="B53:R53" si="54">SUM(B51:B52)</f>
        <v>229</v>
      </c>
      <c r="C53" s="364">
        <f t="shared" si="54"/>
        <v>199</v>
      </c>
      <c r="D53" s="364">
        <f t="shared" si="54"/>
        <v>30</v>
      </c>
      <c r="E53" s="364">
        <f t="shared" si="54"/>
        <v>42</v>
      </c>
      <c r="F53" s="364">
        <f t="shared" si="54"/>
        <v>22</v>
      </c>
      <c r="G53" s="364">
        <f t="shared" si="54"/>
        <v>20</v>
      </c>
      <c r="H53" s="364">
        <f t="shared" si="54"/>
        <v>10</v>
      </c>
      <c r="I53" s="364">
        <f t="shared" si="54"/>
        <v>10</v>
      </c>
      <c r="J53" s="364">
        <f t="shared" si="54"/>
        <v>0</v>
      </c>
      <c r="K53" s="364">
        <f t="shared" si="54"/>
        <v>175</v>
      </c>
      <c r="L53" s="364">
        <f t="shared" si="54"/>
        <v>166</v>
      </c>
      <c r="M53" s="364">
        <f t="shared" si="54"/>
        <v>9</v>
      </c>
      <c r="N53" s="364">
        <f t="shared" si="54"/>
        <v>2</v>
      </c>
      <c r="O53" s="364">
        <f t="shared" si="54"/>
        <v>1</v>
      </c>
      <c r="P53" s="364">
        <f t="shared" si="54"/>
        <v>1</v>
      </c>
      <c r="Q53" s="364">
        <f t="shared" si="54"/>
        <v>0</v>
      </c>
      <c r="R53" s="364">
        <f t="shared" si="54"/>
        <v>0</v>
      </c>
      <c r="S53" s="364">
        <f>SUM(S51:S52)</f>
        <v>0</v>
      </c>
      <c r="T53" s="353" t="s">
        <v>12</v>
      </c>
      <c r="U53" s="366"/>
      <c r="V53" s="141"/>
    </row>
    <row r="54" spans="2:22" ht="13.5" thickBot="1" x14ac:dyDescent="0.25">
      <c r="B54" s="364">
        <f t="shared" ref="B54:B55" si="55">SUM(C54:D54)</f>
        <v>22</v>
      </c>
      <c r="C54" s="364">
        <f t="shared" ref="C54:D55" si="56">R54+O54+L54+I54+F54</f>
        <v>0</v>
      </c>
      <c r="D54" s="364">
        <f t="shared" si="56"/>
        <v>22</v>
      </c>
      <c r="E54" s="364">
        <f t="shared" si="22"/>
        <v>2</v>
      </c>
      <c r="F54" s="364">
        <v>0</v>
      </c>
      <c r="G54" s="364">
        <v>2</v>
      </c>
      <c r="H54" s="364">
        <f t="shared" si="23"/>
        <v>13</v>
      </c>
      <c r="I54" s="364">
        <v>0</v>
      </c>
      <c r="J54" s="364">
        <v>13</v>
      </c>
      <c r="K54" s="364">
        <f t="shared" si="24"/>
        <v>7</v>
      </c>
      <c r="L54" s="364">
        <v>0</v>
      </c>
      <c r="M54" s="364">
        <v>7</v>
      </c>
      <c r="N54" s="364">
        <f t="shared" si="25"/>
        <v>0</v>
      </c>
      <c r="O54" s="364">
        <v>0</v>
      </c>
      <c r="P54" s="364">
        <v>0</v>
      </c>
      <c r="Q54" s="364">
        <f t="shared" si="26"/>
        <v>0</v>
      </c>
      <c r="R54" s="364">
        <v>0</v>
      </c>
      <c r="S54" s="364">
        <v>0</v>
      </c>
      <c r="T54" s="353" t="s">
        <v>146</v>
      </c>
      <c r="U54" s="365"/>
      <c r="V54" s="141"/>
    </row>
    <row r="55" spans="2:22" ht="13.5" thickBot="1" x14ac:dyDescent="0.25">
      <c r="B55" s="364">
        <f t="shared" si="55"/>
        <v>0</v>
      </c>
      <c r="C55" s="364">
        <f t="shared" si="56"/>
        <v>0</v>
      </c>
      <c r="D55" s="364">
        <f t="shared" si="56"/>
        <v>0</v>
      </c>
      <c r="E55" s="364">
        <f t="shared" si="22"/>
        <v>0</v>
      </c>
      <c r="F55" s="364">
        <v>0</v>
      </c>
      <c r="G55" s="364">
        <v>0</v>
      </c>
      <c r="H55" s="364">
        <f t="shared" si="23"/>
        <v>0</v>
      </c>
      <c r="I55" s="364">
        <v>0</v>
      </c>
      <c r="J55" s="364">
        <v>0</v>
      </c>
      <c r="K55" s="364">
        <f t="shared" si="24"/>
        <v>0</v>
      </c>
      <c r="L55" s="364">
        <v>0</v>
      </c>
      <c r="M55" s="364">
        <v>0</v>
      </c>
      <c r="N55" s="364">
        <f t="shared" si="25"/>
        <v>0</v>
      </c>
      <c r="O55" s="364">
        <v>0</v>
      </c>
      <c r="P55" s="364">
        <v>0</v>
      </c>
      <c r="Q55" s="364">
        <f t="shared" si="26"/>
        <v>0</v>
      </c>
      <c r="R55" s="364">
        <v>0</v>
      </c>
      <c r="S55" s="364">
        <v>0</v>
      </c>
      <c r="T55" s="353" t="s">
        <v>145</v>
      </c>
      <c r="U55" s="365" t="s">
        <v>363</v>
      </c>
      <c r="V55" s="141"/>
    </row>
    <row r="56" spans="2:22" ht="13.5" thickBot="1" x14ac:dyDescent="0.25">
      <c r="B56" s="364">
        <f t="shared" ref="B56:R56" si="57">SUM(B54:B55)</f>
        <v>22</v>
      </c>
      <c r="C56" s="364">
        <f t="shared" si="57"/>
        <v>0</v>
      </c>
      <c r="D56" s="364">
        <f t="shared" si="57"/>
        <v>22</v>
      </c>
      <c r="E56" s="364">
        <f t="shared" si="57"/>
        <v>2</v>
      </c>
      <c r="F56" s="364">
        <f t="shared" si="57"/>
        <v>0</v>
      </c>
      <c r="G56" s="364">
        <f t="shared" si="57"/>
        <v>2</v>
      </c>
      <c r="H56" s="364">
        <f t="shared" si="57"/>
        <v>13</v>
      </c>
      <c r="I56" s="364">
        <f t="shared" si="57"/>
        <v>0</v>
      </c>
      <c r="J56" s="364">
        <f t="shared" si="57"/>
        <v>13</v>
      </c>
      <c r="K56" s="364">
        <f t="shared" si="57"/>
        <v>7</v>
      </c>
      <c r="L56" s="364">
        <f t="shared" si="57"/>
        <v>0</v>
      </c>
      <c r="M56" s="364">
        <f t="shared" si="57"/>
        <v>7</v>
      </c>
      <c r="N56" s="364">
        <f t="shared" si="57"/>
        <v>0</v>
      </c>
      <c r="O56" s="364">
        <f t="shared" si="57"/>
        <v>0</v>
      </c>
      <c r="P56" s="364">
        <f t="shared" si="57"/>
        <v>0</v>
      </c>
      <c r="Q56" s="364">
        <f t="shared" si="57"/>
        <v>0</v>
      </c>
      <c r="R56" s="364">
        <f t="shared" si="57"/>
        <v>0</v>
      </c>
      <c r="S56" s="364">
        <f>SUM(S54:S55)</f>
        <v>0</v>
      </c>
      <c r="T56" s="353" t="s">
        <v>12</v>
      </c>
      <c r="U56" s="366"/>
      <c r="V56" s="141"/>
    </row>
    <row r="57" spans="2:22" ht="13.5" thickBot="1" x14ac:dyDescent="0.25">
      <c r="B57" s="364">
        <f t="shared" ref="B57:B58" si="58">SUM(C57:D57)</f>
        <v>13</v>
      </c>
      <c r="C57" s="364">
        <f t="shared" ref="C57:D58" si="59">R57+O57+L57+I57+F57</f>
        <v>0</v>
      </c>
      <c r="D57" s="364">
        <f t="shared" si="59"/>
        <v>13</v>
      </c>
      <c r="E57" s="364">
        <f t="shared" si="22"/>
        <v>12</v>
      </c>
      <c r="F57" s="364">
        <v>0</v>
      </c>
      <c r="G57" s="364">
        <v>12</v>
      </c>
      <c r="H57" s="364">
        <f t="shared" si="23"/>
        <v>0</v>
      </c>
      <c r="I57" s="364">
        <v>0</v>
      </c>
      <c r="J57" s="364">
        <v>0</v>
      </c>
      <c r="K57" s="364">
        <f t="shared" si="24"/>
        <v>1</v>
      </c>
      <c r="L57" s="364">
        <v>0</v>
      </c>
      <c r="M57" s="364">
        <v>1</v>
      </c>
      <c r="N57" s="364">
        <f t="shared" si="25"/>
        <v>0</v>
      </c>
      <c r="O57" s="364">
        <v>0</v>
      </c>
      <c r="P57" s="364">
        <v>0</v>
      </c>
      <c r="Q57" s="364">
        <f t="shared" si="26"/>
        <v>0</v>
      </c>
      <c r="R57" s="364">
        <v>0</v>
      </c>
      <c r="S57" s="364">
        <v>0</v>
      </c>
      <c r="T57" s="353" t="s">
        <v>146</v>
      </c>
      <c r="U57" s="365"/>
      <c r="V57" s="141"/>
    </row>
    <row r="58" spans="2:22" ht="13.5" thickBot="1" x14ac:dyDescent="0.25">
      <c r="B58" s="364">
        <f t="shared" si="58"/>
        <v>0</v>
      </c>
      <c r="C58" s="364">
        <f t="shared" si="59"/>
        <v>0</v>
      </c>
      <c r="D58" s="364">
        <f t="shared" si="59"/>
        <v>0</v>
      </c>
      <c r="E58" s="364">
        <f t="shared" si="22"/>
        <v>0</v>
      </c>
      <c r="F58" s="364">
        <v>0</v>
      </c>
      <c r="G58" s="364">
        <v>0</v>
      </c>
      <c r="H58" s="364">
        <f t="shared" si="23"/>
        <v>0</v>
      </c>
      <c r="I58" s="364">
        <v>0</v>
      </c>
      <c r="J58" s="364">
        <v>0</v>
      </c>
      <c r="K58" s="364">
        <f t="shared" si="24"/>
        <v>0</v>
      </c>
      <c r="L58" s="364">
        <v>0</v>
      </c>
      <c r="M58" s="364">
        <v>0</v>
      </c>
      <c r="N58" s="364">
        <f t="shared" si="25"/>
        <v>0</v>
      </c>
      <c r="O58" s="364">
        <v>0</v>
      </c>
      <c r="P58" s="364">
        <v>0</v>
      </c>
      <c r="Q58" s="364">
        <f t="shared" si="26"/>
        <v>0</v>
      </c>
      <c r="R58" s="364">
        <v>0</v>
      </c>
      <c r="S58" s="364">
        <v>0</v>
      </c>
      <c r="T58" s="353" t="s">
        <v>145</v>
      </c>
      <c r="U58" s="365" t="s">
        <v>82</v>
      </c>
      <c r="V58" s="141"/>
    </row>
    <row r="59" spans="2:22" ht="13.5" thickBot="1" x14ac:dyDescent="0.25">
      <c r="B59" s="364">
        <f t="shared" ref="B59:R59" si="60">SUM(B57:B58)</f>
        <v>13</v>
      </c>
      <c r="C59" s="364">
        <f t="shared" si="60"/>
        <v>0</v>
      </c>
      <c r="D59" s="364">
        <f t="shared" si="60"/>
        <v>13</v>
      </c>
      <c r="E59" s="364">
        <f t="shared" si="60"/>
        <v>12</v>
      </c>
      <c r="F59" s="364">
        <f t="shared" si="60"/>
        <v>0</v>
      </c>
      <c r="G59" s="364">
        <f t="shared" si="60"/>
        <v>12</v>
      </c>
      <c r="H59" s="364">
        <f t="shared" si="60"/>
        <v>0</v>
      </c>
      <c r="I59" s="364">
        <f t="shared" si="60"/>
        <v>0</v>
      </c>
      <c r="J59" s="364">
        <f t="shared" si="60"/>
        <v>0</v>
      </c>
      <c r="K59" s="364">
        <f t="shared" si="60"/>
        <v>1</v>
      </c>
      <c r="L59" s="364">
        <f t="shared" si="60"/>
        <v>0</v>
      </c>
      <c r="M59" s="364">
        <f t="shared" si="60"/>
        <v>1</v>
      </c>
      <c r="N59" s="364">
        <f t="shared" si="60"/>
        <v>0</v>
      </c>
      <c r="O59" s="364">
        <f t="shared" si="60"/>
        <v>0</v>
      </c>
      <c r="P59" s="364">
        <f t="shared" si="60"/>
        <v>0</v>
      </c>
      <c r="Q59" s="364">
        <f t="shared" si="60"/>
        <v>0</v>
      </c>
      <c r="R59" s="364">
        <f t="shared" si="60"/>
        <v>0</v>
      </c>
      <c r="S59" s="364">
        <f>SUM(S57:S58)</f>
        <v>0</v>
      </c>
      <c r="T59" s="353" t="s">
        <v>12</v>
      </c>
      <c r="U59" s="366"/>
      <c r="V59" s="141"/>
    </row>
    <row r="60" spans="2:22" ht="13.5" thickBot="1" x14ac:dyDescent="0.25">
      <c r="B60" s="364">
        <f t="shared" ref="B60:B61" si="61">SUM(C60:D60)</f>
        <v>20</v>
      </c>
      <c r="C60" s="364">
        <f t="shared" ref="C60:D61" si="62">R60+O60+L60+I60+F60</f>
        <v>0</v>
      </c>
      <c r="D60" s="364">
        <f t="shared" si="62"/>
        <v>20</v>
      </c>
      <c r="E60" s="364">
        <f t="shared" si="22"/>
        <v>14</v>
      </c>
      <c r="F60" s="364">
        <v>0</v>
      </c>
      <c r="G60" s="364">
        <v>14</v>
      </c>
      <c r="H60" s="364">
        <f t="shared" si="23"/>
        <v>0</v>
      </c>
      <c r="I60" s="364">
        <v>0</v>
      </c>
      <c r="J60" s="364">
        <v>0</v>
      </c>
      <c r="K60" s="364">
        <f t="shared" si="24"/>
        <v>6</v>
      </c>
      <c r="L60" s="364">
        <v>0</v>
      </c>
      <c r="M60" s="364">
        <v>6</v>
      </c>
      <c r="N60" s="364">
        <f t="shared" si="25"/>
        <v>0</v>
      </c>
      <c r="O60" s="364">
        <v>0</v>
      </c>
      <c r="P60" s="364">
        <v>0</v>
      </c>
      <c r="Q60" s="364">
        <f t="shared" si="26"/>
        <v>0</v>
      </c>
      <c r="R60" s="364">
        <v>0</v>
      </c>
      <c r="S60" s="364">
        <v>0</v>
      </c>
      <c r="T60" s="353" t="s">
        <v>146</v>
      </c>
      <c r="U60" s="365"/>
      <c r="V60" s="141"/>
    </row>
    <row r="61" spans="2:22" ht="13.5" thickBot="1" x14ac:dyDescent="0.25">
      <c r="B61" s="364">
        <f t="shared" si="61"/>
        <v>0</v>
      </c>
      <c r="C61" s="364">
        <f t="shared" si="62"/>
        <v>0</v>
      </c>
      <c r="D61" s="364">
        <f t="shared" si="62"/>
        <v>0</v>
      </c>
      <c r="E61" s="364">
        <f t="shared" si="22"/>
        <v>0</v>
      </c>
      <c r="F61" s="364">
        <v>0</v>
      </c>
      <c r="G61" s="364">
        <v>0</v>
      </c>
      <c r="H61" s="364">
        <f t="shared" si="23"/>
        <v>0</v>
      </c>
      <c r="I61" s="364">
        <v>0</v>
      </c>
      <c r="J61" s="364">
        <v>0</v>
      </c>
      <c r="K61" s="364">
        <f t="shared" si="24"/>
        <v>0</v>
      </c>
      <c r="L61" s="364">
        <v>0</v>
      </c>
      <c r="M61" s="364">
        <v>0</v>
      </c>
      <c r="N61" s="364">
        <f t="shared" si="25"/>
        <v>0</v>
      </c>
      <c r="O61" s="364">
        <v>0</v>
      </c>
      <c r="P61" s="364">
        <v>0</v>
      </c>
      <c r="Q61" s="364">
        <f t="shared" si="26"/>
        <v>0</v>
      </c>
      <c r="R61" s="364">
        <v>0</v>
      </c>
      <c r="S61" s="364">
        <v>0</v>
      </c>
      <c r="T61" s="353" t="s">
        <v>145</v>
      </c>
      <c r="U61" s="365" t="s">
        <v>368</v>
      </c>
      <c r="V61" s="141"/>
    </row>
    <row r="62" spans="2:22" ht="13.5" thickBot="1" x14ac:dyDescent="0.25">
      <c r="B62" s="364">
        <f t="shared" ref="B62:R62" si="63">SUM(B60:B61)</f>
        <v>20</v>
      </c>
      <c r="C62" s="364">
        <f t="shared" si="63"/>
        <v>0</v>
      </c>
      <c r="D62" s="364">
        <f t="shared" si="63"/>
        <v>20</v>
      </c>
      <c r="E62" s="364">
        <f t="shared" si="63"/>
        <v>14</v>
      </c>
      <c r="F62" s="364">
        <f t="shared" si="63"/>
        <v>0</v>
      </c>
      <c r="G62" s="364">
        <f t="shared" si="63"/>
        <v>14</v>
      </c>
      <c r="H62" s="364">
        <f t="shared" si="63"/>
        <v>0</v>
      </c>
      <c r="I62" s="364">
        <f t="shared" si="63"/>
        <v>0</v>
      </c>
      <c r="J62" s="364">
        <f t="shared" si="63"/>
        <v>0</v>
      </c>
      <c r="K62" s="364">
        <f t="shared" si="63"/>
        <v>6</v>
      </c>
      <c r="L62" s="364">
        <f t="shared" si="63"/>
        <v>0</v>
      </c>
      <c r="M62" s="364">
        <f t="shared" si="63"/>
        <v>6</v>
      </c>
      <c r="N62" s="364">
        <f t="shared" si="63"/>
        <v>0</v>
      </c>
      <c r="O62" s="364">
        <f t="shared" si="63"/>
        <v>0</v>
      </c>
      <c r="P62" s="364">
        <f t="shared" si="63"/>
        <v>0</v>
      </c>
      <c r="Q62" s="364">
        <f t="shared" si="63"/>
        <v>0</v>
      </c>
      <c r="R62" s="364">
        <f t="shared" si="63"/>
        <v>0</v>
      </c>
      <c r="S62" s="364">
        <f>SUM(S60:S61)</f>
        <v>0</v>
      </c>
      <c r="T62" s="353" t="s">
        <v>12</v>
      </c>
      <c r="U62" s="366"/>
      <c r="V62" s="141"/>
    </row>
    <row r="63" spans="2:22" ht="13.5" thickBot="1" x14ac:dyDescent="0.25">
      <c r="B63" s="364">
        <f t="shared" ref="B63:B64" si="64">SUM(C63:D63)</f>
        <v>17</v>
      </c>
      <c r="C63" s="364">
        <f t="shared" ref="C63:D64" si="65">R63+O63+L63+I63+F63</f>
        <v>2</v>
      </c>
      <c r="D63" s="364">
        <f t="shared" si="65"/>
        <v>15</v>
      </c>
      <c r="E63" s="364">
        <f t="shared" si="22"/>
        <v>5</v>
      </c>
      <c r="F63" s="364">
        <v>0</v>
      </c>
      <c r="G63" s="364">
        <v>5</v>
      </c>
      <c r="H63" s="364">
        <f t="shared" si="23"/>
        <v>0</v>
      </c>
      <c r="I63" s="364">
        <v>0</v>
      </c>
      <c r="J63" s="364">
        <v>0</v>
      </c>
      <c r="K63" s="364">
        <f t="shared" si="24"/>
        <v>6</v>
      </c>
      <c r="L63" s="364">
        <v>1</v>
      </c>
      <c r="M63" s="364">
        <v>5</v>
      </c>
      <c r="N63" s="364">
        <f t="shared" si="25"/>
        <v>5</v>
      </c>
      <c r="O63" s="364">
        <v>1</v>
      </c>
      <c r="P63" s="364">
        <v>4</v>
      </c>
      <c r="Q63" s="364">
        <f t="shared" si="26"/>
        <v>1</v>
      </c>
      <c r="R63" s="364">
        <v>0</v>
      </c>
      <c r="S63" s="364">
        <v>1</v>
      </c>
      <c r="T63" s="353" t="s">
        <v>146</v>
      </c>
      <c r="U63" s="365"/>
      <c r="V63" s="141"/>
    </row>
    <row r="64" spans="2:22" ht="13.5" thickBot="1" x14ac:dyDescent="0.25">
      <c r="B64" s="364">
        <f t="shared" si="64"/>
        <v>0</v>
      </c>
      <c r="C64" s="364">
        <f t="shared" si="65"/>
        <v>0</v>
      </c>
      <c r="D64" s="364">
        <f t="shared" si="65"/>
        <v>0</v>
      </c>
      <c r="E64" s="364">
        <f t="shared" si="22"/>
        <v>0</v>
      </c>
      <c r="F64" s="364">
        <v>0</v>
      </c>
      <c r="G64" s="364">
        <v>0</v>
      </c>
      <c r="H64" s="364">
        <f t="shared" si="23"/>
        <v>0</v>
      </c>
      <c r="I64" s="364">
        <v>0</v>
      </c>
      <c r="J64" s="364">
        <v>0</v>
      </c>
      <c r="K64" s="364">
        <f t="shared" si="24"/>
        <v>0</v>
      </c>
      <c r="L64" s="364">
        <v>0</v>
      </c>
      <c r="M64" s="364">
        <v>0</v>
      </c>
      <c r="N64" s="364">
        <f t="shared" si="25"/>
        <v>0</v>
      </c>
      <c r="O64" s="364">
        <v>0</v>
      </c>
      <c r="P64" s="364">
        <v>0</v>
      </c>
      <c r="Q64" s="364">
        <f t="shared" si="26"/>
        <v>0</v>
      </c>
      <c r="R64" s="364">
        <v>0</v>
      </c>
      <c r="S64" s="364">
        <v>0</v>
      </c>
      <c r="T64" s="353" t="s">
        <v>145</v>
      </c>
      <c r="U64" s="365" t="s">
        <v>367</v>
      </c>
      <c r="V64" s="141"/>
    </row>
    <row r="65" spans="2:22" ht="13.5" thickBot="1" x14ac:dyDescent="0.25">
      <c r="B65" s="364">
        <f t="shared" ref="B65:R65" si="66">SUM(B63:B64)</f>
        <v>17</v>
      </c>
      <c r="C65" s="364">
        <f t="shared" si="66"/>
        <v>2</v>
      </c>
      <c r="D65" s="364">
        <f t="shared" si="66"/>
        <v>15</v>
      </c>
      <c r="E65" s="364">
        <f t="shared" si="66"/>
        <v>5</v>
      </c>
      <c r="F65" s="364">
        <f t="shared" si="66"/>
        <v>0</v>
      </c>
      <c r="G65" s="364">
        <f t="shared" si="66"/>
        <v>5</v>
      </c>
      <c r="H65" s="364">
        <f t="shared" si="66"/>
        <v>0</v>
      </c>
      <c r="I65" s="364">
        <f t="shared" si="66"/>
        <v>0</v>
      </c>
      <c r="J65" s="364">
        <f t="shared" si="66"/>
        <v>0</v>
      </c>
      <c r="K65" s="364">
        <f t="shared" si="66"/>
        <v>6</v>
      </c>
      <c r="L65" s="364">
        <f t="shared" si="66"/>
        <v>1</v>
      </c>
      <c r="M65" s="364">
        <f t="shared" si="66"/>
        <v>5</v>
      </c>
      <c r="N65" s="364">
        <f t="shared" si="66"/>
        <v>5</v>
      </c>
      <c r="O65" s="364">
        <f t="shared" si="66"/>
        <v>1</v>
      </c>
      <c r="P65" s="364">
        <f t="shared" si="66"/>
        <v>4</v>
      </c>
      <c r="Q65" s="364">
        <f t="shared" si="66"/>
        <v>1</v>
      </c>
      <c r="R65" s="364">
        <f t="shared" si="66"/>
        <v>0</v>
      </c>
      <c r="S65" s="364">
        <f>SUM(S63:S64)</f>
        <v>1</v>
      </c>
      <c r="T65" s="353" t="s">
        <v>12</v>
      </c>
      <c r="U65" s="366"/>
      <c r="V65" s="141"/>
    </row>
    <row r="66" spans="2:22" ht="13.5" thickBot="1" x14ac:dyDescent="0.25">
      <c r="B66" s="364">
        <f t="shared" ref="B66:B67" si="67">SUM(C66:D66)</f>
        <v>1456</v>
      </c>
      <c r="C66" s="364">
        <f t="shared" ref="C66:D67" si="68">R66+O66+L66+I66+F66</f>
        <v>15</v>
      </c>
      <c r="D66" s="364">
        <f t="shared" si="68"/>
        <v>1441</v>
      </c>
      <c r="E66" s="364">
        <f t="shared" si="22"/>
        <v>433</v>
      </c>
      <c r="F66" s="364">
        <v>2</v>
      </c>
      <c r="G66" s="364">
        <v>431</v>
      </c>
      <c r="H66" s="364">
        <f t="shared" si="23"/>
        <v>207</v>
      </c>
      <c r="I66" s="364">
        <v>4</v>
      </c>
      <c r="J66" s="364">
        <v>203</v>
      </c>
      <c r="K66" s="364">
        <f t="shared" si="24"/>
        <v>765</v>
      </c>
      <c r="L66" s="364">
        <v>2</v>
      </c>
      <c r="M66" s="364">
        <v>763</v>
      </c>
      <c r="N66" s="364">
        <f t="shared" si="25"/>
        <v>7</v>
      </c>
      <c r="O66" s="364">
        <v>5</v>
      </c>
      <c r="P66" s="364">
        <v>2</v>
      </c>
      <c r="Q66" s="364">
        <f t="shared" si="26"/>
        <v>44</v>
      </c>
      <c r="R66" s="364">
        <v>2</v>
      </c>
      <c r="S66" s="364">
        <v>42</v>
      </c>
      <c r="T66" s="353" t="s">
        <v>146</v>
      </c>
      <c r="U66" s="365"/>
      <c r="V66" s="141"/>
    </row>
    <row r="67" spans="2:22" ht="13.5" thickBot="1" x14ac:dyDescent="0.25">
      <c r="B67" s="364">
        <f t="shared" si="67"/>
        <v>3</v>
      </c>
      <c r="C67" s="364">
        <f t="shared" si="68"/>
        <v>0</v>
      </c>
      <c r="D67" s="364">
        <f t="shared" si="68"/>
        <v>3</v>
      </c>
      <c r="E67" s="364">
        <f t="shared" si="22"/>
        <v>2</v>
      </c>
      <c r="F67" s="364">
        <v>0</v>
      </c>
      <c r="G67" s="364">
        <v>2</v>
      </c>
      <c r="H67" s="364">
        <f t="shared" si="23"/>
        <v>0</v>
      </c>
      <c r="I67" s="364">
        <v>0</v>
      </c>
      <c r="J67" s="364">
        <v>0</v>
      </c>
      <c r="K67" s="364">
        <f t="shared" si="24"/>
        <v>1</v>
      </c>
      <c r="L67" s="364">
        <v>0</v>
      </c>
      <c r="M67" s="364">
        <v>1</v>
      </c>
      <c r="N67" s="364">
        <f t="shared" si="25"/>
        <v>0</v>
      </c>
      <c r="O67" s="364">
        <v>0</v>
      </c>
      <c r="P67" s="364">
        <v>0</v>
      </c>
      <c r="Q67" s="364">
        <f t="shared" si="26"/>
        <v>0</v>
      </c>
      <c r="R67" s="364">
        <v>0</v>
      </c>
      <c r="S67" s="364">
        <v>0</v>
      </c>
      <c r="T67" s="353" t="s">
        <v>145</v>
      </c>
      <c r="U67" s="365" t="s">
        <v>756</v>
      </c>
      <c r="V67" s="141"/>
    </row>
    <row r="68" spans="2:22" ht="13.5" thickBot="1" x14ac:dyDescent="0.25">
      <c r="B68" s="364">
        <f t="shared" ref="B68:R68" si="69">SUM(B66:B67)</f>
        <v>1459</v>
      </c>
      <c r="C68" s="364">
        <f t="shared" si="69"/>
        <v>15</v>
      </c>
      <c r="D68" s="364">
        <f t="shared" si="69"/>
        <v>1444</v>
      </c>
      <c r="E68" s="364">
        <f t="shared" si="69"/>
        <v>435</v>
      </c>
      <c r="F68" s="364">
        <f t="shared" si="69"/>
        <v>2</v>
      </c>
      <c r="G68" s="364">
        <f t="shared" si="69"/>
        <v>433</v>
      </c>
      <c r="H68" s="364">
        <f t="shared" si="69"/>
        <v>207</v>
      </c>
      <c r="I68" s="364">
        <f t="shared" si="69"/>
        <v>4</v>
      </c>
      <c r="J68" s="364">
        <f t="shared" si="69"/>
        <v>203</v>
      </c>
      <c r="K68" s="364">
        <f t="shared" si="69"/>
        <v>766</v>
      </c>
      <c r="L68" s="364">
        <f t="shared" si="69"/>
        <v>2</v>
      </c>
      <c r="M68" s="364">
        <f t="shared" si="69"/>
        <v>764</v>
      </c>
      <c r="N68" s="364">
        <f t="shared" si="69"/>
        <v>7</v>
      </c>
      <c r="O68" s="364">
        <f t="shared" si="69"/>
        <v>5</v>
      </c>
      <c r="P68" s="364">
        <f t="shared" si="69"/>
        <v>2</v>
      </c>
      <c r="Q68" s="364">
        <f t="shared" si="69"/>
        <v>44</v>
      </c>
      <c r="R68" s="364">
        <f t="shared" si="69"/>
        <v>2</v>
      </c>
      <c r="S68" s="364">
        <f>SUM(S66:S67)</f>
        <v>42</v>
      </c>
      <c r="T68" s="353" t="s">
        <v>12</v>
      </c>
      <c r="U68" s="366"/>
      <c r="V68" s="141"/>
    </row>
    <row r="69" spans="2:22" ht="13.5" thickBot="1" x14ac:dyDescent="0.25">
      <c r="B69" s="364">
        <f t="shared" ref="B69:R71" si="70">B24+B27+B30+B33+B36+B39+B42+B45+B48+B51+B54+B57+B60+B63+B66</f>
        <v>1949</v>
      </c>
      <c r="C69" s="364">
        <f t="shared" si="70"/>
        <v>225</v>
      </c>
      <c r="D69" s="364">
        <f t="shared" si="70"/>
        <v>1724</v>
      </c>
      <c r="E69" s="364">
        <f t="shared" si="70"/>
        <v>591</v>
      </c>
      <c r="F69" s="364">
        <f t="shared" si="70"/>
        <v>26</v>
      </c>
      <c r="G69" s="364">
        <f t="shared" si="70"/>
        <v>565</v>
      </c>
      <c r="H69" s="364">
        <f t="shared" si="70"/>
        <v>274</v>
      </c>
      <c r="I69" s="364">
        <f t="shared" si="70"/>
        <v>16</v>
      </c>
      <c r="J69" s="364">
        <f t="shared" si="70"/>
        <v>258</v>
      </c>
      <c r="K69" s="364">
        <f t="shared" si="70"/>
        <v>1022</v>
      </c>
      <c r="L69" s="364">
        <f t="shared" si="70"/>
        <v>174</v>
      </c>
      <c r="M69" s="364">
        <f t="shared" si="70"/>
        <v>848</v>
      </c>
      <c r="N69" s="364">
        <f t="shared" si="70"/>
        <v>17</v>
      </c>
      <c r="O69" s="364">
        <f t="shared" si="70"/>
        <v>7</v>
      </c>
      <c r="P69" s="364">
        <f t="shared" si="70"/>
        <v>10</v>
      </c>
      <c r="Q69" s="364">
        <f t="shared" si="70"/>
        <v>45</v>
      </c>
      <c r="R69" s="364">
        <f t="shared" si="70"/>
        <v>2</v>
      </c>
      <c r="S69" s="364">
        <f>S24+S27+S30+S33+S36+S39+S42+S45+S48+S51+S54+S57+S60+S63+S66</f>
        <v>43</v>
      </c>
      <c r="T69" s="353" t="s">
        <v>146</v>
      </c>
      <c r="U69" s="367"/>
      <c r="V69" s="141"/>
    </row>
    <row r="70" spans="2:22" ht="13.5" thickBot="1" x14ac:dyDescent="0.25">
      <c r="B70" s="364">
        <f t="shared" si="70"/>
        <v>3</v>
      </c>
      <c r="C70" s="364">
        <f t="shared" si="70"/>
        <v>0</v>
      </c>
      <c r="D70" s="364">
        <f t="shared" si="70"/>
        <v>3</v>
      </c>
      <c r="E70" s="364">
        <f t="shared" si="70"/>
        <v>2</v>
      </c>
      <c r="F70" s="364">
        <f t="shared" si="70"/>
        <v>0</v>
      </c>
      <c r="G70" s="364">
        <f t="shared" si="70"/>
        <v>2</v>
      </c>
      <c r="H70" s="364">
        <f t="shared" si="70"/>
        <v>0</v>
      </c>
      <c r="I70" s="364">
        <f t="shared" si="70"/>
        <v>0</v>
      </c>
      <c r="J70" s="364">
        <f t="shared" si="70"/>
        <v>0</v>
      </c>
      <c r="K70" s="364">
        <f t="shared" si="70"/>
        <v>1</v>
      </c>
      <c r="L70" s="364">
        <f t="shared" si="70"/>
        <v>0</v>
      </c>
      <c r="M70" s="364">
        <f t="shared" si="70"/>
        <v>1</v>
      </c>
      <c r="N70" s="364">
        <f t="shared" si="70"/>
        <v>0</v>
      </c>
      <c r="O70" s="364">
        <f t="shared" si="70"/>
        <v>0</v>
      </c>
      <c r="P70" s="364">
        <f t="shared" si="70"/>
        <v>0</v>
      </c>
      <c r="Q70" s="364">
        <f t="shared" si="70"/>
        <v>0</v>
      </c>
      <c r="R70" s="364">
        <f t="shared" si="70"/>
        <v>0</v>
      </c>
      <c r="S70" s="364">
        <f t="shared" ref="S70:S71" si="71">S25+S28+S31+S34+S37+S40+S43+S46+S49+S52+S55+S58+S61+S64+S67</f>
        <v>0</v>
      </c>
      <c r="T70" s="353" t="s">
        <v>145</v>
      </c>
      <c r="U70" s="368" t="s">
        <v>188</v>
      </c>
      <c r="V70" s="141"/>
    </row>
    <row r="71" spans="2:22" ht="13.5" thickBot="1" x14ac:dyDescent="0.25">
      <c r="B71" s="364">
        <f t="shared" si="70"/>
        <v>1952</v>
      </c>
      <c r="C71" s="364">
        <f t="shared" si="70"/>
        <v>225</v>
      </c>
      <c r="D71" s="364">
        <f t="shared" si="70"/>
        <v>1727</v>
      </c>
      <c r="E71" s="364">
        <f t="shared" si="70"/>
        <v>593</v>
      </c>
      <c r="F71" s="364">
        <f t="shared" si="70"/>
        <v>26</v>
      </c>
      <c r="G71" s="364">
        <f t="shared" si="70"/>
        <v>567</v>
      </c>
      <c r="H71" s="364">
        <f t="shared" si="70"/>
        <v>274</v>
      </c>
      <c r="I71" s="364">
        <f t="shared" si="70"/>
        <v>16</v>
      </c>
      <c r="J71" s="364">
        <f t="shared" si="70"/>
        <v>258</v>
      </c>
      <c r="K71" s="364">
        <f t="shared" si="70"/>
        <v>1023</v>
      </c>
      <c r="L71" s="364">
        <f t="shared" si="70"/>
        <v>174</v>
      </c>
      <c r="M71" s="364">
        <f t="shared" si="70"/>
        <v>849</v>
      </c>
      <c r="N71" s="364">
        <f t="shared" si="70"/>
        <v>17</v>
      </c>
      <c r="O71" s="364">
        <f t="shared" si="70"/>
        <v>7</v>
      </c>
      <c r="P71" s="364">
        <f t="shared" si="70"/>
        <v>10</v>
      </c>
      <c r="Q71" s="364">
        <f t="shared" si="70"/>
        <v>45</v>
      </c>
      <c r="R71" s="364">
        <f t="shared" si="70"/>
        <v>2</v>
      </c>
      <c r="S71" s="364">
        <f t="shared" si="71"/>
        <v>43</v>
      </c>
      <c r="T71" s="353" t="s">
        <v>12</v>
      </c>
      <c r="U71" s="363"/>
      <c r="V71" s="141"/>
    </row>
    <row r="72" spans="2:22" ht="18" customHeight="1" thickBot="1" x14ac:dyDescent="0.25">
      <c r="B72" s="610"/>
      <c r="C72" s="610"/>
      <c r="D72" s="610"/>
      <c r="E72" s="610"/>
      <c r="F72" s="610"/>
      <c r="G72" s="610"/>
      <c r="H72" s="610"/>
      <c r="I72" s="610"/>
      <c r="J72" s="610"/>
      <c r="K72" s="610"/>
      <c r="L72" s="610"/>
      <c r="M72" s="610"/>
      <c r="N72" s="610"/>
      <c r="O72" s="610"/>
      <c r="P72" s="610"/>
      <c r="Q72" s="610"/>
      <c r="R72" s="610"/>
      <c r="S72" s="610"/>
      <c r="T72" s="610"/>
      <c r="U72" s="610"/>
      <c r="V72" s="141"/>
    </row>
    <row r="73" spans="2:22" ht="13.5" customHeight="1" thickBot="1" x14ac:dyDescent="0.25">
      <c r="B73" s="607" t="s">
        <v>4</v>
      </c>
      <c r="C73" s="607"/>
      <c r="D73" s="607"/>
      <c r="E73" s="607" t="s">
        <v>53</v>
      </c>
      <c r="F73" s="607"/>
      <c r="G73" s="607"/>
      <c r="H73" s="607" t="s">
        <v>61</v>
      </c>
      <c r="I73" s="607"/>
      <c r="J73" s="607"/>
      <c r="K73" s="607" t="s">
        <v>60</v>
      </c>
      <c r="L73" s="607"/>
      <c r="M73" s="607"/>
      <c r="N73" s="607" t="s">
        <v>57</v>
      </c>
      <c r="O73" s="607"/>
      <c r="P73" s="607"/>
      <c r="Q73" s="607" t="s">
        <v>56</v>
      </c>
      <c r="R73" s="607"/>
      <c r="S73" s="607"/>
      <c r="T73" s="608" t="s">
        <v>792</v>
      </c>
      <c r="U73" s="347" t="s">
        <v>144</v>
      </c>
      <c r="V73" s="141"/>
    </row>
    <row r="74" spans="2:22" ht="13.5" thickBot="1" x14ac:dyDescent="0.25">
      <c r="B74" s="347" t="s">
        <v>227</v>
      </c>
      <c r="C74" s="347" t="s">
        <v>10</v>
      </c>
      <c r="D74" s="347" t="s">
        <v>9</v>
      </c>
      <c r="E74" s="347" t="s">
        <v>227</v>
      </c>
      <c r="F74" s="347" t="s">
        <v>10</v>
      </c>
      <c r="G74" s="347" t="s">
        <v>9</v>
      </c>
      <c r="H74" s="347" t="s">
        <v>227</v>
      </c>
      <c r="I74" s="347" t="s">
        <v>10</v>
      </c>
      <c r="J74" s="347" t="s">
        <v>9</v>
      </c>
      <c r="K74" s="347" t="s">
        <v>227</v>
      </c>
      <c r="L74" s="347" t="s">
        <v>10</v>
      </c>
      <c r="M74" s="347" t="s">
        <v>9</v>
      </c>
      <c r="N74" s="347" t="s">
        <v>227</v>
      </c>
      <c r="O74" s="347" t="s">
        <v>10</v>
      </c>
      <c r="P74" s="347" t="s">
        <v>9</v>
      </c>
      <c r="Q74" s="347" t="s">
        <v>227</v>
      </c>
      <c r="R74" s="347" t="s">
        <v>10</v>
      </c>
      <c r="S74" s="347" t="s">
        <v>9</v>
      </c>
      <c r="T74" s="609"/>
      <c r="U74" s="363" t="s">
        <v>72</v>
      </c>
      <c r="V74" s="141"/>
    </row>
    <row r="75" spans="2:22" ht="13.5" thickBot="1" x14ac:dyDescent="0.25">
      <c r="B75" s="364">
        <f>SUM(C75:D75)</f>
        <v>187</v>
      </c>
      <c r="C75" s="364">
        <f>R75+O75+L75+I75+F75</f>
        <v>1</v>
      </c>
      <c r="D75" s="364">
        <f>S75+P75+M75+J75+G75</f>
        <v>186</v>
      </c>
      <c r="E75" s="364">
        <f>SUM(F75:G75)</f>
        <v>105</v>
      </c>
      <c r="F75" s="364">
        <v>0</v>
      </c>
      <c r="G75" s="364">
        <v>105</v>
      </c>
      <c r="H75" s="364">
        <f>SUM(I75:J75)</f>
        <v>14</v>
      </c>
      <c r="I75" s="364">
        <v>0</v>
      </c>
      <c r="J75" s="364">
        <v>14</v>
      </c>
      <c r="K75" s="364">
        <f>SUM(L75:M75)</f>
        <v>54</v>
      </c>
      <c r="L75" s="364">
        <v>1</v>
      </c>
      <c r="M75" s="364">
        <v>53</v>
      </c>
      <c r="N75" s="364">
        <f>SUM(O75:P75)</f>
        <v>14</v>
      </c>
      <c r="O75" s="364">
        <v>0</v>
      </c>
      <c r="P75" s="364">
        <v>14</v>
      </c>
      <c r="Q75" s="364">
        <f>SUM(R75:S75)</f>
        <v>0</v>
      </c>
      <c r="R75" s="364">
        <v>0</v>
      </c>
      <c r="S75" s="364">
        <v>0</v>
      </c>
      <c r="T75" s="353" t="s">
        <v>146</v>
      </c>
      <c r="U75" s="365"/>
      <c r="V75" s="141"/>
    </row>
    <row r="76" spans="2:22" ht="13.5" thickBot="1" x14ac:dyDescent="0.25">
      <c r="B76" s="364">
        <f t="shared" ref="B76" si="72">SUM(C76:D76)</f>
        <v>1</v>
      </c>
      <c r="C76" s="364">
        <f t="shared" ref="C76:D76" si="73">R76+O76+L76+I76+F76</f>
        <v>0</v>
      </c>
      <c r="D76" s="364">
        <f t="shared" si="73"/>
        <v>1</v>
      </c>
      <c r="E76" s="364">
        <f t="shared" ref="E76:E139" si="74">SUM(F76:G76)</f>
        <v>0</v>
      </c>
      <c r="F76" s="364">
        <v>0</v>
      </c>
      <c r="G76" s="364">
        <v>0</v>
      </c>
      <c r="H76" s="364">
        <f t="shared" ref="H76:H139" si="75">SUM(I76:J76)</f>
        <v>1</v>
      </c>
      <c r="I76" s="364">
        <v>0</v>
      </c>
      <c r="J76" s="364">
        <v>1</v>
      </c>
      <c r="K76" s="364">
        <f t="shared" ref="K76:K139" si="76">SUM(L76:M76)</f>
        <v>0</v>
      </c>
      <c r="L76" s="364">
        <v>0</v>
      </c>
      <c r="M76" s="364">
        <v>0</v>
      </c>
      <c r="N76" s="364">
        <f t="shared" ref="N76:N139" si="77">SUM(O76:P76)</f>
        <v>0</v>
      </c>
      <c r="O76" s="364">
        <v>0</v>
      </c>
      <c r="P76" s="364">
        <v>0</v>
      </c>
      <c r="Q76" s="364">
        <f t="shared" ref="Q76:Q139" si="78">SUM(R76:S76)</f>
        <v>0</v>
      </c>
      <c r="R76" s="364">
        <v>0</v>
      </c>
      <c r="S76" s="364">
        <v>0</v>
      </c>
      <c r="T76" s="353" t="s">
        <v>145</v>
      </c>
      <c r="U76" s="365" t="s">
        <v>375</v>
      </c>
      <c r="V76" s="141"/>
    </row>
    <row r="77" spans="2:22" ht="13.5" thickBot="1" x14ac:dyDescent="0.25">
      <c r="B77" s="364">
        <f t="shared" ref="B77:R77" si="79">SUM(B75:B76)</f>
        <v>188</v>
      </c>
      <c r="C77" s="364">
        <f t="shared" si="79"/>
        <v>1</v>
      </c>
      <c r="D77" s="364">
        <f t="shared" si="79"/>
        <v>187</v>
      </c>
      <c r="E77" s="364">
        <f t="shared" si="79"/>
        <v>105</v>
      </c>
      <c r="F77" s="364">
        <f t="shared" si="79"/>
        <v>0</v>
      </c>
      <c r="G77" s="364">
        <f t="shared" si="79"/>
        <v>105</v>
      </c>
      <c r="H77" s="364">
        <f t="shared" si="79"/>
        <v>15</v>
      </c>
      <c r="I77" s="364">
        <f t="shared" si="79"/>
        <v>0</v>
      </c>
      <c r="J77" s="364">
        <f t="shared" si="79"/>
        <v>15</v>
      </c>
      <c r="K77" s="364">
        <f t="shared" si="79"/>
        <v>54</v>
      </c>
      <c r="L77" s="364">
        <f t="shared" si="79"/>
        <v>1</v>
      </c>
      <c r="M77" s="364">
        <f t="shared" si="79"/>
        <v>53</v>
      </c>
      <c r="N77" s="364">
        <f t="shared" si="79"/>
        <v>14</v>
      </c>
      <c r="O77" s="364">
        <f t="shared" si="79"/>
        <v>0</v>
      </c>
      <c r="P77" s="364">
        <f t="shared" si="79"/>
        <v>14</v>
      </c>
      <c r="Q77" s="364">
        <f t="shared" si="79"/>
        <v>0</v>
      </c>
      <c r="R77" s="364">
        <f t="shared" si="79"/>
        <v>0</v>
      </c>
      <c r="S77" s="364">
        <f>SUM(S75:S76)</f>
        <v>0</v>
      </c>
      <c r="T77" s="353" t="s">
        <v>12</v>
      </c>
      <c r="U77" s="366"/>
      <c r="V77" s="141"/>
    </row>
    <row r="78" spans="2:22" ht="13.5" thickBot="1" x14ac:dyDescent="0.25">
      <c r="B78" s="364">
        <f t="shared" ref="B78:B79" si="80">SUM(C78:D78)</f>
        <v>64</v>
      </c>
      <c r="C78" s="364">
        <f t="shared" ref="C78:D79" si="81">R78+O78+L78+I78+F78</f>
        <v>7</v>
      </c>
      <c r="D78" s="364">
        <f t="shared" si="81"/>
        <v>57</v>
      </c>
      <c r="E78" s="364">
        <f t="shared" si="74"/>
        <v>32</v>
      </c>
      <c r="F78" s="364">
        <v>0</v>
      </c>
      <c r="G78" s="364">
        <v>32</v>
      </c>
      <c r="H78" s="364">
        <f t="shared" si="75"/>
        <v>5</v>
      </c>
      <c r="I78" s="364">
        <v>0</v>
      </c>
      <c r="J78" s="364">
        <v>5</v>
      </c>
      <c r="K78" s="364">
        <f t="shared" si="76"/>
        <v>26</v>
      </c>
      <c r="L78" s="364">
        <v>6</v>
      </c>
      <c r="M78" s="364">
        <v>20</v>
      </c>
      <c r="N78" s="364">
        <f t="shared" si="77"/>
        <v>1</v>
      </c>
      <c r="O78" s="364">
        <v>1</v>
      </c>
      <c r="P78" s="364">
        <v>0</v>
      </c>
      <c r="Q78" s="364">
        <f t="shared" si="78"/>
        <v>0</v>
      </c>
      <c r="R78" s="364">
        <v>0</v>
      </c>
      <c r="S78" s="364">
        <v>0</v>
      </c>
      <c r="T78" s="353" t="s">
        <v>146</v>
      </c>
      <c r="U78" s="365"/>
      <c r="V78" s="141"/>
    </row>
    <row r="79" spans="2:22" ht="13.5" thickBot="1" x14ac:dyDescent="0.25">
      <c r="B79" s="364">
        <f t="shared" si="80"/>
        <v>3</v>
      </c>
      <c r="C79" s="364">
        <f t="shared" si="81"/>
        <v>0</v>
      </c>
      <c r="D79" s="364">
        <f t="shared" si="81"/>
        <v>3</v>
      </c>
      <c r="E79" s="364">
        <f t="shared" si="74"/>
        <v>0</v>
      </c>
      <c r="F79" s="364">
        <v>0</v>
      </c>
      <c r="G79" s="364">
        <v>0</v>
      </c>
      <c r="H79" s="364">
        <f t="shared" si="75"/>
        <v>0</v>
      </c>
      <c r="I79" s="364">
        <v>0</v>
      </c>
      <c r="J79" s="364">
        <v>0</v>
      </c>
      <c r="K79" s="364">
        <f t="shared" si="76"/>
        <v>3</v>
      </c>
      <c r="L79" s="364">
        <v>0</v>
      </c>
      <c r="M79" s="364">
        <v>3</v>
      </c>
      <c r="N79" s="364">
        <f t="shared" si="77"/>
        <v>0</v>
      </c>
      <c r="O79" s="364">
        <v>0</v>
      </c>
      <c r="P79" s="364">
        <v>0</v>
      </c>
      <c r="Q79" s="364">
        <f t="shared" si="78"/>
        <v>0</v>
      </c>
      <c r="R79" s="364">
        <v>0</v>
      </c>
      <c r="S79" s="364">
        <v>0</v>
      </c>
      <c r="T79" s="353" t="s">
        <v>145</v>
      </c>
      <c r="U79" s="365" t="s">
        <v>348</v>
      </c>
      <c r="V79" s="141"/>
    </row>
    <row r="80" spans="2:22" ht="13.5" thickBot="1" x14ac:dyDescent="0.25">
      <c r="B80" s="364">
        <f t="shared" ref="B80:R80" si="82">SUM(B78:B79)</f>
        <v>67</v>
      </c>
      <c r="C80" s="364">
        <f t="shared" si="82"/>
        <v>7</v>
      </c>
      <c r="D80" s="364">
        <f t="shared" si="82"/>
        <v>60</v>
      </c>
      <c r="E80" s="364">
        <f t="shared" si="82"/>
        <v>32</v>
      </c>
      <c r="F80" s="364">
        <f t="shared" si="82"/>
        <v>0</v>
      </c>
      <c r="G80" s="364">
        <f t="shared" si="82"/>
        <v>32</v>
      </c>
      <c r="H80" s="364">
        <f t="shared" si="82"/>
        <v>5</v>
      </c>
      <c r="I80" s="364">
        <f t="shared" si="82"/>
        <v>0</v>
      </c>
      <c r="J80" s="364">
        <f t="shared" si="82"/>
        <v>5</v>
      </c>
      <c r="K80" s="364">
        <f t="shared" si="82"/>
        <v>29</v>
      </c>
      <c r="L80" s="364">
        <f t="shared" si="82"/>
        <v>6</v>
      </c>
      <c r="M80" s="364">
        <f t="shared" si="82"/>
        <v>23</v>
      </c>
      <c r="N80" s="364">
        <f t="shared" si="82"/>
        <v>1</v>
      </c>
      <c r="O80" s="364">
        <f t="shared" si="82"/>
        <v>1</v>
      </c>
      <c r="P80" s="364">
        <f t="shared" si="82"/>
        <v>0</v>
      </c>
      <c r="Q80" s="364">
        <f t="shared" si="82"/>
        <v>0</v>
      </c>
      <c r="R80" s="364">
        <f t="shared" si="82"/>
        <v>0</v>
      </c>
      <c r="S80" s="364">
        <f>SUM(S78:S79)</f>
        <v>0</v>
      </c>
      <c r="T80" s="353" t="s">
        <v>12</v>
      </c>
      <c r="U80" s="366"/>
      <c r="V80" s="141"/>
    </row>
    <row r="81" spans="2:22" ht="13.5" thickBot="1" x14ac:dyDescent="0.25">
      <c r="B81" s="364">
        <f t="shared" ref="B81:B82" si="83">SUM(C81:D81)</f>
        <v>22</v>
      </c>
      <c r="C81" s="364">
        <f t="shared" ref="C81:D82" si="84">R81+O81+L81+I81+F81</f>
        <v>0</v>
      </c>
      <c r="D81" s="364">
        <f t="shared" si="84"/>
        <v>22</v>
      </c>
      <c r="E81" s="364">
        <f t="shared" si="74"/>
        <v>16</v>
      </c>
      <c r="F81" s="364">
        <v>0</v>
      </c>
      <c r="G81" s="364">
        <v>16</v>
      </c>
      <c r="H81" s="364">
        <f t="shared" si="75"/>
        <v>3</v>
      </c>
      <c r="I81" s="364">
        <v>0</v>
      </c>
      <c r="J81" s="364">
        <v>3</v>
      </c>
      <c r="K81" s="364">
        <f t="shared" si="76"/>
        <v>3</v>
      </c>
      <c r="L81" s="364">
        <v>0</v>
      </c>
      <c r="M81" s="364">
        <v>3</v>
      </c>
      <c r="N81" s="364">
        <f t="shared" si="77"/>
        <v>0</v>
      </c>
      <c r="O81" s="364">
        <v>0</v>
      </c>
      <c r="P81" s="364">
        <v>0</v>
      </c>
      <c r="Q81" s="364">
        <f t="shared" si="78"/>
        <v>0</v>
      </c>
      <c r="R81" s="364">
        <v>0</v>
      </c>
      <c r="S81" s="364">
        <v>0</v>
      </c>
      <c r="T81" s="353" t="s">
        <v>146</v>
      </c>
      <c r="U81" s="365"/>
      <c r="V81" s="141"/>
    </row>
    <row r="82" spans="2:22" ht="13.5" thickBot="1" x14ac:dyDescent="0.25">
      <c r="B82" s="364">
        <f t="shared" si="83"/>
        <v>0</v>
      </c>
      <c r="C82" s="364">
        <f t="shared" si="84"/>
        <v>0</v>
      </c>
      <c r="D82" s="364">
        <f t="shared" si="84"/>
        <v>0</v>
      </c>
      <c r="E82" s="364">
        <f t="shared" si="74"/>
        <v>0</v>
      </c>
      <c r="F82" s="364">
        <v>0</v>
      </c>
      <c r="G82" s="364">
        <v>0</v>
      </c>
      <c r="H82" s="364">
        <f t="shared" si="75"/>
        <v>0</v>
      </c>
      <c r="I82" s="364">
        <v>0</v>
      </c>
      <c r="J82" s="364">
        <v>0</v>
      </c>
      <c r="K82" s="364">
        <f t="shared" si="76"/>
        <v>0</v>
      </c>
      <c r="L82" s="364">
        <v>0</v>
      </c>
      <c r="M82" s="364">
        <v>0</v>
      </c>
      <c r="N82" s="364">
        <f t="shared" si="77"/>
        <v>0</v>
      </c>
      <c r="O82" s="364">
        <v>0</v>
      </c>
      <c r="P82" s="364">
        <v>0</v>
      </c>
      <c r="Q82" s="364">
        <f t="shared" si="78"/>
        <v>0</v>
      </c>
      <c r="R82" s="364">
        <v>0</v>
      </c>
      <c r="S82" s="364">
        <v>0</v>
      </c>
      <c r="T82" s="353" t="s">
        <v>145</v>
      </c>
      <c r="U82" s="365" t="s">
        <v>364</v>
      </c>
      <c r="V82" s="141"/>
    </row>
    <row r="83" spans="2:22" ht="13.5" thickBot="1" x14ac:dyDescent="0.25">
      <c r="B83" s="364">
        <f t="shared" ref="B83:R83" si="85">SUM(B81:B82)</f>
        <v>22</v>
      </c>
      <c r="C83" s="364">
        <f t="shared" si="85"/>
        <v>0</v>
      </c>
      <c r="D83" s="364">
        <f t="shared" si="85"/>
        <v>22</v>
      </c>
      <c r="E83" s="364">
        <f t="shared" si="85"/>
        <v>16</v>
      </c>
      <c r="F83" s="364">
        <f t="shared" si="85"/>
        <v>0</v>
      </c>
      <c r="G83" s="364">
        <f t="shared" si="85"/>
        <v>16</v>
      </c>
      <c r="H83" s="364">
        <f t="shared" si="85"/>
        <v>3</v>
      </c>
      <c r="I83" s="364">
        <f t="shared" si="85"/>
        <v>0</v>
      </c>
      <c r="J83" s="364">
        <f t="shared" si="85"/>
        <v>3</v>
      </c>
      <c r="K83" s="364">
        <f t="shared" si="85"/>
        <v>3</v>
      </c>
      <c r="L83" s="364">
        <f t="shared" si="85"/>
        <v>0</v>
      </c>
      <c r="M83" s="364">
        <f t="shared" si="85"/>
        <v>3</v>
      </c>
      <c r="N83" s="364">
        <f t="shared" si="85"/>
        <v>0</v>
      </c>
      <c r="O83" s="364">
        <f t="shared" si="85"/>
        <v>0</v>
      </c>
      <c r="P83" s="364">
        <f t="shared" si="85"/>
        <v>0</v>
      </c>
      <c r="Q83" s="364">
        <f t="shared" si="85"/>
        <v>0</v>
      </c>
      <c r="R83" s="364">
        <f t="shared" si="85"/>
        <v>0</v>
      </c>
      <c r="S83" s="364">
        <f>SUM(S81:S82)</f>
        <v>0</v>
      </c>
      <c r="T83" s="353" t="s">
        <v>12</v>
      </c>
      <c r="U83" s="366"/>
      <c r="V83" s="141"/>
    </row>
    <row r="84" spans="2:22" ht="13.5" thickBot="1" x14ac:dyDescent="0.25">
      <c r="B84" s="364">
        <f t="shared" ref="B84:B85" si="86">SUM(C84:D84)</f>
        <v>66</v>
      </c>
      <c r="C84" s="364">
        <f t="shared" ref="C84:D85" si="87">R84+O84+L84+I84+F84</f>
        <v>0</v>
      </c>
      <c r="D84" s="364">
        <f t="shared" si="87"/>
        <v>66</v>
      </c>
      <c r="E84" s="364">
        <f t="shared" si="74"/>
        <v>46</v>
      </c>
      <c r="F84" s="364">
        <v>0</v>
      </c>
      <c r="G84" s="364">
        <v>46</v>
      </c>
      <c r="H84" s="364">
        <f t="shared" si="75"/>
        <v>6</v>
      </c>
      <c r="I84" s="364">
        <v>0</v>
      </c>
      <c r="J84" s="364">
        <v>6</v>
      </c>
      <c r="K84" s="364">
        <f t="shared" si="76"/>
        <v>13</v>
      </c>
      <c r="L84" s="364">
        <v>0</v>
      </c>
      <c r="M84" s="364">
        <v>13</v>
      </c>
      <c r="N84" s="364">
        <f t="shared" si="77"/>
        <v>1</v>
      </c>
      <c r="O84" s="364">
        <v>0</v>
      </c>
      <c r="P84" s="364">
        <v>1</v>
      </c>
      <c r="Q84" s="364">
        <f t="shared" si="78"/>
        <v>0</v>
      </c>
      <c r="R84" s="364">
        <v>0</v>
      </c>
      <c r="S84" s="364">
        <v>0</v>
      </c>
      <c r="T84" s="353" t="s">
        <v>146</v>
      </c>
      <c r="U84" s="365"/>
      <c r="V84" s="141"/>
    </row>
    <row r="85" spans="2:22" ht="13.5" thickBot="1" x14ac:dyDescent="0.25">
      <c r="B85" s="364">
        <f t="shared" si="86"/>
        <v>0</v>
      </c>
      <c r="C85" s="364">
        <f t="shared" si="87"/>
        <v>0</v>
      </c>
      <c r="D85" s="364">
        <f t="shared" si="87"/>
        <v>0</v>
      </c>
      <c r="E85" s="364">
        <f t="shared" si="74"/>
        <v>0</v>
      </c>
      <c r="F85" s="364">
        <v>0</v>
      </c>
      <c r="G85" s="364">
        <v>0</v>
      </c>
      <c r="H85" s="364">
        <f t="shared" si="75"/>
        <v>0</v>
      </c>
      <c r="I85" s="364">
        <v>0</v>
      </c>
      <c r="J85" s="364">
        <v>0</v>
      </c>
      <c r="K85" s="364">
        <f t="shared" si="76"/>
        <v>0</v>
      </c>
      <c r="L85" s="364">
        <v>0</v>
      </c>
      <c r="M85" s="364">
        <v>0</v>
      </c>
      <c r="N85" s="364">
        <f t="shared" si="77"/>
        <v>0</v>
      </c>
      <c r="O85" s="364">
        <v>0</v>
      </c>
      <c r="P85" s="364">
        <v>0</v>
      </c>
      <c r="Q85" s="364">
        <f t="shared" si="78"/>
        <v>0</v>
      </c>
      <c r="R85" s="364">
        <v>0</v>
      </c>
      <c r="S85" s="364">
        <v>0</v>
      </c>
      <c r="T85" s="353" t="s">
        <v>145</v>
      </c>
      <c r="U85" s="365" t="s">
        <v>371</v>
      </c>
      <c r="V85" s="141"/>
    </row>
    <row r="86" spans="2:22" ht="13.5" thickBot="1" x14ac:dyDescent="0.25">
      <c r="B86" s="364">
        <f t="shared" ref="B86:R86" si="88">SUM(B84:B85)</f>
        <v>66</v>
      </c>
      <c r="C86" s="364">
        <f t="shared" si="88"/>
        <v>0</v>
      </c>
      <c r="D86" s="364">
        <f t="shared" si="88"/>
        <v>66</v>
      </c>
      <c r="E86" s="364">
        <f t="shared" si="88"/>
        <v>46</v>
      </c>
      <c r="F86" s="364">
        <f t="shared" si="88"/>
        <v>0</v>
      </c>
      <c r="G86" s="364">
        <f t="shared" si="88"/>
        <v>46</v>
      </c>
      <c r="H86" s="364">
        <f t="shared" si="88"/>
        <v>6</v>
      </c>
      <c r="I86" s="364">
        <f t="shared" si="88"/>
        <v>0</v>
      </c>
      <c r="J86" s="364">
        <f t="shared" si="88"/>
        <v>6</v>
      </c>
      <c r="K86" s="364">
        <f t="shared" si="88"/>
        <v>13</v>
      </c>
      <c r="L86" s="364">
        <f t="shared" si="88"/>
        <v>0</v>
      </c>
      <c r="M86" s="364">
        <f t="shared" si="88"/>
        <v>13</v>
      </c>
      <c r="N86" s="364">
        <f t="shared" si="88"/>
        <v>1</v>
      </c>
      <c r="O86" s="364">
        <f t="shared" si="88"/>
        <v>0</v>
      </c>
      <c r="P86" s="364">
        <f t="shared" si="88"/>
        <v>1</v>
      </c>
      <c r="Q86" s="364">
        <f t="shared" si="88"/>
        <v>0</v>
      </c>
      <c r="R86" s="364">
        <f t="shared" si="88"/>
        <v>0</v>
      </c>
      <c r="S86" s="364">
        <f>SUM(S84:S85)</f>
        <v>0</v>
      </c>
      <c r="T86" s="353" t="s">
        <v>12</v>
      </c>
      <c r="U86" s="366"/>
      <c r="V86" s="141"/>
    </row>
    <row r="87" spans="2:22" ht="13.5" thickBot="1" x14ac:dyDescent="0.25">
      <c r="B87" s="364">
        <f t="shared" ref="B87:B88" si="89">SUM(C87:D87)</f>
        <v>55</v>
      </c>
      <c r="C87" s="364">
        <f t="shared" ref="C87:D88" si="90">R87+O87+L87+I87+F87</f>
        <v>1</v>
      </c>
      <c r="D87" s="364">
        <f t="shared" si="90"/>
        <v>54</v>
      </c>
      <c r="E87" s="364">
        <f t="shared" si="74"/>
        <v>36</v>
      </c>
      <c r="F87" s="364">
        <v>0</v>
      </c>
      <c r="G87" s="364">
        <v>36</v>
      </c>
      <c r="H87" s="364">
        <f t="shared" si="75"/>
        <v>6</v>
      </c>
      <c r="I87" s="364">
        <v>0</v>
      </c>
      <c r="J87" s="364">
        <v>6</v>
      </c>
      <c r="K87" s="364">
        <f t="shared" si="76"/>
        <v>12</v>
      </c>
      <c r="L87" s="364">
        <v>1</v>
      </c>
      <c r="M87" s="364">
        <v>11</v>
      </c>
      <c r="N87" s="364">
        <f t="shared" si="77"/>
        <v>1</v>
      </c>
      <c r="O87" s="364">
        <v>0</v>
      </c>
      <c r="P87" s="364">
        <v>1</v>
      </c>
      <c r="Q87" s="364">
        <f t="shared" si="78"/>
        <v>0</v>
      </c>
      <c r="R87" s="364">
        <v>0</v>
      </c>
      <c r="S87" s="364">
        <v>0</v>
      </c>
      <c r="T87" s="353" t="s">
        <v>146</v>
      </c>
      <c r="U87" s="365"/>
      <c r="V87" s="141"/>
    </row>
    <row r="88" spans="2:22" ht="13.5" thickBot="1" x14ac:dyDescent="0.25">
      <c r="B88" s="364">
        <f t="shared" si="89"/>
        <v>0</v>
      </c>
      <c r="C88" s="364">
        <f t="shared" si="90"/>
        <v>0</v>
      </c>
      <c r="D88" s="364">
        <f t="shared" si="90"/>
        <v>0</v>
      </c>
      <c r="E88" s="364">
        <f t="shared" si="74"/>
        <v>0</v>
      </c>
      <c r="F88" s="364">
        <v>0</v>
      </c>
      <c r="G88" s="364">
        <v>0</v>
      </c>
      <c r="H88" s="364">
        <f t="shared" si="75"/>
        <v>0</v>
      </c>
      <c r="I88" s="364">
        <v>0</v>
      </c>
      <c r="J88" s="364">
        <v>0</v>
      </c>
      <c r="K88" s="364">
        <f t="shared" si="76"/>
        <v>0</v>
      </c>
      <c r="L88" s="364">
        <v>0</v>
      </c>
      <c r="M88" s="364">
        <v>0</v>
      </c>
      <c r="N88" s="364">
        <f t="shared" si="77"/>
        <v>0</v>
      </c>
      <c r="O88" s="364">
        <v>0</v>
      </c>
      <c r="P88" s="364">
        <v>0</v>
      </c>
      <c r="Q88" s="364">
        <f t="shared" si="78"/>
        <v>0</v>
      </c>
      <c r="R88" s="364">
        <v>0</v>
      </c>
      <c r="S88" s="364">
        <v>0</v>
      </c>
      <c r="T88" s="353" t="s">
        <v>145</v>
      </c>
      <c r="U88" s="365" t="s">
        <v>496</v>
      </c>
      <c r="V88" s="141"/>
    </row>
    <row r="89" spans="2:22" ht="13.5" thickBot="1" x14ac:dyDescent="0.25">
      <c r="B89" s="364">
        <f t="shared" ref="B89:R89" si="91">SUM(B87:B88)</f>
        <v>55</v>
      </c>
      <c r="C89" s="364">
        <f t="shared" si="91"/>
        <v>1</v>
      </c>
      <c r="D89" s="364">
        <f t="shared" si="91"/>
        <v>54</v>
      </c>
      <c r="E89" s="364">
        <f t="shared" si="91"/>
        <v>36</v>
      </c>
      <c r="F89" s="364">
        <f t="shared" si="91"/>
        <v>0</v>
      </c>
      <c r="G89" s="364">
        <f t="shared" si="91"/>
        <v>36</v>
      </c>
      <c r="H89" s="364">
        <f t="shared" si="91"/>
        <v>6</v>
      </c>
      <c r="I89" s="364">
        <f t="shared" si="91"/>
        <v>0</v>
      </c>
      <c r="J89" s="364">
        <f t="shared" si="91"/>
        <v>6</v>
      </c>
      <c r="K89" s="364">
        <f t="shared" si="91"/>
        <v>12</v>
      </c>
      <c r="L89" s="364">
        <f t="shared" si="91"/>
        <v>1</v>
      </c>
      <c r="M89" s="364">
        <f t="shared" si="91"/>
        <v>11</v>
      </c>
      <c r="N89" s="364">
        <f t="shared" si="91"/>
        <v>1</v>
      </c>
      <c r="O89" s="364">
        <f t="shared" si="91"/>
        <v>0</v>
      </c>
      <c r="P89" s="364">
        <f t="shared" si="91"/>
        <v>1</v>
      </c>
      <c r="Q89" s="364">
        <f t="shared" si="91"/>
        <v>0</v>
      </c>
      <c r="R89" s="364">
        <f t="shared" si="91"/>
        <v>0</v>
      </c>
      <c r="S89" s="364">
        <f>SUM(S87:S88)</f>
        <v>0</v>
      </c>
      <c r="T89" s="353" t="s">
        <v>12</v>
      </c>
      <c r="U89" s="366"/>
      <c r="V89" s="141"/>
    </row>
    <row r="90" spans="2:22" ht="13.5" thickBot="1" x14ac:dyDescent="0.25">
      <c r="B90" s="364">
        <f t="shared" ref="B90:B91" si="92">SUM(C90:D90)</f>
        <v>5</v>
      </c>
      <c r="C90" s="364">
        <f t="shared" ref="C90:D91" si="93">R90+O90+L90+I90+F90</f>
        <v>1</v>
      </c>
      <c r="D90" s="364">
        <f t="shared" si="93"/>
        <v>4</v>
      </c>
      <c r="E90" s="364">
        <f t="shared" si="74"/>
        <v>2</v>
      </c>
      <c r="F90" s="364">
        <v>0</v>
      </c>
      <c r="G90" s="364">
        <v>2</v>
      </c>
      <c r="H90" s="364">
        <f t="shared" si="75"/>
        <v>0</v>
      </c>
      <c r="I90" s="364">
        <v>0</v>
      </c>
      <c r="J90" s="364">
        <v>0</v>
      </c>
      <c r="K90" s="364">
        <f t="shared" si="76"/>
        <v>3</v>
      </c>
      <c r="L90" s="364">
        <v>1</v>
      </c>
      <c r="M90" s="364">
        <v>2</v>
      </c>
      <c r="N90" s="364">
        <f t="shared" si="77"/>
        <v>0</v>
      </c>
      <c r="O90" s="364">
        <v>0</v>
      </c>
      <c r="P90" s="364">
        <v>0</v>
      </c>
      <c r="Q90" s="364">
        <f t="shared" si="78"/>
        <v>0</v>
      </c>
      <c r="R90" s="364">
        <v>0</v>
      </c>
      <c r="S90" s="364">
        <v>0</v>
      </c>
      <c r="T90" s="353" t="s">
        <v>146</v>
      </c>
      <c r="U90" s="365"/>
      <c r="V90" s="141"/>
    </row>
    <row r="91" spans="2:22" ht="13.5" thickBot="1" x14ac:dyDescent="0.25">
      <c r="B91" s="364">
        <f t="shared" si="92"/>
        <v>2</v>
      </c>
      <c r="C91" s="364">
        <f t="shared" si="93"/>
        <v>0</v>
      </c>
      <c r="D91" s="364">
        <f t="shared" si="93"/>
        <v>2</v>
      </c>
      <c r="E91" s="364">
        <f t="shared" si="74"/>
        <v>0</v>
      </c>
      <c r="F91" s="364">
        <v>0</v>
      </c>
      <c r="G91" s="364">
        <v>0</v>
      </c>
      <c r="H91" s="364">
        <f t="shared" si="75"/>
        <v>0</v>
      </c>
      <c r="I91" s="364">
        <v>0</v>
      </c>
      <c r="J91" s="364">
        <v>0</v>
      </c>
      <c r="K91" s="364">
        <f t="shared" si="76"/>
        <v>2</v>
      </c>
      <c r="L91" s="364">
        <v>0</v>
      </c>
      <c r="M91" s="364">
        <v>2</v>
      </c>
      <c r="N91" s="364">
        <f t="shared" si="77"/>
        <v>0</v>
      </c>
      <c r="O91" s="364">
        <v>0</v>
      </c>
      <c r="P91" s="364">
        <v>0</v>
      </c>
      <c r="Q91" s="364">
        <f t="shared" si="78"/>
        <v>0</v>
      </c>
      <c r="R91" s="364">
        <v>0</v>
      </c>
      <c r="S91" s="364">
        <v>0</v>
      </c>
      <c r="T91" s="353" t="s">
        <v>145</v>
      </c>
      <c r="U91" s="365" t="s">
        <v>344</v>
      </c>
      <c r="V91" s="141"/>
    </row>
    <row r="92" spans="2:22" ht="13.5" thickBot="1" x14ac:dyDescent="0.25">
      <c r="B92" s="364">
        <f t="shared" ref="B92:R92" si="94">SUM(B90:B91)</f>
        <v>7</v>
      </c>
      <c r="C92" s="364">
        <f t="shared" si="94"/>
        <v>1</v>
      </c>
      <c r="D92" s="364">
        <f t="shared" si="94"/>
        <v>6</v>
      </c>
      <c r="E92" s="364">
        <f t="shared" si="94"/>
        <v>2</v>
      </c>
      <c r="F92" s="364">
        <f t="shared" si="94"/>
        <v>0</v>
      </c>
      <c r="G92" s="364">
        <f t="shared" si="94"/>
        <v>2</v>
      </c>
      <c r="H92" s="364">
        <f t="shared" si="94"/>
        <v>0</v>
      </c>
      <c r="I92" s="364">
        <f t="shared" si="94"/>
        <v>0</v>
      </c>
      <c r="J92" s="364">
        <f t="shared" si="94"/>
        <v>0</v>
      </c>
      <c r="K92" s="364">
        <f t="shared" si="94"/>
        <v>5</v>
      </c>
      <c r="L92" s="364">
        <f t="shared" si="94"/>
        <v>1</v>
      </c>
      <c r="M92" s="364">
        <f t="shared" si="94"/>
        <v>4</v>
      </c>
      <c r="N92" s="364">
        <f t="shared" si="94"/>
        <v>0</v>
      </c>
      <c r="O92" s="364">
        <f t="shared" si="94"/>
        <v>0</v>
      </c>
      <c r="P92" s="364">
        <f t="shared" si="94"/>
        <v>0</v>
      </c>
      <c r="Q92" s="364">
        <f t="shared" si="94"/>
        <v>0</v>
      </c>
      <c r="R92" s="364">
        <f t="shared" si="94"/>
        <v>0</v>
      </c>
      <c r="S92" s="364">
        <f>SUM(S90:S91)</f>
        <v>0</v>
      </c>
      <c r="T92" s="353" t="s">
        <v>12</v>
      </c>
      <c r="U92" s="366"/>
      <c r="V92" s="141"/>
    </row>
    <row r="93" spans="2:22" ht="13.5" thickBot="1" x14ac:dyDescent="0.25">
      <c r="B93" s="364">
        <f t="shared" ref="B93:B94" si="95">SUM(C93:D93)</f>
        <v>107</v>
      </c>
      <c r="C93" s="364">
        <f t="shared" ref="C93:D94" si="96">R93+O93+L93+I93+F93</f>
        <v>53</v>
      </c>
      <c r="D93" s="364">
        <f t="shared" si="96"/>
        <v>54</v>
      </c>
      <c r="E93" s="364">
        <f t="shared" si="74"/>
        <v>41</v>
      </c>
      <c r="F93" s="364">
        <v>15</v>
      </c>
      <c r="G93" s="364">
        <v>26</v>
      </c>
      <c r="H93" s="364">
        <f t="shared" si="75"/>
        <v>39</v>
      </c>
      <c r="I93" s="364">
        <v>22</v>
      </c>
      <c r="J93" s="364">
        <v>17</v>
      </c>
      <c r="K93" s="364">
        <f t="shared" si="76"/>
        <v>16</v>
      </c>
      <c r="L93" s="364">
        <v>8</v>
      </c>
      <c r="M93" s="364">
        <v>8</v>
      </c>
      <c r="N93" s="364">
        <f t="shared" si="77"/>
        <v>7</v>
      </c>
      <c r="O93" s="364">
        <v>4</v>
      </c>
      <c r="P93" s="364">
        <v>3</v>
      </c>
      <c r="Q93" s="364">
        <f t="shared" si="78"/>
        <v>4</v>
      </c>
      <c r="R93" s="364">
        <v>4</v>
      </c>
      <c r="S93" s="364">
        <v>0</v>
      </c>
      <c r="T93" s="353" t="s">
        <v>146</v>
      </c>
      <c r="U93" s="365"/>
      <c r="V93" s="141"/>
    </row>
    <row r="94" spans="2:22" ht="13.5" thickBot="1" x14ac:dyDescent="0.25">
      <c r="B94" s="364">
        <f t="shared" si="95"/>
        <v>21</v>
      </c>
      <c r="C94" s="364">
        <f t="shared" si="96"/>
        <v>1</v>
      </c>
      <c r="D94" s="364">
        <f t="shared" si="96"/>
        <v>20</v>
      </c>
      <c r="E94" s="364">
        <f t="shared" si="74"/>
        <v>5</v>
      </c>
      <c r="F94" s="364">
        <v>0</v>
      </c>
      <c r="G94" s="364">
        <v>5</v>
      </c>
      <c r="H94" s="364">
        <f t="shared" si="75"/>
        <v>6</v>
      </c>
      <c r="I94" s="364">
        <v>0</v>
      </c>
      <c r="J94" s="364">
        <v>6</v>
      </c>
      <c r="K94" s="364">
        <f t="shared" si="76"/>
        <v>10</v>
      </c>
      <c r="L94" s="364">
        <v>1</v>
      </c>
      <c r="M94" s="364">
        <v>9</v>
      </c>
      <c r="N94" s="364">
        <f t="shared" si="77"/>
        <v>0</v>
      </c>
      <c r="O94" s="364">
        <v>0</v>
      </c>
      <c r="P94" s="364">
        <v>0</v>
      </c>
      <c r="Q94" s="364">
        <f t="shared" si="78"/>
        <v>0</v>
      </c>
      <c r="R94" s="364">
        <v>0</v>
      </c>
      <c r="S94" s="364">
        <v>0</v>
      </c>
      <c r="T94" s="353" t="s">
        <v>145</v>
      </c>
      <c r="U94" s="365" t="s">
        <v>406</v>
      </c>
      <c r="V94" s="141"/>
    </row>
    <row r="95" spans="2:22" ht="13.5" thickBot="1" x14ac:dyDescent="0.25">
      <c r="B95" s="364">
        <f t="shared" ref="B95:R95" si="97">SUM(B93:B94)</f>
        <v>128</v>
      </c>
      <c r="C95" s="364">
        <f t="shared" si="97"/>
        <v>54</v>
      </c>
      <c r="D95" s="364">
        <f t="shared" si="97"/>
        <v>74</v>
      </c>
      <c r="E95" s="364">
        <f t="shared" si="97"/>
        <v>46</v>
      </c>
      <c r="F95" s="364">
        <f t="shared" si="97"/>
        <v>15</v>
      </c>
      <c r="G95" s="364">
        <f t="shared" si="97"/>
        <v>31</v>
      </c>
      <c r="H95" s="364">
        <f t="shared" si="97"/>
        <v>45</v>
      </c>
      <c r="I95" s="364">
        <f t="shared" si="97"/>
        <v>22</v>
      </c>
      <c r="J95" s="364">
        <f t="shared" si="97"/>
        <v>23</v>
      </c>
      <c r="K95" s="364">
        <f t="shared" si="97"/>
        <v>26</v>
      </c>
      <c r="L95" s="364">
        <f t="shared" si="97"/>
        <v>9</v>
      </c>
      <c r="M95" s="364">
        <f t="shared" si="97"/>
        <v>17</v>
      </c>
      <c r="N95" s="364">
        <f t="shared" si="97"/>
        <v>7</v>
      </c>
      <c r="O95" s="364">
        <f t="shared" si="97"/>
        <v>4</v>
      </c>
      <c r="P95" s="364">
        <f t="shared" si="97"/>
        <v>3</v>
      </c>
      <c r="Q95" s="364">
        <f t="shared" si="97"/>
        <v>4</v>
      </c>
      <c r="R95" s="364">
        <f t="shared" si="97"/>
        <v>4</v>
      </c>
      <c r="S95" s="364">
        <f>SUM(S93:S94)</f>
        <v>0</v>
      </c>
      <c r="T95" s="353" t="s">
        <v>12</v>
      </c>
      <c r="U95" s="366"/>
      <c r="V95" s="141"/>
    </row>
    <row r="96" spans="2:22" ht="13.5" thickBot="1" x14ac:dyDescent="0.25">
      <c r="B96" s="364">
        <f t="shared" ref="B96:B97" si="98">SUM(C96:D96)</f>
        <v>159</v>
      </c>
      <c r="C96" s="364">
        <f t="shared" ref="C96:D97" si="99">R96+O96+L96+I96+F96</f>
        <v>0</v>
      </c>
      <c r="D96" s="364">
        <f t="shared" si="99"/>
        <v>159</v>
      </c>
      <c r="E96" s="364">
        <f t="shared" si="74"/>
        <v>59</v>
      </c>
      <c r="F96" s="364">
        <v>0</v>
      </c>
      <c r="G96" s="364">
        <v>59</v>
      </c>
      <c r="H96" s="364">
        <f t="shared" si="75"/>
        <v>21</v>
      </c>
      <c r="I96" s="364">
        <v>0</v>
      </c>
      <c r="J96" s="364">
        <v>21</v>
      </c>
      <c r="K96" s="364">
        <f t="shared" si="76"/>
        <v>69</v>
      </c>
      <c r="L96" s="364">
        <v>0</v>
      </c>
      <c r="M96" s="364">
        <v>69</v>
      </c>
      <c r="N96" s="364">
        <f t="shared" si="77"/>
        <v>10</v>
      </c>
      <c r="O96" s="364">
        <v>0</v>
      </c>
      <c r="P96" s="364">
        <v>10</v>
      </c>
      <c r="Q96" s="364">
        <f t="shared" si="78"/>
        <v>0</v>
      </c>
      <c r="R96" s="364">
        <v>0</v>
      </c>
      <c r="S96" s="364">
        <v>0</v>
      </c>
      <c r="T96" s="353" t="s">
        <v>146</v>
      </c>
      <c r="U96" s="365"/>
      <c r="V96" s="141"/>
    </row>
    <row r="97" spans="2:22" ht="13.5" thickBot="1" x14ac:dyDescent="0.25">
      <c r="B97" s="364">
        <f t="shared" si="98"/>
        <v>3</v>
      </c>
      <c r="C97" s="364">
        <f t="shared" si="99"/>
        <v>0</v>
      </c>
      <c r="D97" s="364">
        <f t="shared" si="99"/>
        <v>3</v>
      </c>
      <c r="E97" s="364">
        <f t="shared" si="74"/>
        <v>1</v>
      </c>
      <c r="F97" s="364">
        <v>0</v>
      </c>
      <c r="G97" s="364">
        <v>1</v>
      </c>
      <c r="H97" s="364">
        <f t="shared" si="75"/>
        <v>0</v>
      </c>
      <c r="I97" s="364">
        <v>0</v>
      </c>
      <c r="J97" s="364">
        <v>0</v>
      </c>
      <c r="K97" s="364">
        <f t="shared" si="76"/>
        <v>2</v>
      </c>
      <c r="L97" s="364">
        <v>0</v>
      </c>
      <c r="M97" s="364">
        <v>2</v>
      </c>
      <c r="N97" s="364">
        <f t="shared" si="77"/>
        <v>0</v>
      </c>
      <c r="O97" s="364">
        <v>0</v>
      </c>
      <c r="P97" s="364">
        <v>0</v>
      </c>
      <c r="Q97" s="364">
        <f t="shared" si="78"/>
        <v>0</v>
      </c>
      <c r="R97" s="364">
        <v>0</v>
      </c>
      <c r="S97" s="364">
        <v>0</v>
      </c>
      <c r="T97" s="353" t="s">
        <v>145</v>
      </c>
      <c r="U97" s="365" t="s">
        <v>455</v>
      </c>
      <c r="V97" s="141"/>
    </row>
    <row r="98" spans="2:22" ht="13.5" thickBot="1" x14ac:dyDescent="0.25">
      <c r="B98" s="364">
        <f t="shared" ref="B98:R98" si="100">SUM(B96:B97)</f>
        <v>162</v>
      </c>
      <c r="C98" s="364">
        <f t="shared" si="100"/>
        <v>0</v>
      </c>
      <c r="D98" s="364">
        <f t="shared" si="100"/>
        <v>162</v>
      </c>
      <c r="E98" s="364">
        <f t="shared" si="100"/>
        <v>60</v>
      </c>
      <c r="F98" s="364">
        <f t="shared" si="100"/>
        <v>0</v>
      </c>
      <c r="G98" s="364">
        <f t="shared" si="100"/>
        <v>60</v>
      </c>
      <c r="H98" s="364">
        <f t="shared" si="100"/>
        <v>21</v>
      </c>
      <c r="I98" s="364">
        <f t="shared" si="100"/>
        <v>0</v>
      </c>
      <c r="J98" s="364">
        <f t="shared" si="100"/>
        <v>21</v>
      </c>
      <c r="K98" s="364">
        <f t="shared" si="100"/>
        <v>71</v>
      </c>
      <c r="L98" s="364">
        <f t="shared" si="100"/>
        <v>0</v>
      </c>
      <c r="M98" s="364">
        <f t="shared" si="100"/>
        <v>71</v>
      </c>
      <c r="N98" s="364">
        <f t="shared" si="100"/>
        <v>10</v>
      </c>
      <c r="O98" s="364">
        <f t="shared" si="100"/>
        <v>0</v>
      </c>
      <c r="P98" s="364">
        <f t="shared" si="100"/>
        <v>10</v>
      </c>
      <c r="Q98" s="364">
        <f t="shared" si="100"/>
        <v>0</v>
      </c>
      <c r="R98" s="364">
        <f t="shared" si="100"/>
        <v>0</v>
      </c>
      <c r="S98" s="364">
        <f>SUM(S96:S97)</f>
        <v>0</v>
      </c>
      <c r="T98" s="353" t="s">
        <v>12</v>
      </c>
      <c r="U98" s="366"/>
      <c r="V98" s="141"/>
    </row>
    <row r="99" spans="2:22" ht="13.5" thickBot="1" x14ac:dyDescent="0.25">
      <c r="B99" s="364">
        <f t="shared" ref="B99:B100" si="101">SUM(C99:D99)</f>
        <v>26</v>
      </c>
      <c r="C99" s="364">
        <f t="shared" ref="C99:D100" si="102">R99+O99+L99+I99+F99</f>
        <v>0</v>
      </c>
      <c r="D99" s="364">
        <f t="shared" si="102"/>
        <v>26</v>
      </c>
      <c r="E99" s="364">
        <f t="shared" si="74"/>
        <v>24</v>
      </c>
      <c r="F99" s="364">
        <v>0</v>
      </c>
      <c r="G99" s="364">
        <v>24</v>
      </c>
      <c r="H99" s="364">
        <f t="shared" si="75"/>
        <v>1</v>
      </c>
      <c r="I99" s="364">
        <v>0</v>
      </c>
      <c r="J99" s="364">
        <v>1</v>
      </c>
      <c r="K99" s="364">
        <f t="shared" si="76"/>
        <v>0</v>
      </c>
      <c r="L99" s="364">
        <v>0</v>
      </c>
      <c r="M99" s="364">
        <v>0</v>
      </c>
      <c r="N99" s="364">
        <f t="shared" si="77"/>
        <v>1</v>
      </c>
      <c r="O99" s="364">
        <v>0</v>
      </c>
      <c r="P99" s="364">
        <v>1</v>
      </c>
      <c r="Q99" s="364">
        <f t="shared" si="78"/>
        <v>0</v>
      </c>
      <c r="R99" s="364">
        <v>0</v>
      </c>
      <c r="S99" s="364">
        <v>0</v>
      </c>
      <c r="T99" s="353" t="s">
        <v>146</v>
      </c>
      <c r="U99" s="365"/>
      <c r="V99" s="141"/>
    </row>
    <row r="100" spans="2:22" ht="13.5" thickBot="1" x14ac:dyDescent="0.25">
      <c r="B100" s="364">
        <f t="shared" si="101"/>
        <v>0</v>
      </c>
      <c r="C100" s="364">
        <f t="shared" si="102"/>
        <v>0</v>
      </c>
      <c r="D100" s="364">
        <f t="shared" si="102"/>
        <v>0</v>
      </c>
      <c r="E100" s="364">
        <f t="shared" si="74"/>
        <v>0</v>
      </c>
      <c r="F100" s="364">
        <v>0</v>
      </c>
      <c r="G100" s="364">
        <v>0</v>
      </c>
      <c r="H100" s="364">
        <f t="shared" si="75"/>
        <v>0</v>
      </c>
      <c r="I100" s="364">
        <v>0</v>
      </c>
      <c r="J100" s="364">
        <v>0</v>
      </c>
      <c r="K100" s="364">
        <f t="shared" si="76"/>
        <v>0</v>
      </c>
      <c r="L100" s="364">
        <v>0</v>
      </c>
      <c r="M100" s="364">
        <v>0</v>
      </c>
      <c r="N100" s="364">
        <f t="shared" si="77"/>
        <v>0</v>
      </c>
      <c r="O100" s="364">
        <v>0</v>
      </c>
      <c r="P100" s="364">
        <v>0</v>
      </c>
      <c r="Q100" s="364">
        <f t="shared" si="78"/>
        <v>0</v>
      </c>
      <c r="R100" s="364">
        <v>0</v>
      </c>
      <c r="S100" s="364">
        <v>0</v>
      </c>
      <c r="T100" s="353" t="s">
        <v>145</v>
      </c>
      <c r="U100" s="365" t="s">
        <v>670</v>
      </c>
      <c r="V100" s="141"/>
    </row>
    <row r="101" spans="2:22" ht="13.5" thickBot="1" x14ac:dyDescent="0.25">
      <c r="B101" s="364">
        <f t="shared" ref="B101:R101" si="103">SUM(B99:B100)</f>
        <v>26</v>
      </c>
      <c r="C101" s="364">
        <f t="shared" si="103"/>
        <v>0</v>
      </c>
      <c r="D101" s="364">
        <f t="shared" si="103"/>
        <v>26</v>
      </c>
      <c r="E101" s="364">
        <f t="shared" si="103"/>
        <v>24</v>
      </c>
      <c r="F101" s="364">
        <f t="shared" si="103"/>
        <v>0</v>
      </c>
      <c r="G101" s="364">
        <f t="shared" si="103"/>
        <v>24</v>
      </c>
      <c r="H101" s="364">
        <f t="shared" si="103"/>
        <v>1</v>
      </c>
      <c r="I101" s="364">
        <f t="shared" si="103"/>
        <v>0</v>
      </c>
      <c r="J101" s="364">
        <f t="shared" si="103"/>
        <v>1</v>
      </c>
      <c r="K101" s="364">
        <f t="shared" si="103"/>
        <v>0</v>
      </c>
      <c r="L101" s="364">
        <f t="shared" si="103"/>
        <v>0</v>
      </c>
      <c r="M101" s="364">
        <f t="shared" si="103"/>
        <v>0</v>
      </c>
      <c r="N101" s="364">
        <f t="shared" si="103"/>
        <v>1</v>
      </c>
      <c r="O101" s="364">
        <f t="shared" si="103"/>
        <v>0</v>
      </c>
      <c r="P101" s="364">
        <f t="shared" si="103"/>
        <v>1</v>
      </c>
      <c r="Q101" s="364">
        <f t="shared" si="103"/>
        <v>0</v>
      </c>
      <c r="R101" s="364">
        <f t="shared" si="103"/>
        <v>0</v>
      </c>
      <c r="S101" s="364">
        <f>SUM(S99:S100)</f>
        <v>0</v>
      </c>
      <c r="T101" s="353" t="s">
        <v>12</v>
      </c>
      <c r="U101" s="366"/>
      <c r="V101" s="141"/>
    </row>
    <row r="102" spans="2:22" ht="13.5" thickBot="1" x14ac:dyDescent="0.25">
      <c r="B102" s="364">
        <f t="shared" ref="B102:B103" si="104">SUM(C102:D102)</f>
        <v>16</v>
      </c>
      <c r="C102" s="364">
        <f t="shared" ref="C102:D103" si="105">R102+O102+L102+I102+F102</f>
        <v>1</v>
      </c>
      <c r="D102" s="364">
        <f t="shared" si="105"/>
        <v>15</v>
      </c>
      <c r="E102" s="364">
        <f t="shared" si="74"/>
        <v>15</v>
      </c>
      <c r="F102" s="364">
        <v>1</v>
      </c>
      <c r="G102" s="364">
        <v>14</v>
      </c>
      <c r="H102" s="364">
        <f t="shared" si="75"/>
        <v>0</v>
      </c>
      <c r="I102" s="364">
        <v>0</v>
      </c>
      <c r="J102" s="364">
        <v>0</v>
      </c>
      <c r="K102" s="364">
        <f t="shared" si="76"/>
        <v>0</v>
      </c>
      <c r="L102" s="364">
        <v>0</v>
      </c>
      <c r="M102" s="364">
        <v>0</v>
      </c>
      <c r="N102" s="364">
        <f t="shared" si="77"/>
        <v>1</v>
      </c>
      <c r="O102" s="364">
        <v>0</v>
      </c>
      <c r="P102" s="364">
        <v>1</v>
      </c>
      <c r="Q102" s="364">
        <f t="shared" si="78"/>
        <v>0</v>
      </c>
      <c r="R102" s="364">
        <v>0</v>
      </c>
      <c r="S102" s="364">
        <v>0</v>
      </c>
      <c r="T102" s="353" t="s">
        <v>146</v>
      </c>
      <c r="U102" s="365"/>
      <c r="V102" s="141"/>
    </row>
    <row r="103" spans="2:22" ht="13.5" thickBot="1" x14ac:dyDescent="0.25">
      <c r="B103" s="364">
        <f t="shared" si="104"/>
        <v>0</v>
      </c>
      <c r="C103" s="364">
        <f t="shared" si="105"/>
        <v>0</v>
      </c>
      <c r="D103" s="364">
        <f t="shared" si="105"/>
        <v>0</v>
      </c>
      <c r="E103" s="364">
        <f t="shared" si="74"/>
        <v>0</v>
      </c>
      <c r="F103" s="364">
        <v>0</v>
      </c>
      <c r="G103" s="364">
        <v>0</v>
      </c>
      <c r="H103" s="364">
        <f t="shared" si="75"/>
        <v>0</v>
      </c>
      <c r="I103" s="364">
        <v>0</v>
      </c>
      <c r="J103" s="364">
        <v>0</v>
      </c>
      <c r="K103" s="364">
        <f t="shared" si="76"/>
        <v>0</v>
      </c>
      <c r="L103" s="364">
        <v>0</v>
      </c>
      <c r="M103" s="364">
        <v>0</v>
      </c>
      <c r="N103" s="364">
        <f t="shared" si="77"/>
        <v>0</v>
      </c>
      <c r="O103" s="364">
        <v>0</v>
      </c>
      <c r="P103" s="364">
        <v>0</v>
      </c>
      <c r="Q103" s="364">
        <f t="shared" si="78"/>
        <v>0</v>
      </c>
      <c r="R103" s="364">
        <v>0</v>
      </c>
      <c r="S103" s="364">
        <v>0</v>
      </c>
      <c r="T103" s="353" t="s">
        <v>145</v>
      </c>
      <c r="U103" s="365" t="s">
        <v>365</v>
      </c>
      <c r="V103" s="141"/>
    </row>
    <row r="104" spans="2:22" ht="13.5" thickBot="1" x14ac:dyDescent="0.25">
      <c r="B104" s="364">
        <f t="shared" ref="B104:R104" si="106">SUM(B102:B103)</f>
        <v>16</v>
      </c>
      <c r="C104" s="364">
        <f t="shared" si="106"/>
        <v>1</v>
      </c>
      <c r="D104" s="364">
        <f t="shared" si="106"/>
        <v>15</v>
      </c>
      <c r="E104" s="364">
        <f t="shared" si="106"/>
        <v>15</v>
      </c>
      <c r="F104" s="364">
        <f t="shared" si="106"/>
        <v>1</v>
      </c>
      <c r="G104" s="364">
        <f t="shared" si="106"/>
        <v>14</v>
      </c>
      <c r="H104" s="364">
        <f t="shared" si="106"/>
        <v>0</v>
      </c>
      <c r="I104" s="364">
        <f t="shared" si="106"/>
        <v>0</v>
      </c>
      <c r="J104" s="364">
        <f t="shared" si="106"/>
        <v>0</v>
      </c>
      <c r="K104" s="364">
        <f t="shared" si="106"/>
        <v>0</v>
      </c>
      <c r="L104" s="364">
        <f t="shared" si="106"/>
        <v>0</v>
      </c>
      <c r="M104" s="364">
        <f t="shared" si="106"/>
        <v>0</v>
      </c>
      <c r="N104" s="364">
        <f t="shared" si="106"/>
        <v>1</v>
      </c>
      <c r="O104" s="364">
        <f t="shared" si="106"/>
        <v>0</v>
      </c>
      <c r="P104" s="364">
        <f t="shared" si="106"/>
        <v>1</v>
      </c>
      <c r="Q104" s="364">
        <f t="shared" si="106"/>
        <v>0</v>
      </c>
      <c r="R104" s="364">
        <f t="shared" si="106"/>
        <v>0</v>
      </c>
      <c r="S104" s="364">
        <f>SUM(S102:S103)</f>
        <v>0</v>
      </c>
      <c r="T104" s="353" t="s">
        <v>12</v>
      </c>
      <c r="U104" s="366"/>
      <c r="V104" s="141"/>
    </row>
    <row r="105" spans="2:22" ht="13.5" thickBot="1" x14ac:dyDescent="0.25">
      <c r="B105" s="364">
        <f t="shared" ref="B105:B106" si="107">SUM(C105:D105)</f>
        <v>35</v>
      </c>
      <c r="C105" s="364">
        <f t="shared" ref="C105:D106" si="108">R105+O105+L105+I105+F105</f>
        <v>0</v>
      </c>
      <c r="D105" s="364">
        <f t="shared" si="108"/>
        <v>35</v>
      </c>
      <c r="E105" s="364">
        <f t="shared" si="74"/>
        <v>20</v>
      </c>
      <c r="F105" s="364">
        <v>0</v>
      </c>
      <c r="G105" s="364">
        <v>20</v>
      </c>
      <c r="H105" s="364">
        <f t="shared" si="75"/>
        <v>8</v>
      </c>
      <c r="I105" s="364">
        <v>0</v>
      </c>
      <c r="J105" s="364">
        <v>8</v>
      </c>
      <c r="K105" s="364">
        <f t="shared" si="76"/>
        <v>5</v>
      </c>
      <c r="L105" s="364">
        <v>0</v>
      </c>
      <c r="M105" s="364">
        <v>5</v>
      </c>
      <c r="N105" s="364">
        <f t="shared" si="77"/>
        <v>2</v>
      </c>
      <c r="O105" s="364">
        <v>0</v>
      </c>
      <c r="P105" s="364">
        <v>2</v>
      </c>
      <c r="Q105" s="364">
        <f t="shared" si="78"/>
        <v>0</v>
      </c>
      <c r="R105" s="364">
        <v>0</v>
      </c>
      <c r="S105" s="364">
        <v>0</v>
      </c>
      <c r="T105" s="353" t="s">
        <v>146</v>
      </c>
      <c r="U105" s="365"/>
      <c r="V105" s="141"/>
    </row>
    <row r="106" spans="2:22" ht="13.5" thickBot="1" x14ac:dyDescent="0.25">
      <c r="B106" s="364">
        <f t="shared" si="107"/>
        <v>0</v>
      </c>
      <c r="C106" s="364">
        <f t="shared" si="108"/>
        <v>0</v>
      </c>
      <c r="D106" s="364">
        <f t="shared" si="108"/>
        <v>0</v>
      </c>
      <c r="E106" s="364">
        <f t="shared" si="74"/>
        <v>0</v>
      </c>
      <c r="F106" s="364">
        <v>0</v>
      </c>
      <c r="G106" s="364">
        <v>0</v>
      </c>
      <c r="H106" s="364">
        <f t="shared" si="75"/>
        <v>0</v>
      </c>
      <c r="I106" s="364">
        <v>0</v>
      </c>
      <c r="J106" s="364">
        <v>0</v>
      </c>
      <c r="K106" s="364">
        <f t="shared" si="76"/>
        <v>0</v>
      </c>
      <c r="L106" s="364">
        <v>0</v>
      </c>
      <c r="M106" s="364">
        <v>0</v>
      </c>
      <c r="N106" s="364">
        <f t="shared" si="77"/>
        <v>0</v>
      </c>
      <c r="O106" s="364">
        <v>0</v>
      </c>
      <c r="P106" s="364">
        <v>0</v>
      </c>
      <c r="Q106" s="364">
        <f t="shared" si="78"/>
        <v>0</v>
      </c>
      <c r="R106" s="364">
        <v>0</v>
      </c>
      <c r="S106" s="364">
        <v>0</v>
      </c>
      <c r="T106" s="353" t="s">
        <v>145</v>
      </c>
      <c r="U106" s="365" t="s">
        <v>380</v>
      </c>
      <c r="V106" s="141"/>
    </row>
    <row r="107" spans="2:22" ht="13.5" thickBot="1" x14ac:dyDescent="0.25">
      <c r="B107" s="364">
        <f t="shared" ref="B107:R107" si="109">SUM(B105:B106)</f>
        <v>35</v>
      </c>
      <c r="C107" s="364">
        <f t="shared" si="109"/>
        <v>0</v>
      </c>
      <c r="D107" s="364">
        <f t="shared" si="109"/>
        <v>35</v>
      </c>
      <c r="E107" s="364">
        <f t="shared" si="109"/>
        <v>20</v>
      </c>
      <c r="F107" s="364">
        <f t="shared" si="109"/>
        <v>0</v>
      </c>
      <c r="G107" s="364">
        <f t="shared" si="109"/>
        <v>20</v>
      </c>
      <c r="H107" s="364">
        <f t="shared" si="109"/>
        <v>8</v>
      </c>
      <c r="I107" s="364">
        <f t="shared" si="109"/>
        <v>0</v>
      </c>
      <c r="J107" s="364">
        <f t="shared" si="109"/>
        <v>8</v>
      </c>
      <c r="K107" s="364">
        <f t="shared" si="109"/>
        <v>5</v>
      </c>
      <c r="L107" s="364">
        <f t="shared" si="109"/>
        <v>0</v>
      </c>
      <c r="M107" s="364">
        <f t="shared" si="109"/>
        <v>5</v>
      </c>
      <c r="N107" s="364">
        <f t="shared" si="109"/>
        <v>2</v>
      </c>
      <c r="O107" s="364">
        <f t="shared" si="109"/>
        <v>0</v>
      </c>
      <c r="P107" s="364">
        <f t="shared" si="109"/>
        <v>2</v>
      </c>
      <c r="Q107" s="364">
        <f t="shared" si="109"/>
        <v>0</v>
      </c>
      <c r="R107" s="364">
        <f t="shared" si="109"/>
        <v>0</v>
      </c>
      <c r="S107" s="364">
        <f>SUM(S105:S106)</f>
        <v>0</v>
      </c>
      <c r="T107" s="353" t="s">
        <v>12</v>
      </c>
      <c r="U107" s="366"/>
      <c r="V107" s="141"/>
    </row>
    <row r="108" spans="2:22" ht="13.5" thickBot="1" x14ac:dyDescent="0.25">
      <c r="B108" s="364">
        <f t="shared" ref="B108:B109" si="110">SUM(C108:D108)</f>
        <v>90</v>
      </c>
      <c r="C108" s="364">
        <f t="shared" ref="C108:D109" si="111">R108+O108+L108+I108+F108</f>
        <v>0</v>
      </c>
      <c r="D108" s="364">
        <f t="shared" si="111"/>
        <v>90</v>
      </c>
      <c r="E108" s="364">
        <f t="shared" si="74"/>
        <v>63</v>
      </c>
      <c r="F108" s="364">
        <v>0</v>
      </c>
      <c r="G108" s="364">
        <v>63</v>
      </c>
      <c r="H108" s="364">
        <f t="shared" si="75"/>
        <v>17</v>
      </c>
      <c r="I108" s="364">
        <v>0</v>
      </c>
      <c r="J108" s="364">
        <v>17</v>
      </c>
      <c r="K108" s="364">
        <f t="shared" si="76"/>
        <v>10</v>
      </c>
      <c r="L108" s="364">
        <v>0</v>
      </c>
      <c r="M108" s="364">
        <v>10</v>
      </c>
      <c r="N108" s="364">
        <f t="shared" si="77"/>
        <v>0</v>
      </c>
      <c r="O108" s="364">
        <v>0</v>
      </c>
      <c r="P108" s="364">
        <v>0</v>
      </c>
      <c r="Q108" s="364">
        <f t="shared" si="78"/>
        <v>0</v>
      </c>
      <c r="R108" s="364">
        <v>0</v>
      </c>
      <c r="S108" s="364">
        <v>0</v>
      </c>
      <c r="T108" s="353" t="s">
        <v>146</v>
      </c>
      <c r="U108" s="365"/>
      <c r="V108" s="141"/>
    </row>
    <row r="109" spans="2:22" ht="13.5" thickBot="1" x14ac:dyDescent="0.25">
      <c r="B109" s="364">
        <f t="shared" si="110"/>
        <v>5</v>
      </c>
      <c r="C109" s="364">
        <f t="shared" si="111"/>
        <v>0</v>
      </c>
      <c r="D109" s="364">
        <f t="shared" si="111"/>
        <v>5</v>
      </c>
      <c r="E109" s="364">
        <f t="shared" si="74"/>
        <v>1</v>
      </c>
      <c r="F109" s="364">
        <v>0</v>
      </c>
      <c r="G109" s="364">
        <v>1</v>
      </c>
      <c r="H109" s="364">
        <f t="shared" si="75"/>
        <v>1</v>
      </c>
      <c r="I109" s="364">
        <v>0</v>
      </c>
      <c r="J109" s="364">
        <v>1</v>
      </c>
      <c r="K109" s="364">
        <f t="shared" si="76"/>
        <v>1</v>
      </c>
      <c r="L109" s="364">
        <v>0</v>
      </c>
      <c r="M109" s="364">
        <v>1</v>
      </c>
      <c r="N109" s="364">
        <f t="shared" si="77"/>
        <v>2</v>
      </c>
      <c r="O109" s="364">
        <v>0</v>
      </c>
      <c r="P109" s="364">
        <v>2</v>
      </c>
      <c r="Q109" s="364">
        <f t="shared" si="78"/>
        <v>0</v>
      </c>
      <c r="R109" s="364">
        <v>0</v>
      </c>
      <c r="S109" s="364">
        <v>0</v>
      </c>
      <c r="T109" s="353" t="s">
        <v>145</v>
      </c>
      <c r="U109" s="365" t="s">
        <v>454</v>
      </c>
      <c r="V109" s="141"/>
    </row>
    <row r="110" spans="2:22" ht="13.5" thickBot="1" x14ac:dyDescent="0.25">
      <c r="B110" s="364">
        <f t="shared" ref="B110:R110" si="112">SUM(B108:B109)</f>
        <v>95</v>
      </c>
      <c r="C110" s="364">
        <f t="shared" si="112"/>
        <v>0</v>
      </c>
      <c r="D110" s="364">
        <f t="shared" si="112"/>
        <v>95</v>
      </c>
      <c r="E110" s="364">
        <f t="shared" si="112"/>
        <v>64</v>
      </c>
      <c r="F110" s="364">
        <f t="shared" si="112"/>
        <v>0</v>
      </c>
      <c r="G110" s="364">
        <f t="shared" si="112"/>
        <v>64</v>
      </c>
      <c r="H110" s="364">
        <f t="shared" si="112"/>
        <v>18</v>
      </c>
      <c r="I110" s="364">
        <f t="shared" si="112"/>
        <v>0</v>
      </c>
      <c r="J110" s="364">
        <f t="shared" si="112"/>
        <v>18</v>
      </c>
      <c r="K110" s="364">
        <f t="shared" si="112"/>
        <v>11</v>
      </c>
      <c r="L110" s="364">
        <f t="shared" si="112"/>
        <v>0</v>
      </c>
      <c r="M110" s="364">
        <f t="shared" si="112"/>
        <v>11</v>
      </c>
      <c r="N110" s="364">
        <f t="shared" si="112"/>
        <v>2</v>
      </c>
      <c r="O110" s="364">
        <f t="shared" si="112"/>
        <v>0</v>
      </c>
      <c r="P110" s="364">
        <f t="shared" si="112"/>
        <v>2</v>
      </c>
      <c r="Q110" s="364">
        <f t="shared" si="112"/>
        <v>0</v>
      </c>
      <c r="R110" s="364">
        <f t="shared" si="112"/>
        <v>0</v>
      </c>
      <c r="S110" s="364">
        <f>SUM(S108:S109)</f>
        <v>0</v>
      </c>
      <c r="T110" s="353" t="s">
        <v>12</v>
      </c>
      <c r="U110" s="366"/>
      <c r="V110" s="141"/>
    </row>
    <row r="111" spans="2:22" ht="13.5" thickBot="1" x14ac:dyDescent="0.25">
      <c r="B111" s="364">
        <f t="shared" ref="B111:B112" si="113">SUM(C111:D111)</f>
        <v>65</v>
      </c>
      <c r="C111" s="364">
        <f t="shared" ref="C111:D112" si="114">R111+O111+L111+I111+F111</f>
        <v>22</v>
      </c>
      <c r="D111" s="364">
        <f t="shared" si="114"/>
        <v>43</v>
      </c>
      <c r="E111" s="364">
        <f t="shared" si="74"/>
        <v>28</v>
      </c>
      <c r="F111" s="364">
        <v>8</v>
      </c>
      <c r="G111" s="364">
        <v>20</v>
      </c>
      <c r="H111" s="364">
        <f t="shared" si="75"/>
        <v>4</v>
      </c>
      <c r="I111" s="364">
        <v>1</v>
      </c>
      <c r="J111" s="364">
        <v>3</v>
      </c>
      <c r="K111" s="364">
        <f t="shared" si="76"/>
        <v>30</v>
      </c>
      <c r="L111" s="364">
        <v>12</v>
      </c>
      <c r="M111" s="364">
        <v>18</v>
      </c>
      <c r="N111" s="364">
        <f t="shared" si="77"/>
        <v>3</v>
      </c>
      <c r="O111" s="364">
        <v>1</v>
      </c>
      <c r="P111" s="364">
        <v>2</v>
      </c>
      <c r="Q111" s="364">
        <f t="shared" si="78"/>
        <v>0</v>
      </c>
      <c r="R111" s="364">
        <v>0</v>
      </c>
      <c r="S111" s="364">
        <v>0</v>
      </c>
      <c r="T111" s="353" t="s">
        <v>146</v>
      </c>
      <c r="U111" s="365"/>
      <c r="V111" s="141"/>
    </row>
    <row r="112" spans="2:22" ht="13.5" thickBot="1" x14ac:dyDescent="0.25">
      <c r="B112" s="364">
        <f t="shared" si="113"/>
        <v>2</v>
      </c>
      <c r="C112" s="364">
        <f t="shared" si="114"/>
        <v>0</v>
      </c>
      <c r="D112" s="364">
        <f t="shared" si="114"/>
        <v>2</v>
      </c>
      <c r="E112" s="364">
        <f t="shared" si="74"/>
        <v>0</v>
      </c>
      <c r="F112" s="364">
        <v>0</v>
      </c>
      <c r="G112" s="364">
        <v>0</v>
      </c>
      <c r="H112" s="364">
        <f t="shared" si="75"/>
        <v>0</v>
      </c>
      <c r="I112" s="364">
        <v>0</v>
      </c>
      <c r="J112" s="364">
        <v>0</v>
      </c>
      <c r="K112" s="364">
        <f t="shared" si="76"/>
        <v>2</v>
      </c>
      <c r="L112" s="364">
        <v>0</v>
      </c>
      <c r="M112" s="364">
        <v>2</v>
      </c>
      <c r="N112" s="364">
        <f t="shared" si="77"/>
        <v>0</v>
      </c>
      <c r="O112" s="364">
        <v>0</v>
      </c>
      <c r="P112" s="364">
        <v>0</v>
      </c>
      <c r="Q112" s="364">
        <f t="shared" si="78"/>
        <v>0</v>
      </c>
      <c r="R112" s="364">
        <v>0</v>
      </c>
      <c r="S112" s="364">
        <v>0</v>
      </c>
      <c r="T112" s="353" t="s">
        <v>145</v>
      </c>
      <c r="U112" s="365" t="s">
        <v>378</v>
      </c>
      <c r="V112" s="141"/>
    </row>
    <row r="113" spans="2:22" ht="13.5" thickBot="1" x14ac:dyDescent="0.25">
      <c r="B113" s="364">
        <f t="shared" ref="B113:R113" si="115">SUM(B111:B112)</f>
        <v>67</v>
      </c>
      <c r="C113" s="364">
        <f t="shared" si="115"/>
        <v>22</v>
      </c>
      <c r="D113" s="364">
        <f t="shared" si="115"/>
        <v>45</v>
      </c>
      <c r="E113" s="364">
        <f t="shared" si="115"/>
        <v>28</v>
      </c>
      <c r="F113" s="364">
        <f t="shared" si="115"/>
        <v>8</v>
      </c>
      <c r="G113" s="364">
        <f t="shared" si="115"/>
        <v>20</v>
      </c>
      <c r="H113" s="364">
        <f t="shared" si="115"/>
        <v>4</v>
      </c>
      <c r="I113" s="364">
        <f t="shared" si="115"/>
        <v>1</v>
      </c>
      <c r="J113" s="364">
        <f t="shared" si="115"/>
        <v>3</v>
      </c>
      <c r="K113" s="364">
        <f t="shared" si="115"/>
        <v>32</v>
      </c>
      <c r="L113" s="364">
        <f t="shared" si="115"/>
        <v>12</v>
      </c>
      <c r="M113" s="364">
        <f t="shared" si="115"/>
        <v>20</v>
      </c>
      <c r="N113" s="364">
        <f t="shared" si="115"/>
        <v>3</v>
      </c>
      <c r="O113" s="364">
        <f t="shared" si="115"/>
        <v>1</v>
      </c>
      <c r="P113" s="364">
        <f t="shared" si="115"/>
        <v>2</v>
      </c>
      <c r="Q113" s="364">
        <f t="shared" si="115"/>
        <v>0</v>
      </c>
      <c r="R113" s="364">
        <f t="shared" si="115"/>
        <v>0</v>
      </c>
      <c r="S113" s="364">
        <f>SUM(S111:S112)</f>
        <v>0</v>
      </c>
      <c r="T113" s="353" t="s">
        <v>12</v>
      </c>
      <c r="U113" s="366"/>
      <c r="V113" s="141"/>
    </row>
    <row r="114" spans="2:22" ht="13.5" thickBot="1" x14ac:dyDescent="0.25">
      <c r="B114" s="364">
        <f t="shared" ref="B114:B115" si="116">SUM(C114:D114)</f>
        <v>13</v>
      </c>
      <c r="C114" s="364">
        <f t="shared" ref="C114:D115" si="117">R114+O114+L114+I114+F114</f>
        <v>0</v>
      </c>
      <c r="D114" s="364">
        <f t="shared" si="117"/>
        <v>13</v>
      </c>
      <c r="E114" s="364">
        <f t="shared" si="74"/>
        <v>11</v>
      </c>
      <c r="F114" s="364">
        <v>0</v>
      </c>
      <c r="G114" s="364">
        <v>11</v>
      </c>
      <c r="H114" s="364">
        <f t="shared" si="75"/>
        <v>2</v>
      </c>
      <c r="I114" s="364">
        <v>0</v>
      </c>
      <c r="J114" s="364">
        <v>2</v>
      </c>
      <c r="K114" s="364">
        <f t="shared" si="76"/>
        <v>0</v>
      </c>
      <c r="L114" s="364">
        <v>0</v>
      </c>
      <c r="M114" s="364">
        <v>0</v>
      </c>
      <c r="N114" s="364">
        <f t="shared" si="77"/>
        <v>0</v>
      </c>
      <c r="O114" s="364">
        <v>0</v>
      </c>
      <c r="P114" s="364">
        <v>0</v>
      </c>
      <c r="Q114" s="364">
        <f t="shared" si="78"/>
        <v>0</v>
      </c>
      <c r="R114" s="364">
        <v>0</v>
      </c>
      <c r="S114" s="364">
        <v>0</v>
      </c>
      <c r="T114" s="353" t="s">
        <v>146</v>
      </c>
      <c r="U114" s="365"/>
      <c r="V114" s="141"/>
    </row>
    <row r="115" spans="2:22" ht="13.5" thickBot="1" x14ac:dyDescent="0.25">
      <c r="B115" s="364">
        <f t="shared" si="116"/>
        <v>0</v>
      </c>
      <c r="C115" s="364">
        <f t="shared" si="117"/>
        <v>0</v>
      </c>
      <c r="D115" s="364">
        <f t="shared" si="117"/>
        <v>0</v>
      </c>
      <c r="E115" s="364">
        <f t="shared" si="74"/>
        <v>0</v>
      </c>
      <c r="F115" s="364">
        <v>0</v>
      </c>
      <c r="G115" s="364">
        <v>0</v>
      </c>
      <c r="H115" s="364">
        <f t="shared" si="75"/>
        <v>0</v>
      </c>
      <c r="I115" s="364">
        <v>0</v>
      </c>
      <c r="J115" s="364">
        <v>0</v>
      </c>
      <c r="K115" s="364">
        <f t="shared" si="76"/>
        <v>0</v>
      </c>
      <c r="L115" s="364">
        <v>0</v>
      </c>
      <c r="M115" s="364">
        <v>0</v>
      </c>
      <c r="N115" s="364">
        <f t="shared" si="77"/>
        <v>0</v>
      </c>
      <c r="O115" s="364">
        <v>0</v>
      </c>
      <c r="P115" s="364">
        <v>0</v>
      </c>
      <c r="Q115" s="364">
        <f t="shared" si="78"/>
        <v>0</v>
      </c>
      <c r="R115" s="364">
        <v>0</v>
      </c>
      <c r="S115" s="364">
        <v>0</v>
      </c>
      <c r="T115" s="353" t="s">
        <v>145</v>
      </c>
      <c r="U115" s="365" t="s">
        <v>254</v>
      </c>
      <c r="V115" s="141"/>
    </row>
    <row r="116" spans="2:22" ht="13.5" thickBot="1" x14ac:dyDescent="0.25">
      <c r="B116" s="364">
        <f t="shared" ref="B116:R116" si="118">SUM(B114:B115)</f>
        <v>13</v>
      </c>
      <c r="C116" s="364">
        <f t="shared" si="118"/>
        <v>0</v>
      </c>
      <c r="D116" s="364">
        <f t="shared" si="118"/>
        <v>13</v>
      </c>
      <c r="E116" s="364">
        <f t="shared" si="118"/>
        <v>11</v>
      </c>
      <c r="F116" s="364">
        <f t="shared" si="118"/>
        <v>0</v>
      </c>
      <c r="G116" s="364">
        <f t="shared" si="118"/>
        <v>11</v>
      </c>
      <c r="H116" s="364">
        <f t="shared" si="118"/>
        <v>2</v>
      </c>
      <c r="I116" s="364">
        <f t="shared" si="118"/>
        <v>0</v>
      </c>
      <c r="J116" s="364">
        <f t="shared" si="118"/>
        <v>2</v>
      </c>
      <c r="K116" s="364">
        <f t="shared" si="118"/>
        <v>0</v>
      </c>
      <c r="L116" s="364">
        <f t="shared" si="118"/>
        <v>0</v>
      </c>
      <c r="M116" s="364">
        <f t="shared" si="118"/>
        <v>0</v>
      </c>
      <c r="N116" s="364">
        <f t="shared" si="118"/>
        <v>0</v>
      </c>
      <c r="O116" s="364">
        <f t="shared" si="118"/>
        <v>0</v>
      </c>
      <c r="P116" s="364">
        <f t="shared" si="118"/>
        <v>0</v>
      </c>
      <c r="Q116" s="364">
        <f t="shared" si="118"/>
        <v>0</v>
      </c>
      <c r="R116" s="364">
        <f t="shared" si="118"/>
        <v>0</v>
      </c>
      <c r="S116" s="364">
        <f>SUM(S114:S115)</f>
        <v>0</v>
      </c>
      <c r="T116" s="353" t="s">
        <v>12</v>
      </c>
      <c r="U116" s="366"/>
      <c r="V116" s="141"/>
    </row>
    <row r="117" spans="2:22" ht="13.5" thickBot="1" x14ac:dyDescent="0.25">
      <c r="B117" s="364">
        <f t="shared" ref="B117:B118" si="119">SUM(C117:D117)</f>
        <v>27</v>
      </c>
      <c r="C117" s="364">
        <f t="shared" ref="C117:D118" si="120">R117+O117+L117+I117+F117</f>
        <v>10</v>
      </c>
      <c r="D117" s="364">
        <f t="shared" si="120"/>
        <v>17</v>
      </c>
      <c r="E117" s="364">
        <f t="shared" si="74"/>
        <v>17</v>
      </c>
      <c r="F117" s="364">
        <v>4</v>
      </c>
      <c r="G117" s="364">
        <v>13</v>
      </c>
      <c r="H117" s="364">
        <f t="shared" si="75"/>
        <v>2</v>
      </c>
      <c r="I117" s="364">
        <v>0</v>
      </c>
      <c r="J117" s="364">
        <v>2</v>
      </c>
      <c r="K117" s="364">
        <f t="shared" si="76"/>
        <v>7</v>
      </c>
      <c r="L117" s="364">
        <v>5</v>
      </c>
      <c r="M117" s="364">
        <v>2</v>
      </c>
      <c r="N117" s="364">
        <f t="shared" si="77"/>
        <v>0</v>
      </c>
      <c r="O117" s="364">
        <v>0</v>
      </c>
      <c r="P117" s="364">
        <v>0</v>
      </c>
      <c r="Q117" s="364">
        <f t="shared" si="78"/>
        <v>1</v>
      </c>
      <c r="R117" s="364">
        <v>1</v>
      </c>
      <c r="S117" s="364">
        <v>0</v>
      </c>
      <c r="T117" s="353" t="s">
        <v>146</v>
      </c>
      <c r="U117" s="365"/>
      <c r="V117" s="141"/>
    </row>
    <row r="118" spans="2:22" ht="13.5" thickBot="1" x14ac:dyDescent="0.25">
      <c r="B118" s="364">
        <f t="shared" si="119"/>
        <v>0</v>
      </c>
      <c r="C118" s="364">
        <f t="shared" si="120"/>
        <v>0</v>
      </c>
      <c r="D118" s="364">
        <f t="shared" si="120"/>
        <v>0</v>
      </c>
      <c r="E118" s="364">
        <f t="shared" si="74"/>
        <v>0</v>
      </c>
      <c r="F118" s="364">
        <v>0</v>
      </c>
      <c r="G118" s="364">
        <v>0</v>
      </c>
      <c r="H118" s="364">
        <f t="shared" si="75"/>
        <v>0</v>
      </c>
      <c r="I118" s="364">
        <v>0</v>
      </c>
      <c r="J118" s="364">
        <v>0</v>
      </c>
      <c r="K118" s="364">
        <f t="shared" si="76"/>
        <v>0</v>
      </c>
      <c r="L118" s="364">
        <v>0</v>
      </c>
      <c r="M118" s="364">
        <v>0</v>
      </c>
      <c r="N118" s="364">
        <f t="shared" si="77"/>
        <v>0</v>
      </c>
      <c r="O118" s="364">
        <v>0</v>
      </c>
      <c r="P118" s="364">
        <v>0</v>
      </c>
      <c r="Q118" s="364">
        <f t="shared" si="78"/>
        <v>0</v>
      </c>
      <c r="R118" s="364">
        <v>0</v>
      </c>
      <c r="S118" s="364">
        <v>0</v>
      </c>
      <c r="T118" s="353" t="s">
        <v>145</v>
      </c>
      <c r="U118" s="365" t="s">
        <v>71</v>
      </c>
      <c r="V118" s="141"/>
    </row>
    <row r="119" spans="2:22" ht="13.5" thickBot="1" x14ac:dyDescent="0.25">
      <c r="B119" s="364">
        <f t="shared" ref="B119:R119" si="121">SUM(B117:B118)</f>
        <v>27</v>
      </c>
      <c r="C119" s="364">
        <f t="shared" si="121"/>
        <v>10</v>
      </c>
      <c r="D119" s="364">
        <f t="shared" si="121"/>
        <v>17</v>
      </c>
      <c r="E119" s="364">
        <f t="shared" si="121"/>
        <v>17</v>
      </c>
      <c r="F119" s="364">
        <f t="shared" si="121"/>
        <v>4</v>
      </c>
      <c r="G119" s="364">
        <f t="shared" si="121"/>
        <v>13</v>
      </c>
      <c r="H119" s="364">
        <f t="shared" si="121"/>
        <v>2</v>
      </c>
      <c r="I119" s="364">
        <f t="shared" si="121"/>
        <v>0</v>
      </c>
      <c r="J119" s="364">
        <f t="shared" si="121"/>
        <v>2</v>
      </c>
      <c r="K119" s="364">
        <f t="shared" si="121"/>
        <v>7</v>
      </c>
      <c r="L119" s="364">
        <f t="shared" si="121"/>
        <v>5</v>
      </c>
      <c r="M119" s="364">
        <f t="shared" si="121"/>
        <v>2</v>
      </c>
      <c r="N119" s="364">
        <f t="shared" si="121"/>
        <v>0</v>
      </c>
      <c r="O119" s="364">
        <f t="shared" si="121"/>
        <v>0</v>
      </c>
      <c r="P119" s="364">
        <f t="shared" si="121"/>
        <v>0</v>
      </c>
      <c r="Q119" s="364">
        <f t="shared" si="121"/>
        <v>1</v>
      </c>
      <c r="R119" s="364">
        <f t="shared" si="121"/>
        <v>1</v>
      </c>
      <c r="S119" s="364">
        <f>SUM(S117:S118)</f>
        <v>0</v>
      </c>
      <c r="T119" s="353" t="s">
        <v>12</v>
      </c>
      <c r="U119" s="366"/>
      <c r="V119" s="141"/>
    </row>
    <row r="120" spans="2:22" ht="13.5" thickBot="1" x14ac:dyDescent="0.25">
      <c r="B120" s="364">
        <f t="shared" ref="B120:B121" si="122">SUM(C120:D120)</f>
        <v>19</v>
      </c>
      <c r="C120" s="364">
        <f t="shared" ref="C120:D121" si="123">R120+O120+L120+I120+F120</f>
        <v>0</v>
      </c>
      <c r="D120" s="364">
        <f t="shared" si="123"/>
        <v>19</v>
      </c>
      <c r="E120" s="364">
        <f t="shared" si="74"/>
        <v>14</v>
      </c>
      <c r="F120" s="364">
        <v>0</v>
      </c>
      <c r="G120" s="364">
        <v>14</v>
      </c>
      <c r="H120" s="364">
        <f t="shared" si="75"/>
        <v>2</v>
      </c>
      <c r="I120" s="364">
        <v>0</v>
      </c>
      <c r="J120" s="364">
        <v>2</v>
      </c>
      <c r="K120" s="364">
        <f t="shared" si="76"/>
        <v>3</v>
      </c>
      <c r="L120" s="364">
        <v>0</v>
      </c>
      <c r="M120" s="364">
        <v>3</v>
      </c>
      <c r="N120" s="364">
        <f t="shared" si="77"/>
        <v>0</v>
      </c>
      <c r="O120" s="364">
        <v>0</v>
      </c>
      <c r="P120" s="364">
        <v>0</v>
      </c>
      <c r="Q120" s="364">
        <f t="shared" si="78"/>
        <v>0</v>
      </c>
      <c r="R120" s="364">
        <v>0</v>
      </c>
      <c r="S120" s="364">
        <v>0</v>
      </c>
      <c r="T120" s="353" t="s">
        <v>146</v>
      </c>
      <c r="U120" s="365"/>
      <c r="V120" s="141"/>
    </row>
    <row r="121" spans="2:22" ht="13.5" thickBot="1" x14ac:dyDescent="0.25">
      <c r="B121" s="364">
        <f t="shared" si="122"/>
        <v>0</v>
      </c>
      <c r="C121" s="364">
        <f t="shared" si="123"/>
        <v>0</v>
      </c>
      <c r="D121" s="364">
        <f t="shared" si="123"/>
        <v>0</v>
      </c>
      <c r="E121" s="364">
        <f t="shared" si="74"/>
        <v>0</v>
      </c>
      <c r="F121" s="364">
        <v>0</v>
      </c>
      <c r="G121" s="364">
        <v>0</v>
      </c>
      <c r="H121" s="364">
        <f t="shared" si="75"/>
        <v>0</v>
      </c>
      <c r="I121" s="364">
        <v>0</v>
      </c>
      <c r="J121" s="364">
        <v>0</v>
      </c>
      <c r="K121" s="364">
        <f t="shared" si="76"/>
        <v>0</v>
      </c>
      <c r="L121" s="364">
        <v>0</v>
      </c>
      <c r="M121" s="364">
        <v>0</v>
      </c>
      <c r="N121" s="364">
        <f t="shared" si="77"/>
        <v>0</v>
      </c>
      <c r="O121" s="364">
        <v>0</v>
      </c>
      <c r="P121" s="364">
        <v>0</v>
      </c>
      <c r="Q121" s="364">
        <f t="shared" si="78"/>
        <v>0</v>
      </c>
      <c r="R121" s="364">
        <v>0</v>
      </c>
      <c r="S121" s="364">
        <v>0</v>
      </c>
      <c r="T121" s="353" t="s">
        <v>145</v>
      </c>
      <c r="U121" s="365" t="s">
        <v>83</v>
      </c>
      <c r="V121" s="141"/>
    </row>
    <row r="122" spans="2:22" ht="13.5" thickBot="1" x14ac:dyDescent="0.25">
      <c r="B122" s="364">
        <f t="shared" ref="B122:R122" si="124">SUM(B120:B121)</f>
        <v>19</v>
      </c>
      <c r="C122" s="364">
        <f t="shared" si="124"/>
        <v>0</v>
      </c>
      <c r="D122" s="364">
        <f t="shared" si="124"/>
        <v>19</v>
      </c>
      <c r="E122" s="364">
        <f t="shared" si="124"/>
        <v>14</v>
      </c>
      <c r="F122" s="364">
        <f t="shared" si="124"/>
        <v>0</v>
      </c>
      <c r="G122" s="364">
        <f t="shared" si="124"/>
        <v>14</v>
      </c>
      <c r="H122" s="364">
        <f t="shared" si="124"/>
        <v>2</v>
      </c>
      <c r="I122" s="364">
        <f t="shared" si="124"/>
        <v>0</v>
      </c>
      <c r="J122" s="364">
        <f t="shared" si="124"/>
        <v>2</v>
      </c>
      <c r="K122" s="364">
        <f t="shared" si="124"/>
        <v>3</v>
      </c>
      <c r="L122" s="364">
        <f t="shared" si="124"/>
        <v>0</v>
      </c>
      <c r="M122" s="364">
        <f t="shared" si="124"/>
        <v>3</v>
      </c>
      <c r="N122" s="364">
        <f t="shared" si="124"/>
        <v>0</v>
      </c>
      <c r="O122" s="364">
        <f t="shared" si="124"/>
        <v>0</v>
      </c>
      <c r="P122" s="364">
        <f t="shared" si="124"/>
        <v>0</v>
      </c>
      <c r="Q122" s="364">
        <f t="shared" si="124"/>
        <v>0</v>
      </c>
      <c r="R122" s="364">
        <f t="shared" si="124"/>
        <v>0</v>
      </c>
      <c r="S122" s="364">
        <f>SUM(S120:S121)</f>
        <v>0</v>
      </c>
      <c r="T122" s="353" t="s">
        <v>12</v>
      </c>
      <c r="U122" s="366"/>
      <c r="V122" s="141"/>
    </row>
    <row r="123" spans="2:22" ht="13.5" thickBot="1" x14ac:dyDescent="0.25">
      <c r="B123" s="364">
        <f t="shared" ref="B123:B124" si="125">SUM(C123:D123)</f>
        <v>1552</v>
      </c>
      <c r="C123" s="364">
        <f t="shared" ref="C123:D124" si="126">R123+O123+L123+I123+F123</f>
        <v>339</v>
      </c>
      <c r="D123" s="364">
        <f t="shared" si="126"/>
        <v>1213</v>
      </c>
      <c r="E123" s="364">
        <f t="shared" si="74"/>
        <v>766</v>
      </c>
      <c r="F123" s="364">
        <v>126</v>
      </c>
      <c r="G123" s="364">
        <v>640</v>
      </c>
      <c r="H123" s="364">
        <f t="shared" si="75"/>
        <v>197</v>
      </c>
      <c r="I123" s="364">
        <v>28</v>
      </c>
      <c r="J123" s="364">
        <v>169</v>
      </c>
      <c r="K123" s="364">
        <f t="shared" si="76"/>
        <v>550</v>
      </c>
      <c r="L123" s="364">
        <v>176</v>
      </c>
      <c r="M123" s="364">
        <v>374</v>
      </c>
      <c r="N123" s="364">
        <f t="shared" si="77"/>
        <v>37</v>
      </c>
      <c r="O123" s="364">
        <v>9</v>
      </c>
      <c r="P123" s="364">
        <v>28</v>
      </c>
      <c r="Q123" s="364">
        <f t="shared" si="78"/>
        <v>2</v>
      </c>
      <c r="R123" s="364">
        <v>0</v>
      </c>
      <c r="S123" s="364">
        <v>2</v>
      </c>
      <c r="T123" s="353" t="s">
        <v>146</v>
      </c>
      <c r="U123" s="365"/>
      <c r="V123" s="141"/>
    </row>
    <row r="124" spans="2:22" ht="13.5" thickBot="1" x14ac:dyDescent="0.25">
      <c r="B124" s="364">
        <f t="shared" si="125"/>
        <v>12</v>
      </c>
      <c r="C124" s="364">
        <f t="shared" si="126"/>
        <v>0</v>
      </c>
      <c r="D124" s="364">
        <f t="shared" si="126"/>
        <v>12</v>
      </c>
      <c r="E124" s="364">
        <f t="shared" si="74"/>
        <v>2</v>
      </c>
      <c r="F124" s="364">
        <v>0</v>
      </c>
      <c r="G124" s="364">
        <v>2</v>
      </c>
      <c r="H124" s="364">
        <f t="shared" si="75"/>
        <v>2</v>
      </c>
      <c r="I124" s="364">
        <v>0</v>
      </c>
      <c r="J124" s="364">
        <v>2</v>
      </c>
      <c r="K124" s="364">
        <f t="shared" si="76"/>
        <v>7</v>
      </c>
      <c r="L124" s="364">
        <v>0</v>
      </c>
      <c r="M124" s="364">
        <v>7</v>
      </c>
      <c r="N124" s="364">
        <f t="shared" si="77"/>
        <v>1</v>
      </c>
      <c r="O124" s="364">
        <v>0</v>
      </c>
      <c r="P124" s="364">
        <v>1</v>
      </c>
      <c r="Q124" s="364">
        <f t="shared" si="78"/>
        <v>0</v>
      </c>
      <c r="R124" s="364">
        <v>0</v>
      </c>
      <c r="S124" s="364">
        <v>0</v>
      </c>
      <c r="T124" s="353" t="s">
        <v>145</v>
      </c>
      <c r="U124" s="365" t="s">
        <v>756</v>
      </c>
      <c r="V124" s="141"/>
    </row>
    <row r="125" spans="2:22" ht="13.5" thickBot="1" x14ac:dyDescent="0.25">
      <c r="B125" s="364">
        <f t="shared" ref="B125:R125" si="127">SUM(B123:B124)</f>
        <v>1564</v>
      </c>
      <c r="C125" s="364">
        <f t="shared" si="127"/>
        <v>339</v>
      </c>
      <c r="D125" s="364">
        <f t="shared" si="127"/>
        <v>1225</v>
      </c>
      <c r="E125" s="364">
        <f t="shared" si="127"/>
        <v>768</v>
      </c>
      <c r="F125" s="364">
        <f t="shared" si="127"/>
        <v>126</v>
      </c>
      <c r="G125" s="364">
        <f t="shared" si="127"/>
        <v>642</v>
      </c>
      <c r="H125" s="364">
        <f t="shared" si="127"/>
        <v>199</v>
      </c>
      <c r="I125" s="364">
        <f t="shared" si="127"/>
        <v>28</v>
      </c>
      <c r="J125" s="364">
        <f t="shared" si="127"/>
        <v>171</v>
      </c>
      <c r="K125" s="364">
        <f t="shared" si="127"/>
        <v>557</v>
      </c>
      <c r="L125" s="364">
        <f t="shared" si="127"/>
        <v>176</v>
      </c>
      <c r="M125" s="364">
        <f t="shared" si="127"/>
        <v>381</v>
      </c>
      <c r="N125" s="364">
        <f t="shared" si="127"/>
        <v>38</v>
      </c>
      <c r="O125" s="364">
        <f t="shared" si="127"/>
        <v>9</v>
      </c>
      <c r="P125" s="364">
        <f t="shared" si="127"/>
        <v>29</v>
      </c>
      <c r="Q125" s="364">
        <f t="shared" si="127"/>
        <v>2</v>
      </c>
      <c r="R125" s="364">
        <f t="shared" si="127"/>
        <v>0</v>
      </c>
      <c r="S125" s="364">
        <f>SUM(S123:S124)</f>
        <v>2</v>
      </c>
      <c r="T125" s="353" t="s">
        <v>12</v>
      </c>
      <c r="U125" s="366"/>
      <c r="V125" s="141"/>
    </row>
    <row r="126" spans="2:22" ht="13.5" thickBot="1" x14ac:dyDescent="0.25">
      <c r="B126" s="364">
        <f t="shared" ref="B126:B127" si="128">SUM(C126:D126)</f>
        <v>812</v>
      </c>
      <c r="C126" s="364">
        <f t="shared" ref="C126:D127" si="129">R126+O126+L126+I126+F126</f>
        <v>222</v>
      </c>
      <c r="D126" s="364">
        <f t="shared" si="129"/>
        <v>590</v>
      </c>
      <c r="E126" s="364">
        <f t="shared" si="74"/>
        <v>223</v>
      </c>
      <c r="F126" s="364">
        <v>28</v>
      </c>
      <c r="G126" s="364">
        <v>195</v>
      </c>
      <c r="H126" s="364">
        <f t="shared" si="75"/>
        <v>187</v>
      </c>
      <c r="I126" s="364">
        <v>43</v>
      </c>
      <c r="J126" s="364">
        <v>144</v>
      </c>
      <c r="K126" s="364">
        <f t="shared" si="76"/>
        <v>344</v>
      </c>
      <c r="L126" s="364">
        <v>128</v>
      </c>
      <c r="M126" s="364">
        <v>216</v>
      </c>
      <c r="N126" s="364">
        <f t="shared" si="77"/>
        <v>22</v>
      </c>
      <c r="O126" s="364">
        <v>11</v>
      </c>
      <c r="P126" s="364">
        <v>11</v>
      </c>
      <c r="Q126" s="364">
        <f t="shared" si="78"/>
        <v>36</v>
      </c>
      <c r="R126" s="364">
        <v>12</v>
      </c>
      <c r="S126" s="364">
        <v>24</v>
      </c>
      <c r="T126" s="353" t="s">
        <v>146</v>
      </c>
      <c r="U126" s="365"/>
      <c r="V126" s="141"/>
    </row>
    <row r="127" spans="2:22" ht="13.5" thickBot="1" x14ac:dyDescent="0.25">
      <c r="B127" s="364">
        <f t="shared" si="128"/>
        <v>110</v>
      </c>
      <c r="C127" s="364">
        <f t="shared" si="129"/>
        <v>10</v>
      </c>
      <c r="D127" s="364">
        <f t="shared" si="129"/>
        <v>100</v>
      </c>
      <c r="E127" s="364">
        <f t="shared" si="74"/>
        <v>13</v>
      </c>
      <c r="F127" s="364">
        <v>0</v>
      </c>
      <c r="G127" s="364">
        <v>13</v>
      </c>
      <c r="H127" s="364">
        <f t="shared" si="75"/>
        <v>42</v>
      </c>
      <c r="I127" s="364">
        <v>9</v>
      </c>
      <c r="J127" s="364">
        <v>33</v>
      </c>
      <c r="K127" s="364">
        <f t="shared" si="76"/>
        <v>24</v>
      </c>
      <c r="L127" s="364">
        <v>1</v>
      </c>
      <c r="M127" s="364">
        <v>23</v>
      </c>
      <c r="N127" s="364">
        <f t="shared" si="77"/>
        <v>9</v>
      </c>
      <c r="O127" s="364">
        <v>0</v>
      </c>
      <c r="P127" s="364">
        <v>9</v>
      </c>
      <c r="Q127" s="364">
        <f t="shared" si="78"/>
        <v>22</v>
      </c>
      <c r="R127" s="364">
        <v>0</v>
      </c>
      <c r="S127" s="364">
        <v>22</v>
      </c>
      <c r="T127" s="353" t="s">
        <v>145</v>
      </c>
      <c r="U127" s="365" t="s">
        <v>757</v>
      </c>
      <c r="V127" s="141"/>
    </row>
    <row r="128" spans="2:22" ht="13.5" thickBot="1" x14ac:dyDescent="0.25">
      <c r="B128" s="364">
        <f t="shared" ref="B128:R128" si="130">SUM(B126:B127)</f>
        <v>922</v>
      </c>
      <c r="C128" s="364">
        <f t="shared" si="130"/>
        <v>232</v>
      </c>
      <c r="D128" s="364">
        <f t="shared" si="130"/>
        <v>690</v>
      </c>
      <c r="E128" s="364">
        <f t="shared" si="130"/>
        <v>236</v>
      </c>
      <c r="F128" s="364">
        <f t="shared" si="130"/>
        <v>28</v>
      </c>
      <c r="G128" s="364">
        <f t="shared" si="130"/>
        <v>208</v>
      </c>
      <c r="H128" s="364">
        <f t="shared" si="130"/>
        <v>229</v>
      </c>
      <c r="I128" s="364">
        <f t="shared" si="130"/>
        <v>52</v>
      </c>
      <c r="J128" s="364">
        <f t="shared" si="130"/>
        <v>177</v>
      </c>
      <c r="K128" s="364">
        <f t="shared" si="130"/>
        <v>368</v>
      </c>
      <c r="L128" s="364">
        <f t="shared" si="130"/>
        <v>129</v>
      </c>
      <c r="M128" s="364">
        <f t="shared" si="130"/>
        <v>239</v>
      </c>
      <c r="N128" s="364">
        <f t="shared" si="130"/>
        <v>31</v>
      </c>
      <c r="O128" s="364">
        <f t="shared" si="130"/>
        <v>11</v>
      </c>
      <c r="P128" s="364">
        <f t="shared" si="130"/>
        <v>20</v>
      </c>
      <c r="Q128" s="364">
        <f t="shared" si="130"/>
        <v>58</v>
      </c>
      <c r="R128" s="364">
        <f t="shared" si="130"/>
        <v>12</v>
      </c>
      <c r="S128" s="364">
        <f>SUM(S126:S127)</f>
        <v>46</v>
      </c>
      <c r="T128" s="353" t="s">
        <v>12</v>
      </c>
      <c r="U128" s="366"/>
      <c r="V128" s="141"/>
    </row>
    <row r="129" spans="2:22" ht="13.5" thickBot="1" x14ac:dyDescent="0.25">
      <c r="B129" s="364">
        <f t="shared" ref="B129:B130" si="131">SUM(C129:D129)</f>
        <v>273</v>
      </c>
      <c r="C129" s="364">
        <f t="shared" ref="C129:D130" si="132">R129+O129+L129+I129+F129</f>
        <v>64</v>
      </c>
      <c r="D129" s="364">
        <f t="shared" si="132"/>
        <v>209</v>
      </c>
      <c r="E129" s="364">
        <f t="shared" si="74"/>
        <v>143</v>
      </c>
      <c r="F129" s="364">
        <v>14</v>
      </c>
      <c r="G129" s="364">
        <v>129</v>
      </c>
      <c r="H129" s="364">
        <f t="shared" si="75"/>
        <v>43</v>
      </c>
      <c r="I129" s="364">
        <v>12</v>
      </c>
      <c r="J129" s="364">
        <v>31</v>
      </c>
      <c r="K129" s="364">
        <f t="shared" si="76"/>
        <v>78</v>
      </c>
      <c r="L129" s="364">
        <v>34</v>
      </c>
      <c r="M129" s="364">
        <v>44</v>
      </c>
      <c r="N129" s="364">
        <f t="shared" si="77"/>
        <v>4</v>
      </c>
      <c r="O129" s="364">
        <v>1</v>
      </c>
      <c r="P129" s="364">
        <v>3</v>
      </c>
      <c r="Q129" s="364">
        <f t="shared" si="78"/>
        <v>5</v>
      </c>
      <c r="R129" s="364">
        <v>3</v>
      </c>
      <c r="S129" s="364">
        <v>2</v>
      </c>
      <c r="T129" s="353" t="s">
        <v>146</v>
      </c>
      <c r="U129" s="365"/>
      <c r="V129" s="141"/>
    </row>
    <row r="130" spans="2:22" ht="13.5" thickBot="1" x14ac:dyDescent="0.25">
      <c r="B130" s="364">
        <f t="shared" si="131"/>
        <v>25</v>
      </c>
      <c r="C130" s="364">
        <f t="shared" si="132"/>
        <v>2</v>
      </c>
      <c r="D130" s="364">
        <f t="shared" si="132"/>
        <v>23</v>
      </c>
      <c r="E130" s="364">
        <f t="shared" si="74"/>
        <v>4</v>
      </c>
      <c r="F130" s="364">
        <v>0</v>
      </c>
      <c r="G130" s="364">
        <v>4</v>
      </c>
      <c r="H130" s="364">
        <f t="shared" si="75"/>
        <v>8</v>
      </c>
      <c r="I130" s="364">
        <v>1</v>
      </c>
      <c r="J130" s="364">
        <v>7</v>
      </c>
      <c r="K130" s="364">
        <f t="shared" si="76"/>
        <v>9</v>
      </c>
      <c r="L130" s="364">
        <v>1</v>
      </c>
      <c r="M130" s="364">
        <v>8</v>
      </c>
      <c r="N130" s="364">
        <f t="shared" si="77"/>
        <v>2</v>
      </c>
      <c r="O130" s="364">
        <v>0</v>
      </c>
      <c r="P130" s="364">
        <v>2</v>
      </c>
      <c r="Q130" s="364">
        <f t="shared" si="78"/>
        <v>2</v>
      </c>
      <c r="R130" s="364">
        <v>0</v>
      </c>
      <c r="S130" s="364">
        <v>2</v>
      </c>
      <c r="T130" s="353" t="s">
        <v>145</v>
      </c>
      <c r="U130" s="365" t="s">
        <v>812</v>
      </c>
      <c r="V130" s="141"/>
    </row>
    <row r="131" spans="2:22" ht="13.5" thickBot="1" x14ac:dyDescent="0.25">
      <c r="B131" s="364">
        <f t="shared" ref="B131:R131" si="133">SUM(B129:B130)</f>
        <v>298</v>
      </c>
      <c r="C131" s="364">
        <f t="shared" si="133"/>
        <v>66</v>
      </c>
      <c r="D131" s="364">
        <f t="shared" si="133"/>
        <v>232</v>
      </c>
      <c r="E131" s="364">
        <f t="shared" si="133"/>
        <v>147</v>
      </c>
      <c r="F131" s="364">
        <f t="shared" si="133"/>
        <v>14</v>
      </c>
      <c r="G131" s="364">
        <f t="shared" si="133"/>
        <v>133</v>
      </c>
      <c r="H131" s="364">
        <f t="shared" si="133"/>
        <v>51</v>
      </c>
      <c r="I131" s="364">
        <f t="shared" si="133"/>
        <v>13</v>
      </c>
      <c r="J131" s="364">
        <f t="shared" si="133"/>
        <v>38</v>
      </c>
      <c r="K131" s="364">
        <f t="shared" si="133"/>
        <v>87</v>
      </c>
      <c r="L131" s="364">
        <f t="shared" si="133"/>
        <v>35</v>
      </c>
      <c r="M131" s="364">
        <f t="shared" si="133"/>
        <v>52</v>
      </c>
      <c r="N131" s="364">
        <f t="shared" si="133"/>
        <v>6</v>
      </c>
      <c r="O131" s="364">
        <f t="shared" si="133"/>
        <v>1</v>
      </c>
      <c r="P131" s="364">
        <f t="shared" si="133"/>
        <v>5</v>
      </c>
      <c r="Q131" s="364">
        <f t="shared" si="133"/>
        <v>7</v>
      </c>
      <c r="R131" s="364">
        <f t="shared" si="133"/>
        <v>3</v>
      </c>
      <c r="S131" s="364">
        <f>SUM(S129:S130)</f>
        <v>4</v>
      </c>
      <c r="T131" s="353" t="s">
        <v>12</v>
      </c>
      <c r="U131" s="366"/>
      <c r="V131" s="141"/>
    </row>
    <row r="132" spans="2:22" ht="13.5" thickBot="1" x14ac:dyDescent="0.25">
      <c r="B132" s="364">
        <f t="shared" ref="B132:B133" si="134">SUM(C132:D132)</f>
        <v>20</v>
      </c>
      <c r="C132" s="364">
        <f t="shared" ref="C132:D133" si="135">R132+O132+L132+I132+F132</f>
        <v>12</v>
      </c>
      <c r="D132" s="364">
        <f t="shared" si="135"/>
        <v>8</v>
      </c>
      <c r="E132" s="364">
        <f t="shared" si="74"/>
        <v>9</v>
      </c>
      <c r="F132" s="364">
        <v>4</v>
      </c>
      <c r="G132" s="364">
        <v>5</v>
      </c>
      <c r="H132" s="364">
        <f t="shared" si="75"/>
        <v>3</v>
      </c>
      <c r="I132" s="364">
        <v>0</v>
      </c>
      <c r="J132" s="364">
        <v>3</v>
      </c>
      <c r="K132" s="364">
        <f t="shared" si="76"/>
        <v>8</v>
      </c>
      <c r="L132" s="364">
        <v>8</v>
      </c>
      <c r="M132" s="364">
        <v>0</v>
      </c>
      <c r="N132" s="364">
        <f t="shared" si="77"/>
        <v>0</v>
      </c>
      <c r="O132" s="364">
        <v>0</v>
      </c>
      <c r="P132" s="364">
        <v>0</v>
      </c>
      <c r="Q132" s="364">
        <f t="shared" si="78"/>
        <v>0</v>
      </c>
      <c r="R132" s="364">
        <v>0</v>
      </c>
      <c r="S132" s="364">
        <v>0</v>
      </c>
      <c r="T132" s="353" t="s">
        <v>146</v>
      </c>
      <c r="U132" s="365"/>
      <c r="V132" s="141"/>
    </row>
    <row r="133" spans="2:22" ht="13.5" thickBot="1" x14ac:dyDescent="0.25">
      <c r="B133" s="364">
        <f t="shared" si="134"/>
        <v>0</v>
      </c>
      <c r="C133" s="364">
        <f t="shared" si="135"/>
        <v>0</v>
      </c>
      <c r="D133" s="364">
        <f t="shared" si="135"/>
        <v>0</v>
      </c>
      <c r="E133" s="364">
        <f t="shared" si="74"/>
        <v>0</v>
      </c>
      <c r="F133" s="364">
        <v>0</v>
      </c>
      <c r="G133" s="364">
        <v>0</v>
      </c>
      <c r="H133" s="364">
        <f t="shared" si="75"/>
        <v>0</v>
      </c>
      <c r="I133" s="364">
        <v>0</v>
      </c>
      <c r="J133" s="364">
        <v>0</v>
      </c>
      <c r="K133" s="364">
        <f t="shared" si="76"/>
        <v>0</v>
      </c>
      <c r="L133" s="364">
        <v>0</v>
      </c>
      <c r="M133" s="364">
        <v>0</v>
      </c>
      <c r="N133" s="364">
        <f t="shared" si="77"/>
        <v>0</v>
      </c>
      <c r="O133" s="364">
        <v>0</v>
      </c>
      <c r="P133" s="364">
        <v>0</v>
      </c>
      <c r="Q133" s="364">
        <f t="shared" si="78"/>
        <v>0</v>
      </c>
      <c r="R133" s="364">
        <v>0</v>
      </c>
      <c r="S133" s="364">
        <v>0</v>
      </c>
      <c r="T133" s="353" t="s">
        <v>145</v>
      </c>
      <c r="U133" s="365" t="s">
        <v>377</v>
      </c>
      <c r="V133" s="141"/>
    </row>
    <row r="134" spans="2:22" ht="13.5" thickBot="1" x14ac:dyDescent="0.25">
      <c r="B134" s="364">
        <f t="shared" ref="B134:R134" si="136">SUM(B132:B133)</f>
        <v>20</v>
      </c>
      <c r="C134" s="364">
        <f t="shared" si="136"/>
        <v>12</v>
      </c>
      <c r="D134" s="364">
        <f t="shared" si="136"/>
        <v>8</v>
      </c>
      <c r="E134" s="364">
        <f t="shared" si="136"/>
        <v>9</v>
      </c>
      <c r="F134" s="364">
        <f t="shared" si="136"/>
        <v>4</v>
      </c>
      <c r="G134" s="364">
        <f t="shared" si="136"/>
        <v>5</v>
      </c>
      <c r="H134" s="364">
        <f t="shared" si="136"/>
        <v>3</v>
      </c>
      <c r="I134" s="364">
        <f t="shared" si="136"/>
        <v>0</v>
      </c>
      <c r="J134" s="364">
        <f t="shared" si="136"/>
        <v>3</v>
      </c>
      <c r="K134" s="364">
        <f t="shared" si="136"/>
        <v>8</v>
      </c>
      <c r="L134" s="364">
        <f t="shared" si="136"/>
        <v>8</v>
      </c>
      <c r="M134" s="364">
        <f t="shared" si="136"/>
        <v>0</v>
      </c>
      <c r="N134" s="364">
        <f t="shared" si="136"/>
        <v>0</v>
      </c>
      <c r="O134" s="364">
        <f t="shared" si="136"/>
        <v>0</v>
      </c>
      <c r="P134" s="364">
        <f t="shared" si="136"/>
        <v>0</v>
      </c>
      <c r="Q134" s="364">
        <f t="shared" si="136"/>
        <v>0</v>
      </c>
      <c r="R134" s="364">
        <f t="shared" si="136"/>
        <v>0</v>
      </c>
      <c r="S134" s="364">
        <f>SUM(S132:S133)</f>
        <v>0</v>
      </c>
      <c r="T134" s="353" t="s">
        <v>12</v>
      </c>
      <c r="U134" s="366"/>
      <c r="V134" s="141"/>
    </row>
    <row r="135" spans="2:22" ht="13.5" thickBot="1" x14ac:dyDescent="0.25">
      <c r="B135" s="364">
        <f t="shared" ref="B135:B136" si="137">SUM(C135:D135)</f>
        <v>14</v>
      </c>
      <c r="C135" s="364">
        <f t="shared" ref="C135:D136" si="138">R135+O135+L135+I135+F135</f>
        <v>0</v>
      </c>
      <c r="D135" s="364">
        <f t="shared" si="138"/>
        <v>14</v>
      </c>
      <c r="E135" s="364">
        <f t="shared" si="74"/>
        <v>8</v>
      </c>
      <c r="F135" s="364">
        <v>0</v>
      </c>
      <c r="G135" s="364">
        <v>8</v>
      </c>
      <c r="H135" s="364">
        <f t="shared" si="75"/>
        <v>2</v>
      </c>
      <c r="I135" s="364">
        <v>0</v>
      </c>
      <c r="J135" s="364">
        <v>2</v>
      </c>
      <c r="K135" s="364">
        <f t="shared" si="76"/>
        <v>4</v>
      </c>
      <c r="L135" s="364">
        <v>0</v>
      </c>
      <c r="M135" s="364">
        <v>4</v>
      </c>
      <c r="N135" s="364">
        <f t="shared" si="77"/>
        <v>0</v>
      </c>
      <c r="O135" s="364">
        <v>0</v>
      </c>
      <c r="P135" s="364">
        <v>0</v>
      </c>
      <c r="Q135" s="364">
        <f t="shared" si="78"/>
        <v>0</v>
      </c>
      <c r="R135" s="364">
        <v>0</v>
      </c>
      <c r="S135" s="364">
        <v>0</v>
      </c>
      <c r="T135" s="353" t="s">
        <v>146</v>
      </c>
      <c r="U135" s="365"/>
      <c r="V135" s="141"/>
    </row>
    <row r="136" spans="2:22" ht="13.5" thickBot="1" x14ac:dyDescent="0.25">
      <c r="B136" s="364">
        <f t="shared" si="137"/>
        <v>0</v>
      </c>
      <c r="C136" s="364">
        <f t="shared" si="138"/>
        <v>0</v>
      </c>
      <c r="D136" s="364">
        <f t="shared" si="138"/>
        <v>0</v>
      </c>
      <c r="E136" s="364">
        <f t="shared" si="74"/>
        <v>0</v>
      </c>
      <c r="F136" s="364">
        <v>0</v>
      </c>
      <c r="G136" s="364">
        <v>0</v>
      </c>
      <c r="H136" s="364">
        <f t="shared" si="75"/>
        <v>0</v>
      </c>
      <c r="I136" s="364">
        <v>0</v>
      </c>
      <c r="J136" s="364">
        <v>0</v>
      </c>
      <c r="K136" s="364">
        <f t="shared" si="76"/>
        <v>0</v>
      </c>
      <c r="L136" s="364">
        <v>0</v>
      </c>
      <c r="M136" s="364">
        <v>0</v>
      </c>
      <c r="N136" s="364">
        <f t="shared" si="77"/>
        <v>0</v>
      </c>
      <c r="O136" s="364">
        <v>0</v>
      </c>
      <c r="P136" s="364">
        <v>0</v>
      </c>
      <c r="Q136" s="364">
        <f t="shared" si="78"/>
        <v>0</v>
      </c>
      <c r="R136" s="364">
        <v>0</v>
      </c>
      <c r="S136" s="364">
        <v>0</v>
      </c>
      <c r="T136" s="353" t="s">
        <v>145</v>
      </c>
      <c r="U136" s="365" t="s">
        <v>84</v>
      </c>
      <c r="V136" s="141"/>
    </row>
    <row r="137" spans="2:22" ht="13.5" thickBot="1" x14ac:dyDescent="0.25">
      <c r="B137" s="364">
        <f t="shared" ref="B137:R137" si="139">SUM(B135:B136)</f>
        <v>14</v>
      </c>
      <c r="C137" s="364">
        <f t="shared" si="139"/>
        <v>0</v>
      </c>
      <c r="D137" s="364">
        <f t="shared" si="139"/>
        <v>14</v>
      </c>
      <c r="E137" s="364">
        <f t="shared" si="139"/>
        <v>8</v>
      </c>
      <c r="F137" s="364">
        <f t="shared" si="139"/>
        <v>0</v>
      </c>
      <c r="G137" s="364">
        <f t="shared" si="139"/>
        <v>8</v>
      </c>
      <c r="H137" s="364">
        <f t="shared" si="139"/>
        <v>2</v>
      </c>
      <c r="I137" s="364">
        <f t="shared" si="139"/>
        <v>0</v>
      </c>
      <c r="J137" s="364">
        <f t="shared" si="139"/>
        <v>2</v>
      </c>
      <c r="K137" s="364">
        <f t="shared" si="139"/>
        <v>4</v>
      </c>
      <c r="L137" s="364">
        <f t="shared" si="139"/>
        <v>0</v>
      </c>
      <c r="M137" s="364">
        <f t="shared" si="139"/>
        <v>4</v>
      </c>
      <c r="N137" s="364">
        <f t="shared" si="139"/>
        <v>0</v>
      </c>
      <c r="O137" s="364">
        <f t="shared" si="139"/>
        <v>0</v>
      </c>
      <c r="P137" s="364">
        <f t="shared" si="139"/>
        <v>0</v>
      </c>
      <c r="Q137" s="364">
        <f t="shared" si="139"/>
        <v>0</v>
      </c>
      <c r="R137" s="364">
        <f t="shared" si="139"/>
        <v>0</v>
      </c>
      <c r="S137" s="364">
        <f>SUM(S135:S136)</f>
        <v>0</v>
      </c>
      <c r="T137" s="353" t="s">
        <v>12</v>
      </c>
      <c r="U137" s="366"/>
      <c r="V137" s="141"/>
    </row>
    <row r="138" spans="2:22" ht="13.5" thickBot="1" x14ac:dyDescent="0.25">
      <c r="B138" s="364">
        <f t="shared" ref="B138:B139" si="140">SUM(C138:D138)</f>
        <v>20</v>
      </c>
      <c r="C138" s="364">
        <f t="shared" ref="C138:D139" si="141">R138+O138+L138+I138+F138</f>
        <v>0</v>
      </c>
      <c r="D138" s="364">
        <f t="shared" si="141"/>
        <v>20</v>
      </c>
      <c r="E138" s="364">
        <f t="shared" si="74"/>
        <v>16</v>
      </c>
      <c r="F138" s="364">
        <v>0</v>
      </c>
      <c r="G138" s="364">
        <v>16</v>
      </c>
      <c r="H138" s="364">
        <f t="shared" si="75"/>
        <v>2</v>
      </c>
      <c r="I138" s="364">
        <v>0</v>
      </c>
      <c r="J138" s="364">
        <v>2</v>
      </c>
      <c r="K138" s="364">
        <f t="shared" si="76"/>
        <v>2</v>
      </c>
      <c r="L138" s="364">
        <v>0</v>
      </c>
      <c r="M138" s="364">
        <v>2</v>
      </c>
      <c r="N138" s="364">
        <f t="shared" si="77"/>
        <v>0</v>
      </c>
      <c r="O138" s="364">
        <v>0</v>
      </c>
      <c r="P138" s="364">
        <v>0</v>
      </c>
      <c r="Q138" s="364">
        <f t="shared" si="78"/>
        <v>0</v>
      </c>
      <c r="R138" s="364">
        <v>0</v>
      </c>
      <c r="S138" s="364">
        <v>0</v>
      </c>
      <c r="T138" s="353" t="s">
        <v>146</v>
      </c>
      <c r="U138" s="365"/>
      <c r="V138" s="141"/>
    </row>
    <row r="139" spans="2:22" ht="13.5" thickBot="1" x14ac:dyDescent="0.25">
      <c r="B139" s="364">
        <f t="shared" si="140"/>
        <v>0</v>
      </c>
      <c r="C139" s="364">
        <f t="shared" si="141"/>
        <v>0</v>
      </c>
      <c r="D139" s="364">
        <f t="shared" si="141"/>
        <v>0</v>
      </c>
      <c r="E139" s="364">
        <f t="shared" si="74"/>
        <v>0</v>
      </c>
      <c r="F139" s="364">
        <v>0</v>
      </c>
      <c r="G139" s="364">
        <v>0</v>
      </c>
      <c r="H139" s="364">
        <f t="shared" si="75"/>
        <v>0</v>
      </c>
      <c r="I139" s="364">
        <v>0</v>
      </c>
      <c r="J139" s="364">
        <v>0</v>
      </c>
      <c r="K139" s="364">
        <f t="shared" si="76"/>
        <v>0</v>
      </c>
      <c r="L139" s="364">
        <v>0</v>
      </c>
      <c r="M139" s="364">
        <v>0</v>
      </c>
      <c r="N139" s="364">
        <f t="shared" si="77"/>
        <v>0</v>
      </c>
      <c r="O139" s="364">
        <v>0</v>
      </c>
      <c r="P139" s="364">
        <v>0</v>
      </c>
      <c r="Q139" s="364">
        <f t="shared" si="78"/>
        <v>0</v>
      </c>
      <c r="R139" s="364">
        <v>0</v>
      </c>
      <c r="S139" s="364">
        <v>0</v>
      </c>
      <c r="T139" s="353" t="s">
        <v>145</v>
      </c>
      <c r="U139" s="365" t="s">
        <v>85</v>
      </c>
      <c r="V139" s="141"/>
    </row>
    <row r="140" spans="2:22" ht="13.5" thickBot="1" x14ac:dyDescent="0.25">
      <c r="B140" s="364">
        <f t="shared" ref="B140:R140" si="142">SUM(B138:B139)</f>
        <v>20</v>
      </c>
      <c r="C140" s="364">
        <f t="shared" si="142"/>
        <v>0</v>
      </c>
      <c r="D140" s="364">
        <f t="shared" si="142"/>
        <v>20</v>
      </c>
      <c r="E140" s="364">
        <f t="shared" si="142"/>
        <v>16</v>
      </c>
      <c r="F140" s="364">
        <f t="shared" si="142"/>
        <v>0</v>
      </c>
      <c r="G140" s="364">
        <f t="shared" si="142"/>
        <v>16</v>
      </c>
      <c r="H140" s="364">
        <f t="shared" si="142"/>
        <v>2</v>
      </c>
      <c r="I140" s="364">
        <f t="shared" si="142"/>
        <v>0</v>
      </c>
      <c r="J140" s="364">
        <f t="shared" si="142"/>
        <v>2</v>
      </c>
      <c r="K140" s="364">
        <f t="shared" si="142"/>
        <v>2</v>
      </c>
      <c r="L140" s="364">
        <f t="shared" si="142"/>
        <v>0</v>
      </c>
      <c r="M140" s="364">
        <f t="shared" si="142"/>
        <v>2</v>
      </c>
      <c r="N140" s="364">
        <f t="shared" si="142"/>
        <v>0</v>
      </c>
      <c r="O140" s="364">
        <f t="shared" si="142"/>
        <v>0</v>
      </c>
      <c r="P140" s="364">
        <f t="shared" si="142"/>
        <v>0</v>
      </c>
      <c r="Q140" s="364">
        <f t="shared" si="142"/>
        <v>0</v>
      </c>
      <c r="R140" s="364">
        <f t="shared" si="142"/>
        <v>0</v>
      </c>
      <c r="S140" s="364">
        <f>SUM(S138:S139)</f>
        <v>0</v>
      </c>
      <c r="T140" s="353" t="s">
        <v>12</v>
      </c>
      <c r="U140" s="366"/>
      <c r="V140" s="141"/>
    </row>
    <row r="141" spans="2:22" ht="13.5" thickBot="1" x14ac:dyDescent="0.25">
      <c r="B141" s="364">
        <f t="shared" ref="B141:B142" si="143">SUM(C141:D141)</f>
        <v>28</v>
      </c>
      <c r="C141" s="364">
        <f t="shared" ref="C141:D142" si="144">R141+O141+L141+I141+F141</f>
        <v>0</v>
      </c>
      <c r="D141" s="364">
        <f t="shared" si="144"/>
        <v>28</v>
      </c>
      <c r="E141" s="364">
        <f t="shared" ref="E141:E154" si="145">SUM(F141:G141)</f>
        <v>9</v>
      </c>
      <c r="F141" s="364">
        <v>0</v>
      </c>
      <c r="G141" s="364">
        <v>9</v>
      </c>
      <c r="H141" s="364">
        <f t="shared" ref="H141:H154" si="146">SUM(I141:J141)</f>
        <v>4</v>
      </c>
      <c r="I141" s="364">
        <v>0</v>
      </c>
      <c r="J141" s="364">
        <v>4</v>
      </c>
      <c r="K141" s="364">
        <f t="shared" ref="K141:K154" si="147">SUM(L141:M141)</f>
        <v>11</v>
      </c>
      <c r="L141" s="364">
        <v>0</v>
      </c>
      <c r="M141" s="364">
        <v>11</v>
      </c>
      <c r="N141" s="364">
        <f t="shared" ref="N141:N154" si="148">SUM(O141:P141)</f>
        <v>3</v>
      </c>
      <c r="O141" s="364">
        <v>0</v>
      </c>
      <c r="P141" s="364">
        <v>3</v>
      </c>
      <c r="Q141" s="364">
        <f t="shared" ref="Q141:Q154" si="149">SUM(R141:S141)</f>
        <v>1</v>
      </c>
      <c r="R141" s="364">
        <v>0</v>
      </c>
      <c r="S141" s="364">
        <v>1</v>
      </c>
      <c r="T141" s="353" t="s">
        <v>146</v>
      </c>
      <c r="U141" s="365"/>
      <c r="V141" s="141"/>
    </row>
    <row r="142" spans="2:22" ht="13.5" thickBot="1" x14ac:dyDescent="0.25">
      <c r="B142" s="364">
        <f t="shared" si="143"/>
        <v>0</v>
      </c>
      <c r="C142" s="364">
        <f t="shared" si="144"/>
        <v>0</v>
      </c>
      <c r="D142" s="364">
        <f t="shared" si="144"/>
        <v>0</v>
      </c>
      <c r="E142" s="364">
        <f t="shared" si="145"/>
        <v>0</v>
      </c>
      <c r="F142" s="364">
        <v>0</v>
      </c>
      <c r="G142" s="364">
        <v>0</v>
      </c>
      <c r="H142" s="364">
        <f t="shared" si="146"/>
        <v>0</v>
      </c>
      <c r="I142" s="364">
        <v>0</v>
      </c>
      <c r="J142" s="364">
        <v>0</v>
      </c>
      <c r="K142" s="364">
        <f t="shared" si="147"/>
        <v>0</v>
      </c>
      <c r="L142" s="364">
        <v>0</v>
      </c>
      <c r="M142" s="364">
        <v>0</v>
      </c>
      <c r="N142" s="364">
        <f t="shared" si="148"/>
        <v>0</v>
      </c>
      <c r="O142" s="364">
        <v>0</v>
      </c>
      <c r="P142" s="364">
        <v>0</v>
      </c>
      <c r="Q142" s="364">
        <f t="shared" si="149"/>
        <v>0</v>
      </c>
      <c r="R142" s="364">
        <v>0</v>
      </c>
      <c r="S142" s="364">
        <v>0</v>
      </c>
      <c r="T142" s="353" t="s">
        <v>145</v>
      </c>
      <c r="U142" s="365" t="s">
        <v>379</v>
      </c>
      <c r="V142" s="141"/>
    </row>
    <row r="143" spans="2:22" ht="13.5" thickBot="1" x14ac:dyDescent="0.25">
      <c r="B143" s="364">
        <f t="shared" ref="B143:R143" si="150">SUM(B141:B142)</f>
        <v>28</v>
      </c>
      <c r="C143" s="364">
        <f t="shared" si="150"/>
        <v>0</v>
      </c>
      <c r="D143" s="364">
        <f t="shared" si="150"/>
        <v>28</v>
      </c>
      <c r="E143" s="364">
        <f t="shared" si="150"/>
        <v>9</v>
      </c>
      <c r="F143" s="364">
        <f t="shared" si="150"/>
        <v>0</v>
      </c>
      <c r="G143" s="364">
        <f t="shared" si="150"/>
        <v>9</v>
      </c>
      <c r="H143" s="364">
        <f t="shared" si="150"/>
        <v>4</v>
      </c>
      <c r="I143" s="364">
        <f t="shared" si="150"/>
        <v>0</v>
      </c>
      <c r="J143" s="364">
        <f t="shared" si="150"/>
        <v>4</v>
      </c>
      <c r="K143" s="364">
        <f t="shared" si="150"/>
        <v>11</v>
      </c>
      <c r="L143" s="364">
        <f t="shared" si="150"/>
        <v>0</v>
      </c>
      <c r="M143" s="364">
        <f t="shared" si="150"/>
        <v>11</v>
      </c>
      <c r="N143" s="364">
        <f t="shared" si="150"/>
        <v>3</v>
      </c>
      <c r="O143" s="364">
        <f t="shared" si="150"/>
        <v>0</v>
      </c>
      <c r="P143" s="364">
        <f t="shared" si="150"/>
        <v>3</v>
      </c>
      <c r="Q143" s="364">
        <f t="shared" si="150"/>
        <v>1</v>
      </c>
      <c r="R143" s="364">
        <f t="shared" si="150"/>
        <v>0</v>
      </c>
      <c r="S143" s="364">
        <f>SUM(S141:S142)</f>
        <v>1</v>
      </c>
      <c r="T143" s="353" t="s">
        <v>12</v>
      </c>
      <c r="U143" s="366"/>
      <c r="V143" s="141"/>
    </row>
    <row r="144" spans="2:22" ht="13.5" thickBot="1" x14ac:dyDescent="0.25">
      <c r="B144" s="364">
        <f t="shared" ref="B144:B145" si="151">SUM(C144:D144)</f>
        <v>13</v>
      </c>
      <c r="C144" s="364">
        <f t="shared" ref="C144:D145" si="152">R144+O144+L144+I144+F144</f>
        <v>0</v>
      </c>
      <c r="D144" s="364">
        <f t="shared" si="152"/>
        <v>13</v>
      </c>
      <c r="E144" s="364">
        <f t="shared" si="145"/>
        <v>7</v>
      </c>
      <c r="F144" s="364">
        <v>0</v>
      </c>
      <c r="G144" s="364">
        <v>7</v>
      </c>
      <c r="H144" s="364">
        <f t="shared" si="146"/>
        <v>2</v>
      </c>
      <c r="I144" s="364">
        <v>0</v>
      </c>
      <c r="J144" s="364">
        <v>2</v>
      </c>
      <c r="K144" s="364">
        <f t="shared" si="147"/>
        <v>4</v>
      </c>
      <c r="L144" s="364">
        <v>0</v>
      </c>
      <c r="M144" s="364">
        <v>4</v>
      </c>
      <c r="N144" s="364">
        <f t="shared" si="148"/>
        <v>0</v>
      </c>
      <c r="O144" s="364">
        <v>0</v>
      </c>
      <c r="P144" s="364">
        <v>0</v>
      </c>
      <c r="Q144" s="364">
        <f t="shared" si="149"/>
        <v>0</v>
      </c>
      <c r="R144" s="364">
        <v>0</v>
      </c>
      <c r="S144" s="364">
        <v>0</v>
      </c>
      <c r="T144" s="353" t="s">
        <v>146</v>
      </c>
      <c r="U144" s="365"/>
      <c r="V144" s="141"/>
    </row>
    <row r="145" spans="2:22" ht="13.5" thickBot="1" x14ac:dyDescent="0.25">
      <c r="B145" s="364">
        <f t="shared" si="151"/>
        <v>0</v>
      </c>
      <c r="C145" s="364">
        <f t="shared" si="152"/>
        <v>0</v>
      </c>
      <c r="D145" s="364">
        <f t="shared" si="152"/>
        <v>0</v>
      </c>
      <c r="E145" s="364">
        <f t="shared" si="145"/>
        <v>0</v>
      </c>
      <c r="F145" s="364">
        <v>0</v>
      </c>
      <c r="G145" s="364">
        <v>0</v>
      </c>
      <c r="H145" s="364">
        <f t="shared" si="146"/>
        <v>0</v>
      </c>
      <c r="I145" s="364">
        <v>0</v>
      </c>
      <c r="J145" s="364">
        <v>0</v>
      </c>
      <c r="K145" s="364">
        <f t="shared" si="147"/>
        <v>0</v>
      </c>
      <c r="L145" s="364">
        <v>0</v>
      </c>
      <c r="M145" s="364">
        <v>0</v>
      </c>
      <c r="N145" s="364">
        <f t="shared" si="148"/>
        <v>0</v>
      </c>
      <c r="O145" s="364">
        <v>0</v>
      </c>
      <c r="P145" s="364">
        <v>0</v>
      </c>
      <c r="Q145" s="364">
        <f t="shared" si="149"/>
        <v>0</v>
      </c>
      <c r="R145" s="364">
        <v>0</v>
      </c>
      <c r="S145" s="364">
        <v>0</v>
      </c>
      <c r="T145" s="353" t="s">
        <v>145</v>
      </c>
      <c r="U145" s="365" t="s">
        <v>86</v>
      </c>
      <c r="V145" s="141"/>
    </row>
    <row r="146" spans="2:22" ht="13.5" thickBot="1" x14ac:dyDescent="0.25">
      <c r="B146" s="364">
        <f t="shared" ref="B146:R146" si="153">SUM(B144:B145)</f>
        <v>13</v>
      </c>
      <c r="C146" s="364">
        <f t="shared" si="153"/>
        <v>0</v>
      </c>
      <c r="D146" s="364">
        <f t="shared" si="153"/>
        <v>13</v>
      </c>
      <c r="E146" s="364">
        <f t="shared" si="153"/>
        <v>7</v>
      </c>
      <c r="F146" s="364">
        <f t="shared" si="153"/>
        <v>0</v>
      </c>
      <c r="G146" s="364">
        <f t="shared" si="153"/>
        <v>7</v>
      </c>
      <c r="H146" s="364">
        <f t="shared" si="153"/>
        <v>2</v>
      </c>
      <c r="I146" s="364">
        <f t="shared" si="153"/>
        <v>0</v>
      </c>
      <c r="J146" s="364">
        <f t="shared" si="153"/>
        <v>2</v>
      </c>
      <c r="K146" s="364">
        <f t="shared" si="153"/>
        <v>4</v>
      </c>
      <c r="L146" s="364">
        <f t="shared" si="153"/>
        <v>0</v>
      </c>
      <c r="M146" s="364">
        <f t="shared" si="153"/>
        <v>4</v>
      </c>
      <c r="N146" s="364">
        <f t="shared" si="153"/>
        <v>0</v>
      </c>
      <c r="O146" s="364">
        <f t="shared" si="153"/>
        <v>0</v>
      </c>
      <c r="P146" s="364">
        <f t="shared" si="153"/>
        <v>0</v>
      </c>
      <c r="Q146" s="364">
        <f t="shared" si="153"/>
        <v>0</v>
      </c>
      <c r="R146" s="364">
        <f t="shared" si="153"/>
        <v>0</v>
      </c>
      <c r="S146" s="364">
        <f>SUM(S144:S145)</f>
        <v>0</v>
      </c>
      <c r="T146" s="353" t="s">
        <v>12</v>
      </c>
      <c r="U146" s="366"/>
      <c r="V146" s="141"/>
    </row>
    <row r="147" spans="2:22" ht="13.5" thickBot="1" x14ac:dyDescent="0.25">
      <c r="B147" s="364">
        <f t="shared" ref="B147:B148" si="154">SUM(C147:D147)</f>
        <v>11</v>
      </c>
      <c r="C147" s="364">
        <f t="shared" ref="C147:D148" si="155">R147+O147+L147+I147+F147</f>
        <v>0</v>
      </c>
      <c r="D147" s="364">
        <f t="shared" si="155"/>
        <v>11</v>
      </c>
      <c r="E147" s="364">
        <f t="shared" si="145"/>
        <v>8</v>
      </c>
      <c r="F147" s="364">
        <v>0</v>
      </c>
      <c r="G147" s="364">
        <v>8</v>
      </c>
      <c r="H147" s="364">
        <f t="shared" si="146"/>
        <v>1</v>
      </c>
      <c r="I147" s="364">
        <v>0</v>
      </c>
      <c r="J147" s="364">
        <v>1</v>
      </c>
      <c r="K147" s="364">
        <f t="shared" si="147"/>
        <v>2</v>
      </c>
      <c r="L147" s="364">
        <v>0</v>
      </c>
      <c r="M147" s="364">
        <v>2</v>
      </c>
      <c r="N147" s="364">
        <f t="shared" si="148"/>
        <v>0</v>
      </c>
      <c r="O147" s="364">
        <v>0</v>
      </c>
      <c r="P147" s="364">
        <v>0</v>
      </c>
      <c r="Q147" s="364">
        <f t="shared" si="149"/>
        <v>0</v>
      </c>
      <c r="R147" s="364">
        <v>0</v>
      </c>
      <c r="S147" s="364">
        <v>0</v>
      </c>
      <c r="T147" s="353" t="s">
        <v>146</v>
      </c>
      <c r="U147" s="365"/>
      <c r="V147" s="141"/>
    </row>
    <row r="148" spans="2:22" ht="13.5" thickBot="1" x14ac:dyDescent="0.25">
      <c r="B148" s="364">
        <f t="shared" si="154"/>
        <v>0</v>
      </c>
      <c r="C148" s="364">
        <f t="shared" si="155"/>
        <v>0</v>
      </c>
      <c r="D148" s="364">
        <f t="shared" si="155"/>
        <v>0</v>
      </c>
      <c r="E148" s="364">
        <f t="shared" si="145"/>
        <v>0</v>
      </c>
      <c r="F148" s="364">
        <v>0</v>
      </c>
      <c r="G148" s="364">
        <v>0</v>
      </c>
      <c r="H148" s="364">
        <f t="shared" si="146"/>
        <v>0</v>
      </c>
      <c r="I148" s="364">
        <v>0</v>
      </c>
      <c r="J148" s="364">
        <v>0</v>
      </c>
      <c r="K148" s="364">
        <f t="shared" si="147"/>
        <v>0</v>
      </c>
      <c r="L148" s="364">
        <v>0</v>
      </c>
      <c r="M148" s="364">
        <v>0</v>
      </c>
      <c r="N148" s="364">
        <f t="shared" si="148"/>
        <v>0</v>
      </c>
      <c r="O148" s="364">
        <v>0</v>
      </c>
      <c r="P148" s="364">
        <v>0</v>
      </c>
      <c r="Q148" s="364">
        <f t="shared" si="149"/>
        <v>0</v>
      </c>
      <c r="R148" s="364">
        <v>0</v>
      </c>
      <c r="S148" s="364">
        <v>0</v>
      </c>
      <c r="T148" s="353" t="s">
        <v>145</v>
      </c>
      <c r="U148" s="365" t="s">
        <v>387</v>
      </c>
      <c r="V148" s="141"/>
    </row>
    <row r="149" spans="2:22" ht="13.5" thickBot="1" x14ac:dyDescent="0.25">
      <c r="B149" s="364">
        <f t="shared" ref="B149:R149" si="156">SUM(B147:B148)</f>
        <v>11</v>
      </c>
      <c r="C149" s="364">
        <f t="shared" si="156"/>
        <v>0</v>
      </c>
      <c r="D149" s="364">
        <f t="shared" si="156"/>
        <v>11</v>
      </c>
      <c r="E149" s="364">
        <f t="shared" si="156"/>
        <v>8</v>
      </c>
      <c r="F149" s="364">
        <f t="shared" si="156"/>
        <v>0</v>
      </c>
      <c r="G149" s="364">
        <f t="shared" si="156"/>
        <v>8</v>
      </c>
      <c r="H149" s="364">
        <f t="shared" si="156"/>
        <v>1</v>
      </c>
      <c r="I149" s="364">
        <f t="shared" si="156"/>
        <v>0</v>
      </c>
      <c r="J149" s="364">
        <f t="shared" si="156"/>
        <v>1</v>
      </c>
      <c r="K149" s="364">
        <f t="shared" si="156"/>
        <v>2</v>
      </c>
      <c r="L149" s="364">
        <f t="shared" si="156"/>
        <v>0</v>
      </c>
      <c r="M149" s="364">
        <f t="shared" si="156"/>
        <v>2</v>
      </c>
      <c r="N149" s="364">
        <f t="shared" si="156"/>
        <v>0</v>
      </c>
      <c r="O149" s="364">
        <f t="shared" si="156"/>
        <v>0</v>
      </c>
      <c r="P149" s="364">
        <f t="shared" si="156"/>
        <v>0</v>
      </c>
      <c r="Q149" s="364">
        <f t="shared" si="156"/>
        <v>0</v>
      </c>
      <c r="R149" s="364">
        <f t="shared" si="156"/>
        <v>0</v>
      </c>
      <c r="S149" s="364">
        <f>SUM(S147:S148)</f>
        <v>0</v>
      </c>
      <c r="T149" s="353" t="s">
        <v>12</v>
      </c>
      <c r="U149" s="366"/>
      <c r="V149" s="141"/>
    </row>
    <row r="150" spans="2:22" ht="13.5" thickBot="1" x14ac:dyDescent="0.25">
      <c r="B150" s="364">
        <f t="shared" ref="B150:B151" si="157">SUM(C150:D150)</f>
        <v>8</v>
      </c>
      <c r="C150" s="364">
        <f t="shared" ref="C150:D151" si="158">R150+O150+L150+I150+F150</f>
        <v>0</v>
      </c>
      <c r="D150" s="364">
        <f t="shared" si="158"/>
        <v>8</v>
      </c>
      <c r="E150" s="364">
        <f t="shared" si="145"/>
        <v>7</v>
      </c>
      <c r="F150" s="364">
        <v>0</v>
      </c>
      <c r="G150" s="364">
        <v>7</v>
      </c>
      <c r="H150" s="364">
        <f t="shared" si="146"/>
        <v>0</v>
      </c>
      <c r="I150" s="364">
        <v>0</v>
      </c>
      <c r="J150" s="364">
        <v>0</v>
      </c>
      <c r="K150" s="364">
        <f t="shared" si="147"/>
        <v>1</v>
      </c>
      <c r="L150" s="364">
        <v>0</v>
      </c>
      <c r="M150" s="364">
        <v>1</v>
      </c>
      <c r="N150" s="364">
        <f t="shared" si="148"/>
        <v>0</v>
      </c>
      <c r="O150" s="364">
        <v>0</v>
      </c>
      <c r="P150" s="364">
        <v>0</v>
      </c>
      <c r="Q150" s="364">
        <f t="shared" si="149"/>
        <v>0</v>
      </c>
      <c r="R150" s="364">
        <v>0</v>
      </c>
      <c r="S150" s="364">
        <v>0</v>
      </c>
      <c r="T150" s="353" t="s">
        <v>146</v>
      </c>
      <c r="U150" s="365"/>
      <c r="V150" s="141"/>
    </row>
    <row r="151" spans="2:22" ht="13.5" thickBot="1" x14ac:dyDescent="0.25">
      <c r="B151" s="364">
        <f t="shared" si="157"/>
        <v>0</v>
      </c>
      <c r="C151" s="364">
        <f t="shared" si="158"/>
        <v>0</v>
      </c>
      <c r="D151" s="364">
        <f t="shared" si="158"/>
        <v>0</v>
      </c>
      <c r="E151" s="364">
        <f t="shared" si="145"/>
        <v>0</v>
      </c>
      <c r="F151" s="364">
        <v>0</v>
      </c>
      <c r="G151" s="364">
        <v>0</v>
      </c>
      <c r="H151" s="364">
        <f t="shared" si="146"/>
        <v>0</v>
      </c>
      <c r="I151" s="364">
        <v>0</v>
      </c>
      <c r="J151" s="364">
        <v>0</v>
      </c>
      <c r="K151" s="364">
        <f t="shared" si="147"/>
        <v>0</v>
      </c>
      <c r="L151" s="364">
        <v>0</v>
      </c>
      <c r="M151" s="364">
        <v>0</v>
      </c>
      <c r="N151" s="364">
        <f t="shared" si="148"/>
        <v>0</v>
      </c>
      <c r="O151" s="364">
        <v>0</v>
      </c>
      <c r="P151" s="364">
        <v>0</v>
      </c>
      <c r="Q151" s="364">
        <f t="shared" si="149"/>
        <v>0</v>
      </c>
      <c r="R151" s="364">
        <v>0</v>
      </c>
      <c r="S151" s="364">
        <v>0</v>
      </c>
      <c r="T151" s="353" t="s">
        <v>145</v>
      </c>
      <c r="U151" s="365" t="s">
        <v>759</v>
      </c>
      <c r="V151" s="141"/>
    </row>
    <row r="152" spans="2:22" ht="13.5" thickBot="1" x14ac:dyDescent="0.25">
      <c r="B152" s="364">
        <f t="shared" ref="B152:R152" si="159">SUM(B150:B151)</f>
        <v>8</v>
      </c>
      <c r="C152" s="364">
        <f t="shared" si="159"/>
        <v>0</v>
      </c>
      <c r="D152" s="364">
        <f t="shared" si="159"/>
        <v>8</v>
      </c>
      <c r="E152" s="364">
        <f t="shared" si="159"/>
        <v>7</v>
      </c>
      <c r="F152" s="364">
        <f t="shared" si="159"/>
        <v>0</v>
      </c>
      <c r="G152" s="364">
        <f t="shared" si="159"/>
        <v>7</v>
      </c>
      <c r="H152" s="364">
        <f t="shared" si="159"/>
        <v>0</v>
      </c>
      <c r="I152" s="364">
        <f t="shared" si="159"/>
        <v>0</v>
      </c>
      <c r="J152" s="364">
        <f t="shared" si="159"/>
        <v>0</v>
      </c>
      <c r="K152" s="364">
        <f t="shared" si="159"/>
        <v>1</v>
      </c>
      <c r="L152" s="364">
        <f t="shared" si="159"/>
        <v>0</v>
      </c>
      <c r="M152" s="364">
        <f t="shared" si="159"/>
        <v>1</v>
      </c>
      <c r="N152" s="364">
        <f t="shared" si="159"/>
        <v>0</v>
      </c>
      <c r="O152" s="364">
        <f t="shared" si="159"/>
        <v>0</v>
      </c>
      <c r="P152" s="364">
        <f t="shared" si="159"/>
        <v>0</v>
      </c>
      <c r="Q152" s="364">
        <f t="shared" si="159"/>
        <v>0</v>
      </c>
      <c r="R152" s="364">
        <f t="shared" si="159"/>
        <v>0</v>
      </c>
      <c r="S152" s="364">
        <f>SUM(S150:S151)</f>
        <v>0</v>
      </c>
      <c r="T152" s="353" t="s">
        <v>12</v>
      </c>
      <c r="U152" s="366"/>
      <c r="V152" s="141"/>
    </row>
    <row r="153" spans="2:22" ht="13.5" thickBot="1" x14ac:dyDescent="0.25">
      <c r="B153" s="364">
        <f t="shared" ref="B153:B154" si="160">SUM(C153:D153)</f>
        <v>14</v>
      </c>
      <c r="C153" s="364">
        <f t="shared" ref="C153:D154" si="161">R153+O153+L153+I153+F153</f>
        <v>0</v>
      </c>
      <c r="D153" s="364">
        <f t="shared" si="161"/>
        <v>14</v>
      </c>
      <c r="E153" s="364">
        <f t="shared" si="145"/>
        <v>7</v>
      </c>
      <c r="F153" s="364">
        <v>0</v>
      </c>
      <c r="G153" s="364">
        <v>7</v>
      </c>
      <c r="H153" s="364">
        <f t="shared" si="146"/>
        <v>3</v>
      </c>
      <c r="I153" s="364">
        <v>0</v>
      </c>
      <c r="J153" s="364">
        <v>3</v>
      </c>
      <c r="K153" s="364">
        <f t="shared" si="147"/>
        <v>4</v>
      </c>
      <c r="L153" s="364">
        <v>0</v>
      </c>
      <c r="M153" s="364">
        <v>4</v>
      </c>
      <c r="N153" s="364">
        <f t="shared" si="148"/>
        <v>0</v>
      </c>
      <c r="O153" s="364">
        <v>0</v>
      </c>
      <c r="P153" s="364">
        <v>0</v>
      </c>
      <c r="Q153" s="364">
        <f t="shared" si="149"/>
        <v>0</v>
      </c>
      <c r="R153" s="364">
        <v>0</v>
      </c>
      <c r="S153" s="364">
        <v>0</v>
      </c>
      <c r="T153" s="353" t="s">
        <v>146</v>
      </c>
      <c r="U153" s="365"/>
      <c r="V153" s="141"/>
    </row>
    <row r="154" spans="2:22" ht="13.5" thickBot="1" x14ac:dyDescent="0.25">
      <c r="B154" s="364">
        <f t="shared" si="160"/>
        <v>0</v>
      </c>
      <c r="C154" s="364">
        <f t="shared" si="161"/>
        <v>0</v>
      </c>
      <c r="D154" s="364">
        <f t="shared" si="161"/>
        <v>0</v>
      </c>
      <c r="E154" s="364">
        <f t="shared" si="145"/>
        <v>0</v>
      </c>
      <c r="F154" s="364">
        <v>0</v>
      </c>
      <c r="G154" s="364">
        <v>0</v>
      </c>
      <c r="H154" s="364">
        <f t="shared" si="146"/>
        <v>0</v>
      </c>
      <c r="I154" s="364">
        <v>0</v>
      </c>
      <c r="J154" s="364">
        <v>0</v>
      </c>
      <c r="K154" s="364">
        <f t="shared" si="147"/>
        <v>0</v>
      </c>
      <c r="L154" s="364">
        <v>0</v>
      </c>
      <c r="M154" s="364">
        <v>0</v>
      </c>
      <c r="N154" s="364">
        <f t="shared" si="148"/>
        <v>0</v>
      </c>
      <c r="O154" s="364">
        <v>0</v>
      </c>
      <c r="P154" s="364">
        <v>0</v>
      </c>
      <c r="Q154" s="364">
        <f t="shared" si="149"/>
        <v>0</v>
      </c>
      <c r="R154" s="364">
        <v>0</v>
      </c>
      <c r="S154" s="364">
        <v>0</v>
      </c>
      <c r="T154" s="353" t="s">
        <v>145</v>
      </c>
      <c r="U154" s="365" t="s">
        <v>794</v>
      </c>
      <c r="V154" s="141"/>
    </row>
    <row r="155" spans="2:22" ht="13.5" thickBot="1" x14ac:dyDescent="0.25">
      <c r="B155" s="364">
        <f t="shared" ref="B155:R155" si="162">SUM(B153:B154)</f>
        <v>14</v>
      </c>
      <c r="C155" s="364">
        <f t="shared" si="162"/>
        <v>0</v>
      </c>
      <c r="D155" s="364">
        <f t="shared" si="162"/>
        <v>14</v>
      </c>
      <c r="E155" s="364">
        <f t="shared" si="162"/>
        <v>7</v>
      </c>
      <c r="F155" s="364">
        <f t="shared" si="162"/>
        <v>0</v>
      </c>
      <c r="G155" s="364">
        <f t="shared" si="162"/>
        <v>7</v>
      </c>
      <c r="H155" s="364">
        <f t="shared" si="162"/>
        <v>3</v>
      </c>
      <c r="I155" s="364">
        <f t="shared" si="162"/>
        <v>0</v>
      </c>
      <c r="J155" s="364">
        <f t="shared" si="162"/>
        <v>3</v>
      </c>
      <c r="K155" s="364">
        <f t="shared" si="162"/>
        <v>4</v>
      </c>
      <c r="L155" s="364">
        <f t="shared" si="162"/>
        <v>0</v>
      </c>
      <c r="M155" s="364">
        <f t="shared" si="162"/>
        <v>4</v>
      </c>
      <c r="N155" s="364">
        <f t="shared" si="162"/>
        <v>0</v>
      </c>
      <c r="O155" s="364">
        <f t="shared" si="162"/>
        <v>0</v>
      </c>
      <c r="P155" s="364">
        <f t="shared" si="162"/>
        <v>0</v>
      </c>
      <c r="Q155" s="364">
        <f t="shared" si="162"/>
        <v>0</v>
      </c>
      <c r="R155" s="364">
        <f t="shared" si="162"/>
        <v>0</v>
      </c>
      <c r="S155" s="364">
        <f>SUM(S153:S154)</f>
        <v>0</v>
      </c>
      <c r="T155" s="353" t="s">
        <v>12</v>
      </c>
      <c r="U155" s="366"/>
      <c r="V155" s="141"/>
    </row>
    <row r="156" spans="2:22" ht="13.5" thickBot="1" x14ac:dyDescent="0.25">
      <c r="B156" s="364">
        <f t="shared" ref="B156:R158" si="163">B75+B78+B81+B84+B87+B90+B93+B96+B99+B102+B105+B108+B111+B114+B117+B120+B123+B126+B129+B132+B135+B138+B141+B144+B147+B150+B153</f>
        <v>3721</v>
      </c>
      <c r="C156" s="364">
        <f t="shared" si="163"/>
        <v>733</v>
      </c>
      <c r="D156" s="364">
        <f t="shared" si="163"/>
        <v>2988</v>
      </c>
      <c r="E156" s="364">
        <f t="shared" si="163"/>
        <v>1732</v>
      </c>
      <c r="F156" s="364">
        <f t="shared" si="163"/>
        <v>200</v>
      </c>
      <c r="G156" s="364">
        <f t="shared" si="163"/>
        <v>1532</v>
      </c>
      <c r="H156" s="364">
        <f t="shared" si="163"/>
        <v>574</v>
      </c>
      <c r="I156" s="364">
        <f t="shared" si="163"/>
        <v>106</v>
      </c>
      <c r="J156" s="364">
        <f t="shared" si="163"/>
        <v>468</v>
      </c>
      <c r="K156" s="364">
        <f t="shared" si="163"/>
        <v>1259</v>
      </c>
      <c r="L156" s="364">
        <f t="shared" si="163"/>
        <v>380</v>
      </c>
      <c r="M156" s="364">
        <f t="shared" si="163"/>
        <v>879</v>
      </c>
      <c r="N156" s="364">
        <f t="shared" si="163"/>
        <v>107</v>
      </c>
      <c r="O156" s="364">
        <f t="shared" si="163"/>
        <v>27</v>
      </c>
      <c r="P156" s="364">
        <f t="shared" si="163"/>
        <v>80</v>
      </c>
      <c r="Q156" s="364">
        <f t="shared" si="163"/>
        <v>49</v>
      </c>
      <c r="R156" s="364">
        <f t="shared" si="163"/>
        <v>20</v>
      </c>
      <c r="S156" s="364">
        <f>S75+S78+S81+S84+S87+S90+S93+S96+S99+S102+S105+S108+S111+S114+S117+S120+S123+S126+S129+S132+S135+S138+S141+S144+S147+S150+S153</f>
        <v>29</v>
      </c>
      <c r="T156" s="353" t="s">
        <v>146</v>
      </c>
      <c r="U156" s="367"/>
      <c r="V156" s="141"/>
    </row>
    <row r="157" spans="2:22" ht="13.5" thickBot="1" x14ac:dyDescent="0.25">
      <c r="B157" s="364">
        <f t="shared" si="163"/>
        <v>184</v>
      </c>
      <c r="C157" s="364">
        <f t="shared" si="163"/>
        <v>13</v>
      </c>
      <c r="D157" s="364">
        <f t="shared" si="163"/>
        <v>171</v>
      </c>
      <c r="E157" s="364">
        <f t="shared" si="163"/>
        <v>26</v>
      </c>
      <c r="F157" s="364">
        <f t="shared" si="163"/>
        <v>0</v>
      </c>
      <c r="G157" s="364">
        <f t="shared" si="163"/>
        <v>26</v>
      </c>
      <c r="H157" s="364">
        <f t="shared" si="163"/>
        <v>60</v>
      </c>
      <c r="I157" s="364">
        <f t="shared" si="163"/>
        <v>10</v>
      </c>
      <c r="J157" s="364">
        <f t="shared" si="163"/>
        <v>50</v>
      </c>
      <c r="K157" s="364">
        <f t="shared" si="163"/>
        <v>60</v>
      </c>
      <c r="L157" s="364">
        <f t="shared" si="163"/>
        <v>3</v>
      </c>
      <c r="M157" s="364">
        <f t="shared" si="163"/>
        <v>57</v>
      </c>
      <c r="N157" s="364">
        <f t="shared" si="163"/>
        <v>14</v>
      </c>
      <c r="O157" s="364">
        <f t="shared" si="163"/>
        <v>0</v>
      </c>
      <c r="P157" s="364">
        <f t="shared" si="163"/>
        <v>14</v>
      </c>
      <c r="Q157" s="364">
        <f t="shared" si="163"/>
        <v>24</v>
      </c>
      <c r="R157" s="364">
        <f t="shared" si="163"/>
        <v>0</v>
      </c>
      <c r="S157" s="364">
        <f t="shared" ref="S157:S158" si="164">S76+S79+S82+S85+S88+S91+S94+S97+S100+S103+S106+S109+S112+S115+S118+S121+S124+S127+S130+S133+S136+S139+S142+S145+S148+S151+S154</f>
        <v>24</v>
      </c>
      <c r="T157" s="353" t="s">
        <v>145</v>
      </c>
      <c r="U157" s="368" t="s">
        <v>188</v>
      </c>
      <c r="V157" s="141"/>
    </row>
    <row r="158" spans="2:22" ht="13.5" thickBot="1" x14ac:dyDescent="0.25">
      <c r="B158" s="364">
        <f t="shared" si="163"/>
        <v>3905</v>
      </c>
      <c r="C158" s="364">
        <f t="shared" si="163"/>
        <v>746</v>
      </c>
      <c r="D158" s="364">
        <f t="shared" si="163"/>
        <v>3159</v>
      </c>
      <c r="E158" s="364">
        <f t="shared" si="163"/>
        <v>1758</v>
      </c>
      <c r="F158" s="364">
        <f t="shared" si="163"/>
        <v>200</v>
      </c>
      <c r="G158" s="364">
        <f t="shared" si="163"/>
        <v>1558</v>
      </c>
      <c r="H158" s="364">
        <f t="shared" si="163"/>
        <v>634</v>
      </c>
      <c r="I158" s="364">
        <f t="shared" si="163"/>
        <v>116</v>
      </c>
      <c r="J158" s="364">
        <f t="shared" si="163"/>
        <v>518</v>
      </c>
      <c r="K158" s="364">
        <f t="shared" si="163"/>
        <v>1319</v>
      </c>
      <c r="L158" s="364">
        <f t="shared" si="163"/>
        <v>383</v>
      </c>
      <c r="M158" s="364">
        <f t="shared" si="163"/>
        <v>936</v>
      </c>
      <c r="N158" s="364">
        <f t="shared" si="163"/>
        <v>121</v>
      </c>
      <c r="O158" s="364">
        <f t="shared" si="163"/>
        <v>27</v>
      </c>
      <c r="P158" s="364">
        <f t="shared" si="163"/>
        <v>94</v>
      </c>
      <c r="Q158" s="364">
        <f t="shared" si="163"/>
        <v>73</v>
      </c>
      <c r="R158" s="364">
        <f t="shared" si="163"/>
        <v>20</v>
      </c>
      <c r="S158" s="364">
        <f t="shared" si="164"/>
        <v>53</v>
      </c>
      <c r="T158" s="353" t="s">
        <v>12</v>
      </c>
      <c r="U158" s="363"/>
      <c r="V158" s="141"/>
    </row>
    <row r="159" spans="2:22" ht="18" customHeight="1" thickBot="1" x14ac:dyDescent="0.25">
      <c r="B159" s="610"/>
      <c r="C159" s="610"/>
      <c r="D159" s="610"/>
      <c r="E159" s="610"/>
      <c r="F159" s="610"/>
      <c r="G159" s="610"/>
      <c r="H159" s="610"/>
      <c r="I159" s="610"/>
      <c r="J159" s="610"/>
      <c r="K159" s="610"/>
      <c r="L159" s="610"/>
      <c r="M159" s="610"/>
      <c r="N159" s="610"/>
      <c r="O159" s="610"/>
      <c r="P159" s="610"/>
      <c r="Q159" s="610"/>
      <c r="R159" s="610"/>
      <c r="S159" s="610"/>
      <c r="T159" s="610"/>
      <c r="U159" s="610"/>
      <c r="V159" s="141"/>
    </row>
    <row r="160" spans="2:22" ht="13.5" customHeight="1" thickBot="1" x14ac:dyDescent="0.25">
      <c r="B160" s="607" t="s">
        <v>4</v>
      </c>
      <c r="C160" s="607"/>
      <c r="D160" s="607"/>
      <c r="E160" s="607" t="s">
        <v>53</v>
      </c>
      <c r="F160" s="607"/>
      <c r="G160" s="607"/>
      <c r="H160" s="607" t="s">
        <v>61</v>
      </c>
      <c r="I160" s="607"/>
      <c r="J160" s="607"/>
      <c r="K160" s="607" t="s">
        <v>60</v>
      </c>
      <c r="L160" s="607"/>
      <c r="M160" s="607"/>
      <c r="N160" s="607" t="s">
        <v>57</v>
      </c>
      <c r="O160" s="607"/>
      <c r="P160" s="607"/>
      <c r="Q160" s="607" t="s">
        <v>56</v>
      </c>
      <c r="R160" s="607"/>
      <c r="S160" s="607"/>
      <c r="T160" s="608" t="s">
        <v>792</v>
      </c>
      <c r="U160" s="347" t="s">
        <v>144</v>
      </c>
      <c r="V160" s="141"/>
    </row>
    <row r="161" spans="2:22" ht="13.5" thickBot="1" x14ac:dyDescent="0.25">
      <c r="B161" s="347" t="s">
        <v>227</v>
      </c>
      <c r="C161" s="347" t="s">
        <v>10</v>
      </c>
      <c r="D161" s="347" t="s">
        <v>9</v>
      </c>
      <c r="E161" s="347" t="s">
        <v>227</v>
      </c>
      <c r="F161" s="347" t="s">
        <v>10</v>
      </c>
      <c r="G161" s="347" t="s">
        <v>9</v>
      </c>
      <c r="H161" s="347" t="s">
        <v>227</v>
      </c>
      <c r="I161" s="347" t="s">
        <v>10</v>
      </c>
      <c r="J161" s="347" t="s">
        <v>9</v>
      </c>
      <c r="K161" s="347" t="s">
        <v>227</v>
      </c>
      <c r="L161" s="347" t="s">
        <v>10</v>
      </c>
      <c r="M161" s="347" t="s">
        <v>9</v>
      </c>
      <c r="N161" s="347" t="s">
        <v>227</v>
      </c>
      <c r="O161" s="347" t="s">
        <v>10</v>
      </c>
      <c r="P161" s="347" t="s">
        <v>9</v>
      </c>
      <c r="Q161" s="347" t="s">
        <v>227</v>
      </c>
      <c r="R161" s="347" t="s">
        <v>10</v>
      </c>
      <c r="S161" s="347" t="s">
        <v>9</v>
      </c>
      <c r="T161" s="609"/>
      <c r="U161" s="363" t="s">
        <v>73</v>
      </c>
      <c r="V161" s="141"/>
    </row>
    <row r="162" spans="2:22" ht="13.5" thickBot="1" x14ac:dyDescent="0.25">
      <c r="B162" s="364">
        <f>SUM(C162:D162)</f>
        <v>63</v>
      </c>
      <c r="C162" s="364">
        <f>R162+O162+L162+I162+F162</f>
        <v>20</v>
      </c>
      <c r="D162" s="364">
        <f>S162+P162+M162+J162+G162</f>
        <v>43</v>
      </c>
      <c r="E162" s="364">
        <f>SUM(F162:G162)</f>
        <v>26</v>
      </c>
      <c r="F162" s="364">
        <v>4</v>
      </c>
      <c r="G162" s="364">
        <v>22</v>
      </c>
      <c r="H162" s="364">
        <f>SUM(I162:J162)</f>
        <v>3</v>
      </c>
      <c r="I162" s="364">
        <v>0</v>
      </c>
      <c r="J162" s="364">
        <v>3</v>
      </c>
      <c r="K162" s="364">
        <f>SUM(L162:M162)</f>
        <v>30</v>
      </c>
      <c r="L162" s="364">
        <v>14</v>
      </c>
      <c r="M162" s="364">
        <v>16</v>
      </c>
      <c r="N162" s="364">
        <f>SUM(O162:P162)</f>
        <v>4</v>
      </c>
      <c r="O162" s="364">
        <v>2</v>
      </c>
      <c r="P162" s="364">
        <v>2</v>
      </c>
      <c r="Q162" s="364">
        <f>SUM(R162:S162)</f>
        <v>0</v>
      </c>
      <c r="R162" s="364">
        <v>0</v>
      </c>
      <c r="S162" s="364">
        <v>0</v>
      </c>
      <c r="T162" s="353" t="s">
        <v>146</v>
      </c>
      <c r="U162" s="365"/>
      <c r="V162" s="141"/>
    </row>
    <row r="163" spans="2:22" ht="13.5" thickBot="1" x14ac:dyDescent="0.25">
      <c r="B163" s="364">
        <f t="shared" ref="B163:B226" si="165">SUM(C163:D163)</f>
        <v>2</v>
      </c>
      <c r="C163" s="364">
        <f t="shared" ref="C163:D163" si="166">R163+O163+L163+I163+F163</f>
        <v>0</v>
      </c>
      <c r="D163" s="364">
        <f t="shared" si="166"/>
        <v>2</v>
      </c>
      <c r="E163" s="364">
        <f t="shared" ref="E163:E226" si="167">SUM(F163:G163)</f>
        <v>0</v>
      </c>
      <c r="F163" s="364">
        <v>0</v>
      </c>
      <c r="G163" s="364">
        <v>0</v>
      </c>
      <c r="H163" s="364">
        <f t="shared" ref="H163:H226" si="168">SUM(I163:J163)</f>
        <v>0</v>
      </c>
      <c r="I163" s="364">
        <v>0</v>
      </c>
      <c r="J163" s="364">
        <v>0</v>
      </c>
      <c r="K163" s="364">
        <f t="shared" ref="K163:K226" si="169">SUM(L163:M163)</f>
        <v>1</v>
      </c>
      <c r="L163" s="364">
        <v>0</v>
      </c>
      <c r="M163" s="364">
        <v>1</v>
      </c>
      <c r="N163" s="364">
        <f t="shared" ref="N163:N226" si="170">SUM(O163:P163)</f>
        <v>1</v>
      </c>
      <c r="O163" s="364">
        <v>0</v>
      </c>
      <c r="P163" s="364">
        <v>1</v>
      </c>
      <c r="Q163" s="364">
        <f t="shared" ref="Q163:Q226" si="171">SUM(R163:S163)</f>
        <v>0</v>
      </c>
      <c r="R163" s="364">
        <v>0</v>
      </c>
      <c r="S163" s="364">
        <v>0</v>
      </c>
      <c r="T163" s="353" t="s">
        <v>145</v>
      </c>
      <c r="U163" s="365" t="s">
        <v>403</v>
      </c>
      <c r="V163" s="141"/>
    </row>
    <row r="164" spans="2:22" ht="13.5" thickBot="1" x14ac:dyDescent="0.25">
      <c r="B164" s="364">
        <f t="shared" ref="B164:R164" si="172">SUM(B162:B163)</f>
        <v>65</v>
      </c>
      <c r="C164" s="364">
        <f t="shared" si="172"/>
        <v>20</v>
      </c>
      <c r="D164" s="364">
        <f t="shared" si="172"/>
        <v>45</v>
      </c>
      <c r="E164" s="364">
        <f t="shared" si="172"/>
        <v>26</v>
      </c>
      <c r="F164" s="364">
        <f t="shared" si="172"/>
        <v>4</v>
      </c>
      <c r="G164" s="364">
        <f t="shared" si="172"/>
        <v>22</v>
      </c>
      <c r="H164" s="364">
        <f t="shared" si="172"/>
        <v>3</v>
      </c>
      <c r="I164" s="364">
        <f t="shared" si="172"/>
        <v>0</v>
      </c>
      <c r="J164" s="364">
        <f t="shared" si="172"/>
        <v>3</v>
      </c>
      <c r="K164" s="364">
        <f t="shared" si="172"/>
        <v>31</v>
      </c>
      <c r="L164" s="364">
        <f t="shared" si="172"/>
        <v>14</v>
      </c>
      <c r="M164" s="364">
        <f t="shared" si="172"/>
        <v>17</v>
      </c>
      <c r="N164" s="364">
        <f t="shared" si="172"/>
        <v>5</v>
      </c>
      <c r="O164" s="364">
        <f t="shared" si="172"/>
        <v>2</v>
      </c>
      <c r="P164" s="364">
        <f t="shared" si="172"/>
        <v>3</v>
      </c>
      <c r="Q164" s="364">
        <f t="shared" si="172"/>
        <v>0</v>
      </c>
      <c r="R164" s="364">
        <f t="shared" si="172"/>
        <v>0</v>
      </c>
      <c r="S164" s="364">
        <f>SUM(S162:S163)</f>
        <v>0</v>
      </c>
      <c r="T164" s="353" t="s">
        <v>12</v>
      </c>
      <c r="U164" s="366"/>
      <c r="V164" s="141"/>
    </row>
    <row r="165" spans="2:22" ht="13.5" thickBot="1" x14ac:dyDescent="0.25">
      <c r="B165" s="364">
        <f t="shared" si="165"/>
        <v>71</v>
      </c>
      <c r="C165" s="364">
        <f t="shared" ref="C165:D166" si="173">R165+O165+L165+I165+F165</f>
        <v>33</v>
      </c>
      <c r="D165" s="364">
        <f t="shared" si="173"/>
        <v>38</v>
      </c>
      <c r="E165" s="364">
        <f t="shared" si="167"/>
        <v>12</v>
      </c>
      <c r="F165" s="364">
        <v>3</v>
      </c>
      <c r="G165" s="364">
        <v>9</v>
      </c>
      <c r="H165" s="364">
        <f t="shared" si="168"/>
        <v>0</v>
      </c>
      <c r="I165" s="364">
        <v>0</v>
      </c>
      <c r="J165" s="364">
        <v>0</v>
      </c>
      <c r="K165" s="364">
        <f t="shared" si="169"/>
        <v>57</v>
      </c>
      <c r="L165" s="364">
        <v>30</v>
      </c>
      <c r="M165" s="364">
        <v>27</v>
      </c>
      <c r="N165" s="364">
        <f t="shared" si="170"/>
        <v>2</v>
      </c>
      <c r="O165" s="364">
        <v>0</v>
      </c>
      <c r="P165" s="364">
        <v>2</v>
      </c>
      <c r="Q165" s="364">
        <f t="shared" si="171"/>
        <v>0</v>
      </c>
      <c r="R165" s="364">
        <v>0</v>
      </c>
      <c r="S165" s="364">
        <v>0</v>
      </c>
      <c r="T165" s="353" t="s">
        <v>146</v>
      </c>
      <c r="U165" s="365"/>
      <c r="V165" s="141"/>
    </row>
    <row r="166" spans="2:22" ht="13.5" thickBot="1" x14ac:dyDescent="0.25">
      <c r="B166" s="364">
        <f t="shared" si="165"/>
        <v>4</v>
      </c>
      <c r="C166" s="364">
        <f t="shared" si="173"/>
        <v>0</v>
      </c>
      <c r="D166" s="364">
        <f t="shared" si="173"/>
        <v>4</v>
      </c>
      <c r="E166" s="364">
        <f t="shared" si="167"/>
        <v>1</v>
      </c>
      <c r="F166" s="364">
        <v>0</v>
      </c>
      <c r="G166" s="364">
        <v>1</v>
      </c>
      <c r="H166" s="364">
        <f t="shared" si="168"/>
        <v>1</v>
      </c>
      <c r="I166" s="364">
        <v>0</v>
      </c>
      <c r="J166" s="364">
        <v>1</v>
      </c>
      <c r="K166" s="364">
        <f t="shared" si="169"/>
        <v>2</v>
      </c>
      <c r="L166" s="364">
        <v>0</v>
      </c>
      <c r="M166" s="364">
        <v>2</v>
      </c>
      <c r="N166" s="364">
        <f t="shared" si="170"/>
        <v>0</v>
      </c>
      <c r="O166" s="364">
        <v>0</v>
      </c>
      <c r="P166" s="364">
        <v>0</v>
      </c>
      <c r="Q166" s="364">
        <f t="shared" si="171"/>
        <v>0</v>
      </c>
      <c r="R166" s="369">
        <v>0</v>
      </c>
      <c r="S166" s="364">
        <v>0</v>
      </c>
      <c r="T166" s="353" t="s">
        <v>145</v>
      </c>
      <c r="U166" s="365" t="s">
        <v>344</v>
      </c>
      <c r="V166" s="141"/>
    </row>
    <row r="167" spans="2:22" ht="13.5" thickBot="1" x14ac:dyDescent="0.25">
      <c r="B167" s="364">
        <f t="shared" ref="B167:R167" si="174">SUM(B165:B166)</f>
        <v>75</v>
      </c>
      <c r="C167" s="364">
        <f t="shared" si="174"/>
        <v>33</v>
      </c>
      <c r="D167" s="364">
        <f t="shared" si="174"/>
        <v>42</v>
      </c>
      <c r="E167" s="364">
        <f t="shared" si="174"/>
        <v>13</v>
      </c>
      <c r="F167" s="364">
        <f t="shared" si="174"/>
        <v>3</v>
      </c>
      <c r="G167" s="364">
        <f t="shared" si="174"/>
        <v>10</v>
      </c>
      <c r="H167" s="364">
        <f t="shared" si="174"/>
        <v>1</v>
      </c>
      <c r="I167" s="364">
        <f t="shared" si="174"/>
        <v>0</v>
      </c>
      <c r="J167" s="364">
        <f t="shared" si="174"/>
        <v>1</v>
      </c>
      <c r="K167" s="364">
        <f t="shared" si="174"/>
        <v>59</v>
      </c>
      <c r="L167" s="364">
        <f t="shared" si="174"/>
        <v>30</v>
      </c>
      <c r="M167" s="364">
        <f t="shared" si="174"/>
        <v>29</v>
      </c>
      <c r="N167" s="364">
        <f t="shared" si="174"/>
        <v>2</v>
      </c>
      <c r="O167" s="364">
        <f t="shared" si="174"/>
        <v>0</v>
      </c>
      <c r="P167" s="364">
        <f t="shared" si="174"/>
        <v>2</v>
      </c>
      <c r="Q167" s="364">
        <f t="shared" si="174"/>
        <v>0</v>
      </c>
      <c r="R167" s="364">
        <f t="shared" si="174"/>
        <v>0</v>
      </c>
      <c r="S167" s="364">
        <f>SUM(S165:S166)</f>
        <v>0</v>
      </c>
      <c r="T167" s="353" t="s">
        <v>12</v>
      </c>
      <c r="U167" s="366"/>
      <c r="V167" s="141"/>
    </row>
    <row r="168" spans="2:22" ht="13.5" thickBot="1" x14ac:dyDescent="0.25">
      <c r="B168" s="364">
        <f t="shared" si="165"/>
        <v>7</v>
      </c>
      <c r="C168" s="364">
        <f t="shared" ref="C168:D169" si="175">R168+O168+L168+I168+F168</f>
        <v>2</v>
      </c>
      <c r="D168" s="364">
        <f t="shared" si="175"/>
        <v>5</v>
      </c>
      <c r="E168" s="364">
        <f t="shared" si="167"/>
        <v>1</v>
      </c>
      <c r="F168" s="364">
        <v>0</v>
      </c>
      <c r="G168" s="364">
        <v>1</v>
      </c>
      <c r="H168" s="364">
        <f t="shared" si="168"/>
        <v>0</v>
      </c>
      <c r="I168" s="364">
        <v>0</v>
      </c>
      <c r="J168" s="364">
        <v>0</v>
      </c>
      <c r="K168" s="364">
        <f t="shared" si="169"/>
        <v>4</v>
      </c>
      <c r="L168" s="364">
        <v>2</v>
      </c>
      <c r="M168" s="364">
        <v>2</v>
      </c>
      <c r="N168" s="364">
        <f t="shared" si="170"/>
        <v>2</v>
      </c>
      <c r="O168" s="364">
        <v>0</v>
      </c>
      <c r="P168" s="364">
        <v>2</v>
      </c>
      <c r="Q168" s="364">
        <f t="shared" si="171"/>
        <v>0</v>
      </c>
      <c r="R168" s="364">
        <v>0</v>
      </c>
      <c r="S168" s="364">
        <v>0</v>
      </c>
      <c r="T168" s="353" t="s">
        <v>146</v>
      </c>
      <c r="U168" s="365"/>
      <c r="V168" s="141"/>
    </row>
    <row r="169" spans="2:22" ht="13.5" thickBot="1" x14ac:dyDescent="0.25">
      <c r="B169" s="364">
        <f t="shared" si="165"/>
        <v>0</v>
      </c>
      <c r="C169" s="364">
        <f t="shared" si="175"/>
        <v>0</v>
      </c>
      <c r="D169" s="364">
        <f t="shared" si="175"/>
        <v>0</v>
      </c>
      <c r="E169" s="364">
        <f t="shared" si="167"/>
        <v>0</v>
      </c>
      <c r="F169" s="364">
        <v>0</v>
      </c>
      <c r="G169" s="364">
        <v>0</v>
      </c>
      <c r="H169" s="364">
        <f t="shared" si="168"/>
        <v>0</v>
      </c>
      <c r="I169" s="364">
        <v>0</v>
      </c>
      <c r="J169" s="364">
        <v>0</v>
      </c>
      <c r="K169" s="364">
        <f t="shared" si="169"/>
        <v>0</v>
      </c>
      <c r="L169" s="364">
        <v>0</v>
      </c>
      <c r="M169" s="364">
        <v>0</v>
      </c>
      <c r="N169" s="364">
        <f t="shared" si="170"/>
        <v>0</v>
      </c>
      <c r="O169" s="364">
        <v>0</v>
      </c>
      <c r="P169" s="364">
        <v>0</v>
      </c>
      <c r="Q169" s="364">
        <f t="shared" si="171"/>
        <v>0</v>
      </c>
      <c r="R169" s="369">
        <v>0</v>
      </c>
      <c r="S169" s="369">
        <v>0</v>
      </c>
      <c r="T169" s="353" t="s">
        <v>145</v>
      </c>
      <c r="U169" s="365" t="s">
        <v>255</v>
      </c>
      <c r="V169" s="141"/>
    </row>
    <row r="170" spans="2:22" ht="13.5" thickBot="1" x14ac:dyDescent="0.25">
      <c r="B170" s="364">
        <f t="shared" ref="B170:R170" si="176">SUM(B168:B169)</f>
        <v>7</v>
      </c>
      <c r="C170" s="364">
        <f t="shared" si="176"/>
        <v>2</v>
      </c>
      <c r="D170" s="364">
        <f t="shared" si="176"/>
        <v>5</v>
      </c>
      <c r="E170" s="364">
        <f t="shared" si="176"/>
        <v>1</v>
      </c>
      <c r="F170" s="364">
        <f t="shared" si="176"/>
        <v>0</v>
      </c>
      <c r="G170" s="364">
        <f t="shared" si="176"/>
        <v>1</v>
      </c>
      <c r="H170" s="364">
        <f t="shared" si="176"/>
        <v>0</v>
      </c>
      <c r="I170" s="364">
        <f t="shared" si="176"/>
        <v>0</v>
      </c>
      <c r="J170" s="364">
        <f t="shared" si="176"/>
        <v>0</v>
      </c>
      <c r="K170" s="364">
        <f t="shared" si="176"/>
        <v>4</v>
      </c>
      <c r="L170" s="364">
        <f t="shared" si="176"/>
        <v>2</v>
      </c>
      <c r="M170" s="364">
        <f t="shared" si="176"/>
        <v>2</v>
      </c>
      <c r="N170" s="364">
        <f t="shared" si="176"/>
        <v>2</v>
      </c>
      <c r="O170" s="364">
        <f t="shared" si="176"/>
        <v>0</v>
      </c>
      <c r="P170" s="364">
        <f t="shared" si="176"/>
        <v>2</v>
      </c>
      <c r="Q170" s="364">
        <f t="shared" si="176"/>
        <v>0</v>
      </c>
      <c r="R170" s="364">
        <f t="shared" si="176"/>
        <v>0</v>
      </c>
      <c r="S170" s="364">
        <f>SUM(S168:S169)</f>
        <v>0</v>
      </c>
      <c r="T170" s="353" t="s">
        <v>12</v>
      </c>
      <c r="U170" s="366"/>
      <c r="V170" s="141"/>
    </row>
    <row r="171" spans="2:22" ht="13.5" thickBot="1" x14ac:dyDescent="0.25">
      <c r="B171" s="364">
        <f t="shared" si="165"/>
        <v>167</v>
      </c>
      <c r="C171" s="364">
        <f t="shared" ref="C171:D172" si="177">R171+O171+L171+I171+F171</f>
        <v>59</v>
      </c>
      <c r="D171" s="364">
        <f t="shared" si="177"/>
        <v>108</v>
      </c>
      <c r="E171" s="364">
        <f t="shared" si="167"/>
        <v>23</v>
      </c>
      <c r="F171" s="364">
        <v>5</v>
      </c>
      <c r="G171" s="364">
        <v>18</v>
      </c>
      <c r="H171" s="364">
        <f t="shared" si="168"/>
        <v>10</v>
      </c>
      <c r="I171" s="364">
        <v>0</v>
      </c>
      <c r="J171" s="364">
        <v>10</v>
      </c>
      <c r="K171" s="364">
        <f t="shared" si="169"/>
        <v>114</v>
      </c>
      <c r="L171" s="364">
        <v>47</v>
      </c>
      <c r="M171" s="364">
        <v>67</v>
      </c>
      <c r="N171" s="364">
        <f t="shared" si="170"/>
        <v>18</v>
      </c>
      <c r="O171" s="364">
        <v>7</v>
      </c>
      <c r="P171" s="364">
        <v>11</v>
      </c>
      <c r="Q171" s="364">
        <f t="shared" si="171"/>
        <v>2</v>
      </c>
      <c r="R171" s="364">
        <v>0</v>
      </c>
      <c r="S171" s="364">
        <v>2</v>
      </c>
      <c r="T171" s="353" t="s">
        <v>146</v>
      </c>
      <c r="U171" s="365"/>
      <c r="V171" s="141"/>
    </row>
    <row r="172" spans="2:22" ht="13.5" thickBot="1" x14ac:dyDescent="0.25">
      <c r="B172" s="364">
        <f t="shared" si="165"/>
        <v>5</v>
      </c>
      <c r="C172" s="364">
        <f t="shared" si="177"/>
        <v>0</v>
      </c>
      <c r="D172" s="364">
        <f t="shared" si="177"/>
        <v>5</v>
      </c>
      <c r="E172" s="364">
        <f t="shared" si="167"/>
        <v>0</v>
      </c>
      <c r="F172" s="364">
        <v>0</v>
      </c>
      <c r="G172" s="364">
        <v>0</v>
      </c>
      <c r="H172" s="364">
        <f t="shared" si="168"/>
        <v>0</v>
      </c>
      <c r="I172" s="364">
        <v>0</v>
      </c>
      <c r="J172" s="364">
        <v>0</v>
      </c>
      <c r="K172" s="364">
        <f t="shared" si="169"/>
        <v>2</v>
      </c>
      <c r="L172" s="364">
        <v>0</v>
      </c>
      <c r="M172" s="364">
        <v>2</v>
      </c>
      <c r="N172" s="364">
        <f t="shared" si="170"/>
        <v>3</v>
      </c>
      <c r="O172" s="364">
        <v>0</v>
      </c>
      <c r="P172" s="364">
        <v>3</v>
      </c>
      <c r="Q172" s="364">
        <f t="shared" si="171"/>
        <v>0</v>
      </c>
      <c r="R172" s="364">
        <v>0</v>
      </c>
      <c r="S172" s="364">
        <v>0</v>
      </c>
      <c r="T172" s="353" t="s">
        <v>145</v>
      </c>
      <c r="U172" s="365" t="s">
        <v>367</v>
      </c>
      <c r="V172" s="141"/>
    </row>
    <row r="173" spans="2:22" ht="13.5" thickBot="1" x14ac:dyDescent="0.25">
      <c r="B173" s="364">
        <f t="shared" ref="B173:R173" si="178">SUM(B171:B172)</f>
        <v>172</v>
      </c>
      <c r="C173" s="364">
        <f t="shared" si="178"/>
        <v>59</v>
      </c>
      <c r="D173" s="364">
        <f t="shared" si="178"/>
        <v>113</v>
      </c>
      <c r="E173" s="364">
        <f t="shared" si="178"/>
        <v>23</v>
      </c>
      <c r="F173" s="364">
        <f t="shared" si="178"/>
        <v>5</v>
      </c>
      <c r="G173" s="364">
        <f t="shared" si="178"/>
        <v>18</v>
      </c>
      <c r="H173" s="364">
        <f t="shared" si="178"/>
        <v>10</v>
      </c>
      <c r="I173" s="364">
        <f t="shared" si="178"/>
        <v>0</v>
      </c>
      <c r="J173" s="364">
        <f t="shared" si="178"/>
        <v>10</v>
      </c>
      <c r="K173" s="364">
        <f t="shared" si="178"/>
        <v>116</v>
      </c>
      <c r="L173" s="364">
        <f t="shared" si="178"/>
        <v>47</v>
      </c>
      <c r="M173" s="364">
        <f t="shared" si="178"/>
        <v>69</v>
      </c>
      <c r="N173" s="364">
        <f t="shared" si="178"/>
        <v>21</v>
      </c>
      <c r="O173" s="364">
        <f t="shared" si="178"/>
        <v>7</v>
      </c>
      <c r="P173" s="364">
        <f t="shared" si="178"/>
        <v>14</v>
      </c>
      <c r="Q173" s="364">
        <f t="shared" si="178"/>
        <v>2</v>
      </c>
      <c r="R173" s="364">
        <f t="shared" si="178"/>
        <v>0</v>
      </c>
      <c r="S173" s="364">
        <f>SUM(S171:S172)</f>
        <v>2</v>
      </c>
      <c r="T173" s="353" t="s">
        <v>12</v>
      </c>
      <c r="U173" s="366"/>
      <c r="V173" s="141"/>
    </row>
    <row r="174" spans="2:22" ht="13.5" thickBot="1" x14ac:dyDescent="0.25">
      <c r="B174" s="364">
        <f t="shared" si="165"/>
        <v>100</v>
      </c>
      <c r="C174" s="364">
        <f t="shared" ref="C174:D175" si="179">R174+O174+L174+I174+F174</f>
        <v>0</v>
      </c>
      <c r="D174" s="364">
        <f t="shared" si="179"/>
        <v>100</v>
      </c>
      <c r="E174" s="364">
        <f t="shared" si="167"/>
        <v>38</v>
      </c>
      <c r="F174" s="364">
        <v>0</v>
      </c>
      <c r="G174" s="364">
        <v>38</v>
      </c>
      <c r="H174" s="364">
        <f t="shared" si="168"/>
        <v>6</v>
      </c>
      <c r="I174" s="364">
        <v>0</v>
      </c>
      <c r="J174" s="364">
        <v>6</v>
      </c>
      <c r="K174" s="364">
        <f t="shared" si="169"/>
        <v>51</v>
      </c>
      <c r="L174" s="364">
        <v>0</v>
      </c>
      <c r="M174" s="364">
        <v>51</v>
      </c>
      <c r="N174" s="364">
        <f t="shared" si="170"/>
        <v>5</v>
      </c>
      <c r="O174" s="364">
        <v>0</v>
      </c>
      <c r="P174" s="364">
        <v>5</v>
      </c>
      <c r="Q174" s="364">
        <f t="shared" si="171"/>
        <v>0</v>
      </c>
      <c r="R174" s="369">
        <v>0</v>
      </c>
      <c r="S174" s="364">
        <v>0</v>
      </c>
      <c r="T174" s="353" t="s">
        <v>146</v>
      </c>
      <c r="U174" s="365"/>
      <c r="V174" s="141"/>
    </row>
    <row r="175" spans="2:22" ht="13.5" thickBot="1" x14ac:dyDescent="0.25">
      <c r="B175" s="364">
        <f t="shared" si="165"/>
        <v>17</v>
      </c>
      <c r="C175" s="364">
        <f t="shared" si="179"/>
        <v>0</v>
      </c>
      <c r="D175" s="364">
        <f t="shared" si="179"/>
        <v>17</v>
      </c>
      <c r="E175" s="364">
        <f t="shared" si="167"/>
        <v>1</v>
      </c>
      <c r="F175" s="364">
        <v>0</v>
      </c>
      <c r="G175" s="364">
        <v>1</v>
      </c>
      <c r="H175" s="364">
        <f t="shared" si="168"/>
        <v>5</v>
      </c>
      <c r="I175" s="364">
        <v>0</v>
      </c>
      <c r="J175" s="364">
        <v>5</v>
      </c>
      <c r="K175" s="364">
        <f t="shared" si="169"/>
        <v>8</v>
      </c>
      <c r="L175" s="364">
        <v>0</v>
      </c>
      <c r="M175" s="364">
        <v>8</v>
      </c>
      <c r="N175" s="364">
        <f t="shared" si="170"/>
        <v>3</v>
      </c>
      <c r="O175" s="364">
        <v>0</v>
      </c>
      <c r="P175" s="364">
        <v>3</v>
      </c>
      <c r="Q175" s="364">
        <f t="shared" si="171"/>
        <v>0</v>
      </c>
      <c r="R175" s="369">
        <v>0</v>
      </c>
      <c r="S175" s="364">
        <v>0</v>
      </c>
      <c r="T175" s="353" t="s">
        <v>145</v>
      </c>
      <c r="U175" s="365" t="s">
        <v>454</v>
      </c>
      <c r="V175" s="141"/>
    </row>
    <row r="176" spans="2:22" ht="13.5" thickBot="1" x14ac:dyDescent="0.25">
      <c r="B176" s="364">
        <f t="shared" ref="B176:R176" si="180">SUM(B174:B175)</f>
        <v>117</v>
      </c>
      <c r="C176" s="364">
        <f t="shared" si="180"/>
        <v>0</v>
      </c>
      <c r="D176" s="364">
        <f t="shared" si="180"/>
        <v>117</v>
      </c>
      <c r="E176" s="364">
        <f t="shared" si="180"/>
        <v>39</v>
      </c>
      <c r="F176" s="364">
        <f t="shared" si="180"/>
        <v>0</v>
      </c>
      <c r="G176" s="364">
        <f t="shared" si="180"/>
        <v>39</v>
      </c>
      <c r="H176" s="364">
        <f t="shared" si="180"/>
        <v>11</v>
      </c>
      <c r="I176" s="364">
        <f t="shared" si="180"/>
        <v>0</v>
      </c>
      <c r="J176" s="364">
        <f t="shared" si="180"/>
        <v>11</v>
      </c>
      <c r="K176" s="364">
        <f t="shared" si="180"/>
        <v>59</v>
      </c>
      <c r="L176" s="364">
        <f t="shared" si="180"/>
        <v>0</v>
      </c>
      <c r="M176" s="364">
        <f t="shared" si="180"/>
        <v>59</v>
      </c>
      <c r="N176" s="364">
        <f t="shared" si="180"/>
        <v>8</v>
      </c>
      <c r="O176" s="364">
        <f t="shared" si="180"/>
        <v>0</v>
      </c>
      <c r="P176" s="364">
        <f t="shared" si="180"/>
        <v>8</v>
      </c>
      <c r="Q176" s="364">
        <f t="shared" si="180"/>
        <v>0</v>
      </c>
      <c r="R176" s="364">
        <f t="shared" si="180"/>
        <v>0</v>
      </c>
      <c r="S176" s="364">
        <f>SUM(S174:S175)</f>
        <v>0</v>
      </c>
      <c r="T176" s="353" t="s">
        <v>12</v>
      </c>
      <c r="U176" s="366"/>
      <c r="V176" s="141"/>
    </row>
    <row r="177" spans="2:22" ht="13.5" thickBot="1" x14ac:dyDescent="0.25">
      <c r="B177" s="364">
        <f t="shared" si="165"/>
        <v>57</v>
      </c>
      <c r="C177" s="364">
        <f t="shared" ref="C177:D178" si="181">R177+O177+L177+I177+F177</f>
        <v>3</v>
      </c>
      <c r="D177" s="364">
        <f t="shared" si="181"/>
        <v>54</v>
      </c>
      <c r="E177" s="364">
        <f t="shared" si="167"/>
        <v>25</v>
      </c>
      <c r="F177" s="364">
        <v>0</v>
      </c>
      <c r="G177" s="364">
        <v>25</v>
      </c>
      <c r="H177" s="364">
        <f t="shared" si="168"/>
        <v>16</v>
      </c>
      <c r="I177" s="364">
        <v>0</v>
      </c>
      <c r="J177" s="364">
        <v>16</v>
      </c>
      <c r="K177" s="364">
        <f t="shared" si="169"/>
        <v>11</v>
      </c>
      <c r="L177" s="364">
        <v>1</v>
      </c>
      <c r="M177" s="364">
        <v>10</v>
      </c>
      <c r="N177" s="364">
        <f t="shared" si="170"/>
        <v>5</v>
      </c>
      <c r="O177" s="364">
        <v>2</v>
      </c>
      <c r="P177" s="364">
        <v>3</v>
      </c>
      <c r="Q177" s="364">
        <f t="shared" si="171"/>
        <v>0</v>
      </c>
      <c r="R177" s="364">
        <v>0</v>
      </c>
      <c r="S177" s="364">
        <v>0</v>
      </c>
      <c r="T177" s="353" t="s">
        <v>146</v>
      </c>
      <c r="U177" s="365"/>
      <c r="V177" s="141"/>
    </row>
    <row r="178" spans="2:22" ht="13.5" thickBot="1" x14ac:dyDescent="0.25">
      <c r="B178" s="364">
        <f t="shared" si="165"/>
        <v>0</v>
      </c>
      <c r="C178" s="364">
        <f t="shared" si="181"/>
        <v>0</v>
      </c>
      <c r="D178" s="364">
        <f t="shared" si="181"/>
        <v>0</v>
      </c>
      <c r="E178" s="364">
        <f t="shared" si="167"/>
        <v>0</v>
      </c>
      <c r="F178" s="364">
        <v>0</v>
      </c>
      <c r="G178" s="364">
        <v>0</v>
      </c>
      <c r="H178" s="364">
        <f t="shared" si="168"/>
        <v>0</v>
      </c>
      <c r="I178" s="364">
        <v>0</v>
      </c>
      <c r="J178" s="364">
        <v>0</v>
      </c>
      <c r="K178" s="364">
        <f t="shared" si="169"/>
        <v>0</v>
      </c>
      <c r="L178" s="364">
        <v>0</v>
      </c>
      <c r="M178" s="364">
        <v>0</v>
      </c>
      <c r="N178" s="364">
        <f t="shared" si="170"/>
        <v>0</v>
      </c>
      <c r="O178" s="364">
        <v>0</v>
      </c>
      <c r="P178" s="364">
        <v>0</v>
      </c>
      <c r="Q178" s="364">
        <f t="shared" si="171"/>
        <v>0</v>
      </c>
      <c r="R178" s="369">
        <v>0</v>
      </c>
      <c r="S178" s="369">
        <v>0</v>
      </c>
      <c r="T178" s="353" t="s">
        <v>145</v>
      </c>
      <c r="U178" s="365" t="s">
        <v>402</v>
      </c>
      <c r="V178" s="141"/>
    </row>
    <row r="179" spans="2:22" ht="13.5" thickBot="1" x14ac:dyDescent="0.25">
      <c r="B179" s="364">
        <f t="shared" ref="B179:R179" si="182">SUM(B177:B178)</f>
        <v>57</v>
      </c>
      <c r="C179" s="364">
        <f t="shared" si="182"/>
        <v>3</v>
      </c>
      <c r="D179" s="364">
        <f t="shared" si="182"/>
        <v>54</v>
      </c>
      <c r="E179" s="364">
        <f t="shared" si="182"/>
        <v>25</v>
      </c>
      <c r="F179" s="364">
        <f t="shared" si="182"/>
        <v>0</v>
      </c>
      <c r="G179" s="364">
        <f t="shared" si="182"/>
        <v>25</v>
      </c>
      <c r="H179" s="364">
        <f t="shared" si="182"/>
        <v>16</v>
      </c>
      <c r="I179" s="364">
        <f t="shared" si="182"/>
        <v>0</v>
      </c>
      <c r="J179" s="364">
        <f t="shared" si="182"/>
        <v>16</v>
      </c>
      <c r="K179" s="364">
        <f t="shared" si="182"/>
        <v>11</v>
      </c>
      <c r="L179" s="364">
        <f t="shared" si="182"/>
        <v>1</v>
      </c>
      <c r="M179" s="364">
        <f t="shared" si="182"/>
        <v>10</v>
      </c>
      <c r="N179" s="364">
        <f t="shared" si="182"/>
        <v>5</v>
      </c>
      <c r="O179" s="364">
        <f t="shared" si="182"/>
        <v>2</v>
      </c>
      <c r="P179" s="364">
        <f t="shared" si="182"/>
        <v>3</v>
      </c>
      <c r="Q179" s="364">
        <f t="shared" si="182"/>
        <v>0</v>
      </c>
      <c r="R179" s="364">
        <f t="shared" si="182"/>
        <v>0</v>
      </c>
      <c r="S179" s="364">
        <f>SUM(S177:S178)</f>
        <v>0</v>
      </c>
      <c r="T179" s="353" t="s">
        <v>12</v>
      </c>
      <c r="U179" s="366"/>
      <c r="V179" s="141"/>
    </row>
    <row r="180" spans="2:22" ht="13.5" thickBot="1" x14ac:dyDescent="0.25">
      <c r="B180" s="364">
        <f t="shared" si="165"/>
        <v>1068</v>
      </c>
      <c r="C180" s="364">
        <f t="shared" ref="C180:D181" si="183">R180+O180+L180+I180+F180</f>
        <v>253</v>
      </c>
      <c r="D180" s="364">
        <f t="shared" si="183"/>
        <v>815</v>
      </c>
      <c r="E180" s="364">
        <f t="shared" si="167"/>
        <v>320</v>
      </c>
      <c r="F180" s="364">
        <v>32</v>
      </c>
      <c r="G180" s="364">
        <v>288</v>
      </c>
      <c r="H180" s="364">
        <f t="shared" si="168"/>
        <v>108</v>
      </c>
      <c r="I180" s="364">
        <v>17</v>
      </c>
      <c r="J180" s="364">
        <v>91</v>
      </c>
      <c r="K180" s="364">
        <f t="shared" si="169"/>
        <v>556</v>
      </c>
      <c r="L180" s="364">
        <v>199</v>
      </c>
      <c r="M180" s="364">
        <v>357</v>
      </c>
      <c r="N180" s="364">
        <f t="shared" si="170"/>
        <v>76</v>
      </c>
      <c r="O180" s="364">
        <v>5</v>
      </c>
      <c r="P180" s="364">
        <v>71</v>
      </c>
      <c r="Q180" s="364">
        <f t="shared" si="171"/>
        <v>8</v>
      </c>
      <c r="R180" s="364">
        <v>0</v>
      </c>
      <c r="S180" s="364">
        <v>8</v>
      </c>
      <c r="T180" s="353" t="s">
        <v>146</v>
      </c>
      <c r="U180" s="365"/>
      <c r="V180" s="141"/>
    </row>
    <row r="181" spans="2:22" ht="13.5" thickBot="1" x14ac:dyDescent="0.25">
      <c r="B181" s="364">
        <f t="shared" si="165"/>
        <v>44</v>
      </c>
      <c r="C181" s="364">
        <f t="shared" si="183"/>
        <v>5</v>
      </c>
      <c r="D181" s="364">
        <f t="shared" si="183"/>
        <v>39</v>
      </c>
      <c r="E181" s="364">
        <f t="shared" si="167"/>
        <v>11</v>
      </c>
      <c r="F181" s="364">
        <v>2</v>
      </c>
      <c r="G181" s="364">
        <v>9</v>
      </c>
      <c r="H181" s="364">
        <f t="shared" si="168"/>
        <v>2</v>
      </c>
      <c r="I181" s="364">
        <v>0</v>
      </c>
      <c r="J181" s="364">
        <v>2</v>
      </c>
      <c r="K181" s="364">
        <f t="shared" si="169"/>
        <v>16</v>
      </c>
      <c r="L181" s="364">
        <v>3</v>
      </c>
      <c r="M181" s="364">
        <v>13</v>
      </c>
      <c r="N181" s="364">
        <f t="shared" si="170"/>
        <v>14</v>
      </c>
      <c r="O181" s="364">
        <v>0</v>
      </c>
      <c r="P181" s="364">
        <v>14</v>
      </c>
      <c r="Q181" s="364">
        <f t="shared" si="171"/>
        <v>1</v>
      </c>
      <c r="R181" s="364">
        <v>0</v>
      </c>
      <c r="S181" s="364">
        <v>1</v>
      </c>
      <c r="T181" s="353" t="s">
        <v>145</v>
      </c>
      <c r="U181" s="365" t="s">
        <v>813</v>
      </c>
      <c r="V181" s="141"/>
    </row>
    <row r="182" spans="2:22" ht="13.5" thickBot="1" x14ac:dyDescent="0.25">
      <c r="B182" s="364">
        <f t="shared" ref="B182:R182" si="184">SUM(B180:B181)</f>
        <v>1112</v>
      </c>
      <c r="C182" s="364">
        <f t="shared" si="184"/>
        <v>258</v>
      </c>
      <c r="D182" s="364">
        <f t="shared" si="184"/>
        <v>854</v>
      </c>
      <c r="E182" s="364">
        <f t="shared" si="184"/>
        <v>331</v>
      </c>
      <c r="F182" s="364">
        <f t="shared" si="184"/>
        <v>34</v>
      </c>
      <c r="G182" s="364">
        <f t="shared" si="184"/>
        <v>297</v>
      </c>
      <c r="H182" s="364">
        <f t="shared" si="184"/>
        <v>110</v>
      </c>
      <c r="I182" s="364">
        <f t="shared" si="184"/>
        <v>17</v>
      </c>
      <c r="J182" s="364">
        <f t="shared" si="184"/>
        <v>93</v>
      </c>
      <c r="K182" s="364">
        <f t="shared" si="184"/>
        <v>572</v>
      </c>
      <c r="L182" s="364">
        <f t="shared" si="184"/>
        <v>202</v>
      </c>
      <c r="M182" s="364">
        <f t="shared" si="184"/>
        <v>370</v>
      </c>
      <c r="N182" s="364">
        <f t="shared" si="184"/>
        <v>90</v>
      </c>
      <c r="O182" s="364">
        <f t="shared" si="184"/>
        <v>5</v>
      </c>
      <c r="P182" s="364">
        <f t="shared" si="184"/>
        <v>85</v>
      </c>
      <c r="Q182" s="364">
        <f t="shared" si="184"/>
        <v>9</v>
      </c>
      <c r="R182" s="364">
        <f t="shared" si="184"/>
        <v>0</v>
      </c>
      <c r="S182" s="364">
        <f>SUM(S180:S181)</f>
        <v>9</v>
      </c>
      <c r="T182" s="353" t="s">
        <v>12</v>
      </c>
      <c r="U182" s="366"/>
      <c r="V182" s="141"/>
    </row>
    <row r="183" spans="2:22" ht="13.5" thickBot="1" x14ac:dyDescent="0.25">
      <c r="B183" s="364">
        <f t="shared" si="165"/>
        <v>19</v>
      </c>
      <c r="C183" s="364">
        <f t="shared" ref="C183:D184" si="185">R183+O183+L183+I183+F183</f>
        <v>0</v>
      </c>
      <c r="D183" s="364">
        <f t="shared" si="185"/>
        <v>19</v>
      </c>
      <c r="E183" s="364">
        <f t="shared" si="167"/>
        <v>4</v>
      </c>
      <c r="F183" s="364">
        <v>0</v>
      </c>
      <c r="G183" s="364">
        <v>4</v>
      </c>
      <c r="H183" s="364">
        <f t="shared" si="168"/>
        <v>2</v>
      </c>
      <c r="I183" s="364">
        <v>0</v>
      </c>
      <c r="J183" s="364">
        <v>2</v>
      </c>
      <c r="K183" s="364">
        <f t="shared" si="169"/>
        <v>13</v>
      </c>
      <c r="L183" s="364">
        <v>0</v>
      </c>
      <c r="M183" s="364">
        <v>13</v>
      </c>
      <c r="N183" s="364">
        <f t="shared" si="170"/>
        <v>0</v>
      </c>
      <c r="O183" s="364">
        <v>0</v>
      </c>
      <c r="P183" s="364">
        <v>0</v>
      </c>
      <c r="Q183" s="364">
        <f t="shared" si="171"/>
        <v>0</v>
      </c>
      <c r="R183" s="369">
        <v>0</v>
      </c>
      <c r="S183" s="364">
        <v>0</v>
      </c>
      <c r="T183" s="353" t="s">
        <v>146</v>
      </c>
      <c r="U183" s="365"/>
      <c r="V183" s="141"/>
    </row>
    <row r="184" spans="2:22" ht="13.5" thickBot="1" x14ac:dyDescent="0.25">
      <c r="B184" s="364">
        <f t="shared" si="165"/>
        <v>0</v>
      </c>
      <c r="C184" s="364">
        <f t="shared" si="185"/>
        <v>0</v>
      </c>
      <c r="D184" s="364">
        <f t="shared" si="185"/>
        <v>0</v>
      </c>
      <c r="E184" s="364">
        <f t="shared" si="167"/>
        <v>0</v>
      </c>
      <c r="F184" s="364">
        <v>0</v>
      </c>
      <c r="G184" s="364">
        <v>0</v>
      </c>
      <c r="H184" s="364">
        <f t="shared" si="168"/>
        <v>0</v>
      </c>
      <c r="I184" s="364">
        <v>0</v>
      </c>
      <c r="J184" s="364">
        <v>0</v>
      </c>
      <c r="K184" s="364">
        <f t="shared" si="169"/>
        <v>0</v>
      </c>
      <c r="L184" s="364">
        <v>0</v>
      </c>
      <c r="M184" s="364">
        <v>0</v>
      </c>
      <c r="N184" s="364">
        <f t="shared" si="170"/>
        <v>0</v>
      </c>
      <c r="O184" s="364">
        <v>0</v>
      </c>
      <c r="P184" s="364">
        <v>0</v>
      </c>
      <c r="Q184" s="364">
        <f t="shared" si="171"/>
        <v>0</v>
      </c>
      <c r="R184" s="369">
        <v>0</v>
      </c>
      <c r="S184" s="369">
        <v>0</v>
      </c>
      <c r="T184" s="353" t="s">
        <v>145</v>
      </c>
      <c r="U184" s="365" t="s">
        <v>405</v>
      </c>
      <c r="V184" s="141"/>
    </row>
    <row r="185" spans="2:22" ht="13.5" thickBot="1" x14ac:dyDescent="0.25">
      <c r="B185" s="364">
        <f t="shared" ref="B185:R185" si="186">SUM(B183:B184)</f>
        <v>19</v>
      </c>
      <c r="C185" s="364">
        <f t="shared" si="186"/>
        <v>0</v>
      </c>
      <c r="D185" s="364">
        <f t="shared" si="186"/>
        <v>19</v>
      </c>
      <c r="E185" s="364">
        <f t="shared" si="186"/>
        <v>4</v>
      </c>
      <c r="F185" s="364">
        <f t="shared" si="186"/>
        <v>0</v>
      </c>
      <c r="G185" s="364">
        <f t="shared" si="186"/>
        <v>4</v>
      </c>
      <c r="H185" s="364">
        <f t="shared" si="186"/>
        <v>2</v>
      </c>
      <c r="I185" s="364">
        <f t="shared" si="186"/>
        <v>0</v>
      </c>
      <c r="J185" s="364">
        <f t="shared" si="186"/>
        <v>2</v>
      </c>
      <c r="K185" s="364">
        <f t="shared" si="186"/>
        <v>13</v>
      </c>
      <c r="L185" s="364">
        <f t="shared" si="186"/>
        <v>0</v>
      </c>
      <c r="M185" s="364">
        <f t="shared" si="186"/>
        <v>13</v>
      </c>
      <c r="N185" s="364">
        <f t="shared" si="186"/>
        <v>0</v>
      </c>
      <c r="O185" s="364">
        <f t="shared" si="186"/>
        <v>0</v>
      </c>
      <c r="P185" s="364">
        <f t="shared" si="186"/>
        <v>0</v>
      </c>
      <c r="Q185" s="364">
        <f t="shared" si="186"/>
        <v>0</v>
      </c>
      <c r="R185" s="364">
        <f t="shared" si="186"/>
        <v>0</v>
      </c>
      <c r="S185" s="364">
        <f>SUM(S183:S184)</f>
        <v>0</v>
      </c>
      <c r="T185" s="353" t="s">
        <v>12</v>
      </c>
      <c r="U185" s="366"/>
      <c r="V185" s="141"/>
    </row>
    <row r="186" spans="2:22" ht="13.5" thickBot="1" x14ac:dyDescent="0.25">
      <c r="B186" s="364">
        <f t="shared" si="165"/>
        <v>38</v>
      </c>
      <c r="C186" s="364">
        <f t="shared" ref="C186:D187" si="187">R186+O186+L186+I186+F186</f>
        <v>0</v>
      </c>
      <c r="D186" s="364">
        <f t="shared" si="187"/>
        <v>38</v>
      </c>
      <c r="E186" s="364">
        <f t="shared" si="167"/>
        <v>6</v>
      </c>
      <c r="F186" s="364">
        <v>0</v>
      </c>
      <c r="G186" s="364">
        <v>6</v>
      </c>
      <c r="H186" s="364">
        <f t="shared" si="168"/>
        <v>2</v>
      </c>
      <c r="I186" s="364">
        <v>0</v>
      </c>
      <c r="J186" s="364">
        <v>2</v>
      </c>
      <c r="K186" s="364">
        <f t="shared" si="169"/>
        <v>19</v>
      </c>
      <c r="L186" s="364">
        <v>0</v>
      </c>
      <c r="M186" s="364">
        <v>19</v>
      </c>
      <c r="N186" s="364">
        <f t="shared" si="170"/>
        <v>11</v>
      </c>
      <c r="O186" s="364">
        <v>0</v>
      </c>
      <c r="P186" s="364">
        <v>11</v>
      </c>
      <c r="Q186" s="364">
        <f t="shared" si="171"/>
        <v>0</v>
      </c>
      <c r="R186" s="369">
        <v>0</v>
      </c>
      <c r="S186" s="364">
        <v>0</v>
      </c>
      <c r="T186" s="353" t="s">
        <v>146</v>
      </c>
      <c r="U186" s="365"/>
      <c r="V186" s="141"/>
    </row>
    <row r="187" spans="2:22" ht="13.5" thickBot="1" x14ac:dyDescent="0.25">
      <c r="B187" s="364">
        <f t="shared" si="165"/>
        <v>2</v>
      </c>
      <c r="C187" s="364">
        <f t="shared" si="187"/>
        <v>0</v>
      </c>
      <c r="D187" s="364">
        <f t="shared" si="187"/>
        <v>2</v>
      </c>
      <c r="E187" s="364">
        <f t="shared" si="167"/>
        <v>0</v>
      </c>
      <c r="F187" s="364">
        <v>0</v>
      </c>
      <c r="G187" s="364">
        <v>0</v>
      </c>
      <c r="H187" s="364">
        <f t="shared" si="168"/>
        <v>1</v>
      </c>
      <c r="I187" s="364">
        <v>0</v>
      </c>
      <c r="J187" s="364">
        <v>1</v>
      </c>
      <c r="K187" s="364">
        <f t="shared" si="169"/>
        <v>1</v>
      </c>
      <c r="L187" s="364">
        <v>0</v>
      </c>
      <c r="M187" s="364">
        <v>1</v>
      </c>
      <c r="N187" s="364">
        <f t="shared" si="170"/>
        <v>0</v>
      </c>
      <c r="O187" s="364">
        <v>0</v>
      </c>
      <c r="P187" s="364">
        <v>0</v>
      </c>
      <c r="Q187" s="364">
        <f t="shared" si="171"/>
        <v>0</v>
      </c>
      <c r="R187" s="369">
        <v>0</v>
      </c>
      <c r="S187" s="364">
        <v>0</v>
      </c>
      <c r="T187" s="353" t="s">
        <v>145</v>
      </c>
      <c r="U187" s="365" t="s">
        <v>407</v>
      </c>
      <c r="V187" s="141"/>
    </row>
    <row r="188" spans="2:22" ht="13.5" thickBot="1" x14ac:dyDescent="0.25">
      <c r="B188" s="364">
        <f t="shared" ref="B188:R188" si="188">SUM(B186:B187)</f>
        <v>40</v>
      </c>
      <c r="C188" s="364">
        <f t="shared" si="188"/>
        <v>0</v>
      </c>
      <c r="D188" s="364">
        <f t="shared" si="188"/>
        <v>40</v>
      </c>
      <c r="E188" s="364">
        <f t="shared" si="188"/>
        <v>6</v>
      </c>
      <c r="F188" s="364">
        <f t="shared" si="188"/>
        <v>0</v>
      </c>
      <c r="G188" s="364">
        <f t="shared" si="188"/>
        <v>6</v>
      </c>
      <c r="H188" s="364">
        <f t="shared" si="188"/>
        <v>3</v>
      </c>
      <c r="I188" s="364">
        <f t="shared" si="188"/>
        <v>0</v>
      </c>
      <c r="J188" s="364">
        <f t="shared" si="188"/>
        <v>3</v>
      </c>
      <c r="K188" s="364">
        <f t="shared" si="188"/>
        <v>20</v>
      </c>
      <c r="L188" s="364">
        <f t="shared" si="188"/>
        <v>0</v>
      </c>
      <c r="M188" s="364">
        <f t="shared" si="188"/>
        <v>20</v>
      </c>
      <c r="N188" s="364">
        <f t="shared" si="188"/>
        <v>11</v>
      </c>
      <c r="O188" s="364">
        <f t="shared" si="188"/>
        <v>0</v>
      </c>
      <c r="P188" s="364">
        <f t="shared" si="188"/>
        <v>11</v>
      </c>
      <c r="Q188" s="364">
        <f t="shared" si="188"/>
        <v>0</v>
      </c>
      <c r="R188" s="364">
        <f t="shared" si="188"/>
        <v>0</v>
      </c>
      <c r="S188" s="364">
        <f>SUM(S186:S187)</f>
        <v>0</v>
      </c>
      <c r="T188" s="353" t="s">
        <v>12</v>
      </c>
      <c r="U188" s="366"/>
      <c r="V188" s="141"/>
    </row>
    <row r="189" spans="2:22" ht="13.5" thickBot="1" x14ac:dyDescent="0.25">
      <c r="B189" s="364">
        <f t="shared" si="165"/>
        <v>102</v>
      </c>
      <c r="C189" s="364">
        <f t="shared" ref="C189:D190" si="189">R189+O189+L189+I189+F189</f>
        <v>0</v>
      </c>
      <c r="D189" s="364">
        <f t="shared" si="189"/>
        <v>102</v>
      </c>
      <c r="E189" s="364">
        <f t="shared" si="167"/>
        <v>62</v>
      </c>
      <c r="F189" s="364">
        <v>0</v>
      </c>
      <c r="G189" s="364">
        <v>62</v>
      </c>
      <c r="H189" s="364">
        <f t="shared" si="168"/>
        <v>18</v>
      </c>
      <c r="I189" s="364">
        <v>0</v>
      </c>
      <c r="J189" s="364">
        <v>18</v>
      </c>
      <c r="K189" s="364">
        <f t="shared" si="169"/>
        <v>22</v>
      </c>
      <c r="L189" s="364">
        <v>0</v>
      </c>
      <c r="M189" s="364">
        <v>22</v>
      </c>
      <c r="N189" s="364">
        <f t="shared" si="170"/>
        <v>0</v>
      </c>
      <c r="O189" s="364">
        <v>0</v>
      </c>
      <c r="P189" s="364">
        <v>0</v>
      </c>
      <c r="Q189" s="364">
        <f t="shared" si="171"/>
        <v>0</v>
      </c>
      <c r="R189" s="369">
        <v>0</v>
      </c>
      <c r="S189" s="364">
        <v>0</v>
      </c>
      <c r="T189" s="353" t="s">
        <v>146</v>
      </c>
      <c r="U189" s="365"/>
      <c r="V189" s="141"/>
    </row>
    <row r="190" spans="2:22" ht="13.5" thickBot="1" x14ac:dyDescent="0.25">
      <c r="B190" s="364">
        <f t="shared" si="165"/>
        <v>3</v>
      </c>
      <c r="C190" s="364">
        <f t="shared" si="189"/>
        <v>0</v>
      </c>
      <c r="D190" s="364">
        <f t="shared" si="189"/>
        <v>3</v>
      </c>
      <c r="E190" s="364">
        <f t="shared" si="167"/>
        <v>0</v>
      </c>
      <c r="F190" s="364">
        <v>0</v>
      </c>
      <c r="G190" s="364">
        <v>0</v>
      </c>
      <c r="H190" s="364">
        <f t="shared" si="168"/>
        <v>0</v>
      </c>
      <c r="I190" s="364">
        <v>0</v>
      </c>
      <c r="J190" s="364">
        <v>0</v>
      </c>
      <c r="K190" s="364">
        <f t="shared" si="169"/>
        <v>3</v>
      </c>
      <c r="L190" s="364">
        <v>0</v>
      </c>
      <c r="M190" s="364">
        <v>3</v>
      </c>
      <c r="N190" s="364">
        <f t="shared" si="170"/>
        <v>0</v>
      </c>
      <c r="O190" s="364">
        <v>0</v>
      </c>
      <c r="P190" s="364">
        <v>0</v>
      </c>
      <c r="Q190" s="364">
        <f t="shared" si="171"/>
        <v>0</v>
      </c>
      <c r="R190" s="369">
        <v>0</v>
      </c>
      <c r="S190" s="364">
        <v>0</v>
      </c>
      <c r="T190" s="353" t="s">
        <v>145</v>
      </c>
      <c r="U190" s="365" t="s">
        <v>589</v>
      </c>
      <c r="V190" s="141"/>
    </row>
    <row r="191" spans="2:22" ht="13.5" thickBot="1" x14ac:dyDescent="0.25">
      <c r="B191" s="364">
        <f t="shared" ref="B191:R191" si="190">SUM(B189:B190)</f>
        <v>105</v>
      </c>
      <c r="C191" s="364">
        <f t="shared" si="190"/>
        <v>0</v>
      </c>
      <c r="D191" s="364">
        <f t="shared" si="190"/>
        <v>105</v>
      </c>
      <c r="E191" s="364">
        <f t="shared" si="190"/>
        <v>62</v>
      </c>
      <c r="F191" s="364">
        <f t="shared" si="190"/>
        <v>0</v>
      </c>
      <c r="G191" s="364">
        <f t="shared" si="190"/>
        <v>62</v>
      </c>
      <c r="H191" s="364">
        <f t="shared" si="190"/>
        <v>18</v>
      </c>
      <c r="I191" s="364">
        <f t="shared" si="190"/>
        <v>0</v>
      </c>
      <c r="J191" s="364">
        <f t="shared" si="190"/>
        <v>18</v>
      </c>
      <c r="K191" s="364">
        <f t="shared" si="190"/>
        <v>25</v>
      </c>
      <c r="L191" s="364">
        <f t="shared" si="190"/>
        <v>0</v>
      </c>
      <c r="M191" s="364">
        <f t="shared" si="190"/>
        <v>25</v>
      </c>
      <c r="N191" s="364">
        <f t="shared" si="190"/>
        <v>0</v>
      </c>
      <c r="O191" s="364">
        <f t="shared" si="190"/>
        <v>0</v>
      </c>
      <c r="P191" s="364">
        <f t="shared" si="190"/>
        <v>0</v>
      </c>
      <c r="Q191" s="364">
        <f t="shared" si="190"/>
        <v>0</v>
      </c>
      <c r="R191" s="364">
        <f t="shared" si="190"/>
        <v>0</v>
      </c>
      <c r="S191" s="364">
        <f>SUM(S189:S190)</f>
        <v>0</v>
      </c>
      <c r="T191" s="353" t="s">
        <v>12</v>
      </c>
      <c r="U191" s="366"/>
      <c r="V191" s="141"/>
    </row>
    <row r="192" spans="2:22" ht="13.5" thickBot="1" x14ac:dyDescent="0.25">
      <c r="B192" s="364">
        <f t="shared" si="165"/>
        <v>44</v>
      </c>
      <c r="C192" s="364">
        <f t="shared" ref="C192:D193" si="191">R192+O192+L192+I192+F192</f>
        <v>0</v>
      </c>
      <c r="D192" s="364">
        <f t="shared" si="191"/>
        <v>44</v>
      </c>
      <c r="E192" s="364">
        <f t="shared" si="167"/>
        <v>14</v>
      </c>
      <c r="F192" s="364">
        <v>0</v>
      </c>
      <c r="G192" s="364">
        <v>14</v>
      </c>
      <c r="H192" s="364">
        <f t="shared" si="168"/>
        <v>6</v>
      </c>
      <c r="I192" s="364">
        <v>0</v>
      </c>
      <c r="J192" s="364">
        <v>6</v>
      </c>
      <c r="K192" s="364">
        <f t="shared" si="169"/>
        <v>22</v>
      </c>
      <c r="L192" s="364">
        <v>0</v>
      </c>
      <c r="M192" s="364">
        <v>22</v>
      </c>
      <c r="N192" s="364">
        <f t="shared" si="170"/>
        <v>2</v>
      </c>
      <c r="O192" s="364">
        <v>0</v>
      </c>
      <c r="P192" s="364">
        <v>2</v>
      </c>
      <c r="Q192" s="364">
        <f t="shared" si="171"/>
        <v>0</v>
      </c>
      <c r="R192" s="369">
        <v>0</v>
      </c>
      <c r="S192" s="364">
        <v>0</v>
      </c>
      <c r="T192" s="353" t="s">
        <v>146</v>
      </c>
      <c r="U192" s="365"/>
      <c r="V192" s="141"/>
    </row>
    <row r="193" spans="2:22" ht="13.5" thickBot="1" x14ac:dyDescent="0.25">
      <c r="B193" s="364">
        <f t="shared" si="165"/>
        <v>2</v>
      </c>
      <c r="C193" s="364">
        <f t="shared" si="191"/>
        <v>0</v>
      </c>
      <c r="D193" s="364">
        <f t="shared" si="191"/>
        <v>2</v>
      </c>
      <c r="E193" s="364">
        <f t="shared" si="167"/>
        <v>0</v>
      </c>
      <c r="F193" s="364">
        <v>0</v>
      </c>
      <c r="G193" s="364">
        <v>0</v>
      </c>
      <c r="H193" s="364">
        <f t="shared" si="168"/>
        <v>0</v>
      </c>
      <c r="I193" s="364">
        <v>0</v>
      </c>
      <c r="J193" s="364">
        <v>0</v>
      </c>
      <c r="K193" s="364">
        <f t="shared" si="169"/>
        <v>1</v>
      </c>
      <c r="L193" s="364">
        <v>0</v>
      </c>
      <c r="M193" s="364">
        <v>1</v>
      </c>
      <c r="N193" s="364">
        <f t="shared" si="170"/>
        <v>1</v>
      </c>
      <c r="O193" s="364">
        <v>0</v>
      </c>
      <c r="P193" s="364">
        <v>1</v>
      </c>
      <c r="Q193" s="364">
        <f t="shared" si="171"/>
        <v>0</v>
      </c>
      <c r="R193" s="369">
        <v>0</v>
      </c>
      <c r="S193" s="364">
        <v>0</v>
      </c>
      <c r="T193" s="353" t="s">
        <v>145</v>
      </c>
      <c r="U193" s="365" t="s">
        <v>590</v>
      </c>
      <c r="V193" s="141"/>
    </row>
    <row r="194" spans="2:22" ht="13.5" thickBot="1" x14ac:dyDescent="0.25">
      <c r="B194" s="364">
        <f t="shared" ref="B194:R194" si="192">SUM(B192:B193)</f>
        <v>46</v>
      </c>
      <c r="C194" s="364">
        <f t="shared" si="192"/>
        <v>0</v>
      </c>
      <c r="D194" s="364">
        <f t="shared" si="192"/>
        <v>46</v>
      </c>
      <c r="E194" s="364">
        <f t="shared" si="192"/>
        <v>14</v>
      </c>
      <c r="F194" s="364">
        <f t="shared" si="192"/>
        <v>0</v>
      </c>
      <c r="G194" s="364">
        <f t="shared" si="192"/>
        <v>14</v>
      </c>
      <c r="H194" s="364">
        <f t="shared" si="192"/>
        <v>6</v>
      </c>
      <c r="I194" s="364">
        <f t="shared" si="192"/>
        <v>0</v>
      </c>
      <c r="J194" s="364">
        <f t="shared" si="192"/>
        <v>6</v>
      </c>
      <c r="K194" s="364">
        <f t="shared" si="192"/>
        <v>23</v>
      </c>
      <c r="L194" s="364">
        <f t="shared" si="192"/>
        <v>0</v>
      </c>
      <c r="M194" s="364">
        <f t="shared" si="192"/>
        <v>23</v>
      </c>
      <c r="N194" s="364">
        <f t="shared" si="192"/>
        <v>3</v>
      </c>
      <c r="O194" s="364">
        <f t="shared" si="192"/>
        <v>0</v>
      </c>
      <c r="P194" s="364">
        <f t="shared" si="192"/>
        <v>3</v>
      </c>
      <c r="Q194" s="364">
        <f t="shared" si="192"/>
        <v>0</v>
      </c>
      <c r="R194" s="364">
        <f t="shared" si="192"/>
        <v>0</v>
      </c>
      <c r="S194" s="364">
        <f>SUM(S192:S193)</f>
        <v>0</v>
      </c>
      <c r="T194" s="353" t="s">
        <v>12</v>
      </c>
      <c r="U194" s="366"/>
      <c r="V194" s="141"/>
    </row>
    <row r="195" spans="2:22" ht="13.5" thickBot="1" x14ac:dyDescent="0.25">
      <c r="B195" s="364">
        <f t="shared" si="165"/>
        <v>96</v>
      </c>
      <c r="C195" s="364">
        <f t="shared" ref="C195:D196" si="193">R195+O195+L195+I195+F195</f>
        <v>28</v>
      </c>
      <c r="D195" s="364">
        <f t="shared" si="193"/>
        <v>68</v>
      </c>
      <c r="E195" s="364">
        <f t="shared" si="167"/>
        <v>50</v>
      </c>
      <c r="F195" s="364">
        <v>6</v>
      </c>
      <c r="G195" s="364">
        <v>44</v>
      </c>
      <c r="H195" s="364">
        <f t="shared" si="168"/>
        <v>3</v>
      </c>
      <c r="I195" s="364">
        <v>0</v>
      </c>
      <c r="J195" s="364">
        <v>3</v>
      </c>
      <c r="K195" s="364">
        <f t="shared" si="169"/>
        <v>43</v>
      </c>
      <c r="L195" s="364">
        <v>22</v>
      </c>
      <c r="M195" s="364">
        <v>21</v>
      </c>
      <c r="N195" s="364">
        <f t="shared" si="170"/>
        <v>0</v>
      </c>
      <c r="O195" s="364">
        <v>0</v>
      </c>
      <c r="P195" s="364">
        <v>0</v>
      </c>
      <c r="Q195" s="364">
        <f t="shared" si="171"/>
        <v>0</v>
      </c>
      <c r="R195" s="364">
        <v>0</v>
      </c>
      <c r="S195" s="364">
        <v>0</v>
      </c>
      <c r="T195" s="353" t="s">
        <v>146</v>
      </c>
      <c r="U195" s="365"/>
      <c r="V195" s="141"/>
    </row>
    <row r="196" spans="2:22" ht="13.5" thickBot="1" x14ac:dyDescent="0.25">
      <c r="B196" s="364">
        <f t="shared" si="165"/>
        <v>7</v>
      </c>
      <c r="C196" s="364">
        <f t="shared" si="193"/>
        <v>2</v>
      </c>
      <c r="D196" s="364">
        <f t="shared" si="193"/>
        <v>5</v>
      </c>
      <c r="E196" s="364">
        <f t="shared" si="167"/>
        <v>1</v>
      </c>
      <c r="F196" s="364">
        <v>0</v>
      </c>
      <c r="G196" s="364">
        <v>1</v>
      </c>
      <c r="H196" s="364">
        <f t="shared" si="168"/>
        <v>2</v>
      </c>
      <c r="I196" s="364">
        <v>0</v>
      </c>
      <c r="J196" s="364">
        <v>2</v>
      </c>
      <c r="K196" s="364">
        <f t="shared" si="169"/>
        <v>4</v>
      </c>
      <c r="L196" s="364">
        <v>2</v>
      </c>
      <c r="M196" s="364">
        <v>2</v>
      </c>
      <c r="N196" s="364">
        <f t="shared" si="170"/>
        <v>0</v>
      </c>
      <c r="O196" s="364">
        <v>0</v>
      </c>
      <c r="P196" s="364">
        <v>0</v>
      </c>
      <c r="Q196" s="364">
        <f t="shared" si="171"/>
        <v>0</v>
      </c>
      <c r="R196" s="364">
        <v>0</v>
      </c>
      <c r="S196" s="364">
        <v>0</v>
      </c>
      <c r="T196" s="353" t="s">
        <v>145</v>
      </c>
      <c r="U196" s="365" t="s">
        <v>814</v>
      </c>
      <c r="V196" s="141"/>
    </row>
    <row r="197" spans="2:22" ht="13.5" thickBot="1" x14ac:dyDescent="0.25">
      <c r="B197" s="364">
        <f t="shared" ref="B197:R197" si="194">SUM(B195:B196)</f>
        <v>103</v>
      </c>
      <c r="C197" s="364">
        <f t="shared" si="194"/>
        <v>30</v>
      </c>
      <c r="D197" s="364">
        <f t="shared" si="194"/>
        <v>73</v>
      </c>
      <c r="E197" s="364">
        <f t="shared" si="194"/>
        <v>51</v>
      </c>
      <c r="F197" s="364">
        <f t="shared" si="194"/>
        <v>6</v>
      </c>
      <c r="G197" s="364">
        <f t="shared" si="194"/>
        <v>45</v>
      </c>
      <c r="H197" s="364">
        <f t="shared" si="194"/>
        <v>5</v>
      </c>
      <c r="I197" s="364">
        <f t="shared" si="194"/>
        <v>0</v>
      </c>
      <c r="J197" s="364">
        <f t="shared" si="194"/>
        <v>5</v>
      </c>
      <c r="K197" s="364">
        <f t="shared" si="194"/>
        <v>47</v>
      </c>
      <c r="L197" s="364">
        <f t="shared" si="194"/>
        <v>24</v>
      </c>
      <c r="M197" s="364">
        <f t="shared" si="194"/>
        <v>23</v>
      </c>
      <c r="N197" s="364">
        <f t="shared" si="194"/>
        <v>0</v>
      </c>
      <c r="O197" s="364">
        <f t="shared" si="194"/>
        <v>0</v>
      </c>
      <c r="P197" s="364">
        <f t="shared" si="194"/>
        <v>0</v>
      </c>
      <c r="Q197" s="364">
        <f t="shared" si="194"/>
        <v>0</v>
      </c>
      <c r="R197" s="364">
        <f t="shared" si="194"/>
        <v>0</v>
      </c>
      <c r="S197" s="364">
        <f>SUM(S195:S196)</f>
        <v>0</v>
      </c>
      <c r="T197" s="353" t="s">
        <v>12</v>
      </c>
      <c r="U197" s="366"/>
      <c r="V197" s="141"/>
    </row>
    <row r="198" spans="2:22" ht="13.5" thickBot="1" x14ac:dyDescent="0.25">
      <c r="B198" s="364">
        <f t="shared" si="165"/>
        <v>12</v>
      </c>
      <c r="C198" s="364">
        <f t="shared" ref="C198:D199" si="195">R198+O198+L198+I198+F198</f>
        <v>12</v>
      </c>
      <c r="D198" s="364">
        <f t="shared" si="195"/>
        <v>0</v>
      </c>
      <c r="E198" s="364">
        <f t="shared" si="167"/>
        <v>3</v>
      </c>
      <c r="F198" s="364">
        <v>3</v>
      </c>
      <c r="G198" s="364">
        <v>0</v>
      </c>
      <c r="H198" s="364">
        <f t="shared" si="168"/>
        <v>0</v>
      </c>
      <c r="I198" s="364">
        <v>0</v>
      </c>
      <c r="J198" s="364">
        <v>0</v>
      </c>
      <c r="K198" s="364">
        <f t="shared" si="169"/>
        <v>9</v>
      </c>
      <c r="L198" s="364">
        <v>9</v>
      </c>
      <c r="M198" s="364">
        <v>0</v>
      </c>
      <c r="N198" s="364">
        <f t="shared" si="170"/>
        <v>0</v>
      </c>
      <c r="O198" s="364">
        <v>0</v>
      </c>
      <c r="P198" s="364">
        <v>0</v>
      </c>
      <c r="Q198" s="364">
        <f t="shared" si="171"/>
        <v>0</v>
      </c>
      <c r="R198" s="364">
        <v>0</v>
      </c>
      <c r="S198" s="369">
        <v>0</v>
      </c>
      <c r="T198" s="353" t="s">
        <v>146</v>
      </c>
      <c r="U198" s="365"/>
      <c r="V198" s="141"/>
    </row>
    <row r="199" spans="2:22" ht="13.5" thickBot="1" x14ac:dyDescent="0.25">
      <c r="B199" s="364">
        <f t="shared" si="165"/>
        <v>0</v>
      </c>
      <c r="C199" s="364">
        <f t="shared" si="195"/>
        <v>0</v>
      </c>
      <c r="D199" s="364">
        <f t="shared" si="195"/>
        <v>0</v>
      </c>
      <c r="E199" s="364">
        <f t="shared" si="167"/>
        <v>0</v>
      </c>
      <c r="F199" s="364">
        <v>0</v>
      </c>
      <c r="G199" s="364">
        <v>0</v>
      </c>
      <c r="H199" s="364">
        <f t="shared" si="168"/>
        <v>0</v>
      </c>
      <c r="I199" s="364">
        <v>0</v>
      </c>
      <c r="J199" s="364">
        <v>0</v>
      </c>
      <c r="K199" s="364">
        <f t="shared" si="169"/>
        <v>0</v>
      </c>
      <c r="L199" s="364">
        <v>0</v>
      </c>
      <c r="M199" s="364">
        <v>0</v>
      </c>
      <c r="N199" s="364">
        <f t="shared" si="170"/>
        <v>0</v>
      </c>
      <c r="O199" s="364">
        <v>0</v>
      </c>
      <c r="P199" s="364">
        <v>0</v>
      </c>
      <c r="Q199" s="364">
        <f t="shared" si="171"/>
        <v>0</v>
      </c>
      <c r="R199" s="369">
        <v>0</v>
      </c>
      <c r="S199" s="369">
        <v>0</v>
      </c>
      <c r="T199" s="353" t="s">
        <v>145</v>
      </c>
      <c r="U199" s="365" t="s">
        <v>408</v>
      </c>
      <c r="V199" s="141"/>
    </row>
    <row r="200" spans="2:22" ht="13.5" thickBot="1" x14ac:dyDescent="0.25">
      <c r="B200" s="364">
        <f t="shared" ref="B200:R200" si="196">SUM(B198:B199)</f>
        <v>12</v>
      </c>
      <c r="C200" s="364">
        <f t="shared" si="196"/>
        <v>12</v>
      </c>
      <c r="D200" s="364">
        <f t="shared" si="196"/>
        <v>0</v>
      </c>
      <c r="E200" s="364">
        <f t="shared" si="196"/>
        <v>3</v>
      </c>
      <c r="F200" s="364">
        <f t="shared" si="196"/>
        <v>3</v>
      </c>
      <c r="G200" s="364">
        <f t="shared" si="196"/>
        <v>0</v>
      </c>
      <c r="H200" s="364">
        <f t="shared" si="196"/>
        <v>0</v>
      </c>
      <c r="I200" s="364">
        <f t="shared" si="196"/>
        <v>0</v>
      </c>
      <c r="J200" s="364">
        <f t="shared" si="196"/>
        <v>0</v>
      </c>
      <c r="K200" s="364">
        <f t="shared" si="196"/>
        <v>9</v>
      </c>
      <c r="L200" s="364">
        <f t="shared" si="196"/>
        <v>9</v>
      </c>
      <c r="M200" s="364">
        <f t="shared" si="196"/>
        <v>0</v>
      </c>
      <c r="N200" s="364">
        <f t="shared" si="196"/>
        <v>0</v>
      </c>
      <c r="O200" s="364">
        <f t="shared" si="196"/>
        <v>0</v>
      </c>
      <c r="P200" s="364">
        <f t="shared" si="196"/>
        <v>0</v>
      </c>
      <c r="Q200" s="364">
        <f t="shared" si="196"/>
        <v>0</v>
      </c>
      <c r="R200" s="364">
        <f t="shared" si="196"/>
        <v>0</v>
      </c>
      <c r="S200" s="364">
        <f>SUM(S198:S199)</f>
        <v>0</v>
      </c>
      <c r="T200" s="353" t="s">
        <v>12</v>
      </c>
      <c r="U200" s="366"/>
      <c r="V200" s="141"/>
    </row>
    <row r="201" spans="2:22" ht="13.5" thickBot="1" x14ac:dyDescent="0.25">
      <c r="B201" s="364">
        <f t="shared" si="165"/>
        <v>10</v>
      </c>
      <c r="C201" s="364">
        <f t="shared" ref="C201:D202" si="197">R201+O201+L201+I201+F201</f>
        <v>5</v>
      </c>
      <c r="D201" s="364">
        <f t="shared" si="197"/>
        <v>5</v>
      </c>
      <c r="E201" s="364">
        <f t="shared" si="167"/>
        <v>5</v>
      </c>
      <c r="F201" s="364">
        <v>2</v>
      </c>
      <c r="G201" s="364">
        <v>3</v>
      </c>
      <c r="H201" s="364">
        <f t="shared" si="168"/>
        <v>0</v>
      </c>
      <c r="I201" s="364">
        <v>0</v>
      </c>
      <c r="J201" s="364">
        <v>0</v>
      </c>
      <c r="K201" s="364">
        <f t="shared" si="169"/>
        <v>5</v>
      </c>
      <c r="L201" s="364">
        <v>3</v>
      </c>
      <c r="M201" s="364">
        <v>2</v>
      </c>
      <c r="N201" s="364">
        <f t="shared" si="170"/>
        <v>0</v>
      </c>
      <c r="O201" s="364">
        <v>0</v>
      </c>
      <c r="P201" s="364">
        <v>0</v>
      </c>
      <c r="Q201" s="364">
        <f t="shared" si="171"/>
        <v>0</v>
      </c>
      <c r="R201" s="364">
        <v>0</v>
      </c>
      <c r="S201" s="364">
        <v>0</v>
      </c>
      <c r="T201" s="353" t="s">
        <v>146</v>
      </c>
      <c r="U201" s="365"/>
      <c r="V201" s="141"/>
    </row>
    <row r="202" spans="2:22" ht="13.5" thickBot="1" x14ac:dyDescent="0.25">
      <c r="B202" s="364">
        <f t="shared" si="165"/>
        <v>0</v>
      </c>
      <c r="C202" s="364">
        <f t="shared" si="197"/>
        <v>0</v>
      </c>
      <c r="D202" s="364">
        <f t="shared" si="197"/>
        <v>0</v>
      </c>
      <c r="E202" s="364">
        <f t="shared" si="167"/>
        <v>0</v>
      </c>
      <c r="F202" s="364">
        <v>0</v>
      </c>
      <c r="G202" s="364">
        <v>0</v>
      </c>
      <c r="H202" s="364">
        <f t="shared" si="168"/>
        <v>0</v>
      </c>
      <c r="I202" s="364">
        <v>0</v>
      </c>
      <c r="J202" s="364">
        <v>0</v>
      </c>
      <c r="K202" s="364">
        <f t="shared" si="169"/>
        <v>0</v>
      </c>
      <c r="L202" s="364">
        <v>0</v>
      </c>
      <c r="M202" s="364">
        <v>0</v>
      </c>
      <c r="N202" s="364">
        <f t="shared" si="170"/>
        <v>0</v>
      </c>
      <c r="O202" s="364">
        <v>0</v>
      </c>
      <c r="P202" s="364">
        <v>0</v>
      </c>
      <c r="Q202" s="364">
        <f t="shared" si="171"/>
        <v>0</v>
      </c>
      <c r="R202" s="369">
        <v>0</v>
      </c>
      <c r="S202" s="364">
        <v>0</v>
      </c>
      <c r="T202" s="353" t="s">
        <v>145</v>
      </c>
      <c r="U202" s="365" t="s">
        <v>347</v>
      </c>
      <c r="V202" s="141"/>
    </row>
    <row r="203" spans="2:22" ht="13.5" thickBot="1" x14ac:dyDescent="0.25">
      <c r="B203" s="364">
        <f t="shared" ref="B203:R203" si="198">SUM(B201:B202)</f>
        <v>10</v>
      </c>
      <c r="C203" s="364">
        <f t="shared" si="198"/>
        <v>5</v>
      </c>
      <c r="D203" s="364">
        <f t="shared" si="198"/>
        <v>5</v>
      </c>
      <c r="E203" s="364">
        <f t="shared" si="198"/>
        <v>5</v>
      </c>
      <c r="F203" s="364">
        <f t="shared" si="198"/>
        <v>2</v>
      </c>
      <c r="G203" s="364">
        <f t="shared" si="198"/>
        <v>3</v>
      </c>
      <c r="H203" s="364">
        <f t="shared" si="198"/>
        <v>0</v>
      </c>
      <c r="I203" s="364">
        <f t="shared" si="198"/>
        <v>0</v>
      </c>
      <c r="J203" s="364">
        <f t="shared" si="198"/>
        <v>0</v>
      </c>
      <c r="K203" s="364">
        <f t="shared" si="198"/>
        <v>5</v>
      </c>
      <c r="L203" s="364">
        <f t="shared" si="198"/>
        <v>3</v>
      </c>
      <c r="M203" s="364">
        <f t="shared" si="198"/>
        <v>2</v>
      </c>
      <c r="N203" s="364">
        <f t="shared" si="198"/>
        <v>0</v>
      </c>
      <c r="O203" s="364">
        <f t="shared" si="198"/>
        <v>0</v>
      </c>
      <c r="P203" s="364">
        <f t="shared" si="198"/>
        <v>0</v>
      </c>
      <c r="Q203" s="364">
        <f t="shared" si="198"/>
        <v>0</v>
      </c>
      <c r="R203" s="364">
        <f t="shared" si="198"/>
        <v>0</v>
      </c>
      <c r="S203" s="364">
        <f>SUM(S201:S202)</f>
        <v>0</v>
      </c>
      <c r="T203" s="353" t="s">
        <v>12</v>
      </c>
      <c r="U203" s="366"/>
      <c r="V203" s="141"/>
    </row>
    <row r="204" spans="2:22" ht="13.5" thickBot="1" x14ac:dyDescent="0.25">
      <c r="B204" s="364">
        <f t="shared" si="165"/>
        <v>8</v>
      </c>
      <c r="C204" s="364">
        <f t="shared" ref="C204:D205" si="199">R204+O204+L204+I204+F204</f>
        <v>0</v>
      </c>
      <c r="D204" s="364">
        <f t="shared" si="199"/>
        <v>8</v>
      </c>
      <c r="E204" s="364">
        <f t="shared" si="167"/>
        <v>1</v>
      </c>
      <c r="F204" s="364">
        <v>0</v>
      </c>
      <c r="G204" s="364">
        <v>1</v>
      </c>
      <c r="H204" s="364">
        <f t="shared" si="168"/>
        <v>2</v>
      </c>
      <c r="I204" s="364">
        <v>0</v>
      </c>
      <c r="J204" s="364">
        <v>2</v>
      </c>
      <c r="K204" s="364">
        <f t="shared" si="169"/>
        <v>5</v>
      </c>
      <c r="L204" s="364">
        <v>0</v>
      </c>
      <c r="M204" s="364">
        <v>5</v>
      </c>
      <c r="N204" s="364">
        <f t="shared" si="170"/>
        <v>0</v>
      </c>
      <c r="O204" s="364">
        <v>0</v>
      </c>
      <c r="P204" s="364">
        <v>0</v>
      </c>
      <c r="Q204" s="364">
        <f t="shared" si="171"/>
        <v>0</v>
      </c>
      <c r="R204" s="369">
        <v>0</v>
      </c>
      <c r="S204" s="364">
        <v>0</v>
      </c>
      <c r="T204" s="353" t="s">
        <v>146</v>
      </c>
      <c r="U204" s="365"/>
      <c r="V204" s="141"/>
    </row>
    <row r="205" spans="2:22" ht="13.5" thickBot="1" x14ac:dyDescent="0.25">
      <c r="B205" s="364">
        <f t="shared" si="165"/>
        <v>2</v>
      </c>
      <c r="C205" s="364">
        <f t="shared" si="199"/>
        <v>1</v>
      </c>
      <c r="D205" s="364">
        <f t="shared" si="199"/>
        <v>1</v>
      </c>
      <c r="E205" s="364">
        <f t="shared" si="167"/>
        <v>0</v>
      </c>
      <c r="F205" s="364">
        <v>0</v>
      </c>
      <c r="G205" s="364">
        <v>0</v>
      </c>
      <c r="H205" s="364">
        <f t="shared" si="168"/>
        <v>0</v>
      </c>
      <c r="I205" s="364">
        <v>0</v>
      </c>
      <c r="J205" s="364">
        <v>0</v>
      </c>
      <c r="K205" s="364">
        <f t="shared" si="169"/>
        <v>2</v>
      </c>
      <c r="L205" s="364">
        <v>1</v>
      </c>
      <c r="M205" s="364">
        <v>1</v>
      </c>
      <c r="N205" s="364">
        <f t="shared" si="170"/>
        <v>0</v>
      </c>
      <c r="O205" s="364">
        <v>0</v>
      </c>
      <c r="P205" s="364">
        <v>0</v>
      </c>
      <c r="Q205" s="364">
        <f t="shared" si="171"/>
        <v>0</v>
      </c>
      <c r="R205" s="364">
        <v>0</v>
      </c>
      <c r="S205" s="364">
        <v>0</v>
      </c>
      <c r="T205" s="353" t="s">
        <v>145</v>
      </c>
      <c r="U205" s="365" t="s">
        <v>348</v>
      </c>
      <c r="V205" s="141"/>
    </row>
    <row r="206" spans="2:22" ht="13.5" thickBot="1" x14ac:dyDescent="0.25">
      <c r="B206" s="364">
        <f t="shared" ref="B206:R206" si="200">SUM(B204:B205)</f>
        <v>10</v>
      </c>
      <c r="C206" s="364">
        <f t="shared" si="200"/>
        <v>1</v>
      </c>
      <c r="D206" s="364">
        <f t="shared" si="200"/>
        <v>9</v>
      </c>
      <c r="E206" s="364">
        <f t="shared" si="200"/>
        <v>1</v>
      </c>
      <c r="F206" s="364">
        <f t="shared" si="200"/>
        <v>0</v>
      </c>
      <c r="G206" s="364">
        <f t="shared" si="200"/>
        <v>1</v>
      </c>
      <c r="H206" s="364">
        <f t="shared" si="200"/>
        <v>2</v>
      </c>
      <c r="I206" s="364">
        <f t="shared" si="200"/>
        <v>0</v>
      </c>
      <c r="J206" s="364">
        <f t="shared" si="200"/>
        <v>2</v>
      </c>
      <c r="K206" s="364">
        <f t="shared" si="200"/>
        <v>7</v>
      </c>
      <c r="L206" s="364">
        <f t="shared" si="200"/>
        <v>1</v>
      </c>
      <c r="M206" s="364">
        <f t="shared" si="200"/>
        <v>6</v>
      </c>
      <c r="N206" s="364">
        <f t="shared" si="200"/>
        <v>0</v>
      </c>
      <c r="O206" s="364">
        <f t="shared" si="200"/>
        <v>0</v>
      </c>
      <c r="P206" s="364">
        <f t="shared" si="200"/>
        <v>0</v>
      </c>
      <c r="Q206" s="364">
        <f t="shared" si="200"/>
        <v>0</v>
      </c>
      <c r="R206" s="364">
        <f t="shared" si="200"/>
        <v>0</v>
      </c>
      <c r="S206" s="364">
        <f>SUM(S204:S205)</f>
        <v>0</v>
      </c>
      <c r="T206" s="353" t="s">
        <v>12</v>
      </c>
      <c r="U206" s="366"/>
      <c r="V206" s="141"/>
    </row>
    <row r="207" spans="2:22" ht="13.5" thickBot="1" x14ac:dyDescent="0.25">
      <c r="B207" s="364">
        <f t="shared" si="165"/>
        <v>24</v>
      </c>
      <c r="C207" s="364">
        <f t="shared" ref="C207:D208" si="201">R207+O207+L207+I207+F207</f>
        <v>0</v>
      </c>
      <c r="D207" s="364">
        <f t="shared" si="201"/>
        <v>24</v>
      </c>
      <c r="E207" s="364">
        <f t="shared" si="167"/>
        <v>7</v>
      </c>
      <c r="F207" s="364">
        <v>0</v>
      </c>
      <c r="G207" s="364">
        <v>7</v>
      </c>
      <c r="H207" s="364">
        <f t="shared" si="168"/>
        <v>6</v>
      </c>
      <c r="I207" s="364">
        <v>0</v>
      </c>
      <c r="J207" s="364">
        <v>6</v>
      </c>
      <c r="K207" s="364">
        <f t="shared" si="169"/>
        <v>11</v>
      </c>
      <c r="L207" s="364">
        <v>0</v>
      </c>
      <c r="M207" s="364">
        <v>11</v>
      </c>
      <c r="N207" s="364">
        <f t="shared" si="170"/>
        <v>0</v>
      </c>
      <c r="O207" s="364">
        <v>0</v>
      </c>
      <c r="P207" s="364">
        <v>0</v>
      </c>
      <c r="Q207" s="364">
        <f t="shared" si="171"/>
        <v>0</v>
      </c>
      <c r="R207" s="369">
        <v>0</v>
      </c>
      <c r="S207" s="364">
        <v>0</v>
      </c>
      <c r="T207" s="353" t="s">
        <v>146</v>
      </c>
      <c r="U207" s="365"/>
      <c r="V207" s="141"/>
    </row>
    <row r="208" spans="2:22" ht="13.5" thickBot="1" x14ac:dyDescent="0.25">
      <c r="B208" s="364">
        <f t="shared" si="165"/>
        <v>0</v>
      </c>
      <c r="C208" s="364">
        <f t="shared" si="201"/>
        <v>0</v>
      </c>
      <c r="D208" s="364">
        <f t="shared" si="201"/>
        <v>0</v>
      </c>
      <c r="E208" s="364">
        <f t="shared" si="167"/>
        <v>0</v>
      </c>
      <c r="F208" s="364">
        <v>0</v>
      </c>
      <c r="G208" s="364">
        <v>0</v>
      </c>
      <c r="H208" s="364">
        <f t="shared" si="168"/>
        <v>0</v>
      </c>
      <c r="I208" s="364">
        <v>0</v>
      </c>
      <c r="J208" s="364">
        <v>0</v>
      </c>
      <c r="K208" s="364">
        <f t="shared" si="169"/>
        <v>0</v>
      </c>
      <c r="L208" s="364">
        <v>0</v>
      </c>
      <c r="M208" s="364">
        <v>0</v>
      </c>
      <c r="N208" s="364">
        <f t="shared" si="170"/>
        <v>0</v>
      </c>
      <c r="O208" s="364">
        <v>0</v>
      </c>
      <c r="P208" s="364">
        <v>0</v>
      </c>
      <c r="Q208" s="364">
        <f t="shared" si="171"/>
        <v>0</v>
      </c>
      <c r="R208" s="369">
        <v>0</v>
      </c>
      <c r="S208" s="369">
        <v>0</v>
      </c>
      <c r="T208" s="353" t="s">
        <v>145</v>
      </c>
      <c r="U208" s="365" t="s">
        <v>88</v>
      </c>
      <c r="V208" s="141"/>
    </row>
    <row r="209" spans="2:22" ht="13.5" thickBot="1" x14ac:dyDescent="0.25">
      <c r="B209" s="364">
        <f t="shared" ref="B209:R209" si="202">SUM(B207:B208)</f>
        <v>24</v>
      </c>
      <c r="C209" s="364">
        <f t="shared" si="202"/>
        <v>0</v>
      </c>
      <c r="D209" s="364">
        <f t="shared" si="202"/>
        <v>24</v>
      </c>
      <c r="E209" s="364">
        <f t="shared" si="202"/>
        <v>7</v>
      </c>
      <c r="F209" s="364">
        <f t="shared" si="202"/>
        <v>0</v>
      </c>
      <c r="G209" s="364">
        <f t="shared" si="202"/>
        <v>7</v>
      </c>
      <c r="H209" s="364">
        <f t="shared" si="202"/>
        <v>6</v>
      </c>
      <c r="I209" s="364">
        <f t="shared" si="202"/>
        <v>0</v>
      </c>
      <c r="J209" s="364">
        <f t="shared" si="202"/>
        <v>6</v>
      </c>
      <c r="K209" s="364">
        <f t="shared" si="202"/>
        <v>11</v>
      </c>
      <c r="L209" s="364">
        <f t="shared" si="202"/>
        <v>0</v>
      </c>
      <c r="M209" s="364">
        <f t="shared" si="202"/>
        <v>11</v>
      </c>
      <c r="N209" s="364">
        <f t="shared" si="202"/>
        <v>0</v>
      </c>
      <c r="O209" s="364">
        <f t="shared" si="202"/>
        <v>0</v>
      </c>
      <c r="P209" s="364">
        <f t="shared" si="202"/>
        <v>0</v>
      </c>
      <c r="Q209" s="364">
        <f t="shared" si="202"/>
        <v>0</v>
      </c>
      <c r="R209" s="364">
        <f t="shared" si="202"/>
        <v>0</v>
      </c>
      <c r="S209" s="364">
        <f>SUM(S207:S208)</f>
        <v>0</v>
      </c>
      <c r="T209" s="353" t="s">
        <v>12</v>
      </c>
      <c r="U209" s="366"/>
      <c r="V209" s="141"/>
    </row>
    <row r="210" spans="2:22" ht="13.5" thickBot="1" x14ac:dyDescent="0.25">
      <c r="B210" s="364">
        <f t="shared" si="165"/>
        <v>24</v>
      </c>
      <c r="C210" s="364">
        <f t="shared" ref="C210:D211" si="203">R210+O210+L210+I210+F210</f>
        <v>3</v>
      </c>
      <c r="D210" s="364">
        <f t="shared" si="203"/>
        <v>21</v>
      </c>
      <c r="E210" s="364">
        <f t="shared" si="167"/>
        <v>3</v>
      </c>
      <c r="F210" s="364">
        <v>0</v>
      </c>
      <c r="G210" s="364">
        <v>3</v>
      </c>
      <c r="H210" s="364">
        <f t="shared" si="168"/>
        <v>3</v>
      </c>
      <c r="I210" s="364">
        <v>0</v>
      </c>
      <c r="J210" s="364">
        <v>3</v>
      </c>
      <c r="K210" s="364">
        <f t="shared" si="169"/>
        <v>16</v>
      </c>
      <c r="L210" s="364">
        <v>3</v>
      </c>
      <c r="M210" s="364">
        <v>13</v>
      </c>
      <c r="N210" s="364">
        <f t="shared" si="170"/>
        <v>2</v>
      </c>
      <c r="O210" s="364">
        <v>0</v>
      </c>
      <c r="P210" s="364">
        <v>2</v>
      </c>
      <c r="Q210" s="364">
        <f t="shared" si="171"/>
        <v>0</v>
      </c>
      <c r="R210" s="364">
        <v>0</v>
      </c>
      <c r="S210" s="364">
        <v>0</v>
      </c>
      <c r="T210" s="353" t="s">
        <v>146</v>
      </c>
      <c r="U210" s="365"/>
      <c r="V210" s="141"/>
    </row>
    <row r="211" spans="2:22" ht="13.5" thickBot="1" x14ac:dyDescent="0.25">
      <c r="B211" s="364">
        <f t="shared" si="165"/>
        <v>0</v>
      </c>
      <c r="C211" s="364">
        <f t="shared" si="203"/>
        <v>0</v>
      </c>
      <c r="D211" s="364">
        <f t="shared" si="203"/>
        <v>0</v>
      </c>
      <c r="E211" s="364">
        <f t="shared" si="167"/>
        <v>0</v>
      </c>
      <c r="F211" s="364">
        <v>0</v>
      </c>
      <c r="G211" s="364">
        <v>0</v>
      </c>
      <c r="H211" s="364">
        <f t="shared" si="168"/>
        <v>0</v>
      </c>
      <c r="I211" s="364">
        <v>0</v>
      </c>
      <c r="J211" s="364">
        <v>0</v>
      </c>
      <c r="K211" s="364">
        <f t="shared" si="169"/>
        <v>0</v>
      </c>
      <c r="L211" s="364">
        <v>0</v>
      </c>
      <c r="M211" s="364">
        <v>0</v>
      </c>
      <c r="N211" s="364">
        <f t="shared" si="170"/>
        <v>0</v>
      </c>
      <c r="O211" s="364">
        <v>0</v>
      </c>
      <c r="P211" s="364">
        <v>0</v>
      </c>
      <c r="Q211" s="364">
        <f t="shared" si="171"/>
        <v>0</v>
      </c>
      <c r="R211" s="369">
        <v>0</v>
      </c>
      <c r="S211" s="369">
        <v>0</v>
      </c>
      <c r="T211" s="353" t="s">
        <v>145</v>
      </c>
      <c r="U211" s="365" t="s">
        <v>587</v>
      </c>
      <c r="V211" s="141"/>
    </row>
    <row r="212" spans="2:22" ht="13.5" thickBot="1" x14ac:dyDescent="0.25">
      <c r="B212" s="364">
        <f t="shared" ref="B212:R212" si="204">SUM(B210:B211)</f>
        <v>24</v>
      </c>
      <c r="C212" s="364">
        <f t="shared" si="204"/>
        <v>3</v>
      </c>
      <c r="D212" s="364">
        <f t="shared" si="204"/>
        <v>21</v>
      </c>
      <c r="E212" s="364">
        <f t="shared" si="204"/>
        <v>3</v>
      </c>
      <c r="F212" s="364">
        <f t="shared" si="204"/>
        <v>0</v>
      </c>
      <c r="G212" s="364">
        <f t="shared" si="204"/>
        <v>3</v>
      </c>
      <c r="H212" s="364">
        <f t="shared" si="204"/>
        <v>3</v>
      </c>
      <c r="I212" s="364">
        <f t="shared" si="204"/>
        <v>0</v>
      </c>
      <c r="J212" s="364">
        <f t="shared" si="204"/>
        <v>3</v>
      </c>
      <c r="K212" s="364">
        <f t="shared" si="204"/>
        <v>16</v>
      </c>
      <c r="L212" s="364">
        <f t="shared" si="204"/>
        <v>3</v>
      </c>
      <c r="M212" s="364">
        <f t="shared" si="204"/>
        <v>13</v>
      </c>
      <c r="N212" s="364">
        <f t="shared" si="204"/>
        <v>2</v>
      </c>
      <c r="O212" s="364">
        <f t="shared" si="204"/>
        <v>0</v>
      </c>
      <c r="P212" s="364">
        <f t="shared" si="204"/>
        <v>2</v>
      </c>
      <c r="Q212" s="364">
        <f t="shared" si="204"/>
        <v>0</v>
      </c>
      <c r="R212" s="364">
        <f t="shared" si="204"/>
        <v>0</v>
      </c>
      <c r="S212" s="364">
        <f>SUM(S210:S211)</f>
        <v>0</v>
      </c>
      <c r="T212" s="353" t="s">
        <v>12</v>
      </c>
      <c r="U212" s="366"/>
      <c r="V212" s="141"/>
    </row>
    <row r="213" spans="2:22" ht="13.5" thickBot="1" x14ac:dyDescent="0.25">
      <c r="B213" s="364">
        <f t="shared" si="165"/>
        <v>23</v>
      </c>
      <c r="C213" s="364">
        <f t="shared" ref="C213:D214" si="205">R213+O213+L213+I213+F213</f>
        <v>23</v>
      </c>
      <c r="D213" s="364">
        <f t="shared" si="205"/>
        <v>0</v>
      </c>
      <c r="E213" s="364">
        <f t="shared" si="167"/>
        <v>11</v>
      </c>
      <c r="F213" s="364">
        <v>11</v>
      </c>
      <c r="G213" s="364">
        <v>0</v>
      </c>
      <c r="H213" s="364">
        <f t="shared" si="168"/>
        <v>0</v>
      </c>
      <c r="I213" s="364">
        <v>0</v>
      </c>
      <c r="J213" s="364">
        <v>0</v>
      </c>
      <c r="K213" s="364">
        <f t="shared" si="169"/>
        <v>12</v>
      </c>
      <c r="L213" s="364">
        <v>12</v>
      </c>
      <c r="M213" s="364">
        <v>0</v>
      </c>
      <c r="N213" s="364">
        <f t="shared" si="170"/>
        <v>0</v>
      </c>
      <c r="O213" s="364">
        <v>0</v>
      </c>
      <c r="P213" s="364">
        <v>0</v>
      </c>
      <c r="Q213" s="364">
        <f t="shared" si="171"/>
        <v>0</v>
      </c>
      <c r="R213" s="364">
        <v>0</v>
      </c>
      <c r="S213" s="369">
        <v>0</v>
      </c>
      <c r="T213" s="353" t="s">
        <v>146</v>
      </c>
      <c r="U213" s="365"/>
      <c r="V213" s="141"/>
    </row>
    <row r="214" spans="2:22" ht="13.5" thickBot="1" x14ac:dyDescent="0.25">
      <c r="B214" s="364">
        <f t="shared" si="165"/>
        <v>0</v>
      </c>
      <c r="C214" s="364">
        <f t="shared" si="205"/>
        <v>0</v>
      </c>
      <c r="D214" s="364">
        <f t="shared" si="205"/>
        <v>0</v>
      </c>
      <c r="E214" s="364">
        <f t="shared" si="167"/>
        <v>0</v>
      </c>
      <c r="F214" s="364">
        <v>0</v>
      </c>
      <c r="G214" s="364">
        <v>0</v>
      </c>
      <c r="H214" s="364">
        <f t="shared" si="168"/>
        <v>0</v>
      </c>
      <c r="I214" s="364">
        <v>0</v>
      </c>
      <c r="J214" s="364">
        <v>0</v>
      </c>
      <c r="K214" s="364">
        <f t="shared" si="169"/>
        <v>0</v>
      </c>
      <c r="L214" s="364">
        <v>0</v>
      </c>
      <c r="M214" s="364">
        <v>0</v>
      </c>
      <c r="N214" s="364">
        <f t="shared" si="170"/>
        <v>0</v>
      </c>
      <c r="O214" s="364">
        <v>0</v>
      </c>
      <c r="P214" s="364">
        <v>0</v>
      </c>
      <c r="Q214" s="364">
        <f t="shared" si="171"/>
        <v>0</v>
      </c>
      <c r="R214" s="369">
        <v>0</v>
      </c>
      <c r="S214" s="369">
        <v>0</v>
      </c>
      <c r="T214" s="353" t="s">
        <v>145</v>
      </c>
      <c r="U214" s="365" t="s">
        <v>676</v>
      </c>
      <c r="V214" s="141"/>
    </row>
    <row r="215" spans="2:22" ht="13.5" thickBot="1" x14ac:dyDescent="0.25">
      <c r="B215" s="364">
        <f t="shared" ref="B215:R215" si="206">SUM(B213:B214)</f>
        <v>23</v>
      </c>
      <c r="C215" s="364">
        <f t="shared" si="206"/>
        <v>23</v>
      </c>
      <c r="D215" s="364">
        <f t="shared" si="206"/>
        <v>0</v>
      </c>
      <c r="E215" s="364">
        <f t="shared" si="206"/>
        <v>11</v>
      </c>
      <c r="F215" s="364">
        <f t="shared" si="206"/>
        <v>11</v>
      </c>
      <c r="G215" s="364">
        <f t="shared" si="206"/>
        <v>0</v>
      </c>
      <c r="H215" s="364">
        <f t="shared" si="206"/>
        <v>0</v>
      </c>
      <c r="I215" s="364">
        <f t="shared" si="206"/>
        <v>0</v>
      </c>
      <c r="J215" s="364">
        <f t="shared" si="206"/>
        <v>0</v>
      </c>
      <c r="K215" s="364">
        <f t="shared" si="206"/>
        <v>12</v>
      </c>
      <c r="L215" s="364">
        <f t="shared" si="206"/>
        <v>12</v>
      </c>
      <c r="M215" s="364">
        <f t="shared" si="206"/>
        <v>0</v>
      </c>
      <c r="N215" s="364">
        <f t="shared" si="206"/>
        <v>0</v>
      </c>
      <c r="O215" s="364">
        <f t="shared" si="206"/>
        <v>0</v>
      </c>
      <c r="P215" s="364">
        <f t="shared" si="206"/>
        <v>0</v>
      </c>
      <c r="Q215" s="364">
        <f t="shared" si="206"/>
        <v>0</v>
      </c>
      <c r="R215" s="364">
        <f t="shared" si="206"/>
        <v>0</v>
      </c>
      <c r="S215" s="364">
        <f>SUM(S213:S214)</f>
        <v>0</v>
      </c>
      <c r="T215" s="353" t="s">
        <v>12</v>
      </c>
      <c r="U215" s="366"/>
      <c r="V215" s="141"/>
    </row>
    <row r="216" spans="2:22" ht="13.5" thickBot="1" x14ac:dyDescent="0.25">
      <c r="B216" s="364">
        <f t="shared" si="165"/>
        <v>85</v>
      </c>
      <c r="C216" s="364">
        <f t="shared" ref="C216:D217" si="207">R216+O216+L216+I216+F216</f>
        <v>85</v>
      </c>
      <c r="D216" s="364">
        <f t="shared" si="207"/>
        <v>0</v>
      </c>
      <c r="E216" s="364">
        <f t="shared" si="167"/>
        <v>26</v>
      </c>
      <c r="F216" s="364">
        <v>26</v>
      </c>
      <c r="G216" s="364">
        <v>0</v>
      </c>
      <c r="H216" s="364">
        <f t="shared" si="168"/>
        <v>0</v>
      </c>
      <c r="I216" s="364">
        <v>0</v>
      </c>
      <c r="J216" s="364">
        <v>0</v>
      </c>
      <c r="K216" s="364">
        <f t="shared" si="169"/>
        <v>57</v>
      </c>
      <c r="L216" s="364">
        <v>57</v>
      </c>
      <c r="M216" s="364">
        <v>0</v>
      </c>
      <c r="N216" s="364">
        <f t="shared" si="170"/>
        <v>2</v>
      </c>
      <c r="O216" s="364">
        <v>2</v>
      </c>
      <c r="P216" s="364">
        <v>0</v>
      </c>
      <c r="Q216" s="364">
        <f t="shared" si="171"/>
        <v>0</v>
      </c>
      <c r="R216" s="364">
        <v>0</v>
      </c>
      <c r="S216" s="369">
        <v>0</v>
      </c>
      <c r="T216" s="353" t="s">
        <v>146</v>
      </c>
      <c r="U216" s="365"/>
      <c r="V216" s="141"/>
    </row>
    <row r="217" spans="2:22" ht="13.5" thickBot="1" x14ac:dyDescent="0.25">
      <c r="B217" s="364">
        <f t="shared" si="165"/>
        <v>0</v>
      </c>
      <c r="C217" s="364">
        <f t="shared" si="207"/>
        <v>0</v>
      </c>
      <c r="D217" s="364">
        <f t="shared" si="207"/>
        <v>0</v>
      </c>
      <c r="E217" s="364">
        <f t="shared" si="167"/>
        <v>0</v>
      </c>
      <c r="F217" s="364">
        <v>0</v>
      </c>
      <c r="G217" s="364">
        <v>0</v>
      </c>
      <c r="H217" s="364">
        <f t="shared" si="168"/>
        <v>0</v>
      </c>
      <c r="I217" s="364">
        <v>0</v>
      </c>
      <c r="J217" s="364">
        <v>0</v>
      </c>
      <c r="K217" s="364">
        <f t="shared" si="169"/>
        <v>0</v>
      </c>
      <c r="L217" s="364">
        <v>0</v>
      </c>
      <c r="M217" s="364">
        <v>0</v>
      </c>
      <c r="N217" s="364">
        <f t="shared" si="170"/>
        <v>0</v>
      </c>
      <c r="O217" s="364">
        <v>0</v>
      </c>
      <c r="P217" s="364">
        <v>0</v>
      </c>
      <c r="Q217" s="364">
        <f t="shared" si="171"/>
        <v>0</v>
      </c>
      <c r="R217" s="369">
        <v>0</v>
      </c>
      <c r="S217" s="369">
        <v>0</v>
      </c>
      <c r="T217" s="353" t="s">
        <v>145</v>
      </c>
      <c r="U217" s="365" t="s">
        <v>841</v>
      </c>
      <c r="V217" s="141"/>
    </row>
    <row r="218" spans="2:22" ht="13.5" thickBot="1" x14ac:dyDescent="0.25">
      <c r="B218" s="364">
        <f t="shared" ref="B218:R218" si="208">SUM(B216:B217)</f>
        <v>85</v>
      </c>
      <c r="C218" s="364">
        <f t="shared" si="208"/>
        <v>85</v>
      </c>
      <c r="D218" s="364">
        <f t="shared" si="208"/>
        <v>0</v>
      </c>
      <c r="E218" s="364">
        <f t="shared" si="208"/>
        <v>26</v>
      </c>
      <c r="F218" s="364">
        <f t="shared" si="208"/>
        <v>26</v>
      </c>
      <c r="G218" s="364">
        <f t="shared" si="208"/>
        <v>0</v>
      </c>
      <c r="H218" s="364">
        <f t="shared" si="208"/>
        <v>0</v>
      </c>
      <c r="I218" s="364">
        <f t="shared" si="208"/>
        <v>0</v>
      </c>
      <c r="J218" s="364">
        <f t="shared" si="208"/>
        <v>0</v>
      </c>
      <c r="K218" s="364">
        <f t="shared" si="208"/>
        <v>57</v>
      </c>
      <c r="L218" s="364">
        <f t="shared" si="208"/>
        <v>57</v>
      </c>
      <c r="M218" s="364">
        <f t="shared" si="208"/>
        <v>0</v>
      </c>
      <c r="N218" s="364">
        <f t="shared" si="208"/>
        <v>2</v>
      </c>
      <c r="O218" s="364">
        <f t="shared" si="208"/>
        <v>2</v>
      </c>
      <c r="P218" s="364">
        <f t="shared" si="208"/>
        <v>0</v>
      </c>
      <c r="Q218" s="364">
        <f t="shared" si="208"/>
        <v>0</v>
      </c>
      <c r="R218" s="364">
        <f t="shared" si="208"/>
        <v>0</v>
      </c>
      <c r="S218" s="364">
        <f>SUM(S216:S217)</f>
        <v>0</v>
      </c>
      <c r="T218" s="353" t="s">
        <v>12</v>
      </c>
      <c r="U218" s="366"/>
      <c r="V218" s="141"/>
    </row>
    <row r="219" spans="2:22" ht="13.5" thickBot="1" x14ac:dyDescent="0.25">
      <c r="B219" s="364">
        <f t="shared" si="165"/>
        <v>17</v>
      </c>
      <c r="C219" s="364">
        <f t="shared" ref="C219:D220" si="209">R219+O219+L219+I219+F219</f>
        <v>17</v>
      </c>
      <c r="D219" s="364">
        <f t="shared" si="209"/>
        <v>0</v>
      </c>
      <c r="E219" s="364">
        <f t="shared" si="167"/>
        <v>7</v>
      </c>
      <c r="F219" s="364">
        <v>7</v>
      </c>
      <c r="G219" s="364">
        <v>0</v>
      </c>
      <c r="H219" s="364">
        <f t="shared" si="168"/>
        <v>0</v>
      </c>
      <c r="I219" s="364">
        <v>0</v>
      </c>
      <c r="J219" s="364">
        <v>0</v>
      </c>
      <c r="K219" s="364">
        <f t="shared" si="169"/>
        <v>8</v>
      </c>
      <c r="L219" s="364">
        <v>8</v>
      </c>
      <c r="M219" s="364">
        <v>0</v>
      </c>
      <c r="N219" s="364">
        <f t="shared" si="170"/>
        <v>2</v>
      </c>
      <c r="O219" s="364">
        <v>2</v>
      </c>
      <c r="P219" s="364">
        <v>0</v>
      </c>
      <c r="Q219" s="364">
        <f t="shared" si="171"/>
        <v>0</v>
      </c>
      <c r="R219" s="364">
        <v>0</v>
      </c>
      <c r="S219" s="369">
        <v>0</v>
      </c>
      <c r="T219" s="353" t="s">
        <v>146</v>
      </c>
      <c r="U219" s="365"/>
      <c r="V219" s="141"/>
    </row>
    <row r="220" spans="2:22" ht="13.5" thickBot="1" x14ac:dyDescent="0.25">
      <c r="B220" s="364">
        <f t="shared" si="165"/>
        <v>0</v>
      </c>
      <c r="C220" s="364">
        <f t="shared" si="209"/>
        <v>0</v>
      </c>
      <c r="D220" s="364">
        <f t="shared" si="209"/>
        <v>0</v>
      </c>
      <c r="E220" s="364">
        <f t="shared" si="167"/>
        <v>0</v>
      </c>
      <c r="F220" s="364">
        <v>0</v>
      </c>
      <c r="G220" s="364">
        <v>0</v>
      </c>
      <c r="H220" s="364">
        <f t="shared" si="168"/>
        <v>0</v>
      </c>
      <c r="I220" s="364">
        <v>0</v>
      </c>
      <c r="J220" s="364">
        <v>0</v>
      </c>
      <c r="K220" s="364">
        <f t="shared" si="169"/>
        <v>0</v>
      </c>
      <c r="L220" s="364">
        <v>0</v>
      </c>
      <c r="M220" s="364">
        <v>0</v>
      </c>
      <c r="N220" s="364">
        <f t="shared" si="170"/>
        <v>0</v>
      </c>
      <c r="O220" s="364">
        <v>0</v>
      </c>
      <c r="P220" s="364">
        <v>0</v>
      </c>
      <c r="Q220" s="364">
        <f t="shared" si="171"/>
        <v>0</v>
      </c>
      <c r="R220" s="369">
        <v>0</v>
      </c>
      <c r="S220" s="369">
        <v>0</v>
      </c>
      <c r="T220" s="353" t="s">
        <v>145</v>
      </c>
      <c r="U220" s="365" t="s">
        <v>762</v>
      </c>
      <c r="V220" s="141"/>
    </row>
    <row r="221" spans="2:22" ht="13.5" thickBot="1" x14ac:dyDescent="0.25">
      <c r="B221" s="364">
        <f t="shared" ref="B221:R221" si="210">SUM(B219:B220)</f>
        <v>17</v>
      </c>
      <c r="C221" s="364">
        <f t="shared" si="210"/>
        <v>17</v>
      </c>
      <c r="D221" s="364">
        <f t="shared" si="210"/>
        <v>0</v>
      </c>
      <c r="E221" s="364">
        <f t="shared" si="210"/>
        <v>7</v>
      </c>
      <c r="F221" s="364">
        <f t="shared" si="210"/>
        <v>7</v>
      </c>
      <c r="G221" s="364">
        <f t="shared" si="210"/>
        <v>0</v>
      </c>
      <c r="H221" s="364">
        <f t="shared" si="210"/>
        <v>0</v>
      </c>
      <c r="I221" s="364">
        <f t="shared" si="210"/>
        <v>0</v>
      </c>
      <c r="J221" s="364">
        <f t="shared" si="210"/>
        <v>0</v>
      </c>
      <c r="K221" s="364">
        <f t="shared" si="210"/>
        <v>8</v>
      </c>
      <c r="L221" s="364">
        <f t="shared" si="210"/>
        <v>8</v>
      </c>
      <c r="M221" s="364">
        <f t="shared" si="210"/>
        <v>0</v>
      </c>
      <c r="N221" s="364">
        <f t="shared" si="210"/>
        <v>2</v>
      </c>
      <c r="O221" s="364">
        <f t="shared" si="210"/>
        <v>2</v>
      </c>
      <c r="P221" s="364">
        <f t="shared" si="210"/>
        <v>0</v>
      </c>
      <c r="Q221" s="364">
        <f t="shared" si="210"/>
        <v>0</v>
      </c>
      <c r="R221" s="364">
        <f t="shared" si="210"/>
        <v>0</v>
      </c>
      <c r="S221" s="364">
        <f>SUM(S219:S220)</f>
        <v>0</v>
      </c>
      <c r="T221" s="353" t="s">
        <v>12</v>
      </c>
      <c r="U221" s="366"/>
      <c r="V221" s="141"/>
    </row>
    <row r="222" spans="2:22" ht="13.5" thickBot="1" x14ac:dyDescent="0.25">
      <c r="B222" s="364">
        <f t="shared" si="165"/>
        <v>47</v>
      </c>
      <c r="C222" s="364">
        <f t="shared" ref="C222:D223" si="211">R222+O222+L222+I222+F222</f>
        <v>47</v>
      </c>
      <c r="D222" s="364">
        <f t="shared" si="211"/>
        <v>0</v>
      </c>
      <c r="E222" s="364">
        <f t="shared" si="167"/>
        <v>17</v>
      </c>
      <c r="F222" s="364">
        <v>17</v>
      </c>
      <c r="G222" s="364">
        <v>0</v>
      </c>
      <c r="H222" s="364">
        <f t="shared" si="168"/>
        <v>0</v>
      </c>
      <c r="I222" s="364">
        <v>0</v>
      </c>
      <c r="J222" s="364">
        <v>0</v>
      </c>
      <c r="K222" s="364">
        <f t="shared" si="169"/>
        <v>30</v>
      </c>
      <c r="L222" s="364">
        <v>30</v>
      </c>
      <c r="M222" s="364">
        <v>0</v>
      </c>
      <c r="N222" s="364">
        <f t="shared" si="170"/>
        <v>0</v>
      </c>
      <c r="O222" s="364">
        <v>0</v>
      </c>
      <c r="P222" s="364">
        <v>0</v>
      </c>
      <c r="Q222" s="364">
        <f t="shared" si="171"/>
        <v>0</v>
      </c>
      <c r="R222" s="364">
        <v>0</v>
      </c>
      <c r="S222" s="369">
        <v>0</v>
      </c>
      <c r="T222" s="353" t="s">
        <v>146</v>
      </c>
      <c r="U222" s="365"/>
      <c r="V222" s="141"/>
    </row>
    <row r="223" spans="2:22" ht="13.5" thickBot="1" x14ac:dyDescent="0.25">
      <c r="B223" s="364">
        <f t="shared" si="165"/>
        <v>0</v>
      </c>
      <c r="C223" s="364">
        <f t="shared" si="211"/>
        <v>0</v>
      </c>
      <c r="D223" s="364">
        <f t="shared" si="211"/>
        <v>0</v>
      </c>
      <c r="E223" s="364">
        <f t="shared" si="167"/>
        <v>0</v>
      </c>
      <c r="F223" s="364">
        <v>0</v>
      </c>
      <c r="G223" s="364">
        <v>0</v>
      </c>
      <c r="H223" s="364">
        <f t="shared" si="168"/>
        <v>0</v>
      </c>
      <c r="I223" s="364">
        <v>0</v>
      </c>
      <c r="J223" s="364">
        <v>0</v>
      </c>
      <c r="K223" s="364">
        <f t="shared" si="169"/>
        <v>0</v>
      </c>
      <c r="L223" s="364">
        <v>0</v>
      </c>
      <c r="M223" s="364">
        <v>0</v>
      </c>
      <c r="N223" s="364">
        <f t="shared" si="170"/>
        <v>0</v>
      </c>
      <c r="O223" s="364">
        <v>0</v>
      </c>
      <c r="P223" s="364">
        <v>0</v>
      </c>
      <c r="Q223" s="364">
        <f t="shared" si="171"/>
        <v>0</v>
      </c>
      <c r="R223" s="369">
        <v>0</v>
      </c>
      <c r="S223" s="369">
        <v>0</v>
      </c>
      <c r="T223" s="353" t="s">
        <v>145</v>
      </c>
      <c r="U223" s="365" t="s">
        <v>842</v>
      </c>
      <c r="V223" s="141"/>
    </row>
    <row r="224" spans="2:22" ht="13.5" thickBot="1" x14ac:dyDescent="0.25">
      <c r="B224" s="364">
        <f t="shared" ref="B224:R224" si="212">SUM(B222:B223)</f>
        <v>47</v>
      </c>
      <c r="C224" s="364">
        <f t="shared" si="212"/>
        <v>47</v>
      </c>
      <c r="D224" s="364">
        <f t="shared" si="212"/>
        <v>0</v>
      </c>
      <c r="E224" s="364">
        <f t="shared" si="212"/>
        <v>17</v>
      </c>
      <c r="F224" s="364">
        <f t="shared" si="212"/>
        <v>17</v>
      </c>
      <c r="G224" s="364">
        <f t="shared" si="212"/>
        <v>0</v>
      </c>
      <c r="H224" s="364">
        <f t="shared" si="212"/>
        <v>0</v>
      </c>
      <c r="I224" s="364">
        <f t="shared" si="212"/>
        <v>0</v>
      </c>
      <c r="J224" s="364">
        <f t="shared" si="212"/>
        <v>0</v>
      </c>
      <c r="K224" s="364">
        <f t="shared" si="212"/>
        <v>30</v>
      </c>
      <c r="L224" s="364">
        <f t="shared" si="212"/>
        <v>30</v>
      </c>
      <c r="M224" s="364">
        <f t="shared" si="212"/>
        <v>0</v>
      </c>
      <c r="N224" s="364">
        <f t="shared" si="212"/>
        <v>0</v>
      </c>
      <c r="O224" s="364">
        <f t="shared" si="212"/>
        <v>0</v>
      </c>
      <c r="P224" s="364">
        <f t="shared" si="212"/>
        <v>0</v>
      </c>
      <c r="Q224" s="364">
        <f t="shared" si="212"/>
        <v>0</v>
      </c>
      <c r="R224" s="364">
        <f t="shared" si="212"/>
        <v>0</v>
      </c>
      <c r="S224" s="364">
        <f>SUM(S222:S223)</f>
        <v>0</v>
      </c>
      <c r="T224" s="353" t="s">
        <v>12</v>
      </c>
      <c r="U224" s="366"/>
      <c r="V224" s="141"/>
    </row>
    <row r="225" spans="2:22" ht="13.5" thickBot="1" x14ac:dyDescent="0.25">
      <c r="B225" s="364">
        <f t="shared" si="165"/>
        <v>3</v>
      </c>
      <c r="C225" s="364">
        <f t="shared" ref="C225:D226" si="213">R225+O225+L225+I225+F225</f>
        <v>3</v>
      </c>
      <c r="D225" s="364">
        <f t="shared" si="213"/>
        <v>0</v>
      </c>
      <c r="E225" s="364">
        <f t="shared" si="167"/>
        <v>3</v>
      </c>
      <c r="F225" s="364">
        <v>3</v>
      </c>
      <c r="G225" s="364">
        <v>0</v>
      </c>
      <c r="H225" s="364">
        <f t="shared" si="168"/>
        <v>0</v>
      </c>
      <c r="I225" s="364">
        <v>0</v>
      </c>
      <c r="J225" s="364">
        <v>0</v>
      </c>
      <c r="K225" s="364">
        <f t="shared" si="169"/>
        <v>0</v>
      </c>
      <c r="L225" s="364">
        <v>0</v>
      </c>
      <c r="M225" s="364">
        <v>0</v>
      </c>
      <c r="N225" s="364">
        <f t="shared" si="170"/>
        <v>0</v>
      </c>
      <c r="O225" s="364">
        <v>0</v>
      </c>
      <c r="P225" s="364">
        <v>0</v>
      </c>
      <c r="Q225" s="364">
        <f t="shared" si="171"/>
        <v>0</v>
      </c>
      <c r="R225" s="364">
        <v>0</v>
      </c>
      <c r="S225" s="369">
        <v>0</v>
      </c>
      <c r="T225" s="353" t="s">
        <v>146</v>
      </c>
      <c r="U225" s="365"/>
      <c r="V225" s="141"/>
    </row>
    <row r="226" spans="2:22" ht="13.5" thickBot="1" x14ac:dyDescent="0.25">
      <c r="B226" s="364">
        <f t="shared" si="165"/>
        <v>0</v>
      </c>
      <c r="C226" s="364">
        <f t="shared" si="213"/>
        <v>0</v>
      </c>
      <c r="D226" s="364">
        <f t="shared" si="213"/>
        <v>0</v>
      </c>
      <c r="E226" s="364">
        <f t="shared" si="167"/>
        <v>0</v>
      </c>
      <c r="F226" s="364">
        <v>0</v>
      </c>
      <c r="G226" s="364">
        <v>0</v>
      </c>
      <c r="H226" s="364">
        <f t="shared" si="168"/>
        <v>0</v>
      </c>
      <c r="I226" s="364">
        <v>0</v>
      </c>
      <c r="J226" s="364">
        <v>0</v>
      </c>
      <c r="K226" s="364">
        <f t="shared" si="169"/>
        <v>0</v>
      </c>
      <c r="L226" s="364">
        <v>0</v>
      </c>
      <c r="M226" s="364">
        <v>0</v>
      </c>
      <c r="N226" s="364">
        <f t="shared" si="170"/>
        <v>0</v>
      </c>
      <c r="O226" s="364">
        <v>0</v>
      </c>
      <c r="P226" s="364">
        <v>0</v>
      </c>
      <c r="Q226" s="364">
        <f t="shared" si="171"/>
        <v>0</v>
      </c>
      <c r="R226" s="369">
        <v>0</v>
      </c>
      <c r="S226" s="369">
        <v>0</v>
      </c>
      <c r="T226" s="353" t="s">
        <v>145</v>
      </c>
      <c r="U226" s="365" t="s">
        <v>198</v>
      </c>
      <c r="V226" s="141"/>
    </row>
    <row r="227" spans="2:22" ht="13.5" thickBot="1" x14ac:dyDescent="0.25">
      <c r="B227" s="364">
        <f t="shared" ref="B227:R227" si="214">SUM(B225:B226)</f>
        <v>3</v>
      </c>
      <c r="C227" s="364">
        <f t="shared" si="214"/>
        <v>3</v>
      </c>
      <c r="D227" s="364">
        <f t="shared" si="214"/>
        <v>0</v>
      </c>
      <c r="E227" s="364">
        <f t="shared" si="214"/>
        <v>3</v>
      </c>
      <c r="F227" s="364">
        <f t="shared" si="214"/>
        <v>3</v>
      </c>
      <c r="G227" s="364">
        <f t="shared" si="214"/>
        <v>0</v>
      </c>
      <c r="H227" s="364">
        <f t="shared" si="214"/>
        <v>0</v>
      </c>
      <c r="I227" s="364">
        <f t="shared" si="214"/>
        <v>0</v>
      </c>
      <c r="J227" s="364">
        <f t="shared" si="214"/>
        <v>0</v>
      </c>
      <c r="K227" s="364">
        <f t="shared" si="214"/>
        <v>0</v>
      </c>
      <c r="L227" s="364">
        <f t="shared" si="214"/>
        <v>0</v>
      </c>
      <c r="M227" s="364">
        <f t="shared" si="214"/>
        <v>0</v>
      </c>
      <c r="N227" s="364">
        <f t="shared" si="214"/>
        <v>0</v>
      </c>
      <c r="O227" s="364">
        <f t="shared" si="214"/>
        <v>0</v>
      </c>
      <c r="P227" s="364">
        <f t="shared" si="214"/>
        <v>0</v>
      </c>
      <c r="Q227" s="364">
        <f t="shared" si="214"/>
        <v>0</v>
      </c>
      <c r="R227" s="364">
        <f t="shared" si="214"/>
        <v>0</v>
      </c>
      <c r="S227" s="364">
        <f>SUM(S225:S226)</f>
        <v>0</v>
      </c>
      <c r="T227" s="353" t="s">
        <v>12</v>
      </c>
      <c r="U227" s="366"/>
      <c r="V227" s="141"/>
    </row>
    <row r="228" spans="2:22" ht="13.5" thickBot="1" x14ac:dyDescent="0.25">
      <c r="B228" s="364">
        <f t="shared" ref="B228:B232" si="215">SUM(C228:D228)</f>
        <v>26</v>
      </c>
      <c r="C228" s="364">
        <f t="shared" ref="C228:D229" si="216">R228+O228+L228+I228+F228</f>
        <v>0</v>
      </c>
      <c r="D228" s="364">
        <f t="shared" si="216"/>
        <v>26</v>
      </c>
      <c r="E228" s="364">
        <f t="shared" ref="E228:E232" si="217">SUM(F228:G228)</f>
        <v>13</v>
      </c>
      <c r="F228" s="364">
        <v>0</v>
      </c>
      <c r="G228" s="364">
        <v>13</v>
      </c>
      <c r="H228" s="364">
        <f t="shared" ref="H228:H232" si="218">SUM(I228:J228)</f>
        <v>5</v>
      </c>
      <c r="I228" s="364">
        <v>0</v>
      </c>
      <c r="J228" s="364">
        <v>5</v>
      </c>
      <c r="K228" s="364">
        <f t="shared" ref="K228:K232" si="219">SUM(L228:M228)</f>
        <v>8</v>
      </c>
      <c r="L228" s="364">
        <v>0</v>
      </c>
      <c r="M228" s="364">
        <v>8</v>
      </c>
      <c r="N228" s="364">
        <f t="shared" ref="N228:N232" si="220">SUM(O228:P228)</f>
        <v>0</v>
      </c>
      <c r="O228" s="364">
        <v>0</v>
      </c>
      <c r="P228" s="364">
        <v>0</v>
      </c>
      <c r="Q228" s="364">
        <f t="shared" ref="Q228:Q232" si="221">SUM(R228:S228)</f>
        <v>0</v>
      </c>
      <c r="R228" s="369">
        <v>0</v>
      </c>
      <c r="S228" s="364">
        <v>0</v>
      </c>
      <c r="T228" s="353" t="s">
        <v>146</v>
      </c>
      <c r="U228" s="365"/>
      <c r="V228" s="141"/>
    </row>
    <row r="229" spans="2:22" ht="13.5" thickBot="1" x14ac:dyDescent="0.25">
      <c r="B229" s="364">
        <f t="shared" si="215"/>
        <v>0</v>
      </c>
      <c r="C229" s="364">
        <f t="shared" si="216"/>
        <v>0</v>
      </c>
      <c r="D229" s="364">
        <f t="shared" si="216"/>
        <v>0</v>
      </c>
      <c r="E229" s="364">
        <f t="shared" si="217"/>
        <v>0</v>
      </c>
      <c r="F229" s="364">
        <v>0</v>
      </c>
      <c r="G229" s="364">
        <v>0</v>
      </c>
      <c r="H229" s="364">
        <f t="shared" si="218"/>
        <v>0</v>
      </c>
      <c r="I229" s="364">
        <v>0</v>
      </c>
      <c r="J229" s="364">
        <v>0</v>
      </c>
      <c r="K229" s="364">
        <f t="shared" si="219"/>
        <v>0</v>
      </c>
      <c r="L229" s="364">
        <v>0</v>
      </c>
      <c r="M229" s="364">
        <v>0</v>
      </c>
      <c r="N229" s="364">
        <f t="shared" si="220"/>
        <v>0</v>
      </c>
      <c r="O229" s="364">
        <v>0</v>
      </c>
      <c r="P229" s="364">
        <v>0</v>
      </c>
      <c r="Q229" s="364">
        <f t="shared" si="221"/>
        <v>0</v>
      </c>
      <c r="R229" s="369">
        <v>0</v>
      </c>
      <c r="S229" s="369">
        <v>0</v>
      </c>
      <c r="T229" s="353" t="s">
        <v>145</v>
      </c>
      <c r="U229" s="365" t="s">
        <v>816</v>
      </c>
      <c r="V229" s="141"/>
    </row>
    <row r="230" spans="2:22" ht="13.5" thickBot="1" x14ac:dyDescent="0.25">
      <c r="B230" s="364">
        <f t="shared" ref="B230:R230" si="222">SUM(B228:B229)</f>
        <v>26</v>
      </c>
      <c r="C230" s="364">
        <f t="shared" si="222"/>
        <v>0</v>
      </c>
      <c r="D230" s="364">
        <f t="shared" si="222"/>
        <v>26</v>
      </c>
      <c r="E230" s="364">
        <f t="shared" si="222"/>
        <v>13</v>
      </c>
      <c r="F230" s="364">
        <f t="shared" si="222"/>
        <v>0</v>
      </c>
      <c r="G230" s="364">
        <f t="shared" si="222"/>
        <v>13</v>
      </c>
      <c r="H230" s="364">
        <f t="shared" si="222"/>
        <v>5</v>
      </c>
      <c r="I230" s="364">
        <f t="shared" si="222"/>
        <v>0</v>
      </c>
      <c r="J230" s="364">
        <f t="shared" si="222"/>
        <v>5</v>
      </c>
      <c r="K230" s="364">
        <f t="shared" si="222"/>
        <v>8</v>
      </c>
      <c r="L230" s="364">
        <f t="shared" si="222"/>
        <v>0</v>
      </c>
      <c r="M230" s="364">
        <f t="shared" si="222"/>
        <v>8</v>
      </c>
      <c r="N230" s="364">
        <f t="shared" si="222"/>
        <v>0</v>
      </c>
      <c r="O230" s="364">
        <f t="shared" si="222"/>
        <v>0</v>
      </c>
      <c r="P230" s="364">
        <f t="shared" si="222"/>
        <v>0</v>
      </c>
      <c r="Q230" s="364">
        <f t="shared" si="222"/>
        <v>0</v>
      </c>
      <c r="R230" s="364">
        <f t="shared" si="222"/>
        <v>0</v>
      </c>
      <c r="S230" s="364">
        <f>SUM(S228:S229)</f>
        <v>0</v>
      </c>
      <c r="T230" s="353" t="s">
        <v>12</v>
      </c>
      <c r="U230" s="366"/>
      <c r="V230" s="141"/>
    </row>
    <row r="231" spans="2:22" ht="13.5" thickBot="1" x14ac:dyDescent="0.25">
      <c r="B231" s="364">
        <f t="shared" si="215"/>
        <v>43</v>
      </c>
      <c r="C231" s="364">
        <f t="shared" ref="C231:D232" si="223">R231+O231+L231+I231+F231</f>
        <v>35</v>
      </c>
      <c r="D231" s="364">
        <f t="shared" si="223"/>
        <v>8</v>
      </c>
      <c r="E231" s="364">
        <f t="shared" si="217"/>
        <v>19</v>
      </c>
      <c r="F231" s="364">
        <v>13</v>
      </c>
      <c r="G231" s="364">
        <v>6</v>
      </c>
      <c r="H231" s="364">
        <f t="shared" si="218"/>
        <v>11</v>
      </c>
      <c r="I231" s="364">
        <v>11</v>
      </c>
      <c r="J231" s="364">
        <v>0</v>
      </c>
      <c r="K231" s="364">
        <f t="shared" si="219"/>
        <v>13</v>
      </c>
      <c r="L231" s="364">
        <v>11</v>
      </c>
      <c r="M231" s="364">
        <v>2</v>
      </c>
      <c r="N231" s="364">
        <f t="shared" si="220"/>
        <v>0</v>
      </c>
      <c r="O231" s="364">
        <v>0</v>
      </c>
      <c r="P231" s="364">
        <v>0</v>
      </c>
      <c r="Q231" s="364">
        <f t="shared" si="221"/>
        <v>0</v>
      </c>
      <c r="R231" s="364">
        <v>0</v>
      </c>
      <c r="S231" s="364">
        <v>0</v>
      </c>
      <c r="T231" s="353" t="s">
        <v>146</v>
      </c>
      <c r="U231" s="365"/>
      <c r="V231" s="141"/>
    </row>
    <row r="232" spans="2:22" ht="13.5" thickBot="1" x14ac:dyDescent="0.25">
      <c r="B232" s="364">
        <f t="shared" si="215"/>
        <v>1</v>
      </c>
      <c r="C232" s="364">
        <f t="shared" si="223"/>
        <v>1</v>
      </c>
      <c r="D232" s="364">
        <f t="shared" si="223"/>
        <v>0</v>
      </c>
      <c r="E232" s="364">
        <f t="shared" si="217"/>
        <v>1</v>
      </c>
      <c r="F232" s="364">
        <v>1</v>
      </c>
      <c r="G232" s="364">
        <v>0</v>
      </c>
      <c r="H232" s="364">
        <f t="shared" si="218"/>
        <v>0</v>
      </c>
      <c r="I232" s="364">
        <v>0</v>
      </c>
      <c r="J232" s="364">
        <v>0</v>
      </c>
      <c r="K232" s="364">
        <f t="shared" si="219"/>
        <v>0</v>
      </c>
      <c r="L232" s="364">
        <v>0</v>
      </c>
      <c r="M232" s="364">
        <v>0</v>
      </c>
      <c r="N232" s="364">
        <f t="shared" si="220"/>
        <v>0</v>
      </c>
      <c r="O232" s="364">
        <v>0</v>
      </c>
      <c r="P232" s="364">
        <v>0</v>
      </c>
      <c r="Q232" s="364">
        <f t="shared" si="221"/>
        <v>0</v>
      </c>
      <c r="R232" s="364">
        <v>0</v>
      </c>
      <c r="S232" s="369">
        <v>0</v>
      </c>
      <c r="T232" s="353" t="s">
        <v>145</v>
      </c>
      <c r="U232" s="365" t="s">
        <v>622</v>
      </c>
      <c r="V232" s="141"/>
    </row>
    <row r="233" spans="2:22" ht="13.5" thickBot="1" x14ac:dyDescent="0.25">
      <c r="B233" s="364">
        <f t="shared" ref="B233:R233" si="224">SUM(B231:B232)</f>
        <v>44</v>
      </c>
      <c r="C233" s="364">
        <f t="shared" si="224"/>
        <v>36</v>
      </c>
      <c r="D233" s="364">
        <f t="shared" si="224"/>
        <v>8</v>
      </c>
      <c r="E233" s="364">
        <f t="shared" si="224"/>
        <v>20</v>
      </c>
      <c r="F233" s="364">
        <f t="shared" si="224"/>
        <v>14</v>
      </c>
      <c r="G233" s="364">
        <f t="shared" si="224"/>
        <v>6</v>
      </c>
      <c r="H233" s="364">
        <f t="shared" si="224"/>
        <v>11</v>
      </c>
      <c r="I233" s="364">
        <f t="shared" si="224"/>
        <v>11</v>
      </c>
      <c r="J233" s="364">
        <f t="shared" si="224"/>
        <v>0</v>
      </c>
      <c r="K233" s="364">
        <f t="shared" si="224"/>
        <v>13</v>
      </c>
      <c r="L233" s="364">
        <f t="shared" si="224"/>
        <v>11</v>
      </c>
      <c r="M233" s="364">
        <f t="shared" si="224"/>
        <v>2</v>
      </c>
      <c r="N233" s="364">
        <f t="shared" si="224"/>
        <v>0</v>
      </c>
      <c r="O233" s="364">
        <f t="shared" si="224"/>
        <v>0</v>
      </c>
      <c r="P233" s="364">
        <f t="shared" si="224"/>
        <v>0</v>
      </c>
      <c r="Q233" s="364">
        <f t="shared" si="224"/>
        <v>0</v>
      </c>
      <c r="R233" s="364">
        <f t="shared" si="224"/>
        <v>0</v>
      </c>
      <c r="S233" s="364">
        <f>SUM(S231:S232)</f>
        <v>0</v>
      </c>
      <c r="T233" s="353" t="s">
        <v>12</v>
      </c>
      <c r="U233" s="366"/>
      <c r="V233" s="141"/>
    </row>
    <row r="234" spans="2:22" ht="13.5" thickBot="1" x14ac:dyDescent="0.25">
      <c r="B234" s="364">
        <f t="shared" ref="B234:R236" si="225">B162+B165+B168+B171+B174+B177+B180+B183+B186+B189+B192+B195+B198+B201+B204+B207+B210+B213+B216+B219+B222+B225+B228+B231</f>
        <v>2154</v>
      </c>
      <c r="C234" s="364">
        <f t="shared" si="225"/>
        <v>628</v>
      </c>
      <c r="D234" s="364">
        <f t="shared" si="225"/>
        <v>1526</v>
      </c>
      <c r="E234" s="364">
        <f t="shared" si="225"/>
        <v>696</v>
      </c>
      <c r="F234" s="364">
        <f t="shared" si="225"/>
        <v>132</v>
      </c>
      <c r="G234" s="364">
        <f t="shared" si="225"/>
        <v>564</v>
      </c>
      <c r="H234" s="364">
        <f t="shared" si="225"/>
        <v>201</v>
      </c>
      <c r="I234" s="364">
        <f t="shared" si="225"/>
        <v>28</v>
      </c>
      <c r="J234" s="364">
        <f t="shared" si="225"/>
        <v>173</v>
      </c>
      <c r="K234" s="364">
        <f t="shared" si="225"/>
        <v>1116</v>
      </c>
      <c r="L234" s="364">
        <f t="shared" si="225"/>
        <v>448</v>
      </c>
      <c r="M234" s="364">
        <f t="shared" si="225"/>
        <v>668</v>
      </c>
      <c r="N234" s="364">
        <f t="shared" si="225"/>
        <v>131</v>
      </c>
      <c r="O234" s="364">
        <f t="shared" si="225"/>
        <v>20</v>
      </c>
      <c r="P234" s="364">
        <f t="shared" si="225"/>
        <v>111</v>
      </c>
      <c r="Q234" s="364">
        <f t="shared" si="225"/>
        <v>10</v>
      </c>
      <c r="R234" s="364">
        <f t="shared" si="225"/>
        <v>0</v>
      </c>
      <c r="S234" s="364">
        <f>S162+S165+S168+S171+S174+S177+S180+S183+S186+S189+S192+S195+S198+S201+S204+S207+S210+S213+S216+S219+S222+S225+S228+S231</f>
        <v>10</v>
      </c>
      <c r="T234" s="353" t="s">
        <v>146</v>
      </c>
      <c r="U234" s="367"/>
      <c r="V234" s="141"/>
    </row>
    <row r="235" spans="2:22" ht="13.5" thickBot="1" x14ac:dyDescent="0.25">
      <c r="B235" s="364">
        <f t="shared" si="225"/>
        <v>89</v>
      </c>
      <c r="C235" s="364">
        <f t="shared" si="225"/>
        <v>9</v>
      </c>
      <c r="D235" s="364">
        <f t="shared" si="225"/>
        <v>80</v>
      </c>
      <c r="E235" s="364">
        <f t="shared" si="225"/>
        <v>15</v>
      </c>
      <c r="F235" s="364">
        <f t="shared" si="225"/>
        <v>3</v>
      </c>
      <c r="G235" s="364">
        <f t="shared" si="225"/>
        <v>12</v>
      </c>
      <c r="H235" s="364">
        <f t="shared" si="225"/>
        <v>11</v>
      </c>
      <c r="I235" s="364">
        <f t="shared" si="225"/>
        <v>0</v>
      </c>
      <c r="J235" s="364">
        <f t="shared" si="225"/>
        <v>11</v>
      </c>
      <c r="K235" s="364">
        <f t="shared" si="225"/>
        <v>40</v>
      </c>
      <c r="L235" s="364">
        <f t="shared" si="225"/>
        <v>6</v>
      </c>
      <c r="M235" s="364">
        <f t="shared" si="225"/>
        <v>34</v>
      </c>
      <c r="N235" s="364">
        <f t="shared" si="225"/>
        <v>22</v>
      </c>
      <c r="O235" s="364">
        <f t="shared" si="225"/>
        <v>0</v>
      </c>
      <c r="P235" s="364">
        <f t="shared" si="225"/>
        <v>22</v>
      </c>
      <c r="Q235" s="364">
        <f t="shared" si="225"/>
        <v>1</v>
      </c>
      <c r="R235" s="364">
        <f t="shared" si="225"/>
        <v>0</v>
      </c>
      <c r="S235" s="364">
        <f t="shared" ref="S235:S236" si="226">S163+S166+S169+S172+S175+S178+S181+S184+S187+S190+S193+S196+S199+S202+S205+S208+S211+S214+S217+S220+S223+S226+S229+S232</f>
        <v>1</v>
      </c>
      <c r="T235" s="353" t="s">
        <v>145</v>
      </c>
      <c r="U235" s="368" t="s">
        <v>188</v>
      </c>
      <c r="V235" s="141"/>
    </row>
    <row r="236" spans="2:22" ht="13.5" thickBot="1" x14ac:dyDescent="0.25">
      <c r="B236" s="364">
        <f t="shared" si="225"/>
        <v>2243</v>
      </c>
      <c r="C236" s="364">
        <f t="shared" si="225"/>
        <v>637</v>
      </c>
      <c r="D236" s="364">
        <f t="shared" si="225"/>
        <v>1606</v>
      </c>
      <c r="E236" s="364">
        <f t="shared" si="225"/>
        <v>711</v>
      </c>
      <c r="F236" s="364">
        <f t="shared" si="225"/>
        <v>135</v>
      </c>
      <c r="G236" s="364">
        <f t="shared" si="225"/>
        <v>576</v>
      </c>
      <c r="H236" s="364">
        <f t="shared" si="225"/>
        <v>212</v>
      </c>
      <c r="I236" s="364">
        <f t="shared" si="225"/>
        <v>28</v>
      </c>
      <c r="J236" s="364">
        <f t="shared" si="225"/>
        <v>184</v>
      </c>
      <c r="K236" s="364">
        <f t="shared" si="225"/>
        <v>1156</v>
      </c>
      <c r="L236" s="364">
        <f t="shared" si="225"/>
        <v>454</v>
      </c>
      <c r="M236" s="364">
        <f t="shared" si="225"/>
        <v>702</v>
      </c>
      <c r="N236" s="364">
        <f t="shared" si="225"/>
        <v>153</v>
      </c>
      <c r="O236" s="364">
        <f t="shared" si="225"/>
        <v>20</v>
      </c>
      <c r="P236" s="364">
        <f t="shared" si="225"/>
        <v>133</v>
      </c>
      <c r="Q236" s="364">
        <f t="shared" si="225"/>
        <v>11</v>
      </c>
      <c r="R236" s="364">
        <f t="shared" si="225"/>
        <v>0</v>
      </c>
      <c r="S236" s="364">
        <f t="shared" si="226"/>
        <v>11</v>
      </c>
      <c r="T236" s="353" t="s">
        <v>12</v>
      </c>
      <c r="U236" s="363"/>
      <c r="V236" s="141"/>
    </row>
    <row r="237" spans="2:22" ht="18" customHeight="1" thickBot="1" x14ac:dyDescent="0.25">
      <c r="B237" s="610"/>
      <c r="C237" s="610"/>
      <c r="D237" s="610"/>
      <c r="E237" s="610"/>
      <c r="F237" s="610"/>
      <c r="G237" s="610"/>
      <c r="H237" s="610"/>
      <c r="I237" s="610"/>
      <c r="J237" s="610"/>
      <c r="K237" s="610"/>
      <c r="L237" s="610"/>
      <c r="M237" s="610"/>
      <c r="N237" s="610"/>
      <c r="O237" s="610"/>
      <c r="P237" s="610"/>
      <c r="Q237" s="610"/>
      <c r="R237" s="610"/>
      <c r="S237" s="610"/>
      <c r="T237" s="610"/>
      <c r="U237" s="610"/>
      <c r="V237" s="141"/>
    </row>
    <row r="238" spans="2:22" ht="13.5" customHeight="1" thickBot="1" x14ac:dyDescent="0.25">
      <c r="B238" s="607" t="s">
        <v>4</v>
      </c>
      <c r="C238" s="607"/>
      <c r="D238" s="607"/>
      <c r="E238" s="607" t="s">
        <v>53</v>
      </c>
      <c r="F238" s="607"/>
      <c r="G238" s="607"/>
      <c r="H238" s="607" t="s">
        <v>61</v>
      </c>
      <c r="I238" s="607"/>
      <c r="J238" s="607"/>
      <c r="K238" s="607" t="s">
        <v>60</v>
      </c>
      <c r="L238" s="607"/>
      <c r="M238" s="607"/>
      <c r="N238" s="607" t="s">
        <v>57</v>
      </c>
      <c r="O238" s="607"/>
      <c r="P238" s="607"/>
      <c r="Q238" s="607" t="s">
        <v>56</v>
      </c>
      <c r="R238" s="607"/>
      <c r="S238" s="607"/>
      <c r="T238" s="608" t="s">
        <v>792</v>
      </c>
      <c r="U238" s="347" t="s">
        <v>144</v>
      </c>
      <c r="V238" s="141"/>
    </row>
    <row r="239" spans="2:22" ht="13.5" thickBot="1" x14ac:dyDescent="0.25">
      <c r="B239" s="347" t="s">
        <v>227</v>
      </c>
      <c r="C239" s="347" t="s">
        <v>10</v>
      </c>
      <c r="D239" s="347" t="s">
        <v>9</v>
      </c>
      <c r="E239" s="347" t="s">
        <v>227</v>
      </c>
      <c r="F239" s="347" t="s">
        <v>10</v>
      </c>
      <c r="G239" s="347" t="s">
        <v>9</v>
      </c>
      <c r="H239" s="347" t="s">
        <v>227</v>
      </c>
      <c r="I239" s="347" t="s">
        <v>10</v>
      </c>
      <c r="J239" s="347" t="s">
        <v>9</v>
      </c>
      <c r="K239" s="347" t="s">
        <v>227</v>
      </c>
      <c r="L239" s="347" t="s">
        <v>10</v>
      </c>
      <c r="M239" s="347" t="s">
        <v>9</v>
      </c>
      <c r="N239" s="347" t="s">
        <v>227</v>
      </c>
      <c r="O239" s="347" t="s">
        <v>10</v>
      </c>
      <c r="P239" s="347" t="s">
        <v>9</v>
      </c>
      <c r="Q239" s="347" t="s">
        <v>227</v>
      </c>
      <c r="R239" s="347" t="s">
        <v>10</v>
      </c>
      <c r="S239" s="347" t="s">
        <v>9</v>
      </c>
      <c r="T239" s="609"/>
      <c r="U239" s="363" t="s">
        <v>90</v>
      </c>
      <c r="V239" s="141"/>
    </row>
    <row r="240" spans="2:22" ht="13.5" thickBot="1" x14ac:dyDescent="0.25">
      <c r="B240" s="364">
        <f>SUM(C240:D240)</f>
        <v>30</v>
      </c>
      <c r="C240" s="364">
        <f>R240+O240+L240+I240+F240</f>
        <v>0</v>
      </c>
      <c r="D240" s="364">
        <f>S240+P240+M240+J240+G240</f>
        <v>30</v>
      </c>
      <c r="E240" s="364">
        <f>SUM(F240:G240)</f>
        <v>8</v>
      </c>
      <c r="F240" s="364">
        <v>0</v>
      </c>
      <c r="G240" s="364">
        <v>8</v>
      </c>
      <c r="H240" s="364">
        <f>SUM(I240:J240)</f>
        <v>20</v>
      </c>
      <c r="I240" s="364">
        <v>0</v>
      </c>
      <c r="J240" s="364">
        <v>20</v>
      </c>
      <c r="K240" s="364">
        <f>SUM(L240:M240)</f>
        <v>2</v>
      </c>
      <c r="L240" s="364">
        <v>0</v>
      </c>
      <c r="M240" s="364">
        <v>2</v>
      </c>
      <c r="N240" s="364">
        <f>SUM(O240:P240)</f>
        <v>0</v>
      </c>
      <c r="O240" s="364">
        <v>0</v>
      </c>
      <c r="P240" s="364">
        <v>0</v>
      </c>
      <c r="Q240" s="364">
        <f>SUM(R240:S240)</f>
        <v>0</v>
      </c>
      <c r="R240" s="364">
        <v>0</v>
      </c>
      <c r="S240" s="364">
        <v>0</v>
      </c>
      <c r="T240" s="353" t="s">
        <v>146</v>
      </c>
      <c r="U240" s="365"/>
      <c r="V240" s="141"/>
    </row>
    <row r="241" spans="2:22" ht="13.5" thickBot="1" x14ac:dyDescent="0.25">
      <c r="B241" s="364">
        <f t="shared" ref="B241:B268" si="227">SUM(C241:D241)</f>
        <v>56</v>
      </c>
      <c r="C241" s="364">
        <f t="shared" ref="C241:D268" si="228">R241+O241+L241+I241+F241</f>
        <v>0</v>
      </c>
      <c r="D241" s="364">
        <f t="shared" si="228"/>
        <v>56</v>
      </c>
      <c r="E241" s="364">
        <f t="shared" ref="E241:E268" si="229">SUM(F241:G241)</f>
        <v>0</v>
      </c>
      <c r="F241" s="364">
        <v>0</v>
      </c>
      <c r="G241" s="364">
        <v>0</v>
      </c>
      <c r="H241" s="364">
        <f t="shared" ref="H241:H268" si="230">SUM(I241:J241)</f>
        <v>23</v>
      </c>
      <c r="I241" s="364">
        <v>0</v>
      </c>
      <c r="J241" s="364">
        <v>23</v>
      </c>
      <c r="K241" s="364">
        <f t="shared" ref="K241:K268" si="231">SUM(L241:M241)</f>
        <v>24</v>
      </c>
      <c r="L241" s="364">
        <v>0</v>
      </c>
      <c r="M241" s="364">
        <v>24</v>
      </c>
      <c r="N241" s="364">
        <f t="shared" ref="N241:N268" si="232">SUM(O241:P241)</f>
        <v>9</v>
      </c>
      <c r="O241" s="364">
        <v>0</v>
      </c>
      <c r="P241" s="364">
        <v>9</v>
      </c>
      <c r="Q241" s="364">
        <f t="shared" ref="Q241:Q268" si="233">SUM(R241:S241)</f>
        <v>0</v>
      </c>
      <c r="R241" s="364">
        <v>0</v>
      </c>
      <c r="S241" s="364">
        <v>0</v>
      </c>
      <c r="T241" s="353" t="s">
        <v>145</v>
      </c>
      <c r="U241" s="365" t="s">
        <v>420</v>
      </c>
      <c r="V241" s="141"/>
    </row>
    <row r="242" spans="2:22" ht="13.5" thickBot="1" x14ac:dyDescent="0.25">
      <c r="B242" s="364">
        <f t="shared" ref="B242:R242" si="234">SUM(B240:B241)</f>
        <v>86</v>
      </c>
      <c r="C242" s="364">
        <f t="shared" si="234"/>
        <v>0</v>
      </c>
      <c r="D242" s="364">
        <f t="shared" si="234"/>
        <v>86</v>
      </c>
      <c r="E242" s="364">
        <f t="shared" si="234"/>
        <v>8</v>
      </c>
      <c r="F242" s="364">
        <f t="shared" si="234"/>
        <v>0</v>
      </c>
      <c r="G242" s="364">
        <f t="shared" si="234"/>
        <v>8</v>
      </c>
      <c r="H242" s="364">
        <f t="shared" si="234"/>
        <v>43</v>
      </c>
      <c r="I242" s="364">
        <f t="shared" si="234"/>
        <v>0</v>
      </c>
      <c r="J242" s="364">
        <f t="shared" si="234"/>
        <v>43</v>
      </c>
      <c r="K242" s="364">
        <f t="shared" si="234"/>
        <v>26</v>
      </c>
      <c r="L242" s="364">
        <f t="shared" si="234"/>
        <v>0</v>
      </c>
      <c r="M242" s="364">
        <f t="shared" si="234"/>
        <v>26</v>
      </c>
      <c r="N242" s="364">
        <f t="shared" si="234"/>
        <v>9</v>
      </c>
      <c r="O242" s="364">
        <f t="shared" si="234"/>
        <v>0</v>
      </c>
      <c r="P242" s="364">
        <f t="shared" si="234"/>
        <v>9</v>
      </c>
      <c r="Q242" s="364">
        <f t="shared" si="234"/>
        <v>0</v>
      </c>
      <c r="R242" s="364">
        <f t="shared" si="234"/>
        <v>0</v>
      </c>
      <c r="S242" s="364">
        <f>SUM(S240:S241)</f>
        <v>0</v>
      </c>
      <c r="T242" s="353" t="s">
        <v>12</v>
      </c>
      <c r="U242" s="366"/>
      <c r="V242" s="141"/>
    </row>
    <row r="243" spans="2:22" ht="13.5" thickBot="1" x14ac:dyDescent="0.25">
      <c r="B243" s="364">
        <f t="shared" si="227"/>
        <v>12</v>
      </c>
      <c r="C243" s="364">
        <f t="shared" si="228"/>
        <v>0</v>
      </c>
      <c r="D243" s="364">
        <f t="shared" si="228"/>
        <v>12</v>
      </c>
      <c r="E243" s="364">
        <f t="shared" si="229"/>
        <v>3</v>
      </c>
      <c r="F243" s="364">
        <v>0</v>
      </c>
      <c r="G243" s="364">
        <v>3</v>
      </c>
      <c r="H243" s="364">
        <f t="shared" si="230"/>
        <v>8</v>
      </c>
      <c r="I243" s="364">
        <v>0</v>
      </c>
      <c r="J243" s="364">
        <v>8</v>
      </c>
      <c r="K243" s="364">
        <f t="shared" si="231"/>
        <v>1</v>
      </c>
      <c r="L243" s="364">
        <v>0</v>
      </c>
      <c r="M243" s="364">
        <v>1</v>
      </c>
      <c r="N243" s="364">
        <f t="shared" si="232"/>
        <v>0</v>
      </c>
      <c r="O243" s="364">
        <v>0</v>
      </c>
      <c r="P243" s="364">
        <v>0</v>
      </c>
      <c r="Q243" s="364">
        <f t="shared" si="233"/>
        <v>0</v>
      </c>
      <c r="R243" s="364">
        <v>0</v>
      </c>
      <c r="S243" s="364">
        <v>0</v>
      </c>
      <c r="T243" s="353" t="s">
        <v>146</v>
      </c>
      <c r="U243" s="365"/>
      <c r="V243" s="141"/>
    </row>
    <row r="244" spans="2:22" ht="13.5" thickBot="1" x14ac:dyDescent="0.25">
      <c r="B244" s="364">
        <f t="shared" si="227"/>
        <v>7</v>
      </c>
      <c r="C244" s="364">
        <f t="shared" si="228"/>
        <v>0</v>
      </c>
      <c r="D244" s="364">
        <f t="shared" si="228"/>
        <v>7</v>
      </c>
      <c r="E244" s="364">
        <f t="shared" si="229"/>
        <v>0</v>
      </c>
      <c r="F244" s="364">
        <v>0</v>
      </c>
      <c r="G244" s="364">
        <v>0</v>
      </c>
      <c r="H244" s="364">
        <f t="shared" si="230"/>
        <v>0</v>
      </c>
      <c r="I244" s="364">
        <v>0</v>
      </c>
      <c r="J244" s="364">
        <v>0</v>
      </c>
      <c r="K244" s="364">
        <f t="shared" si="231"/>
        <v>4</v>
      </c>
      <c r="L244" s="364">
        <v>0</v>
      </c>
      <c r="M244" s="364">
        <v>4</v>
      </c>
      <c r="N244" s="364">
        <f t="shared" si="232"/>
        <v>3</v>
      </c>
      <c r="O244" s="364">
        <v>0</v>
      </c>
      <c r="P244" s="364">
        <v>3</v>
      </c>
      <c r="Q244" s="364">
        <f t="shared" si="233"/>
        <v>0</v>
      </c>
      <c r="R244" s="364">
        <v>0</v>
      </c>
      <c r="S244" s="364">
        <v>0</v>
      </c>
      <c r="T244" s="353" t="s">
        <v>145</v>
      </c>
      <c r="U244" s="365" t="s">
        <v>648</v>
      </c>
      <c r="V244" s="141"/>
    </row>
    <row r="245" spans="2:22" ht="13.5" thickBot="1" x14ac:dyDescent="0.25">
      <c r="B245" s="364">
        <f t="shared" ref="B245:R245" si="235">SUM(B243:B244)</f>
        <v>19</v>
      </c>
      <c r="C245" s="364">
        <f t="shared" si="235"/>
        <v>0</v>
      </c>
      <c r="D245" s="364">
        <f t="shared" si="235"/>
        <v>19</v>
      </c>
      <c r="E245" s="364">
        <f t="shared" si="235"/>
        <v>3</v>
      </c>
      <c r="F245" s="364">
        <f t="shared" si="235"/>
        <v>0</v>
      </c>
      <c r="G245" s="364">
        <f t="shared" si="235"/>
        <v>3</v>
      </c>
      <c r="H245" s="364">
        <f t="shared" si="235"/>
        <v>8</v>
      </c>
      <c r="I245" s="364">
        <f t="shared" si="235"/>
        <v>0</v>
      </c>
      <c r="J245" s="364">
        <f t="shared" si="235"/>
        <v>8</v>
      </c>
      <c r="K245" s="364">
        <f t="shared" si="235"/>
        <v>5</v>
      </c>
      <c r="L245" s="364">
        <f t="shared" si="235"/>
        <v>0</v>
      </c>
      <c r="M245" s="364">
        <f t="shared" si="235"/>
        <v>5</v>
      </c>
      <c r="N245" s="364">
        <f t="shared" si="235"/>
        <v>3</v>
      </c>
      <c r="O245" s="364">
        <f t="shared" si="235"/>
        <v>0</v>
      </c>
      <c r="P245" s="364">
        <f t="shared" si="235"/>
        <v>3</v>
      </c>
      <c r="Q245" s="364">
        <f t="shared" si="235"/>
        <v>0</v>
      </c>
      <c r="R245" s="364">
        <f t="shared" si="235"/>
        <v>0</v>
      </c>
      <c r="S245" s="364">
        <f>SUM(S243:S244)</f>
        <v>0</v>
      </c>
      <c r="T245" s="353" t="s">
        <v>12</v>
      </c>
      <c r="U245" s="366"/>
      <c r="V245" s="141"/>
    </row>
    <row r="246" spans="2:22" ht="13.5" thickBot="1" x14ac:dyDescent="0.25">
      <c r="B246" s="364">
        <f t="shared" si="227"/>
        <v>12</v>
      </c>
      <c r="C246" s="364">
        <f t="shared" si="228"/>
        <v>0</v>
      </c>
      <c r="D246" s="364">
        <f t="shared" si="228"/>
        <v>12</v>
      </c>
      <c r="E246" s="364">
        <f t="shared" si="229"/>
        <v>8</v>
      </c>
      <c r="F246" s="364">
        <v>0</v>
      </c>
      <c r="G246" s="364">
        <v>8</v>
      </c>
      <c r="H246" s="364">
        <f t="shared" si="230"/>
        <v>0</v>
      </c>
      <c r="I246" s="364">
        <v>0</v>
      </c>
      <c r="J246" s="364">
        <v>0</v>
      </c>
      <c r="K246" s="364">
        <f t="shared" si="231"/>
        <v>4</v>
      </c>
      <c r="L246" s="364">
        <v>0</v>
      </c>
      <c r="M246" s="364">
        <v>4</v>
      </c>
      <c r="N246" s="364">
        <f t="shared" si="232"/>
        <v>0</v>
      </c>
      <c r="O246" s="364">
        <v>0</v>
      </c>
      <c r="P246" s="364">
        <v>0</v>
      </c>
      <c r="Q246" s="364">
        <f t="shared" si="233"/>
        <v>0</v>
      </c>
      <c r="R246" s="364">
        <v>0</v>
      </c>
      <c r="S246" s="364">
        <v>0</v>
      </c>
      <c r="T246" s="353" t="s">
        <v>146</v>
      </c>
      <c r="U246" s="365"/>
      <c r="V246" s="141"/>
    </row>
    <row r="247" spans="2:22" ht="13.5" thickBot="1" x14ac:dyDescent="0.25">
      <c r="B247" s="364">
        <f t="shared" si="227"/>
        <v>16</v>
      </c>
      <c r="C247" s="364">
        <f t="shared" si="228"/>
        <v>0</v>
      </c>
      <c r="D247" s="364">
        <f t="shared" si="228"/>
        <v>16</v>
      </c>
      <c r="E247" s="364">
        <f t="shared" si="229"/>
        <v>2</v>
      </c>
      <c r="F247" s="364">
        <v>0</v>
      </c>
      <c r="G247" s="364">
        <v>2</v>
      </c>
      <c r="H247" s="364">
        <f t="shared" si="230"/>
        <v>0</v>
      </c>
      <c r="I247" s="364">
        <v>0</v>
      </c>
      <c r="J247" s="364">
        <v>0</v>
      </c>
      <c r="K247" s="364">
        <f t="shared" si="231"/>
        <v>13</v>
      </c>
      <c r="L247" s="364">
        <v>0</v>
      </c>
      <c r="M247" s="364">
        <v>13</v>
      </c>
      <c r="N247" s="364">
        <f t="shared" si="232"/>
        <v>1</v>
      </c>
      <c r="O247" s="364">
        <v>0</v>
      </c>
      <c r="P247" s="364">
        <v>1</v>
      </c>
      <c r="Q247" s="364">
        <f t="shared" si="233"/>
        <v>0</v>
      </c>
      <c r="R247" s="364">
        <v>0</v>
      </c>
      <c r="S247" s="364">
        <v>0</v>
      </c>
      <c r="T247" s="353" t="s">
        <v>145</v>
      </c>
      <c r="U247" s="365" t="s">
        <v>514</v>
      </c>
      <c r="V247" s="141"/>
    </row>
    <row r="248" spans="2:22" ht="13.5" thickBot="1" x14ac:dyDescent="0.25">
      <c r="B248" s="364">
        <f t="shared" ref="B248:R248" si="236">SUM(B246:B247)</f>
        <v>28</v>
      </c>
      <c r="C248" s="364">
        <f t="shared" si="236"/>
        <v>0</v>
      </c>
      <c r="D248" s="364">
        <f t="shared" si="236"/>
        <v>28</v>
      </c>
      <c r="E248" s="364">
        <f t="shared" si="236"/>
        <v>10</v>
      </c>
      <c r="F248" s="364">
        <f t="shared" si="236"/>
        <v>0</v>
      </c>
      <c r="G248" s="364">
        <f t="shared" si="236"/>
        <v>10</v>
      </c>
      <c r="H248" s="364">
        <f t="shared" si="236"/>
        <v>0</v>
      </c>
      <c r="I248" s="364">
        <f t="shared" si="236"/>
        <v>0</v>
      </c>
      <c r="J248" s="364">
        <f t="shared" si="236"/>
        <v>0</v>
      </c>
      <c r="K248" s="364">
        <f t="shared" si="236"/>
        <v>17</v>
      </c>
      <c r="L248" s="364">
        <f t="shared" si="236"/>
        <v>0</v>
      </c>
      <c r="M248" s="364">
        <f t="shared" si="236"/>
        <v>17</v>
      </c>
      <c r="N248" s="364">
        <f t="shared" si="236"/>
        <v>1</v>
      </c>
      <c r="O248" s="364">
        <f t="shared" si="236"/>
        <v>0</v>
      </c>
      <c r="P248" s="364">
        <f t="shared" si="236"/>
        <v>1</v>
      </c>
      <c r="Q248" s="364">
        <f t="shared" si="236"/>
        <v>0</v>
      </c>
      <c r="R248" s="364">
        <f t="shared" si="236"/>
        <v>0</v>
      </c>
      <c r="S248" s="364">
        <f>SUM(S246:S247)</f>
        <v>0</v>
      </c>
      <c r="T248" s="353" t="s">
        <v>12</v>
      </c>
      <c r="U248" s="366"/>
      <c r="V248" s="141"/>
    </row>
    <row r="249" spans="2:22" ht="13.5" thickBot="1" x14ac:dyDescent="0.25">
      <c r="B249" s="364">
        <f t="shared" si="227"/>
        <v>36</v>
      </c>
      <c r="C249" s="364">
        <f t="shared" si="228"/>
        <v>0</v>
      </c>
      <c r="D249" s="364">
        <f t="shared" si="228"/>
        <v>36</v>
      </c>
      <c r="E249" s="364">
        <f t="shared" si="229"/>
        <v>17</v>
      </c>
      <c r="F249" s="364">
        <v>0</v>
      </c>
      <c r="G249" s="364">
        <v>17</v>
      </c>
      <c r="H249" s="364">
        <f t="shared" si="230"/>
        <v>6</v>
      </c>
      <c r="I249" s="364">
        <v>0</v>
      </c>
      <c r="J249" s="364">
        <v>6</v>
      </c>
      <c r="K249" s="364">
        <f t="shared" si="231"/>
        <v>10</v>
      </c>
      <c r="L249" s="364">
        <v>0</v>
      </c>
      <c r="M249" s="364">
        <v>10</v>
      </c>
      <c r="N249" s="364">
        <f t="shared" si="232"/>
        <v>2</v>
      </c>
      <c r="O249" s="364">
        <v>0</v>
      </c>
      <c r="P249" s="364">
        <v>2</v>
      </c>
      <c r="Q249" s="364">
        <f t="shared" si="233"/>
        <v>1</v>
      </c>
      <c r="R249" s="364">
        <v>0</v>
      </c>
      <c r="S249" s="364">
        <v>1</v>
      </c>
      <c r="T249" s="353" t="s">
        <v>146</v>
      </c>
      <c r="U249" s="365"/>
      <c r="V249" s="141"/>
    </row>
    <row r="250" spans="2:22" ht="13.5" thickBot="1" x14ac:dyDescent="0.25">
      <c r="B250" s="364">
        <f t="shared" si="227"/>
        <v>3</v>
      </c>
      <c r="C250" s="364">
        <f t="shared" si="228"/>
        <v>0</v>
      </c>
      <c r="D250" s="364">
        <f t="shared" si="228"/>
        <v>3</v>
      </c>
      <c r="E250" s="364">
        <f t="shared" si="229"/>
        <v>0</v>
      </c>
      <c r="F250" s="364">
        <v>0</v>
      </c>
      <c r="G250" s="364">
        <v>0</v>
      </c>
      <c r="H250" s="364">
        <f t="shared" si="230"/>
        <v>0</v>
      </c>
      <c r="I250" s="364">
        <v>0</v>
      </c>
      <c r="J250" s="364">
        <v>0</v>
      </c>
      <c r="K250" s="364">
        <f t="shared" si="231"/>
        <v>1</v>
      </c>
      <c r="L250" s="364">
        <v>0</v>
      </c>
      <c r="M250" s="364">
        <v>1</v>
      </c>
      <c r="N250" s="364">
        <f t="shared" si="232"/>
        <v>2</v>
      </c>
      <c r="O250" s="364">
        <v>0</v>
      </c>
      <c r="P250" s="364">
        <v>2</v>
      </c>
      <c r="Q250" s="364">
        <f t="shared" si="233"/>
        <v>0</v>
      </c>
      <c r="R250" s="364">
        <v>0</v>
      </c>
      <c r="S250" s="364">
        <v>0</v>
      </c>
      <c r="T250" s="353" t="s">
        <v>145</v>
      </c>
      <c r="U250" s="365" t="s">
        <v>89</v>
      </c>
      <c r="V250" s="141"/>
    </row>
    <row r="251" spans="2:22" ht="13.5" thickBot="1" x14ac:dyDescent="0.25">
      <c r="B251" s="364">
        <f t="shared" ref="B251:R251" si="237">SUM(B249:B250)</f>
        <v>39</v>
      </c>
      <c r="C251" s="364">
        <f t="shared" si="237"/>
        <v>0</v>
      </c>
      <c r="D251" s="364">
        <f t="shared" si="237"/>
        <v>39</v>
      </c>
      <c r="E251" s="364">
        <f t="shared" si="237"/>
        <v>17</v>
      </c>
      <c r="F251" s="364">
        <f t="shared" si="237"/>
        <v>0</v>
      </c>
      <c r="G251" s="364">
        <f t="shared" si="237"/>
        <v>17</v>
      </c>
      <c r="H251" s="364">
        <f t="shared" si="237"/>
        <v>6</v>
      </c>
      <c r="I251" s="364">
        <f t="shared" si="237"/>
        <v>0</v>
      </c>
      <c r="J251" s="364">
        <f t="shared" si="237"/>
        <v>6</v>
      </c>
      <c r="K251" s="364">
        <f t="shared" si="237"/>
        <v>11</v>
      </c>
      <c r="L251" s="364">
        <f t="shared" si="237"/>
        <v>0</v>
      </c>
      <c r="M251" s="364">
        <f t="shared" si="237"/>
        <v>11</v>
      </c>
      <c r="N251" s="364">
        <f t="shared" si="237"/>
        <v>4</v>
      </c>
      <c r="O251" s="364">
        <f t="shared" si="237"/>
        <v>0</v>
      </c>
      <c r="P251" s="364">
        <f t="shared" si="237"/>
        <v>4</v>
      </c>
      <c r="Q251" s="364">
        <f t="shared" si="237"/>
        <v>1</v>
      </c>
      <c r="R251" s="364">
        <f t="shared" si="237"/>
        <v>0</v>
      </c>
      <c r="S251" s="364">
        <f>SUM(S249:S250)</f>
        <v>1</v>
      </c>
      <c r="T251" s="353" t="s">
        <v>12</v>
      </c>
      <c r="U251" s="366"/>
      <c r="V251" s="141"/>
    </row>
    <row r="252" spans="2:22" ht="13.5" thickBot="1" x14ac:dyDescent="0.25">
      <c r="B252" s="364">
        <f t="shared" si="227"/>
        <v>16</v>
      </c>
      <c r="C252" s="364">
        <f t="shared" si="228"/>
        <v>0</v>
      </c>
      <c r="D252" s="364">
        <f t="shared" si="228"/>
        <v>16</v>
      </c>
      <c r="E252" s="364">
        <f t="shared" si="229"/>
        <v>4</v>
      </c>
      <c r="F252" s="364">
        <v>0</v>
      </c>
      <c r="G252" s="364">
        <v>4</v>
      </c>
      <c r="H252" s="364">
        <f t="shared" si="230"/>
        <v>6</v>
      </c>
      <c r="I252" s="364">
        <v>0</v>
      </c>
      <c r="J252" s="364">
        <v>6</v>
      </c>
      <c r="K252" s="364">
        <f t="shared" si="231"/>
        <v>6</v>
      </c>
      <c r="L252" s="364">
        <v>0</v>
      </c>
      <c r="M252" s="364">
        <v>6</v>
      </c>
      <c r="N252" s="364">
        <f t="shared" si="232"/>
        <v>0</v>
      </c>
      <c r="O252" s="364">
        <v>0</v>
      </c>
      <c r="P252" s="364">
        <v>0</v>
      </c>
      <c r="Q252" s="364">
        <f t="shared" si="233"/>
        <v>0</v>
      </c>
      <c r="R252" s="364">
        <v>0</v>
      </c>
      <c r="S252" s="364">
        <v>0</v>
      </c>
      <c r="T252" s="353" t="s">
        <v>146</v>
      </c>
      <c r="U252" s="365"/>
      <c r="V252" s="141"/>
    </row>
    <row r="253" spans="2:22" ht="13.5" thickBot="1" x14ac:dyDescent="0.25">
      <c r="B253" s="364">
        <f t="shared" si="227"/>
        <v>45</v>
      </c>
      <c r="C253" s="364">
        <f t="shared" si="228"/>
        <v>0</v>
      </c>
      <c r="D253" s="364">
        <f t="shared" si="228"/>
        <v>45</v>
      </c>
      <c r="E253" s="364">
        <f t="shared" si="229"/>
        <v>0</v>
      </c>
      <c r="F253" s="364">
        <v>0</v>
      </c>
      <c r="G253" s="364">
        <v>0</v>
      </c>
      <c r="H253" s="364">
        <f t="shared" si="230"/>
        <v>9</v>
      </c>
      <c r="I253" s="364">
        <v>0</v>
      </c>
      <c r="J253" s="364">
        <v>9</v>
      </c>
      <c r="K253" s="364">
        <f t="shared" si="231"/>
        <v>21</v>
      </c>
      <c r="L253" s="364">
        <v>0</v>
      </c>
      <c r="M253" s="364">
        <v>21</v>
      </c>
      <c r="N253" s="364">
        <f t="shared" si="232"/>
        <v>15</v>
      </c>
      <c r="O253" s="364">
        <v>0</v>
      </c>
      <c r="P253" s="364">
        <v>15</v>
      </c>
      <c r="Q253" s="364">
        <f t="shared" si="233"/>
        <v>0</v>
      </c>
      <c r="R253" s="364">
        <v>0</v>
      </c>
      <c r="S253" s="364">
        <v>0</v>
      </c>
      <c r="T253" s="353" t="s">
        <v>145</v>
      </c>
      <c r="U253" s="365" t="s">
        <v>367</v>
      </c>
      <c r="V253" s="141"/>
    </row>
    <row r="254" spans="2:22" ht="13.5" thickBot="1" x14ac:dyDescent="0.25">
      <c r="B254" s="364">
        <f t="shared" ref="B254:R254" si="238">SUM(B252:B253)</f>
        <v>61</v>
      </c>
      <c r="C254" s="364">
        <f t="shared" si="238"/>
        <v>0</v>
      </c>
      <c r="D254" s="364">
        <f t="shared" si="238"/>
        <v>61</v>
      </c>
      <c r="E254" s="364">
        <f t="shared" si="238"/>
        <v>4</v>
      </c>
      <c r="F254" s="364">
        <f t="shared" si="238"/>
        <v>0</v>
      </c>
      <c r="G254" s="364">
        <f t="shared" si="238"/>
        <v>4</v>
      </c>
      <c r="H254" s="364">
        <f t="shared" si="238"/>
        <v>15</v>
      </c>
      <c r="I254" s="364">
        <f t="shared" si="238"/>
        <v>0</v>
      </c>
      <c r="J254" s="364">
        <f t="shared" si="238"/>
        <v>15</v>
      </c>
      <c r="K254" s="364">
        <f t="shared" si="238"/>
        <v>27</v>
      </c>
      <c r="L254" s="364">
        <f t="shared" si="238"/>
        <v>0</v>
      </c>
      <c r="M254" s="364">
        <f t="shared" si="238"/>
        <v>27</v>
      </c>
      <c r="N254" s="364">
        <f t="shared" si="238"/>
        <v>15</v>
      </c>
      <c r="O254" s="364">
        <f t="shared" si="238"/>
        <v>0</v>
      </c>
      <c r="P254" s="364">
        <f t="shared" si="238"/>
        <v>15</v>
      </c>
      <c r="Q254" s="364">
        <f t="shared" si="238"/>
        <v>0</v>
      </c>
      <c r="R254" s="364">
        <f t="shared" si="238"/>
        <v>0</v>
      </c>
      <c r="S254" s="364">
        <f>SUM(S252:S253)</f>
        <v>0</v>
      </c>
      <c r="T254" s="353" t="s">
        <v>12</v>
      </c>
      <c r="U254" s="366"/>
      <c r="V254" s="141"/>
    </row>
    <row r="255" spans="2:22" ht="13.5" thickBot="1" x14ac:dyDescent="0.25">
      <c r="B255" s="364">
        <f t="shared" si="227"/>
        <v>7</v>
      </c>
      <c r="C255" s="364">
        <f t="shared" si="228"/>
        <v>0</v>
      </c>
      <c r="D255" s="364">
        <f t="shared" si="228"/>
        <v>7</v>
      </c>
      <c r="E255" s="364">
        <f t="shared" si="229"/>
        <v>6</v>
      </c>
      <c r="F255" s="364">
        <v>0</v>
      </c>
      <c r="G255" s="364">
        <v>6</v>
      </c>
      <c r="H255" s="364">
        <f t="shared" si="230"/>
        <v>0</v>
      </c>
      <c r="I255" s="364">
        <v>0</v>
      </c>
      <c r="J255" s="364">
        <v>0</v>
      </c>
      <c r="K255" s="364">
        <f t="shared" si="231"/>
        <v>1</v>
      </c>
      <c r="L255" s="364">
        <v>0</v>
      </c>
      <c r="M255" s="364">
        <v>1</v>
      </c>
      <c r="N255" s="364">
        <f t="shared" si="232"/>
        <v>0</v>
      </c>
      <c r="O255" s="364">
        <v>0</v>
      </c>
      <c r="P255" s="364">
        <v>0</v>
      </c>
      <c r="Q255" s="364">
        <f t="shared" si="233"/>
        <v>0</v>
      </c>
      <c r="R255" s="364">
        <v>0</v>
      </c>
      <c r="S255" s="364">
        <v>0</v>
      </c>
      <c r="T255" s="353" t="s">
        <v>146</v>
      </c>
      <c r="U255" s="365"/>
      <c r="V255" s="141"/>
    </row>
    <row r="256" spans="2:22" ht="13.5" thickBot="1" x14ac:dyDescent="0.25">
      <c r="B256" s="364">
        <f t="shared" si="227"/>
        <v>12</v>
      </c>
      <c r="C256" s="364">
        <f t="shared" si="228"/>
        <v>0</v>
      </c>
      <c r="D256" s="364">
        <f t="shared" si="228"/>
        <v>12</v>
      </c>
      <c r="E256" s="364">
        <f t="shared" si="229"/>
        <v>4</v>
      </c>
      <c r="F256" s="364">
        <v>0</v>
      </c>
      <c r="G256" s="364">
        <v>4</v>
      </c>
      <c r="H256" s="364">
        <f t="shared" si="230"/>
        <v>0</v>
      </c>
      <c r="I256" s="364">
        <v>0</v>
      </c>
      <c r="J256" s="364">
        <v>0</v>
      </c>
      <c r="K256" s="364">
        <f t="shared" si="231"/>
        <v>7</v>
      </c>
      <c r="L256" s="364">
        <v>0</v>
      </c>
      <c r="M256" s="364">
        <v>7</v>
      </c>
      <c r="N256" s="364">
        <f t="shared" si="232"/>
        <v>1</v>
      </c>
      <c r="O256" s="364">
        <v>0</v>
      </c>
      <c r="P256" s="364">
        <v>1</v>
      </c>
      <c r="Q256" s="364">
        <f t="shared" si="233"/>
        <v>0</v>
      </c>
      <c r="R256" s="364">
        <v>0</v>
      </c>
      <c r="S256" s="364">
        <v>0</v>
      </c>
      <c r="T256" s="353" t="s">
        <v>145</v>
      </c>
      <c r="U256" s="365" t="s">
        <v>405</v>
      </c>
      <c r="V256" s="141"/>
    </row>
    <row r="257" spans="2:22" ht="13.5" thickBot="1" x14ac:dyDescent="0.25">
      <c r="B257" s="364">
        <f t="shared" ref="B257:R257" si="239">SUM(B255:B256)</f>
        <v>19</v>
      </c>
      <c r="C257" s="364">
        <f t="shared" si="239"/>
        <v>0</v>
      </c>
      <c r="D257" s="364">
        <f t="shared" si="239"/>
        <v>19</v>
      </c>
      <c r="E257" s="364">
        <f t="shared" si="239"/>
        <v>10</v>
      </c>
      <c r="F257" s="364">
        <f t="shared" si="239"/>
        <v>0</v>
      </c>
      <c r="G257" s="364">
        <f t="shared" si="239"/>
        <v>10</v>
      </c>
      <c r="H257" s="364">
        <f t="shared" si="239"/>
        <v>0</v>
      </c>
      <c r="I257" s="364">
        <f t="shared" si="239"/>
        <v>0</v>
      </c>
      <c r="J257" s="364">
        <f t="shared" si="239"/>
        <v>0</v>
      </c>
      <c r="K257" s="364">
        <f t="shared" si="239"/>
        <v>8</v>
      </c>
      <c r="L257" s="364">
        <f t="shared" si="239"/>
        <v>0</v>
      </c>
      <c r="M257" s="364">
        <f t="shared" si="239"/>
        <v>8</v>
      </c>
      <c r="N257" s="364">
        <f t="shared" si="239"/>
        <v>1</v>
      </c>
      <c r="O257" s="364">
        <f t="shared" si="239"/>
        <v>0</v>
      </c>
      <c r="P257" s="364">
        <f t="shared" si="239"/>
        <v>1</v>
      </c>
      <c r="Q257" s="364">
        <f t="shared" si="239"/>
        <v>0</v>
      </c>
      <c r="R257" s="364">
        <f t="shared" si="239"/>
        <v>0</v>
      </c>
      <c r="S257" s="364">
        <f>SUM(S255:S256)</f>
        <v>0</v>
      </c>
      <c r="T257" s="353" t="s">
        <v>12</v>
      </c>
      <c r="U257" s="366"/>
      <c r="V257" s="141"/>
    </row>
    <row r="258" spans="2:22" ht="13.5" thickBot="1" x14ac:dyDescent="0.25">
      <c r="B258" s="364">
        <f t="shared" si="227"/>
        <v>11</v>
      </c>
      <c r="C258" s="364">
        <f t="shared" si="228"/>
        <v>0</v>
      </c>
      <c r="D258" s="364">
        <f t="shared" si="228"/>
        <v>11</v>
      </c>
      <c r="E258" s="364">
        <f t="shared" si="229"/>
        <v>0</v>
      </c>
      <c r="F258" s="364">
        <v>0</v>
      </c>
      <c r="G258" s="364">
        <v>0</v>
      </c>
      <c r="H258" s="364">
        <f t="shared" si="230"/>
        <v>4</v>
      </c>
      <c r="I258" s="364">
        <v>0</v>
      </c>
      <c r="J258" s="364">
        <v>4</v>
      </c>
      <c r="K258" s="364">
        <f t="shared" si="231"/>
        <v>7</v>
      </c>
      <c r="L258" s="364">
        <v>0</v>
      </c>
      <c r="M258" s="364">
        <v>7</v>
      </c>
      <c r="N258" s="364">
        <f t="shared" si="232"/>
        <v>0</v>
      </c>
      <c r="O258" s="364">
        <v>0</v>
      </c>
      <c r="P258" s="364">
        <v>0</v>
      </c>
      <c r="Q258" s="364">
        <f t="shared" si="233"/>
        <v>0</v>
      </c>
      <c r="R258" s="364">
        <v>0</v>
      </c>
      <c r="S258" s="364">
        <v>0</v>
      </c>
      <c r="T258" s="353" t="s">
        <v>146</v>
      </c>
      <c r="U258" s="365"/>
      <c r="V258" s="141"/>
    </row>
    <row r="259" spans="2:22" ht="13.5" thickBot="1" x14ac:dyDescent="0.25">
      <c r="B259" s="364">
        <f t="shared" si="227"/>
        <v>0</v>
      </c>
      <c r="C259" s="364">
        <f t="shared" si="228"/>
        <v>0</v>
      </c>
      <c r="D259" s="364">
        <f t="shared" si="228"/>
        <v>0</v>
      </c>
      <c r="E259" s="364">
        <f t="shared" si="229"/>
        <v>0</v>
      </c>
      <c r="F259" s="364">
        <v>0</v>
      </c>
      <c r="G259" s="364">
        <v>0</v>
      </c>
      <c r="H259" s="364">
        <f t="shared" si="230"/>
        <v>0</v>
      </c>
      <c r="I259" s="364">
        <v>0</v>
      </c>
      <c r="J259" s="364">
        <v>0</v>
      </c>
      <c r="K259" s="364">
        <f t="shared" si="231"/>
        <v>0</v>
      </c>
      <c r="L259" s="364">
        <v>0</v>
      </c>
      <c r="M259" s="364">
        <v>0</v>
      </c>
      <c r="N259" s="364">
        <f t="shared" si="232"/>
        <v>0</v>
      </c>
      <c r="O259" s="364">
        <v>0</v>
      </c>
      <c r="P259" s="364">
        <v>0</v>
      </c>
      <c r="Q259" s="364">
        <f t="shared" si="233"/>
        <v>0</v>
      </c>
      <c r="R259" s="364">
        <v>0</v>
      </c>
      <c r="S259" s="364">
        <v>0</v>
      </c>
      <c r="T259" s="353" t="s">
        <v>145</v>
      </c>
      <c r="U259" s="365" t="s">
        <v>91</v>
      </c>
      <c r="V259" s="141"/>
    </row>
    <row r="260" spans="2:22" ht="13.5" thickBot="1" x14ac:dyDescent="0.25">
      <c r="B260" s="364">
        <f t="shared" ref="B260:R260" si="240">SUM(B258:B259)</f>
        <v>11</v>
      </c>
      <c r="C260" s="364">
        <f t="shared" si="240"/>
        <v>0</v>
      </c>
      <c r="D260" s="364">
        <f t="shared" si="240"/>
        <v>11</v>
      </c>
      <c r="E260" s="364">
        <f t="shared" si="240"/>
        <v>0</v>
      </c>
      <c r="F260" s="364">
        <f t="shared" si="240"/>
        <v>0</v>
      </c>
      <c r="G260" s="364">
        <f t="shared" si="240"/>
        <v>0</v>
      </c>
      <c r="H260" s="364">
        <f t="shared" si="240"/>
        <v>4</v>
      </c>
      <c r="I260" s="364">
        <f t="shared" si="240"/>
        <v>0</v>
      </c>
      <c r="J260" s="364">
        <f t="shared" si="240"/>
        <v>4</v>
      </c>
      <c r="K260" s="364">
        <f t="shared" si="240"/>
        <v>7</v>
      </c>
      <c r="L260" s="364">
        <f t="shared" si="240"/>
        <v>0</v>
      </c>
      <c r="M260" s="364">
        <f t="shared" si="240"/>
        <v>7</v>
      </c>
      <c r="N260" s="364">
        <f t="shared" si="240"/>
        <v>0</v>
      </c>
      <c r="O260" s="364">
        <f t="shared" si="240"/>
        <v>0</v>
      </c>
      <c r="P260" s="364">
        <f t="shared" si="240"/>
        <v>0</v>
      </c>
      <c r="Q260" s="364">
        <f t="shared" si="240"/>
        <v>0</v>
      </c>
      <c r="R260" s="364">
        <f t="shared" si="240"/>
        <v>0</v>
      </c>
      <c r="S260" s="364">
        <f>SUM(S258:S259)</f>
        <v>0</v>
      </c>
      <c r="T260" s="353" t="s">
        <v>12</v>
      </c>
      <c r="U260" s="366"/>
      <c r="V260" s="141"/>
    </row>
    <row r="261" spans="2:22" ht="13.5" thickBot="1" x14ac:dyDescent="0.25">
      <c r="B261" s="364">
        <f t="shared" si="227"/>
        <v>888</v>
      </c>
      <c r="C261" s="364">
        <f t="shared" si="228"/>
        <v>0</v>
      </c>
      <c r="D261" s="364">
        <f t="shared" si="228"/>
        <v>888</v>
      </c>
      <c r="E261" s="364">
        <f t="shared" si="229"/>
        <v>360</v>
      </c>
      <c r="F261" s="364">
        <v>0</v>
      </c>
      <c r="G261" s="364">
        <v>360</v>
      </c>
      <c r="H261" s="364">
        <f t="shared" si="230"/>
        <v>426</v>
      </c>
      <c r="I261" s="364">
        <v>0</v>
      </c>
      <c r="J261" s="364">
        <v>426</v>
      </c>
      <c r="K261" s="364">
        <f t="shared" si="231"/>
        <v>99</v>
      </c>
      <c r="L261" s="364">
        <v>0</v>
      </c>
      <c r="M261" s="364">
        <v>99</v>
      </c>
      <c r="N261" s="364">
        <f t="shared" si="232"/>
        <v>2</v>
      </c>
      <c r="O261" s="364">
        <v>0</v>
      </c>
      <c r="P261" s="364">
        <v>2</v>
      </c>
      <c r="Q261" s="364">
        <f t="shared" si="233"/>
        <v>1</v>
      </c>
      <c r="R261" s="364">
        <v>0</v>
      </c>
      <c r="S261" s="364">
        <v>1</v>
      </c>
      <c r="T261" s="353" t="s">
        <v>146</v>
      </c>
      <c r="U261" s="365"/>
      <c r="V261" s="141"/>
    </row>
    <row r="262" spans="2:22" ht="13.5" thickBot="1" x14ac:dyDescent="0.25">
      <c r="B262" s="364">
        <f t="shared" si="227"/>
        <v>197</v>
      </c>
      <c r="C262" s="364">
        <f t="shared" si="228"/>
        <v>3</v>
      </c>
      <c r="D262" s="364">
        <f t="shared" si="228"/>
        <v>194</v>
      </c>
      <c r="E262" s="364">
        <f t="shared" si="229"/>
        <v>8</v>
      </c>
      <c r="F262" s="364">
        <v>1</v>
      </c>
      <c r="G262" s="364">
        <v>7</v>
      </c>
      <c r="H262" s="364">
        <f t="shared" si="230"/>
        <v>89</v>
      </c>
      <c r="I262" s="364">
        <v>1</v>
      </c>
      <c r="J262" s="364">
        <v>88</v>
      </c>
      <c r="K262" s="364">
        <f t="shared" si="231"/>
        <v>96</v>
      </c>
      <c r="L262" s="364">
        <v>1</v>
      </c>
      <c r="M262" s="364">
        <v>95</v>
      </c>
      <c r="N262" s="364">
        <f t="shared" si="232"/>
        <v>1</v>
      </c>
      <c r="O262" s="364">
        <v>0</v>
      </c>
      <c r="P262" s="364">
        <v>1</v>
      </c>
      <c r="Q262" s="364">
        <f t="shared" si="233"/>
        <v>3</v>
      </c>
      <c r="R262" s="364">
        <v>0</v>
      </c>
      <c r="S262" s="364">
        <v>3</v>
      </c>
      <c r="T262" s="353" t="s">
        <v>145</v>
      </c>
      <c r="U262" s="365" t="s">
        <v>744</v>
      </c>
      <c r="V262" s="141"/>
    </row>
    <row r="263" spans="2:22" ht="13.5" thickBot="1" x14ac:dyDescent="0.25">
      <c r="B263" s="364">
        <f t="shared" ref="B263:R263" si="241">SUM(B261:B262)</f>
        <v>1085</v>
      </c>
      <c r="C263" s="364">
        <f t="shared" si="241"/>
        <v>3</v>
      </c>
      <c r="D263" s="364">
        <f t="shared" si="241"/>
        <v>1082</v>
      </c>
      <c r="E263" s="364">
        <f t="shared" si="241"/>
        <v>368</v>
      </c>
      <c r="F263" s="364">
        <f t="shared" si="241"/>
        <v>1</v>
      </c>
      <c r="G263" s="364">
        <f t="shared" si="241"/>
        <v>367</v>
      </c>
      <c r="H263" s="364">
        <f t="shared" si="241"/>
        <v>515</v>
      </c>
      <c r="I263" s="364">
        <f t="shared" si="241"/>
        <v>1</v>
      </c>
      <c r="J263" s="364">
        <f t="shared" si="241"/>
        <v>514</v>
      </c>
      <c r="K263" s="364">
        <f t="shared" si="241"/>
        <v>195</v>
      </c>
      <c r="L263" s="364">
        <f t="shared" si="241"/>
        <v>1</v>
      </c>
      <c r="M263" s="364">
        <f t="shared" si="241"/>
        <v>194</v>
      </c>
      <c r="N263" s="364">
        <f t="shared" si="241"/>
        <v>3</v>
      </c>
      <c r="O263" s="364">
        <f t="shared" si="241"/>
        <v>0</v>
      </c>
      <c r="P263" s="364">
        <f t="shared" si="241"/>
        <v>3</v>
      </c>
      <c r="Q263" s="364">
        <f t="shared" si="241"/>
        <v>4</v>
      </c>
      <c r="R263" s="364">
        <f t="shared" si="241"/>
        <v>0</v>
      </c>
      <c r="S263" s="364">
        <f>SUM(S261:S262)</f>
        <v>4</v>
      </c>
      <c r="T263" s="353" t="s">
        <v>12</v>
      </c>
      <c r="U263" s="366"/>
      <c r="V263" s="141"/>
    </row>
    <row r="264" spans="2:22" ht="13.5" thickBot="1" x14ac:dyDescent="0.25">
      <c r="B264" s="364">
        <f t="shared" si="227"/>
        <v>2</v>
      </c>
      <c r="C264" s="364">
        <f t="shared" si="228"/>
        <v>0</v>
      </c>
      <c r="D264" s="364">
        <f t="shared" si="228"/>
        <v>2</v>
      </c>
      <c r="E264" s="364">
        <f t="shared" si="229"/>
        <v>0</v>
      </c>
      <c r="F264" s="364">
        <v>0</v>
      </c>
      <c r="G264" s="364">
        <v>0</v>
      </c>
      <c r="H264" s="364">
        <f t="shared" si="230"/>
        <v>2</v>
      </c>
      <c r="I264" s="364">
        <v>0</v>
      </c>
      <c r="J264" s="364">
        <v>2</v>
      </c>
      <c r="K264" s="364">
        <f t="shared" si="231"/>
        <v>0</v>
      </c>
      <c r="L264" s="364">
        <v>0</v>
      </c>
      <c r="M264" s="364">
        <v>0</v>
      </c>
      <c r="N264" s="364">
        <f t="shared" si="232"/>
        <v>0</v>
      </c>
      <c r="O264" s="364">
        <v>0</v>
      </c>
      <c r="P264" s="364">
        <v>0</v>
      </c>
      <c r="Q264" s="364">
        <f t="shared" si="233"/>
        <v>0</v>
      </c>
      <c r="R264" s="364">
        <v>0</v>
      </c>
      <c r="S264" s="364">
        <v>0</v>
      </c>
      <c r="T264" s="353" t="s">
        <v>146</v>
      </c>
      <c r="U264" s="365"/>
      <c r="V264" s="141"/>
    </row>
    <row r="265" spans="2:22" ht="13.5" thickBot="1" x14ac:dyDescent="0.25">
      <c r="B265" s="364">
        <f t="shared" si="227"/>
        <v>0</v>
      </c>
      <c r="C265" s="364">
        <f t="shared" si="228"/>
        <v>0</v>
      </c>
      <c r="D265" s="364">
        <f t="shared" si="228"/>
        <v>0</v>
      </c>
      <c r="E265" s="364">
        <f t="shared" si="229"/>
        <v>0</v>
      </c>
      <c r="F265" s="364">
        <v>0</v>
      </c>
      <c r="G265" s="364">
        <v>0</v>
      </c>
      <c r="H265" s="364">
        <f t="shared" si="230"/>
        <v>0</v>
      </c>
      <c r="I265" s="364">
        <v>0</v>
      </c>
      <c r="J265" s="364">
        <v>0</v>
      </c>
      <c r="K265" s="364">
        <f t="shared" si="231"/>
        <v>0</v>
      </c>
      <c r="L265" s="364">
        <v>0</v>
      </c>
      <c r="M265" s="364">
        <v>0</v>
      </c>
      <c r="N265" s="364">
        <f t="shared" si="232"/>
        <v>0</v>
      </c>
      <c r="O265" s="364">
        <v>0</v>
      </c>
      <c r="P265" s="364">
        <v>0</v>
      </c>
      <c r="Q265" s="364">
        <f t="shared" si="233"/>
        <v>0</v>
      </c>
      <c r="R265" s="364">
        <v>0</v>
      </c>
      <c r="S265" s="364">
        <v>0</v>
      </c>
      <c r="T265" s="353" t="s">
        <v>145</v>
      </c>
      <c r="U265" s="365" t="s">
        <v>763</v>
      </c>
      <c r="V265" s="141"/>
    </row>
    <row r="266" spans="2:22" ht="13.5" thickBot="1" x14ac:dyDescent="0.25">
      <c r="B266" s="364">
        <f t="shared" ref="B266:R266" si="242">SUM(B264:B265)</f>
        <v>2</v>
      </c>
      <c r="C266" s="364">
        <f t="shared" si="242"/>
        <v>0</v>
      </c>
      <c r="D266" s="364">
        <f t="shared" si="242"/>
        <v>2</v>
      </c>
      <c r="E266" s="364">
        <f t="shared" si="242"/>
        <v>0</v>
      </c>
      <c r="F266" s="364">
        <f t="shared" si="242"/>
        <v>0</v>
      </c>
      <c r="G266" s="364">
        <f t="shared" si="242"/>
        <v>0</v>
      </c>
      <c r="H266" s="364">
        <f t="shared" si="242"/>
        <v>2</v>
      </c>
      <c r="I266" s="364">
        <f t="shared" si="242"/>
        <v>0</v>
      </c>
      <c r="J266" s="364">
        <f t="shared" si="242"/>
        <v>2</v>
      </c>
      <c r="K266" s="364">
        <f t="shared" si="242"/>
        <v>0</v>
      </c>
      <c r="L266" s="364">
        <f t="shared" si="242"/>
        <v>0</v>
      </c>
      <c r="M266" s="364">
        <f t="shared" si="242"/>
        <v>0</v>
      </c>
      <c r="N266" s="364">
        <f t="shared" si="242"/>
        <v>0</v>
      </c>
      <c r="O266" s="364">
        <f t="shared" si="242"/>
        <v>0</v>
      </c>
      <c r="P266" s="364">
        <f t="shared" si="242"/>
        <v>0</v>
      </c>
      <c r="Q266" s="364">
        <f t="shared" si="242"/>
        <v>0</v>
      </c>
      <c r="R266" s="364">
        <f t="shared" si="242"/>
        <v>0</v>
      </c>
      <c r="S266" s="364">
        <f>SUM(S264:S265)</f>
        <v>0</v>
      </c>
      <c r="T266" s="353" t="s">
        <v>12</v>
      </c>
      <c r="U266" s="366"/>
      <c r="V266" s="141"/>
    </row>
    <row r="267" spans="2:22" ht="13.5" thickBot="1" x14ac:dyDescent="0.25">
      <c r="B267" s="364">
        <f t="shared" si="227"/>
        <v>21</v>
      </c>
      <c r="C267" s="364">
        <f t="shared" si="228"/>
        <v>0</v>
      </c>
      <c r="D267" s="364">
        <f t="shared" si="228"/>
        <v>21</v>
      </c>
      <c r="E267" s="364">
        <f t="shared" si="229"/>
        <v>6</v>
      </c>
      <c r="F267" s="364">
        <v>0</v>
      </c>
      <c r="G267" s="364">
        <v>6</v>
      </c>
      <c r="H267" s="364">
        <f t="shared" si="230"/>
        <v>11</v>
      </c>
      <c r="I267" s="364">
        <v>0</v>
      </c>
      <c r="J267" s="364">
        <v>11</v>
      </c>
      <c r="K267" s="364">
        <f t="shared" si="231"/>
        <v>4</v>
      </c>
      <c r="L267" s="364">
        <v>0</v>
      </c>
      <c r="M267" s="364">
        <v>4</v>
      </c>
      <c r="N267" s="364">
        <f t="shared" si="232"/>
        <v>0</v>
      </c>
      <c r="O267" s="364">
        <v>0</v>
      </c>
      <c r="P267" s="364">
        <v>0</v>
      </c>
      <c r="Q267" s="364">
        <f t="shared" si="233"/>
        <v>0</v>
      </c>
      <c r="R267" s="364">
        <v>0</v>
      </c>
      <c r="S267" s="364">
        <v>0</v>
      </c>
      <c r="T267" s="353" t="s">
        <v>146</v>
      </c>
      <c r="U267" s="365"/>
      <c r="V267" s="141"/>
    </row>
    <row r="268" spans="2:22" ht="13.5" thickBot="1" x14ac:dyDescent="0.25">
      <c r="B268" s="364">
        <f t="shared" si="227"/>
        <v>8</v>
      </c>
      <c r="C268" s="364">
        <f t="shared" si="228"/>
        <v>0</v>
      </c>
      <c r="D268" s="364">
        <f t="shared" si="228"/>
        <v>8</v>
      </c>
      <c r="E268" s="364">
        <f t="shared" si="229"/>
        <v>0</v>
      </c>
      <c r="F268" s="364">
        <v>0</v>
      </c>
      <c r="G268" s="364">
        <v>0</v>
      </c>
      <c r="H268" s="364">
        <f t="shared" si="230"/>
        <v>3</v>
      </c>
      <c r="I268" s="364">
        <v>0</v>
      </c>
      <c r="J268" s="364">
        <v>3</v>
      </c>
      <c r="K268" s="364">
        <f t="shared" si="231"/>
        <v>5</v>
      </c>
      <c r="L268" s="364">
        <v>0</v>
      </c>
      <c r="M268" s="364">
        <v>5</v>
      </c>
      <c r="N268" s="364">
        <f t="shared" si="232"/>
        <v>0</v>
      </c>
      <c r="O268" s="364">
        <v>0</v>
      </c>
      <c r="P268" s="364">
        <v>0</v>
      </c>
      <c r="Q268" s="364">
        <f t="shared" si="233"/>
        <v>0</v>
      </c>
      <c r="R268" s="364">
        <v>0</v>
      </c>
      <c r="S268" s="364">
        <v>0</v>
      </c>
      <c r="T268" s="353" t="s">
        <v>145</v>
      </c>
      <c r="U268" s="365" t="s">
        <v>764</v>
      </c>
      <c r="V268" s="141"/>
    </row>
    <row r="269" spans="2:22" ht="13.5" thickBot="1" x14ac:dyDescent="0.25">
      <c r="B269" s="364">
        <f t="shared" ref="B269:R269" si="243">SUM(B267:B268)</f>
        <v>29</v>
      </c>
      <c r="C269" s="364">
        <f t="shared" si="243"/>
        <v>0</v>
      </c>
      <c r="D269" s="364">
        <f t="shared" si="243"/>
        <v>29</v>
      </c>
      <c r="E269" s="364">
        <f t="shared" si="243"/>
        <v>6</v>
      </c>
      <c r="F269" s="364">
        <f t="shared" si="243"/>
        <v>0</v>
      </c>
      <c r="G269" s="364">
        <f t="shared" si="243"/>
        <v>6</v>
      </c>
      <c r="H269" s="364">
        <f t="shared" si="243"/>
        <v>14</v>
      </c>
      <c r="I269" s="364">
        <f t="shared" si="243"/>
        <v>0</v>
      </c>
      <c r="J269" s="364">
        <f t="shared" si="243"/>
        <v>14</v>
      </c>
      <c r="K269" s="364">
        <f t="shared" si="243"/>
        <v>9</v>
      </c>
      <c r="L269" s="364">
        <f t="shared" si="243"/>
        <v>0</v>
      </c>
      <c r="M269" s="364">
        <f t="shared" si="243"/>
        <v>9</v>
      </c>
      <c r="N269" s="364">
        <f t="shared" si="243"/>
        <v>0</v>
      </c>
      <c r="O269" s="364">
        <f t="shared" si="243"/>
        <v>0</v>
      </c>
      <c r="P269" s="364">
        <f t="shared" si="243"/>
        <v>0</v>
      </c>
      <c r="Q269" s="364">
        <f t="shared" si="243"/>
        <v>0</v>
      </c>
      <c r="R269" s="364">
        <f t="shared" si="243"/>
        <v>0</v>
      </c>
      <c r="S269" s="364">
        <f>SUM(S267:S268)</f>
        <v>0</v>
      </c>
      <c r="T269" s="353" t="s">
        <v>12</v>
      </c>
      <c r="U269" s="366"/>
      <c r="V269" s="141"/>
    </row>
    <row r="270" spans="2:22" ht="13.5" thickBot="1" x14ac:dyDescent="0.25">
      <c r="B270" s="364">
        <f t="shared" ref="B270:R272" si="244">B240+B243+B246+B249+B252+B255+B258+B261+B264+B267</f>
        <v>1035</v>
      </c>
      <c r="C270" s="364">
        <f t="shared" si="244"/>
        <v>0</v>
      </c>
      <c r="D270" s="364">
        <f t="shared" si="244"/>
        <v>1035</v>
      </c>
      <c r="E270" s="364">
        <f t="shared" si="244"/>
        <v>412</v>
      </c>
      <c r="F270" s="364">
        <f t="shared" si="244"/>
        <v>0</v>
      </c>
      <c r="G270" s="364">
        <f t="shared" si="244"/>
        <v>412</v>
      </c>
      <c r="H270" s="364">
        <f t="shared" si="244"/>
        <v>483</v>
      </c>
      <c r="I270" s="364">
        <f t="shared" si="244"/>
        <v>0</v>
      </c>
      <c r="J270" s="364">
        <f t="shared" si="244"/>
        <v>483</v>
      </c>
      <c r="K270" s="364">
        <f t="shared" si="244"/>
        <v>134</v>
      </c>
      <c r="L270" s="364">
        <f t="shared" si="244"/>
        <v>0</v>
      </c>
      <c r="M270" s="364">
        <f t="shared" si="244"/>
        <v>134</v>
      </c>
      <c r="N270" s="364">
        <f t="shared" si="244"/>
        <v>4</v>
      </c>
      <c r="O270" s="364">
        <f t="shared" si="244"/>
        <v>0</v>
      </c>
      <c r="P270" s="364">
        <f t="shared" si="244"/>
        <v>4</v>
      </c>
      <c r="Q270" s="364">
        <f t="shared" si="244"/>
        <v>2</v>
      </c>
      <c r="R270" s="364">
        <f t="shared" si="244"/>
        <v>0</v>
      </c>
      <c r="S270" s="364">
        <f>S240+S243+S246+S249+S252+S255+S258+S261+S264+S267</f>
        <v>2</v>
      </c>
      <c r="T270" s="353" t="s">
        <v>146</v>
      </c>
      <c r="U270" s="367"/>
      <c r="V270" s="141"/>
    </row>
    <row r="271" spans="2:22" ht="13.5" thickBot="1" x14ac:dyDescent="0.25">
      <c r="B271" s="364">
        <f t="shared" si="244"/>
        <v>344</v>
      </c>
      <c r="C271" s="364">
        <f t="shared" si="244"/>
        <v>3</v>
      </c>
      <c r="D271" s="364">
        <f t="shared" si="244"/>
        <v>341</v>
      </c>
      <c r="E271" s="364">
        <f t="shared" si="244"/>
        <v>14</v>
      </c>
      <c r="F271" s="364">
        <f t="shared" si="244"/>
        <v>1</v>
      </c>
      <c r="G271" s="364">
        <f t="shared" si="244"/>
        <v>13</v>
      </c>
      <c r="H271" s="364">
        <f t="shared" si="244"/>
        <v>124</v>
      </c>
      <c r="I271" s="364">
        <f t="shared" si="244"/>
        <v>1</v>
      </c>
      <c r="J271" s="364">
        <f t="shared" si="244"/>
        <v>123</v>
      </c>
      <c r="K271" s="364">
        <f t="shared" si="244"/>
        <v>171</v>
      </c>
      <c r="L271" s="364">
        <f t="shared" si="244"/>
        <v>1</v>
      </c>
      <c r="M271" s="364">
        <f t="shared" si="244"/>
        <v>170</v>
      </c>
      <c r="N271" s="364">
        <f t="shared" si="244"/>
        <v>32</v>
      </c>
      <c r="O271" s="364">
        <f t="shared" si="244"/>
        <v>0</v>
      </c>
      <c r="P271" s="364">
        <f t="shared" si="244"/>
        <v>32</v>
      </c>
      <c r="Q271" s="364">
        <f t="shared" si="244"/>
        <v>3</v>
      </c>
      <c r="R271" s="364">
        <f t="shared" si="244"/>
        <v>0</v>
      </c>
      <c r="S271" s="364">
        <f t="shared" ref="S271:S272" si="245">S241+S244+S247+S250+S253+S256+S259+S262+S265+S268</f>
        <v>3</v>
      </c>
      <c r="T271" s="353" t="s">
        <v>145</v>
      </c>
      <c r="U271" s="368" t="s">
        <v>188</v>
      </c>
      <c r="V271" s="141"/>
    </row>
    <row r="272" spans="2:22" ht="13.5" thickBot="1" x14ac:dyDescent="0.25">
      <c r="B272" s="364">
        <f t="shared" si="244"/>
        <v>1379</v>
      </c>
      <c r="C272" s="364">
        <f t="shared" si="244"/>
        <v>3</v>
      </c>
      <c r="D272" s="364">
        <f t="shared" si="244"/>
        <v>1376</v>
      </c>
      <c r="E272" s="364">
        <f t="shared" si="244"/>
        <v>426</v>
      </c>
      <c r="F272" s="364">
        <f t="shared" si="244"/>
        <v>1</v>
      </c>
      <c r="G272" s="364">
        <f t="shared" si="244"/>
        <v>425</v>
      </c>
      <c r="H272" s="364">
        <f t="shared" si="244"/>
        <v>607</v>
      </c>
      <c r="I272" s="364">
        <f t="shared" si="244"/>
        <v>1</v>
      </c>
      <c r="J272" s="364">
        <f t="shared" si="244"/>
        <v>606</v>
      </c>
      <c r="K272" s="364">
        <f t="shared" si="244"/>
        <v>305</v>
      </c>
      <c r="L272" s="364">
        <f t="shared" si="244"/>
        <v>1</v>
      </c>
      <c r="M272" s="364">
        <f t="shared" si="244"/>
        <v>304</v>
      </c>
      <c r="N272" s="364">
        <f t="shared" si="244"/>
        <v>36</v>
      </c>
      <c r="O272" s="364">
        <f t="shared" si="244"/>
        <v>0</v>
      </c>
      <c r="P272" s="364">
        <f t="shared" si="244"/>
        <v>36</v>
      </c>
      <c r="Q272" s="364">
        <f t="shared" si="244"/>
        <v>5</v>
      </c>
      <c r="R272" s="364">
        <f t="shared" si="244"/>
        <v>0</v>
      </c>
      <c r="S272" s="364">
        <f t="shared" si="245"/>
        <v>5</v>
      </c>
      <c r="T272" s="353" t="s">
        <v>12</v>
      </c>
      <c r="U272" s="363"/>
      <c r="V272" s="141"/>
    </row>
    <row r="273" spans="2:22" ht="18" customHeight="1" thickBot="1" x14ac:dyDescent="0.25">
      <c r="B273" s="610"/>
      <c r="C273" s="610"/>
      <c r="D273" s="610"/>
      <c r="E273" s="610"/>
      <c r="F273" s="610"/>
      <c r="G273" s="610"/>
      <c r="H273" s="610"/>
      <c r="I273" s="610"/>
      <c r="J273" s="610"/>
      <c r="K273" s="610"/>
      <c r="L273" s="610"/>
      <c r="M273" s="610"/>
      <c r="N273" s="610"/>
      <c r="O273" s="610"/>
      <c r="P273" s="610"/>
      <c r="Q273" s="610"/>
      <c r="R273" s="610"/>
      <c r="S273" s="610"/>
      <c r="T273" s="610"/>
      <c r="U273" s="610"/>
      <c r="V273" s="141"/>
    </row>
    <row r="274" spans="2:22" ht="13.5" customHeight="1" thickBot="1" x14ac:dyDescent="0.25">
      <c r="B274" s="607" t="s">
        <v>4</v>
      </c>
      <c r="C274" s="607"/>
      <c r="D274" s="607"/>
      <c r="E274" s="607" t="s">
        <v>53</v>
      </c>
      <c r="F274" s="607"/>
      <c r="G274" s="607"/>
      <c r="H274" s="607" t="s">
        <v>61</v>
      </c>
      <c r="I274" s="607"/>
      <c r="J274" s="607"/>
      <c r="K274" s="607" t="s">
        <v>60</v>
      </c>
      <c r="L274" s="607"/>
      <c r="M274" s="607"/>
      <c r="N274" s="607" t="s">
        <v>57</v>
      </c>
      <c r="O274" s="607"/>
      <c r="P274" s="607"/>
      <c r="Q274" s="607" t="s">
        <v>56</v>
      </c>
      <c r="R274" s="607"/>
      <c r="S274" s="607"/>
      <c r="T274" s="608" t="s">
        <v>792</v>
      </c>
      <c r="U274" s="347" t="s">
        <v>144</v>
      </c>
      <c r="V274" s="141"/>
    </row>
    <row r="275" spans="2:22" ht="13.5" thickBot="1" x14ac:dyDescent="0.25">
      <c r="B275" s="347" t="s">
        <v>227</v>
      </c>
      <c r="C275" s="347" t="s">
        <v>10</v>
      </c>
      <c r="D275" s="347" t="s">
        <v>9</v>
      </c>
      <c r="E275" s="347" t="s">
        <v>227</v>
      </c>
      <c r="F275" s="347" t="s">
        <v>10</v>
      </c>
      <c r="G275" s="347" t="s">
        <v>9</v>
      </c>
      <c r="H275" s="347" t="s">
        <v>227</v>
      </c>
      <c r="I275" s="347" t="s">
        <v>10</v>
      </c>
      <c r="J275" s="347" t="s">
        <v>9</v>
      </c>
      <c r="K275" s="347" t="s">
        <v>227</v>
      </c>
      <c r="L275" s="347" t="s">
        <v>10</v>
      </c>
      <c r="M275" s="347" t="s">
        <v>9</v>
      </c>
      <c r="N275" s="347" t="s">
        <v>227</v>
      </c>
      <c r="O275" s="347" t="s">
        <v>10</v>
      </c>
      <c r="P275" s="347" t="s">
        <v>9</v>
      </c>
      <c r="Q275" s="347" t="s">
        <v>227</v>
      </c>
      <c r="R275" s="347" t="s">
        <v>10</v>
      </c>
      <c r="S275" s="347" t="s">
        <v>9</v>
      </c>
      <c r="T275" s="609"/>
      <c r="U275" s="363" t="s">
        <v>74</v>
      </c>
      <c r="V275" s="141"/>
    </row>
    <row r="276" spans="2:22" ht="13.5" thickBot="1" x14ac:dyDescent="0.25">
      <c r="B276" s="364">
        <f>SUM(C276:D276)</f>
        <v>34</v>
      </c>
      <c r="C276" s="364">
        <f>R276+O276+L276+I276+F276</f>
        <v>0</v>
      </c>
      <c r="D276" s="364">
        <f>S276+P276+M276+J276+G276</f>
        <v>34</v>
      </c>
      <c r="E276" s="364">
        <f>SUM(F276:G276)</f>
        <v>5</v>
      </c>
      <c r="F276" s="364">
        <v>0</v>
      </c>
      <c r="G276" s="364">
        <v>5</v>
      </c>
      <c r="H276" s="364">
        <f>SUM(I276:J276)</f>
        <v>22</v>
      </c>
      <c r="I276" s="364">
        <v>0</v>
      </c>
      <c r="J276" s="364">
        <v>22</v>
      </c>
      <c r="K276" s="364">
        <f>SUM(L276:M276)</f>
        <v>7</v>
      </c>
      <c r="L276" s="364">
        <v>0</v>
      </c>
      <c r="M276" s="364">
        <v>7</v>
      </c>
      <c r="N276" s="364">
        <f>SUM(O276:P276)</f>
        <v>0</v>
      </c>
      <c r="O276" s="364">
        <v>0</v>
      </c>
      <c r="P276" s="364">
        <v>0</v>
      </c>
      <c r="Q276" s="364">
        <f>SUM(R276:S276)</f>
        <v>0</v>
      </c>
      <c r="R276" s="364">
        <v>0</v>
      </c>
      <c r="S276" s="364">
        <v>0</v>
      </c>
      <c r="T276" s="353" t="s">
        <v>146</v>
      </c>
      <c r="U276" s="365"/>
      <c r="V276" s="141"/>
    </row>
    <row r="277" spans="2:22" ht="13.5" thickBot="1" x14ac:dyDescent="0.25">
      <c r="B277" s="364">
        <f t="shared" ref="B277" si="246">SUM(C277:D277)</f>
        <v>0</v>
      </c>
      <c r="C277" s="364">
        <f t="shared" ref="C277:D277" si="247">R277+O277+L277+I277+F277</f>
        <v>0</v>
      </c>
      <c r="D277" s="364">
        <f t="shared" si="247"/>
        <v>0</v>
      </c>
      <c r="E277" s="364">
        <f t="shared" ref="E277:E340" si="248">SUM(F277:G277)</f>
        <v>0</v>
      </c>
      <c r="F277" s="364">
        <v>0</v>
      </c>
      <c r="G277" s="364">
        <v>0</v>
      </c>
      <c r="H277" s="364">
        <f t="shared" ref="H277:H340" si="249">SUM(I277:J277)</f>
        <v>0</v>
      </c>
      <c r="I277" s="364">
        <v>0</v>
      </c>
      <c r="J277" s="364">
        <v>0</v>
      </c>
      <c r="K277" s="364">
        <f t="shared" ref="K277:K340" si="250">SUM(L277:M277)</f>
        <v>0</v>
      </c>
      <c r="L277" s="364">
        <v>0</v>
      </c>
      <c r="M277" s="364">
        <v>0</v>
      </c>
      <c r="N277" s="364">
        <f t="shared" ref="N277:N340" si="251">SUM(O277:P277)</f>
        <v>0</v>
      </c>
      <c r="O277" s="364">
        <v>0</v>
      </c>
      <c r="P277" s="364">
        <v>0</v>
      </c>
      <c r="Q277" s="364">
        <f t="shared" ref="Q277:Q340" si="252">SUM(R277:S277)</f>
        <v>0</v>
      </c>
      <c r="R277" s="364">
        <v>0</v>
      </c>
      <c r="S277" s="364">
        <v>0</v>
      </c>
      <c r="T277" s="353" t="s">
        <v>145</v>
      </c>
      <c r="U277" s="365" t="s">
        <v>649</v>
      </c>
      <c r="V277" s="141"/>
    </row>
    <row r="278" spans="2:22" ht="13.5" thickBot="1" x14ac:dyDescent="0.25">
      <c r="B278" s="364">
        <f t="shared" ref="B278:R278" si="253">SUM(B276:B277)</f>
        <v>34</v>
      </c>
      <c r="C278" s="364">
        <f t="shared" si="253"/>
        <v>0</v>
      </c>
      <c r="D278" s="364">
        <f t="shared" si="253"/>
        <v>34</v>
      </c>
      <c r="E278" s="364">
        <f t="shared" si="253"/>
        <v>5</v>
      </c>
      <c r="F278" s="364">
        <f t="shared" si="253"/>
        <v>0</v>
      </c>
      <c r="G278" s="364">
        <f t="shared" si="253"/>
        <v>5</v>
      </c>
      <c r="H278" s="364">
        <f t="shared" si="253"/>
        <v>22</v>
      </c>
      <c r="I278" s="364">
        <f t="shared" si="253"/>
        <v>0</v>
      </c>
      <c r="J278" s="364">
        <f t="shared" si="253"/>
        <v>22</v>
      </c>
      <c r="K278" s="364">
        <f t="shared" si="253"/>
        <v>7</v>
      </c>
      <c r="L278" s="364">
        <f t="shared" si="253"/>
        <v>0</v>
      </c>
      <c r="M278" s="364">
        <f t="shared" si="253"/>
        <v>7</v>
      </c>
      <c r="N278" s="364">
        <f t="shared" si="253"/>
        <v>0</v>
      </c>
      <c r="O278" s="364">
        <f t="shared" si="253"/>
        <v>0</v>
      </c>
      <c r="P278" s="364">
        <f t="shared" si="253"/>
        <v>0</v>
      </c>
      <c r="Q278" s="364">
        <f t="shared" si="253"/>
        <v>0</v>
      </c>
      <c r="R278" s="364">
        <f t="shared" si="253"/>
        <v>0</v>
      </c>
      <c r="S278" s="364">
        <f>SUM(S276:S277)</f>
        <v>0</v>
      </c>
      <c r="T278" s="353" t="s">
        <v>12</v>
      </c>
      <c r="U278" s="366"/>
      <c r="V278" s="141"/>
    </row>
    <row r="279" spans="2:22" ht="13.5" thickBot="1" x14ac:dyDescent="0.25">
      <c r="B279" s="364">
        <f t="shared" ref="B279:B280" si="254">SUM(C279:D279)</f>
        <v>30</v>
      </c>
      <c r="C279" s="364">
        <f t="shared" ref="C279:D280" si="255">R279+O279+L279+I279+F279</f>
        <v>0</v>
      </c>
      <c r="D279" s="364">
        <f t="shared" si="255"/>
        <v>30</v>
      </c>
      <c r="E279" s="364">
        <f t="shared" si="248"/>
        <v>0</v>
      </c>
      <c r="F279" s="364">
        <v>0</v>
      </c>
      <c r="G279" s="364">
        <v>0</v>
      </c>
      <c r="H279" s="364">
        <f t="shared" si="249"/>
        <v>14</v>
      </c>
      <c r="I279" s="364">
        <v>0</v>
      </c>
      <c r="J279" s="364">
        <v>14</v>
      </c>
      <c r="K279" s="364">
        <f t="shared" si="250"/>
        <v>16</v>
      </c>
      <c r="L279" s="364">
        <v>0</v>
      </c>
      <c r="M279" s="364">
        <v>16</v>
      </c>
      <c r="N279" s="364">
        <f t="shared" si="251"/>
        <v>0</v>
      </c>
      <c r="O279" s="364">
        <v>0</v>
      </c>
      <c r="P279" s="364">
        <v>0</v>
      </c>
      <c r="Q279" s="364">
        <f t="shared" si="252"/>
        <v>0</v>
      </c>
      <c r="R279" s="364">
        <v>0</v>
      </c>
      <c r="S279" s="364">
        <v>0</v>
      </c>
      <c r="T279" s="353" t="s">
        <v>146</v>
      </c>
      <c r="U279" s="365"/>
      <c r="V279" s="141"/>
    </row>
    <row r="280" spans="2:22" ht="13.5" thickBot="1" x14ac:dyDescent="0.25">
      <c r="B280" s="364">
        <f t="shared" si="254"/>
        <v>0</v>
      </c>
      <c r="C280" s="364">
        <f t="shared" si="255"/>
        <v>0</v>
      </c>
      <c r="D280" s="364">
        <f t="shared" si="255"/>
        <v>0</v>
      </c>
      <c r="E280" s="364">
        <f t="shared" si="248"/>
        <v>0</v>
      </c>
      <c r="F280" s="364">
        <v>0</v>
      </c>
      <c r="G280" s="364">
        <v>0</v>
      </c>
      <c r="H280" s="364">
        <f t="shared" si="249"/>
        <v>0</v>
      </c>
      <c r="I280" s="364">
        <v>0</v>
      </c>
      <c r="J280" s="364">
        <v>0</v>
      </c>
      <c r="K280" s="364">
        <f t="shared" si="250"/>
        <v>0</v>
      </c>
      <c r="L280" s="364">
        <v>0</v>
      </c>
      <c r="M280" s="364">
        <v>0</v>
      </c>
      <c r="N280" s="364">
        <f t="shared" si="251"/>
        <v>0</v>
      </c>
      <c r="O280" s="364">
        <v>0</v>
      </c>
      <c r="P280" s="364">
        <v>0</v>
      </c>
      <c r="Q280" s="364">
        <f t="shared" si="252"/>
        <v>0</v>
      </c>
      <c r="R280" s="364">
        <v>0</v>
      </c>
      <c r="S280" s="364">
        <v>0</v>
      </c>
      <c r="T280" s="353" t="s">
        <v>145</v>
      </c>
      <c r="U280" s="365" t="s">
        <v>426</v>
      </c>
      <c r="V280" s="141"/>
    </row>
    <row r="281" spans="2:22" ht="13.5" thickBot="1" x14ac:dyDescent="0.25">
      <c r="B281" s="364">
        <f t="shared" ref="B281:R281" si="256">SUM(B279:B280)</f>
        <v>30</v>
      </c>
      <c r="C281" s="364">
        <f t="shared" si="256"/>
        <v>0</v>
      </c>
      <c r="D281" s="364">
        <f t="shared" si="256"/>
        <v>30</v>
      </c>
      <c r="E281" s="364">
        <f t="shared" si="256"/>
        <v>0</v>
      </c>
      <c r="F281" s="364">
        <f t="shared" si="256"/>
        <v>0</v>
      </c>
      <c r="G281" s="364">
        <f t="shared" si="256"/>
        <v>0</v>
      </c>
      <c r="H281" s="364">
        <f t="shared" si="256"/>
        <v>14</v>
      </c>
      <c r="I281" s="364">
        <f t="shared" si="256"/>
        <v>0</v>
      </c>
      <c r="J281" s="364">
        <f t="shared" si="256"/>
        <v>14</v>
      </c>
      <c r="K281" s="364">
        <f t="shared" si="256"/>
        <v>16</v>
      </c>
      <c r="L281" s="364">
        <f t="shared" si="256"/>
        <v>0</v>
      </c>
      <c r="M281" s="364">
        <f t="shared" si="256"/>
        <v>16</v>
      </c>
      <c r="N281" s="364">
        <f t="shared" si="256"/>
        <v>0</v>
      </c>
      <c r="O281" s="364">
        <f t="shared" si="256"/>
        <v>0</v>
      </c>
      <c r="P281" s="364">
        <f t="shared" si="256"/>
        <v>0</v>
      </c>
      <c r="Q281" s="364">
        <f t="shared" si="256"/>
        <v>0</v>
      </c>
      <c r="R281" s="364">
        <f t="shared" si="256"/>
        <v>0</v>
      </c>
      <c r="S281" s="364">
        <f>SUM(S279:S280)</f>
        <v>0</v>
      </c>
      <c r="T281" s="353" t="s">
        <v>12</v>
      </c>
      <c r="U281" s="366"/>
      <c r="V281" s="141"/>
    </row>
    <row r="282" spans="2:22" ht="13.5" thickBot="1" x14ac:dyDescent="0.25">
      <c r="B282" s="364">
        <f t="shared" ref="B282:B283" si="257">SUM(C282:D282)</f>
        <v>36</v>
      </c>
      <c r="C282" s="364">
        <f t="shared" ref="C282:D283" si="258">R282+O282+L282+I282+F282</f>
        <v>6</v>
      </c>
      <c r="D282" s="364">
        <f t="shared" si="258"/>
        <v>30</v>
      </c>
      <c r="E282" s="364">
        <f t="shared" si="248"/>
        <v>0</v>
      </c>
      <c r="F282" s="364">
        <v>0</v>
      </c>
      <c r="G282" s="364">
        <v>0</v>
      </c>
      <c r="H282" s="364">
        <f t="shared" si="249"/>
        <v>10</v>
      </c>
      <c r="I282" s="364">
        <v>2</v>
      </c>
      <c r="J282" s="364">
        <v>8</v>
      </c>
      <c r="K282" s="364">
        <f t="shared" si="250"/>
        <v>26</v>
      </c>
      <c r="L282" s="364">
        <v>4</v>
      </c>
      <c r="M282" s="364">
        <v>22</v>
      </c>
      <c r="N282" s="364">
        <f t="shared" si="251"/>
        <v>0</v>
      </c>
      <c r="O282" s="364">
        <v>0</v>
      </c>
      <c r="P282" s="364">
        <v>0</v>
      </c>
      <c r="Q282" s="364">
        <f t="shared" si="252"/>
        <v>0</v>
      </c>
      <c r="R282" s="364">
        <v>0</v>
      </c>
      <c r="S282" s="364">
        <v>0</v>
      </c>
      <c r="T282" s="353" t="s">
        <v>146</v>
      </c>
      <c r="U282" s="365"/>
      <c r="V282" s="141"/>
    </row>
    <row r="283" spans="2:22" ht="13.5" thickBot="1" x14ac:dyDescent="0.25">
      <c r="B283" s="364">
        <f t="shared" si="257"/>
        <v>0</v>
      </c>
      <c r="C283" s="364">
        <f t="shared" si="258"/>
        <v>0</v>
      </c>
      <c r="D283" s="364">
        <f t="shared" si="258"/>
        <v>0</v>
      </c>
      <c r="E283" s="364">
        <f t="shared" si="248"/>
        <v>0</v>
      </c>
      <c r="F283" s="364">
        <v>0</v>
      </c>
      <c r="G283" s="364">
        <v>0</v>
      </c>
      <c r="H283" s="364">
        <f t="shared" si="249"/>
        <v>0</v>
      </c>
      <c r="I283" s="364">
        <v>0</v>
      </c>
      <c r="J283" s="364">
        <v>0</v>
      </c>
      <c r="K283" s="364">
        <f t="shared" si="250"/>
        <v>0</v>
      </c>
      <c r="L283" s="364">
        <v>0</v>
      </c>
      <c r="M283" s="364">
        <v>0</v>
      </c>
      <c r="N283" s="364">
        <f t="shared" si="251"/>
        <v>0</v>
      </c>
      <c r="O283" s="364">
        <v>0</v>
      </c>
      <c r="P283" s="364">
        <v>0</v>
      </c>
      <c r="Q283" s="364">
        <f t="shared" si="252"/>
        <v>0</v>
      </c>
      <c r="R283" s="364">
        <v>0</v>
      </c>
      <c r="S283" s="364">
        <v>0</v>
      </c>
      <c r="T283" s="353" t="s">
        <v>145</v>
      </c>
      <c r="U283" s="365" t="s">
        <v>427</v>
      </c>
      <c r="V283" s="141"/>
    </row>
    <row r="284" spans="2:22" ht="13.5" thickBot="1" x14ac:dyDescent="0.25">
      <c r="B284" s="364">
        <f t="shared" ref="B284:R284" si="259">SUM(B282:B283)</f>
        <v>36</v>
      </c>
      <c r="C284" s="364">
        <f t="shared" si="259"/>
        <v>6</v>
      </c>
      <c r="D284" s="364">
        <f t="shared" si="259"/>
        <v>30</v>
      </c>
      <c r="E284" s="364">
        <f t="shared" si="259"/>
        <v>0</v>
      </c>
      <c r="F284" s="364">
        <f t="shared" si="259"/>
        <v>0</v>
      </c>
      <c r="G284" s="364">
        <f t="shared" si="259"/>
        <v>0</v>
      </c>
      <c r="H284" s="364">
        <f t="shared" si="259"/>
        <v>10</v>
      </c>
      <c r="I284" s="364">
        <f t="shared" si="259"/>
        <v>2</v>
      </c>
      <c r="J284" s="364">
        <f t="shared" si="259"/>
        <v>8</v>
      </c>
      <c r="K284" s="364">
        <f t="shared" si="259"/>
        <v>26</v>
      </c>
      <c r="L284" s="364">
        <f t="shared" si="259"/>
        <v>4</v>
      </c>
      <c r="M284" s="364">
        <f t="shared" si="259"/>
        <v>22</v>
      </c>
      <c r="N284" s="364">
        <f t="shared" si="259"/>
        <v>0</v>
      </c>
      <c r="O284" s="364">
        <f t="shared" si="259"/>
        <v>0</v>
      </c>
      <c r="P284" s="364">
        <f t="shared" si="259"/>
        <v>0</v>
      </c>
      <c r="Q284" s="364">
        <f t="shared" si="259"/>
        <v>0</v>
      </c>
      <c r="R284" s="364">
        <f t="shared" si="259"/>
        <v>0</v>
      </c>
      <c r="S284" s="364">
        <f>SUM(S282:S283)</f>
        <v>0</v>
      </c>
      <c r="T284" s="353" t="s">
        <v>12</v>
      </c>
      <c r="U284" s="366"/>
      <c r="V284" s="141"/>
    </row>
    <row r="285" spans="2:22" ht="13.5" thickBot="1" x14ac:dyDescent="0.25">
      <c r="B285" s="364">
        <f t="shared" ref="B285:B286" si="260">SUM(C285:D285)</f>
        <v>25</v>
      </c>
      <c r="C285" s="364">
        <f t="shared" ref="C285:D286" si="261">R285+O285+L285+I285+F285</f>
        <v>9</v>
      </c>
      <c r="D285" s="364">
        <f t="shared" si="261"/>
        <v>16</v>
      </c>
      <c r="E285" s="364">
        <f t="shared" si="248"/>
        <v>8</v>
      </c>
      <c r="F285" s="364">
        <v>1</v>
      </c>
      <c r="G285" s="364">
        <v>7</v>
      </c>
      <c r="H285" s="364">
        <f t="shared" si="249"/>
        <v>8</v>
      </c>
      <c r="I285" s="364">
        <v>2</v>
      </c>
      <c r="J285" s="364">
        <v>6</v>
      </c>
      <c r="K285" s="364">
        <f t="shared" si="250"/>
        <v>9</v>
      </c>
      <c r="L285" s="364">
        <v>6</v>
      </c>
      <c r="M285" s="364">
        <v>3</v>
      </c>
      <c r="N285" s="364">
        <f t="shared" si="251"/>
        <v>0</v>
      </c>
      <c r="O285" s="364">
        <v>0</v>
      </c>
      <c r="P285" s="364">
        <v>0</v>
      </c>
      <c r="Q285" s="364">
        <f t="shared" si="252"/>
        <v>0</v>
      </c>
      <c r="R285" s="364">
        <v>0</v>
      </c>
      <c r="S285" s="364">
        <v>0</v>
      </c>
      <c r="T285" s="353" t="s">
        <v>146</v>
      </c>
      <c r="U285" s="365"/>
      <c r="V285" s="141"/>
    </row>
    <row r="286" spans="2:22" ht="13.5" thickBot="1" x14ac:dyDescent="0.25">
      <c r="B286" s="364">
        <f t="shared" si="260"/>
        <v>0</v>
      </c>
      <c r="C286" s="364">
        <f t="shared" si="261"/>
        <v>0</v>
      </c>
      <c r="D286" s="364">
        <f t="shared" si="261"/>
        <v>0</v>
      </c>
      <c r="E286" s="364">
        <f t="shared" si="248"/>
        <v>0</v>
      </c>
      <c r="F286" s="364">
        <v>0</v>
      </c>
      <c r="G286" s="364">
        <v>0</v>
      </c>
      <c r="H286" s="364">
        <f t="shared" si="249"/>
        <v>0</v>
      </c>
      <c r="I286" s="364">
        <v>0</v>
      </c>
      <c r="J286" s="364">
        <v>0</v>
      </c>
      <c r="K286" s="364">
        <f t="shared" si="250"/>
        <v>0</v>
      </c>
      <c r="L286" s="364">
        <v>0</v>
      </c>
      <c r="M286" s="364">
        <v>0</v>
      </c>
      <c r="N286" s="364">
        <f t="shared" si="251"/>
        <v>0</v>
      </c>
      <c r="O286" s="364">
        <v>0</v>
      </c>
      <c r="P286" s="364">
        <v>0</v>
      </c>
      <c r="Q286" s="364">
        <f t="shared" si="252"/>
        <v>0</v>
      </c>
      <c r="R286" s="364">
        <v>0</v>
      </c>
      <c r="S286" s="364">
        <v>0</v>
      </c>
      <c r="T286" s="353" t="s">
        <v>145</v>
      </c>
      <c r="U286" s="365" t="s">
        <v>429</v>
      </c>
      <c r="V286" s="141"/>
    </row>
    <row r="287" spans="2:22" ht="13.5" thickBot="1" x14ac:dyDescent="0.25">
      <c r="B287" s="364">
        <f t="shared" ref="B287:R287" si="262">SUM(B285:B286)</f>
        <v>25</v>
      </c>
      <c r="C287" s="364">
        <f t="shared" si="262"/>
        <v>9</v>
      </c>
      <c r="D287" s="364">
        <f t="shared" si="262"/>
        <v>16</v>
      </c>
      <c r="E287" s="364">
        <f t="shared" si="262"/>
        <v>8</v>
      </c>
      <c r="F287" s="364">
        <f t="shared" si="262"/>
        <v>1</v>
      </c>
      <c r="G287" s="364">
        <f t="shared" si="262"/>
        <v>7</v>
      </c>
      <c r="H287" s="364">
        <f t="shared" si="262"/>
        <v>8</v>
      </c>
      <c r="I287" s="364">
        <f t="shared" si="262"/>
        <v>2</v>
      </c>
      <c r="J287" s="364">
        <f t="shared" si="262"/>
        <v>6</v>
      </c>
      <c r="K287" s="364">
        <f t="shared" si="262"/>
        <v>9</v>
      </c>
      <c r="L287" s="364">
        <f t="shared" si="262"/>
        <v>6</v>
      </c>
      <c r="M287" s="364">
        <f t="shared" si="262"/>
        <v>3</v>
      </c>
      <c r="N287" s="364">
        <f t="shared" si="262"/>
        <v>0</v>
      </c>
      <c r="O287" s="364">
        <f t="shared" si="262"/>
        <v>0</v>
      </c>
      <c r="P287" s="364">
        <f t="shared" si="262"/>
        <v>0</v>
      </c>
      <c r="Q287" s="364">
        <f t="shared" si="262"/>
        <v>0</v>
      </c>
      <c r="R287" s="364">
        <f t="shared" si="262"/>
        <v>0</v>
      </c>
      <c r="S287" s="364">
        <f>SUM(S285:S286)</f>
        <v>0</v>
      </c>
      <c r="T287" s="353" t="s">
        <v>12</v>
      </c>
      <c r="U287" s="366"/>
      <c r="V287" s="141"/>
    </row>
    <row r="288" spans="2:22" ht="13.5" thickBot="1" x14ac:dyDescent="0.25">
      <c r="B288" s="364">
        <f t="shared" ref="B288:B289" si="263">SUM(C288:D288)</f>
        <v>9</v>
      </c>
      <c r="C288" s="364">
        <f t="shared" ref="C288:D289" si="264">R288+O288+L288+I288+F288</f>
        <v>0</v>
      </c>
      <c r="D288" s="364">
        <f t="shared" si="264"/>
        <v>9</v>
      </c>
      <c r="E288" s="364">
        <f t="shared" si="248"/>
        <v>0</v>
      </c>
      <c r="F288" s="364">
        <v>0</v>
      </c>
      <c r="G288" s="364">
        <v>0</v>
      </c>
      <c r="H288" s="364">
        <f t="shared" si="249"/>
        <v>3</v>
      </c>
      <c r="I288" s="364">
        <v>0</v>
      </c>
      <c r="J288" s="364">
        <v>3</v>
      </c>
      <c r="K288" s="364">
        <f t="shared" si="250"/>
        <v>6</v>
      </c>
      <c r="L288" s="364">
        <v>0</v>
      </c>
      <c r="M288" s="364">
        <v>6</v>
      </c>
      <c r="N288" s="364">
        <f t="shared" si="251"/>
        <v>0</v>
      </c>
      <c r="O288" s="364">
        <v>0</v>
      </c>
      <c r="P288" s="364">
        <v>0</v>
      </c>
      <c r="Q288" s="364">
        <f t="shared" si="252"/>
        <v>0</v>
      </c>
      <c r="R288" s="364">
        <v>0</v>
      </c>
      <c r="S288" s="364">
        <v>0</v>
      </c>
      <c r="T288" s="353" t="s">
        <v>146</v>
      </c>
      <c r="U288" s="365"/>
      <c r="V288" s="141"/>
    </row>
    <row r="289" spans="2:22" ht="13.5" thickBot="1" x14ac:dyDescent="0.25">
      <c r="B289" s="364">
        <f t="shared" si="263"/>
        <v>0</v>
      </c>
      <c r="C289" s="364">
        <f t="shared" si="264"/>
        <v>0</v>
      </c>
      <c r="D289" s="364">
        <f t="shared" si="264"/>
        <v>0</v>
      </c>
      <c r="E289" s="364">
        <f t="shared" si="248"/>
        <v>0</v>
      </c>
      <c r="F289" s="364">
        <v>0</v>
      </c>
      <c r="G289" s="364">
        <v>0</v>
      </c>
      <c r="H289" s="364">
        <f t="shared" si="249"/>
        <v>0</v>
      </c>
      <c r="I289" s="364">
        <v>0</v>
      </c>
      <c r="J289" s="364">
        <v>0</v>
      </c>
      <c r="K289" s="364">
        <f t="shared" si="250"/>
        <v>0</v>
      </c>
      <c r="L289" s="364">
        <v>0</v>
      </c>
      <c r="M289" s="364">
        <v>0</v>
      </c>
      <c r="N289" s="364">
        <f t="shared" si="251"/>
        <v>0</v>
      </c>
      <c r="O289" s="364">
        <v>0</v>
      </c>
      <c r="P289" s="364">
        <v>0</v>
      </c>
      <c r="Q289" s="364">
        <f t="shared" si="252"/>
        <v>0</v>
      </c>
      <c r="R289" s="364">
        <v>0</v>
      </c>
      <c r="S289" s="364">
        <v>0</v>
      </c>
      <c r="T289" s="353" t="s">
        <v>145</v>
      </c>
      <c r="U289" s="365" t="s">
        <v>430</v>
      </c>
      <c r="V289" s="141"/>
    </row>
    <row r="290" spans="2:22" ht="13.5" thickBot="1" x14ac:dyDescent="0.25">
      <c r="B290" s="364">
        <f t="shared" ref="B290:R290" si="265">SUM(B288:B289)</f>
        <v>9</v>
      </c>
      <c r="C290" s="364">
        <f t="shared" si="265"/>
        <v>0</v>
      </c>
      <c r="D290" s="364">
        <f t="shared" si="265"/>
        <v>9</v>
      </c>
      <c r="E290" s="364">
        <f t="shared" si="265"/>
        <v>0</v>
      </c>
      <c r="F290" s="364">
        <f t="shared" si="265"/>
        <v>0</v>
      </c>
      <c r="G290" s="364">
        <f t="shared" si="265"/>
        <v>0</v>
      </c>
      <c r="H290" s="364">
        <f t="shared" si="265"/>
        <v>3</v>
      </c>
      <c r="I290" s="364">
        <f t="shared" si="265"/>
        <v>0</v>
      </c>
      <c r="J290" s="364">
        <f t="shared" si="265"/>
        <v>3</v>
      </c>
      <c r="K290" s="364">
        <f t="shared" si="265"/>
        <v>6</v>
      </c>
      <c r="L290" s="364">
        <f t="shared" si="265"/>
        <v>0</v>
      </c>
      <c r="M290" s="364">
        <f t="shared" si="265"/>
        <v>6</v>
      </c>
      <c r="N290" s="364">
        <f t="shared" si="265"/>
        <v>0</v>
      </c>
      <c r="O290" s="364">
        <f t="shared" si="265"/>
        <v>0</v>
      </c>
      <c r="P290" s="364">
        <f t="shared" si="265"/>
        <v>0</v>
      </c>
      <c r="Q290" s="364">
        <f t="shared" si="265"/>
        <v>0</v>
      </c>
      <c r="R290" s="364">
        <f t="shared" si="265"/>
        <v>0</v>
      </c>
      <c r="S290" s="364">
        <f>SUM(S288:S289)</f>
        <v>0</v>
      </c>
      <c r="T290" s="353" t="s">
        <v>12</v>
      </c>
      <c r="U290" s="366"/>
      <c r="V290" s="141"/>
    </row>
    <row r="291" spans="2:22" ht="13.5" thickBot="1" x14ac:dyDescent="0.25">
      <c r="B291" s="364">
        <f t="shared" ref="B291:B292" si="266">SUM(C291:D291)</f>
        <v>41</v>
      </c>
      <c r="C291" s="364">
        <f t="shared" ref="C291:D292" si="267">R291+O291+L291+I291+F291</f>
        <v>11</v>
      </c>
      <c r="D291" s="364">
        <f t="shared" si="267"/>
        <v>30</v>
      </c>
      <c r="E291" s="364">
        <f t="shared" si="248"/>
        <v>5</v>
      </c>
      <c r="F291" s="364">
        <v>0</v>
      </c>
      <c r="G291" s="364">
        <v>5</v>
      </c>
      <c r="H291" s="364">
        <f t="shared" si="249"/>
        <v>7</v>
      </c>
      <c r="I291" s="364">
        <v>0</v>
      </c>
      <c r="J291" s="364">
        <v>7</v>
      </c>
      <c r="K291" s="364">
        <f t="shared" si="250"/>
        <v>29</v>
      </c>
      <c r="L291" s="364">
        <v>11</v>
      </c>
      <c r="M291" s="364">
        <v>18</v>
      </c>
      <c r="N291" s="364">
        <f t="shared" si="251"/>
        <v>0</v>
      </c>
      <c r="O291" s="364">
        <v>0</v>
      </c>
      <c r="P291" s="364">
        <v>0</v>
      </c>
      <c r="Q291" s="364">
        <f t="shared" si="252"/>
        <v>0</v>
      </c>
      <c r="R291" s="364">
        <v>0</v>
      </c>
      <c r="S291" s="364">
        <v>0</v>
      </c>
      <c r="T291" s="353" t="s">
        <v>146</v>
      </c>
      <c r="U291" s="365"/>
      <c r="V291" s="141"/>
    </row>
    <row r="292" spans="2:22" ht="13.5" thickBot="1" x14ac:dyDescent="0.25">
      <c r="B292" s="364">
        <f t="shared" si="266"/>
        <v>0</v>
      </c>
      <c r="C292" s="364">
        <f t="shared" si="267"/>
        <v>0</v>
      </c>
      <c r="D292" s="364">
        <f t="shared" si="267"/>
        <v>0</v>
      </c>
      <c r="E292" s="364">
        <f t="shared" si="248"/>
        <v>0</v>
      </c>
      <c r="F292" s="364">
        <v>0</v>
      </c>
      <c r="G292" s="364">
        <v>0</v>
      </c>
      <c r="H292" s="364">
        <f t="shared" si="249"/>
        <v>0</v>
      </c>
      <c r="I292" s="364">
        <v>0</v>
      </c>
      <c r="J292" s="364">
        <v>0</v>
      </c>
      <c r="K292" s="364">
        <f t="shared" si="250"/>
        <v>0</v>
      </c>
      <c r="L292" s="364">
        <v>0</v>
      </c>
      <c r="M292" s="364">
        <v>0</v>
      </c>
      <c r="N292" s="364">
        <f t="shared" si="251"/>
        <v>0</v>
      </c>
      <c r="O292" s="364">
        <v>0</v>
      </c>
      <c r="P292" s="364">
        <v>0</v>
      </c>
      <c r="Q292" s="364">
        <f t="shared" si="252"/>
        <v>0</v>
      </c>
      <c r="R292" s="364">
        <v>0</v>
      </c>
      <c r="S292" s="364">
        <v>0</v>
      </c>
      <c r="T292" s="353" t="s">
        <v>145</v>
      </c>
      <c r="U292" s="365" t="s">
        <v>431</v>
      </c>
      <c r="V292" s="141"/>
    </row>
    <row r="293" spans="2:22" ht="13.5" thickBot="1" x14ac:dyDescent="0.25">
      <c r="B293" s="364">
        <f t="shared" ref="B293:R293" si="268">SUM(B291:B292)</f>
        <v>41</v>
      </c>
      <c r="C293" s="364">
        <f t="shared" si="268"/>
        <v>11</v>
      </c>
      <c r="D293" s="364">
        <f t="shared" si="268"/>
        <v>30</v>
      </c>
      <c r="E293" s="364">
        <f t="shared" si="268"/>
        <v>5</v>
      </c>
      <c r="F293" s="364">
        <f t="shared" si="268"/>
        <v>0</v>
      </c>
      <c r="G293" s="364">
        <f t="shared" si="268"/>
        <v>5</v>
      </c>
      <c r="H293" s="364">
        <f t="shared" si="268"/>
        <v>7</v>
      </c>
      <c r="I293" s="364">
        <f t="shared" si="268"/>
        <v>0</v>
      </c>
      <c r="J293" s="364">
        <f t="shared" si="268"/>
        <v>7</v>
      </c>
      <c r="K293" s="364">
        <f t="shared" si="268"/>
        <v>29</v>
      </c>
      <c r="L293" s="364">
        <f t="shared" si="268"/>
        <v>11</v>
      </c>
      <c r="M293" s="364">
        <f t="shared" si="268"/>
        <v>18</v>
      </c>
      <c r="N293" s="364">
        <f t="shared" si="268"/>
        <v>0</v>
      </c>
      <c r="O293" s="364">
        <f t="shared" si="268"/>
        <v>0</v>
      </c>
      <c r="P293" s="364">
        <f t="shared" si="268"/>
        <v>0</v>
      </c>
      <c r="Q293" s="364">
        <f t="shared" si="268"/>
        <v>0</v>
      </c>
      <c r="R293" s="364">
        <f t="shared" si="268"/>
        <v>0</v>
      </c>
      <c r="S293" s="364">
        <f>SUM(S291:S292)</f>
        <v>0</v>
      </c>
      <c r="T293" s="353" t="s">
        <v>12</v>
      </c>
      <c r="U293" s="366"/>
      <c r="V293" s="141"/>
    </row>
    <row r="294" spans="2:22" ht="13.5" thickBot="1" x14ac:dyDescent="0.25">
      <c r="B294" s="364">
        <f t="shared" ref="B294:B295" si="269">SUM(C294:D294)</f>
        <v>33</v>
      </c>
      <c r="C294" s="364">
        <f t="shared" ref="C294:D295" si="270">R294+O294+L294+I294+F294</f>
        <v>13</v>
      </c>
      <c r="D294" s="364">
        <f t="shared" si="270"/>
        <v>20</v>
      </c>
      <c r="E294" s="364">
        <f t="shared" si="248"/>
        <v>0</v>
      </c>
      <c r="F294" s="364">
        <v>0</v>
      </c>
      <c r="G294" s="364">
        <v>0</v>
      </c>
      <c r="H294" s="364">
        <f t="shared" si="249"/>
        <v>4</v>
      </c>
      <c r="I294" s="364">
        <v>0</v>
      </c>
      <c r="J294" s="364">
        <v>4</v>
      </c>
      <c r="K294" s="364">
        <f t="shared" si="250"/>
        <v>29</v>
      </c>
      <c r="L294" s="364">
        <v>13</v>
      </c>
      <c r="M294" s="364">
        <v>16</v>
      </c>
      <c r="N294" s="364">
        <f t="shared" si="251"/>
        <v>0</v>
      </c>
      <c r="O294" s="364">
        <v>0</v>
      </c>
      <c r="P294" s="364">
        <v>0</v>
      </c>
      <c r="Q294" s="364">
        <f t="shared" si="252"/>
        <v>0</v>
      </c>
      <c r="R294" s="364">
        <v>0</v>
      </c>
      <c r="S294" s="364">
        <v>0</v>
      </c>
      <c r="T294" s="353" t="s">
        <v>146</v>
      </c>
      <c r="U294" s="365"/>
      <c r="V294" s="141"/>
    </row>
    <row r="295" spans="2:22" ht="13.5" thickBot="1" x14ac:dyDescent="0.25">
      <c r="B295" s="364">
        <f t="shared" si="269"/>
        <v>0</v>
      </c>
      <c r="C295" s="364">
        <f t="shared" si="270"/>
        <v>0</v>
      </c>
      <c r="D295" s="364">
        <f t="shared" si="270"/>
        <v>0</v>
      </c>
      <c r="E295" s="364">
        <f t="shared" si="248"/>
        <v>0</v>
      </c>
      <c r="F295" s="364">
        <v>0</v>
      </c>
      <c r="G295" s="364">
        <v>0</v>
      </c>
      <c r="H295" s="364">
        <f t="shared" si="249"/>
        <v>0</v>
      </c>
      <c r="I295" s="364">
        <v>0</v>
      </c>
      <c r="J295" s="364">
        <v>0</v>
      </c>
      <c r="K295" s="364">
        <f t="shared" si="250"/>
        <v>0</v>
      </c>
      <c r="L295" s="364">
        <v>0</v>
      </c>
      <c r="M295" s="364">
        <v>0</v>
      </c>
      <c r="N295" s="364">
        <f t="shared" si="251"/>
        <v>0</v>
      </c>
      <c r="O295" s="364">
        <v>0</v>
      </c>
      <c r="P295" s="364">
        <v>0</v>
      </c>
      <c r="Q295" s="364">
        <f t="shared" si="252"/>
        <v>0</v>
      </c>
      <c r="R295" s="364">
        <v>0</v>
      </c>
      <c r="S295" s="364">
        <v>0</v>
      </c>
      <c r="T295" s="353" t="s">
        <v>145</v>
      </c>
      <c r="U295" s="365" t="s">
        <v>432</v>
      </c>
      <c r="V295" s="141"/>
    </row>
    <row r="296" spans="2:22" ht="13.5" thickBot="1" x14ac:dyDescent="0.25">
      <c r="B296" s="364">
        <f t="shared" ref="B296:R296" si="271">SUM(B294:B295)</f>
        <v>33</v>
      </c>
      <c r="C296" s="364">
        <f t="shared" si="271"/>
        <v>13</v>
      </c>
      <c r="D296" s="364">
        <f t="shared" si="271"/>
        <v>20</v>
      </c>
      <c r="E296" s="364">
        <f t="shared" si="271"/>
        <v>0</v>
      </c>
      <c r="F296" s="364">
        <f t="shared" si="271"/>
        <v>0</v>
      </c>
      <c r="G296" s="364">
        <f t="shared" si="271"/>
        <v>0</v>
      </c>
      <c r="H296" s="364">
        <f t="shared" si="271"/>
        <v>4</v>
      </c>
      <c r="I296" s="364">
        <f t="shared" si="271"/>
        <v>0</v>
      </c>
      <c r="J296" s="364">
        <f t="shared" si="271"/>
        <v>4</v>
      </c>
      <c r="K296" s="364">
        <f t="shared" si="271"/>
        <v>29</v>
      </c>
      <c r="L296" s="364">
        <f t="shared" si="271"/>
        <v>13</v>
      </c>
      <c r="M296" s="364">
        <f t="shared" si="271"/>
        <v>16</v>
      </c>
      <c r="N296" s="364">
        <f t="shared" si="271"/>
        <v>0</v>
      </c>
      <c r="O296" s="364">
        <f t="shared" si="271"/>
        <v>0</v>
      </c>
      <c r="P296" s="364">
        <f t="shared" si="271"/>
        <v>0</v>
      </c>
      <c r="Q296" s="364">
        <f t="shared" si="271"/>
        <v>0</v>
      </c>
      <c r="R296" s="364">
        <f t="shared" si="271"/>
        <v>0</v>
      </c>
      <c r="S296" s="364">
        <f>SUM(S294:S295)</f>
        <v>0</v>
      </c>
      <c r="T296" s="353" t="s">
        <v>12</v>
      </c>
      <c r="U296" s="366"/>
      <c r="V296" s="141"/>
    </row>
    <row r="297" spans="2:22" ht="13.5" thickBot="1" x14ac:dyDescent="0.25">
      <c r="B297" s="364">
        <f t="shared" ref="B297:B298" si="272">SUM(C297:D297)</f>
        <v>4</v>
      </c>
      <c r="C297" s="364">
        <f t="shared" ref="C297:D298" si="273">R297+O297+L297+I297+F297</f>
        <v>0</v>
      </c>
      <c r="D297" s="364">
        <f t="shared" si="273"/>
        <v>4</v>
      </c>
      <c r="E297" s="364">
        <f t="shared" si="248"/>
        <v>0</v>
      </c>
      <c r="F297" s="364">
        <v>0</v>
      </c>
      <c r="G297" s="364">
        <v>0</v>
      </c>
      <c r="H297" s="364">
        <f t="shared" si="249"/>
        <v>1</v>
      </c>
      <c r="I297" s="364">
        <v>0</v>
      </c>
      <c r="J297" s="364">
        <v>1</v>
      </c>
      <c r="K297" s="364">
        <f t="shared" si="250"/>
        <v>3</v>
      </c>
      <c r="L297" s="364">
        <v>0</v>
      </c>
      <c r="M297" s="364">
        <v>3</v>
      </c>
      <c r="N297" s="364">
        <f t="shared" si="251"/>
        <v>0</v>
      </c>
      <c r="O297" s="364">
        <v>0</v>
      </c>
      <c r="P297" s="364">
        <v>0</v>
      </c>
      <c r="Q297" s="364">
        <f t="shared" si="252"/>
        <v>0</v>
      </c>
      <c r="R297" s="364">
        <v>0</v>
      </c>
      <c r="S297" s="364">
        <v>0</v>
      </c>
      <c r="T297" s="353" t="s">
        <v>146</v>
      </c>
      <c r="U297" s="365"/>
      <c r="V297" s="141"/>
    </row>
    <row r="298" spans="2:22" ht="13.5" thickBot="1" x14ac:dyDescent="0.25">
      <c r="B298" s="364">
        <f t="shared" si="272"/>
        <v>0</v>
      </c>
      <c r="C298" s="364">
        <f t="shared" si="273"/>
        <v>0</v>
      </c>
      <c r="D298" s="364">
        <f t="shared" si="273"/>
        <v>0</v>
      </c>
      <c r="E298" s="364">
        <f t="shared" si="248"/>
        <v>0</v>
      </c>
      <c r="F298" s="364">
        <v>0</v>
      </c>
      <c r="G298" s="364">
        <v>0</v>
      </c>
      <c r="H298" s="364">
        <f t="shared" si="249"/>
        <v>0</v>
      </c>
      <c r="I298" s="364">
        <v>0</v>
      </c>
      <c r="J298" s="364">
        <v>0</v>
      </c>
      <c r="K298" s="364">
        <f t="shared" si="250"/>
        <v>0</v>
      </c>
      <c r="L298" s="364">
        <v>0</v>
      </c>
      <c r="M298" s="364">
        <v>0</v>
      </c>
      <c r="N298" s="364">
        <f t="shared" si="251"/>
        <v>0</v>
      </c>
      <c r="O298" s="364">
        <v>0</v>
      </c>
      <c r="P298" s="364">
        <v>0</v>
      </c>
      <c r="Q298" s="364">
        <f t="shared" si="252"/>
        <v>0</v>
      </c>
      <c r="R298" s="364">
        <v>0</v>
      </c>
      <c r="S298" s="364">
        <v>0</v>
      </c>
      <c r="T298" s="353" t="s">
        <v>145</v>
      </c>
      <c r="U298" s="365" t="s">
        <v>433</v>
      </c>
      <c r="V298" s="141"/>
    </row>
    <row r="299" spans="2:22" ht="13.5" thickBot="1" x14ac:dyDescent="0.25">
      <c r="B299" s="364">
        <f t="shared" ref="B299:R299" si="274">SUM(B297:B298)</f>
        <v>4</v>
      </c>
      <c r="C299" s="364">
        <f t="shared" si="274"/>
        <v>0</v>
      </c>
      <c r="D299" s="364">
        <f t="shared" si="274"/>
        <v>4</v>
      </c>
      <c r="E299" s="364">
        <f t="shared" si="274"/>
        <v>0</v>
      </c>
      <c r="F299" s="364">
        <f t="shared" si="274"/>
        <v>0</v>
      </c>
      <c r="G299" s="364">
        <f t="shared" si="274"/>
        <v>0</v>
      </c>
      <c r="H299" s="364">
        <f t="shared" si="274"/>
        <v>1</v>
      </c>
      <c r="I299" s="364">
        <f t="shared" si="274"/>
        <v>0</v>
      </c>
      <c r="J299" s="364">
        <f t="shared" si="274"/>
        <v>1</v>
      </c>
      <c r="K299" s="364">
        <f t="shared" si="274"/>
        <v>3</v>
      </c>
      <c r="L299" s="364">
        <f t="shared" si="274"/>
        <v>0</v>
      </c>
      <c r="M299" s="364">
        <f t="shared" si="274"/>
        <v>3</v>
      </c>
      <c r="N299" s="364">
        <f t="shared" si="274"/>
        <v>0</v>
      </c>
      <c r="O299" s="364">
        <f t="shared" si="274"/>
        <v>0</v>
      </c>
      <c r="P299" s="364">
        <f t="shared" si="274"/>
        <v>0</v>
      </c>
      <c r="Q299" s="364">
        <f t="shared" si="274"/>
        <v>0</v>
      </c>
      <c r="R299" s="364">
        <f t="shared" si="274"/>
        <v>0</v>
      </c>
      <c r="S299" s="364">
        <f>SUM(S297:S298)</f>
        <v>0</v>
      </c>
      <c r="T299" s="353" t="s">
        <v>12</v>
      </c>
      <c r="U299" s="366"/>
      <c r="V299" s="141"/>
    </row>
    <row r="300" spans="2:22" ht="13.5" thickBot="1" x14ac:dyDescent="0.25">
      <c r="B300" s="364">
        <f t="shared" ref="B300:B301" si="275">SUM(C300:D300)</f>
        <v>19</v>
      </c>
      <c r="C300" s="364">
        <f t="shared" ref="C300:D301" si="276">R300+O300+L300+I300+F300</f>
        <v>3</v>
      </c>
      <c r="D300" s="364">
        <f t="shared" si="276"/>
        <v>16</v>
      </c>
      <c r="E300" s="364">
        <f t="shared" si="248"/>
        <v>0</v>
      </c>
      <c r="F300" s="364">
        <v>0</v>
      </c>
      <c r="G300" s="364">
        <v>0</v>
      </c>
      <c r="H300" s="364">
        <f t="shared" si="249"/>
        <v>10</v>
      </c>
      <c r="I300" s="364">
        <v>1</v>
      </c>
      <c r="J300" s="364">
        <v>9</v>
      </c>
      <c r="K300" s="364">
        <f t="shared" si="250"/>
        <v>9</v>
      </c>
      <c r="L300" s="364">
        <v>2</v>
      </c>
      <c r="M300" s="364">
        <v>7</v>
      </c>
      <c r="N300" s="364">
        <f t="shared" si="251"/>
        <v>0</v>
      </c>
      <c r="O300" s="364">
        <v>0</v>
      </c>
      <c r="P300" s="364">
        <v>0</v>
      </c>
      <c r="Q300" s="364">
        <f t="shared" si="252"/>
        <v>0</v>
      </c>
      <c r="R300" s="364">
        <v>0</v>
      </c>
      <c r="S300" s="364">
        <v>0</v>
      </c>
      <c r="T300" s="353" t="s">
        <v>146</v>
      </c>
      <c r="U300" s="365"/>
      <c r="V300" s="141"/>
    </row>
    <row r="301" spans="2:22" ht="13.5" thickBot="1" x14ac:dyDescent="0.25">
      <c r="B301" s="364">
        <f t="shared" si="275"/>
        <v>4</v>
      </c>
      <c r="C301" s="364">
        <f t="shared" si="276"/>
        <v>0</v>
      </c>
      <c r="D301" s="364">
        <f t="shared" si="276"/>
        <v>4</v>
      </c>
      <c r="E301" s="364">
        <f t="shared" si="248"/>
        <v>0</v>
      </c>
      <c r="F301" s="364">
        <v>0</v>
      </c>
      <c r="G301" s="364">
        <v>0</v>
      </c>
      <c r="H301" s="364">
        <f t="shared" si="249"/>
        <v>0</v>
      </c>
      <c r="I301" s="364">
        <v>0</v>
      </c>
      <c r="J301" s="364">
        <v>0</v>
      </c>
      <c r="K301" s="364">
        <f t="shared" si="250"/>
        <v>4</v>
      </c>
      <c r="L301" s="364">
        <v>0</v>
      </c>
      <c r="M301" s="364">
        <v>4</v>
      </c>
      <c r="N301" s="364">
        <f t="shared" si="251"/>
        <v>0</v>
      </c>
      <c r="O301" s="364">
        <v>0</v>
      </c>
      <c r="P301" s="364">
        <v>0</v>
      </c>
      <c r="Q301" s="364">
        <f t="shared" si="252"/>
        <v>0</v>
      </c>
      <c r="R301" s="364">
        <v>0</v>
      </c>
      <c r="S301" s="364">
        <v>0</v>
      </c>
      <c r="T301" s="353" t="s">
        <v>145</v>
      </c>
      <c r="U301" s="365" t="s">
        <v>434</v>
      </c>
      <c r="V301" s="141"/>
    </row>
    <row r="302" spans="2:22" ht="13.5" thickBot="1" x14ac:dyDescent="0.25">
      <c r="B302" s="364">
        <f t="shared" ref="B302:R302" si="277">SUM(B300:B301)</f>
        <v>23</v>
      </c>
      <c r="C302" s="364">
        <f t="shared" si="277"/>
        <v>3</v>
      </c>
      <c r="D302" s="364">
        <f t="shared" si="277"/>
        <v>20</v>
      </c>
      <c r="E302" s="364">
        <f t="shared" si="277"/>
        <v>0</v>
      </c>
      <c r="F302" s="364">
        <f t="shared" si="277"/>
        <v>0</v>
      </c>
      <c r="G302" s="364">
        <f t="shared" si="277"/>
        <v>0</v>
      </c>
      <c r="H302" s="364">
        <f t="shared" si="277"/>
        <v>10</v>
      </c>
      <c r="I302" s="364">
        <f t="shared" si="277"/>
        <v>1</v>
      </c>
      <c r="J302" s="364">
        <f t="shared" si="277"/>
        <v>9</v>
      </c>
      <c r="K302" s="364">
        <f t="shared" si="277"/>
        <v>13</v>
      </c>
      <c r="L302" s="364">
        <f t="shared" si="277"/>
        <v>2</v>
      </c>
      <c r="M302" s="364">
        <f t="shared" si="277"/>
        <v>11</v>
      </c>
      <c r="N302" s="364">
        <f t="shared" si="277"/>
        <v>0</v>
      </c>
      <c r="O302" s="364">
        <f t="shared" si="277"/>
        <v>0</v>
      </c>
      <c r="P302" s="364">
        <f t="shared" si="277"/>
        <v>0</v>
      </c>
      <c r="Q302" s="364">
        <f t="shared" si="277"/>
        <v>0</v>
      </c>
      <c r="R302" s="364">
        <f t="shared" si="277"/>
        <v>0</v>
      </c>
      <c r="S302" s="364">
        <f>SUM(S300:S301)</f>
        <v>0</v>
      </c>
      <c r="T302" s="353" t="s">
        <v>12</v>
      </c>
      <c r="U302" s="366"/>
      <c r="V302" s="141"/>
    </row>
    <row r="303" spans="2:22" ht="13.5" thickBot="1" x14ac:dyDescent="0.25">
      <c r="B303" s="364">
        <f t="shared" ref="B303:B304" si="278">SUM(C303:D303)</f>
        <v>70</v>
      </c>
      <c r="C303" s="364">
        <f t="shared" ref="C303:D304" si="279">R303+O303+L303+I303+F303</f>
        <v>31</v>
      </c>
      <c r="D303" s="364">
        <f t="shared" si="279"/>
        <v>39</v>
      </c>
      <c r="E303" s="364">
        <f t="shared" si="248"/>
        <v>0</v>
      </c>
      <c r="F303" s="364">
        <v>0</v>
      </c>
      <c r="G303" s="364">
        <v>0</v>
      </c>
      <c r="H303" s="364">
        <f t="shared" si="249"/>
        <v>28</v>
      </c>
      <c r="I303" s="364">
        <v>9</v>
      </c>
      <c r="J303" s="364">
        <v>19</v>
      </c>
      <c r="K303" s="364">
        <f t="shared" si="250"/>
        <v>42</v>
      </c>
      <c r="L303" s="364">
        <v>22</v>
      </c>
      <c r="M303" s="364">
        <v>20</v>
      </c>
      <c r="N303" s="364">
        <f t="shared" si="251"/>
        <v>0</v>
      </c>
      <c r="O303" s="364">
        <v>0</v>
      </c>
      <c r="P303" s="364">
        <v>0</v>
      </c>
      <c r="Q303" s="364">
        <f t="shared" si="252"/>
        <v>0</v>
      </c>
      <c r="R303" s="364">
        <v>0</v>
      </c>
      <c r="S303" s="364">
        <v>0</v>
      </c>
      <c r="T303" s="353" t="s">
        <v>146</v>
      </c>
      <c r="U303" s="365"/>
      <c r="V303" s="141"/>
    </row>
    <row r="304" spans="2:22" ht="13.5" thickBot="1" x14ac:dyDescent="0.25">
      <c r="B304" s="364">
        <f t="shared" si="278"/>
        <v>19</v>
      </c>
      <c r="C304" s="364">
        <f t="shared" si="279"/>
        <v>6</v>
      </c>
      <c r="D304" s="364">
        <f t="shared" si="279"/>
        <v>13</v>
      </c>
      <c r="E304" s="364">
        <f t="shared" si="248"/>
        <v>0</v>
      </c>
      <c r="F304" s="364">
        <v>0</v>
      </c>
      <c r="G304" s="364">
        <v>0</v>
      </c>
      <c r="H304" s="364">
        <f t="shared" si="249"/>
        <v>0</v>
      </c>
      <c r="I304" s="364">
        <v>0</v>
      </c>
      <c r="J304" s="364">
        <v>0</v>
      </c>
      <c r="K304" s="364">
        <f t="shared" si="250"/>
        <v>14</v>
      </c>
      <c r="L304" s="364">
        <v>4</v>
      </c>
      <c r="M304" s="364">
        <v>10</v>
      </c>
      <c r="N304" s="364">
        <f t="shared" si="251"/>
        <v>5</v>
      </c>
      <c r="O304" s="364">
        <v>2</v>
      </c>
      <c r="P304" s="364">
        <v>3</v>
      </c>
      <c r="Q304" s="364">
        <f t="shared" si="252"/>
        <v>0</v>
      </c>
      <c r="R304" s="364">
        <v>0</v>
      </c>
      <c r="S304" s="364">
        <v>0</v>
      </c>
      <c r="T304" s="353" t="s">
        <v>145</v>
      </c>
      <c r="U304" s="365" t="s">
        <v>435</v>
      </c>
      <c r="V304" s="141"/>
    </row>
    <row r="305" spans="2:22" ht="13.5" thickBot="1" x14ac:dyDescent="0.25">
      <c r="B305" s="364">
        <f t="shared" ref="B305:R305" si="280">SUM(B303:B304)</f>
        <v>89</v>
      </c>
      <c r="C305" s="364">
        <f t="shared" si="280"/>
        <v>37</v>
      </c>
      <c r="D305" s="364">
        <f t="shared" si="280"/>
        <v>52</v>
      </c>
      <c r="E305" s="364">
        <f t="shared" si="280"/>
        <v>0</v>
      </c>
      <c r="F305" s="364">
        <f t="shared" si="280"/>
        <v>0</v>
      </c>
      <c r="G305" s="364">
        <f t="shared" si="280"/>
        <v>0</v>
      </c>
      <c r="H305" s="364">
        <f t="shared" si="280"/>
        <v>28</v>
      </c>
      <c r="I305" s="364">
        <f t="shared" si="280"/>
        <v>9</v>
      </c>
      <c r="J305" s="364">
        <f t="shared" si="280"/>
        <v>19</v>
      </c>
      <c r="K305" s="364">
        <f t="shared" si="280"/>
        <v>56</v>
      </c>
      <c r="L305" s="364">
        <f t="shared" si="280"/>
        <v>26</v>
      </c>
      <c r="M305" s="364">
        <f t="shared" si="280"/>
        <v>30</v>
      </c>
      <c r="N305" s="364">
        <f t="shared" si="280"/>
        <v>5</v>
      </c>
      <c r="O305" s="364">
        <f t="shared" si="280"/>
        <v>2</v>
      </c>
      <c r="P305" s="364">
        <f t="shared" si="280"/>
        <v>3</v>
      </c>
      <c r="Q305" s="364">
        <f t="shared" si="280"/>
        <v>0</v>
      </c>
      <c r="R305" s="364">
        <f t="shared" si="280"/>
        <v>0</v>
      </c>
      <c r="S305" s="364">
        <f>SUM(S303:S304)</f>
        <v>0</v>
      </c>
      <c r="T305" s="353" t="s">
        <v>12</v>
      </c>
      <c r="U305" s="366"/>
      <c r="V305" s="141"/>
    </row>
    <row r="306" spans="2:22" ht="13.5" thickBot="1" x14ac:dyDescent="0.25">
      <c r="B306" s="364">
        <f t="shared" ref="B306:B307" si="281">SUM(C306:D306)</f>
        <v>6</v>
      </c>
      <c r="C306" s="364">
        <f t="shared" ref="C306:D307" si="282">R306+O306+L306+I306+F306</f>
        <v>0</v>
      </c>
      <c r="D306" s="364">
        <f t="shared" si="282"/>
        <v>6</v>
      </c>
      <c r="E306" s="364">
        <f t="shared" si="248"/>
        <v>0</v>
      </c>
      <c r="F306" s="364">
        <v>0</v>
      </c>
      <c r="G306" s="364">
        <v>0</v>
      </c>
      <c r="H306" s="364">
        <f t="shared" si="249"/>
        <v>4</v>
      </c>
      <c r="I306" s="364">
        <v>0</v>
      </c>
      <c r="J306" s="364">
        <v>4</v>
      </c>
      <c r="K306" s="364">
        <f t="shared" si="250"/>
        <v>2</v>
      </c>
      <c r="L306" s="364">
        <v>0</v>
      </c>
      <c r="M306" s="364">
        <v>2</v>
      </c>
      <c r="N306" s="364">
        <f t="shared" si="251"/>
        <v>0</v>
      </c>
      <c r="O306" s="364">
        <v>0</v>
      </c>
      <c r="P306" s="364">
        <v>0</v>
      </c>
      <c r="Q306" s="364">
        <f t="shared" si="252"/>
        <v>0</v>
      </c>
      <c r="R306" s="364">
        <v>0</v>
      </c>
      <c r="S306" s="364">
        <v>0</v>
      </c>
      <c r="T306" s="353" t="s">
        <v>146</v>
      </c>
      <c r="U306" s="365"/>
      <c r="V306" s="141"/>
    </row>
    <row r="307" spans="2:22" ht="13.5" thickBot="1" x14ac:dyDescent="0.25">
      <c r="B307" s="364">
        <f t="shared" si="281"/>
        <v>4</v>
      </c>
      <c r="C307" s="364">
        <f t="shared" si="282"/>
        <v>0</v>
      </c>
      <c r="D307" s="364">
        <f t="shared" si="282"/>
        <v>4</v>
      </c>
      <c r="E307" s="364">
        <f t="shared" si="248"/>
        <v>0</v>
      </c>
      <c r="F307" s="364">
        <v>0</v>
      </c>
      <c r="G307" s="364">
        <v>0</v>
      </c>
      <c r="H307" s="364">
        <f t="shared" si="249"/>
        <v>0</v>
      </c>
      <c r="I307" s="364">
        <v>0</v>
      </c>
      <c r="J307" s="364">
        <v>0</v>
      </c>
      <c r="K307" s="364">
        <f t="shared" si="250"/>
        <v>4</v>
      </c>
      <c r="L307" s="364">
        <v>0</v>
      </c>
      <c r="M307" s="364">
        <v>4</v>
      </c>
      <c r="N307" s="364">
        <f t="shared" si="251"/>
        <v>0</v>
      </c>
      <c r="O307" s="364">
        <v>0</v>
      </c>
      <c r="P307" s="364">
        <v>0</v>
      </c>
      <c r="Q307" s="364">
        <f t="shared" si="252"/>
        <v>0</v>
      </c>
      <c r="R307" s="364">
        <v>0</v>
      </c>
      <c r="S307" s="364">
        <v>0</v>
      </c>
      <c r="T307" s="353" t="s">
        <v>145</v>
      </c>
      <c r="U307" s="365" t="s">
        <v>436</v>
      </c>
      <c r="V307" s="141"/>
    </row>
    <row r="308" spans="2:22" ht="13.5" thickBot="1" x14ac:dyDescent="0.25">
      <c r="B308" s="364">
        <f t="shared" ref="B308:R308" si="283">SUM(B306:B307)</f>
        <v>10</v>
      </c>
      <c r="C308" s="364">
        <f t="shared" si="283"/>
        <v>0</v>
      </c>
      <c r="D308" s="364">
        <f t="shared" si="283"/>
        <v>10</v>
      </c>
      <c r="E308" s="364">
        <f t="shared" si="283"/>
        <v>0</v>
      </c>
      <c r="F308" s="364">
        <f t="shared" si="283"/>
        <v>0</v>
      </c>
      <c r="G308" s="364">
        <f t="shared" si="283"/>
        <v>0</v>
      </c>
      <c r="H308" s="364">
        <f t="shared" si="283"/>
        <v>4</v>
      </c>
      <c r="I308" s="364">
        <f t="shared" si="283"/>
        <v>0</v>
      </c>
      <c r="J308" s="364">
        <f t="shared" si="283"/>
        <v>4</v>
      </c>
      <c r="K308" s="364">
        <f t="shared" si="283"/>
        <v>6</v>
      </c>
      <c r="L308" s="364">
        <f t="shared" si="283"/>
        <v>0</v>
      </c>
      <c r="M308" s="364">
        <f t="shared" si="283"/>
        <v>6</v>
      </c>
      <c r="N308" s="364">
        <f t="shared" si="283"/>
        <v>0</v>
      </c>
      <c r="O308" s="364">
        <f t="shared" si="283"/>
        <v>0</v>
      </c>
      <c r="P308" s="364">
        <f t="shared" si="283"/>
        <v>0</v>
      </c>
      <c r="Q308" s="364">
        <f t="shared" si="283"/>
        <v>0</v>
      </c>
      <c r="R308" s="364">
        <f t="shared" si="283"/>
        <v>0</v>
      </c>
      <c r="S308" s="364">
        <f>SUM(S306:S307)</f>
        <v>0</v>
      </c>
      <c r="T308" s="353" t="s">
        <v>12</v>
      </c>
      <c r="U308" s="366"/>
      <c r="V308" s="141"/>
    </row>
    <row r="309" spans="2:22" ht="13.5" thickBot="1" x14ac:dyDescent="0.25">
      <c r="B309" s="364">
        <f t="shared" ref="B309:B310" si="284">SUM(C309:D309)</f>
        <v>14</v>
      </c>
      <c r="C309" s="364">
        <f t="shared" ref="C309:D310" si="285">R309+O309+L309+I309+F309</f>
        <v>5</v>
      </c>
      <c r="D309" s="364">
        <f t="shared" si="285"/>
        <v>9</v>
      </c>
      <c r="E309" s="364">
        <f t="shared" si="248"/>
        <v>0</v>
      </c>
      <c r="F309" s="364">
        <v>0</v>
      </c>
      <c r="G309" s="364">
        <v>0</v>
      </c>
      <c r="H309" s="364">
        <f t="shared" si="249"/>
        <v>8</v>
      </c>
      <c r="I309" s="364">
        <v>1</v>
      </c>
      <c r="J309" s="364">
        <v>7</v>
      </c>
      <c r="K309" s="364">
        <f t="shared" si="250"/>
        <v>6</v>
      </c>
      <c r="L309" s="364">
        <v>4</v>
      </c>
      <c r="M309" s="364">
        <v>2</v>
      </c>
      <c r="N309" s="364">
        <f t="shared" si="251"/>
        <v>0</v>
      </c>
      <c r="O309" s="364">
        <v>0</v>
      </c>
      <c r="P309" s="364">
        <v>0</v>
      </c>
      <c r="Q309" s="364">
        <f t="shared" si="252"/>
        <v>0</v>
      </c>
      <c r="R309" s="364">
        <v>0</v>
      </c>
      <c r="S309" s="364">
        <v>0</v>
      </c>
      <c r="T309" s="353" t="s">
        <v>146</v>
      </c>
      <c r="U309" s="365"/>
      <c r="V309" s="141"/>
    </row>
    <row r="310" spans="2:22" ht="13.5" thickBot="1" x14ac:dyDescent="0.25">
      <c r="B310" s="364">
        <f t="shared" si="284"/>
        <v>0</v>
      </c>
      <c r="C310" s="364">
        <f t="shared" si="285"/>
        <v>0</v>
      </c>
      <c r="D310" s="364">
        <f t="shared" si="285"/>
        <v>0</v>
      </c>
      <c r="E310" s="364">
        <f t="shared" si="248"/>
        <v>0</v>
      </c>
      <c r="F310" s="364">
        <v>0</v>
      </c>
      <c r="G310" s="364">
        <v>0</v>
      </c>
      <c r="H310" s="364">
        <f t="shared" si="249"/>
        <v>0</v>
      </c>
      <c r="I310" s="364">
        <v>0</v>
      </c>
      <c r="J310" s="364">
        <v>0</v>
      </c>
      <c r="K310" s="364">
        <f t="shared" si="250"/>
        <v>0</v>
      </c>
      <c r="L310" s="364">
        <v>0</v>
      </c>
      <c r="M310" s="364">
        <v>0</v>
      </c>
      <c r="N310" s="364">
        <f t="shared" si="251"/>
        <v>0</v>
      </c>
      <c r="O310" s="364">
        <v>0</v>
      </c>
      <c r="P310" s="364">
        <v>0</v>
      </c>
      <c r="Q310" s="364">
        <f t="shared" si="252"/>
        <v>0</v>
      </c>
      <c r="R310" s="364">
        <v>0</v>
      </c>
      <c r="S310" s="364">
        <v>0</v>
      </c>
      <c r="T310" s="353" t="s">
        <v>145</v>
      </c>
      <c r="U310" s="365" t="s">
        <v>437</v>
      </c>
      <c r="V310" s="141"/>
    </row>
    <row r="311" spans="2:22" ht="13.5" thickBot="1" x14ac:dyDescent="0.25">
      <c r="B311" s="364">
        <f t="shared" ref="B311:R311" si="286">SUM(B309:B310)</f>
        <v>14</v>
      </c>
      <c r="C311" s="364">
        <f t="shared" si="286"/>
        <v>5</v>
      </c>
      <c r="D311" s="364">
        <f t="shared" si="286"/>
        <v>9</v>
      </c>
      <c r="E311" s="364">
        <f t="shared" si="286"/>
        <v>0</v>
      </c>
      <c r="F311" s="364">
        <f t="shared" si="286"/>
        <v>0</v>
      </c>
      <c r="G311" s="364">
        <f t="shared" si="286"/>
        <v>0</v>
      </c>
      <c r="H311" s="364">
        <f t="shared" si="286"/>
        <v>8</v>
      </c>
      <c r="I311" s="364">
        <f t="shared" si="286"/>
        <v>1</v>
      </c>
      <c r="J311" s="364">
        <f t="shared" si="286"/>
        <v>7</v>
      </c>
      <c r="K311" s="364">
        <f t="shared" si="286"/>
        <v>6</v>
      </c>
      <c r="L311" s="364">
        <f t="shared" si="286"/>
        <v>4</v>
      </c>
      <c r="M311" s="364">
        <f t="shared" si="286"/>
        <v>2</v>
      </c>
      <c r="N311" s="364">
        <f t="shared" si="286"/>
        <v>0</v>
      </c>
      <c r="O311" s="364">
        <f t="shared" si="286"/>
        <v>0</v>
      </c>
      <c r="P311" s="364">
        <f t="shared" si="286"/>
        <v>0</v>
      </c>
      <c r="Q311" s="364">
        <f t="shared" si="286"/>
        <v>0</v>
      </c>
      <c r="R311" s="364">
        <f t="shared" si="286"/>
        <v>0</v>
      </c>
      <c r="S311" s="364">
        <f>SUM(S309:S310)</f>
        <v>0</v>
      </c>
      <c r="T311" s="353" t="s">
        <v>12</v>
      </c>
      <c r="U311" s="366"/>
      <c r="V311" s="141"/>
    </row>
    <row r="312" spans="2:22" ht="13.5" thickBot="1" x14ac:dyDescent="0.25">
      <c r="B312" s="364">
        <f t="shared" ref="B312:B313" si="287">SUM(C312:D312)</f>
        <v>91</v>
      </c>
      <c r="C312" s="364">
        <f t="shared" ref="C312:D313" si="288">R312+O312+L312+I312+F312</f>
        <v>49</v>
      </c>
      <c r="D312" s="364">
        <f t="shared" si="288"/>
        <v>42</v>
      </c>
      <c r="E312" s="364">
        <f t="shared" si="248"/>
        <v>0</v>
      </c>
      <c r="F312" s="364">
        <v>0</v>
      </c>
      <c r="G312" s="364">
        <v>0</v>
      </c>
      <c r="H312" s="364">
        <f t="shared" si="249"/>
        <v>39</v>
      </c>
      <c r="I312" s="364">
        <v>24</v>
      </c>
      <c r="J312" s="364">
        <v>15</v>
      </c>
      <c r="K312" s="364">
        <f t="shared" si="250"/>
        <v>52</v>
      </c>
      <c r="L312" s="364">
        <v>25</v>
      </c>
      <c r="M312" s="364">
        <v>27</v>
      </c>
      <c r="N312" s="364">
        <f t="shared" si="251"/>
        <v>0</v>
      </c>
      <c r="O312" s="364">
        <v>0</v>
      </c>
      <c r="P312" s="364">
        <v>0</v>
      </c>
      <c r="Q312" s="364">
        <f t="shared" si="252"/>
        <v>0</v>
      </c>
      <c r="R312" s="364">
        <v>0</v>
      </c>
      <c r="S312" s="364">
        <v>0</v>
      </c>
      <c r="T312" s="353" t="s">
        <v>146</v>
      </c>
      <c r="U312" s="365"/>
      <c r="V312" s="141"/>
    </row>
    <row r="313" spans="2:22" ht="13.5" thickBot="1" x14ac:dyDescent="0.25">
      <c r="B313" s="364">
        <f t="shared" si="287"/>
        <v>0</v>
      </c>
      <c r="C313" s="364">
        <f t="shared" si="288"/>
        <v>0</v>
      </c>
      <c r="D313" s="364">
        <f t="shared" si="288"/>
        <v>0</v>
      </c>
      <c r="E313" s="364">
        <f t="shared" si="248"/>
        <v>0</v>
      </c>
      <c r="F313" s="364">
        <v>0</v>
      </c>
      <c r="G313" s="364">
        <v>0</v>
      </c>
      <c r="H313" s="364">
        <f t="shared" si="249"/>
        <v>0</v>
      </c>
      <c r="I313" s="364">
        <v>0</v>
      </c>
      <c r="J313" s="364">
        <v>0</v>
      </c>
      <c r="K313" s="364">
        <f t="shared" si="250"/>
        <v>0</v>
      </c>
      <c r="L313" s="364">
        <v>0</v>
      </c>
      <c r="M313" s="364">
        <v>0</v>
      </c>
      <c r="N313" s="364">
        <f t="shared" si="251"/>
        <v>0</v>
      </c>
      <c r="O313" s="364">
        <v>0</v>
      </c>
      <c r="P313" s="364">
        <v>0</v>
      </c>
      <c r="Q313" s="364">
        <f t="shared" si="252"/>
        <v>0</v>
      </c>
      <c r="R313" s="364">
        <v>0</v>
      </c>
      <c r="S313" s="364">
        <v>0</v>
      </c>
      <c r="T313" s="353" t="s">
        <v>145</v>
      </c>
      <c r="U313" s="365" t="s">
        <v>71</v>
      </c>
      <c r="V313" s="141"/>
    </row>
    <row r="314" spans="2:22" ht="13.5" thickBot="1" x14ac:dyDescent="0.25">
      <c r="B314" s="364">
        <f t="shared" ref="B314:R314" si="289">SUM(B312:B313)</f>
        <v>91</v>
      </c>
      <c r="C314" s="364">
        <f t="shared" si="289"/>
        <v>49</v>
      </c>
      <c r="D314" s="364">
        <f t="shared" si="289"/>
        <v>42</v>
      </c>
      <c r="E314" s="364">
        <f t="shared" si="289"/>
        <v>0</v>
      </c>
      <c r="F314" s="364">
        <f t="shared" si="289"/>
        <v>0</v>
      </c>
      <c r="G314" s="364">
        <f t="shared" si="289"/>
        <v>0</v>
      </c>
      <c r="H314" s="364">
        <f t="shared" si="289"/>
        <v>39</v>
      </c>
      <c r="I314" s="364">
        <f t="shared" si="289"/>
        <v>24</v>
      </c>
      <c r="J314" s="364">
        <f t="shared" si="289"/>
        <v>15</v>
      </c>
      <c r="K314" s="364">
        <f t="shared" si="289"/>
        <v>52</v>
      </c>
      <c r="L314" s="364">
        <f t="shared" si="289"/>
        <v>25</v>
      </c>
      <c r="M314" s="364">
        <f t="shared" si="289"/>
        <v>27</v>
      </c>
      <c r="N314" s="364">
        <f t="shared" si="289"/>
        <v>0</v>
      </c>
      <c r="O314" s="364">
        <f t="shared" si="289"/>
        <v>0</v>
      </c>
      <c r="P314" s="364">
        <f t="shared" si="289"/>
        <v>0</v>
      </c>
      <c r="Q314" s="364">
        <f t="shared" si="289"/>
        <v>0</v>
      </c>
      <c r="R314" s="364">
        <f t="shared" si="289"/>
        <v>0</v>
      </c>
      <c r="S314" s="364">
        <f>SUM(S312:S313)</f>
        <v>0</v>
      </c>
      <c r="T314" s="353" t="s">
        <v>12</v>
      </c>
      <c r="U314" s="366"/>
      <c r="V314" s="141"/>
    </row>
    <row r="315" spans="2:22" ht="13.5" thickBot="1" x14ac:dyDescent="0.25">
      <c r="B315" s="364">
        <f t="shared" ref="B315:B316" si="290">SUM(C315:D315)</f>
        <v>737</v>
      </c>
      <c r="C315" s="364">
        <f t="shared" ref="C315:D316" si="291">R315+O315+L315+I315+F315</f>
        <v>32</v>
      </c>
      <c r="D315" s="364">
        <f t="shared" si="291"/>
        <v>705</v>
      </c>
      <c r="E315" s="364">
        <f t="shared" si="248"/>
        <v>133</v>
      </c>
      <c r="F315" s="364">
        <v>10</v>
      </c>
      <c r="G315" s="364">
        <v>123</v>
      </c>
      <c r="H315" s="364">
        <f t="shared" si="249"/>
        <v>312</v>
      </c>
      <c r="I315" s="364">
        <v>10</v>
      </c>
      <c r="J315" s="364">
        <v>302</v>
      </c>
      <c r="K315" s="364">
        <f t="shared" si="250"/>
        <v>290</v>
      </c>
      <c r="L315" s="364">
        <v>12</v>
      </c>
      <c r="M315" s="364">
        <v>278</v>
      </c>
      <c r="N315" s="364">
        <f t="shared" si="251"/>
        <v>2</v>
      </c>
      <c r="O315" s="364">
        <v>0</v>
      </c>
      <c r="P315" s="364">
        <v>2</v>
      </c>
      <c r="Q315" s="364">
        <f t="shared" si="252"/>
        <v>0</v>
      </c>
      <c r="R315" s="364">
        <v>0</v>
      </c>
      <c r="S315" s="364">
        <v>0</v>
      </c>
      <c r="T315" s="353" t="s">
        <v>146</v>
      </c>
      <c r="U315" s="365"/>
      <c r="V315" s="141"/>
    </row>
    <row r="316" spans="2:22" ht="13.5" thickBot="1" x14ac:dyDescent="0.25">
      <c r="B316" s="364">
        <f t="shared" si="290"/>
        <v>5</v>
      </c>
      <c r="C316" s="364">
        <f t="shared" si="291"/>
        <v>0</v>
      </c>
      <c r="D316" s="364">
        <f t="shared" si="291"/>
        <v>5</v>
      </c>
      <c r="E316" s="364">
        <f t="shared" si="248"/>
        <v>0</v>
      </c>
      <c r="F316" s="364">
        <v>0</v>
      </c>
      <c r="G316" s="364">
        <v>0</v>
      </c>
      <c r="H316" s="364">
        <f t="shared" si="249"/>
        <v>0</v>
      </c>
      <c r="I316" s="364">
        <v>0</v>
      </c>
      <c r="J316" s="364">
        <v>0</v>
      </c>
      <c r="K316" s="364">
        <f t="shared" si="250"/>
        <v>5</v>
      </c>
      <c r="L316" s="364">
        <v>0</v>
      </c>
      <c r="M316" s="364">
        <v>5</v>
      </c>
      <c r="N316" s="364">
        <f t="shared" si="251"/>
        <v>0</v>
      </c>
      <c r="O316" s="364">
        <v>0</v>
      </c>
      <c r="P316" s="364">
        <v>0</v>
      </c>
      <c r="Q316" s="364">
        <f t="shared" si="252"/>
        <v>0</v>
      </c>
      <c r="R316" s="364">
        <v>0</v>
      </c>
      <c r="S316" s="364">
        <v>0</v>
      </c>
      <c r="T316" s="353" t="s">
        <v>145</v>
      </c>
      <c r="U316" s="365" t="s">
        <v>818</v>
      </c>
      <c r="V316" s="141"/>
    </row>
    <row r="317" spans="2:22" ht="13.5" thickBot="1" x14ac:dyDescent="0.25">
      <c r="B317" s="364">
        <f t="shared" ref="B317:R317" si="292">SUM(B315:B316)</f>
        <v>742</v>
      </c>
      <c r="C317" s="364">
        <f t="shared" si="292"/>
        <v>32</v>
      </c>
      <c r="D317" s="364">
        <f t="shared" si="292"/>
        <v>710</v>
      </c>
      <c r="E317" s="364">
        <f t="shared" si="292"/>
        <v>133</v>
      </c>
      <c r="F317" s="364">
        <f t="shared" si="292"/>
        <v>10</v>
      </c>
      <c r="G317" s="364">
        <f t="shared" si="292"/>
        <v>123</v>
      </c>
      <c r="H317" s="364">
        <f t="shared" si="292"/>
        <v>312</v>
      </c>
      <c r="I317" s="364">
        <f t="shared" si="292"/>
        <v>10</v>
      </c>
      <c r="J317" s="364">
        <f t="shared" si="292"/>
        <v>302</v>
      </c>
      <c r="K317" s="364">
        <f t="shared" si="292"/>
        <v>295</v>
      </c>
      <c r="L317" s="364">
        <f t="shared" si="292"/>
        <v>12</v>
      </c>
      <c r="M317" s="364">
        <f t="shared" si="292"/>
        <v>283</v>
      </c>
      <c r="N317" s="364">
        <f t="shared" si="292"/>
        <v>2</v>
      </c>
      <c r="O317" s="364">
        <f t="shared" si="292"/>
        <v>0</v>
      </c>
      <c r="P317" s="364">
        <f t="shared" si="292"/>
        <v>2</v>
      </c>
      <c r="Q317" s="364">
        <f t="shared" si="292"/>
        <v>0</v>
      </c>
      <c r="R317" s="364">
        <f t="shared" si="292"/>
        <v>0</v>
      </c>
      <c r="S317" s="364">
        <f>SUM(S315:S316)</f>
        <v>0</v>
      </c>
      <c r="T317" s="353" t="s">
        <v>12</v>
      </c>
      <c r="U317" s="366"/>
      <c r="V317" s="141"/>
    </row>
    <row r="318" spans="2:22" ht="13.5" thickBot="1" x14ac:dyDescent="0.25">
      <c r="B318" s="364">
        <f t="shared" ref="B318:B319" si="293">SUM(C318:D318)</f>
        <v>60</v>
      </c>
      <c r="C318" s="364">
        <f t="shared" ref="C318:D319" si="294">R318+O318+L318+I318+F318</f>
        <v>0</v>
      </c>
      <c r="D318" s="364">
        <f t="shared" si="294"/>
        <v>60</v>
      </c>
      <c r="E318" s="364">
        <f t="shared" si="248"/>
        <v>4</v>
      </c>
      <c r="F318" s="364">
        <v>0</v>
      </c>
      <c r="G318" s="364">
        <v>4</v>
      </c>
      <c r="H318" s="364">
        <f t="shared" si="249"/>
        <v>17</v>
      </c>
      <c r="I318" s="364">
        <v>0</v>
      </c>
      <c r="J318" s="364">
        <v>17</v>
      </c>
      <c r="K318" s="364">
        <f t="shared" si="250"/>
        <v>33</v>
      </c>
      <c r="L318" s="364">
        <v>0</v>
      </c>
      <c r="M318" s="364">
        <v>33</v>
      </c>
      <c r="N318" s="364">
        <f t="shared" si="251"/>
        <v>6</v>
      </c>
      <c r="O318" s="364">
        <v>0</v>
      </c>
      <c r="P318" s="364">
        <v>6</v>
      </c>
      <c r="Q318" s="364">
        <f t="shared" si="252"/>
        <v>0</v>
      </c>
      <c r="R318" s="364">
        <v>0</v>
      </c>
      <c r="S318" s="364">
        <v>0</v>
      </c>
      <c r="T318" s="353" t="s">
        <v>146</v>
      </c>
      <c r="U318" s="365"/>
      <c r="V318" s="141"/>
    </row>
    <row r="319" spans="2:22" ht="12.75" customHeight="1" thickBot="1" x14ac:dyDescent="0.25">
      <c r="B319" s="364">
        <f t="shared" si="293"/>
        <v>0</v>
      </c>
      <c r="C319" s="364">
        <f t="shared" si="294"/>
        <v>0</v>
      </c>
      <c r="D319" s="364">
        <f t="shared" si="294"/>
        <v>0</v>
      </c>
      <c r="E319" s="364">
        <f t="shared" si="248"/>
        <v>0</v>
      </c>
      <c r="F319" s="364">
        <v>0</v>
      </c>
      <c r="G319" s="364">
        <v>0</v>
      </c>
      <c r="H319" s="364">
        <f t="shared" si="249"/>
        <v>0</v>
      </c>
      <c r="I319" s="364">
        <v>0</v>
      </c>
      <c r="J319" s="364">
        <v>0</v>
      </c>
      <c r="K319" s="364">
        <f t="shared" si="250"/>
        <v>0</v>
      </c>
      <c r="L319" s="364">
        <v>0</v>
      </c>
      <c r="M319" s="364">
        <v>0</v>
      </c>
      <c r="N319" s="364">
        <f t="shared" si="251"/>
        <v>0</v>
      </c>
      <c r="O319" s="364">
        <v>0</v>
      </c>
      <c r="P319" s="364">
        <v>0</v>
      </c>
      <c r="Q319" s="364">
        <f t="shared" si="252"/>
        <v>0</v>
      </c>
      <c r="R319" s="364">
        <v>0</v>
      </c>
      <c r="S319" s="364">
        <v>0</v>
      </c>
      <c r="T319" s="353" t="s">
        <v>145</v>
      </c>
      <c r="U319" s="370" t="s">
        <v>819</v>
      </c>
      <c r="V319" s="141"/>
    </row>
    <row r="320" spans="2:22" ht="13.5" thickBot="1" x14ac:dyDescent="0.25">
      <c r="B320" s="364">
        <f t="shared" ref="B320:R320" si="295">SUM(B318:B319)</f>
        <v>60</v>
      </c>
      <c r="C320" s="364">
        <f t="shared" si="295"/>
        <v>0</v>
      </c>
      <c r="D320" s="364">
        <f t="shared" si="295"/>
        <v>60</v>
      </c>
      <c r="E320" s="364">
        <f t="shared" si="295"/>
        <v>4</v>
      </c>
      <c r="F320" s="364">
        <f t="shared" si="295"/>
        <v>0</v>
      </c>
      <c r="G320" s="364">
        <f t="shared" si="295"/>
        <v>4</v>
      </c>
      <c r="H320" s="364">
        <f t="shared" si="295"/>
        <v>17</v>
      </c>
      <c r="I320" s="364">
        <f t="shared" si="295"/>
        <v>0</v>
      </c>
      <c r="J320" s="364">
        <f t="shared" si="295"/>
        <v>17</v>
      </c>
      <c r="K320" s="364">
        <f t="shared" si="295"/>
        <v>33</v>
      </c>
      <c r="L320" s="364">
        <f t="shared" si="295"/>
        <v>0</v>
      </c>
      <c r="M320" s="364">
        <f t="shared" si="295"/>
        <v>33</v>
      </c>
      <c r="N320" s="364">
        <f t="shared" si="295"/>
        <v>6</v>
      </c>
      <c r="O320" s="364">
        <f t="shared" si="295"/>
        <v>0</v>
      </c>
      <c r="P320" s="364">
        <f t="shared" si="295"/>
        <v>6</v>
      </c>
      <c r="Q320" s="364">
        <f t="shared" si="295"/>
        <v>0</v>
      </c>
      <c r="R320" s="364">
        <f t="shared" si="295"/>
        <v>0</v>
      </c>
      <c r="S320" s="364">
        <f>SUM(S318:S319)</f>
        <v>0</v>
      </c>
      <c r="T320" s="353" t="s">
        <v>12</v>
      </c>
      <c r="U320" s="366"/>
      <c r="V320" s="141"/>
    </row>
    <row r="321" spans="2:22" ht="13.5" thickBot="1" x14ac:dyDescent="0.25">
      <c r="B321" s="364">
        <f t="shared" ref="B321:B322" si="296">SUM(C321:D321)</f>
        <v>211</v>
      </c>
      <c r="C321" s="364">
        <f t="shared" ref="C321:D322" si="297">R321+O321+L321+I321+F321</f>
        <v>26</v>
      </c>
      <c r="D321" s="364">
        <f t="shared" si="297"/>
        <v>185</v>
      </c>
      <c r="E321" s="364">
        <f t="shared" si="248"/>
        <v>0</v>
      </c>
      <c r="F321" s="364">
        <v>0</v>
      </c>
      <c r="G321" s="364">
        <v>0</v>
      </c>
      <c r="H321" s="364">
        <f t="shared" si="249"/>
        <v>132</v>
      </c>
      <c r="I321" s="364">
        <v>6</v>
      </c>
      <c r="J321" s="364">
        <v>126</v>
      </c>
      <c r="K321" s="364">
        <f t="shared" si="250"/>
        <v>77</v>
      </c>
      <c r="L321" s="364">
        <v>20</v>
      </c>
      <c r="M321" s="364">
        <v>57</v>
      </c>
      <c r="N321" s="364">
        <f t="shared" si="251"/>
        <v>2</v>
      </c>
      <c r="O321" s="364">
        <v>0</v>
      </c>
      <c r="P321" s="364">
        <v>2</v>
      </c>
      <c r="Q321" s="364">
        <f t="shared" si="252"/>
        <v>0</v>
      </c>
      <c r="R321" s="364">
        <v>0</v>
      </c>
      <c r="S321" s="364">
        <v>0</v>
      </c>
      <c r="T321" s="353" t="s">
        <v>146</v>
      </c>
      <c r="U321" s="365"/>
      <c r="V321" s="141"/>
    </row>
    <row r="322" spans="2:22" ht="13.5" thickBot="1" x14ac:dyDescent="0.25">
      <c r="B322" s="364">
        <f t="shared" si="296"/>
        <v>11</v>
      </c>
      <c r="C322" s="364">
        <f t="shared" si="297"/>
        <v>0</v>
      </c>
      <c r="D322" s="364">
        <f t="shared" si="297"/>
        <v>11</v>
      </c>
      <c r="E322" s="364">
        <f t="shared" si="248"/>
        <v>0</v>
      </c>
      <c r="F322" s="364">
        <v>0</v>
      </c>
      <c r="G322" s="364">
        <v>0</v>
      </c>
      <c r="H322" s="364">
        <f t="shared" si="249"/>
        <v>0</v>
      </c>
      <c r="I322" s="364">
        <v>0</v>
      </c>
      <c r="J322" s="364">
        <v>0</v>
      </c>
      <c r="K322" s="364">
        <f t="shared" si="250"/>
        <v>11</v>
      </c>
      <c r="L322" s="364">
        <v>0</v>
      </c>
      <c r="M322" s="364">
        <v>11</v>
      </c>
      <c r="N322" s="364">
        <f t="shared" si="251"/>
        <v>0</v>
      </c>
      <c r="O322" s="364">
        <v>0</v>
      </c>
      <c r="P322" s="364">
        <v>0</v>
      </c>
      <c r="Q322" s="364">
        <f t="shared" si="252"/>
        <v>0</v>
      </c>
      <c r="R322" s="364">
        <v>0</v>
      </c>
      <c r="S322" s="364">
        <v>0</v>
      </c>
      <c r="T322" s="353" t="s">
        <v>145</v>
      </c>
      <c r="U322" s="371" t="s">
        <v>820</v>
      </c>
      <c r="V322" s="141"/>
    </row>
    <row r="323" spans="2:22" ht="13.5" thickBot="1" x14ac:dyDescent="0.25">
      <c r="B323" s="364">
        <f t="shared" ref="B323:R323" si="298">SUM(B321:B322)</f>
        <v>222</v>
      </c>
      <c r="C323" s="364">
        <f t="shared" si="298"/>
        <v>26</v>
      </c>
      <c r="D323" s="364">
        <f t="shared" si="298"/>
        <v>196</v>
      </c>
      <c r="E323" s="364">
        <f t="shared" si="298"/>
        <v>0</v>
      </c>
      <c r="F323" s="364">
        <f t="shared" si="298"/>
        <v>0</v>
      </c>
      <c r="G323" s="364">
        <f t="shared" si="298"/>
        <v>0</v>
      </c>
      <c r="H323" s="364">
        <f t="shared" si="298"/>
        <v>132</v>
      </c>
      <c r="I323" s="364">
        <f t="shared" si="298"/>
        <v>6</v>
      </c>
      <c r="J323" s="364">
        <f t="shared" si="298"/>
        <v>126</v>
      </c>
      <c r="K323" s="364">
        <f t="shared" si="298"/>
        <v>88</v>
      </c>
      <c r="L323" s="364">
        <f t="shared" si="298"/>
        <v>20</v>
      </c>
      <c r="M323" s="364">
        <f t="shared" si="298"/>
        <v>68</v>
      </c>
      <c r="N323" s="364">
        <f t="shared" si="298"/>
        <v>2</v>
      </c>
      <c r="O323" s="364">
        <f t="shared" si="298"/>
        <v>0</v>
      </c>
      <c r="P323" s="364">
        <f t="shared" si="298"/>
        <v>2</v>
      </c>
      <c r="Q323" s="364">
        <f t="shared" si="298"/>
        <v>0</v>
      </c>
      <c r="R323" s="364">
        <f t="shared" si="298"/>
        <v>0</v>
      </c>
      <c r="S323" s="364">
        <f>SUM(S321:S322)</f>
        <v>0</v>
      </c>
      <c r="T323" s="353" t="s">
        <v>12</v>
      </c>
      <c r="U323" s="366"/>
      <c r="V323" s="141"/>
    </row>
    <row r="324" spans="2:22" ht="13.5" thickBot="1" x14ac:dyDescent="0.25">
      <c r="B324" s="364">
        <f t="shared" ref="B324:B325" si="299">SUM(C324:D324)</f>
        <v>11</v>
      </c>
      <c r="C324" s="364">
        <f t="shared" ref="C324:D325" si="300">R324+O324+L324+I324+F324</f>
        <v>1</v>
      </c>
      <c r="D324" s="364">
        <f t="shared" si="300"/>
        <v>10</v>
      </c>
      <c r="E324" s="364">
        <f t="shared" si="248"/>
        <v>1</v>
      </c>
      <c r="F324" s="364">
        <v>0</v>
      </c>
      <c r="G324" s="364">
        <v>1</v>
      </c>
      <c r="H324" s="364">
        <f t="shared" si="249"/>
        <v>2</v>
      </c>
      <c r="I324" s="364">
        <v>0</v>
      </c>
      <c r="J324" s="364">
        <v>2</v>
      </c>
      <c r="K324" s="364">
        <f t="shared" si="250"/>
        <v>8</v>
      </c>
      <c r="L324" s="364">
        <v>1</v>
      </c>
      <c r="M324" s="364">
        <v>7</v>
      </c>
      <c r="N324" s="364">
        <f t="shared" si="251"/>
        <v>0</v>
      </c>
      <c r="O324" s="364">
        <v>0</v>
      </c>
      <c r="P324" s="364">
        <v>0</v>
      </c>
      <c r="Q324" s="364">
        <f t="shared" si="252"/>
        <v>0</v>
      </c>
      <c r="R324" s="364">
        <v>0</v>
      </c>
      <c r="S324" s="364">
        <v>0</v>
      </c>
      <c r="T324" s="353" t="s">
        <v>146</v>
      </c>
      <c r="U324" s="365"/>
      <c r="V324" s="141"/>
    </row>
    <row r="325" spans="2:22" ht="13.5" thickBot="1" x14ac:dyDescent="0.25">
      <c r="B325" s="364">
        <f t="shared" si="299"/>
        <v>0</v>
      </c>
      <c r="C325" s="364">
        <f t="shared" si="300"/>
        <v>0</v>
      </c>
      <c r="D325" s="364">
        <f t="shared" si="300"/>
        <v>0</v>
      </c>
      <c r="E325" s="364">
        <f t="shared" si="248"/>
        <v>0</v>
      </c>
      <c r="F325" s="364">
        <v>0</v>
      </c>
      <c r="G325" s="364">
        <v>0</v>
      </c>
      <c r="H325" s="364">
        <f t="shared" si="249"/>
        <v>0</v>
      </c>
      <c r="I325" s="364">
        <v>0</v>
      </c>
      <c r="J325" s="364">
        <v>0</v>
      </c>
      <c r="K325" s="364">
        <f t="shared" si="250"/>
        <v>0</v>
      </c>
      <c r="L325" s="364">
        <v>0</v>
      </c>
      <c r="M325" s="364">
        <v>0</v>
      </c>
      <c r="N325" s="364">
        <f t="shared" si="251"/>
        <v>0</v>
      </c>
      <c r="O325" s="364">
        <v>0</v>
      </c>
      <c r="P325" s="364">
        <v>0</v>
      </c>
      <c r="Q325" s="364">
        <f t="shared" si="252"/>
        <v>0</v>
      </c>
      <c r="R325" s="364">
        <v>0</v>
      </c>
      <c r="S325" s="364">
        <v>0</v>
      </c>
      <c r="T325" s="353" t="s">
        <v>145</v>
      </c>
      <c r="U325" s="371" t="s">
        <v>439</v>
      </c>
      <c r="V325" s="141"/>
    </row>
    <row r="326" spans="2:22" ht="13.5" thickBot="1" x14ac:dyDescent="0.25">
      <c r="B326" s="364">
        <f t="shared" ref="B326:R326" si="301">SUM(B324:B325)</f>
        <v>11</v>
      </c>
      <c r="C326" s="364">
        <f t="shared" si="301"/>
        <v>1</v>
      </c>
      <c r="D326" s="364">
        <f t="shared" si="301"/>
        <v>10</v>
      </c>
      <c r="E326" s="364">
        <f t="shared" si="301"/>
        <v>1</v>
      </c>
      <c r="F326" s="364">
        <f t="shared" si="301"/>
        <v>0</v>
      </c>
      <c r="G326" s="364">
        <f t="shared" si="301"/>
        <v>1</v>
      </c>
      <c r="H326" s="364">
        <f t="shared" si="301"/>
        <v>2</v>
      </c>
      <c r="I326" s="364">
        <f t="shared" si="301"/>
        <v>0</v>
      </c>
      <c r="J326" s="364">
        <f t="shared" si="301"/>
        <v>2</v>
      </c>
      <c r="K326" s="364">
        <f t="shared" si="301"/>
        <v>8</v>
      </c>
      <c r="L326" s="364">
        <f t="shared" si="301"/>
        <v>1</v>
      </c>
      <c r="M326" s="364">
        <f t="shared" si="301"/>
        <v>7</v>
      </c>
      <c r="N326" s="364">
        <f t="shared" si="301"/>
        <v>0</v>
      </c>
      <c r="O326" s="364">
        <f t="shared" si="301"/>
        <v>0</v>
      </c>
      <c r="P326" s="364">
        <f t="shared" si="301"/>
        <v>0</v>
      </c>
      <c r="Q326" s="364">
        <f t="shared" si="301"/>
        <v>0</v>
      </c>
      <c r="R326" s="364">
        <f t="shared" si="301"/>
        <v>0</v>
      </c>
      <c r="S326" s="364">
        <f>SUM(S324:S325)</f>
        <v>0</v>
      </c>
      <c r="T326" s="353" t="s">
        <v>12</v>
      </c>
      <c r="U326" s="366"/>
      <c r="V326" s="141"/>
    </row>
    <row r="327" spans="2:22" ht="13.5" thickBot="1" x14ac:dyDescent="0.25">
      <c r="B327" s="364">
        <f t="shared" ref="B327:B328" si="302">SUM(C327:D327)</f>
        <v>21</v>
      </c>
      <c r="C327" s="364">
        <f t="shared" ref="C327:D328" si="303">R327+O327+L327+I327+F327</f>
        <v>21</v>
      </c>
      <c r="D327" s="364">
        <f t="shared" si="303"/>
        <v>0</v>
      </c>
      <c r="E327" s="364">
        <f t="shared" si="248"/>
        <v>4</v>
      </c>
      <c r="F327" s="364">
        <v>4</v>
      </c>
      <c r="G327" s="364">
        <v>0</v>
      </c>
      <c r="H327" s="364">
        <f t="shared" si="249"/>
        <v>10</v>
      </c>
      <c r="I327" s="364">
        <v>10</v>
      </c>
      <c r="J327" s="364">
        <v>0</v>
      </c>
      <c r="K327" s="364">
        <f t="shared" si="250"/>
        <v>7</v>
      </c>
      <c r="L327" s="364">
        <v>7</v>
      </c>
      <c r="M327" s="364">
        <v>0</v>
      </c>
      <c r="N327" s="364">
        <f t="shared" si="251"/>
        <v>0</v>
      </c>
      <c r="O327" s="364">
        <v>0</v>
      </c>
      <c r="P327" s="364">
        <v>0</v>
      </c>
      <c r="Q327" s="364">
        <f t="shared" si="252"/>
        <v>0</v>
      </c>
      <c r="R327" s="364">
        <v>0</v>
      </c>
      <c r="S327" s="364">
        <v>0</v>
      </c>
      <c r="T327" s="353" t="s">
        <v>146</v>
      </c>
      <c r="U327" s="365"/>
      <c r="V327" s="141"/>
    </row>
    <row r="328" spans="2:22" ht="13.5" thickBot="1" x14ac:dyDescent="0.25">
      <c r="B328" s="364">
        <f t="shared" si="302"/>
        <v>0</v>
      </c>
      <c r="C328" s="364">
        <f t="shared" si="303"/>
        <v>0</v>
      </c>
      <c r="D328" s="364">
        <f t="shared" si="303"/>
        <v>0</v>
      </c>
      <c r="E328" s="364">
        <f t="shared" si="248"/>
        <v>0</v>
      </c>
      <c r="F328" s="364">
        <v>0</v>
      </c>
      <c r="G328" s="364">
        <v>0</v>
      </c>
      <c r="H328" s="364">
        <f t="shared" si="249"/>
        <v>0</v>
      </c>
      <c r="I328" s="364">
        <v>0</v>
      </c>
      <c r="J328" s="364">
        <v>0</v>
      </c>
      <c r="K328" s="364">
        <f t="shared" si="250"/>
        <v>0</v>
      </c>
      <c r="L328" s="364">
        <v>0</v>
      </c>
      <c r="M328" s="364">
        <v>0</v>
      </c>
      <c r="N328" s="364">
        <f t="shared" si="251"/>
        <v>0</v>
      </c>
      <c r="O328" s="364">
        <v>0</v>
      </c>
      <c r="P328" s="364">
        <v>0</v>
      </c>
      <c r="Q328" s="364">
        <f t="shared" si="252"/>
        <v>0</v>
      </c>
      <c r="R328" s="364">
        <v>0</v>
      </c>
      <c r="S328" s="364">
        <v>0</v>
      </c>
      <c r="T328" s="353" t="s">
        <v>145</v>
      </c>
      <c r="U328" s="371" t="s">
        <v>650</v>
      </c>
      <c r="V328" s="141"/>
    </row>
    <row r="329" spans="2:22" ht="13.5" thickBot="1" x14ac:dyDescent="0.25">
      <c r="B329" s="364">
        <f t="shared" ref="B329:R329" si="304">SUM(B327:B328)</f>
        <v>21</v>
      </c>
      <c r="C329" s="364">
        <f t="shared" si="304"/>
        <v>21</v>
      </c>
      <c r="D329" s="364">
        <f t="shared" si="304"/>
        <v>0</v>
      </c>
      <c r="E329" s="364">
        <f t="shared" si="304"/>
        <v>4</v>
      </c>
      <c r="F329" s="364">
        <f t="shared" si="304"/>
        <v>4</v>
      </c>
      <c r="G329" s="364">
        <f t="shared" si="304"/>
        <v>0</v>
      </c>
      <c r="H329" s="364">
        <f t="shared" si="304"/>
        <v>10</v>
      </c>
      <c r="I329" s="364">
        <f t="shared" si="304"/>
        <v>10</v>
      </c>
      <c r="J329" s="364">
        <f t="shared" si="304"/>
        <v>0</v>
      </c>
      <c r="K329" s="364">
        <f t="shared" si="304"/>
        <v>7</v>
      </c>
      <c r="L329" s="364">
        <f t="shared" si="304"/>
        <v>7</v>
      </c>
      <c r="M329" s="364">
        <f t="shared" si="304"/>
        <v>0</v>
      </c>
      <c r="N329" s="364">
        <f t="shared" si="304"/>
        <v>0</v>
      </c>
      <c r="O329" s="364">
        <f t="shared" si="304"/>
        <v>0</v>
      </c>
      <c r="P329" s="364">
        <f t="shared" si="304"/>
        <v>0</v>
      </c>
      <c r="Q329" s="364">
        <f t="shared" si="304"/>
        <v>0</v>
      </c>
      <c r="R329" s="364">
        <f t="shared" si="304"/>
        <v>0</v>
      </c>
      <c r="S329" s="364">
        <f>SUM(S327:S328)</f>
        <v>0</v>
      </c>
      <c r="T329" s="353" t="s">
        <v>12</v>
      </c>
      <c r="U329" s="366"/>
      <c r="V329" s="141"/>
    </row>
    <row r="330" spans="2:22" ht="13.5" thickBot="1" x14ac:dyDescent="0.25">
      <c r="B330" s="364">
        <f t="shared" ref="B330:B331" si="305">SUM(C330:D330)</f>
        <v>8</v>
      </c>
      <c r="C330" s="364">
        <f t="shared" ref="C330:D331" si="306">R330+O330+L330+I330+F330</f>
        <v>7</v>
      </c>
      <c r="D330" s="364">
        <f t="shared" si="306"/>
        <v>1</v>
      </c>
      <c r="E330" s="364">
        <f t="shared" si="248"/>
        <v>0</v>
      </c>
      <c r="F330" s="364">
        <v>0</v>
      </c>
      <c r="G330" s="364">
        <v>0</v>
      </c>
      <c r="H330" s="364">
        <f t="shared" si="249"/>
        <v>2</v>
      </c>
      <c r="I330" s="364">
        <v>1</v>
      </c>
      <c r="J330" s="364">
        <v>1</v>
      </c>
      <c r="K330" s="364">
        <f t="shared" si="250"/>
        <v>6</v>
      </c>
      <c r="L330" s="364">
        <v>6</v>
      </c>
      <c r="M330" s="364">
        <v>0</v>
      </c>
      <c r="N330" s="364">
        <f t="shared" si="251"/>
        <v>0</v>
      </c>
      <c r="O330" s="364">
        <v>0</v>
      </c>
      <c r="P330" s="364">
        <v>0</v>
      </c>
      <c r="Q330" s="364">
        <f t="shared" si="252"/>
        <v>0</v>
      </c>
      <c r="R330" s="364">
        <v>0</v>
      </c>
      <c r="S330" s="364">
        <v>0</v>
      </c>
      <c r="T330" s="353" t="s">
        <v>146</v>
      </c>
      <c r="U330" s="365"/>
      <c r="V330" s="141"/>
    </row>
    <row r="331" spans="2:22" ht="13.5" thickBot="1" x14ac:dyDescent="0.25">
      <c r="B331" s="364">
        <f t="shared" si="305"/>
        <v>0</v>
      </c>
      <c r="C331" s="364">
        <f t="shared" si="306"/>
        <v>0</v>
      </c>
      <c r="D331" s="364">
        <f t="shared" si="306"/>
        <v>0</v>
      </c>
      <c r="E331" s="364">
        <f t="shared" si="248"/>
        <v>0</v>
      </c>
      <c r="F331" s="364">
        <v>0</v>
      </c>
      <c r="G331" s="364">
        <v>0</v>
      </c>
      <c r="H331" s="364">
        <f t="shared" si="249"/>
        <v>0</v>
      </c>
      <c r="I331" s="364">
        <v>0</v>
      </c>
      <c r="J331" s="364">
        <v>0</v>
      </c>
      <c r="K331" s="364">
        <f t="shared" si="250"/>
        <v>0</v>
      </c>
      <c r="L331" s="364">
        <v>0</v>
      </c>
      <c r="M331" s="364">
        <v>0</v>
      </c>
      <c r="N331" s="364">
        <f t="shared" si="251"/>
        <v>0</v>
      </c>
      <c r="O331" s="364">
        <v>0</v>
      </c>
      <c r="P331" s="364">
        <v>0</v>
      </c>
      <c r="Q331" s="364">
        <f t="shared" si="252"/>
        <v>0</v>
      </c>
      <c r="R331" s="364">
        <v>0</v>
      </c>
      <c r="S331" s="364">
        <v>0</v>
      </c>
      <c r="T331" s="353" t="s">
        <v>145</v>
      </c>
      <c r="U331" s="365" t="s">
        <v>441</v>
      </c>
      <c r="V331" s="141"/>
    </row>
    <row r="332" spans="2:22" ht="13.5" thickBot="1" x14ac:dyDescent="0.25">
      <c r="B332" s="364">
        <f t="shared" ref="B332:R332" si="307">SUM(B330:B331)</f>
        <v>8</v>
      </c>
      <c r="C332" s="364">
        <f t="shared" si="307"/>
        <v>7</v>
      </c>
      <c r="D332" s="364">
        <f t="shared" si="307"/>
        <v>1</v>
      </c>
      <c r="E332" s="364">
        <f t="shared" si="307"/>
        <v>0</v>
      </c>
      <c r="F332" s="364">
        <f t="shared" si="307"/>
        <v>0</v>
      </c>
      <c r="G332" s="364">
        <f t="shared" si="307"/>
        <v>0</v>
      </c>
      <c r="H332" s="364">
        <f t="shared" si="307"/>
        <v>2</v>
      </c>
      <c r="I332" s="364">
        <f t="shared" si="307"/>
        <v>1</v>
      </c>
      <c r="J332" s="364">
        <f t="shared" si="307"/>
        <v>1</v>
      </c>
      <c r="K332" s="364">
        <f t="shared" si="307"/>
        <v>6</v>
      </c>
      <c r="L332" s="364">
        <f t="shared" si="307"/>
        <v>6</v>
      </c>
      <c r="M332" s="364">
        <f t="shared" si="307"/>
        <v>0</v>
      </c>
      <c r="N332" s="364">
        <f t="shared" si="307"/>
        <v>0</v>
      </c>
      <c r="O332" s="364">
        <f t="shared" si="307"/>
        <v>0</v>
      </c>
      <c r="P332" s="364">
        <f t="shared" si="307"/>
        <v>0</v>
      </c>
      <c r="Q332" s="364">
        <f t="shared" si="307"/>
        <v>0</v>
      </c>
      <c r="R332" s="364">
        <f t="shared" si="307"/>
        <v>0</v>
      </c>
      <c r="S332" s="364">
        <f>SUM(S330:S331)</f>
        <v>0</v>
      </c>
      <c r="T332" s="353" t="s">
        <v>12</v>
      </c>
      <c r="U332" s="366"/>
      <c r="V332" s="141"/>
    </row>
    <row r="333" spans="2:22" ht="13.5" thickBot="1" x14ac:dyDescent="0.25">
      <c r="B333" s="364">
        <f t="shared" ref="B333:B334" si="308">SUM(C333:D333)</f>
        <v>3</v>
      </c>
      <c r="C333" s="364">
        <f t="shared" ref="C333:D334" si="309">R333+O333+L333+I333+F333</f>
        <v>3</v>
      </c>
      <c r="D333" s="364">
        <f t="shared" si="309"/>
        <v>0</v>
      </c>
      <c r="E333" s="364">
        <f t="shared" si="248"/>
        <v>0</v>
      </c>
      <c r="F333" s="364">
        <v>0</v>
      </c>
      <c r="G333" s="364">
        <v>0</v>
      </c>
      <c r="H333" s="364">
        <f t="shared" si="249"/>
        <v>1</v>
      </c>
      <c r="I333" s="364">
        <v>1</v>
      </c>
      <c r="J333" s="364">
        <v>0</v>
      </c>
      <c r="K333" s="364">
        <f t="shared" si="250"/>
        <v>2</v>
      </c>
      <c r="L333" s="364">
        <v>2</v>
      </c>
      <c r="M333" s="364">
        <v>0</v>
      </c>
      <c r="N333" s="364">
        <f t="shared" si="251"/>
        <v>0</v>
      </c>
      <c r="O333" s="364">
        <v>0</v>
      </c>
      <c r="P333" s="364">
        <v>0</v>
      </c>
      <c r="Q333" s="364">
        <f t="shared" si="252"/>
        <v>0</v>
      </c>
      <c r="R333" s="364">
        <v>0</v>
      </c>
      <c r="S333" s="364">
        <v>0</v>
      </c>
      <c r="T333" s="353" t="s">
        <v>146</v>
      </c>
      <c r="U333" s="365"/>
      <c r="V333" s="141"/>
    </row>
    <row r="334" spans="2:22" ht="13.5" thickBot="1" x14ac:dyDescent="0.25">
      <c r="B334" s="364">
        <f t="shared" si="308"/>
        <v>0</v>
      </c>
      <c r="C334" s="364">
        <f t="shared" si="309"/>
        <v>0</v>
      </c>
      <c r="D334" s="364">
        <f t="shared" si="309"/>
        <v>0</v>
      </c>
      <c r="E334" s="364">
        <f t="shared" si="248"/>
        <v>0</v>
      </c>
      <c r="F334" s="364">
        <v>0</v>
      </c>
      <c r="G334" s="364">
        <v>0</v>
      </c>
      <c r="H334" s="364">
        <f t="shared" si="249"/>
        <v>0</v>
      </c>
      <c r="I334" s="364">
        <v>0</v>
      </c>
      <c r="J334" s="364">
        <v>0</v>
      </c>
      <c r="K334" s="364">
        <f t="shared" si="250"/>
        <v>0</v>
      </c>
      <c r="L334" s="364">
        <v>0</v>
      </c>
      <c r="M334" s="364">
        <v>0</v>
      </c>
      <c r="N334" s="364">
        <f t="shared" si="251"/>
        <v>0</v>
      </c>
      <c r="O334" s="364">
        <v>0</v>
      </c>
      <c r="P334" s="364">
        <v>0</v>
      </c>
      <c r="Q334" s="364">
        <f t="shared" si="252"/>
        <v>0</v>
      </c>
      <c r="R334" s="364">
        <v>0</v>
      </c>
      <c r="S334" s="364">
        <v>0</v>
      </c>
      <c r="T334" s="353" t="s">
        <v>145</v>
      </c>
      <c r="U334" s="365" t="s">
        <v>442</v>
      </c>
      <c r="V334" s="141"/>
    </row>
    <row r="335" spans="2:22" ht="13.5" thickBot="1" x14ac:dyDescent="0.25">
      <c r="B335" s="364">
        <f t="shared" ref="B335:R335" si="310">SUM(B333:B334)</f>
        <v>3</v>
      </c>
      <c r="C335" s="364">
        <f t="shared" si="310"/>
        <v>3</v>
      </c>
      <c r="D335" s="364">
        <f t="shared" si="310"/>
        <v>0</v>
      </c>
      <c r="E335" s="364">
        <f t="shared" si="310"/>
        <v>0</v>
      </c>
      <c r="F335" s="364">
        <f t="shared" si="310"/>
        <v>0</v>
      </c>
      <c r="G335" s="364">
        <f t="shared" si="310"/>
        <v>0</v>
      </c>
      <c r="H335" s="364">
        <f t="shared" si="310"/>
        <v>1</v>
      </c>
      <c r="I335" s="364">
        <f t="shared" si="310"/>
        <v>1</v>
      </c>
      <c r="J335" s="364">
        <f t="shared" si="310"/>
        <v>0</v>
      </c>
      <c r="K335" s="364">
        <f t="shared" si="310"/>
        <v>2</v>
      </c>
      <c r="L335" s="364">
        <f t="shared" si="310"/>
        <v>2</v>
      </c>
      <c r="M335" s="364">
        <f t="shared" si="310"/>
        <v>0</v>
      </c>
      <c r="N335" s="364">
        <f t="shared" si="310"/>
        <v>0</v>
      </c>
      <c r="O335" s="364">
        <f t="shared" si="310"/>
        <v>0</v>
      </c>
      <c r="P335" s="364">
        <f t="shared" si="310"/>
        <v>0</v>
      </c>
      <c r="Q335" s="364">
        <f t="shared" si="310"/>
        <v>0</v>
      </c>
      <c r="R335" s="364">
        <f t="shared" si="310"/>
        <v>0</v>
      </c>
      <c r="S335" s="364">
        <f>SUM(S333:S334)</f>
        <v>0</v>
      </c>
      <c r="T335" s="353" t="s">
        <v>12</v>
      </c>
      <c r="U335" s="366"/>
      <c r="V335" s="141"/>
    </row>
    <row r="336" spans="2:22" ht="13.5" thickBot="1" x14ac:dyDescent="0.25">
      <c r="B336" s="364">
        <f t="shared" ref="B336:B337" si="311">SUM(C336:D336)</f>
        <v>9</v>
      </c>
      <c r="C336" s="364">
        <f t="shared" ref="C336:D337" si="312">R336+O336+L336+I336+F336</f>
        <v>9</v>
      </c>
      <c r="D336" s="364">
        <f t="shared" si="312"/>
        <v>0</v>
      </c>
      <c r="E336" s="364">
        <f t="shared" si="248"/>
        <v>1</v>
      </c>
      <c r="F336" s="364">
        <v>1</v>
      </c>
      <c r="G336" s="364">
        <v>0</v>
      </c>
      <c r="H336" s="364">
        <f t="shared" si="249"/>
        <v>3</v>
      </c>
      <c r="I336" s="364">
        <v>3</v>
      </c>
      <c r="J336" s="364">
        <v>0</v>
      </c>
      <c r="K336" s="364">
        <f t="shared" si="250"/>
        <v>5</v>
      </c>
      <c r="L336" s="364">
        <v>5</v>
      </c>
      <c r="M336" s="364">
        <v>0</v>
      </c>
      <c r="N336" s="364">
        <f t="shared" si="251"/>
        <v>0</v>
      </c>
      <c r="O336" s="364">
        <v>0</v>
      </c>
      <c r="P336" s="364">
        <v>0</v>
      </c>
      <c r="Q336" s="364">
        <f t="shared" si="252"/>
        <v>0</v>
      </c>
      <c r="R336" s="364">
        <v>0</v>
      </c>
      <c r="S336" s="364">
        <v>0</v>
      </c>
      <c r="T336" s="353" t="s">
        <v>146</v>
      </c>
      <c r="U336" s="365"/>
      <c r="V336" s="141"/>
    </row>
    <row r="337" spans="2:22" ht="13.5" thickBot="1" x14ac:dyDescent="0.25">
      <c r="B337" s="364">
        <f t="shared" si="311"/>
        <v>0</v>
      </c>
      <c r="C337" s="364">
        <f t="shared" si="312"/>
        <v>0</v>
      </c>
      <c r="D337" s="364">
        <f t="shared" si="312"/>
        <v>0</v>
      </c>
      <c r="E337" s="364">
        <f t="shared" si="248"/>
        <v>0</v>
      </c>
      <c r="F337" s="364">
        <v>0</v>
      </c>
      <c r="G337" s="364">
        <v>0</v>
      </c>
      <c r="H337" s="364">
        <f t="shared" si="249"/>
        <v>0</v>
      </c>
      <c r="I337" s="364">
        <v>0</v>
      </c>
      <c r="J337" s="364">
        <v>0</v>
      </c>
      <c r="K337" s="364">
        <f t="shared" si="250"/>
        <v>0</v>
      </c>
      <c r="L337" s="364">
        <v>0</v>
      </c>
      <c r="M337" s="364">
        <v>0</v>
      </c>
      <c r="N337" s="364">
        <f t="shared" si="251"/>
        <v>0</v>
      </c>
      <c r="O337" s="364">
        <v>0</v>
      </c>
      <c r="P337" s="364">
        <v>0</v>
      </c>
      <c r="Q337" s="364">
        <f t="shared" si="252"/>
        <v>0</v>
      </c>
      <c r="R337" s="364">
        <v>0</v>
      </c>
      <c r="S337" s="364">
        <v>0</v>
      </c>
      <c r="T337" s="353" t="s">
        <v>145</v>
      </c>
      <c r="U337" s="371" t="s">
        <v>443</v>
      </c>
      <c r="V337" s="141"/>
    </row>
    <row r="338" spans="2:22" ht="13.5" thickBot="1" x14ac:dyDescent="0.25">
      <c r="B338" s="364">
        <f t="shared" ref="B338:R338" si="313">SUM(B336:B337)</f>
        <v>9</v>
      </c>
      <c r="C338" s="364">
        <f t="shared" si="313"/>
        <v>9</v>
      </c>
      <c r="D338" s="364">
        <f t="shared" si="313"/>
        <v>0</v>
      </c>
      <c r="E338" s="364">
        <f t="shared" si="313"/>
        <v>1</v>
      </c>
      <c r="F338" s="364">
        <f t="shared" si="313"/>
        <v>1</v>
      </c>
      <c r="G338" s="364">
        <f t="shared" si="313"/>
        <v>0</v>
      </c>
      <c r="H338" s="364">
        <f t="shared" si="313"/>
        <v>3</v>
      </c>
      <c r="I338" s="364">
        <f t="shared" si="313"/>
        <v>3</v>
      </c>
      <c r="J338" s="364">
        <f t="shared" si="313"/>
        <v>0</v>
      </c>
      <c r="K338" s="364">
        <f t="shared" si="313"/>
        <v>5</v>
      </c>
      <c r="L338" s="364">
        <f t="shared" si="313"/>
        <v>5</v>
      </c>
      <c r="M338" s="364">
        <f t="shared" si="313"/>
        <v>0</v>
      </c>
      <c r="N338" s="364">
        <f t="shared" si="313"/>
        <v>0</v>
      </c>
      <c r="O338" s="364">
        <f t="shared" si="313"/>
        <v>0</v>
      </c>
      <c r="P338" s="364">
        <f t="shared" si="313"/>
        <v>0</v>
      </c>
      <c r="Q338" s="364">
        <f t="shared" si="313"/>
        <v>0</v>
      </c>
      <c r="R338" s="364">
        <f t="shared" si="313"/>
        <v>0</v>
      </c>
      <c r="S338" s="364">
        <f>SUM(S336:S337)</f>
        <v>0</v>
      </c>
      <c r="T338" s="353" t="s">
        <v>12</v>
      </c>
      <c r="U338" s="366"/>
      <c r="V338" s="141"/>
    </row>
    <row r="339" spans="2:22" ht="13.5" thickBot="1" x14ac:dyDescent="0.25">
      <c r="B339" s="364">
        <f t="shared" ref="B339:B340" si="314">SUM(C339:D339)</f>
        <v>62</v>
      </c>
      <c r="C339" s="364">
        <f t="shared" ref="C339:D340" si="315">R339+O339+L339+I339+F339</f>
        <v>62</v>
      </c>
      <c r="D339" s="364">
        <f t="shared" si="315"/>
        <v>0</v>
      </c>
      <c r="E339" s="364">
        <f t="shared" si="248"/>
        <v>18</v>
      </c>
      <c r="F339" s="364">
        <v>18</v>
      </c>
      <c r="G339" s="364">
        <v>0</v>
      </c>
      <c r="H339" s="364">
        <f t="shared" si="249"/>
        <v>13</v>
      </c>
      <c r="I339" s="364">
        <v>13</v>
      </c>
      <c r="J339" s="364">
        <v>0</v>
      </c>
      <c r="K339" s="364">
        <f t="shared" si="250"/>
        <v>31</v>
      </c>
      <c r="L339" s="364">
        <v>31</v>
      </c>
      <c r="M339" s="364">
        <v>0</v>
      </c>
      <c r="N339" s="364">
        <f t="shared" si="251"/>
        <v>0</v>
      </c>
      <c r="O339" s="364">
        <v>0</v>
      </c>
      <c r="P339" s="364">
        <v>0</v>
      </c>
      <c r="Q339" s="364">
        <f t="shared" si="252"/>
        <v>0</v>
      </c>
      <c r="R339" s="364">
        <v>0</v>
      </c>
      <c r="S339" s="364">
        <v>0</v>
      </c>
      <c r="T339" s="353" t="s">
        <v>146</v>
      </c>
      <c r="U339" s="365"/>
      <c r="V339" s="141"/>
    </row>
    <row r="340" spans="2:22" ht="13.5" thickBot="1" x14ac:dyDescent="0.25">
      <c r="B340" s="364">
        <f t="shared" si="314"/>
        <v>0</v>
      </c>
      <c r="C340" s="364">
        <f t="shared" si="315"/>
        <v>0</v>
      </c>
      <c r="D340" s="364">
        <f t="shared" si="315"/>
        <v>0</v>
      </c>
      <c r="E340" s="364">
        <f t="shared" si="248"/>
        <v>0</v>
      </c>
      <c r="F340" s="364">
        <v>0</v>
      </c>
      <c r="G340" s="364">
        <v>0</v>
      </c>
      <c r="H340" s="364">
        <f t="shared" si="249"/>
        <v>0</v>
      </c>
      <c r="I340" s="364">
        <v>0</v>
      </c>
      <c r="J340" s="364">
        <v>0</v>
      </c>
      <c r="K340" s="364">
        <f t="shared" si="250"/>
        <v>0</v>
      </c>
      <c r="L340" s="364">
        <v>0</v>
      </c>
      <c r="M340" s="364">
        <v>0</v>
      </c>
      <c r="N340" s="364">
        <f t="shared" si="251"/>
        <v>0</v>
      </c>
      <c r="O340" s="364">
        <v>0</v>
      </c>
      <c r="P340" s="364">
        <v>0</v>
      </c>
      <c r="Q340" s="364">
        <f t="shared" si="252"/>
        <v>0</v>
      </c>
      <c r="R340" s="364">
        <v>0</v>
      </c>
      <c r="S340" s="364">
        <v>0</v>
      </c>
      <c r="T340" s="353" t="s">
        <v>145</v>
      </c>
      <c r="U340" s="371" t="s">
        <v>595</v>
      </c>
      <c r="V340" s="141"/>
    </row>
    <row r="341" spans="2:22" ht="13.5" thickBot="1" x14ac:dyDescent="0.25">
      <c r="B341" s="364">
        <f t="shared" ref="B341:R341" si="316">SUM(B339:B340)</f>
        <v>62</v>
      </c>
      <c r="C341" s="364">
        <f t="shared" si="316"/>
        <v>62</v>
      </c>
      <c r="D341" s="364">
        <f t="shared" si="316"/>
        <v>0</v>
      </c>
      <c r="E341" s="364">
        <f t="shared" si="316"/>
        <v>18</v>
      </c>
      <c r="F341" s="364">
        <f t="shared" si="316"/>
        <v>18</v>
      </c>
      <c r="G341" s="364">
        <f t="shared" si="316"/>
        <v>0</v>
      </c>
      <c r="H341" s="364">
        <f t="shared" si="316"/>
        <v>13</v>
      </c>
      <c r="I341" s="364">
        <f t="shared" si="316"/>
        <v>13</v>
      </c>
      <c r="J341" s="364">
        <f t="shared" si="316"/>
        <v>0</v>
      </c>
      <c r="K341" s="364">
        <f t="shared" si="316"/>
        <v>31</v>
      </c>
      <c r="L341" s="364">
        <f t="shared" si="316"/>
        <v>31</v>
      </c>
      <c r="M341" s="364">
        <f t="shared" si="316"/>
        <v>0</v>
      </c>
      <c r="N341" s="364">
        <f t="shared" si="316"/>
        <v>0</v>
      </c>
      <c r="O341" s="364">
        <f t="shared" si="316"/>
        <v>0</v>
      </c>
      <c r="P341" s="364">
        <f t="shared" si="316"/>
        <v>0</v>
      </c>
      <c r="Q341" s="364">
        <f t="shared" si="316"/>
        <v>0</v>
      </c>
      <c r="R341" s="364">
        <f t="shared" si="316"/>
        <v>0</v>
      </c>
      <c r="S341" s="364">
        <f>SUM(S339:S340)</f>
        <v>0</v>
      </c>
      <c r="T341" s="353" t="s">
        <v>12</v>
      </c>
      <c r="U341" s="366"/>
      <c r="V341" s="141"/>
    </row>
    <row r="342" spans="2:22" ht="13.5" thickBot="1" x14ac:dyDescent="0.25">
      <c r="B342" s="364">
        <f t="shared" ref="B342:B343" si="317">SUM(C342:D342)</f>
        <v>3</v>
      </c>
      <c r="C342" s="364">
        <f t="shared" ref="C342:D343" si="318">R342+O342+L342+I342+F342</f>
        <v>3</v>
      </c>
      <c r="D342" s="364">
        <f t="shared" si="318"/>
        <v>0</v>
      </c>
      <c r="E342" s="364">
        <f t="shared" ref="E342:E367" si="319">SUM(F342:G342)</f>
        <v>0</v>
      </c>
      <c r="F342" s="364">
        <v>0</v>
      </c>
      <c r="G342" s="364">
        <v>0</v>
      </c>
      <c r="H342" s="364">
        <f t="shared" ref="H342:H367" si="320">SUM(I342:J342)</f>
        <v>0</v>
      </c>
      <c r="I342" s="364">
        <v>0</v>
      </c>
      <c r="J342" s="364">
        <v>0</v>
      </c>
      <c r="K342" s="364">
        <f t="shared" ref="K342:K367" si="321">SUM(L342:M342)</f>
        <v>3</v>
      </c>
      <c r="L342" s="364">
        <v>3</v>
      </c>
      <c r="M342" s="364">
        <v>0</v>
      </c>
      <c r="N342" s="364">
        <f t="shared" ref="N342:N367" si="322">SUM(O342:P342)</f>
        <v>0</v>
      </c>
      <c r="O342" s="364">
        <v>0</v>
      </c>
      <c r="P342" s="364">
        <v>0</v>
      </c>
      <c r="Q342" s="364">
        <f t="shared" ref="Q342:Q367" si="323">SUM(R342:S342)</f>
        <v>0</v>
      </c>
      <c r="R342" s="364">
        <v>0</v>
      </c>
      <c r="S342" s="364">
        <v>0</v>
      </c>
      <c r="T342" s="353" t="s">
        <v>146</v>
      </c>
      <c r="U342" s="365"/>
      <c r="V342" s="141"/>
    </row>
    <row r="343" spans="2:22" ht="13.5" thickBot="1" x14ac:dyDescent="0.25">
      <c r="B343" s="364">
        <f t="shared" si="317"/>
        <v>0</v>
      </c>
      <c r="C343" s="364">
        <f t="shared" si="318"/>
        <v>0</v>
      </c>
      <c r="D343" s="364">
        <f t="shared" si="318"/>
        <v>0</v>
      </c>
      <c r="E343" s="364">
        <f t="shared" si="319"/>
        <v>0</v>
      </c>
      <c r="F343" s="364">
        <v>0</v>
      </c>
      <c r="G343" s="364">
        <v>0</v>
      </c>
      <c r="H343" s="364">
        <f t="shared" si="320"/>
        <v>0</v>
      </c>
      <c r="I343" s="364">
        <v>0</v>
      </c>
      <c r="J343" s="364">
        <v>0</v>
      </c>
      <c r="K343" s="364">
        <f t="shared" si="321"/>
        <v>0</v>
      </c>
      <c r="L343" s="364">
        <v>0</v>
      </c>
      <c r="M343" s="364">
        <v>0</v>
      </c>
      <c r="N343" s="364">
        <f t="shared" si="322"/>
        <v>0</v>
      </c>
      <c r="O343" s="364">
        <v>0</v>
      </c>
      <c r="P343" s="364">
        <v>0</v>
      </c>
      <c r="Q343" s="364">
        <f t="shared" si="323"/>
        <v>0</v>
      </c>
      <c r="R343" s="364">
        <v>0</v>
      </c>
      <c r="S343" s="364">
        <v>0</v>
      </c>
      <c r="T343" s="353" t="s">
        <v>145</v>
      </c>
      <c r="U343" s="365" t="s">
        <v>92</v>
      </c>
      <c r="V343" s="141"/>
    </row>
    <row r="344" spans="2:22" ht="13.5" thickBot="1" x14ac:dyDescent="0.25">
      <c r="B344" s="364">
        <f t="shared" ref="B344:R344" si="324">SUM(B342:B343)</f>
        <v>3</v>
      </c>
      <c r="C344" s="364">
        <f t="shared" si="324"/>
        <v>3</v>
      </c>
      <c r="D344" s="364">
        <f t="shared" si="324"/>
        <v>0</v>
      </c>
      <c r="E344" s="364">
        <f t="shared" si="324"/>
        <v>0</v>
      </c>
      <c r="F344" s="364">
        <f t="shared" si="324"/>
        <v>0</v>
      </c>
      <c r="G344" s="364">
        <f t="shared" si="324"/>
        <v>0</v>
      </c>
      <c r="H344" s="364">
        <f t="shared" si="324"/>
        <v>0</v>
      </c>
      <c r="I344" s="364">
        <f t="shared" si="324"/>
        <v>0</v>
      </c>
      <c r="J344" s="364">
        <f t="shared" si="324"/>
        <v>0</v>
      </c>
      <c r="K344" s="364">
        <f t="shared" si="324"/>
        <v>3</v>
      </c>
      <c r="L344" s="364">
        <f t="shared" si="324"/>
        <v>3</v>
      </c>
      <c r="M344" s="364">
        <f t="shared" si="324"/>
        <v>0</v>
      </c>
      <c r="N344" s="364">
        <f t="shared" si="324"/>
        <v>0</v>
      </c>
      <c r="O344" s="364">
        <f t="shared" si="324"/>
        <v>0</v>
      </c>
      <c r="P344" s="364">
        <f t="shared" si="324"/>
        <v>0</v>
      </c>
      <c r="Q344" s="364">
        <f t="shared" si="324"/>
        <v>0</v>
      </c>
      <c r="R344" s="364">
        <f t="shared" si="324"/>
        <v>0</v>
      </c>
      <c r="S344" s="364">
        <f>SUM(S342:S343)</f>
        <v>0</v>
      </c>
      <c r="T344" s="353" t="s">
        <v>12</v>
      </c>
      <c r="U344" s="366"/>
      <c r="V344" s="141"/>
    </row>
    <row r="345" spans="2:22" ht="13.5" thickBot="1" x14ac:dyDescent="0.25">
      <c r="B345" s="364">
        <f t="shared" ref="B345:B346" si="325">SUM(C345:D345)</f>
        <v>17</v>
      </c>
      <c r="C345" s="364">
        <f t="shared" ref="C345:D346" si="326">R345+O345+L345+I345+F345</f>
        <v>17</v>
      </c>
      <c r="D345" s="364">
        <f t="shared" si="326"/>
        <v>0</v>
      </c>
      <c r="E345" s="364">
        <f t="shared" si="319"/>
        <v>1</v>
      </c>
      <c r="F345" s="364">
        <v>1</v>
      </c>
      <c r="G345" s="364">
        <v>0</v>
      </c>
      <c r="H345" s="364">
        <f t="shared" si="320"/>
        <v>7</v>
      </c>
      <c r="I345" s="364">
        <v>7</v>
      </c>
      <c r="J345" s="364">
        <v>0</v>
      </c>
      <c r="K345" s="364">
        <f t="shared" si="321"/>
        <v>9</v>
      </c>
      <c r="L345" s="364">
        <v>9</v>
      </c>
      <c r="M345" s="364">
        <v>0</v>
      </c>
      <c r="N345" s="364">
        <f t="shared" si="322"/>
        <v>0</v>
      </c>
      <c r="O345" s="364">
        <v>0</v>
      </c>
      <c r="P345" s="364">
        <v>0</v>
      </c>
      <c r="Q345" s="364">
        <f t="shared" si="323"/>
        <v>0</v>
      </c>
      <c r="R345" s="364">
        <v>0</v>
      </c>
      <c r="S345" s="364">
        <v>0</v>
      </c>
      <c r="T345" s="353" t="s">
        <v>146</v>
      </c>
      <c r="U345" s="365"/>
      <c r="V345" s="141"/>
    </row>
    <row r="346" spans="2:22" ht="13.5" thickBot="1" x14ac:dyDescent="0.25">
      <c r="B346" s="364">
        <f t="shared" si="325"/>
        <v>0</v>
      </c>
      <c r="C346" s="364">
        <f t="shared" si="326"/>
        <v>0</v>
      </c>
      <c r="D346" s="364">
        <f t="shared" si="326"/>
        <v>0</v>
      </c>
      <c r="E346" s="364">
        <f t="shared" si="319"/>
        <v>0</v>
      </c>
      <c r="F346" s="364">
        <v>0</v>
      </c>
      <c r="G346" s="364">
        <v>0</v>
      </c>
      <c r="H346" s="364">
        <f t="shared" si="320"/>
        <v>0</v>
      </c>
      <c r="I346" s="364">
        <v>0</v>
      </c>
      <c r="J346" s="364">
        <v>0</v>
      </c>
      <c r="K346" s="364">
        <f t="shared" si="321"/>
        <v>0</v>
      </c>
      <c r="L346" s="364">
        <v>0</v>
      </c>
      <c r="M346" s="364">
        <v>0</v>
      </c>
      <c r="N346" s="364">
        <f t="shared" si="322"/>
        <v>0</v>
      </c>
      <c r="O346" s="364">
        <v>0</v>
      </c>
      <c r="P346" s="364">
        <v>0</v>
      </c>
      <c r="Q346" s="364">
        <f t="shared" si="323"/>
        <v>0</v>
      </c>
      <c r="R346" s="364">
        <v>0</v>
      </c>
      <c r="S346" s="364">
        <v>0</v>
      </c>
      <c r="T346" s="353" t="s">
        <v>145</v>
      </c>
      <c r="U346" s="371" t="s">
        <v>445</v>
      </c>
      <c r="V346" s="141"/>
    </row>
    <row r="347" spans="2:22" ht="13.5" thickBot="1" x14ac:dyDescent="0.25">
      <c r="B347" s="364">
        <f t="shared" ref="B347:R347" si="327">SUM(B345:B346)</f>
        <v>17</v>
      </c>
      <c r="C347" s="364">
        <f t="shared" si="327"/>
        <v>17</v>
      </c>
      <c r="D347" s="364">
        <f t="shared" si="327"/>
        <v>0</v>
      </c>
      <c r="E347" s="364">
        <f t="shared" si="327"/>
        <v>1</v>
      </c>
      <c r="F347" s="364">
        <f t="shared" si="327"/>
        <v>1</v>
      </c>
      <c r="G347" s="364">
        <f t="shared" si="327"/>
        <v>0</v>
      </c>
      <c r="H347" s="364">
        <f t="shared" si="327"/>
        <v>7</v>
      </c>
      <c r="I347" s="364">
        <f t="shared" si="327"/>
        <v>7</v>
      </c>
      <c r="J347" s="364">
        <f t="shared" si="327"/>
        <v>0</v>
      </c>
      <c r="K347" s="364">
        <f t="shared" si="327"/>
        <v>9</v>
      </c>
      <c r="L347" s="364">
        <f t="shared" si="327"/>
        <v>9</v>
      </c>
      <c r="M347" s="364">
        <f t="shared" si="327"/>
        <v>0</v>
      </c>
      <c r="N347" s="364">
        <f t="shared" si="327"/>
        <v>0</v>
      </c>
      <c r="O347" s="364">
        <f t="shared" si="327"/>
        <v>0</v>
      </c>
      <c r="P347" s="364">
        <f t="shared" si="327"/>
        <v>0</v>
      </c>
      <c r="Q347" s="364">
        <f t="shared" si="327"/>
        <v>0</v>
      </c>
      <c r="R347" s="364">
        <f t="shared" si="327"/>
        <v>0</v>
      </c>
      <c r="S347" s="364">
        <f>SUM(S345:S346)</f>
        <v>0</v>
      </c>
      <c r="T347" s="353" t="s">
        <v>12</v>
      </c>
      <c r="U347" s="366"/>
      <c r="V347" s="141"/>
    </row>
    <row r="348" spans="2:22" ht="13.5" thickBot="1" x14ac:dyDescent="0.25">
      <c r="B348" s="364">
        <f t="shared" ref="B348:B349" si="328">SUM(C348:D348)</f>
        <v>26</v>
      </c>
      <c r="C348" s="364">
        <f t="shared" ref="C348:D349" si="329">R348+O348+L348+I348+F348</f>
        <v>26</v>
      </c>
      <c r="D348" s="364">
        <f t="shared" si="329"/>
        <v>0</v>
      </c>
      <c r="E348" s="364">
        <f t="shared" si="319"/>
        <v>1</v>
      </c>
      <c r="F348" s="364">
        <v>1</v>
      </c>
      <c r="G348" s="364">
        <v>0</v>
      </c>
      <c r="H348" s="364">
        <f t="shared" si="320"/>
        <v>6</v>
      </c>
      <c r="I348" s="364">
        <v>6</v>
      </c>
      <c r="J348" s="364">
        <v>0</v>
      </c>
      <c r="K348" s="364">
        <f t="shared" si="321"/>
        <v>18</v>
      </c>
      <c r="L348" s="364">
        <v>18</v>
      </c>
      <c r="M348" s="364">
        <v>0</v>
      </c>
      <c r="N348" s="364">
        <f t="shared" si="322"/>
        <v>1</v>
      </c>
      <c r="O348" s="364">
        <v>1</v>
      </c>
      <c r="P348" s="364">
        <v>0</v>
      </c>
      <c r="Q348" s="364">
        <f t="shared" si="323"/>
        <v>0</v>
      </c>
      <c r="R348" s="364">
        <v>0</v>
      </c>
      <c r="S348" s="364">
        <v>0</v>
      </c>
      <c r="T348" s="353" t="s">
        <v>146</v>
      </c>
      <c r="U348" s="365"/>
      <c r="V348" s="141"/>
    </row>
    <row r="349" spans="2:22" ht="13.5" thickBot="1" x14ac:dyDescent="0.25">
      <c r="B349" s="364">
        <f t="shared" si="328"/>
        <v>0</v>
      </c>
      <c r="C349" s="364">
        <f t="shared" si="329"/>
        <v>0</v>
      </c>
      <c r="D349" s="364">
        <f t="shared" si="329"/>
        <v>0</v>
      </c>
      <c r="E349" s="364">
        <f t="shared" si="319"/>
        <v>0</v>
      </c>
      <c r="F349" s="364">
        <v>0</v>
      </c>
      <c r="G349" s="364">
        <v>0</v>
      </c>
      <c r="H349" s="364">
        <f t="shared" si="320"/>
        <v>0</v>
      </c>
      <c r="I349" s="364">
        <v>0</v>
      </c>
      <c r="J349" s="364">
        <v>0</v>
      </c>
      <c r="K349" s="364">
        <f t="shared" si="321"/>
        <v>0</v>
      </c>
      <c r="L349" s="364">
        <v>0</v>
      </c>
      <c r="M349" s="364">
        <v>0</v>
      </c>
      <c r="N349" s="364">
        <f t="shared" si="322"/>
        <v>0</v>
      </c>
      <c r="O349" s="364">
        <v>0</v>
      </c>
      <c r="P349" s="364">
        <v>0</v>
      </c>
      <c r="Q349" s="364">
        <f t="shared" si="323"/>
        <v>0</v>
      </c>
      <c r="R349" s="364">
        <v>0</v>
      </c>
      <c r="S349" s="364">
        <v>0</v>
      </c>
      <c r="T349" s="353" t="s">
        <v>145</v>
      </c>
      <c r="U349" s="365" t="s">
        <v>446</v>
      </c>
      <c r="V349" s="141"/>
    </row>
    <row r="350" spans="2:22" ht="13.5" thickBot="1" x14ac:dyDescent="0.25">
      <c r="B350" s="364">
        <f t="shared" ref="B350:R350" si="330">SUM(B348:B349)</f>
        <v>26</v>
      </c>
      <c r="C350" s="364">
        <f t="shared" si="330"/>
        <v>26</v>
      </c>
      <c r="D350" s="364">
        <f t="shared" si="330"/>
        <v>0</v>
      </c>
      <c r="E350" s="364">
        <f t="shared" si="330"/>
        <v>1</v>
      </c>
      <c r="F350" s="364">
        <f t="shared" si="330"/>
        <v>1</v>
      </c>
      <c r="G350" s="364">
        <f t="shared" si="330"/>
        <v>0</v>
      </c>
      <c r="H350" s="364">
        <f t="shared" si="330"/>
        <v>6</v>
      </c>
      <c r="I350" s="364">
        <f t="shared" si="330"/>
        <v>6</v>
      </c>
      <c r="J350" s="364">
        <f t="shared" si="330"/>
        <v>0</v>
      </c>
      <c r="K350" s="364">
        <f t="shared" si="330"/>
        <v>18</v>
      </c>
      <c r="L350" s="364">
        <f t="shared" si="330"/>
        <v>18</v>
      </c>
      <c r="M350" s="364">
        <f t="shared" si="330"/>
        <v>0</v>
      </c>
      <c r="N350" s="364">
        <f t="shared" si="330"/>
        <v>1</v>
      </c>
      <c r="O350" s="364">
        <f t="shared" si="330"/>
        <v>1</v>
      </c>
      <c r="P350" s="364">
        <f t="shared" si="330"/>
        <v>0</v>
      </c>
      <c r="Q350" s="364">
        <f t="shared" si="330"/>
        <v>0</v>
      </c>
      <c r="R350" s="364">
        <f t="shared" si="330"/>
        <v>0</v>
      </c>
      <c r="S350" s="364">
        <f>SUM(S348:S349)</f>
        <v>0</v>
      </c>
      <c r="T350" s="353" t="s">
        <v>12</v>
      </c>
      <c r="U350" s="366"/>
      <c r="V350" s="141"/>
    </row>
    <row r="351" spans="2:22" ht="13.5" thickBot="1" x14ac:dyDescent="0.25">
      <c r="B351" s="364">
        <f t="shared" ref="B351:B352" si="331">SUM(C351:D351)</f>
        <v>13</v>
      </c>
      <c r="C351" s="364">
        <f t="shared" ref="C351:D352" si="332">R351+O351+L351+I351+F351</f>
        <v>13</v>
      </c>
      <c r="D351" s="364">
        <f t="shared" si="332"/>
        <v>0</v>
      </c>
      <c r="E351" s="364">
        <f t="shared" si="319"/>
        <v>0</v>
      </c>
      <c r="F351" s="364">
        <v>0</v>
      </c>
      <c r="G351" s="364">
        <v>0</v>
      </c>
      <c r="H351" s="364">
        <f t="shared" si="320"/>
        <v>2</v>
      </c>
      <c r="I351" s="364">
        <v>2</v>
      </c>
      <c r="J351" s="364">
        <v>0</v>
      </c>
      <c r="K351" s="364">
        <f t="shared" si="321"/>
        <v>11</v>
      </c>
      <c r="L351" s="364">
        <v>11</v>
      </c>
      <c r="M351" s="364">
        <v>0</v>
      </c>
      <c r="N351" s="364">
        <f t="shared" si="322"/>
        <v>0</v>
      </c>
      <c r="O351" s="364">
        <v>0</v>
      </c>
      <c r="P351" s="364">
        <v>0</v>
      </c>
      <c r="Q351" s="364">
        <f t="shared" si="323"/>
        <v>0</v>
      </c>
      <c r="R351" s="364">
        <v>0</v>
      </c>
      <c r="S351" s="364">
        <v>0</v>
      </c>
      <c r="T351" s="353" t="s">
        <v>146</v>
      </c>
      <c r="U351" s="365"/>
      <c r="V351" s="141"/>
    </row>
    <row r="352" spans="2:22" ht="13.5" thickBot="1" x14ac:dyDescent="0.25">
      <c r="B352" s="364">
        <f t="shared" si="331"/>
        <v>0</v>
      </c>
      <c r="C352" s="364">
        <f t="shared" si="332"/>
        <v>0</v>
      </c>
      <c r="D352" s="364">
        <f t="shared" si="332"/>
        <v>0</v>
      </c>
      <c r="E352" s="364">
        <f t="shared" si="319"/>
        <v>0</v>
      </c>
      <c r="F352" s="364">
        <v>0</v>
      </c>
      <c r="G352" s="364">
        <v>0</v>
      </c>
      <c r="H352" s="364">
        <f t="shared" si="320"/>
        <v>0</v>
      </c>
      <c r="I352" s="364">
        <v>0</v>
      </c>
      <c r="J352" s="364">
        <v>0</v>
      </c>
      <c r="K352" s="364">
        <f t="shared" si="321"/>
        <v>0</v>
      </c>
      <c r="L352" s="364">
        <v>0</v>
      </c>
      <c r="M352" s="364">
        <v>0</v>
      </c>
      <c r="N352" s="364">
        <f t="shared" si="322"/>
        <v>0</v>
      </c>
      <c r="O352" s="364">
        <v>0</v>
      </c>
      <c r="P352" s="364">
        <v>0</v>
      </c>
      <c r="Q352" s="364">
        <f t="shared" si="323"/>
        <v>0</v>
      </c>
      <c r="R352" s="364">
        <v>0</v>
      </c>
      <c r="S352" s="364">
        <v>0</v>
      </c>
      <c r="T352" s="353" t="s">
        <v>145</v>
      </c>
      <c r="U352" s="371" t="s">
        <v>447</v>
      </c>
      <c r="V352" s="141"/>
    </row>
    <row r="353" spans="2:22" ht="13.5" thickBot="1" x14ac:dyDescent="0.25">
      <c r="B353" s="364">
        <f t="shared" ref="B353:R353" si="333">SUM(B351:B352)</f>
        <v>13</v>
      </c>
      <c r="C353" s="364">
        <f t="shared" si="333"/>
        <v>13</v>
      </c>
      <c r="D353" s="364">
        <f t="shared" si="333"/>
        <v>0</v>
      </c>
      <c r="E353" s="364">
        <f t="shared" si="333"/>
        <v>0</v>
      </c>
      <c r="F353" s="364">
        <f t="shared" si="333"/>
        <v>0</v>
      </c>
      <c r="G353" s="364">
        <f t="shared" si="333"/>
        <v>0</v>
      </c>
      <c r="H353" s="364">
        <f t="shared" si="333"/>
        <v>2</v>
      </c>
      <c r="I353" s="364">
        <f t="shared" si="333"/>
        <v>2</v>
      </c>
      <c r="J353" s="364">
        <f t="shared" si="333"/>
        <v>0</v>
      </c>
      <c r="K353" s="364">
        <f t="shared" si="333"/>
        <v>11</v>
      </c>
      <c r="L353" s="364">
        <f t="shared" si="333"/>
        <v>11</v>
      </c>
      <c r="M353" s="364">
        <f t="shared" si="333"/>
        <v>0</v>
      </c>
      <c r="N353" s="364">
        <f t="shared" si="333"/>
        <v>0</v>
      </c>
      <c r="O353" s="364">
        <f t="shared" si="333"/>
        <v>0</v>
      </c>
      <c r="P353" s="364">
        <f t="shared" si="333"/>
        <v>0</v>
      </c>
      <c r="Q353" s="364">
        <f t="shared" si="333"/>
        <v>0</v>
      </c>
      <c r="R353" s="364">
        <f t="shared" si="333"/>
        <v>0</v>
      </c>
      <c r="S353" s="364">
        <f>SUM(S351:S352)</f>
        <v>0</v>
      </c>
      <c r="T353" s="353" t="s">
        <v>12</v>
      </c>
      <c r="U353" s="366"/>
      <c r="V353" s="141"/>
    </row>
    <row r="354" spans="2:22" ht="13.5" thickBot="1" x14ac:dyDescent="0.25">
      <c r="B354" s="364">
        <f t="shared" ref="B354:B355" si="334">SUM(C354:D354)</f>
        <v>24</v>
      </c>
      <c r="C354" s="364">
        <f t="shared" ref="C354:D355" si="335">R354+O354+L354+I354+F354</f>
        <v>24</v>
      </c>
      <c r="D354" s="364">
        <f t="shared" si="335"/>
        <v>0</v>
      </c>
      <c r="E354" s="364">
        <f t="shared" si="319"/>
        <v>6</v>
      </c>
      <c r="F354" s="364">
        <v>6</v>
      </c>
      <c r="G354" s="364">
        <v>0</v>
      </c>
      <c r="H354" s="364">
        <f t="shared" si="320"/>
        <v>8</v>
      </c>
      <c r="I354" s="364">
        <v>8</v>
      </c>
      <c r="J354" s="364">
        <v>0</v>
      </c>
      <c r="K354" s="364">
        <f t="shared" si="321"/>
        <v>10</v>
      </c>
      <c r="L354" s="364">
        <v>10</v>
      </c>
      <c r="M354" s="364">
        <v>0</v>
      </c>
      <c r="N354" s="364">
        <f t="shared" si="322"/>
        <v>0</v>
      </c>
      <c r="O354" s="364">
        <v>0</v>
      </c>
      <c r="P354" s="364">
        <v>0</v>
      </c>
      <c r="Q354" s="364">
        <f t="shared" si="323"/>
        <v>0</v>
      </c>
      <c r="R354" s="364">
        <v>0</v>
      </c>
      <c r="S354" s="364">
        <v>0</v>
      </c>
      <c r="T354" s="353" t="s">
        <v>146</v>
      </c>
      <c r="U354" s="365"/>
      <c r="V354" s="141"/>
    </row>
    <row r="355" spans="2:22" ht="13.5" thickBot="1" x14ac:dyDescent="0.25">
      <c r="B355" s="364">
        <f t="shared" si="334"/>
        <v>0</v>
      </c>
      <c r="C355" s="364">
        <f t="shared" si="335"/>
        <v>0</v>
      </c>
      <c r="D355" s="364">
        <f t="shared" si="335"/>
        <v>0</v>
      </c>
      <c r="E355" s="364">
        <f t="shared" si="319"/>
        <v>0</v>
      </c>
      <c r="F355" s="364">
        <v>0</v>
      </c>
      <c r="G355" s="364">
        <v>0</v>
      </c>
      <c r="H355" s="364">
        <f t="shared" si="320"/>
        <v>0</v>
      </c>
      <c r="I355" s="364">
        <v>0</v>
      </c>
      <c r="J355" s="364">
        <v>0</v>
      </c>
      <c r="K355" s="364">
        <f t="shared" si="321"/>
        <v>0</v>
      </c>
      <c r="L355" s="364">
        <v>0</v>
      </c>
      <c r="M355" s="364">
        <v>0</v>
      </c>
      <c r="N355" s="364">
        <f t="shared" si="322"/>
        <v>0</v>
      </c>
      <c r="O355" s="364">
        <v>0</v>
      </c>
      <c r="P355" s="364">
        <v>0</v>
      </c>
      <c r="Q355" s="364">
        <f t="shared" si="323"/>
        <v>0</v>
      </c>
      <c r="R355" s="364">
        <v>0</v>
      </c>
      <c r="S355" s="364">
        <v>0</v>
      </c>
      <c r="T355" s="353" t="s">
        <v>145</v>
      </c>
      <c r="U355" s="371" t="s">
        <v>448</v>
      </c>
      <c r="V355" s="141"/>
    </row>
    <row r="356" spans="2:22" ht="13.5" thickBot="1" x14ac:dyDescent="0.25">
      <c r="B356" s="364">
        <f t="shared" ref="B356:R356" si="336">SUM(B354:B355)</f>
        <v>24</v>
      </c>
      <c r="C356" s="364">
        <f t="shared" si="336"/>
        <v>24</v>
      </c>
      <c r="D356" s="364">
        <f t="shared" si="336"/>
        <v>0</v>
      </c>
      <c r="E356" s="364">
        <f t="shared" si="336"/>
        <v>6</v>
      </c>
      <c r="F356" s="364">
        <f t="shared" si="336"/>
        <v>6</v>
      </c>
      <c r="G356" s="364">
        <f t="shared" si="336"/>
        <v>0</v>
      </c>
      <c r="H356" s="364">
        <f t="shared" si="336"/>
        <v>8</v>
      </c>
      <c r="I356" s="364">
        <f t="shared" si="336"/>
        <v>8</v>
      </c>
      <c r="J356" s="364">
        <f t="shared" si="336"/>
        <v>0</v>
      </c>
      <c r="K356" s="364">
        <f t="shared" si="336"/>
        <v>10</v>
      </c>
      <c r="L356" s="364">
        <f t="shared" si="336"/>
        <v>10</v>
      </c>
      <c r="M356" s="364">
        <f t="shared" si="336"/>
        <v>0</v>
      </c>
      <c r="N356" s="364">
        <f t="shared" si="336"/>
        <v>0</v>
      </c>
      <c r="O356" s="364">
        <f t="shared" si="336"/>
        <v>0</v>
      </c>
      <c r="P356" s="364">
        <f t="shared" si="336"/>
        <v>0</v>
      </c>
      <c r="Q356" s="364">
        <f t="shared" si="336"/>
        <v>0</v>
      </c>
      <c r="R356" s="364">
        <f t="shared" si="336"/>
        <v>0</v>
      </c>
      <c r="S356" s="364">
        <f>SUM(S354:S355)</f>
        <v>0</v>
      </c>
      <c r="T356" s="353" t="s">
        <v>12</v>
      </c>
      <c r="U356" s="366"/>
      <c r="V356" s="141"/>
    </row>
    <row r="357" spans="2:22" ht="13.5" thickBot="1" x14ac:dyDescent="0.25">
      <c r="B357" s="364">
        <f t="shared" ref="B357:B358" si="337">SUM(C357:D357)</f>
        <v>36</v>
      </c>
      <c r="C357" s="364">
        <f t="shared" ref="C357:D358" si="338">R357+O357+L357+I357+F357</f>
        <v>13</v>
      </c>
      <c r="D357" s="364">
        <f t="shared" si="338"/>
        <v>23</v>
      </c>
      <c r="E357" s="364">
        <f t="shared" si="319"/>
        <v>23</v>
      </c>
      <c r="F357" s="364">
        <v>2</v>
      </c>
      <c r="G357" s="364">
        <v>21</v>
      </c>
      <c r="H357" s="364">
        <f t="shared" si="320"/>
        <v>6</v>
      </c>
      <c r="I357" s="364">
        <v>5</v>
      </c>
      <c r="J357" s="364">
        <v>1</v>
      </c>
      <c r="K357" s="364">
        <f t="shared" si="321"/>
        <v>5</v>
      </c>
      <c r="L357" s="364">
        <v>4</v>
      </c>
      <c r="M357" s="364">
        <v>1</v>
      </c>
      <c r="N357" s="364">
        <f t="shared" si="322"/>
        <v>2</v>
      </c>
      <c r="O357" s="364">
        <v>2</v>
      </c>
      <c r="P357" s="364">
        <v>0</v>
      </c>
      <c r="Q357" s="364">
        <f t="shared" si="323"/>
        <v>0</v>
      </c>
      <c r="R357" s="364">
        <v>0</v>
      </c>
      <c r="S357" s="364">
        <v>0</v>
      </c>
      <c r="T357" s="353" t="s">
        <v>146</v>
      </c>
      <c r="U357" s="365"/>
      <c r="V357" s="141"/>
    </row>
    <row r="358" spans="2:22" ht="13.5" thickBot="1" x14ac:dyDescent="0.25">
      <c r="B358" s="364">
        <f t="shared" si="337"/>
        <v>0</v>
      </c>
      <c r="C358" s="364">
        <f t="shared" si="338"/>
        <v>0</v>
      </c>
      <c r="D358" s="364">
        <f t="shared" si="338"/>
        <v>0</v>
      </c>
      <c r="E358" s="364">
        <f t="shared" si="319"/>
        <v>0</v>
      </c>
      <c r="F358" s="364">
        <v>0</v>
      </c>
      <c r="G358" s="364">
        <v>0</v>
      </c>
      <c r="H358" s="364">
        <f t="shared" si="320"/>
        <v>0</v>
      </c>
      <c r="I358" s="364">
        <v>0</v>
      </c>
      <c r="J358" s="364">
        <v>0</v>
      </c>
      <c r="K358" s="364">
        <f t="shared" si="321"/>
        <v>0</v>
      </c>
      <c r="L358" s="364">
        <v>0</v>
      </c>
      <c r="M358" s="364">
        <v>0</v>
      </c>
      <c r="N358" s="364">
        <f t="shared" si="322"/>
        <v>0</v>
      </c>
      <c r="O358" s="364">
        <v>0</v>
      </c>
      <c r="P358" s="364">
        <v>0</v>
      </c>
      <c r="Q358" s="364">
        <f t="shared" si="323"/>
        <v>0</v>
      </c>
      <c r="R358" s="364">
        <v>0</v>
      </c>
      <c r="S358" s="364">
        <v>0</v>
      </c>
      <c r="T358" s="353" t="s">
        <v>145</v>
      </c>
      <c r="U358" s="371" t="s">
        <v>843</v>
      </c>
      <c r="V358" s="141"/>
    </row>
    <row r="359" spans="2:22" ht="13.5" thickBot="1" x14ac:dyDescent="0.25">
      <c r="B359" s="364">
        <f t="shared" ref="B359:R359" si="339">SUM(B357:B358)</f>
        <v>36</v>
      </c>
      <c r="C359" s="364">
        <f t="shared" si="339"/>
        <v>13</v>
      </c>
      <c r="D359" s="364">
        <f t="shared" si="339"/>
        <v>23</v>
      </c>
      <c r="E359" s="364">
        <f t="shared" si="339"/>
        <v>23</v>
      </c>
      <c r="F359" s="364">
        <f t="shared" si="339"/>
        <v>2</v>
      </c>
      <c r="G359" s="364">
        <f t="shared" si="339"/>
        <v>21</v>
      </c>
      <c r="H359" s="364">
        <f t="shared" si="339"/>
        <v>6</v>
      </c>
      <c r="I359" s="364">
        <f t="shared" si="339"/>
        <v>5</v>
      </c>
      <c r="J359" s="364">
        <f t="shared" si="339"/>
        <v>1</v>
      </c>
      <c r="K359" s="364">
        <f t="shared" si="339"/>
        <v>5</v>
      </c>
      <c r="L359" s="364">
        <f t="shared" si="339"/>
        <v>4</v>
      </c>
      <c r="M359" s="364">
        <f t="shared" si="339"/>
        <v>1</v>
      </c>
      <c r="N359" s="364">
        <f t="shared" si="339"/>
        <v>2</v>
      </c>
      <c r="O359" s="364">
        <f t="shared" si="339"/>
        <v>2</v>
      </c>
      <c r="P359" s="364">
        <f t="shared" si="339"/>
        <v>0</v>
      </c>
      <c r="Q359" s="364">
        <f t="shared" si="339"/>
        <v>0</v>
      </c>
      <c r="R359" s="364">
        <f t="shared" si="339"/>
        <v>0</v>
      </c>
      <c r="S359" s="364">
        <f>SUM(S357:S358)</f>
        <v>0</v>
      </c>
      <c r="T359" s="353" t="s">
        <v>12</v>
      </c>
      <c r="U359" s="366"/>
      <c r="V359" s="141"/>
    </row>
    <row r="360" spans="2:22" ht="13.5" thickBot="1" x14ac:dyDescent="0.25">
      <c r="B360" s="364">
        <f t="shared" ref="B360:B361" si="340">SUM(C360:D360)</f>
        <v>5</v>
      </c>
      <c r="C360" s="364">
        <f t="shared" ref="C360:D361" si="341">R360+O360+L360+I360+F360</f>
        <v>5</v>
      </c>
      <c r="D360" s="364">
        <f t="shared" si="341"/>
        <v>0</v>
      </c>
      <c r="E360" s="364">
        <f t="shared" si="319"/>
        <v>0</v>
      </c>
      <c r="F360" s="364">
        <v>0</v>
      </c>
      <c r="G360" s="364">
        <v>0</v>
      </c>
      <c r="H360" s="364">
        <f t="shared" si="320"/>
        <v>4</v>
      </c>
      <c r="I360" s="364">
        <v>4</v>
      </c>
      <c r="J360" s="364">
        <v>0</v>
      </c>
      <c r="K360" s="364">
        <f t="shared" si="321"/>
        <v>1</v>
      </c>
      <c r="L360" s="364">
        <v>1</v>
      </c>
      <c r="M360" s="364">
        <v>0</v>
      </c>
      <c r="N360" s="364">
        <f t="shared" si="322"/>
        <v>0</v>
      </c>
      <c r="O360" s="364">
        <v>0</v>
      </c>
      <c r="P360" s="364">
        <v>0</v>
      </c>
      <c r="Q360" s="364">
        <f t="shared" si="323"/>
        <v>0</v>
      </c>
      <c r="R360" s="364">
        <v>0</v>
      </c>
      <c r="S360" s="364">
        <v>0</v>
      </c>
      <c r="T360" s="353" t="s">
        <v>146</v>
      </c>
      <c r="U360" s="365"/>
      <c r="V360" s="141"/>
    </row>
    <row r="361" spans="2:22" ht="13.5" thickBot="1" x14ac:dyDescent="0.25">
      <c r="B361" s="364">
        <f t="shared" si="340"/>
        <v>0</v>
      </c>
      <c r="C361" s="364">
        <f t="shared" si="341"/>
        <v>0</v>
      </c>
      <c r="D361" s="364">
        <f t="shared" si="341"/>
        <v>0</v>
      </c>
      <c r="E361" s="364">
        <f t="shared" si="319"/>
        <v>0</v>
      </c>
      <c r="F361" s="364">
        <v>0</v>
      </c>
      <c r="G361" s="364">
        <v>0</v>
      </c>
      <c r="H361" s="364">
        <f t="shared" si="320"/>
        <v>0</v>
      </c>
      <c r="I361" s="364">
        <v>0</v>
      </c>
      <c r="J361" s="364">
        <v>0</v>
      </c>
      <c r="K361" s="364">
        <f t="shared" si="321"/>
        <v>0</v>
      </c>
      <c r="L361" s="364">
        <v>0</v>
      </c>
      <c r="M361" s="364">
        <v>0</v>
      </c>
      <c r="N361" s="364">
        <f t="shared" si="322"/>
        <v>0</v>
      </c>
      <c r="O361" s="364">
        <v>0</v>
      </c>
      <c r="P361" s="364">
        <v>0</v>
      </c>
      <c r="Q361" s="364">
        <f t="shared" si="323"/>
        <v>0</v>
      </c>
      <c r="R361" s="364">
        <v>0</v>
      </c>
      <c r="S361" s="364">
        <v>0</v>
      </c>
      <c r="T361" s="353" t="s">
        <v>145</v>
      </c>
      <c r="U361" s="371" t="s">
        <v>265</v>
      </c>
      <c r="V361" s="141"/>
    </row>
    <row r="362" spans="2:22" ht="13.5" thickBot="1" x14ac:dyDescent="0.25">
      <c r="B362" s="364">
        <f t="shared" ref="B362:R362" si="342">SUM(B360:B361)</f>
        <v>5</v>
      </c>
      <c r="C362" s="364">
        <f t="shared" si="342"/>
        <v>5</v>
      </c>
      <c r="D362" s="364">
        <f t="shared" si="342"/>
        <v>0</v>
      </c>
      <c r="E362" s="364">
        <f t="shared" si="342"/>
        <v>0</v>
      </c>
      <c r="F362" s="364">
        <f t="shared" si="342"/>
        <v>0</v>
      </c>
      <c r="G362" s="364">
        <f t="shared" si="342"/>
        <v>0</v>
      </c>
      <c r="H362" s="364">
        <f t="shared" si="342"/>
        <v>4</v>
      </c>
      <c r="I362" s="364">
        <f t="shared" si="342"/>
        <v>4</v>
      </c>
      <c r="J362" s="364">
        <f t="shared" si="342"/>
        <v>0</v>
      </c>
      <c r="K362" s="364">
        <f t="shared" si="342"/>
        <v>1</v>
      </c>
      <c r="L362" s="364">
        <f t="shared" si="342"/>
        <v>1</v>
      </c>
      <c r="M362" s="364">
        <f t="shared" si="342"/>
        <v>0</v>
      </c>
      <c r="N362" s="364">
        <f t="shared" si="342"/>
        <v>0</v>
      </c>
      <c r="O362" s="364">
        <f t="shared" si="342"/>
        <v>0</v>
      </c>
      <c r="P362" s="364">
        <f t="shared" si="342"/>
        <v>0</v>
      </c>
      <c r="Q362" s="364">
        <f t="shared" si="342"/>
        <v>0</v>
      </c>
      <c r="R362" s="364">
        <f t="shared" si="342"/>
        <v>0</v>
      </c>
      <c r="S362" s="364">
        <f>SUM(S360:S361)</f>
        <v>0</v>
      </c>
      <c r="T362" s="353" t="s">
        <v>12</v>
      </c>
      <c r="U362" s="366"/>
      <c r="V362" s="141"/>
    </row>
    <row r="363" spans="2:22" ht="13.5" thickBot="1" x14ac:dyDescent="0.25">
      <c r="B363" s="364">
        <f t="shared" ref="B363:B364" si="343">SUM(C363:D363)</f>
        <v>23</v>
      </c>
      <c r="C363" s="364">
        <f t="shared" ref="C363:D364" si="344">R363+O363+L363+I363+F363</f>
        <v>5</v>
      </c>
      <c r="D363" s="364">
        <f t="shared" si="344"/>
        <v>18</v>
      </c>
      <c r="E363" s="364">
        <f t="shared" si="319"/>
        <v>3</v>
      </c>
      <c r="F363" s="364">
        <v>3</v>
      </c>
      <c r="G363" s="364">
        <v>0</v>
      </c>
      <c r="H363" s="364">
        <f t="shared" si="320"/>
        <v>0</v>
      </c>
      <c r="I363" s="364">
        <v>0</v>
      </c>
      <c r="J363" s="364">
        <v>0</v>
      </c>
      <c r="K363" s="364">
        <f t="shared" si="321"/>
        <v>20</v>
      </c>
      <c r="L363" s="364">
        <v>2</v>
      </c>
      <c r="M363" s="364">
        <v>18</v>
      </c>
      <c r="N363" s="364">
        <f t="shared" si="322"/>
        <v>0</v>
      </c>
      <c r="O363" s="364">
        <v>0</v>
      </c>
      <c r="P363" s="364">
        <v>0</v>
      </c>
      <c r="Q363" s="364">
        <f t="shared" si="323"/>
        <v>0</v>
      </c>
      <c r="R363" s="364">
        <v>0</v>
      </c>
      <c r="S363" s="364">
        <v>0</v>
      </c>
      <c r="T363" s="353" t="s">
        <v>146</v>
      </c>
      <c r="U363" s="365"/>
      <c r="V363" s="141"/>
    </row>
    <row r="364" spans="2:22" ht="13.5" thickBot="1" x14ac:dyDescent="0.25">
      <c r="B364" s="364">
        <f t="shared" si="343"/>
        <v>0</v>
      </c>
      <c r="C364" s="364">
        <f t="shared" si="344"/>
        <v>0</v>
      </c>
      <c r="D364" s="364">
        <f t="shared" si="344"/>
        <v>0</v>
      </c>
      <c r="E364" s="364">
        <f t="shared" si="319"/>
        <v>0</v>
      </c>
      <c r="F364" s="364">
        <v>0</v>
      </c>
      <c r="G364" s="364">
        <v>0</v>
      </c>
      <c r="H364" s="364">
        <f t="shared" si="320"/>
        <v>0</v>
      </c>
      <c r="I364" s="364">
        <v>0</v>
      </c>
      <c r="J364" s="364">
        <v>0</v>
      </c>
      <c r="K364" s="364">
        <f t="shared" si="321"/>
        <v>0</v>
      </c>
      <c r="L364" s="364">
        <v>0</v>
      </c>
      <c r="M364" s="364">
        <v>0</v>
      </c>
      <c r="N364" s="364">
        <f t="shared" si="322"/>
        <v>0</v>
      </c>
      <c r="O364" s="364">
        <v>0</v>
      </c>
      <c r="P364" s="364">
        <v>0</v>
      </c>
      <c r="Q364" s="364">
        <f t="shared" si="323"/>
        <v>0</v>
      </c>
      <c r="R364" s="364">
        <v>0</v>
      </c>
      <c r="S364" s="364">
        <v>0</v>
      </c>
      <c r="T364" s="353" t="s">
        <v>145</v>
      </c>
      <c r="U364" s="371" t="s">
        <v>796</v>
      </c>
      <c r="V364" s="141"/>
    </row>
    <row r="365" spans="2:22" ht="13.5" thickBot="1" x14ac:dyDescent="0.25">
      <c r="B365" s="364">
        <f t="shared" ref="B365:R365" si="345">SUM(B363:B364)</f>
        <v>23</v>
      </c>
      <c r="C365" s="364">
        <f t="shared" si="345"/>
        <v>5</v>
      </c>
      <c r="D365" s="364">
        <f t="shared" si="345"/>
        <v>18</v>
      </c>
      <c r="E365" s="364">
        <f t="shared" si="345"/>
        <v>3</v>
      </c>
      <c r="F365" s="364">
        <f t="shared" si="345"/>
        <v>3</v>
      </c>
      <c r="G365" s="364">
        <f t="shared" si="345"/>
        <v>0</v>
      </c>
      <c r="H365" s="364">
        <f t="shared" si="345"/>
        <v>0</v>
      </c>
      <c r="I365" s="364">
        <f t="shared" si="345"/>
        <v>0</v>
      </c>
      <c r="J365" s="364">
        <f t="shared" si="345"/>
        <v>0</v>
      </c>
      <c r="K365" s="364">
        <f t="shared" si="345"/>
        <v>20</v>
      </c>
      <c r="L365" s="364">
        <f t="shared" si="345"/>
        <v>2</v>
      </c>
      <c r="M365" s="364">
        <f t="shared" si="345"/>
        <v>18</v>
      </c>
      <c r="N365" s="364">
        <f t="shared" si="345"/>
        <v>0</v>
      </c>
      <c r="O365" s="364">
        <f t="shared" si="345"/>
        <v>0</v>
      </c>
      <c r="P365" s="364">
        <f t="shared" si="345"/>
        <v>0</v>
      </c>
      <c r="Q365" s="364">
        <f t="shared" si="345"/>
        <v>0</v>
      </c>
      <c r="R365" s="364">
        <f t="shared" si="345"/>
        <v>0</v>
      </c>
      <c r="S365" s="364">
        <f>SUM(S363:S364)</f>
        <v>0</v>
      </c>
      <c r="T365" s="353" t="s">
        <v>12</v>
      </c>
      <c r="U365" s="366"/>
      <c r="V365" s="141"/>
    </row>
    <row r="366" spans="2:22" ht="13.5" thickBot="1" x14ac:dyDescent="0.25">
      <c r="B366" s="364">
        <f t="shared" ref="B366:B367" si="346">SUM(C366:D366)</f>
        <v>2</v>
      </c>
      <c r="C366" s="364">
        <f t="shared" ref="C366:D367" si="347">R366+O366+L366+I366+F366</f>
        <v>2</v>
      </c>
      <c r="D366" s="364">
        <f t="shared" si="347"/>
        <v>0</v>
      </c>
      <c r="E366" s="364">
        <f t="shared" si="319"/>
        <v>0</v>
      </c>
      <c r="F366" s="364">
        <v>0</v>
      </c>
      <c r="G366" s="364">
        <v>0</v>
      </c>
      <c r="H366" s="364">
        <f t="shared" si="320"/>
        <v>0</v>
      </c>
      <c r="I366" s="364">
        <v>0</v>
      </c>
      <c r="J366" s="364">
        <v>0</v>
      </c>
      <c r="K366" s="364">
        <f t="shared" si="321"/>
        <v>2</v>
      </c>
      <c r="L366" s="364">
        <v>2</v>
      </c>
      <c r="M366" s="364">
        <v>0</v>
      </c>
      <c r="N366" s="364">
        <f t="shared" si="322"/>
        <v>0</v>
      </c>
      <c r="O366" s="364">
        <v>0</v>
      </c>
      <c r="P366" s="364">
        <v>0</v>
      </c>
      <c r="Q366" s="364">
        <f t="shared" si="323"/>
        <v>0</v>
      </c>
      <c r="R366" s="364">
        <v>0</v>
      </c>
      <c r="S366" s="364">
        <v>0</v>
      </c>
      <c r="T366" s="353" t="s">
        <v>146</v>
      </c>
      <c r="U366" s="365"/>
      <c r="V366" s="141"/>
    </row>
    <row r="367" spans="2:22" ht="13.5" thickBot="1" x14ac:dyDescent="0.25">
      <c r="B367" s="364">
        <f t="shared" si="346"/>
        <v>0</v>
      </c>
      <c r="C367" s="364">
        <f t="shared" si="347"/>
        <v>0</v>
      </c>
      <c r="D367" s="364">
        <f t="shared" si="347"/>
        <v>0</v>
      </c>
      <c r="E367" s="364">
        <f t="shared" si="319"/>
        <v>0</v>
      </c>
      <c r="F367" s="364">
        <v>0</v>
      </c>
      <c r="G367" s="364">
        <v>0</v>
      </c>
      <c r="H367" s="364">
        <f t="shared" si="320"/>
        <v>0</v>
      </c>
      <c r="I367" s="364">
        <v>0</v>
      </c>
      <c r="J367" s="364">
        <v>0</v>
      </c>
      <c r="K367" s="364">
        <f t="shared" si="321"/>
        <v>0</v>
      </c>
      <c r="L367" s="364">
        <v>0</v>
      </c>
      <c r="M367" s="364">
        <v>0</v>
      </c>
      <c r="N367" s="364">
        <f t="shared" si="322"/>
        <v>0</v>
      </c>
      <c r="O367" s="364">
        <v>0</v>
      </c>
      <c r="P367" s="364">
        <v>0</v>
      </c>
      <c r="Q367" s="364">
        <f t="shared" si="323"/>
        <v>0</v>
      </c>
      <c r="R367" s="364">
        <v>0</v>
      </c>
      <c r="S367" s="364">
        <v>0</v>
      </c>
      <c r="T367" s="353" t="s">
        <v>145</v>
      </c>
      <c r="U367" s="371" t="s">
        <v>267</v>
      </c>
      <c r="V367" s="141"/>
    </row>
    <row r="368" spans="2:22" ht="13.5" thickBot="1" x14ac:dyDescent="0.25">
      <c r="B368" s="364">
        <f t="shared" ref="B368:R368" si="348">SUM(B366:B367)</f>
        <v>2</v>
      </c>
      <c r="C368" s="364">
        <f t="shared" si="348"/>
        <v>2</v>
      </c>
      <c r="D368" s="364">
        <f t="shared" si="348"/>
        <v>0</v>
      </c>
      <c r="E368" s="364">
        <f t="shared" si="348"/>
        <v>0</v>
      </c>
      <c r="F368" s="364">
        <f t="shared" si="348"/>
        <v>0</v>
      </c>
      <c r="G368" s="364">
        <f t="shared" si="348"/>
        <v>0</v>
      </c>
      <c r="H368" s="364">
        <f t="shared" si="348"/>
        <v>0</v>
      </c>
      <c r="I368" s="364">
        <f t="shared" si="348"/>
        <v>0</v>
      </c>
      <c r="J368" s="364">
        <f t="shared" si="348"/>
        <v>0</v>
      </c>
      <c r="K368" s="364">
        <f t="shared" si="348"/>
        <v>2</v>
      </c>
      <c r="L368" s="364">
        <f t="shared" si="348"/>
        <v>2</v>
      </c>
      <c r="M368" s="364">
        <f t="shared" si="348"/>
        <v>0</v>
      </c>
      <c r="N368" s="364">
        <f t="shared" si="348"/>
        <v>0</v>
      </c>
      <c r="O368" s="364">
        <f t="shared" si="348"/>
        <v>0</v>
      </c>
      <c r="P368" s="364">
        <f t="shared" si="348"/>
        <v>0</v>
      </c>
      <c r="Q368" s="364">
        <f t="shared" si="348"/>
        <v>0</v>
      </c>
      <c r="R368" s="364">
        <f t="shared" si="348"/>
        <v>0</v>
      </c>
      <c r="S368" s="364">
        <f>SUM(S366:S367)</f>
        <v>0</v>
      </c>
      <c r="T368" s="353" t="s">
        <v>12</v>
      </c>
      <c r="U368" s="366"/>
      <c r="V368" s="141"/>
    </row>
    <row r="369" spans="2:22" ht="13.5" thickBot="1" x14ac:dyDescent="0.25">
      <c r="B369" s="364">
        <f t="shared" ref="B369:R371" si="349">B276+B279+B282+B285+B288+B291+B294+B297+B300+B303+B306+B309+B312+B315+B318+B321+B324+B327+B330+B333+B336+B339+B342+B345+B348+B351+B354+B357+B360+B363+B366</f>
        <v>1683</v>
      </c>
      <c r="C369" s="364">
        <f t="shared" si="349"/>
        <v>396</v>
      </c>
      <c r="D369" s="364">
        <f t="shared" si="349"/>
        <v>1287</v>
      </c>
      <c r="E369" s="364">
        <f t="shared" si="349"/>
        <v>213</v>
      </c>
      <c r="F369" s="364">
        <f t="shared" si="349"/>
        <v>47</v>
      </c>
      <c r="G369" s="364">
        <f t="shared" si="349"/>
        <v>166</v>
      </c>
      <c r="H369" s="364">
        <f t="shared" si="349"/>
        <v>683</v>
      </c>
      <c r="I369" s="364">
        <f t="shared" si="349"/>
        <v>115</v>
      </c>
      <c r="J369" s="364">
        <f t="shared" si="349"/>
        <v>568</v>
      </c>
      <c r="K369" s="364">
        <f t="shared" si="349"/>
        <v>774</v>
      </c>
      <c r="L369" s="364">
        <f t="shared" si="349"/>
        <v>231</v>
      </c>
      <c r="M369" s="364">
        <f t="shared" si="349"/>
        <v>543</v>
      </c>
      <c r="N369" s="364">
        <f t="shared" si="349"/>
        <v>13</v>
      </c>
      <c r="O369" s="364">
        <f t="shared" si="349"/>
        <v>3</v>
      </c>
      <c r="P369" s="364">
        <f t="shared" si="349"/>
        <v>10</v>
      </c>
      <c r="Q369" s="364">
        <f t="shared" si="349"/>
        <v>0</v>
      </c>
      <c r="R369" s="364">
        <f t="shared" si="349"/>
        <v>0</v>
      </c>
      <c r="S369" s="364">
        <f>S276+S279+S282+S285+S288+S291+S294+S297+S300+S303+S306+S309+S312+S315+S318+S321+S324+S327+S330+S333+S336+S339+S342+S345+S348+S351+S354+S357+S360+S363+S366</f>
        <v>0</v>
      </c>
      <c r="T369" s="353" t="s">
        <v>146</v>
      </c>
      <c r="U369" s="367"/>
      <c r="V369" s="141"/>
    </row>
    <row r="370" spans="2:22" ht="13.5" thickBot="1" x14ac:dyDescent="0.25">
      <c r="B370" s="364">
        <f t="shared" si="349"/>
        <v>43</v>
      </c>
      <c r="C370" s="364">
        <f t="shared" si="349"/>
        <v>6</v>
      </c>
      <c r="D370" s="364">
        <f t="shared" si="349"/>
        <v>37</v>
      </c>
      <c r="E370" s="364">
        <f t="shared" si="349"/>
        <v>0</v>
      </c>
      <c r="F370" s="364">
        <f t="shared" si="349"/>
        <v>0</v>
      </c>
      <c r="G370" s="364">
        <f t="shared" si="349"/>
        <v>0</v>
      </c>
      <c r="H370" s="364">
        <f t="shared" si="349"/>
        <v>0</v>
      </c>
      <c r="I370" s="364">
        <f t="shared" si="349"/>
        <v>0</v>
      </c>
      <c r="J370" s="364">
        <f t="shared" si="349"/>
        <v>0</v>
      </c>
      <c r="K370" s="364">
        <f t="shared" si="349"/>
        <v>38</v>
      </c>
      <c r="L370" s="364">
        <f t="shared" si="349"/>
        <v>4</v>
      </c>
      <c r="M370" s="364">
        <f t="shared" si="349"/>
        <v>34</v>
      </c>
      <c r="N370" s="364">
        <f t="shared" si="349"/>
        <v>5</v>
      </c>
      <c r="O370" s="364">
        <f t="shared" si="349"/>
        <v>2</v>
      </c>
      <c r="P370" s="364">
        <f t="shared" si="349"/>
        <v>3</v>
      </c>
      <c r="Q370" s="364">
        <f t="shared" si="349"/>
        <v>0</v>
      </c>
      <c r="R370" s="364">
        <f t="shared" si="349"/>
        <v>0</v>
      </c>
      <c r="S370" s="364">
        <f t="shared" ref="S370:S371" si="350">S277+S280+S283+S286+S289+S292+S295+S298+S301+S304+S307+S310+S313+S316+S319+S322+S325+S328+S331+S334+S337+S340+S343+S346+S349+S352+S355+S358+S361+S364+S367</f>
        <v>0</v>
      </c>
      <c r="T370" s="353" t="s">
        <v>145</v>
      </c>
      <c r="U370" s="368" t="s">
        <v>188</v>
      </c>
      <c r="V370" s="141"/>
    </row>
    <row r="371" spans="2:22" ht="13.5" thickBot="1" x14ac:dyDescent="0.25">
      <c r="B371" s="364">
        <f t="shared" si="349"/>
        <v>1726</v>
      </c>
      <c r="C371" s="364">
        <f t="shared" si="349"/>
        <v>402</v>
      </c>
      <c r="D371" s="364">
        <f t="shared" si="349"/>
        <v>1324</v>
      </c>
      <c r="E371" s="364">
        <f t="shared" si="349"/>
        <v>213</v>
      </c>
      <c r="F371" s="364">
        <f t="shared" si="349"/>
        <v>47</v>
      </c>
      <c r="G371" s="364">
        <f t="shared" si="349"/>
        <v>166</v>
      </c>
      <c r="H371" s="364">
        <f t="shared" si="349"/>
        <v>683</v>
      </c>
      <c r="I371" s="364">
        <f t="shared" si="349"/>
        <v>115</v>
      </c>
      <c r="J371" s="364">
        <f t="shared" si="349"/>
        <v>568</v>
      </c>
      <c r="K371" s="364">
        <f t="shared" si="349"/>
        <v>812</v>
      </c>
      <c r="L371" s="364">
        <f t="shared" si="349"/>
        <v>235</v>
      </c>
      <c r="M371" s="364">
        <f t="shared" si="349"/>
        <v>577</v>
      </c>
      <c r="N371" s="364">
        <f t="shared" si="349"/>
        <v>18</v>
      </c>
      <c r="O371" s="364">
        <f t="shared" si="349"/>
        <v>5</v>
      </c>
      <c r="P371" s="364">
        <f t="shared" si="349"/>
        <v>13</v>
      </c>
      <c r="Q371" s="364">
        <f t="shared" si="349"/>
        <v>0</v>
      </c>
      <c r="R371" s="364">
        <f t="shared" si="349"/>
        <v>0</v>
      </c>
      <c r="S371" s="364">
        <f t="shared" si="350"/>
        <v>0</v>
      </c>
      <c r="T371" s="353" t="s">
        <v>12</v>
      </c>
      <c r="U371" s="363"/>
      <c r="V371" s="141"/>
    </row>
    <row r="372" spans="2:22" ht="18" customHeight="1" thickBot="1" x14ac:dyDescent="0.25">
      <c r="B372" s="610"/>
      <c r="C372" s="610"/>
      <c r="D372" s="610"/>
      <c r="E372" s="610"/>
      <c r="F372" s="610"/>
      <c r="G372" s="610"/>
      <c r="H372" s="610"/>
      <c r="I372" s="610"/>
      <c r="J372" s="610"/>
      <c r="K372" s="610"/>
      <c r="L372" s="610"/>
      <c r="M372" s="610"/>
      <c r="N372" s="610"/>
      <c r="O372" s="610"/>
      <c r="P372" s="610"/>
      <c r="Q372" s="610"/>
      <c r="R372" s="610"/>
      <c r="S372" s="610"/>
      <c r="T372" s="610"/>
      <c r="U372" s="610"/>
      <c r="V372" s="141"/>
    </row>
    <row r="373" spans="2:22" ht="13.5" customHeight="1" thickBot="1" x14ac:dyDescent="0.25">
      <c r="B373" s="607" t="s">
        <v>4</v>
      </c>
      <c r="C373" s="607"/>
      <c r="D373" s="607"/>
      <c r="E373" s="607" t="s">
        <v>53</v>
      </c>
      <c r="F373" s="607"/>
      <c r="G373" s="607"/>
      <c r="H373" s="607" t="s">
        <v>61</v>
      </c>
      <c r="I373" s="607"/>
      <c r="J373" s="607"/>
      <c r="K373" s="607" t="s">
        <v>60</v>
      </c>
      <c r="L373" s="607"/>
      <c r="M373" s="607"/>
      <c r="N373" s="607" t="s">
        <v>57</v>
      </c>
      <c r="O373" s="607"/>
      <c r="P373" s="607"/>
      <c r="Q373" s="607" t="s">
        <v>56</v>
      </c>
      <c r="R373" s="607"/>
      <c r="S373" s="607"/>
      <c r="T373" s="608" t="s">
        <v>792</v>
      </c>
      <c r="U373" s="347" t="s">
        <v>144</v>
      </c>
      <c r="V373" s="141"/>
    </row>
    <row r="374" spans="2:22" ht="13.5" thickBot="1" x14ac:dyDescent="0.25">
      <c r="B374" s="347" t="s">
        <v>227</v>
      </c>
      <c r="C374" s="347" t="s">
        <v>10</v>
      </c>
      <c r="D374" s="347" t="s">
        <v>9</v>
      </c>
      <c r="E374" s="347" t="s">
        <v>227</v>
      </c>
      <c r="F374" s="347" t="s">
        <v>10</v>
      </c>
      <c r="G374" s="347" t="s">
        <v>9</v>
      </c>
      <c r="H374" s="347" t="s">
        <v>227</v>
      </c>
      <c r="I374" s="347" t="s">
        <v>10</v>
      </c>
      <c r="J374" s="347" t="s">
        <v>9</v>
      </c>
      <c r="K374" s="347" t="s">
        <v>227</v>
      </c>
      <c r="L374" s="347" t="s">
        <v>10</v>
      </c>
      <c r="M374" s="347" t="s">
        <v>9</v>
      </c>
      <c r="N374" s="347" t="s">
        <v>227</v>
      </c>
      <c r="O374" s="347" t="s">
        <v>10</v>
      </c>
      <c r="P374" s="347" t="s">
        <v>9</v>
      </c>
      <c r="Q374" s="347" t="s">
        <v>227</v>
      </c>
      <c r="R374" s="347" t="s">
        <v>10</v>
      </c>
      <c r="S374" s="347" t="s">
        <v>9</v>
      </c>
      <c r="T374" s="609"/>
      <c r="U374" s="363" t="s">
        <v>75</v>
      </c>
      <c r="V374" s="141"/>
    </row>
    <row r="375" spans="2:22" ht="13.5" thickBot="1" x14ac:dyDescent="0.25">
      <c r="B375" s="364">
        <f>SUM(C375:D375)</f>
        <v>9</v>
      </c>
      <c r="C375" s="364">
        <f>R375+O375+L375+I375+F375</f>
        <v>0</v>
      </c>
      <c r="D375" s="364">
        <f>S375+P375+M375+J375+G375</f>
        <v>9</v>
      </c>
      <c r="E375" s="364">
        <f>SUM(F375:G375)</f>
        <v>9</v>
      </c>
      <c r="F375" s="364">
        <v>0</v>
      </c>
      <c r="G375" s="364">
        <v>9</v>
      </c>
      <c r="H375" s="364">
        <f>SUM(I375:J375)</f>
        <v>0</v>
      </c>
      <c r="I375" s="364">
        <v>0</v>
      </c>
      <c r="J375" s="364">
        <v>0</v>
      </c>
      <c r="K375" s="364">
        <f>SUM(L375:M375)</f>
        <v>0</v>
      </c>
      <c r="L375" s="364">
        <v>0</v>
      </c>
      <c r="M375" s="364">
        <v>0</v>
      </c>
      <c r="N375" s="364">
        <f>SUM(O375:P375)</f>
        <v>0</v>
      </c>
      <c r="O375" s="364">
        <v>0</v>
      </c>
      <c r="P375" s="364">
        <v>0</v>
      </c>
      <c r="Q375" s="364">
        <f>SUM(R375:S375)</f>
        <v>0</v>
      </c>
      <c r="R375" s="364">
        <v>0</v>
      </c>
      <c r="S375" s="364">
        <v>0</v>
      </c>
      <c r="T375" s="353" t="s">
        <v>146</v>
      </c>
      <c r="U375" s="365"/>
      <c r="V375" s="141"/>
    </row>
    <row r="376" spans="2:22" ht="13.5" thickBot="1" x14ac:dyDescent="0.25">
      <c r="B376" s="364">
        <f t="shared" ref="B376" si="351">SUM(C376:D376)</f>
        <v>0</v>
      </c>
      <c r="C376" s="364">
        <f t="shared" ref="C376:D376" si="352">R376+O376+L376+I376+F376</f>
        <v>0</v>
      </c>
      <c r="D376" s="364">
        <f t="shared" si="352"/>
        <v>0</v>
      </c>
      <c r="E376" s="364">
        <f t="shared" ref="E376:E418" si="353">SUM(F376:G376)</f>
        <v>0</v>
      </c>
      <c r="F376" s="364">
        <v>0</v>
      </c>
      <c r="G376" s="364">
        <v>0</v>
      </c>
      <c r="H376" s="364">
        <f t="shared" ref="H376:H418" si="354">SUM(I376:J376)</f>
        <v>0</v>
      </c>
      <c r="I376" s="364">
        <v>0</v>
      </c>
      <c r="J376" s="364">
        <v>0</v>
      </c>
      <c r="K376" s="364">
        <f t="shared" ref="K376:K418" si="355">SUM(L376:M376)</f>
        <v>0</v>
      </c>
      <c r="L376" s="364">
        <v>0</v>
      </c>
      <c r="M376" s="364">
        <v>0</v>
      </c>
      <c r="N376" s="364">
        <f t="shared" ref="N376:N418" si="356">SUM(O376:P376)</f>
        <v>0</v>
      </c>
      <c r="O376" s="364">
        <v>0</v>
      </c>
      <c r="P376" s="364">
        <v>0</v>
      </c>
      <c r="Q376" s="364">
        <f t="shared" ref="Q376:Q418" si="357">SUM(R376:S376)</f>
        <v>0</v>
      </c>
      <c r="R376" s="364">
        <v>0</v>
      </c>
      <c r="S376" s="364">
        <v>0</v>
      </c>
      <c r="T376" s="353" t="s">
        <v>145</v>
      </c>
      <c r="U376" s="371" t="s">
        <v>654</v>
      </c>
      <c r="V376" s="141"/>
    </row>
    <row r="377" spans="2:22" ht="13.5" thickBot="1" x14ac:dyDescent="0.25">
      <c r="B377" s="364">
        <f t="shared" ref="B377:R377" si="358">SUM(B375:B376)</f>
        <v>9</v>
      </c>
      <c r="C377" s="364">
        <f t="shared" si="358"/>
        <v>0</v>
      </c>
      <c r="D377" s="364">
        <f t="shared" si="358"/>
        <v>9</v>
      </c>
      <c r="E377" s="364">
        <f t="shared" si="358"/>
        <v>9</v>
      </c>
      <c r="F377" s="364">
        <f t="shared" si="358"/>
        <v>0</v>
      </c>
      <c r="G377" s="364">
        <f t="shared" si="358"/>
        <v>9</v>
      </c>
      <c r="H377" s="364">
        <f t="shared" si="358"/>
        <v>0</v>
      </c>
      <c r="I377" s="364">
        <f t="shared" si="358"/>
        <v>0</v>
      </c>
      <c r="J377" s="364">
        <f t="shared" si="358"/>
        <v>0</v>
      </c>
      <c r="K377" s="364">
        <f t="shared" si="358"/>
        <v>0</v>
      </c>
      <c r="L377" s="364">
        <f t="shared" si="358"/>
        <v>0</v>
      </c>
      <c r="M377" s="364">
        <f t="shared" si="358"/>
        <v>0</v>
      </c>
      <c r="N377" s="364">
        <f t="shared" si="358"/>
        <v>0</v>
      </c>
      <c r="O377" s="364">
        <f t="shared" si="358"/>
        <v>0</v>
      </c>
      <c r="P377" s="364">
        <f t="shared" si="358"/>
        <v>0</v>
      </c>
      <c r="Q377" s="364">
        <f t="shared" si="358"/>
        <v>0</v>
      </c>
      <c r="R377" s="364">
        <f t="shared" si="358"/>
        <v>0</v>
      </c>
      <c r="S377" s="364">
        <f>SUM(S375:S376)</f>
        <v>0</v>
      </c>
      <c r="T377" s="353" t="s">
        <v>12</v>
      </c>
      <c r="U377" s="366"/>
      <c r="V377" s="141"/>
    </row>
    <row r="378" spans="2:22" ht="13.5" thickBot="1" x14ac:dyDescent="0.25">
      <c r="B378" s="364">
        <f t="shared" ref="B378:B379" si="359">SUM(C378:D378)</f>
        <v>3</v>
      </c>
      <c r="C378" s="364">
        <f t="shared" ref="C378:D379" si="360">R378+O378+L378+I378+F378</f>
        <v>0</v>
      </c>
      <c r="D378" s="364">
        <f t="shared" si="360"/>
        <v>3</v>
      </c>
      <c r="E378" s="364">
        <f t="shared" si="353"/>
        <v>0</v>
      </c>
      <c r="F378" s="364">
        <v>0</v>
      </c>
      <c r="G378" s="364">
        <v>0</v>
      </c>
      <c r="H378" s="364">
        <f t="shared" si="354"/>
        <v>3</v>
      </c>
      <c r="I378" s="364">
        <v>0</v>
      </c>
      <c r="J378" s="364">
        <v>3</v>
      </c>
      <c r="K378" s="364">
        <f t="shared" si="355"/>
        <v>0</v>
      </c>
      <c r="L378" s="364">
        <v>0</v>
      </c>
      <c r="M378" s="364">
        <v>0</v>
      </c>
      <c r="N378" s="364">
        <f t="shared" si="356"/>
        <v>0</v>
      </c>
      <c r="O378" s="364">
        <v>0</v>
      </c>
      <c r="P378" s="364">
        <v>0</v>
      </c>
      <c r="Q378" s="364">
        <f t="shared" si="357"/>
        <v>0</v>
      </c>
      <c r="R378" s="364">
        <v>0</v>
      </c>
      <c r="S378" s="364">
        <v>0</v>
      </c>
      <c r="T378" s="353" t="s">
        <v>146</v>
      </c>
      <c r="U378" s="365"/>
      <c r="V378" s="141"/>
    </row>
    <row r="379" spans="2:22" ht="13.5" thickBot="1" x14ac:dyDescent="0.25">
      <c r="B379" s="364">
        <f t="shared" si="359"/>
        <v>0</v>
      </c>
      <c r="C379" s="364">
        <f t="shared" si="360"/>
        <v>0</v>
      </c>
      <c r="D379" s="364">
        <f t="shared" si="360"/>
        <v>0</v>
      </c>
      <c r="E379" s="364">
        <f t="shared" si="353"/>
        <v>0</v>
      </c>
      <c r="F379" s="364">
        <v>0</v>
      </c>
      <c r="G379" s="364">
        <v>0</v>
      </c>
      <c r="H379" s="364">
        <f t="shared" si="354"/>
        <v>0</v>
      </c>
      <c r="I379" s="364">
        <v>0</v>
      </c>
      <c r="J379" s="364">
        <v>0</v>
      </c>
      <c r="K379" s="364">
        <f t="shared" si="355"/>
        <v>0</v>
      </c>
      <c r="L379" s="364">
        <v>0</v>
      </c>
      <c r="M379" s="364">
        <v>0</v>
      </c>
      <c r="N379" s="364">
        <f t="shared" si="356"/>
        <v>0</v>
      </c>
      <c r="O379" s="364">
        <v>0</v>
      </c>
      <c r="P379" s="364">
        <v>0</v>
      </c>
      <c r="Q379" s="364">
        <f t="shared" si="357"/>
        <v>0</v>
      </c>
      <c r="R379" s="364">
        <v>0</v>
      </c>
      <c r="S379" s="364">
        <v>0</v>
      </c>
      <c r="T379" s="353" t="s">
        <v>145</v>
      </c>
      <c r="U379" s="365" t="s">
        <v>624</v>
      </c>
      <c r="V379" s="141"/>
    </row>
    <row r="380" spans="2:22" ht="13.5" thickBot="1" x14ac:dyDescent="0.25">
      <c r="B380" s="364">
        <f t="shared" ref="B380:R380" si="361">SUM(B378:B379)</f>
        <v>3</v>
      </c>
      <c r="C380" s="364">
        <f t="shared" si="361"/>
        <v>0</v>
      </c>
      <c r="D380" s="364">
        <f t="shared" si="361"/>
        <v>3</v>
      </c>
      <c r="E380" s="364">
        <f t="shared" si="361"/>
        <v>0</v>
      </c>
      <c r="F380" s="364">
        <f t="shared" si="361"/>
        <v>0</v>
      </c>
      <c r="G380" s="364">
        <f t="shared" si="361"/>
        <v>0</v>
      </c>
      <c r="H380" s="364">
        <f t="shared" si="361"/>
        <v>3</v>
      </c>
      <c r="I380" s="364">
        <f t="shared" si="361"/>
        <v>0</v>
      </c>
      <c r="J380" s="364">
        <f t="shared" si="361"/>
        <v>3</v>
      </c>
      <c r="K380" s="364">
        <f t="shared" si="361"/>
        <v>0</v>
      </c>
      <c r="L380" s="364">
        <f t="shared" si="361"/>
        <v>0</v>
      </c>
      <c r="M380" s="364">
        <f t="shared" si="361"/>
        <v>0</v>
      </c>
      <c r="N380" s="364">
        <f t="shared" si="361"/>
        <v>0</v>
      </c>
      <c r="O380" s="364">
        <f t="shared" si="361"/>
        <v>0</v>
      </c>
      <c r="P380" s="364">
        <f t="shared" si="361"/>
        <v>0</v>
      </c>
      <c r="Q380" s="364">
        <f t="shared" si="361"/>
        <v>0</v>
      </c>
      <c r="R380" s="364">
        <f t="shared" si="361"/>
        <v>0</v>
      </c>
      <c r="S380" s="364">
        <f>SUM(S378:S379)</f>
        <v>0</v>
      </c>
      <c r="T380" s="353" t="s">
        <v>12</v>
      </c>
      <c r="U380" s="366"/>
      <c r="V380" s="141"/>
    </row>
    <row r="381" spans="2:22" ht="13.5" thickBot="1" x14ac:dyDescent="0.25">
      <c r="B381" s="364">
        <f t="shared" ref="B381:B382" si="362">SUM(C381:D381)</f>
        <v>3</v>
      </c>
      <c r="C381" s="364">
        <f t="shared" ref="C381:D382" si="363">R381+O381+L381+I381+F381</f>
        <v>0</v>
      </c>
      <c r="D381" s="364">
        <f t="shared" si="363"/>
        <v>3</v>
      </c>
      <c r="E381" s="364">
        <f t="shared" si="353"/>
        <v>0</v>
      </c>
      <c r="F381" s="364">
        <v>0</v>
      </c>
      <c r="G381" s="364">
        <v>0</v>
      </c>
      <c r="H381" s="364">
        <f t="shared" si="354"/>
        <v>2</v>
      </c>
      <c r="I381" s="364">
        <v>0</v>
      </c>
      <c r="J381" s="364">
        <v>2</v>
      </c>
      <c r="K381" s="364">
        <f t="shared" si="355"/>
        <v>1</v>
      </c>
      <c r="L381" s="364">
        <v>0</v>
      </c>
      <c r="M381" s="364">
        <v>1</v>
      </c>
      <c r="N381" s="364">
        <f t="shared" si="356"/>
        <v>0</v>
      </c>
      <c r="O381" s="364">
        <v>0</v>
      </c>
      <c r="P381" s="364">
        <v>0</v>
      </c>
      <c r="Q381" s="364">
        <f t="shared" si="357"/>
        <v>0</v>
      </c>
      <c r="R381" s="364">
        <v>0</v>
      </c>
      <c r="S381" s="364">
        <v>0</v>
      </c>
      <c r="T381" s="353" t="s">
        <v>146</v>
      </c>
      <c r="U381" s="365"/>
      <c r="V381" s="141"/>
    </row>
    <row r="382" spans="2:22" ht="13.5" thickBot="1" x14ac:dyDescent="0.25">
      <c r="B382" s="364">
        <f t="shared" si="362"/>
        <v>0</v>
      </c>
      <c r="C382" s="364">
        <f t="shared" si="363"/>
        <v>0</v>
      </c>
      <c r="D382" s="364">
        <f t="shared" si="363"/>
        <v>0</v>
      </c>
      <c r="E382" s="364">
        <f t="shared" si="353"/>
        <v>0</v>
      </c>
      <c r="F382" s="364">
        <v>0</v>
      </c>
      <c r="G382" s="364">
        <v>0</v>
      </c>
      <c r="H382" s="364">
        <f t="shared" si="354"/>
        <v>0</v>
      </c>
      <c r="I382" s="364">
        <v>0</v>
      </c>
      <c r="J382" s="364">
        <v>0</v>
      </c>
      <c r="K382" s="364">
        <f t="shared" si="355"/>
        <v>0</v>
      </c>
      <c r="L382" s="364">
        <v>0</v>
      </c>
      <c r="M382" s="364">
        <v>0</v>
      </c>
      <c r="N382" s="364">
        <f t="shared" si="356"/>
        <v>0</v>
      </c>
      <c r="O382" s="364">
        <v>0</v>
      </c>
      <c r="P382" s="364">
        <v>0</v>
      </c>
      <c r="Q382" s="364">
        <f t="shared" si="357"/>
        <v>0</v>
      </c>
      <c r="R382" s="364">
        <v>0</v>
      </c>
      <c r="S382" s="364">
        <v>0</v>
      </c>
      <c r="T382" s="353" t="s">
        <v>145</v>
      </c>
      <c r="U382" s="365" t="s">
        <v>453</v>
      </c>
      <c r="V382" s="141"/>
    </row>
    <row r="383" spans="2:22" ht="13.5" thickBot="1" x14ac:dyDescent="0.25">
      <c r="B383" s="364">
        <f t="shared" ref="B383:R383" si="364">SUM(B381:B382)</f>
        <v>3</v>
      </c>
      <c r="C383" s="364">
        <f t="shared" si="364"/>
        <v>0</v>
      </c>
      <c r="D383" s="364">
        <f t="shared" si="364"/>
        <v>3</v>
      </c>
      <c r="E383" s="364">
        <f t="shared" si="364"/>
        <v>0</v>
      </c>
      <c r="F383" s="364">
        <f t="shared" si="364"/>
        <v>0</v>
      </c>
      <c r="G383" s="364">
        <f t="shared" si="364"/>
        <v>0</v>
      </c>
      <c r="H383" s="364">
        <f t="shared" si="364"/>
        <v>2</v>
      </c>
      <c r="I383" s="364">
        <f t="shared" si="364"/>
        <v>0</v>
      </c>
      <c r="J383" s="364">
        <f t="shared" si="364"/>
        <v>2</v>
      </c>
      <c r="K383" s="364">
        <f t="shared" si="364"/>
        <v>1</v>
      </c>
      <c r="L383" s="364">
        <f t="shared" si="364"/>
        <v>0</v>
      </c>
      <c r="M383" s="364">
        <f t="shared" si="364"/>
        <v>1</v>
      </c>
      <c r="N383" s="364">
        <f t="shared" si="364"/>
        <v>0</v>
      </c>
      <c r="O383" s="364">
        <f t="shared" si="364"/>
        <v>0</v>
      </c>
      <c r="P383" s="364">
        <f t="shared" si="364"/>
        <v>0</v>
      </c>
      <c r="Q383" s="364">
        <f t="shared" si="364"/>
        <v>0</v>
      </c>
      <c r="R383" s="364">
        <f t="shared" si="364"/>
        <v>0</v>
      </c>
      <c r="S383" s="364">
        <f>SUM(S381:S382)</f>
        <v>0</v>
      </c>
      <c r="T383" s="353" t="s">
        <v>12</v>
      </c>
      <c r="U383" s="366"/>
      <c r="V383" s="141"/>
    </row>
    <row r="384" spans="2:22" ht="13.5" thickBot="1" x14ac:dyDescent="0.25">
      <c r="B384" s="364">
        <f t="shared" ref="B384:B385" si="365">SUM(C384:D384)</f>
        <v>3</v>
      </c>
      <c r="C384" s="364">
        <f t="shared" ref="C384:D385" si="366">R384+O384+L384+I384+F384</f>
        <v>0</v>
      </c>
      <c r="D384" s="364">
        <f t="shared" si="366"/>
        <v>3</v>
      </c>
      <c r="E384" s="364">
        <f t="shared" si="353"/>
        <v>2</v>
      </c>
      <c r="F384" s="364">
        <v>0</v>
      </c>
      <c r="G384" s="364">
        <v>2</v>
      </c>
      <c r="H384" s="364">
        <f t="shared" si="354"/>
        <v>1</v>
      </c>
      <c r="I384" s="364">
        <v>0</v>
      </c>
      <c r="J384" s="364">
        <v>1</v>
      </c>
      <c r="K384" s="364">
        <f t="shared" si="355"/>
        <v>0</v>
      </c>
      <c r="L384" s="364">
        <v>0</v>
      </c>
      <c r="M384" s="364">
        <v>0</v>
      </c>
      <c r="N384" s="364">
        <f t="shared" si="356"/>
        <v>0</v>
      </c>
      <c r="O384" s="364">
        <v>0</v>
      </c>
      <c r="P384" s="364">
        <v>0</v>
      </c>
      <c r="Q384" s="364">
        <f t="shared" si="357"/>
        <v>0</v>
      </c>
      <c r="R384" s="364">
        <v>0</v>
      </c>
      <c r="S384" s="364">
        <v>0</v>
      </c>
      <c r="T384" s="353" t="s">
        <v>146</v>
      </c>
      <c r="U384" s="365"/>
      <c r="V384" s="141"/>
    </row>
    <row r="385" spans="2:22" ht="13.5" thickBot="1" x14ac:dyDescent="0.25">
      <c r="B385" s="364">
        <f t="shared" si="365"/>
        <v>0</v>
      </c>
      <c r="C385" s="364">
        <f t="shared" si="366"/>
        <v>0</v>
      </c>
      <c r="D385" s="364">
        <f t="shared" si="366"/>
        <v>0</v>
      </c>
      <c r="E385" s="364">
        <f t="shared" si="353"/>
        <v>0</v>
      </c>
      <c r="F385" s="364">
        <v>0</v>
      </c>
      <c r="G385" s="364">
        <v>0</v>
      </c>
      <c r="H385" s="364">
        <f t="shared" si="354"/>
        <v>0</v>
      </c>
      <c r="I385" s="364">
        <v>0</v>
      </c>
      <c r="J385" s="364">
        <v>0</v>
      </c>
      <c r="K385" s="364">
        <f t="shared" si="355"/>
        <v>0</v>
      </c>
      <c r="L385" s="364">
        <v>0</v>
      </c>
      <c r="M385" s="364">
        <v>0</v>
      </c>
      <c r="N385" s="364">
        <f t="shared" si="356"/>
        <v>0</v>
      </c>
      <c r="O385" s="364">
        <v>0</v>
      </c>
      <c r="P385" s="364">
        <v>0</v>
      </c>
      <c r="Q385" s="364">
        <f t="shared" si="357"/>
        <v>0</v>
      </c>
      <c r="R385" s="364">
        <v>0</v>
      </c>
      <c r="S385" s="364">
        <v>0</v>
      </c>
      <c r="T385" s="353" t="s">
        <v>145</v>
      </c>
      <c r="U385" s="365" t="s">
        <v>406</v>
      </c>
      <c r="V385" s="141"/>
    </row>
    <row r="386" spans="2:22" ht="13.5" thickBot="1" x14ac:dyDescent="0.25">
      <c r="B386" s="364">
        <f t="shared" ref="B386:R386" si="367">SUM(B384:B385)</f>
        <v>3</v>
      </c>
      <c r="C386" s="364">
        <f t="shared" si="367"/>
        <v>0</v>
      </c>
      <c r="D386" s="364">
        <f t="shared" si="367"/>
        <v>3</v>
      </c>
      <c r="E386" s="364">
        <f t="shared" si="367"/>
        <v>2</v>
      </c>
      <c r="F386" s="364">
        <f t="shared" si="367"/>
        <v>0</v>
      </c>
      <c r="G386" s="364">
        <f t="shared" si="367"/>
        <v>2</v>
      </c>
      <c r="H386" s="364">
        <f t="shared" si="367"/>
        <v>1</v>
      </c>
      <c r="I386" s="364">
        <f t="shared" si="367"/>
        <v>0</v>
      </c>
      <c r="J386" s="364">
        <f t="shared" si="367"/>
        <v>1</v>
      </c>
      <c r="K386" s="364">
        <f t="shared" si="367"/>
        <v>0</v>
      </c>
      <c r="L386" s="364">
        <f t="shared" si="367"/>
        <v>0</v>
      </c>
      <c r="M386" s="364">
        <f t="shared" si="367"/>
        <v>0</v>
      </c>
      <c r="N386" s="364">
        <f t="shared" si="367"/>
        <v>0</v>
      </c>
      <c r="O386" s="364">
        <f t="shared" si="367"/>
        <v>0</v>
      </c>
      <c r="P386" s="364">
        <f t="shared" si="367"/>
        <v>0</v>
      </c>
      <c r="Q386" s="364">
        <f t="shared" si="367"/>
        <v>0</v>
      </c>
      <c r="R386" s="364">
        <f t="shared" si="367"/>
        <v>0</v>
      </c>
      <c r="S386" s="364">
        <f>SUM(S384:S385)</f>
        <v>0</v>
      </c>
      <c r="T386" s="353" t="s">
        <v>12</v>
      </c>
      <c r="U386" s="366"/>
      <c r="V386" s="141"/>
    </row>
    <row r="387" spans="2:22" ht="13.5" thickBot="1" x14ac:dyDescent="0.25">
      <c r="B387" s="364">
        <f t="shared" ref="B387:B388" si="368">SUM(C387:D387)</f>
        <v>4</v>
      </c>
      <c r="C387" s="364">
        <f t="shared" ref="C387:D388" si="369">R387+O387+L387+I387+F387</f>
        <v>0</v>
      </c>
      <c r="D387" s="364">
        <f t="shared" si="369"/>
        <v>4</v>
      </c>
      <c r="E387" s="364">
        <f t="shared" si="353"/>
        <v>3</v>
      </c>
      <c r="F387" s="364">
        <v>0</v>
      </c>
      <c r="G387" s="364">
        <v>3</v>
      </c>
      <c r="H387" s="364">
        <f t="shared" si="354"/>
        <v>0</v>
      </c>
      <c r="I387" s="364">
        <v>0</v>
      </c>
      <c r="J387" s="364">
        <v>0</v>
      </c>
      <c r="K387" s="364">
        <f t="shared" si="355"/>
        <v>0</v>
      </c>
      <c r="L387" s="364">
        <v>0</v>
      </c>
      <c r="M387" s="364">
        <v>0</v>
      </c>
      <c r="N387" s="364">
        <f t="shared" si="356"/>
        <v>0</v>
      </c>
      <c r="O387" s="364">
        <v>0</v>
      </c>
      <c r="P387" s="364">
        <v>0</v>
      </c>
      <c r="Q387" s="364">
        <f t="shared" si="357"/>
        <v>1</v>
      </c>
      <c r="R387" s="364">
        <v>0</v>
      </c>
      <c r="S387" s="364">
        <v>1</v>
      </c>
      <c r="T387" s="353" t="s">
        <v>146</v>
      </c>
      <c r="U387" s="365"/>
      <c r="V387" s="141"/>
    </row>
    <row r="388" spans="2:22" ht="13.5" thickBot="1" x14ac:dyDescent="0.25">
      <c r="B388" s="364">
        <f t="shared" si="368"/>
        <v>1</v>
      </c>
      <c r="C388" s="364">
        <f t="shared" si="369"/>
        <v>0</v>
      </c>
      <c r="D388" s="364">
        <f t="shared" si="369"/>
        <v>1</v>
      </c>
      <c r="E388" s="364">
        <f t="shared" si="353"/>
        <v>0</v>
      </c>
      <c r="F388" s="364">
        <v>0</v>
      </c>
      <c r="G388" s="364">
        <v>0</v>
      </c>
      <c r="H388" s="364">
        <f t="shared" si="354"/>
        <v>1</v>
      </c>
      <c r="I388" s="364">
        <v>0</v>
      </c>
      <c r="J388" s="364">
        <v>1</v>
      </c>
      <c r="K388" s="364">
        <f t="shared" si="355"/>
        <v>0</v>
      </c>
      <c r="L388" s="364">
        <v>0</v>
      </c>
      <c r="M388" s="364">
        <v>0</v>
      </c>
      <c r="N388" s="364">
        <f t="shared" si="356"/>
        <v>0</v>
      </c>
      <c r="O388" s="364">
        <v>0</v>
      </c>
      <c r="P388" s="364">
        <v>0</v>
      </c>
      <c r="Q388" s="364">
        <f t="shared" si="357"/>
        <v>0</v>
      </c>
      <c r="R388" s="364">
        <v>0</v>
      </c>
      <c r="S388" s="364">
        <v>0</v>
      </c>
      <c r="T388" s="353" t="s">
        <v>145</v>
      </c>
      <c r="U388" s="365" t="s">
        <v>348</v>
      </c>
      <c r="V388" s="141"/>
    </row>
    <row r="389" spans="2:22" ht="13.5" thickBot="1" x14ac:dyDescent="0.25">
      <c r="B389" s="364">
        <f t="shared" ref="B389:R389" si="370">SUM(B387:B388)</f>
        <v>5</v>
      </c>
      <c r="C389" s="364">
        <f t="shared" si="370"/>
        <v>0</v>
      </c>
      <c r="D389" s="364">
        <f t="shared" si="370"/>
        <v>5</v>
      </c>
      <c r="E389" s="364">
        <f t="shared" si="370"/>
        <v>3</v>
      </c>
      <c r="F389" s="364">
        <f t="shared" si="370"/>
        <v>0</v>
      </c>
      <c r="G389" s="364">
        <f t="shared" si="370"/>
        <v>3</v>
      </c>
      <c r="H389" s="364">
        <f t="shared" si="370"/>
        <v>1</v>
      </c>
      <c r="I389" s="364">
        <f t="shared" si="370"/>
        <v>0</v>
      </c>
      <c r="J389" s="364">
        <f t="shared" si="370"/>
        <v>1</v>
      </c>
      <c r="K389" s="364">
        <f t="shared" si="370"/>
        <v>0</v>
      </c>
      <c r="L389" s="364">
        <f t="shared" si="370"/>
        <v>0</v>
      </c>
      <c r="M389" s="364">
        <f t="shared" si="370"/>
        <v>0</v>
      </c>
      <c r="N389" s="364">
        <f t="shared" si="370"/>
        <v>0</v>
      </c>
      <c r="O389" s="364">
        <f t="shared" si="370"/>
        <v>0</v>
      </c>
      <c r="P389" s="364">
        <f t="shared" si="370"/>
        <v>0</v>
      </c>
      <c r="Q389" s="364">
        <f t="shared" si="370"/>
        <v>1</v>
      </c>
      <c r="R389" s="364">
        <f t="shared" si="370"/>
        <v>0</v>
      </c>
      <c r="S389" s="364">
        <f>SUM(S387:S388)</f>
        <v>1</v>
      </c>
      <c r="T389" s="353" t="s">
        <v>12</v>
      </c>
      <c r="U389" s="366"/>
      <c r="V389" s="141"/>
    </row>
    <row r="390" spans="2:22" ht="13.5" thickBot="1" x14ac:dyDescent="0.25">
      <c r="B390" s="364">
        <f t="shared" ref="B390:B391" si="371">SUM(C390:D390)</f>
        <v>0</v>
      </c>
      <c r="C390" s="364">
        <f t="shared" ref="C390:D391" si="372">R390+O390+L390+I390+F390</f>
        <v>0</v>
      </c>
      <c r="D390" s="364">
        <f t="shared" si="372"/>
        <v>0</v>
      </c>
      <c r="E390" s="364">
        <f t="shared" si="353"/>
        <v>0</v>
      </c>
      <c r="F390" s="364">
        <v>0</v>
      </c>
      <c r="G390" s="364">
        <v>0</v>
      </c>
      <c r="H390" s="364">
        <f t="shared" si="354"/>
        <v>0</v>
      </c>
      <c r="I390" s="364">
        <v>0</v>
      </c>
      <c r="J390" s="364">
        <v>0</v>
      </c>
      <c r="K390" s="364">
        <f t="shared" si="355"/>
        <v>0</v>
      </c>
      <c r="L390" s="364">
        <v>0</v>
      </c>
      <c r="M390" s="364">
        <v>0</v>
      </c>
      <c r="N390" s="364">
        <f t="shared" si="356"/>
        <v>0</v>
      </c>
      <c r="O390" s="364">
        <v>0</v>
      </c>
      <c r="P390" s="364">
        <v>0</v>
      </c>
      <c r="Q390" s="364">
        <f t="shared" si="357"/>
        <v>0</v>
      </c>
      <c r="R390" s="364">
        <v>0</v>
      </c>
      <c r="S390" s="364">
        <v>0</v>
      </c>
      <c r="T390" s="353" t="s">
        <v>146</v>
      </c>
      <c r="U390" s="365"/>
      <c r="V390" s="141"/>
    </row>
    <row r="391" spans="2:22" ht="13.5" thickBot="1" x14ac:dyDescent="0.25">
      <c r="B391" s="364">
        <f t="shared" si="371"/>
        <v>2</v>
      </c>
      <c r="C391" s="364">
        <f t="shared" si="372"/>
        <v>0</v>
      </c>
      <c r="D391" s="364">
        <f t="shared" si="372"/>
        <v>2</v>
      </c>
      <c r="E391" s="364">
        <f t="shared" si="353"/>
        <v>0</v>
      </c>
      <c r="F391" s="364">
        <v>0</v>
      </c>
      <c r="G391" s="364">
        <v>0</v>
      </c>
      <c r="H391" s="364">
        <f t="shared" si="354"/>
        <v>1</v>
      </c>
      <c r="I391" s="364">
        <v>0</v>
      </c>
      <c r="J391" s="364">
        <v>1</v>
      </c>
      <c r="K391" s="364">
        <f t="shared" si="355"/>
        <v>1</v>
      </c>
      <c r="L391" s="364">
        <v>0</v>
      </c>
      <c r="M391" s="364">
        <v>1</v>
      </c>
      <c r="N391" s="364">
        <f t="shared" si="356"/>
        <v>0</v>
      </c>
      <c r="O391" s="364">
        <v>0</v>
      </c>
      <c r="P391" s="364">
        <v>0</v>
      </c>
      <c r="Q391" s="364">
        <f t="shared" si="357"/>
        <v>0</v>
      </c>
      <c r="R391" s="364">
        <v>0</v>
      </c>
      <c r="S391" s="364">
        <v>0</v>
      </c>
      <c r="T391" s="353" t="s">
        <v>145</v>
      </c>
      <c r="U391" s="365" t="s">
        <v>347</v>
      </c>
      <c r="V391" s="141"/>
    </row>
    <row r="392" spans="2:22" ht="13.5" thickBot="1" x14ac:dyDescent="0.25">
      <c r="B392" s="364">
        <f t="shared" ref="B392:R392" si="373">SUM(B390:B391)</f>
        <v>2</v>
      </c>
      <c r="C392" s="364">
        <f t="shared" si="373"/>
        <v>0</v>
      </c>
      <c r="D392" s="364">
        <f t="shared" si="373"/>
        <v>2</v>
      </c>
      <c r="E392" s="364">
        <f t="shared" si="373"/>
        <v>0</v>
      </c>
      <c r="F392" s="364">
        <f t="shared" si="373"/>
        <v>0</v>
      </c>
      <c r="G392" s="364">
        <f t="shared" si="373"/>
        <v>0</v>
      </c>
      <c r="H392" s="364">
        <f t="shared" si="373"/>
        <v>1</v>
      </c>
      <c r="I392" s="364">
        <f t="shared" si="373"/>
        <v>0</v>
      </c>
      <c r="J392" s="364">
        <f t="shared" si="373"/>
        <v>1</v>
      </c>
      <c r="K392" s="364">
        <f t="shared" si="373"/>
        <v>1</v>
      </c>
      <c r="L392" s="364">
        <f t="shared" si="373"/>
        <v>0</v>
      </c>
      <c r="M392" s="364">
        <f t="shared" si="373"/>
        <v>1</v>
      </c>
      <c r="N392" s="364">
        <f t="shared" si="373"/>
        <v>0</v>
      </c>
      <c r="O392" s="364">
        <f t="shared" si="373"/>
        <v>0</v>
      </c>
      <c r="P392" s="364">
        <f t="shared" si="373"/>
        <v>0</v>
      </c>
      <c r="Q392" s="364">
        <f t="shared" si="373"/>
        <v>0</v>
      </c>
      <c r="R392" s="364">
        <f t="shared" si="373"/>
        <v>0</v>
      </c>
      <c r="S392" s="364">
        <f>SUM(S390:S391)</f>
        <v>0</v>
      </c>
      <c r="T392" s="353" t="s">
        <v>12</v>
      </c>
      <c r="U392" s="366"/>
      <c r="V392" s="141"/>
    </row>
    <row r="393" spans="2:22" ht="13.5" thickBot="1" x14ac:dyDescent="0.25">
      <c r="B393" s="364">
        <f t="shared" ref="B393:B394" si="374">SUM(C393:D393)</f>
        <v>4</v>
      </c>
      <c r="C393" s="364">
        <f t="shared" ref="C393:D394" si="375">R393+O393+L393+I393+F393</f>
        <v>0</v>
      </c>
      <c r="D393" s="364">
        <f t="shared" si="375"/>
        <v>4</v>
      </c>
      <c r="E393" s="364">
        <f t="shared" si="353"/>
        <v>3</v>
      </c>
      <c r="F393" s="364">
        <v>0</v>
      </c>
      <c r="G393" s="364">
        <v>3</v>
      </c>
      <c r="H393" s="364">
        <f t="shared" si="354"/>
        <v>0</v>
      </c>
      <c r="I393" s="364">
        <v>0</v>
      </c>
      <c r="J393" s="364">
        <v>0</v>
      </c>
      <c r="K393" s="364">
        <f t="shared" si="355"/>
        <v>1</v>
      </c>
      <c r="L393" s="364">
        <v>0</v>
      </c>
      <c r="M393" s="364">
        <v>1</v>
      </c>
      <c r="N393" s="364">
        <f t="shared" si="356"/>
        <v>0</v>
      </c>
      <c r="O393" s="364">
        <v>0</v>
      </c>
      <c r="P393" s="364">
        <v>0</v>
      </c>
      <c r="Q393" s="364">
        <f t="shared" si="357"/>
        <v>0</v>
      </c>
      <c r="R393" s="364">
        <v>0</v>
      </c>
      <c r="S393" s="364">
        <v>0</v>
      </c>
      <c r="T393" s="353" t="s">
        <v>146</v>
      </c>
      <c r="U393" s="365"/>
      <c r="V393" s="141"/>
    </row>
    <row r="394" spans="2:22" ht="13.5" thickBot="1" x14ac:dyDescent="0.25">
      <c r="B394" s="364">
        <f t="shared" si="374"/>
        <v>0</v>
      </c>
      <c r="C394" s="364">
        <f t="shared" si="375"/>
        <v>0</v>
      </c>
      <c r="D394" s="364">
        <f t="shared" si="375"/>
        <v>0</v>
      </c>
      <c r="E394" s="364">
        <f t="shared" si="353"/>
        <v>0</v>
      </c>
      <c r="F394" s="364">
        <v>0</v>
      </c>
      <c r="G394" s="364">
        <v>0</v>
      </c>
      <c r="H394" s="364">
        <f t="shared" si="354"/>
        <v>0</v>
      </c>
      <c r="I394" s="364">
        <v>0</v>
      </c>
      <c r="J394" s="364">
        <v>0</v>
      </c>
      <c r="K394" s="364">
        <f t="shared" si="355"/>
        <v>0</v>
      </c>
      <c r="L394" s="364">
        <v>0</v>
      </c>
      <c r="M394" s="364">
        <v>0</v>
      </c>
      <c r="N394" s="364">
        <f t="shared" si="356"/>
        <v>0</v>
      </c>
      <c r="O394" s="364">
        <v>0</v>
      </c>
      <c r="P394" s="364">
        <v>0</v>
      </c>
      <c r="Q394" s="364">
        <f t="shared" si="357"/>
        <v>0</v>
      </c>
      <c r="R394" s="364">
        <v>0</v>
      </c>
      <c r="S394" s="364">
        <v>0</v>
      </c>
      <c r="T394" s="353" t="s">
        <v>145</v>
      </c>
      <c r="U394" s="365" t="s">
        <v>454</v>
      </c>
      <c r="V394" s="141"/>
    </row>
    <row r="395" spans="2:22" ht="13.5" thickBot="1" x14ac:dyDescent="0.25">
      <c r="B395" s="364">
        <f t="shared" ref="B395:R395" si="376">SUM(B393:B394)</f>
        <v>4</v>
      </c>
      <c r="C395" s="364">
        <f t="shared" si="376"/>
        <v>0</v>
      </c>
      <c r="D395" s="364">
        <f t="shared" si="376"/>
        <v>4</v>
      </c>
      <c r="E395" s="364">
        <f t="shared" si="376"/>
        <v>3</v>
      </c>
      <c r="F395" s="364">
        <f t="shared" si="376"/>
        <v>0</v>
      </c>
      <c r="G395" s="364">
        <f t="shared" si="376"/>
        <v>3</v>
      </c>
      <c r="H395" s="364">
        <f t="shared" si="376"/>
        <v>0</v>
      </c>
      <c r="I395" s="364">
        <f t="shared" si="376"/>
        <v>0</v>
      </c>
      <c r="J395" s="364">
        <f t="shared" si="376"/>
        <v>0</v>
      </c>
      <c r="K395" s="364">
        <f t="shared" si="376"/>
        <v>1</v>
      </c>
      <c r="L395" s="364">
        <f t="shared" si="376"/>
        <v>0</v>
      </c>
      <c r="M395" s="364">
        <f t="shared" si="376"/>
        <v>1</v>
      </c>
      <c r="N395" s="364">
        <f t="shared" si="376"/>
        <v>0</v>
      </c>
      <c r="O395" s="364">
        <f t="shared" si="376"/>
        <v>0</v>
      </c>
      <c r="P395" s="364">
        <f t="shared" si="376"/>
        <v>0</v>
      </c>
      <c r="Q395" s="364">
        <f t="shared" si="376"/>
        <v>0</v>
      </c>
      <c r="R395" s="364">
        <f t="shared" si="376"/>
        <v>0</v>
      </c>
      <c r="S395" s="364">
        <f>SUM(S393:S394)</f>
        <v>0</v>
      </c>
      <c r="T395" s="353" t="s">
        <v>12</v>
      </c>
      <c r="U395" s="366"/>
      <c r="V395" s="141"/>
    </row>
    <row r="396" spans="2:22" ht="13.5" thickBot="1" x14ac:dyDescent="0.25">
      <c r="B396" s="364">
        <f t="shared" ref="B396:B397" si="377">SUM(C396:D396)</f>
        <v>3</v>
      </c>
      <c r="C396" s="364">
        <f t="shared" ref="C396:D397" si="378">R396+O396+L396+I396+F396</f>
        <v>3</v>
      </c>
      <c r="D396" s="364">
        <f t="shared" si="378"/>
        <v>0</v>
      </c>
      <c r="E396" s="364">
        <f t="shared" si="353"/>
        <v>0</v>
      </c>
      <c r="F396" s="364">
        <v>0</v>
      </c>
      <c r="G396" s="364">
        <v>0</v>
      </c>
      <c r="H396" s="364">
        <f t="shared" si="354"/>
        <v>0</v>
      </c>
      <c r="I396" s="364">
        <v>0</v>
      </c>
      <c r="J396" s="364">
        <v>0</v>
      </c>
      <c r="K396" s="364">
        <f t="shared" si="355"/>
        <v>3</v>
      </c>
      <c r="L396" s="364">
        <v>3</v>
      </c>
      <c r="M396" s="364">
        <v>0</v>
      </c>
      <c r="N396" s="364">
        <f t="shared" si="356"/>
        <v>0</v>
      </c>
      <c r="O396" s="364">
        <v>0</v>
      </c>
      <c r="P396" s="364">
        <v>0</v>
      </c>
      <c r="Q396" s="364">
        <f t="shared" si="357"/>
        <v>0</v>
      </c>
      <c r="R396" s="364">
        <v>0</v>
      </c>
      <c r="S396" s="364">
        <v>0</v>
      </c>
      <c r="T396" s="353" t="s">
        <v>146</v>
      </c>
      <c r="U396" s="365"/>
      <c r="V396" s="141"/>
    </row>
    <row r="397" spans="2:22" ht="13.5" thickBot="1" x14ac:dyDescent="0.25">
      <c r="B397" s="364">
        <f t="shared" si="377"/>
        <v>0</v>
      </c>
      <c r="C397" s="364">
        <f t="shared" si="378"/>
        <v>0</v>
      </c>
      <c r="D397" s="364">
        <f t="shared" si="378"/>
        <v>0</v>
      </c>
      <c r="E397" s="364">
        <f t="shared" si="353"/>
        <v>0</v>
      </c>
      <c r="F397" s="364">
        <v>0</v>
      </c>
      <c r="G397" s="364">
        <v>0</v>
      </c>
      <c r="H397" s="364">
        <f t="shared" si="354"/>
        <v>0</v>
      </c>
      <c r="I397" s="364">
        <v>0</v>
      </c>
      <c r="J397" s="364">
        <v>0</v>
      </c>
      <c r="K397" s="364">
        <f t="shared" si="355"/>
        <v>0</v>
      </c>
      <c r="L397" s="364">
        <v>0</v>
      </c>
      <c r="M397" s="364">
        <v>0</v>
      </c>
      <c r="N397" s="364">
        <f t="shared" si="356"/>
        <v>0</v>
      </c>
      <c r="O397" s="364">
        <v>0</v>
      </c>
      <c r="P397" s="364">
        <v>0</v>
      </c>
      <c r="Q397" s="364">
        <f t="shared" si="357"/>
        <v>0</v>
      </c>
      <c r="R397" s="364">
        <v>0</v>
      </c>
      <c r="S397" s="364">
        <v>0</v>
      </c>
      <c r="T397" s="353" t="s">
        <v>145</v>
      </c>
      <c r="U397" s="365" t="s">
        <v>364</v>
      </c>
      <c r="V397" s="141"/>
    </row>
    <row r="398" spans="2:22" ht="13.5" thickBot="1" x14ac:dyDescent="0.25">
      <c r="B398" s="364">
        <f t="shared" ref="B398:R398" si="379">SUM(B396:B397)</f>
        <v>3</v>
      </c>
      <c r="C398" s="364">
        <f t="shared" si="379"/>
        <v>3</v>
      </c>
      <c r="D398" s="364">
        <f t="shared" si="379"/>
        <v>0</v>
      </c>
      <c r="E398" s="364">
        <f t="shared" si="379"/>
        <v>0</v>
      </c>
      <c r="F398" s="364">
        <f t="shared" si="379"/>
        <v>0</v>
      </c>
      <c r="G398" s="364">
        <f t="shared" si="379"/>
        <v>0</v>
      </c>
      <c r="H398" s="364">
        <f t="shared" si="379"/>
        <v>0</v>
      </c>
      <c r="I398" s="364">
        <f t="shared" si="379"/>
        <v>0</v>
      </c>
      <c r="J398" s="364">
        <f t="shared" si="379"/>
        <v>0</v>
      </c>
      <c r="K398" s="364">
        <f t="shared" si="379"/>
        <v>3</v>
      </c>
      <c r="L398" s="364">
        <f t="shared" si="379"/>
        <v>3</v>
      </c>
      <c r="M398" s="364">
        <f t="shared" si="379"/>
        <v>0</v>
      </c>
      <c r="N398" s="364">
        <f t="shared" si="379"/>
        <v>0</v>
      </c>
      <c r="O398" s="364">
        <f t="shared" si="379"/>
        <v>0</v>
      </c>
      <c r="P398" s="364">
        <f t="shared" si="379"/>
        <v>0</v>
      </c>
      <c r="Q398" s="364">
        <f t="shared" si="379"/>
        <v>0</v>
      </c>
      <c r="R398" s="364">
        <f t="shared" si="379"/>
        <v>0</v>
      </c>
      <c r="S398" s="364">
        <f>SUM(S396:S397)</f>
        <v>0</v>
      </c>
      <c r="T398" s="353" t="s">
        <v>12</v>
      </c>
      <c r="U398" s="366"/>
      <c r="V398" s="141"/>
    </row>
    <row r="399" spans="2:22" ht="13.5" thickBot="1" x14ac:dyDescent="0.25">
      <c r="B399" s="364">
        <f t="shared" ref="B399:B400" si="380">SUM(C399:D399)</f>
        <v>2</v>
      </c>
      <c r="C399" s="364">
        <f t="shared" ref="C399:D400" si="381">R399+O399+L399+I399+F399</f>
        <v>0</v>
      </c>
      <c r="D399" s="364">
        <f t="shared" si="381"/>
        <v>2</v>
      </c>
      <c r="E399" s="364">
        <f t="shared" si="353"/>
        <v>2</v>
      </c>
      <c r="F399" s="364">
        <v>0</v>
      </c>
      <c r="G399" s="364">
        <v>2</v>
      </c>
      <c r="H399" s="364">
        <f t="shared" si="354"/>
        <v>0</v>
      </c>
      <c r="I399" s="364">
        <v>0</v>
      </c>
      <c r="J399" s="364">
        <v>0</v>
      </c>
      <c r="K399" s="364">
        <f t="shared" si="355"/>
        <v>0</v>
      </c>
      <c r="L399" s="364">
        <v>0</v>
      </c>
      <c r="M399" s="364">
        <v>0</v>
      </c>
      <c r="N399" s="364">
        <f t="shared" si="356"/>
        <v>0</v>
      </c>
      <c r="O399" s="364">
        <v>0</v>
      </c>
      <c r="P399" s="364">
        <v>0</v>
      </c>
      <c r="Q399" s="364">
        <f t="shared" si="357"/>
        <v>0</v>
      </c>
      <c r="R399" s="364">
        <v>0</v>
      </c>
      <c r="S399" s="364">
        <v>0</v>
      </c>
      <c r="T399" s="353" t="s">
        <v>146</v>
      </c>
      <c r="U399" s="365"/>
      <c r="V399" s="141"/>
    </row>
    <row r="400" spans="2:22" ht="13.5" thickBot="1" x14ac:dyDescent="0.25">
      <c r="B400" s="364">
        <f t="shared" si="380"/>
        <v>1</v>
      </c>
      <c r="C400" s="364">
        <f t="shared" si="381"/>
        <v>0</v>
      </c>
      <c r="D400" s="364">
        <f t="shared" si="381"/>
        <v>1</v>
      </c>
      <c r="E400" s="364">
        <f t="shared" si="353"/>
        <v>0</v>
      </c>
      <c r="F400" s="364">
        <v>0</v>
      </c>
      <c r="G400" s="364">
        <v>0</v>
      </c>
      <c r="H400" s="364">
        <f t="shared" si="354"/>
        <v>0</v>
      </c>
      <c r="I400" s="364">
        <v>0</v>
      </c>
      <c r="J400" s="364">
        <v>0</v>
      </c>
      <c r="K400" s="364">
        <f t="shared" si="355"/>
        <v>1</v>
      </c>
      <c r="L400" s="364">
        <v>0</v>
      </c>
      <c r="M400" s="364">
        <v>1</v>
      </c>
      <c r="N400" s="364">
        <f t="shared" si="356"/>
        <v>0</v>
      </c>
      <c r="O400" s="364">
        <v>0</v>
      </c>
      <c r="P400" s="364">
        <v>0</v>
      </c>
      <c r="Q400" s="364">
        <f t="shared" si="357"/>
        <v>0</v>
      </c>
      <c r="R400" s="364">
        <v>0</v>
      </c>
      <c r="S400" s="364">
        <v>0</v>
      </c>
      <c r="T400" s="353" t="s">
        <v>145</v>
      </c>
      <c r="U400" s="365" t="s">
        <v>94</v>
      </c>
      <c r="V400" s="141"/>
    </row>
    <row r="401" spans="2:22" ht="13.5" thickBot="1" x14ac:dyDescent="0.25">
      <c r="B401" s="364">
        <f t="shared" ref="B401:R401" si="382">SUM(B399:B400)</f>
        <v>3</v>
      </c>
      <c r="C401" s="364">
        <f t="shared" si="382"/>
        <v>0</v>
      </c>
      <c r="D401" s="364">
        <f t="shared" si="382"/>
        <v>3</v>
      </c>
      <c r="E401" s="364">
        <f t="shared" si="382"/>
        <v>2</v>
      </c>
      <c r="F401" s="364">
        <f t="shared" si="382"/>
        <v>0</v>
      </c>
      <c r="G401" s="364">
        <f t="shared" si="382"/>
        <v>2</v>
      </c>
      <c r="H401" s="364">
        <f t="shared" si="382"/>
        <v>0</v>
      </c>
      <c r="I401" s="364">
        <f t="shared" si="382"/>
        <v>0</v>
      </c>
      <c r="J401" s="364">
        <f t="shared" si="382"/>
        <v>0</v>
      </c>
      <c r="K401" s="364">
        <f t="shared" si="382"/>
        <v>1</v>
      </c>
      <c r="L401" s="364">
        <f t="shared" si="382"/>
        <v>0</v>
      </c>
      <c r="M401" s="364">
        <f t="shared" si="382"/>
        <v>1</v>
      </c>
      <c r="N401" s="364">
        <f t="shared" si="382"/>
        <v>0</v>
      </c>
      <c r="O401" s="364">
        <f t="shared" si="382"/>
        <v>0</v>
      </c>
      <c r="P401" s="364">
        <f t="shared" si="382"/>
        <v>0</v>
      </c>
      <c r="Q401" s="364">
        <f t="shared" si="382"/>
        <v>0</v>
      </c>
      <c r="R401" s="364">
        <f t="shared" si="382"/>
        <v>0</v>
      </c>
      <c r="S401" s="364">
        <f>SUM(S399:S400)</f>
        <v>0</v>
      </c>
      <c r="T401" s="353" t="s">
        <v>12</v>
      </c>
      <c r="U401" s="366"/>
      <c r="V401" s="141"/>
    </row>
    <row r="402" spans="2:22" ht="13.5" thickBot="1" x14ac:dyDescent="0.25">
      <c r="B402" s="364">
        <f t="shared" ref="B402:B403" si="383">SUM(C402:D402)</f>
        <v>0</v>
      </c>
      <c r="C402" s="364">
        <f t="shared" ref="C402:D403" si="384">R402+O402+L402+I402+F402</f>
        <v>0</v>
      </c>
      <c r="D402" s="364">
        <f t="shared" si="384"/>
        <v>0</v>
      </c>
      <c r="E402" s="364">
        <f t="shared" si="353"/>
        <v>0</v>
      </c>
      <c r="F402" s="364">
        <v>0</v>
      </c>
      <c r="G402" s="364">
        <v>0</v>
      </c>
      <c r="H402" s="364">
        <f t="shared" si="354"/>
        <v>0</v>
      </c>
      <c r="I402" s="364">
        <v>0</v>
      </c>
      <c r="J402" s="364">
        <v>0</v>
      </c>
      <c r="K402" s="364">
        <f t="shared" si="355"/>
        <v>0</v>
      </c>
      <c r="L402" s="364">
        <v>0</v>
      </c>
      <c r="M402" s="364">
        <v>0</v>
      </c>
      <c r="N402" s="364">
        <f t="shared" si="356"/>
        <v>0</v>
      </c>
      <c r="O402" s="364">
        <v>0</v>
      </c>
      <c r="P402" s="364">
        <v>0</v>
      </c>
      <c r="Q402" s="364">
        <f t="shared" si="357"/>
        <v>0</v>
      </c>
      <c r="R402" s="364">
        <v>0</v>
      </c>
      <c r="S402" s="364">
        <v>0</v>
      </c>
      <c r="T402" s="353" t="s">
        <v>146</v>
      </c>
      <c r="U402" s="365"/>
      <c r="V402" s="141"/>
    </row>
    <row r="403" spans="2:22" ht="13.5" thickBot="1" x14ac:dyDescent="0.25">
      <c r="B403" s="364">
        <f t="shared" si="383"/>
        <v>0</v>
      </c>
      <c r="C403" s="364">
        <f t="shared" si="384"/>
        <v>0</v>
      </c>
      <c r="D403" s="364">
        <f t="shared" si="384"/>
        <v>0</v>
      </c>
      <c r="E403" s="364">
        <f t="shared" si="353"/>
        <v>0</v>
      </c>
      <c r="F403" s="364">
        <v>0</v>
      </c>
      <c r="G403" s="364">
        <v>0</v>
      </c>
      <c r="H403" s="364">
        <f t="shared" si="354"/>
        <v>0</v>
      </c>
      <c r="I403" s="364">
        <v>0</v>
      </c>
      <c r="J403" s="364">
        <v>0</v>
      </c>
      <c r="K403" s="364">
        <f t="shared" si="355"/>
        <v>0</v>
      </c>
      <c r="L403" s="364">
        <v>0</v>
      </c>
      <c r="M403" s="364">
        <v>0</v>
      </c>
      <c r="N403" s="364">
        <f t="shared" si="356"/>
        <v>0</v>
      </c>
      <c r="O403" s="364">
        <v>0</v>
      </c>
      <c r="P403" s="364">
        <v>0</v>
      </c>
      <c r="Q403" s="364">
        <f t="shared" si="357"/>
        <v>0</v>
      </c>
      <c r="R403" s="364">
        <v>0</v>
      </c>
      <c r="S403" s="364">
        <v>0</v>
      </c>
      <c r="T403" s="353" t="s">
        <v>145</v>
      </c>
      <c r="U403" s="365" t="s">
        <v>344</v>
      </c>
      <c r="V403" s="141"/>
    </row>
    <row r="404" spans="2:22" ht="13.5" thickBot="1" x14ac:dyDescent="0.25">
      <c r="B404" s="364">
        <f t="shared" ref="B404:R404" si="385">SUM(B402:B403)</f>
        <v>0</v>
      </c>
      <c r="C404" s="364">
        <f t="shared" si="385"/>
        <v>0</v>
      </c>
      <c r="D404" s="364">
        <f t="shared" si="385"/>
        <v>0</v>
      </c>
      <c r="E404" s="364">
        <f t="shared" si="385"/>
        <v>0</v>
      </c>
      <c r="F404" s="364">
        <f t="shared" si="385"/>
        <v>0</v>
      </c>
      <c r="G404" s="364">
        <f t="shared" si="385"/>
        <v>0</v>
      </c>
      <c r="H404" s="364">
        <f t="shared" si="385"/>
        <v>0</v>
      </c>
      <c r="I404" s="364">
        <f t="shared" si="385"/>
        <v>0</v>
      </c>
      <c r="J404" s="364">
        <f t="shared" si="385"/>
        <v>0</v>
      </c>
      <c r="K404" s="364">
        <f t="shared" si="385"/>
        <v>0</v>
      </c>
      <c r="L404" s="364">
        <f t="shared" si="385"/>
        <v>0</v>
      </c>
      <c r="M404" s="364">
        <f t="shared" si="385"/>
        <v>0</v>
      </c>
      <c r="N404" s="364">
        <f t="shared" si="385"/>
        <v>0</v>
      </c>
      <c r="O404" s="364">
        <f t="shared" si="385"/>
        <v>0</v>
      </c>
      <c r="P404" s="364">
        <f t="shared" si="385"/>
        <v>0</v>
      </c>
      <c r="Q404" s="364">
        <f t="shared" si="385"/>
        <v>0</v>
      </c>
      <c r="R404" s="364">
        <f t="shared" si="385"/>
        <v>0</v>
      </c>
      <c r="S404" s="364">
        <f>SUM(S402:S403)</f>
        <v>0</v>
      </c>
      <c r="T404" s="353" t="s">
        <v>12</v>
      </c>
      <c r="U404" s="366"/>
      <c r="V404" s="141"/>
    </row>
    <row r="405" spans="2:22" ht="13.5" thickBot="1" x14ac:dyDescent="0.25">
      <c r="B405" s="364">
        <f t="shared" ref="B405:B406" si="386">SUM(C405:D405)</f>
        <v>2</v>
      </c>
      <c r="C405" s="364">
        <f t="shared" ref="C405:D406" si="387">R405+O405+L405+I405+F405</f>
        <v>0</v>
      </c>
      <c r="D405" s="364">
        <f t="shared" si="387"/>
        <v>2</v>
      </c>
      <c r="E405" s="364">
        <f t="shared" si="353"/>
        <v>2</v>
      </c>
      <c r="F405" s="364">
        <v>0</v>
      </c>
      <c r="G405" s="364">
        <v>2</v>
      </c>
      <c r="H405" s="364">
        <f t="shared" si="354"/>
        <v>0</v>
      </c>
      <c r="I405" s="364">
        <v>0</v>
      </c>
      <c r="J405" s="364">
        <v>0</v>
      </c>
      <c r="K405" s="364">
        <f t="shared" si="355"/>
        <v>0</v>
      </c>
      <c r="L405" s="364">
        <v>0</v>
      </c>
      <c r="M405" s="364">
        <v>0</v>
      </c>
      <c r="N405" s="364">
        <f t="shared" si="356"/>
        <v>0</v>
      </c>
      <c r="O405" s="364">
        <v>0</v>
      </c>
      <c r="P405" s="364">
        <v>0</v>
      </c>
      <c r="Q405" s="364">
        <f t="shared" si="357"/>
        <v>0</v>
      </c>
      <c r="R405" s="364">
        <v>0</v>
      </c>
      <c r="S405" s="364">
        <v>0</v>
      </c>
      <c r="T405" s="353" t="s">
        <v>146</v>
      </c>
      <c r="U405" s="365"/>
      <c r="V405" s="141"/>
    </row>
    <row r="406" spans="2:22" ht="13.5" thickBot="1" x14ac:dyDescent="0.25">
      <c r="B406" s="364">
        <f t="shared" si="386"/>
        <v>0</v>
      </c>
      <c r="C406" s="364">
        <f t="shared" si="387"/>
        <v>0</v>
      </c>
      <c r="D406" s="364">
        <f t="shared" si="387"/>
        <v>0</v>
      </c>
      <c r="E406" s="364">
        <f t="shared" si="353"/>
        <v>0</v>
      </c>
      <c r="F406" s="364">
        <v>0</v>
      </c>
      <c r="G406" s="364">
        <v>0</v>
      </c>
      <c r="H406" s="364">
        <f t="shared" si="354"/>
        <v>0</v>
      </c>
      <c r="I406" s="364">
        <v>0</v>
      </c>
      <c r="J406" s="364">
        <v>0</v>
      </c>
      <c r="K406" s="364">
        <f t="shared" si="355"/>
        <v>0</v>
      </c>
      <c r="L406" s="364">
        <v>0</v>
      </c>
      <c r="M406" s="364">
        <v>0</v>
      </c>
      <c r="N406" s="364">
        <f t="shared" si="356"/>
        <v>0</v>
      </c>
      <c r="O406" s="364">
        <v>0</v>
      </c>
      <c r="P406" s="364">
        <v>0</v>
      </c>
      <c r="Q406" s="364">
        <f t="shared" si="357"/>
        <v>0</v>
      </c>
      <c r="R406" s="364">
        <v>0</v>
      </c>
      <c r="S406" s="364">
        <v>0</v>
      </c>
      <c r="T406" s="353" t="s">
        <v>145</v>
      </c>
      <c r="U406" s="365" t="s">
        <v>95</v>
      </c>
      <c r="V406" s="141"/>
    </row>
    <row r="407" spans="2:22" ht="13.5" thickBot="1" x14ac:dyDescent="0.25">
      <c r="B407" s="364">
        <f t="shared" ref="B407:R407" si="388">SUM(B405:B406)</f>
        <v>2</v>
      </c>
      <c r="C407" s="364">
        <f t="shared" si="388"/>
        <v>0</v>
      </c>
      <c r="D407" s="364">
        <f t="shared" si="388"/>
        <v>2</v>
      </c>
      <c r="E407" s="364">
        <f t="shared" si="388"/>
        <v>2</v>
      </c>
      <c r="F407" s="364">
        <f t="shared" si="388"/>
        <v>0</v>
      </c>
      <c r="G407" s="364">
        <f t="shared" si="388"/>
        <v>2</v>
      </c>
      <c r="H407" s="364">
        <f t="shared" si="388"/>
        <v>0</v>
      </c>
      <c r="I407" s="364">
        <f t="shared" si="388"/>
        <v>0</v>
      </c>
      <c r="J407" s="364">
        <f t="shared" si="388"/>
        <v>0</v>
      </c>
      <c r="K407" s="364">
        <f t="shared" si="388"/>
        <v>0</v>
      </c>
      <c r="L407" s="364">
        <f t="shared" si="388"/>
        <v>0</v>
      </c>
      <c r="M407" s="364">
        <f t="shared" si="388"/>
        <v>0</v>
      </c>
      <c r="N407" s="364">
        <f t="shared" si="388"/>
        <v>0</v>
      </c>
      <c r="O407" s="364">
        <f t="shared" si="388"/>
        <v>0</v>
      </c>
      <c r="P407" s="364">
        <f t="shared" si="388"/>
        <v>0</v>
      </c>
      <c r="Q407" s="364">
        <f t="shared" si="388"/>
        <v>0</v>
      </c>
      <c r="R407" s="364">
        <f t="shared" si="388"/>
        <v>0</v>
      </c>
      <c r="S407" s="364">
        <f>SUM(S405:S406)</f>
        <v>0</v>
      </c>
      <c r="T407" s="353" t="s">
        <v>12</v>
      </c>
      <c r="U407" s="366"/>
      <c r="V407" s="141"/>
    </row>
    <row r="408" spans="2:22" ht="13.5" thickBot="1" x14ac:dyDescent="0.25">
      <c r="B408" s="364">
        <f t="shared" ref="B408:B409" si="389">SUM(C408:D408)</f>
        <v>3</v>
      </c>
      <c r="C408" s="364">
        <f t="shared" ref="C408:D409" si="390">R408+O408+L408+I408+F408</f>
        <v>0</v>
      </c>
      <c r="D408" s="364">
        <f t="shared" si="390"/>
        <v>3</v>
      </c>
      <c r="E408" s="364">
        <f t="shared" si="353"/>
        <v>0</v>
      </c>
      <c r="F408" s="364">
        <v>0</v>
      </c>
      <c r="G408" s="364">
        <v>0</v>
      </c>
      <c r="H408" s="364">
        <f t="shared" si="354"/>
        <v>0</v>
      </c>
      <c r="I408" s="364">
        <v>0</v>
      </c>
      <c r="J408" s="364">
        <v>0</v>
      </c>
      <c r="K408" s="364">
        <f t="shared" si="355"/>
        <v>2</v>
      </c>
      <c r="L408" s="364">
        <v>0</v>
      </c>
      <c r="M408" s="364">
        <v>2</v>
      </c>
      <c r="N408" s="364">
        <f t="shared" si="356"/>
        <v>1</v>
      </c>
      <c r="O408" s="364">
        <v>0</v>
      </c>
      <c r="P408" s="364">
        <v>1</v>
      </c>
      <c r="Q408" s="364">
        <f t="shared" si="357"/>
        <v>0</v>
      </c>
      <c r="R408" s="364">
        <v>0</v>
      </c>
      <c r="S408" s="364">
        <v>0</v>
      </c>
      <c r="T408" s="353" t="s">
        <v>146</v>
      </c>
      <c r="U408" s="365"/>
      <c r="V408" s="141"/>
    </row>
    <row r="409" spans="2:22" ht="13.5" thickBot="1" x14ac:dyDescent="0.25">
      <c r="B409" s="364">
        <f t="shared" si="389"/>
        <v>8</v>
      </c>
      <c r="C409" s="364">
        <f t="shared" si="390"/>
        <v>0</v>
      </c>
      <c r="D409" s="364">
        <f t="shared" si="390"/>
        <v>8</v>
      </c>
      <c r="E409" s="364">
        <f t="shared" si="353"/>
        <v>0</v>
      </c>
      <c r="F409" s="364">
        <v>0</v>
      </c>
      <c r="G409" s="364">
        <v>0</v>
      </c>
      <c r="H409" s="364">
        <f t="shared" si="354"/>
        <v>0</v>
      </c>
      <c r="I409" s="364">
        <v>0</v>
      </c>
      <c r="J409" s="364">
        <v>0</v>
      </c>
      <c r="K409" s="364">
        <f t="shared" si="355"/>
        <v>3</v>
      </c>
      <c r="L409" s="364">
        <v>0</v>
      </c>
      <c r="M409" s="364">
        <v>3</v>
      </c>
      <c r="N409" s="364">
        <f t="shared" si="356"/>
        <v>2</v>
      </c>
      <c r="O409" s="364">
        <v>0</v>
      </c>
      <c r="P409" s="364">
        <v>2</v>
      </c>
      <c r="Q409" s="364">
        <f t="shared" si="357"/>
        <v>3</v>
      </c>
      <c r="R409" s="364">
        <v>0</v>
      </c>
      <c r="S409" s="364">
        <v>3</v>
      </c>
      <c r="T409" s="353" t="s">
        <v>145</v>
      </c>
      <c r="U409" s="371" t="s">
        <v>270</v>
      </c>
      <c r="V409" s="141"/>
    </row>
    <row r="410" spans="2:22" ht="13.5" thickBot="1" x14ac:dyDescent="0.25">
      <c r="B410" s="364">
        <f t="shared" ref="B410:R410" si="391">SUM(B408:B409)</f>
        <v>11</v>
      </c>
      <c r="C410" s="364">
        <f t="shared" si="391"/>
        <v>0</v>
      </c>
      <c r="D410" s="364">
        <f t="shared" si="391"/>
        <v>11</v>
      </c>
      <c r="E410" s="364">
        <f t="shared" si="391"/>
        <v>0</v>
      </c>
      <c r="F410" s="364">
        <f t="shared" si="391"/>
        <v>0</v>
      </c>
      <c r="G410" s="364">
        <f t="shared" si="391"/>
        <v>0</v>
      </c>
      <c r="H410" s="364">
        <f t="shared" si="391"/>
        <v>0</v>
      </c>
      <c r="I410" s="364">
        <f t="shared" si="391"/>
        <v>0</v>
      </c>
      <c r="J410" s="364">
        <f t="shared" si="391"/>
        <v>0</v>
      </c>
      <c r="K410" s="364">
        <f t="shared" si="391"/>
        <v>5</v>
      </c>
      <c r="L410" s="364">
        <f t="shared" si="391"/>
        <v>0</v>
      </c>
      <c r="M410" s="364">
        <f t="shared" si="391"/>
        <v>5</v>
      </c>
      <c r="N410" s="364">
        <f t="shared" si="391"/>
        <v>3</v>
      </c>
      <c r="O410" s="364">
        <f t="shared" si="391"/>
        <v>0</v>
      </c>
      <c r="P410" s="364">
        <f t="shared" si="391"/>
        <v>3</v>
      </c>
      <c r="Q410" s="364">
        <f t="shared" si="391"/>
        <v>3</v>
      </c>
      <c r="R410" s="364">
        <f t="shared" si="391"/>
        <v>0</v>
      </c>
      <c r="S410" s="364">
        <f>SUM(S408:S409)</f>
        <v>3</v>
      </c>
      <c r="T410" s="353" t="s">
        <v>12</v>
      </c>
      <c r="U410" s="366"/>
      <c r="V410" s="141"/>
    </row>
    <row r="411" spans="2:22" ht="13.5" thickBot="1" x14ac:dyDescent="0.25">
      <c r="B411" s="364">
        <f t="shared" ref="B411:B412" si="392">SUM(C411:D411)</f>
        <v>6</v>
      </c>
      <c r="C411" s="364">
        <f t="shared" ref="C411:D412" si="393">R411+O411+L411+I411+F411</f>
        <v>0</v>
      </c>
      <c r="D411" s="364">
        <f t="shared" si="393"/>
        <v>6</v>
      </c>
      <c r="E411" s="364">
        <f t="shared" si="353"/>
        <v>6</v>
      </c>
      <c r="F411" s="364">
        <v>0</v>
      </c>
      <c r="G411" s="364">
        <v>6</v>
      </c>
      <c r="H411" s="364">
        <f t="shared" si="354"/>
        <v>0</v>
      </c>
      <c r="I411" s="364">
        <v>0</v>
      </c>
      <c r="J411" s="364">
        <v>0</v>
      </c>
      <c r="K411" s="364">
        <f t="shared" si="355"/>
        <v>0</v>
      </c>
      <c r="L411" s="364">
        <v>0</v>
      </c>
      <c r="M411" s="364">
        <v>0</v>
      </c>
      <c r="N411" s="364">
        <f t="shared" si="356"/>
        <v>0</v>
      </c>
      <c r="O411" s="364">
        <v>0</v>
      </c>
      <c r="P411" s="364">
        <v>0</v>
      </c>
      <c r="Q411" s="364">
        <f t="shared" si="357"/>
        <v>0</v>
      </c>
      <c r="R411" s="364">
        <v>0</v>
      </c>
      <c r="S411" s="364">
        <v>0</v>
      </c>
      <c r="T411" s="353" t="s">
        <v>146</v>
      </c>
      <c r="U411" s="365"/>
      <c r="V411" s="141"/>
    </row>
    <row r="412" spans="2:22" ht="13.5" thickBot="1" x14ac:dyDescent="0.25">
      <c r="B412" s="364">
        <f t="shared" si="392"/>
        <v>0</v>
      </c>
      <c r="C412" s="364">
        <f t="shared" si="393"/>
        <v>0</v>
      </c>
      <c r="D412" s="364">
        <f t="shared" si="393"/>
        <v>0</v>
      </c>
      <c r="E412" s="364">
        <f t="shared" si="353"/>
        <v>0</v>
      </c>
      <c r="F412" s="364">
        <v>0</v>
      </c>
      <c r="G412" s="364">
        <v>0</v>
      </c>
      <c r="H412" s="364">
        <f t="shared" si="354"/>
        <v>0</v>
      </c>
      <c r="I412" s="364">
        <v>0</v>
      </c>
      <c r="J412" s="364">
        <v>0</v>
      </c>
      <c r="K412" s="364">
        <f t="shared" si="355"/>
        <v>0</v>
      </c>
      <c r="L412" s="364">
        <v>0</v>
      </c>
      <c r="M412" s="364">
        <v>0</v>
      </c>
      <c r="N412" s="364">
        <f t="shared" si="356"/>
        <v>0</v>
      </c>
      <c r="O412" s="364">
        <v>0</v>
      </c>
      <c r="P412" s="364">
        <v>0</v>
      </c>
      <c r="Q412" s="364">
        <f t="shared" si="357"/>
        <v>0</v>
      </c>
      <c r="R412" s="364">
        <v>0</v>
      </c>
      <c r="S412" s="364">
        <v>0</v>
      </c>
      <c r="T412" s="353" t="s">
        <v>145</v>
      </c>
      <c r="U412" s="371" t="s">
        <v>466</v>
      </c>
      <c r="V412" s="141"/>
    </row>
    <row r="413" spans="2:22" ht="13.5" thickBot="1" x14ac:dyDescent="0.25">
      <c r="B413" s="364">
        <f t="shared" ref="B413:R413" si="394">SUM(B411:B412)</f>
        <v>6</v>
      </c>
      <c r="C413" s="364">
        <f t="shared" si="394"/>
        <v>0</v>
      </c>
      <c r="D413" s="364">
        <f t="shared" si="394"/>
        <v>6</v>
      </c>
      <c r="E413" s="364">
        <f t="shared" si="394"/>
        <v>6</v>
      </c>
      <c r="F413" s="364">
        <f t="shared" si="394"/>
        <v>0</v>
      </c>
      <c r="G413" s="364">
        <f t="shared" si="394"/>
        <v>6</v>
      </c>
      <c r="H413" s="364">
        <f t="shared" si="394"/>
        <v>0</v>
      </c>
      <c r="I413" s="364">
        <f t="shared" si="394"/>
        <v>0</v>
      </c>
      <c r="J413" s="364">
        <f t="shared" si="394"/>
        <v>0</v>
      </c>
      <c r="K413" s="364">
        <f t="shared" si="394"/>
        <v>0</v>
      </c>
      <c r="L413" s="364">
        <f t="shared" si="394"/>
        <v>0</v>
      </c>
      <c r="M413" s="364">
        <f t="shared" si="394"/>
        <v>0</v>
      </c>
      <c r="N413" s="364">
        <f t="shared" si="394"/>
        <v>0</v>
      </c>
      <c r="O413" s="364">
        <f t="shared" si="394"/>
        <v>0</v>
      </c>
      <c r="P413" s="364">
        <f t="shared" si="394"/>
        <v>0</v>
      </c>
      <c r="Q413" s="364">
        <f t="shared" si="394"/>
        <v>0</v>
      </c>
      <c r="R413" s="364">
        <f t="shared" si="394"/>
        <v>0</v>
      </c>
      <c r="S413" s="364">
        <f>SUM(S411:S412)</f>
        <v>0</v>
      </c>
      <c r="T413" s="353" t="s">
        <v>12</v>
      </c>
      <c r="U413" s="366"/>
      <c r="V413" s="141"/>
    </row>
    <row r="414" spans="2:22" ht="13.5" thickBot="1" x14ac:dyDescent="0.25">
      <c r="B414" s="364">
        <f t="shared" ref="B414:B415" si="395">SUM(C414:D414)</f>
        <v>1</v>
      </c>
      <c r="C414" s="364">
        <f t="shared" ref="C414:D415" si="396">R414+O414+L414+I414+F414</f>
        <v>0</v>
      </c>
      <c r="D414" s="364">
        <f t="shared" si="396"/>
        <v>1</v>
      </c>
      <c r="E414" s="364">
        <f t="shared" si="353"/>
        <v>1</v>
      </c>
      <c r="F414" s="364">
        <v>0</v>
      </c>
      <c r="G414" s="364">
        <v>1</v>
      </c>
      <c r="H414" s="364">
        <f t="shared" si="354"/>
        <v>0</v>
      </c>
      <c r="I414" s="364">
        <v>0</v>
      </c>
      <c r="J414" s="364">
        <v>0</v>
      </c>
      <c r="K414" s="364">
        <f t="shared" si="355"/>
        <v>0</v>
      </c>
      <c r="L414" s="364">
        <v>0</v>
      </c>
      <c r="M414" s="364">
        <v>0</v>
      </c>
      <c r="N414" s="364">
        <f t="shared" si="356"/>
        <v>0</v>
      </c>
      <c r="O414" s="364">
        <v>0</v>
      </c>
      <c r="P414" s="364">
        <v>0</v>
      </c>
      <c r="Q414" s="364">
        <f t="shared" si="357"/>
        <v>0</v>
      </c>
      <c r="R414" s="364">
        <v>0</v>
      </c>
      <c r="S414" s="364">
        <v>0</v>
      </c>
      <c r="T414" s="353" t="s">
        <v>146</v>
      </c>
      <c r="U414" s="365"/>
      <c r="V414" s="141"/>
    </row>
    <row r="415" spans="2:22" ht="13.5" thickBot="1" x14ac:dyDescent="0.25">
      <c r="B415" s="364">
        <f t="shared" si="395"/>
        <v>0</v>
      </c>
      <c r="C415" s="364">
        <f t="shared" si="396"/>
        <v>0</v>
      </c>
      <c r="D415" s="364">
        <f t="shared" si="396"/>
        <v>0</v>
      </c>
      <c r="E415" s="364">
        <f t="shared" si="353"/>
        <v>0</v>
      </c>
      <c r="F415" s="364">
        <v>0</v>
      </c>
      <c r="G415" s="364">
        <v>0</v>
      </c>
      <c r="H415" s="364">
        <f t="shared" si="354"/>
        <v>0</v>
      </c>
      <c r="I415" s="364">
        <v>0</v>
      </c>
      <c r="J415" s="364">
        <v>0</v>
      </c>
      <c r="K415" s="364">
        <f t="shared" si="355"/>
        <v>0</v>
      </c>
      <c r="L415" s="364">
        <v>0</v>
      </c>
      <c r="M415" s="364">
        <v>0</v>
      </c>
      <c r="N415" s="364">
        <f t="shared" si="356"/>
        <v>0</v>
      </c>
      <c r="O415" s="364">
        <v>0</v>
      </c>
      <c r="P415" s="364">
        <v>0</v>
      </c>
      <c r="Q415" s="364">
        <f t="shared" si="357"/>
        <v>0</v>
      </c>
      <c r="R415" s="364">
        <v>0</v>
      </c>
      <c r="S415" s="364">
        <v>0</v>
      </c>
      <c r="T415" s="353" t="s">
        <v>145</v>
      </c>
      <c r="U415" s="371" t="s">
        <v>97</v>
      </c>
      <c r="V415" s="141"/>
    </row>
    <row r="416" spans="2:22" ht="13.5" thickBot="1" x14ac:dyDescent="0.25">
      <c r="B416" s="364">
        <f t="shared" ref="B416:R416" si="397">SUM(B414:B415)</f>
        <v>1</v>
      </c>
      <c r="C416" s="364">
        <f t="shared" si="397"/>
        <v>0</v>
      </c>
      <c r="D416" s="364">
        <f t="shared" si="397"/>
        <v>1</v>
      </c>
      <c r="E416" s="364">
        <f t="shared" si="397"/>
        <v>1</v>
      </c>
      <c r="F416" s="364">
        <f t="shared" si="397"/>
        <v>0</v>
      </c>
      <c r="G416" s="364">
        <f t="shared" si="397"/>
        <v>1</v>
      </c>
      <c r="H416" s="364">
        <f t="shared" si="397"/>
        <v>0</v>
      </c>
      <c r="I416" s="364">
        <f t="shared" si="397"/>
        <v>0</v>
      </c>
      <c r="J416" s="364">
        <f t="shared" si="397"/>
        <v>0</v>
      </c>
      <c r="K416" s="364">
        <f t="shared" si="397"/>
        <v>0</v>
      </c>
      <c r="L416" s="364">
        <f t="shared" si="397"/>
        <v>0</v>
      </c>
      <c r="M416" s="364">
        <f t="shared" si="397"/>
        <v>0</v>
      </c>
      <c r="N416" s="364">
        <f t="shared" si="397"/>
        <v>0</v>
      </c>
      <c r="O416" s="364">
        <f t="shared" si="397"/>
        <v>0</v>
      </c>
      <c r="P416" s="364">
        <f t="shared" si="397"/>
        <v>0</v>
      </c>
      <c r="Q416" s="364">
        <f t="shared" si="397"/>
        <v>0</v>
      </c>
      <c r="R416" s="364">
        <f t="shared" si="397"/>
        <v>0</v>
      </c>
      <c r="S416" s="364">
        <f>SUM(S414:S415)</f>
        <v>0</v>
      </c>
      <c r="T416" s="353" t="s">
        <v>12</v>
      </c>
      <c r="U416" s="366"/>
      <c r="V416" s="141"/>
    </row>
    <row r="417" spans="2:22" ht="13.5" thickBot="1" x14ac:dyDescent="0.25">
      <c r="B417" s="364">
        <f t="shared" ref="B417:B418" si="398">SUM(C417:D417)</f>
        <v>860</v>
      </c>
      <c r="C417" s="364">
        <f t="shared" ref="C417:D418" si="399">R417+O417+L417+I417+F417</f>
        <v>231</v>
      </c>
      <c r="D417" s="364">
        <f t="shared" si="399"/>
        <v>629</v>
      </c>
      <c r="E417" s="364">
        <f t="shared" si="353"/>
        <v>191</v>
      </c>
      <c r="F417" s="364">
        <v>79</v>
      </c>
      <c r="G417" s="364">
        <v>112</v>
      </c>
      <c r="H417" s="364">
        <f t="shared" si="354"/>
        <v>85</v>
      </c>
      <c r="I417" s="364">
        <v>40</v>
      </c>
      <c r="J417" s="364">
        <v>45</v>
      </c>
      <c r="K417" s="364">
        <f t="shared" si="355"/>
        <v>41</v>
      </c>
      <c r="L417" s="364">
        <v>11</v>
      </c>
      <c r="M417" s="364">
        <v>30</v>
      </c>
      <c r="N417" s="364">
        <f t="shared" si="356"/>
        <v>289</v>
      </c>
      <c r="O417" s="364">
        <v>101</v>
      </c>
      <c r="P417" s="364">
        <v>188</v>
      </c>
      <c r="Q417" s="364">
        <f t="shared" si="357"/>
        <v>254</v>
      </c>
      <c r="R417" s="364">
        <v>0</v>
      </c>
      <c r="S417" s="364">
        <v>254</v>
      </c>
      <c r="T417" s="353" t="s">
        <v>146</v>
      </c>
      <c r="U417" s="365"/>
      <c r="V417" s="141"/>
    </row>
    <row r="418" spans="2:22" ht="13.5" thickBot="1" x14ac:dyDescent="0.25">
      <c r="B418" s="364">
        <f t="shared" si="398"/>
        <v>0</v>
      </c>
      <c r="C418" s="364">
        <f t="shared" si="399"/>
        <v>0</v>
      </c>
      <c r="D418" s="364">
        <f t="shared" si="399"/>
        <v>0</v>
      </c>
      <c r="E418" s="364">
        <f t="shared" si="353"/>
        <v>0</v>
      </c>
      <c r="F418" s="364">
        <v>0</v>
      </c>
      <c r="G418" s="364">
        <v>0</v>
      </c>
      <c r="H418" s="364">
        <f t="shared" si="354"/>
        <v>0</v>
      </c>
      <c r="I418" s="364">
        <v>0</v>
      </c>
      <c r="J418" s="364">
        <v>0</v>
      </c>
      <c r="K418" s="364">
        <f t="shared" si="355"/>
        <v>0</v>
      </c>
      <c r="L418" s="364">
        <v>0</v>
      </c>
      <c r="M418" s="364">
        <v>0</v>
      </c>
      <c r="N418" s="364">
        <f t="shared" si="356"/>
        <v>0</v>
      </c>
      <c r="O418" s="364">
        <v>0</v>
      </c>
      <c r="P418" s="364">
        <v>0</v>
      </c>
      <c r="Q418" s="364">
        <f t="shared" si="357"/>
        <v>0</v>
      </c>
      <c r="R418" s="364">
        <v>0</v>
      </c>
      <c r="S418" s="364">
        <v>0</v>
      </c>
      <c r="T418" s="353" t="s">
        <v>145</v>
      </c>
      <c r="U418" s="365" t="s">
        <v>756</v>
      </c>
      <c r="V418" s="141"/>
    </row>
    <row r="419" spans="2:22" ht="13.5" thickBot="1" x14ac:dyDescent="0.25">
      <c r="B419" s="364">
        <f t="shared" ref="B419:R419" si="400">SUM(B417:B418)</f>
        <v>860</v>
      </c>
      <c r="C419" s="364">
        <f t="shared" si="400"/>
        <v>231</v>
      </c>
      <c r="D419" s="364">
        <f t="shared" si="400"/>
        <v>629</v>
      </c>
      <c r="E419" s="364">
        <f t="shared" si="400"/>
        <v>191</v>
      </c>
      <c r="F419" s="364">
        <f t="shared" si="400"/>
        <v>79</v>
      </c>
      <c r="G419" s="364">
        <f t="shared" si="400"/>
        <v>112</v>
      </c>
      <c r="H419" s="364">
        <f t="shared" si="400"/>
        <v>85</v>
      </c>
      <c r="I419" s="364">
        <f t="shared" si="400"/>
        <v>40</v>
      </c>
      <c r="J419" s="364">
        <f t="shared" si="400"/>
        <v>45</v>
      </c>
      <c r="K419" s="364">
        <f t="shared" si="400"/>
        <v>41</v>
      </c>
      <c r="L419" s="364">
        <f t="shared" si="400"/>
        <v>11</v>
      </c>
      <c r="M419" s="364">
        <f t="shared" si="400"/>
        <v>30</v>
      </c>
      <c r="N419" s="364">
        <f t="shared" si="400"/>
        <v>289</v>
      </c>
      <c r="O419" s="364">
        <f t="shared" si="400"/>
        <v>101</v>
      </c>
      <c r="P419" s="364">
        <f t="shared" si="400"/>
        <v>188</v>
      </c>
      <c r="Q419" s="364">
        <f t="shared" si="400"/>
        <v>254</v>
      </c>
      <c r="R419" s="364">
        <f t="shared" si="400"/>
        <v>0</v>
      </c>
      <c r="S419" s="364">
        <f>SUM(S417:S418)</f>
        <v>254</v>
      </c>
      <c r="T419" s="353" t="s">
        <v>12</v>
      </c>
      <c r="U419" s="366"/>
      <c r="V419" s="141"/>
    </row>
    <row r="420" spans="2:22" ht="13.5" thickBot="1" x14ac:dyDescent="0.25">
      <c r="B420" s="364">
        <f t="shared" ref="B420:R422" si="401">B375+B378+B381+B384+B387+B390+B393+B396+B399+B402+B405+B408+B411+B414+B417</f>
        <v>903</v>
      </c>
      <c r="C420" s="364">
        <f t="shared" si="401"/>
        <v>234</v>
      </c>
      <c r="D420" s="364">
        <f t="shared" si="401"/>
        <v>669</v>
      </c>
      <c r="E420" s="364">
        <f t="shared" si="401"/>
        <v>219</v>
      </c>
      <c r="F420" s="364">
        <f t="shared" si="401"/>
        <v>79</v>
      </c>
      <c r="G420" s="364">
        <f t="shared" si="401"/>
        <v>140</v>
      </c>
      <c r="H420" s="364">
        <f t="shared" si="401"/>
        <v>91</v>
      </c>
      <c r="I420" s="364">
        <f t="shared" si="401"/>
        <v>40</v>
      </c>
      <c r="J420" s="364">
        <f t="shared" si="401"/>
        <v>51</v>
      </c>
      <c r="K420" s="364">
        <f t="shared" si="401"/>
        <v>48</v>
      </c>
      <c r="L420" s="364">
        <f t="shared" si="401"/>
        <v>14</v>
      </c>
      <c r="M420" s="364">
        <f t="shared" si="401"/>
        <v>34</v>
      </c>
      <c r="N420" s="364">
        <f t="shared" si="401"/>
        <v>290</v>
      </c>
      <c r="O420" s="364">
        <f t="shared" si="401"/>
        <v>101</v>
      </c>
      <c r="P420" s="364">
        <f t="shared" si="401"/>
        <v>189</v>
      </c>
      <c r="Q420" s="364">
        <f t="shared" si="401"/>
        <v>255</v>
      </c>
      <c r="R420" s="364">
        <f t="shared" si="401"/>
        <v>0</v>
      </c>
      <c r="S420" s="364">
        <f>S375+S378+S381+S384+S387+S390+S393+S396+S399+S402+S405+S408+S411+S414+S417</f>
        <v>255</v>
      </c>
      <c r="T420" s="353" t="s">
        <v>146</v>
      </c>
      <c r="U420" s="367"/>
      <c r="V420" s="141"/>
    </row>
    <row r="421" spans="2:22" ht="13.5" thickBot="1" x14ac:dyDescent="0.25">
      <c r="B421" s="364">
        <f t="shared" si="401"/>
        <v>12</v>
      </c>
      <c r="C421" s="364">
        <f t="shared" si="401"/>
        <v>0</v>
      </c>
      <c r="D421" s="364">
        <f t="shared" si="401"/>
        <v>12</v>
      </c>
      <c r="E421" s="364">
        <f t="shared" si="401"/>
        <v>0</v>
      </c>
      <c r="F421" s="364">
        <f t="shared" si="401"/>
        <v>0</v>
      </c>
      <c r="G421" s="364">
        <f t="shared" si="401"/>
        <v>0</v>
      </c>
      <c r="H421" s="364">
        <f t="shared" si="401"/>
        <v>2</v>
      </c>
      <c r="I421" s="364">
        <f t="shared" si="401"/>
        <v>0</v>
      </c>
      <c r="J421" s="364">
        <f t="shared" si="401"/>
        <v>2</v>
      </c>
      <c r="K421" s="364">
        <f t="shared" si="401"/>
        <v>5</v>
      </c>
      <c r="L421" s="364">
        <f t="shared" si="401"/>
        <v>0</v>
      </c>
      <c r="M421" s="364">
        <f t="shared" si="401"/>
        <v>5</v>
      </c>
      <c r="N421" s="364">
        <f t="shared" si="401"/>
        <v>2</v>
      </c>
      <c r="O421" s="364">
        <f t="shared" si="401"/>
        <v>0</v>
      </c>
      <c r="P421" s="364">
        <f t="shared" si="401"/>
        <v>2</v>
      </c>
      <c r="Q421" s="364">
        <f t="shared" si="401"/>
        <v>3</v>
      </c>
      <c r="R421" s="364">
        <f t="shared" si="401"/>
        <v>0</v>
      </c>
      <c r="S421" s="364">
        <f t="shared" ref="S421:S422" si="402">S376+S379+S382+S385+S388+S391+S394+S397+S400+S403+S406+S409+S412+S415+S418</f>
        <v>3</v>
      </c>
      <c r="T421" s="353" t="s">
        <v>145</v>
      </c>
      <c r="U421" s="368" t="s">
        <v>188</v>
      </c>
      <c r="V421" s="141"/>
    </row>
    <row r="422" spans="2:22" ht="13.5" thickBot="1" x14ac:dyDescent="0.25">
      <c r="B422" s="364">
        <f t="shared" si="401"/>
        <v>915</v>
      </c>
      <c r="C422" s="364">
        <f t="shared" si="401"/>
        <v>234</v>
      </c>
      <c r="D422" s="364">
        <f t="shared" si="401"/>
        <v>681</v>
      </c>
      <c r="E422" s="364">
        <f t="shared" si="401"/>
        <v>219</v>
      </c>
      <c r="F422" s="364">
        <f t="shared" si="401"/>
        <v>79</v>
      </c>
      <c r="G422" s="364">
        <f t="shared" si="401"/>
        <v>140</v>
      </c>
      <c r="H422" s="364">
        <f t="shared" si="401"/>
        <v>93</v>
      </c>
      <c r="I422" s="364">
        <f t="shared" si="401"/>
        <v>40</v>
      </c>
      <c r="J422" s="364">
        <f t="shared" si="401"/>
        <v>53</v>
      </c>
      <c r="K422" s="364">
        <f t="shared" si="401"/>
        <v>53</v>
      </c>
      <c r="L422" s="364">
        <f t="shared" si="401"/>
        <v>14</v>
      </c>
      <c r="M422" s="364">
        <f t="shared" si="401"/>
        <v>39</v>
      </c>
      <c r="N422" s="364">
        <f t="shared" si="401"/>
        <v>292</v>
      </c>
      <c r="O422" s="364">
        <f t="shared" si="401"/>
        <v>101</v>
      </c>
      <c r="P422" s="364">
        <f t="shared" si="401"/>
        <v>191</v>
      </c>
      <c r="Q422" s="364">
        <f t="shared" si="401"/>
        <v>258</v>
      </c>
      <c r="R422" s="364">
        <f t="shared" si="401"/>
        <v>0</v>
      </c>
      <c r="S422" s="364">
        <f t="shared" si="402"/>
        <v>258</v>
      </c>
      <c r="T422" s="353" t="s">
        <v>12</v>
      </c>
      <c r="U422" s="363"/>
      <c r="V422" s="141"/>
    </row>
    <row r="423" spans="2:22" ht="18" customHeight="1" thickBot="1" x14ac:dyDescent="0.25">
      <c r="B423" s="610"/>
      <c r="C423" s="610"/>
      <c r="D423" s="610"/>
      <c r="E423" s="610"/>
      <c r="F423" s="610"/>
      <c r="G423" s="610"/>
      <c r="H423" s="610"/>
      <c r="I423" s="610"/>
      <c r="J423" s="610"/>
      <c r="K423" s="610"/>
      <c r="L423" s="610"/>
      <c r="M423" s="610"/>
      <c r="N423" s="610"/>
      <c r="O423" s="610"/>
      <c r="P423" s="610"/>
      <c r="Q423" s="610"/>
      <c r="R423" s="610"/>
      <c r="S423" s="610"/>
      <c r="T423" s="610"/>
      <c r="U423" s="610"/>
      <c r="V423" s="141"/>
    </row>
    <row r="424" spans="2:22" ht="13.5" customHeight="1" thickBot="1" x14ac:dyDescent="0.25">
      <c r="B424" s="607" t="s">
        <v>4</v>
      </c>
      <c r="C424" s="607"/>
      <c r="D424" s="607"/>
      <c r="E424" s="607" t="s">
        <v>53</v>
      </c>
      <c r="F424" s="607"/>
      <c r="G424" s="607"/>
      <c r="H424" s="607" t="s">
        <v>61</v>
      </c>
      <c r="I424" s="607"/>
      <c r="J424" s="607"/>
      <c r="K424" s="607" t="s">
        <v>60</v>
      </c>
      <c r="L424" s="607"/>
      <c r="M424" s="607"/>
      <c r="N424" s="607" t="s">
        <v>57</v>
      </c>
      <c r="O424" s="607"/>
      <c r="P424" s="607"/>
      <c r="Q424" s="607" t="s">
        <v>56</v>
      </c>
      <c r="R424" s="607"/>
      <c r="S424" s="607"/>
      <c r="T424" s="608" t="s">
        <v>741</v>
      </c>
      <c r="U424" s="347" t="s">
        <v>144</v>
      </c>
      <c r="V424" s="141"/>
    </row>
    <row r="425" spans="2:22" ht="15" customHeight="1" thickBot="1" x14ac:dyDescent="0.25">
      <c r="B425" s="347" t="s">
        <v>227</v>
      </c>
      <c r="C425" s="347" t="s">
        <v>10</v>
      </c>
      <c r="D425" s="347" t="s">
        <v>9</v>
      </c>
      <c r="E425" s="347" t="s">
        <v>227</v>
      </c>
      <c r="F425" s="347" t="s">
        <v>10</v>
      </c>
      <c r="G425" s="347" t="s">
        <v>9</v>
      </c>
      <c r="H425" s="347" t="s">
        <v>227</v>
      </c>
      <c r="I425" s="347" t="s">
        <v>10</v>
      </c>
      <c r="J425" s="347" t="s">
        <v>9</v>
      </c>
      <c r="K425" s="347" t="s">
        <v>227</v>
      </c>
      <c r="L425" s="347" t="s">
        <v>10</v>
      </c>
      <c r="M425" s="347" t="s">
        <v>9</v>
      </c>
      <c r="N425" s="347" t="s">
        <v>227</v>
      </c>
      <c r="O425" s="347" t="s">
        <v>10</v>
      </c>
      <c r="P425" s="347" t="s">
        <v>9</v>
      </c>
      <c r="Q425" s="347" t="s">
        <v>227</v>
      </c>
      <c r="R425" s="347" t="s">
        <v>10</v>
      </c>
      <c r="S425" s="347" t="s">
        <v>9</v>
      </c>
      <c r="T425" s="609"/>
      <c r="U425" s="363" t="s">
        <v>100</v>
      </c>
      <c r="V425" s="141"/>
    </row>
    <row r="426" spans="2:22" ht="13.5" thickBot="1" x14ac:dyDescent="0.25">
      <c r="B426" s="364">
        <f>SUM(C426:D426)</f>
        <v>3</v>
      </c>
      <c r="C426" s="364">
        <f>R426+O426+L426+I426+F426</f>
        <v>0</v>
      </c>
      <c r="D426" s="364">
        <f>S426+P426+M426+J426+G426</f>
        <v>3</v>
      </c>
      <c r="E426" s="364">
        <f>SUM(F426:G426)</f>
        <v>1</v>
      </c>
      <c r="F426" s="364">
        <v>0</v>
      </c>
      <c r="G426" s="364">
        <v>1</v>
      </c>
      <c r="H426" s="364">
        <f>SUM(I426:J426)</f>
        <v>1</v>
      </c>
      <c r="I426" s="364">
        <v>0</v>
      </c>
      <c r="J426" s="364">
        <v>1</v>
      </c>
      <c r="K426" s="364">
        <f>SUM(L426:M426)</f>
        <v>1</v>
      </c>
      <c r="L426" s="364">
        <v>0</v>
      </c>
      <c r="M426" s="364">
        <v>1</v>
      </c>
      <c r="N426" s="364">
        <f>SUM(O426:P426)</f>
        <v>0</v>
      </c>
      <c r="O426" s="364">
        <v>0</v>
      </c>
      <c r="P426" s="364">
        <v>0</v>
      </c>
      <c r="Q426" s="364">
        <f>SUM(R426:S426)</f>
        <v>0</v>
      </c>
      <c r="R426" s="364">
        <v>0</v>
      </c>
      <c r="S426" s="364">
        <v>0</v>
      </c>
      <c r="T426" s="353" t="s">
        <v>146</v>
      </c>
      <c r="U426" s="365"/>
      <c r="V426" s="141"/>
    </row>
    <row r="427" spans="2:22" ht="13.5" thickBot="1" x14ac:dyDescent="0.25">
      <c r="B427" s="364">
        <f t="shared" ref="B427" si="403">SUM(C427:D427)</f>
        <v>0</v>
      </c>
      <c r="C427" s="364">
        <f t="shared" ref="C427:D427" si="404">R427+O427+L427+I427+F427</f>
        <v>0</v>
      </c>
      <c r="D427" s="364">
        <f t="shared" si="404"/>
        <v>0</v>
      </c>
      <c r="E427" s="364">
        <f t="shared" ref="E427:E487" si="405">SUM(F427:G427)</f>
        <v>0</v>
      </c>
      <c r="F427" s="364">
        <v>0</v>
      </c>
      <c r="G427" s="364">
        <v>0</v>
      </c>
      <c r="H427" s="364">
        <f t="shared" ref="H427:H487" si="406">SUM(I427:J427)</f>
        <v>0</v>
      </c>
      <c r="I427" s="364">
        <v>0</v>
      </c>
      <c r="J427" s="364">
        <v>0</v>
      </c>
      <c r="K427" s="364">
        <f t="shared" ref="K427:K487" si="407">SUM(L427:M427)</f>
        <v>0</v>
      </c>
      <c r="L427" s="364">
        <v>0</v>
      </c>
      <c r="M427" s="364">
        <v>0</v>
      </c>
      <c r="N427" s="364">
        <f t="shared" ref="N427:N487" si="408">SUM(O427:P427)</f>
        <v>0</v>
      </c>
      <c r="O427" s="364">
        <v>0</v>
      </c>
      <c r="P427" s="364">
        <v>0</v>
      </c>
      <c r="Q427" s="364">
        <f t="shared" ref="Q427:Q487" si="409">SUM(R427:S427)</f>
        <v>0</v>
      </c>
      <c r="R427" s="364">
        <v>0</v>
      </c>
      <c r="S427" s="364">
        <v>0</v>
      </c>
      <c r="T427" s="353" t="s">
        <v>145</v>
      </c>
      <c r="U427" s="365" t="s">
        <v>453</v>
      </c>
      <c r="V427" s="141"/>
    </row>
    <row r="428" spans="2:22" ht="13.5" thickBot="1" x14ac:dyDescent="0.25">
      <c r="B428" s="364">
        <f t="shared" ref="B428:R428" si="410">SUM(B426:B427)</f>
        <v>3</v>
      </c>
      <c r="C428" s="364">
        <f t="shared" si="410"/>
        <v>0</v>
      </c>
      <c r="D428" s="364">
        <f t="shared" si="410"/>
        <v>3</v>
      </c>
      <c r="E428" s="364">
        <f t="shared" si="410"/>
        <v>1</v>
      </c>
      <c r="F428" s="364">
        <f t="shared" si="410"/>
        <v>0</v>
      </c>
      <c r="G428" s="364">
        <f t="shared" si="410"/>
        <v>1</v>
      </c>
      <c r="H428" s="364">
        <f t="shared" si="410"/>
        <v>1</v>
      </c>
      <c r="I428" s="364">
        <f t="shared" si="410"/>
        <v>0</v>
      </c>
      <c r="J428" s="364">
        <f t="shared" si="410"/>
        <v>1</v>
      </c>
      <c r="K428" s="364">
        <f t="shared" si="410"/>
        <v>1</v>
      </c>
      <c r="L428" s="364">
        <f t="shared" si="410"/>
        <v>0</v>
      </c>
      <c r="M428" s="364">
        <f t="shared" si="410"/>
        <v>1</v>
      </c>
      <c r="N428" s="364">
        <f t="shared" si="410"/>
        <v>0</v>
      </c>
      <c r="O428" s="364">
        <f t="shared" si="410"/>
        <v>0</v>
      </c>
      <c r="P428" s="364">
        <f t="shared" si="410"/>
        <v>0</v>
      </c>
      <c r="Q428" s="364">
        <f t="shared" si="410"/>
        <v>0</v>
      </c>
      <c r="R428" s="364">
        <f t="shared" si="410"/>
        <v>0</v>
      </c>
      <c r="S428" s="364">
        <f>SUM(S426:S427)</f>
        <v>0</v>
      </c>
      <c r="T428" s="353" t="s">
        <v>12</v>
      </c>
      <c r="U428" s="366"/>
      <c r="V428" s="141"/>
    </row>
    <row r="429" spans="2:22" ht="13.5" thickBot="1" x14ac:dyDescent="0.25">
      <c r="B429" s="364">
        <f t="shared" ref="B429:B430" si="411">SUM(C429:D429)</f>
        <v>20</v>
      </c>
      <c r="C429" s="364">
        <f t="shared" ref="C429:D430" si="412">R429+O429+L429+I429+F429</f>
        <v>0</v>
      </c>
      <c r="D429" s="364">
        <f t="shared" si="412"/>
        <v>20</v>
      </c>
      <c r="E429" s="364">
        <f t="shared" si="405"/>
        <v>10</v>
      </c>
      <c r="F429" s="364">
        <v>0</v>
      </c>
      <c r="G429" s="364">
        <v>10</v>
      </c>
      <c r="H429" s="364">
        <f t="shared" si="406"/>
        <v>5</v>
      </c>
      <c r="I429" s="364">
        <v>0</v>
      </c>
      <c r="J429" s="364">
        <v>5</v>
      </c>
      <c r="K429" s="364">
        <f t="shared" si="407"/>
        <v>4</v>
      </c>
      <c r="L429" s="364">
        <v>0</v>
      </c>
      <c r="M429" s="364">
        <v>4</v>
      </c>
      <c r="N429" s="364">
        <f t="shared" si="408"/>
        <v>1</v>
      </c>
      <c r="O429" s="364">
        <v>0</v>
      </c>
      <c r="P429" s="364">
        <v>1</v>
      </c>
      <c r="Q429" s="364">
        <f t="shared" si="409"/>
        <v>0</v>
      </c>
      <c r="R429" s="364">
        <v>0</v>
      </c>
      <c r="S429" s="364">
        <v>0</v>
      </c>
      <c r="T429" s="353" t="s">
        <v>146</v>
      </c>
      <c r="U429" s="365"/>
      <c r="V429" s="141"/>
    </row>
    <row r="430" spans="2:22" ht="13.5" thickBot="1" x14ac:dyDescent="0.25">
      <c r="B430" s="364">
        <f t="shared" si="411"/>
        <v>0</v>
      </c>
      <c r="C430" s="364">
        <f t="shared" si="412"/>
        <v>0</v>
      </c>
      <c r="D430" s="364">
        <f t="shared" si="412"/>
        <v>0</v>
      </c>
      <c r="E430" s="364">
        <f t="shared" si="405"/>
        <v>0</v>
      </c>
      <c r="F430" s="364">
        <v>0</v>
      </c>
      <c r="G430" s="364">
        <v>0</v>
      </c>
      <c r="H430" s="364">
        <f t="shared" si="406"/>
        <v>0</v>
      </c>
      <c r="I430" s="364">
        <v>0</v>
      </c>
      <c r="J430" s="364">
        <v>0</v>
      </c>
      <c r="K430" s="364">
        <f t="shared" si="407"/>
        <v>0</v>
      </c>
      <c r="L430" s="364">
        <v>0</v>
      </c>
      <c r="M430" s="364">
        <v>0</v>
      </c>
      <c r="N430" s="364">
        <f t="shared" si="408"/>
        <v>0</v>
      </c>
      <c r="O430" s="364">
        <v>0</v>
      </c>
      <c r="P430" s="364">
        <v>0</v>
      </c>
      <c r="Q430" s="364">
        <f t="shared" si="409"/>
        <v>0</v>
      </c>
      <c r="R430" s="364">
        <v>0</v>
      </c>
      <c r="S430" s="364">
        <v>0</v>
      </c>
      <c r="T430" s="353" t="s">
        <v>145</v>
      </c>
      <c r="U430" s="365" t="s">
        <v>470</v>
      </c>
      <c r="V430" s="141"/>
    </row>
    <row r="431" spans="2:22" ht="13.5" thickBot="1" x14ac:dyDescent="0.25">
      <c r="B431" s="364">
        <f t="shared" ref="B431:R431" si="413">SUM(B429:B430)</f>
        <v>20</v>
      </c>
      <c r="C431" s="364">
        <f t="shared" si="413"/>
        <v>0</v>
      </c>
      <c r="D431" s="364">
        <f t="shared" si="413"/>
        <v>20</v>
      </c>
      <c r="E431" s="364">
        <f t="shared" si="413"/>
        <v>10</v>
      </c>
      <c r="F431" s="364">
        <f t="shared" si="413"/>
        <v>0</v>
      </c>
      <c r="G431" s="364">
        <f t="shared" si="413"/>
        <v>10</v>
      </c>
      <c r="H431" s="364">
        <f t="shared" si="413"/>
        <v>5</v>
      </c>
      <c r="I431" s="364">
        <f t="shared" si="413"/>
        <v>0</v>
      </c>
      <c r="J431" s="364">
        <f t="shared" si="413"/>
        <v>5</v>
      </c>
      <c r="K431" s="364">
        <f t="shared" si="413"/>
        <v>4</v>
      </c>
      <c r="L431" s="364">
        <f t="shared" si="413"/>
        <v>0</v>
      </c>
      <c r="M431" s="364">
        <f t="shared" si="413"/>
        <v>4</v>
      </c>
      <c r="N431" s="364">
        <f t="shared" si="413"/>
        <v>1</v>
      </c>
      <c r="O431" s="364">
        <f t="shared" si="413"/>
        <v>0</v>
      </c>
      <c r="P431" s="364">
        <f t="shared" si="413"/>
        <v>1</v>
      </c>
      <c r="Q431" s="364">
        <f t="shared" si="413"/>
        <v>0</v>
      </c>
      <c r="R431" s="364">
        <f t="shared" si="413"/>
        <v>0</v>
      </c>
      <c r="S431" s="364">
        <f>SUM(S429:S430)</f>
        <v>0</v>
      </c>
      <c r="T431" s="353" t="s">
        <v>12</v>
      </c>
      <c r="U431" s="366"/>
      <c r="V431" s="141"/>
    </row>
    <row r="432" spans="2:22" ht="13.5" thickBot="1" x14ac:dyDescent="0.25">
      <c r="B432" s="364">
        <f t="shared" ref="B432:B433" si="414">SUM(C432:D432)</f>
        <v>36</v>
      </c>
      <c r="C432" s="364">
        <f t="shared" ref="C432:D433" si="415">R432+O432+L432+I432+F432</f>
        <v>2</v>
      </c>
      <c r="D432" s="364">
        <f t="shared" si="415"/>
        <v>34</v>
      </c>
      <c r="E432" s="364">
        <f t="shared" si="405"/>
        <v>18</v>
      </c>
      <c r="F432" s="364">
        <v>2</v>
      </c>
      <c r="G432" s="364">
        <v>16</v>
      </c>
      <c r="H432" s="364">
        <f t="shared" si="406"/>
        <v>11</v>
      </c>
      <c r="I432" s="364">
        <v>0</v>
      </c>
      <c r="J432" s="364">
        <v>11</v>
      </c>
      <c r="K432" s="364">
        <f t="shared" si="407"/>
        <v>7</v>
      </c>
      <c r="L432" s="364">
        <v>0</v>
      </c>
      <c r="M432" s="364">
        <v>7</v>
      </c>
      <c r="N432" s="364">
        <f t="shared" si="408"/>
        <v>0</v>
      </c>
      <c r="O432" s="364">
        <v>0</v>
      </c>
      <c r="P432" s="364">
        <v>0</v>
      </c>
      <c r="Q432" s="364">
        <f t="shared" si="409"/>
        <v>0</v>
      </c>
      <c r="R432" s="364">
        <v>0</v>
      </c>
      <c r="S432" s="364">
        <v>0</v>
      </c>
      <c r="T432" s="353" t="s">
        <v>146</v>
      </c>
      <c r="U432" s="365"/>
      <c r="V432" s="141"/>
    </row>
    <row r="433" spans="2:22" ht="13.5" thickBot="1" x14ac:dyDescent="0.25">
      <c r="B433" s="364">
        <f t="shared" si="414"/>
        <v>0</v>
      </c>
      <c r="C433" s="364">
        <f t="shared" si="415"/>
        <v>0</v>
      </c>
      <c r="D433" s="364">
        <f t="shared" si="415"/>
        <v>0</v>
      </c>
      <c r="E433" s="364">
        <f t="shared" si="405"/>
        <v>0</v>
      </c>
      <c r="F433" s="364">
        <v>0</v>
      </c>
      <c r="G433" s="364">
        <v>0</v>
      </c>
      <c r="H433" s="364">
        <f t="shared" si="406"/>
        <v>0</v>
      </c>
      <c r="I433" s="364">
        <v>0</v>
      </c>
      <c r="J433" s="364">
        <v>0</v>
      </c>
      <c r="K433" s="364">
        <f t="shared" si="407"/>
        <v>0</v>
      </c>
      <c r="L433" s="364">
        <v>0</v>
      </c>
      <c r="M433" s="364">
        <v>0</v>
      </c>
      <c r="N433" s="364">
        <f t="shared" si="408"/>
        <v>0</v>
      </c>
      <c r="O433" s="364">
        <v>0</v>
      </c>
      <c r="P433" s="364">
        <v>0</v>
      </c>
      <c r="Q433" s="364">
        <f t="shared" si="409"/>
        <v>0</v>
      </c>
      <c r="R433" s="364">
        <v>0</v>
      </c>
      <c r="S433" s="364">
        <v>0</v>
      </c>
      <c r="T433" s="353" t="s">
        <v>145</v>
      </c>
      <c r="U433" s="371" t="s">
        <v>402</v>
      </c>
      <c r="V433" s="141"/>
    </row>
    <row r="434" spans="2:22" ht="13.5" thickBot="1" x14ac:dyDescent="0.25">
      <c r="B434" s="364">
        <f t="shared" ref="B434:R434" si="416">SUM(B432:B433)</f>
        <v>36</v>
      </c>
      <c r="C434" s="364">
        <f t="shared" si="416"/>
        <v>2</v>
      </c>
      <c r="D434" s="364">
        <f t="shared" si="416"/>
        <v>34</v>
      </c>
      <c r="E434" s="364">
        <f t="shared" si="416"/>
        <v>18</v>
      </c>
      <c r="F434" s="364">
        <f t="shared" si="416"/>
        <v>2</v>
      </c>
      <c r="G434" s="364">
        <f t="shared" si="416"/>
        <v>16</v>
      </c>
      <c r="H434" s="364">
        <f t="shared" si="416"/>
        <v>11</v>
      </c>
      <c r="I434" s="364">
        <f t="shared" si="416"/>
        <v>0</v>
      </c>
      <c r="J434" s="364">
        <f t="shared" si="416"/>
        <v>11</v>
      </c>
      <c r="K434" s="364">
        <f t="shared" si="416"/>
        <v>7</v>
      </c>
      <c r="L434" s="364">
        <f t="shared" si="416"/>
        <v>0</v>
      </c>
      <c r="M434" s="364">
        <f t="shared" si="416"/>
        <v>7</v>
      </c>
      <c r="N434" s="364">
        <f t="shared" si="416"/>
        <v>0</v>
      </c>
      <c r="O434" s="364">
        <f t="shared" si="416"/>
        <v>0</v>
      </c>
      <c r="P434" s="364">
        <f t="shared" si="416"/>
        <v>0</v>
      </c>
      <c r="Q434" s="364">
        <f t="shared" si="416"/>
        <v>0</v>
      </c>
      <c r="R434" s="364">
        <f t="shared" si="416"/>
        <v>0</v>
      </c>
      <c r="S434" s="364">
        <f>SUM(S432:S433)</f>
        <v>0</v>
      </c>
      <c r="T434" s="353" t="s">
        <v>12</v>
      </c>
      <c r="U434" s="366"/>
      <c r="V434" s="141"/>
    </row>
    <row r="435" spans="2:22" ht="13.5" thickBot="1" x14ac:dyDescent="0.25">
      <c r="B435" s="364">
        <f t="shared" ref="B435:B436" si="417">SUM(C435:D435)</f>
        <v>64</v>
      </c>
      <c r="C435" s="364">
        <f t="shared" ref="C435:D436" si="418">R435+O435+L435+I435+F435</f>
        <v>0</v>
      </c>
      <c r="D435" s="364">
        <f t="shared" si="418"/>
        <v>64</v>
      </c>
      <c r="E435" s="364">
        <f t="shared" si="405"/>
        <v>17</v>
      </c>
      <c r="F435" s="364">
        <v>0</v>
      </c>
      <c r="G435" s="364">
        <v>17</v>
      </c>
      <c r="H435" s="364">
        <f t="shared" si="406"/>
        <v>26</v>
      </c>
      <c r="I435" s="364">
        <v>0</v>
      </c>
      <c r="J435" s="364">
        <v>26</v>
      </c>
      <c r="K435" s="364">
        <f t="shared" si="407"/>
        <v>18</v>
      </c>
      <c r="L435" s="364">
        <v>0</v>
      </c>
      <c r="M435" s="364">
        <v>18</v>
      </c>
      <c r="N435" s="364">
        <f t="shared" si="408"/>
        <v>3</v>
      </c>
      <c r="O435" s="364">
        <v>0</v>
      </c>
      <c r="P435" s="364">
        <v>3</v>
      </c>
      <c r="Q435" s="364">
        <f t="shared" si="409"/>
        <v>0</v>
      </c>
      <c r="R435" s="364">
        <v>0</v>
      </c>
      <c r="S435" s="364">
        <v>0</v>
      </c>
      <c r="T435" s="353" t="s">
        <v>146</v>
      </c>
      <c r="U435" s="365"/>
      <c r="V435" s="141"/>
    </row>
    <row r="436" spans="2:22" ht="13.5" thickBot="1" x14ac:dyDescent="0.25">
      <c r="B436" s="364">
        <f t="shared" si="417"/>
        <v>5</v>
      </c>
      <c r="C436" s="364">
        <f t="shared" si="418"/>
        <v>0</v>
      </c>
      <c r="D436" s="364">
        <f t="shared" si="418"/>
        <v>5</v>
      </c>
      <c r="E436" s="364">
        <f t="shared" si="405"/>
        <v>0</v>
      </c>
      <c r="F436" s="364">
        <v>0</v>
      </c>
      <c r="G436" s="364">
        <v>0</v>
      </c>
      <c r="H436" s="364">
        <f t="shared" si="406"/>
        <v>0</v>
      </c>
      <c r="I436" s="364">
        <v>0</v>
      </c>
      <c r="J436" s="364">
        <v>0</v>
      </c>
      <c r="K436" s="364">
        <f t="shared" si="407"/>
        <v>1</v>
      </c>
      <c r="L436" s="364">
        <v>0</v>
      </c>
      <c r="M436" s="364">
        <v>1</v>
      </c>
      <c r="N436" s="364">
        <f t="shared" si="408"/>
        <v>3</v>
      </c>
      <c r="O436" s="364">
        <v>0</v>
      </c>
      <c r="P436" s="364">
        <v>3</v>
      </c>
      <c r="Q436" s="364">
        <f t="shared" si="409"/>
        <v>1</v>
      </c>
      <c r="R436" s="364">
        <v>0</v>
      </c>
      <c r="S436" s="364">
        <v>1</v>
      </c>
      <c r="T436" s="353" t="s">
        <v>145</v>
      </c>
      <c r="U436" s="365" t="s">
        <v>472</v>
      </c>
      <c r="V436" s="141"/>
    </row>
    <row r="437" spans="2:22" ht="13.5" thickBot="1" x14ac:dyDescent="0.25">
      <c r="B437" s="364">
        <f t="shared" ref="B437:R437" si="419">SUM(B435:B436)</f>
        <v>69</v>
      </c>
      <c r="C437" s="364">
        <f t="shared" si="419"/>
        <v>0</v>
      </c>
      <c r="D437" s="364">
        <f t="shared" si="419"/>
        <v>69</v>
      </c>
      <c r="E437" s="364">
        <f t="shared" si="419"/>
        <v>17</v>
      </c>
      <c r="F437" s="364">
        <f t="shared" si="419"/>
        <v>0</v>
      </c>
      <c r="G437" s="364">
        <f t="shared" si="419"/>
        <v>17</v>
      </c>
      <c r="H437" s="364">
        <f t="shared" si="419"/>
        <v>26</v>
      </c>
      <c r="I437" s="364">
        <f t="shared" si="419"/>
        <v>0</v>
      </c>
      <c r="J437" s="364">
        <f t="shared" si="419"/>
        <v>26</v>
      </c>
      <c r="K437" s="364">
        <f t="shared" si="419"/>
        <v>19</v>
      </c>
      <c r="L437" s="364">
        <f t="shared" si="419"/>
        <v>0</v>
      </c>
      <c r="M437" s="364">
        <f t="shared" si="419"/>
        <v>19</v>
      </c>
      <c r="N437" s="364">
        <f t="shared" si="419"/>
        <v>6</v>
      </c>
      <c r="O437" s="364">
        <f t="shared" si="419"/>
        <v>0</v>
      </c>
      <c r="P437" s="364">
        <f t="shared" si="419"/>
        <v>6</v>
      </c>
      <c r="Q437" s="364">
        <f t="shared" si="419"/>
        <v>1</v>
      </c>
      <c r="R437" s="364">
        <f t="shared" si="419"/>
        <v>0</v>
      </c>
      <c r="S437" s="364">
        <f>SUM(S435:S436)</f>
        <v>1</v>
      </c>
      <c r="T437" s="353" t="s">
        <v>12</v>
      </c>
      <c r="U437" s="366"/>
      <c r="V437" s="141"/>
    </row>
    <row r="438" spans="2:22" ht="13.5" thickBot="1" x14ac:dyDescent="0.25">
      <c r="B438" s="364">
        <f t="shared" ref="B438:B439" si="420">SUM(C438:D438)</f>
        <v>13</v>
      </c>
      <c r="C438" s="364">
        <f t="shared" ref="C438:D439" si="421">R438+O438+L438+I438+F438</f>
        <v>2</v>
      </c>
      <c r="D438" s="364">
        <f t="shared" si="421"/>
        <v>11</v>
      </c>
      <c r="E438" s="364">
        <f t="shared" si="405"/>
        <v>11</v>
      </c>
      <c r="F438" s="364">
        <v>2</v>
      </c>
      <c r="G438" s="364">
        <v>9</v>
      </c>
      <c r="H438" s="364">
        <f t="shared" si="406"/>
        <v>1</v>
      </c>
      <c r="I438" s="364">
        <v>0</v>
      </c>
      <c r="J438" s="364">
        <v>1</v>
      </c>
      <c r="K438" s="364">
        <f t="shared" si="407"/>
        <v>1</v>
      </c>
      <c r="L438" s="364">
        <v>0</v>
      </c>
      <c r="M438" s="364">
        <v>1</v>
      </c>
      <c r="N438" s="364">
        <f t="shared" si="408"/>
        <v>0</v>
      </c>
      <c r="O438" s="364">
        <v>0</v>
      </c>
      <c r="P438" s="364">
        <v>0</v>
      </c>
      <c r="Q438" s="364">
        <f t="shared" si="409"/>
        <v>0</v>
      </c>
      <c r="R438" s="364">
        <v>0</v>
      </c>
      <c r="S438" s="364">
        <v>0</v>
      </c>
      <c r="T438" s="353" t="s">
        <v>146</v>
      </c>
      <c r="U438" s="365"/>
      <c r="V438" s="141"/>
    </row>
    <row r="439" spans="2:22" ht="13.5" thickBot="1" x14ac:dyDescent="0.25">
      <c r="B439" s="364">
        <f t="shared" si="420"/>
        <v>14</v>
      </c>
      <c r="C439" s="364">
        <f t="shared" si="421"/>
        <v>4</v>
      </c>
      <c r="D439" s="364">
        <f t="shared" si="421"/>
        <v>10</v>
      </c>
      <c r="E439" s="364">
        <f t="shared" si="405"/>
        <v>0</v>
      </c>
      <c r="F439" s="364">
        <v>0</v>
      </c>
      <c r="G439" s="364">
        <v>0</v>
      </c>
      <c r="H439" s="364">
        <f t="shared" si="406"/>
        <v>1</v>
      </c>
      <c r="I439" s="364">
        <v>0</v>
      </c>
      <c r="J439" s="364">
        <v>1</v>
      </c>
      <c r="K439" s="364">
        <f t="shared" si="407"/>
        <v>10</v>
      </c>
      <c r="L439" s="364">
        <v>3</v>
      </c>
      <c r="M439" s="364">
        <v>7</v>
      </c>
      <c r="N439" s="364">
        <f t="shared" si="408"/>
        <v>3</v>
      </c>
      <c r="O439" s="364">
        <v>1</v>
      </c>
      <c r="P439" s="364">
        <v>2</v>
      </c>
      <c r="Q439" s="364">
        <f t="shared" si="409"/>
        <v>0</v>
      </c>
      <c r="R439" s="364">
        <v>0</v>
      </c>
      <c r="S439" s="364">
        <v>0</v>
      </c>
      <c r="T439" s="353" t="s">
        <v>145</v>
      </c>
      <c r="U439" s="365" t="s">
        <v>417</v>
      </c>
      <c r="V439" s="141"/>
    </row>
    <row r="440" spans="2:22" ht="13.5" thickBot="1" x14ac:dyDescent="0.25">
      <c r="B440" s="364">
        <f t="shared" ref="B440:R440" si="422">SUM(B438:B439)</f>
        <v>27</v>
      </c>
      <c r="C440" s="364">
        <f t="shared" si="422"/>
        <v>6</v>
      </c>
      <c r="D440" s="364">
        <f t="shared" si="422"/>
        <v>21</v>
      </c>
      <c r="E440" s="364">
        <f t="shared" si="422"/>
        <v>11</v>
      </c>
      <c r="F440" s="364">
        <f t="shared" si="422"/>
        <v>2</v>
      </c>
      <c r="G440" s="364">
        <f t="shared" si="422"/>
        <v>9</v>
      </c>
      <c r="H440" s="364">
        <f t="shared" si="422"/>
        <v>2</v>
      </c>
      <c r="I440" s="364">
        <f t="shared" si="422"/>
        <v>0</v>
      </c>
      <c r="J440" s="364">
        <f t="shared" si="422"/>
        <v>2</v>
      </c>
      <c r="K440" s="364">
        <f t="shared" si="422"/>
        <v>11</v>
      </c>
      <c r="L440" s="364">
        <f t="shared" si="422"/>
        <v>3</v>
      </c>
      <c r="M440" s="364">
        <f t="shared" si="422"/>
        <v>8</v>
      </c>
      <c r="N440" s="364">
        <f t="shared" si="422"/>
        <v>3</v>
      </c>
      <c r="O440" s="364">
        <f t="shared" si="422"/>
        <v>1</v>
      </c>
      <c r="P440" s="364">
        <f t="shared" si="422"/>
        <v>2</v>
      </c>
      <c r="Q440" s="364">
        <f t="shared" si="422"/>
        <v>0</v>
      </c>
      <c r="R440" s="364">
        <f t="shared" si="422"/>
        <v>0</v>
      </c>
      <c r="S440" s="364">
        <f>SUM(S438:S439)</f>
        <v>0</v>
      </c>
      <c r="T440" s="353" t="s">
        <v>12</v>
      </c>
      <c r="U440" s="366"/>
      <c r="V440" s="141"/>
    </row>
    <row r="441" spans="2:22" ht="13.5" thickBot="1" x14ac:dyDescent="0.25">
      <c r="B441" s="364">
        <f t="shared" ref="B441:B442" si="423">SUM(C441:D441)</f>
        <v>5</v>
      </c>
      <c r="C441" s="364">
        <f t="shared" ref="C441:D442" si="424">R441+O441+L441+I441+F441</f>
        <v>0</v>
      </c>
      <c r="D441" s="364">
        <f t="shared" si="424"/>
        <v>5</v>
      </c>
      <c r="E441" s="364">
        <f t="shared" si="405"/>
        <v>3</v>
      </c>
      <c r="F441" s="364">
        <v>0</v>
      </c>
      <c r="G441" s="364">
        <v>3</v>
      </c>
      <c r="H441" s="364">
        <f t="shared" si="406"/>
        <v>1</v>
      </c>
      <c r="I441" s="364">
        <v>0</v>
      </c>
      <c r="J441" s="364">
        <v>1</v>
      </c>
      <c r="K441" s="364">
        <f t="shared" si="407"/>
        <v>1</v>
      </c>
      <c r="L441" s="364">
        <v>0</v>
      </c>
      <c r="M441" s="364">
        <v>1</v>
      </c>
      <c r="N441" s="364">
        <f t="shared" si="408"/>
        <v>0</v>
      </c>
      <c r="O441" s="364">
        <v>0</v>
      </c>
      <c r="P441" s="364">
        <v>0</v>
      </c>
      <c r="Q441" s="364">
        <f t="shared" si="409"/>
        <v>0</v>
      </c>
      <c r="R441" s="364">
        <v>0</v>
      </c>
      <c r="S441" s="364">
        <v>0</v>
      </c>
      <c r="T441" s="353" t="s">
        <v>146</v>
      </c>
      <c r="U441" s="365"/>
      <c r="V441" s="141"/>
    </row>
    <row r="442" spans="2:22" ht="13.5" thickBot="1" x14ac:dyDescent="0.25">
      <c r="B442" s="364">
        <f t="shared" si="423"/>
        <v>1</v>
      </c>
      <c r="C442" s="364">
        <f t="shared" si="424"/>
        <v>0</v>
      </c>
      <c r="D442" s="364">
        <f t="shared" si="424"/>
        <v>1</v>
      </c>
      <c r="E442" s="364">
        <f t="shared" si="405"/>
        <v>0</v>
      </c>
      <c r="F442" s="364">
        <v>0</v>
      </c>
      <c r="G442" s="364">
        <v>0</v>
      </c>
      <c r="H442" s="364">
        <f t="shared" si="406"/>
        <v>0</v>
      </c>
      <c r="I442" s="364">
        <v>0</v>
      </c>
      <c r="J442" s="364">
        <v>0</v>
      </c>
      <c r="K442" s="364">
        <f t="shared" si="407"/>
        <v>1</v>
      </c>
      <c r="L442" s="364">
        <v>0</v>
      </c>
      <c r="M442" s="364">
        <v>1</v>
      </c>
      <c r="N442" s="364">
        <f t="shared" si="408"/>
        <v>0</v>
      </c>
      <c r="O442" s="364">
        <v>0</v>
      </c>
      <c r="P442" s="364">
        <v>0</v>
      </c>
      <c r="Q442" s="364">
        <f t="shared" si="409"/>
        <v>0</v>
      </c>
      <c r="R442" s="364">
        <v>0</v>
      </c>
      <c r="S442" s="364">
        <v>0</v>
      </c>
      <c r="T442" s="353" t="s">
        <v>145</v>
      </c>
      <c r="U442" s="365" t="s">
        <v>454</v>
      </c>
      <c r="V442" s="141"/>
    </row>
    <row r="443" spans="2:22" ht="13.5" thickBot="1" x14ac:dyDescent="0.25">
      <c r="B443" s="364">
        <f t="shared" ref="B443:R443" si="425">SUM(B441:B442)</f>
        <v>6</v>
      </c>
      <c r="C443" s="364">
        <f t="shared" si="425"/>
        <v>0</v>
      </c>
      <c r="D443" s="364">
        <f t="shared" si="425"/>
        <v>6</v>
      </c>
      <c r="E443" s="364">
        <f t="shared" si="425"/>
        <v>3</v>
      </c>
      <c r="F443" s="364">
        <f t="shared" si="425"/>
        <v>0</v>
      </c>
      <c r="G443" s="364">
        <f t="shared" si="425"/>
        <v>3</v>
      </c>
      <c r="H443" s="364">
        <f t="shared" si="425"/>
        <v>1</v>
      </c>
      <c r="I443" s="364">
        <f t="shared" si="425"/>
        <v>0</v>
      </c>
      <c r="J443" s="364">
        <f t="shared" si="425"/>
        <v>1</v>
      </c>
      <c r="K443" s="364">
        <f t="shared" si="425"/>
        <v>2</v>
      </c>
      <c r="L443" s="364">
        <f t="shared" si="425"/>
        <v>0</v>
      </c>
      <c r="M443" s="364">
        <f t="shared" si="425"/>
        <v>2</v>
      </c>
      <c r="N443" s="364">
        <f t="shared" si="425"/>
        <v>0</v>
      </c>
      <c r="O443" s="364">
        <f t="shared" si="425"/>
        <v>0</v>
      </c>
      <c r="P443" s="364">
        <f t="shared" si="425"/>
        <v>0</v>
      </c>
      <c r="Q443" s="364">
        <f t="shared" si="425"/>
        <v>0</v>
      </c>
      <c r="R443" s="364">
        <f t="shared" si="425"/>
        <v>0</v>
      </c>
      <c r="S443" s="364">
        <f>SUM(S441:S442)</f>
        <v>0</v>
      </c>
      <c r="T443" s="353" t="s">
        <v>12</v>
      </c>
      <c r="U443" s="366"/>
      <c r="V443" s="141"/>
    </row>
    <row r="444" spans="2:22" ht="13.5" thickBot="1" x14ac:dyDescent="0.25">
      <c r="B444" s="364">
        <f t="shared" ref="B444:B445" si="426">SUM(C444:D444)</f>
        <v>9</v>
      </c>
      <c r="C444" s="364">
        <f t="shared" ref="C444:D445" si="427">R444+O444+L444+I444+F444</f>
        <v>0</v>
      </c>
      <c r="D444" s="364">
        <f t="shared" si="427"/>
        <v>9</v>
      </c>
      <c r="E444" s="364">
        <f t="shared" si="405"/>
        <v>2</v>
      </c>
      <c r="F444" s="364">
        <v>0</v>
      </c>
      <c r="G444" s="364">
        <v>2</v>
      </c>
      <c r="H444" s="364">
        <f t="shared" si="406"/>
        <v>0</v>
      </c>
      <c r="I444" s="364">
        <v>0</v>
      </c>
      <c r="J444" s="364">
        <v>0</v>
      </c>
      <c r="K444" s="364">
        <f t="shared" si="407"/>
        <v>7</v>
      </c>
      <c r="L444" s="364">
        <v>0</v>
      </c>
      <c r="M444" s="364">
        <v>7</v>
      </c>
      <c r="N444" s="364">
        <f t="shared" si="408"/>
        <v>0</v>
      </c>
      <c r="O444" s="364">
        <v>0</v>
      </c>
      <c r="P444" s="364">
        <v>0</v>
      </c>
      <c r="Q444" s="364">
        <f t="shared" si="409"/>
        <v>0</v>
      </c>
      <c r="R444" s="364">
        <v>0</v>
      </c>
      <c r="S444" s="364">
        <v>0</v>
      </c>
      <c r="T444" s="353" t="s">
        <v>146</v>
      </c>
      <c r="U444" s="365"/>
      <c r="V444" s="141"/>
    </row>
    <row r="445" spans="2:22" ht="13.5" thickBot="1" x14ac:dyDescent="0.25">
      <c r="B445" s="364">
        <f t="shared" si="426"/>
        <v>0</v>
      </c>
      <c r="C445" s="364">
        <f t="shared" si="427"/>
        <v>0</v>
      </c>
      <c r="D445" s="364">
        <f t="shared" si="427"/>
        <v>0</v>
      </c>
      <c r="E445" s="364">
        <f t="shared" si="405"/>
        <v>0</v>
      </c>
      <c r="F445" s="364">
        <v>0</v>
      </c>
      <c r="G445" s="364">
        <v>0</v>
      </c>
      <c r="H445" s="364">
        <f t="shared" si="406"/>
        <v>0</v>
      </c>
      <c r="I445" s="364">
        <v>0</v>
      </c>
      <c r="J445" s="364">
        <v>0</v>
      </c>
      <c r="K445" s="364">
        <f t="shared" si="407"/>
        <v>0</v>
      </c>
      <c r="L445" s="364">
        <v>0</v>
      </c>
      <c r="M445" s="364">
        <v>0</v>
      </c>
      <c r="N445" s="364">
        <f t="shared" si="408"/>
        <v>0</v>
      </c>
      <c r="O445" s="364">
        <v>0</v>
      </c>
      <c r="P445" s="364">
        <v>0</v>
      </c>
      <c r="Q445" s="364">
        <f t="shared" si="409"/>
        <v>0</v>
      </c>
      <c r="R445" s="364">
        <v>0</v>
      </c>
      <c r="S445" s="364">
        <v>0</v>
      </c>
      <c r="T445" s="353" t="s">
        <v>145</v>
      </c>
      <c r="U445" s="365" t="s">
        <v>367</v>
      </c>
      <c r="V445" s="141"/>
    </row>
    <row r="446" spans="2:22" ht="13.5" thickBot="1" x14ac:dyDescent="0.25">
      <c r="B446" s="364">
        <f t="shared" ref="B446:R446" si="428">SUM(B444:B445)</f>
        <v>9</v>
      </c>
      <c r="C446" s="364">
        <f t="shared" si="428"/>
        <v>0</v>
      </c>
      <c r="D446" s="364">
        <f t="shared" si="428"/>
        <v>9</v>
      </c>
      <c r="E446" s="364">
        <f t="shared" si="428"/>
        <v>2</v>
      </c>
      <c r="F446" s="364">
        <f t="shared" si="428"/>
        <v>0</v>
      </c>
      <c r="G446" s="364">
        <f t="shared" si="428"/>
        <v>2</v>
      </c>
      <c r="H446" s="364">
        <f t="shared" si="428"/>
        <v>0</v>
      </c>
      <c r="I446" s="364">
        <f t="shared" si="428"/>
        <v>0</v>
      </c>
      <c r="J446" s="364">
        <f t="shared" si="428"/>
        <v>0</v>
      </c>
      <c r="K446" s="364">
        <f t="shared" si="428"/>
        <v>7</v>
      </c>
      <c r="L446" s="364">
        <f t="shared" si="428"/>
        <v>0</v>
      </c>
      <c r="M446" s="364">
        <f t="shared" si="428"/>
        <v>7</v>
      </c>
      <c r="N446" s="364">
        <f t="shared" si="428"/>
        <v>0</v>
      </c>
      <c r="O446" s="364">
        <f t="shared" si="428"/>
        <v>0</v>
      </c>
      <c r="P446" s="364">
        <f t="shared" si="428"/>
        <v>0</v>
      </c>
      <c r="Q446" s="364">
        <f t="shared" si="428"/>
        <v>0</v>
      </c>
      <c r="R446" s="364">
        <f t="shared" si="428"/>
        <v>0</v>
      </c>
      <c r="S446" s="364">
        <f>SUM(S444:S445)</f>
        <v>0</v>
      </c>
      <c r="T446" s="353" t="s">
        <v>12</v>
      </c>
      <c r="U446" s="366"/>
      <c r="V446" s="141"/>
    </row>
    <row r="447" spans="2:22" ht="13.5" thickBot="1" x14ac:dyDescent="0.25">
      <c r="B447" s="364">
        <f t="shared" ref="B447:B448" si="429">SUM(C447:D447)</f>
        <v>597</v>
      </c>
      <c r="C447" s="364">
        <f t="shared" ref="C447:D448" si="430">R447+O447+L447+I447+F447</f>
        <v>49</v>
      </c>
      <c r="D447" s="364">
        <f t="shared" si="430"/>
        <v>548</v>
      </c>
      <c r="E447" s="364">
        <f t="shared" si="405"/>
        <v>372</v>
      </c>
      <c r="F447" s="364">
        <v>24</v>
      </c>
      <c r="G447" s="364">
        <v>348</v>
      </c>
      <c r="H447" s="364">
        <f t="shared" si="406"/>
        <v>88</v>
      </c>
      <c r="I447" s="364">
        <v>0</v>
      </c>
      <c r="J447" s="364">
        <v>88</v>
      </c>
      <c r="K447" s="364">
        <f t="shared" si="407"/>
        <v>133</v>
      </c>
      <c r="L447" s="364">
        <v>25</v>
      </c>
      <c r="M447" s="364">
        <v>108</v>
      </c>
      <c r="N447" s="364">
        <f t="shared" si="408"/>
        <v>2</v>
      </c>
      <c r="O447" s="364">
        <v>0</v>
      </c>
      <c r="P447" s="364">
        <v>2</v>
      </c>
      <c r="Q447" s="364">
        <f t="shared" si="409"/>
        <v>2</v>
      </c>
      <c r="R447" s="364">
        <v>0</v>
      </c>
      <c r="S447" s="364">
        <v>2</v>
      </c>
      <c r="T447" s="353" t="s">
        <v>146</v>
      </c>
      <c r="U447" s="365"/>
      <c r="V447" s="141"/>
    </row>
    <row r="448" spans="2:22" ht="13.5" thickBot="1" x14ac:dyDescent="0.25">
      <c r="B448" s="364">
        <f t="shared" si="429"/>
        <v>3</v>
      </c>
      <c r="C448" s="364">
        <f t="shared" si="430"/>
        <v>0</v>
      </c>
      <c r="D448" s="364">
        <f t="shared" si="430"/>
        <v>3</v>
      </c>
      <c r="E448" s="364">
        <f t="shared" si="405"/>
        <v>0</v>
      </c>
      <c r="F448" s="364">
        <v>0</v>
      </c>
      <c r="G448" s="364">
        <v>0</v>
      </c>
      <c r="H448" s="364">
        <f t="shared" si="406"/>
        <v>0</v>
      </c>
      <c r="I448" s="364">
        <v>0</v>
      </c>
      <c r="J448" s="364">
        <v>0</v>
      </c>
      <c r="K448" s="364">
        <f t="shared" si="407"/>
        <v>3</v>
      </c>
      <c r="L448" s="364">
        <v>0</v>
      </c>
      <c r="M448" s="364">
        <v>3</v>
      </c>
      <c r="N448" s="364">
        <f t="shared" si="408"/>
        <v>0</v>
      </c>
      <c r="O448" s="364">
        <v>0</v>
      </c>
      <c r="P448" s="364">
        <v>0</v>
      </c>
      <c r="Q448" s="364">
        <f t="shared" si="409"/>
        <v>0</v>
      </c>
      <c r="R448" s="364">
        <v>0</v>
      </c>
      <c r="S448" s="364">
        <v>0</v>
      </c>
      <c r="T448" s="353" t="s">
        <v>145</v>
      </c>
      <c r="U448" s="371" t="s">
        <v>756</v>
      </c>
      <c r="V448" s="141"/>
    </row>
    <row r="449" spans="2:22" ht="13.5" thickBot="1" x14ac:dyDescent="0.25">
      <c r="B449" s="364">
        <f t="shared" ref="B449:R449" si="431">SUM(B447:B448)</f>
        <v>600</v>
      </c>
      <c r="C449" s="364">
        <f t="shared" si="431"/>
        <v>49</v>
      </c>
      <c r="D449" s="364">
        <f t="shared" si="431"/>
        <v>551</v>
      </c>
      <c r="E449" s="364">
        <f t="shared" si="431"/>
        <v>372</v>
      </c>
      <c r="F449" s="364">
        <f t="shared" si="431"/>
        <v>24</v>
      </c>
      <c r="G449" s="364">
        <f t="shared" si="431"/>
        <v>348</v>
      </c>
      <c r="H449" s="364">
        <f t="shared" si="431"/>
        <v>88</v>
      </c>
      <c r="I449" s="364">
        <f t="shared" si="431"/>
        <v>0</v>
      </c>
      <c r="J449" s="364">
        <f t="shared" si="431"/>
        <v>88</v>
      </c>
      <c r="K449" s="364">
        <f t="shared" si="431"/>
        <v>136</v>
      </c>
      <c r="L449" s="364">
        <f t="shared" si="431"/>
        <v>25</v>
      </c>
      <c r="M449" s="364">
        <f t="shared" si="431"/>
        <v>111</v>
      </c>
      <c r="N449" s="364">
        <f t="shared" si="431"/>
        <v>2</v>
      </c>
      <c r="O449" s="364">
        <f t="shared" si="431"/>
        <v>0</v>
      </c>
      <c r="P449" s="364">
        <f t="shared" si="431"/>
        <v>2</v>
      </c>
      <c r="Q449" s="364">
        <f t="shared" si="431"/>
        <v>2</v>
      </c>
      <c r="R449" s="364">
        <f t="shared" si="431"/>
        <v>0</v>
      </c>
      <c r="S449" s="364">
        <f>SUM(S447:S448)</f>
        <v>2</v>
      </c>
      <c r="T449" s="353" t="s">
        <v>12</v>
      </c>
      <c r="U449" s="366"/>
      <c r="V449" s="141"/>
    </row>
    <row r="450" spans="2:22" ht="13.5" thickBot="1" x14ac:dyDescent="0.25">
      <c r="B450" s="364">
        <f t="shared" ref="B450:B451" si="432">SUM(C450:D450)</f>
        <v>18</v>
      </c>
      <c r="C450" s="364">
        <f t="shared" ref="C450:D451" si="433">R450+O450+L450+I450+F450</f>
        <v>0</v>
      </c>
      <c r="D450" s="364">
        <f t="shared" si="433"/>
        <v>18</v>
      </c>
      <c r="E450" s="364">
        <f t="shared" si="405"/>
        <v>2</v>
      </c>
      <c r="F450" s="364">
        <v>0</v>
      </c>
      <c r="G450" s="364">
        <v>2</v>
      </c>
      <c r="H450" s="364">
        <f t="shared" si="406"/>
        <v>2</v>
      </c>
      <c r="I450" s="364">
        <v>0</v>
      </c>
      <c r="J450" s="364">
        <v>2</v>
      </c>
      <c r="K450" s="364">
        <f t="shared" si="407"/>
        <v>14</v>
      </c>
      <c r="L450" s="364">
        <v>0</v>
      </c>
      <c r="M450" s="364">
        <v>14</v>
      </c>
      <c r="N450" s="364">
        <f t="shared" si="408"/>
        <v>0</v>
      </c>
      <c r="O450" s="364">
        <v>0</v>
      </c>
      <c r="P450" s="364">
        <v>0</v>
      </c>
      <c r="Q450" s="364">
        <f t="shared" si="409"/>
        <v>0</v>
      </c>
      <c r="R450" s="364">
        <v>0</v>
      </c>
      <c r="S450" s="364">
        <v>0</v>
      </c>
      <c r="T450" s="353" t="s">
        <v>146</v>
      </c>
      <c r="U450" s="365"/>
      <c r="V450" s="141"/>
    </row>
    <row r="451" spans="2:22" ht="13.5" thickBot="1" x14ac:dyDescent="0.25">
      <c r="B451" s="364">
        <f t="shared" si="432"/>
        <v>0</v>
      </c>
      <c r="C451" s="364">
        <f t="shared" si="433"/>
        <v>0</v>
      </c>
      <c r="D451" s="364">
        <f t="shared" si="433"/>
        <v>0</v>
      </c>
      <c r="E451" s="364">
        <f t="shared" si="405"/>
        <v>0</v>
      </c>
      <c r="F451" s="364">
        <v>0</v>
      </c>
      <c r="G451" s="364">
        <v>0</v>
      </c>
      <c r="H451" s="364">
        <f t="shared" si="406"/>
        <v>0</v>
      </c>
      <c r="I451" s="364">
        <v>0</v>
      </c>
      <c r="J451" s="364">
        <v>0</v>
      </c>
      <c r="K451" s="364">
        <f t="shared" si="407"/>
        <v>0</v>
      </c>
      <c r="L451" s="364">
        <v>0</v>
      </c>
      <c r="M451" s="364">
        <v>0</v>
      </c>
      <c r="N451" s="364">
        <f t="shared" si="408"/>
        <v>0</v>
      </c>
      <c r="O451" s="364">
        <v>0</v>
      </c>
      <c r="P451" s="364">
        <v>0</v>
      </c>
      <c r="Q451" s="364">
        <f t="shared" si="409"/>
        <v>0</v>
      </c>
      <c r="R451" s="364">
        <v>0</v>
      </c>
      <c r="S451" s="364">
        <v>0</v>
      </c>
      <c r="T451" s="353" t="s">
        <v>145</v>
      </c>
      <c r="U451" s="371" t="s">
        <v>474</v>
      </c>
      <c r="V451" s="141"/>
    </row>
    <row r="452" spans="2:22" ht="13.5" thickBot="1" x14ac:dyDescent="0.25">
      <c r="B452" s="364">
        <f t="shared" ref="B452:R452" si="434">SUM(B450:B451)</f>
        <v>18</v>
      </c>
      <c r="C452" s="364">
        <f t="shared" si="434"/>
        <v>0</v>
      </c>
      <c r="D452" s="364">
        <f t="shared" si="434"/>
        <v>18</v>
      </c>
      <c r="E452" s="364">
        <f t="shared" si="434"/>
        <v>2</v>
      </c>
      <c r="F452" s="364">
        <f t="shared" si="434"/>
        <v>0</v>
      </c>
      <c r="G452" s="364">
        <f t="shared" si="434"/>
        <v>2</v>
      </c>
      <c r="H452" s="364">
        <f t="shared" si="434"/>
        <v>2</v>
      </c>
      <c r="I452" s="364">
        <f t="shared" si="434"/>
        <v>0</v>
      </c>
      <c r="J452" s="364">
        <f t="shared" si="434"/>
        <v>2</v>
      </c>
      <c r="K452" s="364">
        <f t="shared" si="434"/>
        <v>14</v>
      </c>
      <c r="L452" s="364">
        <f t="shared" si="434"/>
        <v>0</v>
      </c>
      <c r="M452" s="364">
        <f t="shared" si="434"/>
        <v>14</v>
      </c>
      <c r="N452" s="364">
        <f t="shared" si="434"/>
        <v>0</v>
      </c>
      <c r="O452" s="364">
        <f t="shared" si="434"/>
        <v>0</v>
      </c>
      <c r="P452" s="364">
        <f t="shared" si="434"/>
        <v>0</v>
      </c>
      <c r="Q452" s="364">
        <f t="shared" si="434"/>
        <v>0</v>
      </c>
      <c r="R452" s="364">
        <f t="shared" si="434"/>
        <v>0</v>
      </c>
      <c r="S452" s="364">
        <f>SUM(S450:S451)</f>
        <v>0</v>
      </c>
      <c r="T452" s="353" t="s">
        <v>12</v>
      </c>
      <c r="U452" s="366"/>
      <c r="V452" s="141"/>
    </row>
    <row r="453" spans="2:22" ht="13.5" thickBot="1" x14ac:dyDescent="0.25">
      <c r="B453" s="364">
        <f t="shared" ref="B453:B454" si="435">SUM(C453:D453)</f>
        <v>20</v>
      </c>
      <c r="C453" s="364">
        <f t="shared" ref="C453:D454" si="436">R453+O453+L453+I453+F453</f>
        <v>0</v>
      </c>
      <c r="D453" s="364">
        <f t="shared" si="436"/>
        <v>20</v>
      </c>
      <c r="E453" s="364">
        <f t="shared" si="405"/>
        <v>7</v>
      </c>
      <c r="F453" s="364">
        <v>0</v>
      </c>
      <c r="G453" s="364">
        <v>7</v>
      </c>
      <c r="H453" s="364">
        <f t="shared" si="406"/>
        <v>5</v>
      </c>
      <c r="I453" s="364">
        <v>0</v>
      </c>
      <c r="J453" s="364">
        <v>5</v>
      </c>
      <c r="K453" s="364">
        <f t="shared" si="407"/>
        <v>8</v>
      </c>
      <c r="L453" s="364">
        <v>0</v>
      </c>
      <c r="M453" s="364">
        <v>8</v>
      </c>
      <c r="N453" s="364">
        <f t="shared" si="408"/>
        <v>0</v>
      </c>
      <c r="O453" s="364">
        <v>0</v>
      </c>
      <c r="P453" s="364">
        <v>0</v>
      </c>
      <c r="Q453" s="364">
        <f t="shared" si="409"/>
        <v>0</v>
      </c>
      <c r="R453" s="364">
        <v>0</v>
      </c>
      <c r="S453" s="364">
        <v>0</v>
      </c>
      <c r="T453" s="353" t="s">
        <v>146</v>
      </c>
      <c r="U453" s="365"/>
      <c r="V453" s="141"/>
    </row>
    <row r="454" spans="2:22" ht="13.5" thickBot="1" x14ac:dyDescent="0.25">
      <c r="B454" s="364">
        <f t="shared" si="435"/>
        <v>0</v>
      </c>
      <c r="C454" s="364">
        <f t="shared" si="436"/>
        <v>0</v>
      </c>
      <c r="D454" s="364">
        <f t="shared" si="436"/>
        <v>0</v>
      </c>
      <c r="E454" s="364">
        <f t="shared" si="405"/>
        <v>0</v>
      </c>
      <c r="F454" s="364">
        <v>0</v>
      </c>
      <c r="G454" s="364">
        <v>0</v>
      </c>
      <c r="H454" s="364">
        <f t="shared" si="406"/>
        <v>0</v>
      </c>
      <c r="I454" s="364">
        <v>0</v>
      </c>
      <c r="J454" s="364">
        <v>0</v>
      </c>
      <c r="K454" s="364">
        <f t="shared" si="407"/>
        <v>0</v>
      </c>
      <c r="L454" s="364">
        <v>0</v>
      </c>
      <c r="M454" s="364">
        <v>0</v>
      </c>
      <c r="N454" s="364">
        <f t="shared" si="408"/>
        <v>0</v>
      </c>
      <c r="O454" s="364">
        <v>0</v>
      </c>
      <c r="P454" s="364">
        <v>0</v>
      </c>
      <c r="Q454" s="364">
        <f t="shared" si="409"/>
        <v>0</v>
      </c>
      <c r="R454" s="364">
        <v>0</v>
      </c>
      <c r="S454" s="364">
        <v>0</v>
      </c>
      <c r="T454" s="353" t="s">
        <v>145</v>
      </c>
      <c r="U454" s="371" t="s">
        <v>347</v>
      </c>
      <c r="V454" s="141"/>
    </row>
    <row r="455" spans="2:22" ht="13.5" thickBot="1" x14ac:dyDescent="0.25">
      <c r="B455" s="364">
        <f t="shared" ref="B455:R455" si="437">SUM(B453:B454)</f>
        <v>20</v>
      </c>
      <c r="C455" s="364">
        <f t="shared" si="437"/>
        <v>0</v>
      </c>
      <c r="D455" s="364">
        <f t="shared" si="437"/>
        <v>20</v>
      </c>
      <c r="E455" s="364">
        <f t="shared" si="437"/>
        <v>7</v>
      </c>
      <c r="F455" s="364">
        <f t="shared" si="437"/>
        <v>0</v>
      </c>
      <c r="G455" s="364">
        <f t="shared" si="437"/>
        <v>7</v>
      </c>
      <c r="H455" s="364">
        <f t="shared" si="437"/>
        <v>5</v>
      </c>
      <c r="I455" s="364">
        <f t="shared" si="437"/>
        <v>0</v>
      </c>
      <c r="J455" s="364">
        <f t="shared" si="437"/>
        <v>5</v>
      </c>
      <c r="K455" s="364">
        <f t="shared" si="437"/>
        <v>8</v>
      </c>
      <c r="L455" s="364">
        <f t="shared" si="437"/>
        <v>0</v>
      </c>
      <c r="M455" s="364">
        <f t="shared" si="437"/>
        <v>8</v>
      </c>
      <c r="N455" s="364">
        <f t="shared" si="437"/>
        <v>0</v>
      </c>
      <c r="O455" s="364">
        <f t="shared" si="437"/>
        <v>0</v>
      </c>
      <c r="P455" s="364">
        <f t="shared" si="437"/>
        <v>0</v>
      </c>
      <c r="Q455" s="364">
        <f t="shared" si="437"/>
        <v>0</v>
      </c>
      <c r="R455" s="364">
        <f t="shared" si="437"/>
        <v>0</v>
      </c>
      <c r="S455" s="364">
        <f>SUM(S453:S454)</f>
        <v>0</v>
      </c>
      <c r="T455" s="353" t="s">
        <v>12</v>
      </c>
      <c r="U455" s="366"/>
      <c r="V455" s="141"/>
    </row>
    <row r="456" spans="2:22" ht="13.5" thickBot="1" x14ac:dyDescent="0.25">
      <c r="B456" s="364">
        <f t="shared" ref="B456:B457" si="438">SUM(C456:D456)</f>
        <v>66</v>
      </c>
      <c r="C456" s="364">
        <f t="shared" ref="C456:D457" si="439">R456+O456+L456+I456+F456</f>
        <v>63</v>
      </c>
      <c r="D456" s="364">
        <f t="shared" si="439"/>
        <v>3</v>
      </c>
      <c r="E456" s="364">
        <f t="shared" si="405"/>
        <v>63</v>
      </c>
      <c r="F456" s="364">
        <v>61</v>
      </c>
      <c r="G456" s="364">
        <v>2</v>
      </c>
      <c r="H456" s="364">
        <f t="shared" si="406"/>
        <v>1</v>
      </c>
      <c r="I456" s="364">
        <v>0</v>
      </c>
      <c r="J456" s="364">
        <v>1</v>
      </c>
      <c r="K456" s="364">
        <f t="shared" si="407"/>
        <v>2</v>
      </c>
      <c r="L456" s="364">
        <v>2</v>
      </c>
      <c r="M456" s="364">
        <v>0</v>
      </c>
      <c r="N456" s="364">
        <f t="shared" si="408"/>
        <v>0</v>
      </c>
      <c r="O456" s="364">
        <v>0</v>
      </c>
      <c r="P456" s="364">
        <v>0</v>
      </c>
      <c r="Q456" s="364">
        <f t="shared" si="409"/>
        <v>0</v>
      </c>
      <c r="R456" s="364">
        <v>0</v>
      </c>
      <c r="S456" s="364">
        <v>0</v>
      </c>
      <c r="T456" s="353" t="s">
        <v>146</v>
      </c>
      <c r="U456" s="365"/>
      <c r="V456" s="141"/>
    </row>
    <row r="457" spans="2:22" ht="13.5" thickBot="1" x14ac:dyDescent="0.25">
      <c r="B457" s="364">
        <f t="shared" si="438"/>
        <v>18</v>
      </c>
      <c r="C457" s="364">
        <f t="shared" si="439"/>
        <v>0</v>
      </c>
      <c r="D457" s="364">
        <f t="shared" si="439"/>
        <v>18</v>
      </c>
      <c r="E457" s="364">
        <f t="shared" si="405"/>
        <v>18</v>
      </c>
      <c r="F457" s="364">
        <v>0</v>
      </c>
      <c r="G457" s="364">
        <v>18</v>
      </c>
      <c r="H457" s="364">
        <f t="shared" si="406"/>
        <v>0</v>
      </c>
      <c r="I457" s="364">
        <v>0</v>
      </c>
      <c r="J457" s="364">
        <v>0</v>
      </c>
      <c r="K457" s="364">
        <f t="shared" si="407"/>
        <v>0</v>
      </c>
      <c r="L457" s="364">
        <v>0</v>
      </c>
      <c r="M457" s="364">
        <v>0</v>
      </c>
      <c r="N457" s="364">
        <f t="shared" si="408"/>
        <v>0</v>
      </c>
      <c r="O457" s="364">
        <v>0</v>
      </c>
      <c r="P457" s="364">
        <v>0</v>
      </c>
      <c r="Q457" s="364">
        <f t="shared" si="409"/>
        <v>0</v>
      </c>
      <c r="R457" s="364">
        <v>0</v>
      </c>
      <c r="S457" s="364">
        <v>0</v>
      </c>
      <c r="T457" s="353" t="s">
        <v>145</v>
      </c>
      <c r="U457" s="371" t="s">
        <v>656</v>
      </c>
      <c r="V457" s="141"/>
    </row>
    <row r="458" spans="2:22" ht="13.5" thickBot="1" x14ac:dyDescent="0.25">
      <c r="B458" s="364">
        <f t="shared" ref="B458:R458" si="440">SUM(B456:B457)</f>
        <v>84</v>
      </c>
      <c r="C458" s="364">
        <f t="shared" si="440"/>
        <v>63</v>
      </c>
      <c r="D458" s="364">
        <f t="shared" si="440"/>
        <v>21</v>
      </c>
      <c r="E458" s="364">
        <f t="shared" si="440"/>
        <v>81</v>
      </c>
      <c r="F458" s="364">
        <f t="shared" si="440"/>
        <v>61</v>
      </c>
      <c r="G458" s="364">
        <f t="shared" si="440"/>
        <v>20</v>
      </c>
      <c r="H458" s="364">
        <f t="shared" si="440"/>
        <v>1</v>
      </c>
      <c r="I458" s="364">
        <f t="shared" si="440"/>
        <v>0</v>
      </c>
      <c r="J458" s="364">
        <f t="shared" si="440"/>
        <v>1</v>
      </c>
      <c r="K458" s="364">
        <f t="shared" si="440"/>
        <v>2</v>
      </c>
      <c r="L458" s="364">
        <f t="shared" si="440"/>
        <v>2</v>
      </c>
      <c r="M458" s="364">
        <f t="shared" si="440"/>
        <v>0</v>
      </c>
      <c r="N458" s="364">
        <f t="shared" si="440"/>
        <v>0</v>
      </c>
      <c r="O458" s="364">
        <f t="shared" si="440"/>
        <v>0</v>
      </c>
      <c r="P458" s="364">
        <f t="shared" si="440"/>
        <v>0</v>
      </c>
      <c r="Q458" s="364">
        <f t="shared" si="440"/>
        <v>0</v>
      </c>
      <c r="R458" s="364">
        <f t="shared" si="440"/>
        <v>0</v>
      </c>
      <c r="S458" s="364">
        <f>SUM(S456:S457)</f>
        <v>0</v>
      </c>
      <c r="T458" s="353" t="s">
        <v>12</v>
      </c>
      <c r="U458" s="366"/>
      <c r="V458" s="141"/>
    </row>
    <row r="459" spans="2:22" ht="13.5" thickBot="1" x14ac:dyDescent="0.25">
      <c r="B459" s="364">
        <f t="shared" ref="B459:B460" si="441">SUM(C459:D459)</f>
        <v>3</v>
      </c>
      <c r="C459" s="364">
        <f t="shared" ref="C459:D460" si="442">R459+O459+L459+I459+F459</f>
        <v>0</v>
      </c>
      <c r="D459" s="364">
        <f t="shared" si="442"/>
        <v>3</v>
      </c>
      <c r="E459" s="364">
        <f t="shared" si="405"/>
        <v>2</v>
      </c>
      <c r="F459" s="364">
        <v>0</v>
      </c>
      <c r="G459" s="364">
        <v>2</v>
      </c>
      <c r="H459" s="364">
        <f t="shared" si="406"/>
        <v>0</v>
      </c>
      <c r="I459" s="364">
        <v>0</v>
      </c>
      <c r="J459" s="364">
        <v>0</v>
      </c>
      <c r="K459" s="364">
        <f t="shared" si="407"/>
        <v>1</v>
      </c>
      <c r="L459" s="364">
        <v>0</v>
      </c>
      <c r="M459" s="364">
        <v>1</v>
      </c>
      <c r="N459" s="364">
        <f t="shared" si="408"/>
        <v>0</v>
      </c>
      <c r="O459" s="364">
        <v>0</v>
      </c>
      <c r="P459" s="364">
        <v>0</v>
      </c>
      <c r="Q459" s="364">
        <f t="shared" si="409"/>
        <v>0</v>
      </c>
      <c r="R459" s="364">
        <v>0</v>
      </c>
      <c r="S459" s="364">
        <v>0</v>
      </c>
      <c r="T459" s="353" t="s">
        <v>146</v>
      </c>
      <c r="U459" s="365"/>
      <c r="V459" s="141"/>
    </row>
    <row r="460" spans="2:22" ht="13.5" thickBot="1" x14ac:dyDescent="0.25">
      <c r="B460" s="364">
        <f t="shared" si="441"/>
        <v>14</v>
      </c>
      <c r="C460" s="364">
        <f t="shared" si="442"/>
        <v>13</v>
      </c>
      <c r="D460" s="364">
        <f t="shared" si="442"/>
        <v>1</v>
      </c>
      <c r="E460" s="364">
        <f t="shared" si="405"/>
        <v>14</v>
      </c>
      <c r="F460" s="364">
        <v>13</v>
      </c>
      <c r="G460" s="364">
        <v>1</v>
      </c>
      <c r="H460" s="364">
        <f t="shared" si="406"/>
        <v>0</v>
      </c>
      <c r="I460" s="364">
        <v>0</v>
      </c>
      <c r="J460" s="364">
        <v>0</v>
      </c>
      <c r="K460" s="364">
        <f t="shared" si="407"/>
        <v>0</v>
      </c>
      <c r="L460" s="364">
        <v>0</v>
      </c>
      <c r="M460" s="364">
        <v>0</v>
      </c>
      <c r="N460" s="364">
        <f t="shared" si="408"/>
        <v>0</v>
      </c>
      <c r="O460" s="364">
        <v>0</v>
      </c>
      <c r="P460" s="364">
        <v>0</v>
      </c>
      <c r="Q460" s="364">
        <f t="shared" si="409"/>
        <v>0</v>
      </c>
      <c r="R460" s="364">
        <v>0</v>
      </c>
      <c r="S460" s="364">
        <v>0</v>
      </c>
      <c r="T460" s="353" t="s">
        <v>145</v>
      </c>
      <c r="U460" s="365" t="s">
        <v>475</v>
      </c>
      <c r="V460" s="141"/>
    </row>
    <row r="461" spans="2:22" ht="13.5" thickBot="1" x14ac:dyDescent="0.25">
      <c r="B461" s="364">
        <f t="shared" ref="B461:R461" si="443">SUM(B459:B460)</f>
        <v>17</v>
      </c>
      <c r="C461" s="364">
        <f t="shared" si="443"/>
        <v>13</v>
      </c>
      <c r="D461" s="364">
        <f t="shared" si="443"/>
        <v>4</v>
      </c>
      <c r="E461" s="364">
        <f t="shared" si="443"/>
        <v>16</v>
      </c>
      <c r="F461" s="364">
        <f t="shared" si="443"/>
        <v>13</v>
      </c>
      <c r="G461" s="364">
        <f t="shared" si="443"/>
        <v>3</v>
      </c>
      <c r="H461" s="364">
        <f t="shared" si="443"/>
        <v>0</v>
      </c>
      <c r="I461" s="364">
        <f t="shared" si="443"/>
        <v>0</v>
      </c>
      <c r="J461" s="364">
        <f t="shared" si="443"/>
        <v>0</v>
      </c>
      <c r="K461" s="364">
        <f t="shared" si="443"/>
        <v>1</v>
      </c>
      <c r="L461" s="364">
        <f t="shared" si="443"/>
        <v>0</v>
      </c>
      <c r="M461" s="364">
        <f t="shared" si="443"/>
        <v>1</v>
      </c>
      <c r="N461" s="364">
        <f t="shared" si="443"/>
        <v>0</v>
      </c>
      <c r="O461" s="364">
        <f t="shared" si="443"/>
        <v>0</v>
      </c>
      <c r="P461" s="364">
        <f t="shared" si="443"/>
        <v>0</v>
      </c>
      <c r="Q461" s="364">
        <f t="shared" si="443"/>
        <v>0</v>
      </c>
      <c r="R461" s="364">
        <f t="shared" si="443"/>
        <v>0</v>
      </c>
      <c r="S461" s="364">
        <f>SUM(S459:S460)</f>
        <v>0</v>
      </c>
      <c r="T461" s="353" t="s">
        <v>12</v>
      </c>
      <c r="U461" s="366"/>
      <c r="V461" s="141"/>
    </row>
    <row r="462" spans="2:22" ht="13.5" thickBot="1" x14ac:dyDescent="0.25">
      <c r="B462" s="364">
        <f t="shared" ref="B462:B463" si="444">SUM(C462:D462)</f>
        <v>8</v>
      </c>
      <c r="C462" s="364">
        <f t="shared" ref="C462:D463" si="445">R462+O462+L462+I462+F462</f>
        <v>0</v>
      </c>
      <c r="D462" s="364">
        <f t="shared" si="445"/>
        <v>8</v>
      </c>
      <c r="E462" s="364">
        <f t="shared" si="405"/>
        <v>2</v>
      </c>
      <c r="F462" s="364">
        <v>0</v>
      </c>
      <c r="G462" s="364">
        <v>2</v>
      </c>
      <c r="H462" s="364">
        <f t="shared" si="406"/>
        <v>3</v>
      </c>
      <c r="I462" s="364">
        <v>0</v>
      </c>
      <c r="J462" s="364">
        <v>3</v>
      </c>
      <c r="K462" s="364">
        <f t="shared" si="407"/>
        <v>3</v>
      </c>
      <c r="L462" s="364">
        <v>0</v>
      </c>
      <c r="M462" s="364">
        <v>3</v>
      </c>
      <c r="N462" s="364">
        <f t="shared" si="408"/>
        <v>0</v>
      </c>
      <c r="O462" s="364">
        <v>0</v>
      </c>
      <c r="P462" s="364">
        <v>0</v>
      </c>
      <c r="Q462" s="364">
        <f t="shared" si="409"/>
        <v>0</v>
      </c>
      <c r="R462" s="364">
        <v>0</v>
      </c>
      <c r="S462" s="364">
        <v>0</v>
      </c>
      <c r="T462" s="353" t="s">
        <v>146</v>
      </c>
      <c r="U462" s="365"/>
      <c r="V462" s="141"/>
    </row>
    <row r="463" spans="2:22" ht="13.5" thickBot="1" x14ac:dyDescent="0.25">
      <c r="B463" s="364">
        <f t="shared" si="444"/>
        <v>0</v>
      </c>
      <c r="C463" s="364">
        <f t="shared" si="445"/>
        <v>0</v>
      </c>
      <c r="D463" s="364">
        <f t="shared" si="445"/>
        <v>0</v>
      </c>
      <c r="E463" s="364">
        <f t="shared" si="405"/>
        <v>0</v>
      </c>
      <c r="F463" s="364">
        <v>0</v>
      </c>
      <c r="G463" s="364">
        <v>0</v>
      </c>
      <c r="H463" s="364">
        <f t="shared" si="406"/>
        <v>0</v>
      </c>
      <c r="I463" s="364">
        <v>0</v>
      </c>
      <c r="J463" s="364">
        <v>0</v>
      </c>
      <c r="K463" s="364">
        <f t="shared" si="407"/>
        <v>0</v>
      </c>
      <c r="L463" s="364">
        <v>0</v>
      </c>
      <c r="M463" s="364">
        <v>0</v>
      </c>
      <c r="N463" s="364">
        <f t="shared" si="408"/>
        <v>0</v>
      </c>
      <c r="O463" s="364">
        <v>0</v>
      </c>
      <c r="P463" s="364">
        <v>0</v>
      </c>
      <c r="Q463" s="364">
        <f t="shared" si="409"/>
        <v>0</v>
      </c>
      <c r="R463" s="364">
        <v>0</v>
      </c>
      <c r="S463" s="364">
        <v>0</v>
      </c>
      <c r="T463" s="353" t="s">
        <v>145</v>
      </c>
      <c r="U463" s="365" t="s">
        <v>255</v>
      </c>
      <c r="V463" s="141"/>
    </row>
    <row r="464" spans="2:22" ht="13.5" thickBot="1" x14ac:dyDescent="0.25">
      <c r="B464" s="364">
        <f t="shared" ref="B464:R464" si="446">SUM(B462:B463)</f>
        <v>8</v>
      </c>
      <c r="C464" s="364">
        <f t="shared" si="446"/>
        <v>0</v>
      </c>
      <c r="D464" s="364">
        <f t="shared" si="446"/>
        <v>8</v>
      </c>
      <c r="E464" s="364">
        <f t="shared" si="446"/>
        <v>2</v>
      </c>
      <c r="F464" s="364">
        <f t="shared" si="446"/>
        <v>0</v>
      </c>
      <c r="G464" s="364">
        <f t="shared" si="446"/>
        <v>2</v>
      </c>
      <c r="H464" s="364">
        <f t="shared" si="446"/>
        <v>3</v>
      </c>
      <c r="I464" s="364">
        <f t="shared" si="446"/>
        <v>0</v>
      </c>
      <c r="J464" s="364">
        <f t="shared" si="446"/>
        <v>3</v>
      </c>
      <c r="K464" s="364">
        <f t="shared" si="446"/>
        <v>3</v>
      </c>
      <c r="L464" s="364">
        <f t="shared" si="446"/>
        <v>0</v>
      </c>
      <c r="M464" s="364">
        <f t="shared" si="446"/>
        <v>3</v>
      </c>
      <c r="N464" s="364">
        <f t="shared" si="446"/>
        <v>0</v>
      </c>
      <c r="O464" s="364">
        <f t="shared" si="446"/>
        <v>0</v>
      </c>
      <c r="P464" s="364">
        <f t="shared" si="446"/>
        <v>0</v>
      </c>
      <c r="Q464" s="364">
        <f t="shared" si="446"/>
        <v>0</v>
      </c>
      <c r="R464" s="364">
        <f t="shared" si="446"/>
        <v>0</v>
      </c>
      <c r="S464" s="364">
        <f>SUM(S462:S463)</f>
        <v>0</v>
      </c>
      <c r="T464" s="353" t="s">
        <v>12</v>
      </c>
      <c r="U464" s="366"/>
      <c r="V464" s="141"/>
    </row>
    <row r="465" spans="2:22" ht="13.5" thickBot="1" x14ac:dyDescent="0.25">
      <c r="B465" s="364">
        <f t="shared" ref="B465:B466" si="447">SUM(C465:D465)</f>
        <v>13</v>
      </c>
      <c r="C465" s="364">
        <f t="shared" ref="C465:D466" si="448">R465+O465+L465+I465+F465</f>
        <v>0</v>
      </c>
      <c r="D465" s="364">
        <f t="shared" si="448"/>
        <v>13</v>
      </c>
      <c r="E465" s="364">
        <f t="shared" si="405"/>
        <v>3</v>
      </c>
      <c r="F465" s="364">
        <v>0</v>
      </c>
      <c r="G465" s="364">
        <v>3</v>
      </c>
      <c r="H465" s="364">
        <f t="shared" si="406"/>
        <v>4</v>
      </c>
      <c r="I465" s="364">
        <v>0</v>
      </c>
      <c r="J465" s="364">
        <v>4</v>
      </c>
      <c r="K465" s="364">
        <f t="shared" si="407"/>
        <v>5</v>
      </c>
      <c r="L465" s="364">
        <v>0</v>
      </c>
      <c r="M465" s="364">
        <v>5</v>
      </c>
      <c r="N465" s="364">
        <f t="shared" si="408"/>
        <v>0</v>
      </c>
      <c r="O465" s="364">
        <v>0</v>
      </c>
      <c r="P465" s="364">
        <v>0</v>
      </c>
      <c r="Q465" s="364">
        <f t="shared" si="409"/>
        <v>1</v>
      </c>
      <c r="R465" s="364">
        <v>0</v>
      </c>
      <c r="S465" s="364">
        <v>1</v>
      </c>
      <c r="T465" s="353" t="s">
        <v>146</v>
      </c>
      <c r="U465" s="365"/>
      <c r="V465" s="141"/>
    </row>
    <row r="466" spans="2:22" ht="13.5" thickBot="1" x14ac:dyDescent="0.25">
      <c r="B466" s="364">
        <f t="shared" si="447"/>
        <v>1</v>
      </c>
      <c r="C466" s="364">
        <f t="shared" si="448"/>
        <v>0</v>
      </c>
      <c r="D466" s="364">
        <f t="shared" si="448"/>
        <v>1</v>
      </c>
      <c r="E466" s="364">
        <f t="shared" si="405"/>
        <v>0</v>
      </c>
      <c r="F466" s="364">
        <v>0</v>
      </c>
      <c r="G466" s="364">
        <v>0</v>
      </c>
      <c r="H466" s="364">
        <f t="shared" si="406"/>
        <v>0</v>
      </c>
      <c r="I466" s="364">
        <v>0</v>
      </c>
      <c r="J466" s="364">
        <v>0</v>
      </c>
      <c r="K466" s="364">
        <f t="shared" si="407"/>
        <v>1</v>
      </c>
      <c r="L466" s="364">
        <v>0</v>
      </c>
      <c r="M466" s="364">
        <v>1</v>
      </c>
      <c r="N466" s="364">
        <f t="shared" si="408"/>
        <v>0</v>
      </c>
      <c r="O466" s="364">
        <v>0</v>
      </c>
      <c r="P466" s="364">
        <v>0</v>
      </c>
      <c r="Q466" s="364">
        <f t="shared" si="409"/>
        <v>0</v>
      </c>
      <c r="R466" s="364">
        <v>0</v>
      </c>
      <c r="S466" s="364">
        <v>0</v>
      </c>
      <c r="T466" s="353" t="s">
        <v>145</v>
      </c>
      <c r="U466" s="365" t="s">
        <v>348</v>
      </c>
      <c r="V466" s="141"/>
    </row>
    <row r="467" spans="2:22" ht="13.5" thickBot="1" x14ac:dyDescent="0.25">
      <c r="B467" s="364">
        <f t="shared" ref="B467:R467" si="449">SUM(B465:B466)</f>
        <v>14</v>
      </c>
      <c r="C467" s="364">
        <f t="shared" si="449"/>
        <v>0</v>
      </c>
      <c r="D467" s="364">
        <f t="shared" si="449"/>
        <v>14</v>
      </c>
      <c r="E467" s="364">
        <f t="shared" si="449"/>
        <v>3</v>
      </c>
      <c r="F467" s="364">
        <f t="shared" si="449"/>
        <v>0</v>
      </c>
      <c r="G467" s="364">
        <f t="shared" si="449"/>
        <v>3</v>
      </c>
      <c r="H467" s="364">
        <f t="shared" si="449"/>
        <v>4</v>
      </c>
      <c r="I467" s="364">
        <f t="shared" si="449"/>
        <v>0</v>
      </c>
      <c r="J467" s="364">
        <f t="shared" si="449"/>
        <v>4</v>
      </c>
      <c r="K467" s="364">
        <f t="shared" si="449"/>
        <v>6</v>
      </c>
      <c r="L467" s="364">
        <f t="shared" si="449"/>
        <v>0</v>
      </c>
      <c r="M467" s="364">
        <f t="shared" si="449"/>
        <v>6</v>
      </c>
      <c r="N467" s="364">
        <f t="shared" si="449"/>
        <v>0</v>
      </c>
      <c r="O467" s="364">
        <f t="shared" si="449"/>
        <v>0</v>
      </c>
      <c r="P467" s="364">
        <f t="shared" si="449"/>
        <v>0</v>
      </c>
      <c r="Q467" s="364">
        <f t="shared" si="449"/>
        <v>1</v>
      </c>
      <c r="R467" s="364">
        <f t="shared" si="449"/>
        <v>0</v>
      </c>
      <c r="S467" s="364">
        <f>SUM(S465:S466)</f>
        <v>1</v>
      </c>
      <c r="T467" s="353" t="s">
        <v>12</v>
      </c>
      <c r="U467" s="366"/>
      <c r="V467" s="141"/>
    </row>
    <row r="468" spans="2:22" ht="13.5" thickBot="1" x14ac:dyDescent="0.25">
      <c r="B468" s="364">
        <f t="shared" ref="B468:B469" si="450">SUM(C468:D468)</f>
        <v>41</v>
      </c>
      <c r="C468" s="364">
        <f t="shared" ref="C468:D469" si="451">R468+O468+L468+I468+F468</f>
        <v>41</v>
      </c>
      <c r="D468" s="364">
        <f t="shared" si="451"/>
        <v>0</v>
      </c>
      <c r="E468" s="364">
        <f t="shared" si="405"/>
        <v>41</v>
      </c>
      <c r="F468" s="364">
        <v>41</v>
      </c>
      <c r="G468" s="364">
        <v>0</v>
      </c>
      <c r="H468" s="364">
        <f t="shared" si="406"/>
        <v>0</v>
      </c>
      <c r="I468" s="364">
        <v>0</v>
      </c>
      <c r="J468" s="364">
        <v>0</v>
      </c>
      <c r="K468" s="364">
        <f t="shared" si="407"/>
        <v>0</v>
      </c>
      <c r="L468" s="364">
        <v>0</v>
      </c>
      <c r="M468" s="364">
        <v>0</v>
      </c>
      <c r="N468" s="364">
        <f t="shared" si="408"/>
        <v>0</v>
      </c>
      <c r="O468" s="364">
        <v>0</v>
      </c>
      <c r="P468" s="364">
        <v>0</v>
      </c>
      <c r="Q468" s="364">
        <f t="shared" si="409"/>
        <v>0</v>
      </c>
      <c r="R468" s="364">
        <v>0</v>
      </c>
      <c r="S468" s="364">
        <v>0</v>
      </c>
      <c r="T468" s="353" t="s">
        <v>146</v>
      </c>
      <c r="U468" s="365"/>
      <c r="V468" s="141"/>
    </row>
    <row r="469" spans="2:22" ht="13.5" thickBot="1" x14ac:dyDescent="0.25">
      <c r="B469" s="364">
        <f t="shared" si="450"/>
        <v>0</v>
      </c>
      <c r="C469" s="364">
        <f t="shared" si="451"/>
        <v>0</v>
      </c>
      <c r="D469" s="364">
        <f t="shared" si="451"/>
        <v>0</v>
      </c>
      <c r="E469" s="364">
        <f t="shared" si="405"/>
        <v>0</v>
      </c>
      <c r="F469" s="364">
        <v>0</v>
      </c>
      <c r="G469" s="364">
        <v>0</v>
      </c>
      <c r="H469" s="364">
        <f t="shared" si="406"/>
        <v>0</v>
      </c>
      <c r="I469" s="364">
        <v>0</v>
      </c>
      <c r="J469" s="364">
        <v>0</v>
      </c>
      <c r="K469" s="364">
        <f t="shared" si="407"/>
        <v>0</v>
      </c>
      <c r="L469" s="364">
        <v>0</v>
      </c>
      <c r="M469" s="364">
        <v>0</v>
      </c>
      <c r="N469" s="364">
        <f t="shared" si="408"/>
        <v>0</v>
      </c>
      <c r="O469" s="364">
        <v>0</v>
      </c>
      <c r="P469" s="364">
        <v>0</v>
      </c>
      <c r="Q469" s="364">
        <f t="shared" si="409"/>
        <v>0</v>
      </c>
      <c r="R469" s="364">
        <v>0</v>
      </c>
      <c r="S469" s="364">
        <v>0</v>
      </c>
      <c r="T469" s="353" t="s">
        <v>145</v>
      </c>
      <c r="U469" s="365" t="s">
        <v>481</v>
      </c>
      <c r="V469" s="141"/>
    </row>
    <row r="470" spans="2:22" ht="13.5" thickBot="1" x14ac:dyDescent="0.25">
      <c r="B470" s="364">
        <f t="shared" ref="B470:R470" si="452">SUM(B468:B469)</f>
        <v>41</v>
      </c>
      <c r="C470" s="364">
        <f t="shared" si="452"/>
        <v>41</v>
      </c>
      <c r="D470" s="364">
        <f t="shared" si="452"/>
        <v>0</v>
      </c>
      <c r="E470" s="364">
        <f t="shared" si="452"/>
        <v>41</v>
      </c>
      <c r="F470" s="364">
        <f t="shared" si="452"/>
        <v>41</v>
      </c>
      <c r="G470" s="364">
        <f t="shared" si="452"/>
        <v>0</v>
      </c>
      <c r="H470" s="364">
        <f t="shared" si="452"/>
        <v>0</v>
      </c>
      <c r="I470" s="364">
        <f t="shared" si="452"/>
        <v>0</v>
      </c>
      <c r="J470" s="364">
        <f t="shared" si="452"/>
        <v>0</v>
      </c>
      <c r="K470" s="364">
        <f t="shared" si="452"/>
        <v>0</v>
      </c>
      <c r="L470" s="364">
        <f t="shared" si="452"/>
        <v>0</v>
      </c>
      <c r="M470" s="364">
        <f t="shared" si="452"/>
        <v>0</v>
      </c>
      <c r="N470" s="364">
        <f t="shared" si="452"/>
        <v>0</v>
      </c>
      <c r="O470" s="364">
        <f t="shared" si="452"/>
        <v>0</v>
      </c>
      <c r="P470" s="364">
        <f t="shared" si="452"/>
        <v>0</v>
      </c>
      <c r="Q470" s="364">
        <f t="shared" si="452"/>
        <v>0</v>
      </c>
      <c r="R470" s="364">
        <f t="shared" si="452"/>
        <v>0</v>
      </c>
      <c r="S470" s="364">
        <f>SUM(S468:S469)</f>
        <v>0</v>
      </c>
      <c r="T470" s="353" t="s">
        <v>12</v>
      </c>
      <c r="U470" s="366"/>
      <c r="V470" s="141"/>
    </row>
    <row r="471" spans="2:22" ht="13.5" thickBot="1" x14ac:dyDescent="0.25">
      <c r="B471" s="364">
        <f t="shared" ref="B471:B472" si="453">SUM(C471:D471)</f>
        <v>17</v>
      </c>
      <c r="C471" s="364">
        <f t="shared" ref="C471:D472" si="454">R471+O471+L471+I471+F471</f>
        <v>17</v>
      </c>
      <c r="D471" s="364">
        <f t="shared" si="454"/>
        <v>0</v>
      </c>
      <c r="E471" s="364">
        <f t="shared" si="405"/>
        <v>16</v>
      </c>
      <c r="F471" s="364">
        <v>16</v>
      </c>
      <c r="G471" s="364">
        <v>0</v>
      </c>
      <c r="H471" s="364">
        <f t="shared" si="406"/>
        <v>0</v>
      </c>
      <c r="I471" s="364">
        <v>0</v>
      </c>
      <c r="J471" s="364">
        <v>0</v>
      </c>
      <c r="K471" s="364">
        <f t="shared" si="407"/>
        <v>1</v>
      </c>
      <c r="L471" s="364">
        <v>1</v>
      </c>
      <c r="M471" s="364">
        <v>0</v>
      </c>
      <c r="N471" s="364">
        <f t="shared" si="408"/>
        <v>0</v>
      </c>
      <c r="O471" s="364">
        <v>0</v>
      </c>
      <c r="P471" s="364">
        <v>0</v>
      </c>
      <c r="Q471" s="364">
        <f t="shared" si="409"/>
        <v>0</v>
      </c>
      <c r="R471" s="364">
        <v>0</v>
      </c>
      <c r="S471" s="364">
        <v>0</v>
      </c>
      <c r="T471" s="353" t="s">
        <v>146</v>
      </c>
      <c r="U471" s="365"/>
      <c r="V471" s="141"/>
    </row>
    <row r="472" spans="2:22" ht="13.5" thickBot="1" x14ac:dyDescent="0.25">
      <c r="B472" s="364">
        <f t="shared" si="453"/>
        <v>0</v>
      </c>
      <c r="C472" s="364">
        <f t="shared" si="454"/>
        <v>0</v>
      </c>
      <c r="D472" s="364">
        <f t="shared" si="454"/>
        <v>0</v>
      </c>
      <c r="E472" s="364">
        <f t="shared" si="405"/>
        <v>0</v>
      </c>
      <c r="F472" s="364">
        <v>0</v>
      </c>
      <c r="G472" s="364">
        <v>0</v>
      </c>
      <c r="H472" s="364">
        <f t="shared" si="406"/>
        <v>0</v>
      </c>
      <c r="I472" s="364">
        <v>0</v>
      </c>
      <c r="J472" s="364">
        <v>0</v>
      </c>
      <c r="K472" s="364">
        <f t="shared" si="407"/>
        <v>0</v>
      </c>
      <c r="L472" s="364">
        <v>0</v>
      </c>
      <c r="M472" s="364">
        <v>0</v>
      </c>
      <c r="N472" s="364">
        <f t="shared" si="408"/>
        <v>0</v>
      </c>
      <c r="O472" s="364">
        <v>0</v>
      </c>
      <c r="P472" s="364">
        <v>0</v>
      </c>
      <c r="Q472" s="364">
        <f t="shared" si="409"/>
        <v>0</v>
      </c>
      <c r="R472" s="364">
        <v>0</v>
      </c>
      <c r="S472" s="364">
        <v>0</v>
      </c>
      <c r="T472" s="353" t="s">
        <v>145</v>
      </c>
      <c r="U472" s="365" t="s">
        <v>821</v>
      </c>
      <c r="V472" s="141"/>
    </row>
    <row r="473" spans="2:22" ht="13.5" thickBot="1" x14ac:dyDescent="0.25">
      <c r="B473" s="364">
        <f t="shared" ref="B473:R473" si="455">SUM(B471:B472)</f>
        <v>17</v>
      </c>
      <c r="C473" s="364">
        <f t="shared" si="455"/>
        <v>17</v>
      </c>
      <c r="D473" s="364">
        <f t="shared" si="455"/>
        <v>0</v>
      </c>
      <c r="E473" s="364">
        <f t="shared" si="455"/>
        <v>16</v>
      </c>
      <c r="F473" s="364">
        <f t="shared" si="455"/>
        <v>16</v>
      </c>
      <c r="G473" s="364">
        <f t="shared" si="455"/>
        <v>0</v>
      </c>
      <c r="H473" s="364">
        <f t="shared" si="455"/>
        <v>0</v>
      </c>
      <c r="I473" s="364">
        <f t="shared" si="455"/>
        <v>0</v>
      </c>
      <c r="J473" s="364">
        <f t="shared" si="455"/>
        <v>0</v>
      </c>
      <c r="K473" s="364">
        <f t="shared" si="455"/>
        <v>1</v>
      </c>
      <c r="L473" s="364">
        <f t="shared" si="455"/>
        <v>1</v>
      </c>
      <c r="M473" s="364">
        <f t="shared" si="455"/>
        <v>0</v>
      </c>
      <c r="N473" s="364">
        <f t="shared" si="455"/>
        <v>0</v>
      </c>
      <c r="O473" s="364">
        <f t="shared" si="455"/>
        <v>0</v>
      </c>
      <c r="P473" s="364">
        <f t="shared" si="455"/>
        <v>0</v>
      </c>
      <c r="Q473" s="364">
        <f t="shared" si="455"/>
        <v>0</v>
      </c>
      <c r="R473" s="364">
        <f t="shared" si="455"/>
        <v>0</v>
      </c>
      <c r="S473" s="364">
        <f>SUM(S471:S472)</f>
        <v>0</v>
      </c>
      <c r="T473" s="353" t="s">
        <v>12</v>
      </c>
      <c r="U473" s="366"/>
      <c r="V473" s="141"/>
    </row>
    <row r="474" spans="2:22" ht="13.5" thickBot="1" x14ac:dyDescent="0.25">
      <c r="B474" s="364">
        <f t="shared" ref="B474:B475" si="456">SUM(C474:D474)</f>
        <v>1</v>
      </c>
      <c r="C474" s="364">
        <f t="shared" ref="C474:D475" si="457">R474+O474+L474+I474+F474</f>
        <v>0</v>
      </c>
      <c r="D474" s="364">
        <f t="shared" si="457"/>
        <v>1</v>
      </c>
      <c r="E474" s="364">
        <f t="shared" si="405"/>
        <v>1</v>
      </c>
      <c r="F474" s="364">
        <v>0</v>
      </c>
      <c r="G474" s="364">
        <v>1</v>
      </c>
      <c r="H474" s="364">
        <f t="shared" si="406"/>
        <v>0</v>
      </c>
      <c r="I474" s="364">
        <v>0</v>
      </c>
      <c r="J474" s="364">
        <v>0</v>
      </c>
      <c r="K474" s="364">
        <f t="shared" si="407"/>
        <v>0</v>
      </c>
      <c r="L474" s="364">
        <v>0</v>
      </c>
      <c r="M474" s="364">
        <v>0</v>
      </c>
      <c r="N474" s="364">
        <f t="shared" si="408"/>
        <v>0</v>
      </c>
      <c r="O474" s="364">
        <v>0</v>
      </c>
      <c r="P474" s="364">
        <v>0</v>
      </c>
      <c r="Q474" s="364">
        <f t="shared" si="409"/>
        <v>0</v>
      </c>
      <c r="R474" s="364">
        <v>0</v>
      </c>
      <c r="S474" s="364">
        <v>0</v>
      </c>
      <c r="T474" s="353" t="s">
        <v>146</v>
      </c>
      <c r="U474" s="365"/>
      <c r="V474" s="141"/>
    </row>
    <row r="475" spans="2:22" ht="13.5" thickBot="1" x14ac:dyDescent="0.25">
      <c r="B475" s="364">
        <f t="shared" si="456"/>
        <v>0</v>
      </c>
      <c r="C475" s="364">
        <f t="shared" si="457"/>
        <v>0</v>
      </c>
      <c r="D475" s="364">
        <f t="shared" si="457"/>
        <v>0</v>
      </c>
      <c r="E475" s="364">
        <f t="shared" si="405"/>
        <v>0</v>
      </c>
      <c r="F475" s="364">
        <v>0</v>
      </c>
      <c r="G475" s="364">
        <v>0</v>
      </c>
      <c r="H475" s="364">
        <f t="shared" si="406"/>
        <v>0</v>
      </c>
      <c r="I475" s="364">
        <v>0</v>
      </c>
      <c r="J475" s="364">
        <v>0</v>
      </c>
      <c r="K475" s="364">
        <f t="shared" si="407"/>
        <v>0</v>
      </c>
      <c r="L475" s="364">
        <v>0</v>
      </c>
      <c r="M475" s="364">
        <v>0</v>
      </c>
      <c r="N475" s="364">
        <f t="shared" si="408"/>
        <v>0</v>
      </c>
      <c r="O475" s="364">
        <v>0</v>
      </c>
      <c r="P475" s="364">
        <v>0</v>
      </c>
      <c r="Q475" s="364">
        <f t="shared" si="409"/>
        <v>0</v>
      </c>
      <c r="R475" s="364">
        <v>0</v>
      </c>
      <c r="S475" s="364">
        <v>0</v>
      </c>
      <c r="T475" s="353" t="s">
        <v>145</v>
      </c>
      <c r="U475" s="365" t="s">
        <v>822</v>
      </c>
      <c r="V475" s="141"/>
    </row>
    <row r="476" spans="2:22" ht="13.5" thickBot="1" x14ac:dyDescent="0.25">
      <c r="B476" s="364">
        <f t="shared" ref="B476:R476" si="458">SUM(B474:B475)</f>
        <v>1</v>
      </c>
      <c r="C476" s="364">
        <f t="shared" si="458"/>
        <v>0</v>
      </c>
      <c r="D476" s="364">
        <f t="shared" si="458"/>
        <v>1</v>
      </c>
      <c r="E476" s="364">
        <f t="shared" si="458"/>
        <v>1</v>
      </c>
      <c r="F476" s="364">
        <f t="shared" si="458"/>
        <v>0</v>
      </c>
      <c r="G476" s="364">
        <f t="shared" si="458"/>
        <v>1</v>
      </c>
      <c r="H476" s="364">
        <f t="shared" si="458"/>
        <v>0</v>
      </c>
      <c r="I476" s="364">
        <f t="shared" si="458"/>
        <v>0</v>
      </c>
      <c r="J476" s="364">
        <f t="shared" si="458"/>
        <v>0</v>
      </c>
      <c r="K476" s="364">
        <f t="shared" si="458"/>
        <v>0</v>
      </c>
      <c r="L476" s="364">
        <f t="shared" si="458"/>
        <v>0</v>
      </c>
      <c r="M476" s="364">
        <f t="shared" si="458"/>
        <v>0</v>
      </c>
      <c r="N476" s="364">
        <f t="shared" si="458"/>
        <v>0</v>
      </c>
      <c r="O476" s="364">
        <f t="shared" si="458"/>
        <v>0</v>
      </c>
      <c r="P476" s="364">
        <f t="shared" si="458"/>
        <v>0</v>
      </c>
      <c r="Q476" s="364">
        <f t="shared" si="458"/>
        <v>0</v>
      </c>
      <c r="R476" s="364">
        <f t="shared" si="458"/>
        <v>0</v>
      </c>
      <c r="S476" s="364">
        <f>SUM(S474:S475)</f>
        <v>0</v>
      </c>
      <c r="T476" s="353" t="s">
        <v>12</v>
      </c>
      <c r="U476" s="366"/>
      <c r="V476" s="141"/>
    </row>
    <row r="477" spans="2:22" ht="13.5" thickBot="1" x14ac:dyDescent="0.25">
      <c r="B477" s="364">
        <f t="shared" ref="B477:B478" si="459">SUM(C477:D477)</f>
        <v>19</v>
      </c>
      <c r="C477" s="364">
        <f t="shared" ref="C477:D478" si="460">R477+O477+L477+I477+F477</f>
        <v>0</v>
      </c>
      <c r="D477" s="364">
        <f t="shared" si="460"/>
        <v>19</v>
      </c>
      <c r="E477" s="364">
        <f t="shared" si="405"/>
        <v>19</v>
      </c>
      <c r="F477" s="364">
        <v>0</v>
      </c>
      <c r="G477" s="364">
        <v>19</v>
      </c>
      <c r="H477" s="364">
        <f t="shared" si="406"/>
        <v>0</v>
      </c>
      <c r="I477" s="364">
        <v>0</v>
      </c>
      <c r="J477" s="364">
        <v>0</v>
      </c>
      <c r="K477" s="364">
        <f t="shared" si="407"/>
        <v>0</v>
      </c>
      <c r="L477" s="364">
        <v>0</v>
      </c>
      <c r="M477" s="364">
        <v>0</v>
      </c>
      <c r="N477" s="364">
        <f t="shared" si="408"/>
        <v>0</v>
      </c>
      <c r="O477" s="364">
        <v>0</v>
      </c>
      <c r="P477" s="364">
        <v>0</v>
      </c>
      <c r="Q477" s="364">
        <f t="shared" si="409"/>
        <v>0</v>
      </c>
      <c r="R477" s="364">
        <v>0</v>
      </c>
      <c r="S477" s="364">
        <v>0</v>
      </c>
      <c r="T477" s="353" t="s">
        <v>146</v>
      </c>
      <c r="U477" s="365"/>
      <c r="V477" s="141"/>
    </row>
    <row r="478" spans="2:22" ht="13.5" thickBot="1" x14ac:dyDescent="0.25">
      <c r="B478" s="364">
        <f t="shared" si="459"/>
        <v>0</v>
      </c>
      <c r="C478" s="364">
        <f t="shared" si="460"/>
        <v>0</v>
      </c>
      <c r="D478" s="364">
        <f t="shared" si="460"/>
        <v>0</v>
      </c>
      <c r="E478" s="364">
        <f t="shared" si="405"/>
        <v>0</v>
      </c>
      <c r="F478" s="364">
        <v>0</v>
      </c>
      <c r="G478" s="364">
        <v>0</v>
      </c>
      <c r="H478" s="364">
        <f t="shared" si="406"/>
        <v>0</v>
      </c>
      <c r="I478" s="364">
        <v>0</v>
      </c>
      <c r="J478" s="364">
        <v>0</v>
      </c>
      <c r="K478" s="364">
        <f t="shared" si="407"/>
        <v>0</v>
      </c>
      <c r="L478" s="364">
        <v>0</v>
      </c>
      <c r="M478" s="364">
        <v>0</v>
      </c>
      <c r="N478" s="364">
        <f t="shared" si="408"/>
        <v>0</v>
      </c>
      <c r="O478" s="364">
        <v>0</v>
      </c>
      <c r="P478" s="364">
        <v>0</v>
      </c>
      <c r="Q478" s="364">
        <f t="shared" si="409"/>
        <v>0</v>
      </c>
      <c r="R478" s="364">
        <v>0</v>
      </c>
      <c r="S478" s="364">
        <v>0</v>
      </c>
      <c r="T478" s="353" t="s">
        <v>145</v>
      </c>
      <c r="U478" s="371" t="s">
        <v>476</v>
      </c>
      <c r="V478" s="141"/>
    </row>
    <row r="479" spans="2:22" ht="13.5" thickBot="1" x14ac:dyDescent="0.25">
      <c r="B479" s="364">
        <f t="shared" ref="B479:R479" si="461">SUM(B477:B478)</f>
        <v>19</v>
      </c>
      <c r="C479" s="364">
        <f t="shared" si="461"/>
        <v>0</v>
      </c>
      <c r="D479" s="364">
        <f t="shared" si="461"/>
        <v>19</v>
      </c>
      <c r="E479" s="364">
        <f t="shared" si="461"/>
        <v>19</v>
      </c>
      <c r="F479" s="364">
        <f t="shared" si="461"/>
        <v>0</v>
      </c>
      <c r="G479" s="364">
        <f t="shared" si="461"/>
        <v>19</v>
      </c>
      <c r="H479" s="364">
        <f t="shared" si="461"/>
        <v>0</v>
      </c>
      <c r="I479" s="364">
        <f t="shared" si="461"/>
        <v>0</v>
      </c>
      <c r="J479" s="364">
        <f t="shared" si="461"/>
        <v>0</v>
      </c>
      <c r="K479" s="364">
        <f t="shared" si="461"/>
        <v>0</v>
      </c>
      <c r="L479" s="364">
        <f t="shared" si="461"/>
        <v>0</v>
      </c>
      <c r="M479" s="364">
        <f t="shared" si="461"/>
        <v>0</v>
      </c>
      <c r="N479" s="364">
        <f t="shared" si="461"/>
        <v>0</v>
      </c>
      <c r="O479" s="364">
        <f t="shared" si="461"/>
        <v>0</v>
      </c>
      <c r="P479" s="364">
        <f t="shared" si="461"/>
        <v>0</v>
      </c>
      <c r="Q479" s="364">
        <f t="shared" si="461"/>
        <v>0</v>
      </c>
      <c r="R479" s="364">
        <f t="shared" si="461"/>
        <v>0</v>
      </c>
      <c r="S479" s="364">
        <f>SUM(S477:S478)</f>
        <v>0</v>
      </c>
      <c r="T479" s="353" t="s">
        <v>12</v>
      </c>
      <c r="U479" s="366"/>
      <c r="V479" s="141"/>
    </row>
    <row r="480" spans="2:22" ht="13.5" thickBot="1" x14ac:dyDescent="0.25">
      <c r="B480" s="364">
        <f t="shared" ref="B480:B481" si="462">SUM(C480:D480)</f>
        <v>37</v>
      </c>
      <c r="C480" s="364">
        <f t="shared" ref="C480:D481" si="463">R480+O480+L480+I480+F480</f>
        <v>36</v>
      </c>
      <c r="D480" s="364">
        <f t="shared" si="463"/>
        <v>1</v>
      </c>
      <c r="E480" s="364">
        <f t="shared" si="405"/>
        <v>37</v>
      </c>
      <c r="F480" s="364">
        <v>36</v>
      </c>
      <c r="G480" s="364">
        <v>1</v>
      </c>
      <c r="H480" s="364">
        <f t="shared" si="406"/>
        <v>0</v>
      </c>
      <c r="I480" s="364">
        <v>0</v>
      </c>
      <c r="J480" s="364">
        <v>0</v>
      </c>
      <c r="K480" s="364">
        <f t="shared" si="407"/>
        <v>0</v>
      </c>
      <c r="L480" s="364">
        <v>0</v>
      </c>
      <c r="M480" s="364">
        <v>0</v>
      </c>
      <c r="N480" s="364">
        <f t="shared" si="408"/>
        <v>0</v>
      </c>
      <c r="O480" s="364">
        <v>0</v>
      </c>
      <c r="P480" s="364">
        <v>0</v>
      </c>
      <c r="Q480" s="364">
        <f t="shared" si="409"/>
        <v>0</v>
      </c>
      <c r="R480" s="364">
        <v>0</v>
      </c>
      <c r="S480" s="364">
        <v>0</v>
      </c>
      <c r="T480" s="353" t="s">
        <v>146</v>
      </c>
      <c r="U480" s="365"/>
      <c r="V480" s="141"/>
    </row>
    <row r="481" spans="2:22" ht="13.5" thickBot="1" x14ac:dyDescent="0.25">
      <c r="B481" s="364">
        <f t="shared" si="462"/>
        <v>0</v>
      </c>
      <c r="C481" s="364">
        <f t="shared" si="463"/>
        <v>0</v>
      </c>
      <c r="D481" s="364">
        <f t="shared" si="463"/>
        <v>0</v>
      </c>
      <c r="E481" s="364">
        <f t="shared" si="405"/>
        <v>0</v>
      </c>
      <c r="F481" s="364">
        <v>0</v>
      </c>
      <c r="G481" s="364">
        <v>0</v>
      </c>
      <c r="H481" s="364">
        <f t="shared" si="406"/>
        <v>0</v>
      </c>
      <c r="I481" s="364">
        <v>0</v>
      </c>
      <c r="J481" s="364">
        <v>0</v>
      </c>
      <c r="K481" s="364">
        <f t="shared" si="407"/>
        <v>0</v>
      </c>
      <c r="L481" s="364">
        <v>0</v>
      </c>
      <c r="M481" s="364">
        <v>0</v>
      </c>
      <c r="N481" s="364">
        <f t="shared" si="408"/>
        <v>0</v>
      </c>
      <c r="O481" s="364">
        <v>0</v>
      </c>
      <c r="P481" s="364">
        <v>0</v>
      </c>
      <c r="Q481" s="364">
        <f t="shared" si="409"/>
        <v>0</v>
      </c>
      <c r="R481" s="364">
        <v>0</v>
      </c>
      <c r="S481" s="364">
        <v>0</v>
      </c>
      <c r="T481" s="353" t="s">
        <v>145</v>
      </c>
      <c r="U481" s="371" t="s">
        <v>479</v>
      </c>
      <c r="V481" s="141"/>
    </row>
    <row r="482" spans="2:22" ht="13.5" thickBot="1" x14ac:dyDescent="0.25">
      <c r="B482" s="364">
        <f t="shared" ref="B482:R482" si="464">SUM(B480:B481)</f>
        <v>37</v>
      </c>
      <c r="C482" s="364">
        <f t="shared" si="464"/>
        <v>36</v>
      </c>
      <c r="D482" s="364">
        <f t="shared" si="464"/>
        <v>1</v>
      </c>
      <c r="E482" s="364">
        <f t="shared" si="464"/>
        <v>37</v>
      </c>
      <c r="F482" s="364">
        <f t="shared" si="464"/>
        <v>36</v>
      </c>
      <c r="G482" s="364">
        <f t="shared" si="464"/>
        <v>1</v>
      </c>
      <c r="H482" s="364">
        <f t="shared" si="464"/>
        <v>0</v>
      </c>
      <c r="I482" s="364">
        <f t="shared" si="464"/>
        <v>0</v>
      </c>
      <c r="J482" s="364">
        <f t="shared" si="464"/>
        <v>0</v>
      </c>
      <c r="K482" s="364">
        <f t="shared" si="464"/>
        <v>0</v>
      </c>
      <c r="L482" s="364">
        <f t="shared" si="464"/>
        <v>0</v>
      </c>
      <c r="M482" s="364">
        <f t="shared" si="464"/>
        <v>0</v>
      </c>
      <c r="N482" s="364">
        <f t="shared" si="464"/>
        <v>0</v>
      </c>
      <c r="O482" s="364">
        <f t="shared" si="464"/>
        <v>0</v>
      </c>
      <c r="P482" s="364">
        <f t="shared" si="464"/>
        <v>0</v>
      </c>
      <c r="Q482" s="364">
        <f t="shared" si="464"/>
        <v>0</v>
      </c>
      <c r="R482" s="364">
        <f t="shared" si="464"/>
        <v>0</v>
      </c>
      <c r="S482" s="364">
        <f>SUM(S480:S481)</f>
        <v>0</v>
      </c>
      <c r="T482" s="353" t="s">
        <v>12</v>
      </c>
      <c r="U482" s="366"/>
      <c r="V482" s="141"/>
    </row>
    <row r="483" spans="2:22" ht="13.5" thickBot="1" x14ac:dyDescent="0.25">
      <c r="B483" s="364">
        <f t="shared" ref="B483:B484" si="465">SUM(C483:D483)</f>
        <v>1</v>
      </c>
      <c r="C483" s="364">
        <f t="shared" ref="C483:D484" si="466">R483+O483+L483+I483+F483</f>
        <v>0</v>
      </c>
      <c r="D483" s="364">
        <f t="shared" si="466"/>
        <v>1</v>
      </c>
      <c r="E483" s="364">
        <f t="shared" si="405"/>
        <v>1</v>
      </c>
      <c r="F483" s="364">
        <v>0</v>
      </c>
      <c r="G483" s="364">
        <v>1</v>
      </c>
      <c r="H483" s="364">
        <f t="shared" si="406"/>
        <v>0</v>
      </c>
      <c r="I483" s="364">
        <v>0</v>
      </c>
      <c r="J483" s="364">
        <v>0</v>
      </c>
      <c r="K483" s="364">
        <f t="shared" si="407"/>
        <v>0</v>
      </c>
      <c r="L483" s="364">
        <v>0</v>
      </c>
      <c r="M483" s="364">
        <v>0</v>
      </c>
      <c r="N483" s="364">
        <f t="shared" si="408"/>
        <v>0</v>
      </c>
      <c r="O483" s="364">
        <v>0</v>
      </c>
      <c r="P483" s="364">
        <v>0</v>
      </c>
      <c r="Q483" s="364">
        <f t="shared" si="409"/>
        <v>0</v>
      </c>
      <c r="R483" s="364">
        <v>0</v>
      </c>
      <c r="S483" s="364">
        <v>0</v>
      </c>
      <c r="T483" s="353" t="s">
        <v>146</v>
      </c>
      <c r="U483" s="365"/>
      <c r="V483" s="141"/>
    </row>
    <row r="484" spans="2:22" ht="13.5" thickBot="1" x14ac:dyDescent="0.25">
      <c r="B484" s="364">
        <f t="shared" si="465"/>
        <v>0</v>
      </c>
      <c r="C484" s="364">
        <f t="shared" si="466"/>
        <v>0</v>
      </c>
      <c r="D484" s="364">
        <f t="shared" si="466"/>
        <v>0</v>
      </c>
      <c r="E484" s="364">
        <f t="shared" si="405"/>
        <v>0</v>
      </c>
      <c r="F484" s="364">
        <v>0</v>
      </c>
      <c r="G484" s="364">
        <v>0</v>
      </c>
      <c r="H484" s="364">
        <f t="shared" si="406"/>
        <v>0</v>
      </c>
      <c r="I484" s="364">
        <v>0</v>
      </c>
      <c r="J484" s="364">
        <v>0</v>
      </c>
      <c r="K484" s="364">
        <f t="shared" si="407"/>
        <v>0</v>
      </c>
      <c r="L484" s="364">
        <v>0</v>
      </c>
      <c r="M484" s="364">
        <v>0</v>
      </c>
      <c r="N484" s="364">
        <f t="shared" si="408"/>
        <v>0</v>
      </c>
      <c r="O484" s="364">
        <v>0</v>
      </c>
      <c r="P484" s="364">
        <v>0</v>
      </c>
      <c r="Q484" s="364">
        <f t="shared" si="409"/>
        <v>0</v>
      </c>
      <c r="R484" s="364">
        <v>0</v>
      </c>
      <c r="S484" s="364">
        <v>0</v>
      </c>
      <c r="T484" s="353" t="s">
        <v>145</v>
      </c>
      <c r="U484" s="365" t="s">
        <v>377</v>
      </c>
      <c r="V484" s="141"/>
    </row>
    <row r="485" spans="2:22" ht="13.5" thickBot="1" x14ac:dyDescent="0.25">
      <c r="B485" s="364">
        <f t="shared" ref="B485:R485" si="467">SUM(B483:B484)</f>
        <v>1</v>
      </c>
      <c r="C485" s="364">
        <f t="shared" si="467"/>
        <v>0</v>
      </c>
      <c r="D485" s="364">
        <f t="shared" si="467"/>
        <v>1</v>
      </c>
      <c r="E485" s="364">
        <f t="shared" si="467"/>
        <v>1</v>
      </c>
      <c r="F485" s="364">
        <f t="shared" si="467"/>
        <v>0</v>
      </c>
      <c r="G485" s="364">
        <f t="shared" si="467"/>
        <v>1</v>
      </c>
      <c r="H485" s="364">
        <f t="shared" si="467"/>
        <v>0</v>
      </c>
      <c r="I485" s="364">
        <f t="shared" si="467"/>
        <v>0</v>
      </c>
      <c r="J485" s="364">
        <f t="shared" si="467"/>
        <v>0</v>
      </c>
      <c r="K485" s="364">
        <f t="shared" si="467"/>
        <v>0</v>
      </c>
      <c r="L485" s="364">
        <f t="shared" si="467"/>
        <v>0</v>
      </c>
      <c r="M485" s="364">
        <f t="shared" si="467"/>
        <v>0</v>
      </c>
      <c r="N485" s="364">
        <f t="shared" si="467"/>
        <v>0</v>
      </c>
      <c r="O485" s="364">
        <f t="shared" si="467"/>
        <v>0</v>
      </c>
      <c r="P485" s="364">
        <f t="shared" si="467"/>
        <v>0</v>
      </c>
      <c r="Q485" s="364">
        <f t="shared" si="467"/>
        <v>0</v>
      </c>
      <c r="R485" s="364">
        <f t="shared" si="467"/>
        <v>0</v>
      </c>
      <c r="S485" s="364">
        <f>SUM(S483:S484)</f>
        <v>0</v>
      </c>
      <c r="T485" s="353" t="s">
        <v>12</v>
      </c>
      <c r="U485" s="366"/>
      <c r="V485" s="141"/>
    </row>
    <row r="486" spans="2:22" ht="13.5" thickBot="1" x14ac:dyDescent="0.25">
      <c r="B486" s="364">
        <f t="shared" ref="B486:B487" si="468">SUM(C486:D486)</f>
        <v>2</v>
      </c>
      <c r="C486" s="364">
        <f t="shared" ref="C486:D487" si="469">R486+O486+L486+I486+F486</f>
        <v>2</v>
      </c>
      <c r="D486" s="364">
        <f t="shared" si="469"/>
        <v>0</v>
      </c>
      <c r="E486" s="364">
        <f t="shared" si="405"/>
        <v>2</v>
      </c>
      <c r="F486" s="364">
        <v>2</v>
      </c>
      <c r="G486" s="364">
        <v>0</v>
      </c>
      <c r="H486" s="364">
        <f t="shared" si="406"/>
        <v>0</v>
      </c>
      <c r="I486" s="364">
        <v>0</v>
      </c>
      <c r="J486" s="364">
        <v>0</v>
      </c>
      <c r="K486" s="364">
        <f t="shared" si="407"/>
        <v>0</v>
      </c>
      <c r="L486" s="364">
        <v>0</v>
      </c>
      <c r="M486" s="364">
        <v>0</v>
      </c>
      <c r="N486" s="364">
        <f t="shared" si="408"/>
        <v>0</v>
      </c>
      <c r="O486" s="364">
        <v>0</v>
      </c>
      <c r="P486" s="364">
        <v>0</v>
      </c>
      <c r="Q486" s="364">
        <f t="shared" si="409"/>
        <v>0</v>
      </c>
      <c r="R486" s="364">
        <v>0</v>
      </c>
      <c r="S486" s="364">
        <v>0</v>
      </c>
      <c r="T486" s="353" t="s">
        <v>146</v>
      </c>
      <c r="U486" s="365"/>
      <c r="V486" s="141"/>
    </row>
    <row r="487" spans="2:22" ht="13.5" thickBot="1" x14ac:dyDescent="0.25">
      <c r="B487" s="364">
        <f t="shared" si="468"/>
        <v>1</v>
      </c>
      <c r="C487" s="364">
        <f t="shared" si="469"/>
        <v>1</v>
      </c>
      <c r="D487" s="364">
        <f t="shared" si="469"/>
        <v>0</v>
      </c>
      <c r="E487" s="364">
        <f t="shared" si="405"/>
        <v>0</v>
      </c>
      <c r="F487" s="364">
        <v>0</v>
      </c>
      <c r="G487" s="364">
        <v>0</v>
      </c>
      <c r="H487" s="364">
        <f t="shared" si="406"/>
        <v>0</v>
      </c>
      <c r="I487" s="364">
        <v>0</v>
      </c>
      <c r="J487" s="364">
        <v>0</v>
      </c>
      <c r="K487" s="364">
        <f t="shared" si="407"/>
        <v>1</v>
      </c>
      <c r="L487" s="364">
        <v>1</v>
      </c>
      <c r="M487" s="364">
        <v>0</v>
      </c>
      <c r="N487" s="364">
        <f t="shared" si="408"/>
        <v>0</v>
      </c>
      <c r="O487" s="364">
        <v>0</v>
      </c>
      <c r="P487" s="364">
        <v>0</v>
      </c>
      <c r="Q487" s="364">
        <f t="shared" si="409"/>
        <v>0</v>
      </c>
      <c r="R487" s="364">
        <v>0</v>
      </c>
      <c r="S487" s="364">
        <v>0</v>
      </c>
      <c r="T487" s="353" t="s">
        <v>145</v>
      </c>
      <c r="U487" s="365" t="s">
        <v>823</v>
      </c>
      <c r="V487" s="141"/>
    </row>
    <row r="488" spans="2:22" ht="13.5" thickBot="1" x14ac:dyDescent="0.25">
      <c r="B488" s="364">
        <f t="shared" ref="B488:R488" si="470">SUM(B486:B487)</f>
        <v>3</v>
      </c>
      <c r="C488" s="364">
        <f t="shared" si="470"/>
        <v>3</v>
      </c>
      <c r="D488" s="364">
        <f t="shared" si="470"/>
        <v>0</v>
      </c>
      <c r="E488" s="364">
        <f t="shared" si="470"/>
        <v>2</v>
      </c>
      <c r="F488" s="364">
        <f t="shared" si="470"/>
        <v>2</v>
      </c>
      <c r="G488" s="364">
        <f t="shared" si="470"/>
        <v>0</v>
      </c>
      <c r="H488" s="364">
        <f t="shared" si="470"/>
        <v>0</v>
      </c>
      <c r="I488" s="364">
        <f t="shared" si="470"/>
        <v>0</v>
      </c>
      <c r="J488" s="364">
        <f t="shared" si="470"/>
        <v>0</v>
      </c>
      <c r="K488" s="364">
        <f t="shared" si="470"/>
        <v>1</v>
      </c>
      <c r="L488" s="364">
        <f t="shared" si="470"/>
        <v>1</v>
      </c>
      <c r="M488" s="364">
        <f t="shared" si="470"/>
        <v>0</v>
      </c>
      <c r="N488" s="364">
        <f t="shared" si="470"/>
        <v>0</v>
      </c>
      <c r="O488" s="364">
        <f t="shared" si="470"/>
        <v>0</v>
      </c>
      <c r="P488" s="364">
        <f t="shared" si="470"/>
        <v>0</v>
      </c>
      <c r="Q488" s="364">
        <f t="shared" si="470"/>
        <v>0</v>
      </c>
      <c r="R488" s="364">
        <f t="shared" si="470"/>
        <v>0</v>
      </c>
      <c r="S488" s="364">
        <f>SUM(S486:S487)</f>
        <v>0</v>
      </c>
      <c r="T488" s="353" t="s">
        <v>12</v>
      </c>
      <c r="U488" s="366"/>
      <c r="V488" s="141"/>
    </row>
    <row r="489" spans="2:22" ht="13.5" thickBot="1" x14ac:dyDescent="0.25">
      <c r="B489" s="364">
        <f t="shared" ref="B489:B490" si="471">SUM(C489:D489)</f>
        <v>2</v>
      </c>
      <c r="C489" s="364">
        <f t="shared" ref="C489:D490" si="472">R489+O489+L489+I489+F489</f>
        <v>2</v>
      </c>
      <c r="D489" s="364">
        <f t="shared" si="472"/>
        <v>0</v>
      </c>
      <c r="E489" s="364">
        <f t="shared" ref="E489:E499" si="473">SUM(F489:G489)</f>
        <v>2</v>
      </c>
      <c r="F489" s="364">
        <v>2</v>
      </c>
      <c r="G489" s="364">
        <v>0</v>
      </c>
      <c r="H489" s="364">
        <f t="shared" ref="H489:H499" si="474">SUM(I489:J489)</f>
        <v>0</v>
      </c>
      <c r="I489" s="364">
        <v>0</v>
      </c>
      <c r="J489" s="364">
        <v>0</v>
      </c>
      <c r="K489" s="364">
        <f t="shared" ref="K489:K499" si="475">SUM(L489:M489)</f>
        <v>0</v>
      </c>
      <c r="L489" s="364">
        <v>0</v>
      </c>
      <c r="M489" s="364">
        <v>0</v>
      </c>
      <c r="N489" s="364">
        <f t="shared" ref="N489:N499" si="476">SUM(O489:P489)</f>
        <v>0</v>
      </c>
      <c r="O489" s="364">
        <v>0</v>
      </c>
      <c r="P489" s="364">
        <v>0</v>
      </c>
      <c r="Q489" s="364">
        <f t="shared" ref="Q489:Q499" si="477">SUM(R489:S489)</f>
        <v>0</v>
      </c>
      <c r="R489" s="364">
        <v>0</v>
      </c>
      <c r="S489" s="364">
        <v>0</v>
      </c>
      <c r="T489" s="353" t="s">
        <v>146</v>
      </c>
      <c r="U489" s="365"/>
      <c r="V489" s="141"/>
    </row>
    <row r="490" spans="2:22" ht="13.5" thickBot="1" x14ac:dyDescent="0.25">
      <c r="B490" s="364">
        <f t="shared" si="471"/>
        <v>1</v>
      </c>
      <c r="C490" s="364">
        <f t="shared" si="472"/>
        <v>1</v>
      </c>
      <c r="D490" s="364">
        <f t="shared" si="472"/>
        <v>0</v>
      </c>
      <c r="E490" s="364">
        <f t="shared" si="473"/>
        <v>0</v>
      </c>
      <c r="F490" s="364">
        <v>0</v>
      </c>
      <c r="G490" s="364">
        <v>0</v>
      </c>
      <c r="H490" s="364">
        <f t="shared" si="474"/>
        <v>0</v>
      </c>
      <c r="I490" s="364">
        <v>0</v>
      </c>
      <c r="J490" s="364">
        <v>0</v>
      </c>
      <c r="K490" s="364">
        <f t="shared" si="475"/>
        <v>1</v>
      </c>
      <c r="L490" s="364">
        <v>1</v>
      </c>
      <c r="M490" s="364">
        <v>0</v>
      </c>
      <c r="N490" s="364">
        <f t="shared" si="476"/>
        <v>0</v>
      </c>
      <c r="O490" s="364">
        <v>0</v>
      </c>
      <c r="P490" s="364">
        <v>0</v>
      </c>
      <c r="Q490" s="364">
        <f t="shared" si="477"/>
        <v>0</v>
      </c>
      <c r="R490" s="364">
        <v>0</v>
      </c>
      <c r="S490" s="364">
        <v>0</v>
      </c>
      <c r="T490" s="353" t="s">
        <v>145</v>
      </c>
      <c r="U490" s="365" t="s">
        <v>824</v>
      </c>
      <c r="V490" s="141"/>
    </row>
    <row r="491" spans="2:22" ht="13.5" thickBot="1" x14ac:dyDescent="0.25">
      <c r="B491" s="364">
        <f t="shared" ref="B491:R491" si="478">SUM(B489:B490)</f>
        <v>3</v>
      </c>
      <c r="C491" s="364">
        <f t="shared" si="478"/>
        <v>3</v>
      </c>
      <c r="D491" s="364">
        <f t="shared" si="478"/>
        <v>0</v>
      </c>
      <c r="E491" s="364">
        <f t="shared" si="478"/>
        <v>2</v>
      </c>
      <c r="F491" s="364">
        <f t="shared" si="478"/>
        <v>2</v>
      </c>
      <c r="G491" s="364">
        <f t="shared" si="478"/>
        <v>0</v>
      </c>
      <c r="H491" s="364">
        <f t="shared" si="478"/>
        <v>0</v>
      </c>
      <c r="I491" s="364">
        <f t="shared" si="478"/>
        <v>0</v>
      </c>
      <c r="J491" s="364">
        <f t="shared" si="478"/>
        <v>0</v>
      </c>
      <c r="K491" s="364">
        <f t="shared" si="478"/>
        <v>1</v>
      </c>
      <c r="L491" s="364">
        <f t="shared" si="478"/>
        <v>1</v>
      </c>
      <c r="M491" s="364">
        <f t="shared" si="478"/>
        <v>0</v>
      </c>
      <c r="N491" s="364">
        <f t="shared" si="478"/>
        <v>0</v>
      </c>
      <c r="O491" s="364">
        <f t="shared" si="478"/>
        <v>0</v>
      </c>
      <c r="P491" s="364">
        <f t="shared" si="478"/>
        <v>0</v>
      </c>
      <c r="Q491" s="364">
        <f t="shared" si="478"/>
        <v>0</v>
      </c>
      <c r="R491" s="364">
        <f t="shared" si="478"/>
        <v>0</v>
      </c>
      <c r="S491" s="364">
        <f>SUM(S489:S490)</f>
        <v>0</v>
      </c>
      <c r="T491" s="353" t="s">
        <v>12</v>
      </c>
      <c r="U491" s="366"/>
      <c r="V491" s="141"/>
    </row>
    <row r="492" spans="2:22" ht="13.5" thickBot="1" x14ac:dyDescent="0.25">
      <c r="B492" s="364">
        <f t="shared" ref="B492:B493" si="479">SUM(C492:D492)</f>
        <v>4</v>
      </c>
      <c r="C492" s="364">
        <f t="shared" ref="C492:D493" si="480">R492+O492+L492+I492+F492</f>
        <v>0</v>
      </c>
      <c r="D492" s="364">
        <f t="shared" si="480"/>
        <v>4</v>
      </c>
      <c r="E492" s="364">
        <f t="shared" si="473"/>
        <v>1</v>
      </c>
      <c r="F492" s="364">
        <v>0</v>
      </c>
      <c r="G492" s="364">
        <v>1</v>
      </c>
      <c r="H492" s="364">
        <f t="shared" si="474"/>
        <v>0</v>
      </c>
      <c r="I492" s="364">
        <v>0</v>
      </c>
      <c r="J492" s="364">
        <v>0</v>
      </c>
      <c r="K492" s="364">
        <f t="shared" si="475"/>
        <v>3</v>
      </c>
      <c r="L492" s="364">
        <v>0</v>
      </c>
      <c r="M492" s="364">
        <v>3</v>
      </c>
      <c r="N492" s="364">
        <f t="shared" si="476"/>
        <v>0</v>
      </c>
      <c r="O492" s="364">
        <v>0</v>
      </c>
      <c r="P492" s="364">
        <v>0</v>
      </c>
      <c r="Q492" s="364">
        <f t="shared" si="477"/>
        <v>0</v>
      </c>
      <c r="R492" s="364">
        <v>0</v>
      </c>
      <c r="S492" s="364">
        <v>0</v>
      </c>
      <c r="T492" s="353" t="s">
        <v>146</v>
      </c>
      <c r="U492" s="365"/>
      <c r="V492" s="141"/>
    </row>
    <row r="493" spans="2:22" ht="13.5" thickBot="1" x14ac:dyDescent="0.25">
      <c r="B493" s="364">
        <f t="shared" si="479"/>
        <v>0</v>
      </c>
      <c r="C493" s="364">
        <f t="shared" si="480"/>
        <v>0</v>
      </c>
      <c r="D493" s="364">
        <f t="shared" si="480"/>
        <v>0</v>
      </c>
      <c r="E493" s="364">
        <f t="shared" si="473"/>
        <v>0</v>
      </c>
      <c r="F493" s="364">
        <v>0</v>
      </c>
      <c r="G493" s="364">
        <v>0</v>
      </c>
      <c r="H493" s="364">
        <f t="shared" si="474"/>
        <v>0</v>
      </c>
      <c r="I493" s="364">
        <v>0</v>
      </c>
      <c r="J493" s="364">
        <v>0</v>
      </c>
      <c r="K493" s="364">
        <f t="shared" si="475"/>
        <v>0</v>
      </c>
      <c r="L493" s="364">
        <v>0</v>
      </c>
      <c r="M493" s="364">
        <v>0</v>
      </c>
      <c r="N493" s="364">
        <f t="shared" si="476"/>
        <v>0</v>
      </c>
      <c r="O493" s="364">
        <v>0</v>
      </c>
      <c r="P493" s="364">
        <v>0</v>
      </c>
      <c r="Q493" s="364">
        <f t="shared" si="477"/>
        <v>0</v>
      </c>
      <c r="R493" s="364">
        <v>0</v>
      </c>
      <c r="S493" s="364">
        <v>0</v>
      </c>
      <c r="T493" s="353" t="s">
        <v>145</v>
      </c>
      <c r="U493" s="365" t="s">
        <v>825</v>
      </c>
      <c r="V493" s="141"/>
    </row>
    <row r="494" spans="2:22" ht="13.5" thickBot="1" x14ac:dyDescent="0.25">
      <c r="B494" s="364">
        <f t="shared" ref="B494:R494" si="481">SUM(B492:B493)</f>
        <v>4</v>
      </c>
      <c r="C494" s="364">
        <f t="shared" si="481"/>
        <v>0</v>
      </c>
      <c r="D494" s="364">
        <f t="shared" si="481"/>
        <v>4</v>
      </c>
      <c r="E494" s="364">
        <f t="shared" si="481"/>
        <v>1</v>
      </c>
      <c r="F494" s="364">
        <f t="shared" si="481"/>
        <v>0</v>
      </c>
      <c r="G494" s="364">
        <f t="shared" si="481"/>
        <v>1</v>
      </c>
      <c r="H494" s="364">
        <f t="shared" si="481"/>
        <v>0</v>
      </c>
      <c r="I494" s="364">
        <f t="shared" si="481"/>
        <v>0</v>
      </c>
      <c r="J494" s="364">
        <f t="shared" si="481"/>
        <v>0</v>
      </c>
      <c r="K494" s="364">
        <f t="shared" si="481"/>
        <v>3</v>
      </c>
      <c r="L494" s="364">
        <f t="shared" si="481"/>
        <v>0</v>
      </c>
      <c r="M494" s="364">
        <f t="shared" si="481"/>
        <v>3</v>
      </c>
      <c r="N494" s="364">
        <f t="shared" si="481"/>
        <v>0</v>
      </c>
      <c r="O494" s="364">
        <f t="shared" si="481"/>
        <v>0</v>
      </c>
      <c r="P494" s="364">
        <f t="shared" si="481"/>
        <v>0</v>
      </c>
      <c r="Q494" s="364">
        <f t="shared" si="481"/>
        <v>0</v>
      </c>
      <c r="R494" s="364">
        <f t="shared" si="481"/>
        <v>0</v>
      </c>
      <c r="S494" s="364">
        <f>SUM(S492:S493)</f>
        <v>0</v>
      </c>
      <c r="T494" s="353" t="s">
        <v>12</v>
      </c>
      <c r="U494" s="366"/>
      <c r="V494" s="141"/>
    </row>
    <row r="495" spans="2:22" ht="13.5" thickBot="1" x14ac:dyDescent="0.25">
      <c r="B495" s="364">
        <f t="shared" ref="B495:B496" si="482">SUM(C495:D495)</f>
        <v>8</v>
      </c>
      <c r="C495" s="364">
        <f t="shared" ref="C495:D496" si="483">R495+O495+L495+I495+F495</f>
        <v>0</v>
      </c>
      <c r="D495" s="364">
        <f t="shared" si="483"/>
        <v>8</v>
      </c>
      <c r="E495" s="364">
        <f t="shared" si="473"/>
        <v>8</v>
      </c>
      <c r="F495" s="364">
        <v>0</v>
      </c>
      <c r="G495" s="364">
        <v>8</v>
      </c>
      <c r="H495" s="364">
        <f t="shared" si="474"/>
        <v>0</v>
      </c>
      <c r="I495" s="364">
        <v>0</v>
      </c>
      <c r="J495" s="364">
        <v>0</v>
      </c>
      <c r="K495" s="364">
        <f t="shared" si="475"/>
        <v>0</v>
      </c>
      <c r="L495" s="364">
        <v>0</v>
      </c>
      <c r="M495" s="364">
        <v>0</v>
      </c>
      <c r="N495" s="364">
        <f t="shared" si="476"/>
        <v>0</v>
      </c>
      <c r="O495" s="364">
        <v>0</v>
      </c>
      <c r="P495" s="364">
        <v>0</v>
      </c>
      <c r="Q495" s="364">
        <f t="shared" si="477"/>
        <v>0</v>
      </c>
      <c r="R495" s="364">
        <v>0</v>
      </c>
      <c r="S495" s="364">
        <v>0</v>
      </c>
      <c r="T495" s="353" t="s">
        <v>146</v>
      </c>
      <c r="U495" s="365"/>
      <c r="V495" s="141"/>
    </row>
    <row r="496" spans="2:22" ht="13.5" thickBot="1" x14ac:dyDescent="0.25">
      <c r="B496" s="364">
        <f t="shared" si="482"/>
        <v>1</v>
      </c>
      <c r="C496" s="364">
        <f t="shared" si="483"/>
        <v>0</v>
      </c>
      <c r="D496" s="364">
        <f t="shared" si="483"/>
        <v>1</v>
      </c>
      <c r="E496" s="364">
        <f t="shared" si="473"/>
        <v>0</v>
      </c>
      <c r="F496" s="364">
        <v>0</v>
      </c>
      <c r="G496" s="364">
        <v>0</v>
      </c>
      <c r="H496" s="364">
        <f t="shared" si="474"/>
        <v>0</v>
      </c>
      <c r="I496" s="364">
        <v>0</v>
      </c>
      <c r="J496" s="364">
        <v>0</v>
      </c>
      <c r="K496" s="364">
        <f t="shared" si="475"/>
        <v>1</v>
      </c>
      <c r="L496" s="364">
        <v>0</v>
      </c>
      <c r="M496" s="364">
        <v>1</v>
      </c>
      <c r="N496" s="364">
        <f t="shared" si="476"/>
        <v>0</v>
      </c>
      <c r="O496" s="364">
        <v>0</v>
      </c>
      <c r="P496" s="364">
        <v>0</v>
      </c>
      <c r="Q496" s="364">
        <f t="shared" si="477"/>
        <v>0</v>
      </c>
      <c r="R496" s="364">
        <v>0</v>
      </c>
      <c r="S496" s="364">
        <v>0</v>
      </c>
      <c r="T496" s="353" t="s">
        <v>145</v>
      </c>
      <c r="U496" s="365" t="s">
        <v>826</v>
      </c>
      <c r="V496" s="141"/>
    </row>
    <row r="497" spans="2:22" ht="13.5" thickBot="1" x14ac:dyDescent="0.25">
      <c r="B497" s="364">
        <f t="shared" ref="B497:R497" si="484">SUM(B495:B496)</f>
        <v>9</v>
      </c>
      <c r="C497" s="364">
        <f t="shared" si="484"/>
        <v>0</v>
      </c>
      <c r="D497" s="364">
        <f t="shared" si="484"/>
        <v>9</v>
      </c>
      <c r="E497" s="364">
        <f t="shared" si="484"/>
        <v>8</v>
      </c>
      <c r="F497" s="364">
        <f t="shared" si="484"/>
        <v>0</v>
      </c>
      <c r="G497" s="364">
        <f t="shared" si="484"/>
        <v>8</v>
      </c>
      <c r="H497" s="364">
        <f t="shared" si="484"/>
        <v>0</v>
      </c>
      <c r="I497" s="364">
        <f t="shared" si="484"/>
        <v>0</v>
      </c>
      <c r="J497" s="364">
        <f t="shared" si="484"/>
        <v>0</v>
      </c>
      <c r="K497" s="364">
        <f t="shared" si="484"/>
        <v>1</v>
      </c>
      <c r="L497" s="364">
        <f t="shared" si="484"/>
        <v>0</v>
      </c>
      <c r="M497" s="364">
        <f t="shared" si="484"/>
        <v>1</v>
      </c>
      <c r="N497" s="364">
        <f t="shared" si="484"/>
        <v>0</v>
      </c>
      <c r="O497" s="364">
        <f t="shared" si="484"/>
        <v>0</v>
      </c>
      <c r="P497" s="364">
        <f t="shared" si="484"/>
        <v>0</v>
      </c>
      <c r="Q497" s="364">
        <f t="shared" si="484"/>
        <v>0</v>
      </c>
      <c r="R497" s="364">
        <f t="shared" si="484"/>
        <v>0</v>
      </c>
      <c r="S497" s="364">
        <f>SUM(S495:S496)</f>
        <v>0</v>
      </c>
      <c r="T497" s="353" t="s">
        <v>12</v>
      </c>
      <c r="U497" s="366"/>
      <c r="V497" s="141"/>
    </row>
    <row r="498" spans="2:22" ht="13.5" thickBot="1" x14ac:dyDescent="0.25">
      <c r="B498" s="364">
        <f t="shared" ref="B498:B499" si="485">SUM(C498:D498)</f>
        <v>1</v>
      </c>
      <c r="C498" s="364">
        <f t="shared" ref="C498:D499" si="486">R498+O498+L498+I498+F498</f>
        <v>0</v>
      </c>
      <c r="D498" s="364">
        <f t="shared" si="486"/>
        <v>1</v>
      </c>
      <c r="E498" s="364">
        <f t="shared" si="473"/>
        <v>1</v>
      </c>
      <c r="F498" s="364">
        <v>0</v>
      </c>
      <c r="G498" s="364">
        <v>1</v>
      </c>
      <c r="H498" s="364">
        <f t="shared" si="474"/>
        <v>0</v>
      </c>
      <c r="I498" s="364">
        <v>0</v>
      </c>
      <c r="J498" s="364">
        <v>0</v>
      </c>
      <c r="K498" s="364">
        <f t="shared" si="475"/>
        <v>0</v>
      </c>
      <c r="L498" s="364">
        <v>0</v>
      </c>
      <c r="M498" s="364">
        <v>0</v>
      </c>
      <c r="N498" s="364">
        <f t="shared" si="476"/>
        <v>0</v>
      </c>
      <c r="O498" s="364">
        <v>0</v>
      </c>
      <c r="P498" s="364">
        <v>0</v>
      </c>
      <c r="Q498" s="364">
        <f t="shared" si="477"/>
        <v>0</v>
      </c>
      <c r="R498" s="364">
        <v>0</v>
      </c>
      <c r="S498" s="364">
        <v>0</v>
      </c>
      <c r="T498" s="353" t="s">
        <v>146</v>
      </c>
      <c r="U498" s="365"/>
      <c r="V498" s="141"/>
    </row>
    <row r="499" spans="2:22" ht="13.5" thickBot="1" x14ac:dyDescent="0.25">
      <c r="B499" s="364">
        <f t="shared" si="485"/>
        <v>0</v>
      </c>
      <c r="C499" s="364">
        <f t="shared" si="486"/>
        <v>0</v>
      </c>
      <c r="D499" s="364">
        <f t="shared" si="486"/>
        <v>0</v>
      </c>
      <c r="E499" s="364">
        <f t="shared" si="473"/>
        <v>0</v>
      </c>
      <c r="F499" s="364">
        <v>0</v>
      </c>
      <c r="G499" s="364">
        <v>0</v>
      </c>
      <c r="H499" s="364">
        <f t="shared" si="474"/>
        <v>0</v>
      </c>
      <c r="I499" s="364">
        <v>0</v>
      </c>
      <c r="J499" s="364">
        <v>0</v>
      </c>
      <c r="K499" s="364">
        <f t="shared" si="475"/>
        <v>0</v>
      </c>
      <c r="L499" s="364">
        <v>0</v>
      </c>
      <c r="M499" s="364">
        <v>0</v>
      </c>
      <c r="N499" s="364">
        <f t="shared" si="476"/>
        <v>0</v>
      </c>
      <c r="O499" s="364">
        <v>0</v>
      </c>
      <c r="P499" s="364">
        <v>0</v>
      </c>
      <c r="Q499" s="364">
        <f t="shared" si="477"/>
        <v>0</v>
      </c>
      <c r="R499" s="364">
        <v>0</v>
      </c>
      <c r="S499" s="364">
        <v>0</v>
      </c>
      <c r="T499" s="353" t="s">
        <v>145</v>
      </c>
      <c r="U499" s="365" t="s">
        <v>827</v>
      </c>
      <c r="V499" s="141"/>
    </row>
    <row r="500" spans="2:22" ht="13.5" thickBot="1" x14ac:dyDescent="0.25">
      <c r="B500" s="364">
        <f t="shared" ref="B500:R500" si="487">SUM(B498:B499)</f>
        <v>1</v>
      </c>
      <c r="C500" s="364">
        <f t="shared" si="487"/>
        <v>0</v>
      </c>
      <c r="D500" s="364">
        <f t="shared" si="487"/>
        <v>1</v>
      </c>
      <c r="E500" s="364">
        <f t="shared" si="487"/>
        <v>1</v>
      </c>
      <c r="F500" s="364">
        <f t="shared" si="487"/>
        <v>0</v>
      </c>
      <c r="G500" s="364">
        <f t="shared" si="487"/>
        <v>1</v>
      </c>
      <c r="H500" s="364">
        <f t="shared" si="487"/>
        <v>0</v>
      </c>
      <c r="I500" s="364">
        <f t="shared" si="487"/>
        <v>0</v>
      </c>
      <c r="J500" s="364">
        <f t="shared" si="487"/>
        <v>0</v>
      </c>
      <c r="K500" s="364">
        <f t="shared" si="487"/>
        <v>0</v>
      </c>
      <c r="L500" s="364">
        <f t="shared" si="487"/>
        <v>0</v>
      </c>
      <c r="M500" s="364">
        <f t="shared" si="487"/>
        <v>0</v>
      </c>
      <c r="N500" s="364">
        <f t="shared" si="487"/>
        <v>0</v>
      </c>
      <c r="O500" s="364">
        <f t="shared" si="487"/>
        <v>0</v>
      </c>
      <c r="P500" s="364">
        <f t="shared" si="487"/>
        <v>0</v>
      </c>
      <c r="Q500" s="364">
        <f t="shared" si="487"/>
        <v>0</v>
      </c>
      <c r="R500" s="364">
        <f t="shared" si="487"/>
        <v>0</v>
      </c>
      <c r="S500" s="364">
        <f>SUM(S498:S499)</f>
        <v>0</v>
      </c>
      <c r="T500" s="353" t="s">
        <v>12</v>
      </c>
      <c r="U500" s="366"/>
      <c r="V500" s="141"/>
    </row>
    <row r="501" spans="2:22" ht="13.5" thickBot="1" x14ac:dyDescent="0.25">
      <c r="B501" s="364">
        <f t="shared" ref="B501:R503" si="488">B426+B429+B432+B435+B438+B441+B444+B447+B450+B453+B456+B459+B462+B465+B468+B471+B474+B477+B480+B483+B486+B489+B492+B495+B498</f>
        <v>1008</v>
      </c>
      <c r="C501" s="364">
        <f t="shared" si="488"/>
        <v>214</v>
      </c>
      <c r="D501" s="364">
        <f t="shared" si="488"/>
        <v>794</v>
      </c>
      <c r="E501" s="364">
        <f t="shared" si="488"/>
        <v>642</v>
      </c>
      <c r="F501" s="364">
        <f t="shared" si="488"/>
        <v>186</v>
      </c>
      <c r="G501" s="364">
        <f t="shared" si="488"/>
        <v>456</v>
      </c>
      <c r="H501" s="364">
        <f t="shared" si="488"/>
        <v>148</v>
      </c>
      <c r="I501" s="364">
        <f t="shared" si="488"/>
        <v>0</v>
      </c>
      <c r="J501" s="364">
        <f t="shared" si="488"/>
        <v>148</v>
      </c>
      <c r="K501" s="364">
        <f t="shared" si="488"/>
        <v>209</v>
      </c>
      <c r="L501" s="364">
        <f t="shared" si="488"/>
        <v>28</v>
      </c>
      <c r="M501" s="364">
        <f t="shared" si="488"/>
        <v>181</v>
      </c>
      <c r="N501" s="364">
        <f t="shared" si="488"/>
        <v>6</v>
      </c>
      <c r="O501" s="364">
        <f t="shared" si="488"/>
        <v>0</v>
      </c>
      <c r="P501" s="364">
        <f t="shared" si="488"/>
        <v>6</v>
      </c>
      <c r="Q501" s="364">
        <f t="shared" si="488"/>
        <v>3</v>
      </c>
      <c r="R501" s="364">
        <f t="shared" si="488"/>
        <v>0</v>
      </c>
      <c r="S501" s="364">
        <f>S426+S429+S432+S435+S438+S441+S444+S447+S450+S453+S456+S459+S462+S465+S468+S471+S474+S477+S480+S483+S486+S489+S492+S495+S498</f>
        <v>3</v>
      </c>
      <c r="T501" s="353" t="s">
        <v>146</v>
      </c>
      <c r="U501" s="367"/>
      <c r="V501" s="141"/>
    </row>
    <row r="502" spans="2:22" ht="13.5" thickBot="1" x14ac:dyDescent="0.25">
      <c r="B502" s="364">
        <f t="shared" si="488"/>
        <v>59</v>
      </c>
      <c r="C502" s="364">
        <f t="shared" si="488"/>
        <v>19</v>
      </c>
      <c r="D502" s="364">
        <f t="shared" si="488"/>
        <v>40</v>
      </c>
      <c r="E502" s="364">
        <f t="shared" si="488"/>
        <v>32</v>
      </c>
      <c r="F502" s="364">
        <f t="shared" si="488"/>
        <v>13</v>
      </c>
      <c r="G502" s="364">
        <f t="shared" si="488"/>
        <v>19</v>
      </c>
      <c r="H502" s="364">
        <f t="shared" si="488"/>
        <v>1</v>
      </c>
      <c r="I502" s="364">
        <f t="shared" si="488"/>
        <v>0</v>
      </c>
      <c r="J502" s="364">
        <f t="shared" si="488"/>
        <v>1</v>
      </c>
      <c r="K502" s="364">
        <f t="shared" si="488"/>
        <v>19</v>
      </c>
      <c r="L502" s="364">
        <f t="shared" si="488"/>
        <v>5</v>
      </c>
      <c r="M502" s="364">
        <f t="shared" si="488"/>
        <v>14</v>
      </c>
      <c r="N502" s="364">
        <f t="shared" si="488"/>
        <v>6</v>
      </c>
      <c r="O502" s="364">
        <f t="shared" si="488"/>
        <v>1</v>
      </c>
      <c r="P502" s="364">
        <f t="shared" si="488"/>
        <v>5</v>
      </c>
      <c r="Q502" s="364">
        <f t="shared" si="488"/>
        <v>1</v>
      </c>
      <c r="R502" s="364">
        <f t="shared" si="488"/>
        <v>0</v>
      </c>
      <c r="S502" s="364">
        <f t="shared" ref="S502:S503" si="489">S427+S430+S433+S436+S439+S442+S445+S448+S451+S454+S457+S460+S463+S466+S469+S472+S475+S478+S481+S484+S487+S490+S493+S496+S499</f>
        <v>1</v>
      </c>
      <c r="T502" s="353" t="s">
        <v>145</v>
      </c>
      <c r="U502" s="368" t="s">
        <v>188</v>
      </c>
      <c r="V502" s="141"/>
    </row>
    <row r="503" spans="2:22" ht="13.5" thickBot="1" x14ac:dyDescent="0.25">
      <c r="B503" s="364">
        <f t="shared" si="488"/>
        <v>1067</v>
      </c>
      <c r="C503" s="364">
        <f t="shared" si="488"/>
        <v>233</v>
      </c>
      <c r="D503" s="364">
        <f t="shared" si="488"/>
        <v>834</v>
      </c>
      <c r="E503" s="364">
        <f t="shared" si="488"/>
        <v>674</v>
      </c>
      <c r="F503" s="364">
        <f t="shared" si="488"/>
        <v>199</v>
      </c>
      <c r="G503" s="364">
        <f t="shared" si="488"/>
        <v>475</v>
      </c>
      <c r="H503" s="364">
        <f t="shared" si="488"/>
        <v>149</v>
      </c>
      <c r="I503" s="364">
        <f t="shared" si="488"/>
        <v>0</v>
      </c>
      <c r="J503" s="364">
        <f t="shared" si="488"/>
        <v>149</v>
      </c>
      <c r="K503" s="364">
        <f t="shared" si="488"/>
        <v>228</v>
      </c>
      <c r="L503" s="364">
        <f t="shared" si="488"/>
        <v>33</v>
      </c>
      <c r="M503" s="364">
        <f t="shared" si="488"/>
        <v>195</v>
      </c>
      <c r="N503" s="364">
        <f t="shared" si="488"/>
        <v>12</v>
      </c>
      <c r="O503" s="364">
        <f t="shared" si="488"/>
        <v>1</v>
      </c>
      <c r="P503" s="364">
        <f t="shared" si="488"/>
        <v>11</v>
      </c>
      <c r="Q503" s="364">
        <f t="shared" si="488"/>
        <v>4</v>
      </c>
      <c r="R503" s="364">
        <f t="shared" si="488"/>
        <v>0</v>
      </c>
      <c r="S503" s="364">
        <f t="shared" si="489"/>
        <v>4</v>
      </c>
      <c r="T503" s="353" t="s">
        <v>12</v>
      </c>
      <c r="U503" s="363"/>
      <c r="V503" s="141"/>
    </row>
    <row r="504" spans="2:22" ht="18" customHeight="1" thickBot="1" x14ac:dyDescent="0.25">
      <c r="B504" s="610"/>
      <c r="C504" s="610"/>
      <c r="D504" s="610"/>
      <c r="E504" s="610"/>
      <c r="F504" s="610"/>
      <c r="G504" s="610"/>
      <c r="H504" s="610"/>
      <c r="I504" s="610"/>
      <c r="J504" s="610"/>
      <c r="K504" s="610"/>
      <c r="L504" s="610"/>
      <c r="M504" s="610"/>
      <c r="N504" s="610"/>
      <c r="O504" s="610"/>
      <c r="P504" s="610"/>
      <c r="Q504" s="610"/>
      <c r="R504" s="610"/>
      <c r="S504" s="610"/>
      <c r="T504" s="610"/>
      <c r="U504" s="610"/>
      <c r="V504" s="141"/>
    </row>
    <row r="505" spans="2:22" ht="13.5" customHeight="1" thickBot="1" x14ac:dyDescent="0.25">
      <c r="B505" s="607" t="s">
        <v>4</v>
      </c>
      <c r="C505" s="607"/>
      <c r="D505" s="607"/>
      <c r="E505" s="607" t="s">
        <v>53</v>
      </c>
      <c r="F505" s="607"/>
      <c r="G505" s="607"/>
      <c r="H505" s="607" t="s">
        <v>61</v>
      </c>
      <c r="I505" s="607"/>
      <c r="J505" s="607"/>
      <c r="K505" s="607" t="s">
        <v>60</v>
      </c>
      <c r="L505" s="607"/>
      <c r="M505" s="607"/>
      <c r="N505" s="607" t="s">
        <v>57</v>
      </c>
      <c r="O505" s="607"/>
      <c r="P505" s="607"/>
      <c r="Q505" s="607" t="s">
        <v>56</v>
      </c>
      <c r="R505" s="607"/>
      <c r="S505" s="607"/>
      <c r="T505" s="608" t="s">
        <v>741</v>
      </c>
      <c r="U505" s="347" t="s">
        <v>144</v>
      </c>
      <c r="V505" s="141"/>
    </row>
    <row r="506" spans="2:22" ht="13.5" thickBot="1" x14ac:dyDescent="0.25">
      <c r="B506" s="347" t="s">
        <v>227</v>
      </c>
      <c r="C506" s="347" t="s">
        <v>10</v>
      </c>
      <c r="D506" s="347" t="s">
        <v>9</v>
      </c>
      <c r="E506" s="347" t="s">
        <v>227</v>
      </c>
      <c r="F506" s="347" t="s">
        <v>10</v>
      </c>
      <c r="G506" s="347" t="s">
        <v>9</v>
      </c>
      <c r="H506" s="347" t="s">
        <v>227</v>
      </c>
      <c r="I506" s="347" t="s">
        <v>10</v>
      </c>
      <c r="J506" s="347" t="s">
        <v>9</v>
      </c>
      <c r="K506" s="347" t="s">
        <v>227</v>
      </c>
      <c r="L506" s="347" t="s">
        <v>10</v>
      </c>
      <c r="M506" s="347" t="s">
        <v>9</v>
      </c>
      <c r="N506" s="347" t="s">
        <v>227</v>
      </c>
      <c r="O506" s="347" t="s">
        <v>10</v>
      </c>
      <c r="P506" s="347" t="s">
        <v>9</v>
      </c>
      <c r="Q506" s="347" t="s">
        <v>227</v>
      </c>
      <c r="R506" s="347" t="s">
        <v>10</v>
      </c>
      <c r="S506" s="347" t="s">
        <v>9</v>
      </c>
      <c r="T506" s="609"/>
      <c r="U506" s="363" t="s">
        <v>76</v>
      </c>
      <c r="V506" s="141"/>
    </row>
    <row r="507" spans="2:22" ht="13.5" thickBot="1" x14ac:dyDescent="0.25">
      <c r="B507" s="364">
        <f>SUM(C507:D507)</f>
        <v>622</v>
      </c>
      <c r="C507" s="364">
        <f>R507+O507+L507+I507+F507</f>
        <v>155</v>
      </c>
      <c r="D507" s="364">
        <f>S507+P507+M507+J507+G507</f>
        <v>467</v>
      </c>
      <c r="E507" s="364">
        <f>SUM(F507:G507)</f>
        <v>0</v>
      </c>
      <c r="F507" s="364">
        <v>0</v>
      </c>
      <c r="G507" s="364">
        <v>0</v>
      </c>
      <c r="H507" s="364">
        <f>SUM(I507:J507)</f>
        <v>366</v>
      </c>
      <c r="I507" s="364">
        <v>31</v>
      </c>
      <c r="J507" s="364">
        <v>335</v>
      </c>
      <c r="K507" s="364">
        <f>SUM(L507:M507)</f>
        <v>247</v>
      </c>
      <c r="L507" s="364">
        <v>122</v>
      </c>
      <c r="M507" s="364">
        <v>125</v>
      </c>
      <c r="N507" s="364">
        <f>SUM(O507:P507)</f>
        <v>8</v>
      </c>
      <c r="O507" s="364">
        <v>2</v>
      </c>
      <c r="P507" s="364">
        <v>6</v>
      </c>
      <c r="Q507" s="364">
        <f>SUM(R507:S507)</f>
        <v>1</v>
      </c>
      <c r="R507" s="364">
        <v>0</v>
      </c>
      <c r="S507" s="364">
        <v>1</v>
      </c>
      <c r="T507" s="353" t="s">
        <v>146</v>
      </c>
      <c r="U507" s="365"/>
      <c r="V507" s="141"/>
    </row>
    <row r="508" spans="2:22" ht="13.5" thickBot="1" x14ac:dyDescent="0.25">
      <c r="B508" s="364">
        <f t="shared" ref="B508" si="490">SUM(C508:D508)</f>
        <v>13</v>
      </c>
      <c r="C508" s="364">
        <f t="shared" ref="C508:D508" si="491">R508+O508+L508+I508+F508</f>
        <v>0</v>
      </c>
      <c r="D508" s="364">
        <f t="shared" si="491"/>
        <v>13</v>
      </c>
      <c r="E508" s="364">
        <f t="shared" ref="E508:E526" si="492">SUM(F508:G508)</f>
        <v>0</v>
      </c>
      <c r="F508" s="364">
        <v>0</v>
      </c>
      <c r="G508" s="364">
        <v>0</v>
      </c>
      <c r="H508" s="364">
        <f t="shared" ref="H508:H526" si="493">SUM(I508:J508)</f>
        <v>0</v>
      </c>
      <c r="I508" s="364">
        <v>0</v>
      </c>
      <c r="J508" s="364">
        <v>0</v>
      </c>
      <c r="K508" s="364">
        <f t="shared" ref="K508:K526" si="494">SUM(L508:M508)</f>
        <v>7</v>
      </c>
      <c r="L508" s="364">
        <v>0</v>
      </c>
      <c r="M508" s="364">
        <v>7</v>
      </c>
      <c r="N508" s="364">
        <f t="shared" ref="N508:N526" si="495">SUM(O508:P508)</f>
        <v>5</v>
      </c>
      <c r="O508" s="364">
        <v>0</v>
      </c>
      <c r="P508" s="364">
        <v>5</v>
      </c>
      <c r="Q508" s="364">
        <f t="shared" ref="Q508:Q526" si="496">SUM(R508:S508)</f>
        <v>1</v>
      </c>
      <c r="R508" s="364">
        <v>0</v>
      </c>
      <c r="S508" s="364">
        <v>1</v>
      </c>
      <c r="T508" s="353" t="s">
        <v>145</v>
      </c>
      <c r="U508" s="365" t="s">
        <v>756</v>
      </c>
      <c r="V508" s="141"/>
    </row>
    <row r="509" spans="2:22" ht="13.5" thickBot="1" x14ac:dyDescent="0.25">
      <c r="B509" s="364">
        <f t="shared" ref="B509:R509" si="497">SUM(B507:B508)</f>
        <v>635</v>
      </c>
      <c r="C509" s="364">
        <f t="shared" si="497"/>
        <v>155</v>
      </c>
      <c r="D509" s="364">
        <f t="shared" si="497"/>
        <v>480</v>
      </c>
      <c r="E509" s="364">
        <f t="shared" si="497"/>
        <v>0</v>
      </c>
      <c r="F509" s="364">
        <f t="shared" si="497"/>
        <v>0</v>
      </c>
      <c r="G509" s="364">
        <f t="shared" si="497"/>
        <v>0</v>
      </c>
      <c r="H509" s="364">
        <f t="shared" si="497"/>
        <v>366</v>
      </c>
      <c r="I509" s="364">
        <f t="shared" si="497"/>
        <v>31</v>
      </c>
      <c r="J509" s="364">
        <f t="shared" si="497"/>
        <v>335</v>
      </c>
      <c r="K509" s="364">
        <f t="shared" si="497"/>
        <v>254</v>
      </c>
      <c r="L509" s="364">
        <f t="shared" si="497"/>
        <v>122</v>
      </c>
      <c r="M509" s="364">
        <f t="shared" si="497"/>
        <v>132</v>
      </c>
      <c r="N509" s="364">
        <f t="shared" si="497"/>
        <v>13</v>
      </c>
      <c r="O509" s="364">
        <f t="shared" si="497"/>
        <v>2</v>
      </c>
      <c r="P509" s="364">
        <f t="shared" si="497"/>
        <v>11</v>
      </c>
      <c r="Q509" s="364">
        <f t="shared" si="497"/>
        <v>2</v>
      </c>
      <c r="R509" s="364">
        <f t="shared" si="497"/>
        <v>0</v>
      </c>
      <c r="S509" s="364">
        <f>SUM(S507:S508)</f>
        <v>2</v>
      </c>
      <c r="T509" s="353" t="s">
        <v>12</v>
      </c>
      <c r="U509" s="366"/>
      <c r="V509" s="141"/>
    </row>
    <row r="510" spans="2:22" ht="13.5" thickBot="1" x14ac:dyDescent="0.25">
      <c r="B510" s="364">
        <f t="shared" ref="B510:B511" si="498">SUM(C510:D510)</f>
        <v>7</v>
      </c>
      <c r="C510" s="364">
        <f t="shared" ref="C510:D511" si="499">R510+O510+L510+I510+F510</f>
        <v>7</v>
      </c>
      <c r="D510" s="364">
        <f t="shared" si="499"/>
        <v>0</v>
      </c>
      <c r="E510" s="364">
        <f t="shared" si="492"/>
        <v>0</v>
      </c>
      <c r="F510" s="364">
        <v>0</v>
      </c>
      <c r="G510" s="364">
        <v>0</v>
      </c>
      <c r="H510" s="364">
        <f t="shared" si="493"/>
        <v>0</v>
      </c>
      <c r="I510" s="364">
        <v>0</v>
      </c>
      <c r="J510" s="364">
        <v>0</v>
      </c>
      <c r="K510" s="364">
        <f t="shared" si="494"/>
        <v>7</v>
      </c>
      <c r="L510" s="364">
        <v>7</v>
      </c>
      <c r="M510" s="364">
        <v>0</v>
      </c>
      <c r="N510" s="364">
        <f t="shared" si="495"/>
        <v>0</v>
      </c>
      <c r="O510" s="364">
        <v>0</v>
      </c>
      <c r="P510" s="364">
        <v>0</v>
      </c>
      <c r="Q510" s="364">
        <f t="shared" si="496"/>
        <v>0</v>
      </c>
      <c r="R510" s="364">
        <v>0</v>
      </c>
      <c r="S510" s="364">
        <v>0</v>
      </c>
      <c r="T510" s="353" t="s">
        <v>146</v>
      </c>
      <c r="U510" s="365"/>
      <c r="V510" s="141"/>
    </row>
    <row r="511" spans="2:22" ht="13.5" thickBot="1" x14ac:dyDescent="0.25">
      <c r="B511" s="364">
        <f t="shared" si="498"/>
        <v>0</v>
      </c>
      <c r="C511" s="364">
        <f t="shared" si="499"/>
        <v>0</v>
      </c>
      <c r="D511" s="364">
        <f t="shared" si="499"/>
        <v>0</v>
      </c>
      <c r="E511" s="364">
        <f t="shared" si="492"/>
        <v>0</v>
      </c>
      <c r="F511" s="364">
        <v>0</v>
      </c>
      <c r="G511" s="364">
        <v>0</v>
      </c>
      <c r="H511" s="364">
        <f t="shared" si="493"/>
        <v>0</v>
      </c>
      <c r="I511" s="364">
        <v>0</v>
      </c>
      <c r="J511" s="364">
        <v>0</v>
      </c>
      <c r="K511" s="364">
        <f t="shared" si="494"/>
        <v>0</v>
      </c>
      <c r="L511" s="364">
        <v>0</v>
      </c>
      <c r="M511" s="364">
        <v>0</v>
      </c>
      <c r="N511" s="364">
        <f t="shared" si="495"/>
        <v>0</v>
      </c>
      <c r="O511" s="364">
        <v>0</v>
      </c>
      <c r="P511" s="364">
        <v>0</v>
      </c>
      <c r="Q511" s="364">
        <f t="shared" si="496"/>
        <v>0</v>
      </c>
      <c r="R511" s="364">
        <v>0</v>
      </c>
      <c r="S511" s="364">
        <v>0</v>
      </c>
      <c r="T511" s="353" t="s">
        <v>145</v>
      </c>
      <c r="U511" s="365" t="s">
        <v>102</v>
      </c>
      <c r="V511" s="141"/>
    </row>
    <row r="512" spans="2:22" ht="13.5" thickBot="1" x14ac:dyDescent="0.25">
      <c r="B512" s="364">
        <f t="shared" ref="B512:R512" si="500">SUM(B510:B511)</f>
        <v>7</v>
      </c>
      <c r="C512" s="364">
        <f t="shared" si="500"/>
        <v>7</v>
      </c>
      <c r="D512" s="364">
        <f t="shared" si="500"/>
        <v>0</v>
      </c>
      <c r="E512" s="364">
        <f t="shared" si="500"/>
        <v>0</v>
      </c>
      <c r="F512" s="364">
        <f t="shared" si="500"/>
        <v>0</v>
      </c>
      <c r="G512" s="364">
        <f t="shared" si="500"/>
        <v>0</v>
      </c>
      <c r="H512" s="364">
        <f t="shared" si="500"/>
        <v>0</v>
      </c>
      <c r="I512" s="364">
        <f t="shared" si="500"/>
        <v>0</v>
      </c>
      <c r="J512" s="364">
        <f t="shared" si="500"/>
        <v>0</v>
      </c>
      <c r="K512" s="364">
        <f t="shared" si="500"/>
        <v>7</v>
      </c>
      <c r="L512" s="364">
        <f t="shared" si="500"/>
        <v>7</v>
      </c>
      <c r="M512" s="364">
        <f t="shared" si="500"/>
        <v>0</v>
      </c>
      <c r="N512" s="364">
        <f t="shared" si="500"/>
        <v>0</v>
      </c>
      <c r="O512" s="364">
        <f t="shared" si="500"/>
        <v>0</v>
      </c>
      <c r="P512" s="364">
        <f t="shared" si="500"/>
        <v>0</v>
      </c>
      <c r="Q512" s="364">
        <f t="shared" si="500"/>
        <v>0</v>
      </c>
      <c r="R512" s="364">
        <f t="shared" si="500"/>
        <v>0</v>
      </c>
      <c r="S512" s="364">
        <f>SUM(S510:S511)</f>
        <v>0</v>
      </c>
      <c r="T512" s="353" t="s">
        <v>12</v>
      </c>
      <c r="U512" s="366"/>
      <c r="V512" s="141"/>
    </row>
    <row r="513" spans="2:22" ht="13.5" thickBot="1" x14ac:dyDescent="0.25">
      <c r="B513" s="364">
        <f t="shared" ref="B513:B514" si="501">SUM(C513:D513)</f>
        <v>7</v>
      </c>
      <c r="C513" s="364">
        <f t="shared" ref="C513:D514" si="502">R513+O513+L513+I513+F513</f>
        <v>7</v>
      </c>
      <c r="D513" s="364">
        <f t="shared" si="502"/>
        <v>0</v>
      </c>
      <c r="E513" s="364">
        <f t="shared" si="492"/>
        <v>0</v>
      </c>
      <c r="F513" s="364">
        <v>0</v>
      </c>
      <c r="G513" s="364">
        <v>0</v>
      </c>
      <c r="H513" s="364">
        <f t="shared" si="493"/>
        <v>0</v>
      </c>
      <c r="I513" s="364">
        <v>0</v>
      </c>
      <c r="J513" s="364">
        <v>0</v>
      </c>
      <c r="K513" s="364">
        <f t="shared" si="494"/>
        <v>7</v>
      </c>
      <c r="L513" s="364">
        <v>7</v>
      </c>
      <c r="M513" s="364">
        <v>0</v>
      </c>
      <c r="N513" s="364">
        <f t="shared" si="495"/>
        <v>0</v>
      </c>
      <c r="O513" s="364">
        <v>0</v>
      </c>
      <c r="P513" s="364">
        <v>0</v>
      </c>
      <c r="Q513" s="364">
        <f t="shared" si="496"/>
        <v>0</v>
      </c>
      <c r="R513" s="364">
        <v>0</v>
      </c>
      <c r="S513" s="364">
        <v>0</v>
      </c>
      <c r="T513" s="353" t="s">
        <v>146</v>
      </c>
      <c r="U513" s="365"/>
      <c r="V513" s="141"/>
    </row>
    <row r="514" spans="2:22" ht="13.5" thickBot="1" x14ac:dyDescent="0.25">
      <c r="B514" s="364">
        <f t="shared" si="501"/>
        <v>0</v>
      </c>
      <c r="C514" s="364">
        <f t="shared" si="502"/>
        <v>0</v>
      </c>
      <c r="D514" s="364">
        <f t="shared" si="502"/>
        <v>0</v>
      </c>
      <c r="E514" s="364">
        <f t="shared" si="492"/>
        <v>0</v>
      </c>
      <c r="F514" s="364">
        <v>0</v>
      </c>
      <c r="G514" s="364">
        <v>0</v>
      </c>
      <c r="H514" s="364">
        <f t="shared" si="493"/>
        <v>0</v>
      </c>
      <c r="I514" s="364">
        <v>0</v>
      </c>
      <c r="J514" s="364">
        <v>0</v>
      </c>
      <c r="K514" s="364">
        <f t="shared" si="494"/>
        <v>0</v>
      </c>
      <c r="L514" s="364">
        <v>0</v>
      </c>
      <c r="M514" s="364">
        <v>0</v>
      </c>
      <c r="N514" s="364">
        <f t="shared" si="495"/>
        <v>0</v>
      </c>
      <c r="O514" s="364">
        <v>0</v>
      </c>
      <c r="P514" s="364">
        <v>0</v>
      </c>
      <c r="Q514" s="364">
        <f t="shared" si="496"/>
        <v>0</v>
      </c>
      <c r="R514" s="364">
        <v>0</v>
      </c>
      <c r="S514" s="364">
        <v>0</v>
      </c>
      <c r="T514" s="353" t="s">
        <v>145</v>
      </c>
      <c r="U514" s="365" t="s">
        <v>484</v>
      </c>
      <c r="V514" s="141"/>
    </row>
    <row r="515" spans="2:22" ht="13.5" thickBot="1" x14ac:dyDescent="0.25">
      <c r="B515" s="364">
        <f t="shared" ref="B515:R515" si="503">SUM(B513:B514)</f>
        <v>7</v>
      </c>
      <c r="C515" s="364">
        <f t="shared" si="503"/>
        <v>7</v>
      </c>
      <c r="D515" s="364">
        <f t="shared" si="503"/>
        <v>0</v>
      </c>
      <c r="E515" s="364">
        <f t="shared" si="503"/>
        <v>0</v>
      </c>
      <c r="F515" s="364">
        <f t="shared" si="503"/>
        <v>0</v>
      </c>
      <c r="G515" s="364">
        <f t="shared" si="503"/>
        <v>0</v>
      </c>
      <c r="H515" s="364">
        <f t="shared" si="503"/>
        <v>0</v>
      </c>
      <c r="I515" s="364">
        <f t="shared" si="503"/>
        <v>0</v>
      </c>
      <c r="J515" s="364">
        <f t="shared" si="503"/>
        <v>0</v>
      </c>
      <c r="K515" s="364">
        <f t="shared" si="503"/>
        <v>7</v>
      </c>
      <c r="L515" s="364">
        <f t="shared" si="503"/>
        <v>7</v>
      </c>
      <c r="M515" s="364">
        <f t="shared" si="503"/>
        <v>0</v>
      </c>
      <c r="N515" s="364">
        <f t="shared" si="503"/>
        <v>0</v>
      </c>
      <c r="O515" s="364">
        <f t="shared" si="503"/>
        <v>0</v>
      </c>
      <c r="P515" s="364">
        <f t="shared" si="503"/>
        <v>0</v>
      </c>
      <c r="Q515" s="364">
        <f t="shared" si="503"/>
        <v>0</v>
      </c>
      <c r="R515" s="364">
        <f t="shared" si="503"/>
        <v>0</v>
      </c>
      <c r="S515" s="364">
        <f>SUM(S513:S514)</f>
        <v>0</v>
      </c>
      <c r="T515" s="353" t="s">
        <v>12</v>
      </c>
      <c r="U515" s="366"/>
      <c r="V515" s="141"/>
    </row>
    <row r="516" spans="2:22" ht="13.5" thickBot="1" x14ac:dyDescent="0.25">
      <c r="B516" s="364">
        <f t="shared" ref="B516:B517" si="504">SUM(C516:D516)</f>
        <v>27</v>
      </c>
      <c r="C516" s="364">
        <f t="shared" ref="C516:D517" si="505">R516+O516+L516+I516+F516</f>
        <v>26</v>
      </c>
      <c r="D516" s="364">
        <f t="shared" si="505"/>
        <v>1</v>
      </c>
      <c r="E516" s="364">
        <f t="shared" si="492"/>
        <v>7</v>
      </c>
      <c r="F516" s="364">
        <v>7</v>
      </c>
      <c r="G516" s="364">
        <v>0</v>
      </c>
      <c r="H516" s="364">
        <f t="shared" si="493"/>
        <v>3</v>
      </c>
      <c r="I516" s="364">
        <v>2</v>
      </c>
      <c r="J516" s="364">
        <v>1</v>
      </c>
      <c r="K516" s="364">
        <f t="shared" si="494"/>
        <v>17</v>
      </c>
      <c r="L516" s="364">
        <v>17</v>
      </c>
      <c r="M516" s="364">
        <v>0</v>
      </c>
      <c r="N516" s="364">
        <f t="shared" si="495"/>
        <v>0</v>
      </c>
      <c r="O516" s="364">
        <v>0</v>
      </c>
      <c r="P516" s="364">
        <v>0</v>
      </c>
      <c r="Q516" s="364">
        <f t="shared" si="496"/>
        <v>0</v>
      </c>
      <c r="R516" s="364">
        <v>0</v>
      </c>
      <c r="S516" s="364">
        <v>0</v>
      </c>
      <c r="T516" s="353" t="s">
        <v>146</v>
      </c>
      <c r="U516" s="365"/>
      <c r="V516" s="141"/>
    </row>
    <row r="517" spans="2:22" ht="13.5" thickBot="1" x14ac:dyDescent="0.25">
      <c r="B517" s="364">
        <f t="shared" si="504"/>
        <v>0</v>
      </c>
      <c r="C517" s="364">
        <f t="shared" si="505"/>
        <v>0</v>
      </c>
      <c r="D517" s="364">
        <f t="shared" si="505"/>
        <v>0</v>
      </c>
      <c r="E517" s="364">
        <f t="shared" si="492"/>
        <v>0</v>
      </c>
      <c r="F517" s="364">
        <v>0</v>
      </c>
      <c r="G517" s="364">
        <v>0</v>
      </c>
      <c r="H517" s="364">
        <f t="shared" si="493"/>
        <v>0</v>
      </c>
      <c r="I517" s="364">
        <v>0</v>
      </c>
      <c r="J517" s="364">
        <v>0</v>
      </c>
      <c r="K517" s="364">
        <f t="shared" si="494"/>
        <v>0</v>
      </c>
      <c r="L517" s="364">
        <v>0</v>
      </c>
      <c r="M517" s="364">
        <v>0</v>
      </c>
      <c r="N517" s="364">
        <f t="shared" si="495"/>
        <v>0</v>
      </c>
      <c r="O517" s="364">
        <v>0</v>
      </c>
      <c r="P517" s="364">
        <v>0</v>
      </c>
      <c r="Q517" s="364">
        <f t="shared" si="496"/>
        <v>0</v>
      </c>
      <c r="R517" s="364">
        <v>0</v>
      </c>
      <c r="S517" s="364">
        <v>0</v>
      </c>
      <c r="T517" s="353" t="s">
        <v>145</v>
      </c>
      <c r="U517" s="371" t="s">
        <v>828</v>
      </c>
      <c r="V517" s="141"/>
    </row>
    <row r="518" spans="2:22" ht="13.5" thickBot="1" x14ac:dyDescent="0.25">
      <c r="B518" s="364">
        <f t="shared" ref="B518:R518" si="506">SUM(B516:B517)</f>
        <v>27</v>
      </c>
      <c r="C518" s="364">
        <f t="shared" si="506"/>
        <v>26</v>
      </c>
      <c r="D518" s="364">
        <f t="shared" si="506"/>
        <v>1</v>
      </c>
      <c r="E518" s="364">
        <f t="shared" si="506"/>
        <v>7</v>
      </c>
      <c r="F518" s="364">
        <f t="shared" si="506"/>
        <v>7</v>
      </c>
      <c r="G518" s="364">
        <f t="shared" si="506"/>
        <v>0</v>
      </c>
      <c r="H518" s="364">
        <f t="shared" si="506"/>
        <v>3</v>
      </c>
      <c r="I518" s="364">
        <f t="shared" si="506"/>
        <v>2</v>
      </c>
      <c r="J518" s="364">
        <f t="shared" si="506"/>
        <v>1</v>
      </c>
      <c r="K518" s="364">
        <f t="shared" si="506"/>
        <v>17</v>
      </c>
      <c r="L518" s="364">
        <f t="shared" si="506"/>
        <v>17</v>
      </c>
      <c r="M518" s="364">
        <f t="shared" si="506"/>
        <v>0</v>
      </c>
      <c r="N518" s="364">
        <f t="shared" si="506"/>
        <v>0</v>
      </c>
      <c r="O518" s="364">
        <f t="shared" si="506"/>
        <v>0</v>
      </c>
      <c r="P518" s="364">
        <f t="shared" si="506"/>
        <v>0</v>
      </c>
      <c r="Q518" s="364">
        <f t="shared" si="506"/>
        <v>0</v>
      </c>
      <c r="R518" s="364">
        <f t="shared" si="506"/>
        <v>0</v>
      </c>
      <c r="S518" s="364">
        <f>SUM(S516:S517)</f>
        <v>0</v>
      </c>
      <c r="T518" s="353" t="s">
        <v>12</v>
      </c>
      <c r="U518" s="366"/>
      <c r="V518" s="141"/>
    </row>
    <row r="519" spans="2:22" ht="13.5" thickBot="1" x14ac:dyDescent="0.25">
      <c r="B519" s="364">
        <f t="shared" ref="B519:B520" si="507">SUM(C519:D519)</f>
        <v>43</v>
      </c>
      <c r="C519" s="364">
        <f t="shared" ref="C519:D520" si="508">R519+O519+L519+I519+F519</f>
        <v>43</v>
      </c>
      <c r="D519" s="364">
        <f t="shared" si="508"/>
        <v>0</v>
      </c>
      <c r="E519" s="364">
        <f t="shared" si="492"/>
        <v>7</v>
      </c>
      <c r="F519" s="364">
        <v>7</v>
      </c>
      <c r="G519" s="364">
        <v>0</v>
      </c>
      <c r="H519" s="364">
        <f t="shared" si="493"/>
        <v>0</v>
      </c>
      <c r="I519" s="364">
        <v>0</v>
      </c>
      <c r="J519" s="364">
        <v>0</v>
      </c>
      <c r="K519" s="364">
        <f t="shared" si="494"/>
        <v>36</v>
      </c>
      <c r="L519" s="364">
        <v>36</v>
      </c>
      <c r="M519" s="364">
        <v>0</v>
      </c>
      <c r="N519" s="364">
        <f t="shared" si="495"/>
        <v>0</v>
      </c>
      <c r="O519" s="364">
        <v>0</v>
      </c>
      <c r="P519" s="364">
        <v>0</v>
      </c>
      <c r="Q519" s="364">
        <f t="shared" si="496"/>
        <v>0</v>
      </c>
      <c r="R519" s="364">
        <v>0</v>
      </c>
      <c r="S519" s="364">
        <v>0</v>
      </c>
      <c r="T519" s="353" t="s">
        <v>146</v>
      </c>
      <c r="U519" s="365"/>
      <c r="V519" s="141"/>
    </row>
    <row r="520" spans="2:22" ht="13.5" thickBot="1" x14ac:dyDescent="0.25">
      <c r="B520" s="364">
        <f t="shared" si="507"/>
        <v>0</v>
      </c>
      <c r="C520" s="364">
        <f t="shared" si="508"/>
        <v>0</v>
      </c>
      <c r="D520" s="364">
        <f t="shared" si="508"/>
        <v>0</v>
      </c>
      <c r="E520" s="364">
        <f t="shared" si="492"/>
        <v>0</v>
      </c>
      <c r="F520" s="364">
        <v>0</v>
      </c>
      <c r="G520" s="364">
        <v>0</v>
      </c>
      <c r="H520" s="364">
        <f t="shared" si="493"/>
        <v>0</v>
      </c>
      <c r="I520" s="364">
        <v>0</v>
      </c>
      <c r="J520" s="364">
        <v>0</v>
      </c>
      <c r="K520" s="364">
        <f t="shared" si="494"/>
        <v>0</v>
      </c>
      <c r="L520" s="364">
        <v>0</v>
      </c>
      <c r="M520" s="364">
        <v>0</v>
      </c>
      <c r="N520" s="364">
        <f t="shared" si="495"/>
        <v>0</v>
      </c>
      <c r="O520" s="364">
        <v>0</v>
      </c>
      <c r="P520" s="364">
        <v>0</v>
      </c>
      <c r="Q520" s="364">
        <f t="shared" si="496"/>
        <v>0</v>
      </c>
      <c r="R520" s="364">
        <v>0</v>
      </c>
      <c r="S520" s="364">
        <v>0</v>
      </c>
      <c r="T520" s="353" t="s">
        <v>145</v>
      </c>
      <c r="U520" s="371" t="s">
        <v>485</v>
      </c>
      <c r="V520" s="141"/>
    </row>
    <row r="521" spans="2:22" ht="13.5" thickBot="1" x14ac:dyDescent="0.25">
      <c r="B521" s="364">
        <f t="shared" ref="B521:R521" si="509">SUM(B519:B520)</f>
        <v>43</v>
      </c>
      <c r="C521" s="364">
        <f t="shared" si="509"/>
        <v>43</v>
      </c>
      <c r="D521" s="364">
        <f t="shared" si="509"/>
        <v>0</v>
      </c>
      <c r="E521" s="364">
        <f t="shared" si="509"/>
        <v>7</v>
      </c>
      <c r="F521" s="364">
        <f t="shared" si="509"/>
        <v>7</v>
      </c>
      <c r="G521" s="364">
        <f t="shared" si="509"/>
        <v>0</v>
      </c>
      <c r="H521" s="364">
        <f t="shared" si="509"/>
        <v>0</v>
      </c>
      <c r="I521" s="364">
        <f t="shared" si="509"/>
        <v>0</v>
      </c>
      <c r="J521" s="364">
        <f t="shared" si="509"/>
        <v>0</v>
      </c>
      <c r="K521" s="364">
        <f t="shared" si="509"/>
        <v>36</v>
      </c>
      <c r="L521" s="364">
        <f t="shared" si="509"/>
        <v>36</v>
      </c>
      <c r="M521" s="364">
        <f t="shared" si="509"/>
        <v>0</v>
      </c>
      <c r="N521" s="364">
        <f t="shared" si="509"/>
        <v>0</v>
      </c>
      <c r="O521" s="364">
        <f t="shared" si="509"/>
        <v>0</v>
      </c>
      <c r="P521" s="364">
        <f t="shared" si="509"/>
        <v>0</v>
      </c>
      <c r="Q521" s="364">
        <f t="shared" si="509"/>
        <v>0</v>
      </c>
      <c r="R521" s="364">
        <f t="shared" si="509"/>
        <v>0</v>
      </c>
      <c r="S521" s="364">
        <f>SUM(S519:S520)</f>
        <v>0</v>
      </c>
      <c r="T521" s="353" t="s">
        <v>12</v>
      </c>
      <c r="U521" s="366"/>
      <c r="V521" s="141"/>
    </row>
    <row r="522" spans="2:22" ht="13.5" thickBot="1" x14ac:dyDescent="0.25">
      <c r="B522" s="364">
        <f t="shared" ref="B522:B523" si="510">SUM(C522:D522)</f>
        <v>17</v>
      </c>
      <c r="C522" s="364">
        <f t="shared" ref="C522:D523" si="511">R522+O522+L522+I522+F522</f>
        <v>17</v>
      </c>
      <c r="D522" s="364">
        <f t="shared" si="511"/>
        <v>0</v>
      </c>
      <c r="E522" s="364">
        <f t="shared" si="492"/>
        <v>0</v>
      </c>
      <c r="F522" s="364">
        <v>0</v>
      </c>
      <c r="G522" s="364">
        <v>0</v>
      </c>
      <c r="H522" s="364">
        <f t="shared" si="493"/>
        <v>5</v>
      </c>
      <c r="I522" s="364">
        <v>5</v>
      </c>
      <c r="J522" s="364">
        <v>0</v>
      </c>
      <c r="K522" s="364">
        <f t="shared" si="494"/>
        <v>12</v>
      </c>
      <c r="L522" s="364">
        <v>12</v>
      </c>
      <c r="M522" s="364">
        <v>0</v>
      </c>
      <c r="N522" s="364">
        <f t="shared" si="495"/>
        <v>0</v>
      </c>
      <c r="O522" s="364">
        <v>0</v>
      </c>
      <c r="P522" s="364">
        <v>0</v>
      </c>
      <c r="Q522" s="364">
        <f t="shared" si="496"/>
        <v>0</v>
      </c>
      <c r="R522" s="364">
        <v>0</v>
      </c>
      <c r="S522" s="364">
        <v>0</v>
      </c>
      <c r="T522" s="353" t="s">
        <v>146</v>
      </c>
      <c r="U522" s="365"/>
      <c r="V522" s="141"/>
    </row>
    <row r="523" spans="2:22" ht="13.5" thickBot="1" x14ac:dyDescent="0.25">
      <c r="B523" s="364">
        <f t="shared" si="510"/>
        <v>0</v>
      </c>
      <c r="C523" s="364">
        <f t="shared" si="511"/>
        <v>0</v>
      </c>
      <c r="D523" s="364">
        <f t="shared" si="511"/>
        <v>0</v>
      </c>
      <c r="E523" s="364">
        <f t="shared" si="492"/>
        <v>0</v>
      </c>
      <c r="F523" s="364">
        <v>0</v>
      </c>
      <c r="G523" s="364">
        <v>0</v>
      </c>
      <c r="H523" s="364">
        <f t="shared" si="493"/>
        <v>0</v>
      </c>
      <c r="I523" s="364">
        <v>0</v>
      </c>
      <c r="J523" s="364">
        <v>0</v>
      </c>
      <c r="K523" s="364">
        <f t="shared" si="494"/>
        <v>0</v>
      </c>
      <c r="L523" s="364">
        <v>0</v>
      </c>
      <c r="M523" s="364">
        <v>0</v>
      </c>
      <c r="N523" s="364">
        <f t="shared" si="495"/>
        <v>0</v>
      </c>
      <c r="O523" s="364">
        <v>0</v>
      </c>
      <c r="P523" s="364">
        <v>0</v>
      </c>
      <c r="Q523" s="364">
        <f t="shared" si="496"/>
        <v>0</v>
      </c>
      <c r="R523" s="364">
        <v>0</v>
      </c>
      <c r="S523" s="364">
        <v>0</v>
      </c>
      <c r="T523" s="353" t="s">
        <v>145</v>
      </c>
      <c r="U523" s="371" t="s">
        <v>486</v>
      </c>
      <c r="V523" s="141"/>
    </row>
    <row r="524" spans="2:22" ht="13.5" thickBot="1" x14ac:dyDescent="0.25">
      <c r="B524" s="364">
        <f t="shared" ref="B524:R524" si="512">SUM(B522:B523)</f>
        <v>17</v>
      </c>
      <c r="C524" s="364">
        <f t="shared" si="512"/>
        <v>17</v>
      </c>
      <c r="D524" s="364">
        <f t="shared" si="512"/>
        <v>0</v>
      </c>
      <c r="E524" s="364">
        <f t="shared" si="512"/>
        <v>0</v>
      </c>
      <c r="F524" s="364">
        <f t="shared" si="512"/>
        <v>0</v>
      </c>
      <c r="G524" s="364">
        <f t="shared" si="512"/>
        <v>0</v>
      </c>
      <c r="H524" s="364">
        <f t="shared" si="512"/>
        <v>5</v>
      </c>
      <c r="I524" s="364">
        <f t="shared" si="512"/>
        <v>5</v>
      </c>
      <c r="J524" s="364">
        <f t="shared" si="512"/>
        <v>0</v>
      </c>
      <c r="K524" s="364">
        <f t="shared" si="512"/>
        <v>12</v>
      </c>
      <c r="L524" s="364">
        <f t="shared" si="512"/>
        <v>12</v>
      </c>
      <c r="M524" s="364">
        <f t="shared" si="512"/>
        <v>0</v>
      </c>
      <c r="N524" s="364">
        <f t="shared" si="512"/>
        <v>0</v>
      </c>
      <c r="O524" s="364">
        <f t="shared" si="512"/>
        <v>0</v>
      </c>
      <c r="P524" s="364">
        <f t="shared" si="512"/>
        <v>0</v>
      </c>
      <c r="Q524" s="364">
        <f t="shared" si="512"/>
        <v>0</v>
      </c>
      <c r="R524" s="364">
        <f t="shared" si="512"/>
        <v>0</v>
      </c>
      <c r="S524" s="364">
        <f>SUM(S522:S523)</f>
        <v>0</v>
      </c>
      <c r="T524" s="353" t="s">
        <v>12</v>
      </c>
      <c r="U524" s="366"/>
      <c r="V524" s="141"/>
    </row>
    <row r="525" spans="2:22" ht="13.5" thickBot="1" x14ac:dyDescent="0.25">
      <c r="B525" s="364">
        <f t="shared" ref="B525:B526" si="513">SUM(C525:D525)</f>
        <v>17</v>
      </c>
      <c r="C525" s="364">
        <f t="shared" ref="C525:D526" si="514">R525+O525+L525+I525+F525</f>
        <v>17</v>
      </c>
      <c r="D525" s="364">
        <f t="shared" si="514"/>
        <v>0</v>
      </c>
      <c r="E525" s="364">
        <f t="shared" si="492"/>
        <v>0</v>
      </c>
      <c r="F525" s="364">
        <v>0</v>
      </c>
      <c r="G525" s="364">
        <v>0</v>
      </c>
      <c r="H525" s="364">
        <f t="shared" si="493"/>
        <v>0</v>
      </c>
      <c r="I525" s="364">
        <v>0</v>
      </c>
      <c r="J525" s="364">
        <v>0</v>
      </c>
      <c r="K525" s="364">
        <f t="shared" si="494"/>
        <v>17</v>
      </c>
      <c r="L525" s="364">
        <v>17</v>
      </c>
      <c r="M525" s="364">
        <v>0</v>
      </c>
      <c r="N525" s="364">
        <f t="shared" si="495"/>
        <v>0</v>
      </c>
      <c r="O525" s="364">
        <v>0</v>
      </c>
      <c r="P525" s="364">
        <v>0</v>
      </c>
      <c r="Q525" s="364">
        <f t="shared" si="496"/>
        <v>0</v>
      </c>
      <c r="R525" s="364">
        <v>0</v>
      </c>
      <c r="S525" s="364">
        <v>0</v>
      </c>
      <c r="T525" s="353" t="s">
        <v>146</v>
      </c>
      <c r="U525" s="365"/>
      <c r="V525" s="141"/>
    </row>
    <row r="526" spans="2:22" ht="13.5" thickBot="1" x14ac:dyDescent="0.25">
      <c r="B526" s="364">
        <f t="shared" si="513"/>
        <v>0</v>
      </c>
      <c r="C526" s="364">
        <f t="shared" si="514"/>
        <v>0</v>
      </c>
      <c r="D526" s="364">
        <f t="shared" si="514"/>
        <v>0</v>
      </c>
      <c r="E526" s="364">
        <f t="shared" si="492"/>
        <v>0</v>
      </c>
      <c r="F526" s="364">
        <v>0</v>
      </c>
      <c r="G526" s="364">
        <v>0</v>
      </c>
      <c r="H526" s="364">
        <f t="shared" si="493"/>
        <v>0</v>
      </c>
      <c r="I526" s="364">
        <v>0</v>
      </c>
      <c r="J526" s="364">
        <v>0</v>
      </c>
      <c r="K526" s="364">
        <f t="shared" si="494"/>
        <v>0</v>
      </c>
      <c r="L526" s="364">
        <v>0</v>
      </c>
      <c r="M526" s="364">
        <v>0</v>
      </c>
      <c r="N526" s="364">
        <f t="shared" si="495"/>
        <v>0</v>
      </c>
      <c r="O526" s="364">
        <v>0</v>
      </c>
      <c r="P526" s="364">
        <v>0</v>
      </c>
      <c r="Q526" s="364">
        <f t="shared" si="496"/>
        <v>0</v>
      </c>
      <c r="R526" s="364">
        <v>0</v>
      </c>
      <c r="S526" s="364">
        <v>0</v>
      </c>
      <c r="T526" s="353" t="s">
        <v>145</v>
      </c>
      <c r="U526" s="365" t="s">
        <v>487</v>
      </c>
      <c r="V526" s="141"/>
    </row>
    <row r="527" spans="2:22" ht="13.5" thickBot="1" x14ac:dyDescent="0.25">
      <c r="B527" s="364">
        <f t="shared" ref="B527:R527" si="515">SUM(B525:B526)</f>
        <v>17</v>
      </c>
      <c r="C527" s="364">
        <f t="shared" si="515"/>
        <v>17</v>
      </c>
      <c r="D527" s="364">
        <f t="shared" si="515"/>
        <v>0</v>
      </c>
      <c r="E527" s="364">
        <f t="shared" si="515"/>
        <v>0</v>
      </c>
      <c r="F527" s="364">
        <f t="shared" si="515"/>
        <v>0</v>
      </c>
      <c r="G527" s="364">
        <f t="shared" si="515"/>
        <v>0</v>
      </c>
      <c r="H527" s="364">
        <f t="shared" si="515"/>
        <v>0</v>
      </c>
      <c r="I527" s="364">
        <f t="shared" si="515"/>
        <v>0</v>
      </c>
      <c r="J527" s="364">
        <f t="shared" si="515"/>
        <v>0</v>
      </c>
      <c r="K527" s="364">
        <f t="shared" si="515"/>
        <v>17</v>
      </c>
      <c r="L527" s="364">
        <f t="shared" si="515"/>
        <v>17</v>
      </c>
      <c r="M527" s="364">
        <f t="shared" si="515"/>
        <v>0</v>
      </c>
      <c r="N527" s="364">
        <f t="shared" si="515"/>
        <v>0</v>
      </c>
      <c r="O527" s="364">
        <f t="shared" si="515"/>
        <v>0</v>
      </c>
      <c r="P527" s="364">
        <f t="shared" si="515"/>
        <v>0</v>
      </c>
      <c r="Q527" s="364">
        <f t="shared" si="515"/>
        <v>0</v>
      </c>
      <c r="R527" s="364">
        <f t="shared" si="515"/>
        <v>0</v>
      </c>
      <c r="S527" s="364">
        <f>SUM(S525:S526)</f>
        <v>0</v>
      </c>
      <c r="T527" s="353" t="s">
        <v>12</v>
      </c>
      <c r="U527" s="366"/>
      <c r="V527" s="141"/>
    </row>
    <row r="528" spans="2:22" ht="13.5" thickBot="1" x14ac:dyDescent="0.25">
      <c r="B528" s="364">
        <f t="shared" ref="B528:R530" si="516">B507+B510+B513+B516+B519+B522+B525</f>
        <v>740</v>
      </c>
      <c r="C528" s="364">
        <f t="shared" si="516"/>
        <v>272</v>
      </c>
      <c r="D528" s="364">
        <f t="shared" si="516"/>
        <v>468</v>
      </c>
      <c r="E528" s="364">
        <f t="shared" si="516"/>
        <v>14</v>
      </c>
      <c r="F528" s="364">
        <f t="shared" si="516"/>
        <v>14</v>
      </c>
      <c r="G528" s="364">
        <f t="shared" si="516"/>
        <v>0</v>
      </c>
      <c r="H528" s="364">
        <f t="shared" si="516"/>
        <v>374</v>
      </c>
      <c r="I528" s="364">
        <f t="shared" si="516"/>
        <v>38</v>
      </c>
      <c r="J528" s="364">
        <f t="shared" si="516"/>
        <v>336</v>
      </c>
      <c r="K528" s="364">
        <f t="shared" si="516"/>
        <v>343</v>
      </c>
      <c r="L528" s="364">
        <f t="shared" si="516"/>
        <v>218</v>
      </c>
      <c r="M528" s="364">
        <f t="shared" si="516"/>
        <v>125</v>
      </c>
      <c r="N528" s="364">
        <f t="shared" si="516"/>
        <v>8</v>
      </c>
      <c r="O528" s="364">
        <f t="shared" si="516"/>
        <v>2</v>
      </c>
      <c r="P528" s="364">
        <f t="shared" si="516"/>
        <v>6</v>
      </c>
      <c r="Q528" s="364">
        <f t="shared" si="516"/>
        <v>1</v>
      </c>
      <c r="R528" s="364">
        <f t="shared" si="516"/>
        <v>0</v>
      </c>
      <c r="S528" s="364">
        <f>S507+S510+S513+S516+S519+S522+S525</f>
        <v>1</v>
      </c>
      <c r="T528" s="353" t="s">
        <v>146</v>
      </c>
      <c r="U528" s="367"/>
      <c r="V528" s="141"/>
    </row>
    <row r="529" spans="2:22" ht="13.5" thickBot="1" x14ac:dyDescent="0.25">
      <c r="B529" s="364">
        <f t="shared" si="516"/>
        <v>13</v>
      </c>
      <c r="C529" s="364">
        <f t="shared" si="516"/>
        <v>0</v>
      </c>
      <c r="D529" s="364">
        <f t="shared" si="516"/>
        <v>13</v>
      </c>
      <c r="E529" s="364">
        <f t="shared" si="516"/>
        <v>0</v>
      </c>
      <c r="F529" s="364">
        <f t="shared" si="516"/>
        <v>0</v>
      </c>
      <c r="G529" s="364">
        <f t="shared" si="516"/>
        <v>0</v>
      </c>
      <c r="H529" s="364">
        <f t="shared" si="516"/>
        <v>0</v>
      </c>
      <c r="I529" s="364">
        <f t="shared" si="516"/>
        <v>0</v>
      </c>
      <c r="J529" s="364">
        <f t="shared" si="516"/>
        <v>0</v>
      </c>
      <c r="K529" s="364">
        <f t="shared" si="516"/>
        <v>7</v>
      </c>
      <c r="L529" s="364">
        <f t="shared" si="516"/>
        <v>0</v>
      </c>
      <c r="M529" s="364">
        <f t="shared" si="516"/>
        <v>7</v>
      </c>
      <c r="N529" s="364">
        <f t="shared" si="516"/>
        <v>5</v>
      </c>
      <c r="O529" s="364">
        <f t="shared" si="516"/>
        <v>0</v>
      </c>
      <c r="P529" s="364">
        <f t="shared" si="516"/>
        <v>5</v>
      </c>
      <c r="Q529" s="364">
        <f t="shared" si="516"/>
        <v>1</v>
      </c>
      <c r="R529" s="364">
        <f t="shared" si="516"/>
        <v>0</v>
      </c>
      <c r="S529" s="364">
        <f t="shared" ref="S529:S530" si="517">S508+S511+S514+S517+S520+S523+S526</f>
        <v>1</v>
      </c>
      <c r="T529" s="353" t="s">
        <v>145</v>
      </c>
      <c r="U529" s="368" t="s">
        <v>188</v>
      </c>
      <c r="V529" s="141"/>
    </row>
    <row r="530" spans="2:22" ht="13.5" thickBot="1" x14ac:dyDescent="0.25">
      <c r="B530" s="364">
        <f t="shared" si="516"/>
        <v>753</v>
      </c>
      <c r="C530" s="364">
        <f t="shared" si="516"/>
        <v>272</v>
      </c>
      <c r="D530" s="364">
        <f t="shared" si="516"/>
        <v>481</v>
      </c>
      <c r="E530" s="364">
        <f t="shared" si="516"/>
        <v>14</v>
      </c>
      <c r="F530" s="364">
        <f t="shared" si="516"/>
        <v>14</v>
      </c>
      <c r="G530" s="364">
        <f t="shared" si="516"/>
        <v>0</v>
      </c>
      <c r="H530" s="364">
        <f t="shared" si="516"/>
        <v>374</v>
      </c>
      <c r="I530" s="364">
        <f t="shared" si="516"/>
        <v>38</v>
      </c>
      <c r="J530" s="364">
        <f t="shared" si="516"/>
        <v>336</v>
      </c>
      <c r="K530" s="364">
        <f t="shared" si="516"/>
        <v>350</v>
      </c>
      <c r="L530" s="364">
        <f t="shared" si="516"/>
        <v>218</v>
      </c>
      <c r="M530" s="364">
        <f t="shared" si="516"/>
        <v>132</v>
      </c>
      <c r="N530" s="364">
        <f t="shared" si="516"/>
        <v>13</v>
      </c>
      <c r="O530" s="364">
        <f t="shared" si="516"/>
        <v>2</v>
      </c>
      <c r="P530" s="364">
        <f t="shared" si="516"/>
        <v>11</v>
      </c>
      <c r="Q530" s="364">
        <f t="shared" si="516"/>
        <v>2</v>
      </c>
      <c r="R530" s="364">
        <f t="shared" si="516"/>
        <v>0</v>
      </c>
      <c r="S530" s="364">
        <f t="shared" si="517"/>
        <v>2</v>
      </c>
      <c r="T530" s="353" t="s">
        <v>12</v>
      </c>
      <c r="U530" s="363"/>
      <c r="V530" s="141"/>
    </row>
    <row r="531" spans="2:22" ht="18" customHeight="1" thickBot="1" x14ac:dyDescent="0.25">
      <c r="B531" s="610"/>
      <c r="C531" s="610"/>
      <c r="D531" s="610"/>
      <c r="E531" s="610"/>
      <c r="F531" s="610"/>
      <c r="G531" s="610"/>
      <c r="H531" s="610"/>
      <c r="I531" s="610"/>
      <c r="J531" s="610"/>
      <c r="K531" s="610"/>
      <c r="L531" s="610"/>
      <c r="M531" s="610"/>
      <c r="N531" s="610"/>
      <c r="O531" s="610"/>
      <c r="P531" s="610"/>
      <c r="Q531" s="610"/>
      <c r="R531" s="610"/>
      <c r="S531" s="610"/>
      <c r="T531" s="610"/>
      <c r="U531" s="610"/>
      <c r="V531" s="141"/>
    </row>
    <row r="532" spans="2:22" ht="13.5" customHeight="1" thickBot="1" x14ac:dyDescent="0.25">
      <c r="B532" s="607" t="s">
        <v>4</v>
      </c>
      <c r="C532" s="607"/>
      <c r="D532" s="607"/>
      <c r="E532" s="607" t="s">
        <v>53</v>
      </c>
      <c r="F532" s="607"/>
      <c r="G532" s="607"/>
      <c r="H532" s="607" t="s">
        <v>61</v>
      </c>
      <c r="I532" s="607"/>
      <c r="J532" s="607"/>
      <c r="K532" s="607" t="s">
        <v>60</v>
      </c>
      <c r="L532" s="607"/>
      <c r="M532" s="607"/>
      <c r="N532" s="607" t="s">
        <v>57</v>
      </c>
      <c r="O532" s="607"/>
      <c r="P532" s="607"/>
      <c r="Q532" s="607" t="s">
        <v>56</v>
      </c>
      <c r="R532" s="607"/>
      <c r="S532" s="607"/>
      <c r="T532" s="608" t="s">
        <v>741</v>
      </c>
      <c r="U532" s="347" t="s">
        <v>144</v>
      </c>
      <c r="V532" s="141"/>
    </row>
    <row r="533" spans="2:22" ht="13.5" thickBot="1" x14ac:dyDescent="0.25">
      <c r="B533" s="347" t="s">
        <v>227</v>
      </c>
      <c r="C533" s="347" t="s">
        <v>10</v>
      </c>
      <c r="D533" s="347" t="s">
        <v>9</v>
      </c>
      <c r="E533" s="347" t="s">
        <v>227</v>
      </c>
      <c r="F533" s="347" t="s">
        <v>10</v>
      </c>
      <c r="G533" s="347" t="s">
        <v>9</v>
      </c>
      <c r="H533" s="347" t="s">
        <v>227</v>
      </c>
      <c r="I533" s="347" t="s">
        <v>10</v>
      </c>
      <c r="J533" s="347" t="s">
        <v>9</v>
      </c>
      <c r="K533" s="347" t="s">
        <v>227</v>
      </c>
      <c r="L533" s="347" t="s">
        <v>10</v>
      </c>
      <c r="M533" s="347" t="s">
        <v>9</v>
      </c>
      <c r="N533" s="347" t="s">
        <v>227</v>
      </c>
      <c r="O533" s="347" t="s">
        <v>10</v>
      </c>
      <c r="P533" s="347" t="s">
        <v>9</v>
      </c>
      <c r="Q533" s="347" t="s">
        <v>227</v>
      </c>
      <c r="R533" s="347" t="s">
        <v>10</v>
      </c>
      <c r="S533" s="347" t="s">
        <v>9</v>
      </c>
      <c r="T533" s="609"/>
      <c r="U533" s="363" t="s">
        <v>77</v>
      </c>
      <c r="V533" s="141"/>
    </row>
    <row r="534" spans="2:22" ht="13.5" thickBot="1" x14ac:dyDescent="0.25">
      <c r="B534" s="364">
        <f>SUM(C534:D534)</f>
        <v>587</v>
      </c>
      <c r="C534" s="364">
        <f>R534+O534+L534+I534+F534</f>
        <v>195</v>
      </c>
      <c r="D534" s="364">
        <f>S534+P534+M534+J534+G534</f>
        <v>392</v>
      </c>
      <c r="E534" s="364">
        <f>SUM(F534:G534)</f>
        <v>195</v>
      </c>
      <c r="F534" s="364">
        <v>56</v>
      </c>
      <c r="G534" s="364">
        <v>139</v>
      </c>
      <c r="H534" s="364">
        <f>SUM(I534:J534)</f>
        <v>110</v>
      </c>
      <c r="I534" s="364">
        <v>31</v>
      </c>
      <c r="J534" s="364">
        <v>79</v>
      </c>
      <c r="K534" s="364">
        <f>SUM(L534:M534)</f>
        <v>275</v>
      </c>
      <c r="L534" s="364">
        <v>108</v>
      </c>
      <c r="M534" s="364">
        <v>167</v>
      </c>
      <c r="N534" s="364">
        <f>SUM(O534:P534)</f>
        <v>4</v>
      </c>
      <c r="O534" s="364">
        <v>0</v>
      </c>
      <c r="P534" s="364">
        <v>4</v>
      </c>
      <c r="Q534" s="364">
        <f>SUM(R534:S534)</f>
        <v>3</v>
      </c>
      <c r="R534" s="364">
        <v>0</v>
      </c>
      <c r="S534" s="364">
        <v>3</v>
      </c>
      <c r="T534" s="353" t="s">
        <v>146</v>
      </c>
      <c r="U534" s="365"/>
      <c r="V534" s="141"/>
    </row>
    <row r="535" spans="2:22" ht="13.5" thickBot="1" x14ac:dyDescent="0.25">
      <c r="B535" s="364">
        <f t="shared" ref="B535" si="518">SUM(C535:D535)</f>
        <v>7</v>
      </c>
      <c r="C535" s="364">
        <f t="shared" ref="C535:D535" si="519">R535+O535+L535+I535+F535</f>
        <v>0</v>
      </c>
      <c r="D535" s="364">
        <f t="shared" si="519"/>
        <v>7</v>
      </c>
      <c r="E535" s="364">
        <f t="shared" ref="E535" si="520">SUM(F535:G535)</f>
        <v>0</v>
      </c>
      <c r="F535" s="364">
        <v>0</v>
      </c>
      <c r="G535" s="364">
        <v>0</v>
      </c>
      <c r="H535" s="364">
        <f t="shared" ref="H535" si="521">SUM(I535:J535)</f>
        <v>1</v>
      </c>
      <c r="I535" s="364">
        <v>0</v>
      </c>
      <c r="J535" s="364">
        <v>1</v>
      </c>
      <c r="K535" s="364">
        <f t="shared" ref="K535" si="522">SUM(L535:M535)</f>
        <v>4</v>
      </c>
      <c r="L535" s="364">
        <v>0</v>
      </c>
      <c r="M535" s="364">
        <v>4</v>
      </c>
      <c r="N535" s="364">
        <f t="shared" ref="N535" si="523">SUM(O535:P535)</f>
        <v>2</v>
      </c>
      <c r="O535" s="364">
        <v>0</v>
      </c>
      <c r="P535" s="364">
        <v>2</v>
      </c>
      <c r="Q535" s="364">
        <f t="shared" ref="Q535" si="524">SUM(R535:S535)</f>
        <v>0</v>
      </c>
      <c r="R535" s="364">
        <v>0</v>
      </c>
      <c r="S535" s="364">
        <v>0</v>
      </c>
      <c r="T535" s="353" t="s">
        <v>145</v>
      </c>
      <c r="U535" s="371" t="s">
        <v>830</v>
      </c>
      <c r="V535" s="141"/>
    </row>
    <row r="536" spans="2:22" ht="13.5" thickBot="1" x14ac:dyDescent="0.25">
      <c r="B536" s="364">
        <f t="shared" ref="B536:R536" si="525">SUM(B534:B535)</f>
        <v>594</v>
      </c>
      <c r="C536" s="364">
        <f t="shared" si="525"/>
        <v>195</v>
      </c>
      <c r="D536" s="364">
        <f t="shared" si="525"/>
        <v>399</v>
      </c>
      <c r="E536" s="364">
        <f t="shared" si="525"/>
        <v>195</v>
      </c>
      <c r="F536" s="364">
        <f t="shared" si="525"/>
        <v>56</v>
      </c>
      <c r="G536" s="364">
        <f t="shared" si="525"/>
        <v>139</v>
      </c>
      <c r="H536" s="364">
        <f t="shared" si="525"/>
        <v>111</v>
      </c>
      <c r="I536" s="364">
        <f t="shared" si="525"/>
        <v>31</v>
      </c>
      <c r="J536" s="364">
        <f t="shared" si="525"/>
        <v>80</v>
      </c>
      <c r="K536" s="364">
        <f t="shared" si="525"/>
        <v>279</v>
      </c>
      <c r="L536" s="364">
        <f t="shared" si="525"/>
        <v>108</v>
      </c>
      <c r="M536" s="364">
        <f t="shared" si="525"/>
        <v>171</v>
      </c>
      <c r="N536" s="364">
        <f t="shared" si="525"/>
        <v>6</v>
      </c>
      <c r="O536" s="364">
        <f t="shared" si="525"/>
        <v>0</v>
      </c>
      <c r="P536" s="364">
        <f t="shared" si="525"/>
        <v>6</v>
      </c>
      <c r="Q536" s="364">
        <f t="shared" si="525"/>
        <v>3</v>
      </c>
      <c r="R536" s="364">
        <f t="shared" si="525"/>
        <v>0</v>
      </c>
      <c r="S536" s="364">
        <f>SUM(S534:S535)</f>
        <v>3</v>
      </c>
      <c r="T536" s="353" t="s">
        <v>12</v>
      </c>
      <c r="U536" s="366"/>
      <c r="V536" s="141"/>
    </row>
    <row r="537" spans="2:22" ht="13.5" thickBot="1" x14ac:dyDescent="0.25">
      <c r="B537" s="364">
        <f t="shared" ref="B537:R539" si="526">B534</f>
        <v>587</v>
      </c>
      <c r="C537" s="364">
        <f t="shared" si="526"/>
        <v>195</v>
      </c>
      <c r="D537" s="364">
        <f t="shared" si="526"/>
        <v>392</v>
      </c>
      <c r="E537" s="364">
        <f t="shared" si="526"/>
        <v>195</v>
      </c>
      <c r="F537" s="364">
        <f t="shared" si="526"/>
        <v>56</v>
      </c>
      <c r="G537" s="364">
        <f t="shared" si="526"/>
        <v>139</v>
      </c>
      <c r="H537" s="364">
        <f t="shared" si="526"/>
        <v>110</v>
      </c>
      <c r="I537" s="364">
        <f t="shared" si="526"/>
        <v>31</v>
      </c>
      <c r="J537" s="364">
        <f t="shared" si="526"/>
        <v>79</v>
      </c>
      <c r="K537" s="364">
        <f t="shared" si="526"/>
        <v>275</v>
      </c>
      <c r="L537" s="364">
        <f t="shared" si="526"/>
        <v>108</v>
      </c>
      <c r="M537" s="364">
        <f t="shared" si="526"/>
        <v>167</v>
      </c>
      <c r="N537" s="364">
        <f t="shared" si="526"/>
        <v>4</v>
      </c>
      <c r="O537" s="364">
        <f t="shared" si="526"/>
        <v>0</v>
      </c>
      <c r="P537" s="364">
        <f t="shared" si="526"/>
        <v>4</v>
      </c>
      <c r="Q537" s="364">
        <f t="shared" si="526"/>
        <v>3</v>
      </c>
      <c r="R537" s="364">
        <f t="shared" si="526"/>
        <v>0</v>
      </c>
      <c r="S537" s="364">
        <f>S534</f>
        <v>3</v>
      </c>
      <c r="T537" s="353" t="s">
        <v>146</v>
      </c>
      <c r="U537" s="367"/>
      <c r="V537" s="141"/>
    </row>
    <row r="538" spans="2:22" ht="13.5" thickBot="1" x14ac:dyDescent="0.25">
      <c r="B538" s="364">
        <f t="shared" si="526"/>
        <v>7</v>
      </c>
      <c r="C538" s="364">
        <f t="shared" si="526"/>
        <v>0</v>
      </c>
      <c r="D538" s="364">
        <f t="shared" si="526"/>
        <v>7</v>
      </c>
      <c r="E538" s="364">
        <f t="shared" si="526"/>
        <v>0</v>
      </c>
      <c r="F538" s="364">
        <f t="shared" si="526"/>
        <v>0</v>
      </c>
      <c r="G538" s="364">
        <f t="shared" si="526"/>
        <v>0</v>
      </c>
      <c r="H538" s="364">
        <f t="shared" si="526"/>
        <v>1</v>
      </c>
      <c r="I538" s="364">
        <f t="shared" si="526"/>
        <v>0</v>
      </c>
      <c r="J538" s="364">
        <f t="shared" si="526"/>
        <v>1</v>
      </c>
      <c r="K538" s="364">
        <f t="shared" si="526"/>
        <v>4</v>
      </c>
      <c r="L538" s="364">
        <f t="shared" si="526"/>
        <v>0</v>
      </c>
      <c r="M538" s="364">
        <f t="shared" si="526"/>
        <v>4</v>
      </c>
      <c r="N538" s="364">
        <f t="shared" si="526"/>
        <v>2</v>
      </c>
      <c r="O538" s="364">
        <f t="shared" si="526"/>
        <v>0</v>
      </c>
      <c r="P538" s="364">
        <f t="shared" si="526"/>
        <v>2</v>
      </c>
      <c r="Q538" s="364">
        <f t="shared" si="526"/>
        <v>0</v>
      </c>
      <c r="R538" s="364">
        <f t="shared" si="526"/>
        <v>0</v>
      </c>
      <c r="S538" s="364">
        <f t="shared" ref="S538:S539" si="527">S535</f>
        <v>0</v>
      </c>
      <c r="T538" s="353" t="s">
        <v>145</v>
      </c>
      <c r="U538" s="368" t="s">
        <v>188</v>
      </c>
      <c r="V538" s="141"/>
    </row>
    <row r="539" spans="2:22" ht="13.5" thickBot="1" x14ac:dyDescent="0.25">
      <c r="B539" s="364">
        <f t="shared" si="526"/>
        <v>594</v>
      </c>
      <c r="C539" s="364">
        <f t="shared" si="526"/>
        <v>195</v>
      </c>
      <c r="D539" s="364">
        <f t="shared" si="526"/>
        <v>399</v>
      </c>
      <c r="E539" s="364">
        <f t="shared" si="526"/>
        <v>195</v>
      </c>
      <c r="F539" s="364">
        <f t="shared" si="526"/>
        <v>56</v>
      </c>
      <c r="G539" s="364">
        <f t="shared" si="526"/>
        <v>139</v>
      </c>
      <c r="H539" s="364">
        <f t="shared" si="526"/>
        <v>111</v>
      </c>
      <c r="I539" s="364">
        <f t="shared" si="526"/>
        <v>31</v>
      </c>
      <c r="J539" s="364">
        <f t="shared" si="526"/>
        <v>80</v>
      </c>
      <c r="K539" s="364">
        <f t="shared" si="526"/>
        <v>279</v>
      </c>
      <c r="L539" s="364">
        <f t="shared" si="526"/>
        <v>108</v>
      </c>
      <c r="M539" s="364">
        <f t="shared" si="526"/>
        <v>171</v>
      </c>
      <c r="N539" s="364">
        <f t="shared" si="526"/>
        <v>6</v>
      </c>
      <c r="O539" s="364">
        <f t="shared" si="526"/>
        <v>0</v>
      </c>
      <c r="P539" s="364">
        <f t="shared" si="526"/>
        <v>6</v>
      </c>
      <c r="Q539" s="364">
        <f t="shared" si="526"/>
        <v>3</v>
      </c>
      <c r="R539" s="364">
        <f t="shared" si="526"/>
        <v>0</v>
      </c>
      <c r="S539" s="364">
        <f t="shared" si="527"/>
        <v>3</v>
      </c>
      <c r="T539" s="353" t="s">
        <v>12</v>
      </c>
      <c r="U539" s="363"/>
      <c r="V539" s="141"/>
    </row>
    <row r="540" spans="2:22" ht="18" customHeight="1" thickBot="1" x14ac:dyDescent="0.25">
      <c r="B540" s="610"/>
      <c r="C540" s="610"/>
      <c r="D540" s="610"/>
      <c r="E540" s="610"/>
      <c r="F540" s="610"/>
      <c r="G540" s="610"/>
      <c r="H540" s="610"/>
      <c r="I540" s="610"/>
      <c r="J540" s="610"/>
      <c r="K540" s="610"/>
      <c r="L540" s="610"/>
      <c r="M540" s="610"/>
      <c r="N540" s="610"/>
      <c r="O540" s="610"/>
      <c r="P540" s="610"/>
      <c r="Q540" s="610"/>
      <c r="R540" s="610"/>
      <c r="S540" s="610"/>
      <c r="T540" s="610"/>
      <c r="U540" s="610"/>
      <c r="V540" s="141"/>
    </row>
    <row r="541" spans="2:22" ht="13.5" thickBot="1" x14ac:dyDescent="0.25">
      <c r="B541" s="607" t="s">
        <v>4</v>
      </c>
      <c r="C541" s="607"/>
      <c r="D541" s="607"/>
      <c r="E541" s="607" t="s">
        <v>53</v>
      </c>
      <c r="F541" s="607"/>
      <c r="G541" s="607"/>
      <c r="H541" s="607" t="s">
        <v>61</v>
      </c>
      <c r="I541" s="607"/>
      <c r="J541" s="607"/>
      <c r="K541" s="607" t="s">
        <v>60</v>
      </c>
      <c r="L541" s="607"/>
      <c r="M541" s="607"/>
      <c r="N541" s="607" t="s">
        <v>57</v>
      </c>
      <c r="O541" s="607"/>
      <c r="P541" s="607"/>
      <c r="Q541" s="607" t="s">
        <v>56</v>
      </c>
      <c r="R541" s="607"/>
      <c r="S541" s="607"/>
      <c r="T541" s="608" t="s">
        <v>741</v>
      </c>
      <c r="U541" s="347" t="s">
        <v>144</v>
      </c>
      <c r="V541" s="141"/>
    </row>
    <row r="542" spans="2:22" ht="13.5" thickBot="1" x14ac:dyDescent="0.25">
      <c r="B542" s="347" t="s">
        <v>227</v>
      </c>
      <c r="C542" s="347" t="s">
        <v>10</v>
      </c>
      <c r="D542" s="347" t="s">
        <v>9</v>
      </c>
      <c r="E542" s="347" t="s">
        <v>227</v>
      </c>
      <c r="F542" s="347" t="s">
        <v>10</v>
      </c>
      <c r="G542" s="347" t="s">
        <v>9</v>
      </c>
      <c r="H542" s="347" t="s">
        <v>227</v>
      </c>
      <c r="I542" s="347" t="s">
        <v>10</v>
      </c>
      <c r="J542" s="347" t="s">
        <v>9</v>
      </c>
      <c r="K542" s="347" t="s">
        <v>227</v>
      </c>
      <c r="L542" s="347" t="s">
        <v>10</v>
      </c>
      <c r="M542" s="347" t="s">
        <v>9</v>
      </c>
      <c r="N542" s="347" t="s">
        <v>227</v>
      </c>
      <c r="O542" s="347" t="s">
        <v>10</v>
      </c>
      <c r="P542" s="347" t="s">
        <v>9</v>
      </c>
      <c r="Q542" s="347" t="s">
        <v>227</v>
      </c>
      <c r="R542" s="347" t="s">
        <v>10</v>
      </c>
      <c r="S542" s="347" t="s">
        <v>9</v>
      </c>
      <c r="T542" s="609"/>
      <c r="U542" s="363" t="s">
        <v>148</v>
      </c>
      <c r="V542" s="141"/>
    </row>
    <row r="543" spans="2:22" ht="13.5" thickBot="1" x14ac:dyDescent="0.25">
      <c r="B543" s="364">
        <v>5</v>
      </c>
      <c r="C543" s="364">
        <v>3</v>
      </c>
      <c r="D543" s="364">
        <v>2</v>
      </c>
      <c r="E543" s="364">
        <v>0</v>
      </c>
      <c r="F543" s="364">
        <v>0</v>
      </c>
      <c r="G543" s="364">
        <v>0</v>
      </c>
      <c r="H543" s="364">
        <v>3</v>
      </c>
      <c r="I543" s="364">
        <v>1</v>
      </c>
      <c r="J543" s="364">
        <v>2</v>
      </c>
      <c r="K543" s="364">
        <v>2</v>
      </c>
      <c r="L543" s="364">
        <v>2</v>
      </c>
      <c r="M543" s="364">
        <v>0</v>
      </c>
      <c r="N543" s="364">
        <v>0</v>
      </c>
      <c r="O543" s="364">
        <v>0</v>
      </c>
      <c r="P543" s="364">
        <v>0</v>
      </c>
      <c r="Q543" s="364">
        <v>0</v>
      </c>
      <c r="R543" s="364">
        <v>0</v>
      </c>
      <c r="S543" s="364">
        <v>0</v>
      </c>
      <c r="T543" s="353" t="s">
        <v>146</v>
      </c>
      <c r="U543" s="365"/>
      <c r="V543" s="141"/>
    </row>
    <row r="544" spans="2:22" ht="13.5" thickBot="1" x14ac:dyDescent="0.25">
      <c r="B544" s="364">
        <v>2</v>
      </c>
      <c r="C544" s="364">
        <v>1</v>
      </c>
      <c r="D544" s="364">
        <v>1</v>
      </c>
      <c r="E544" s="364">
        <v>0</v>
      </c>
      <c r="F544" s="364">
        <v>0</v>
      </c>
      <c r="G544" s="364">
        <v>0</v>
      </c>
      <c r="H544" s="364">
        <v>0</v>
      </c>
      <c r="I544" s="364">
        <v>0</v>
      </c>
      <c r="J544" s="364">
        <v>0</v>
      </c>
      <c r="K544" s="364">
        <v>1</v>
      </c>
      <c r="L544" s="364">
        <v>1</v>
      </c>
      <c r="M544" s="364">
        <v>0</v>
      </c>
      <c r="N544" s="364">
        <v>1</v>
      </c>
      <c r="O544" s="364">
        <v>0</v>
      </c>
      <c r="P544" s="364">
        <v>1</v>
      </c>
      <c r="Q544" s="364">
        <v>0</v>
      </c>
      <c r="R544" s="364">
        <v>0</v>
      </c>
      <c r="S544" s="364">
        <v>0</v>
      </c>
      <c r="T544" s="353" t="s">
        <v>145</v>
      </c>
      <c r="U544" s="365" t="s">
        <v>602</v>
      </c>
      <c r="V544" s="141"/>
    </row>
    <row r="545" spans="2:22" ht="13.5" thickBot="1" x14ac:dyDescent="0.25">
      <c r="B545" s="364">
        <v>7</v>
      </c>
      <c r="C545" s="364">
        <v>4</v>
      </c>
      <c r="D545" s="364">
        <v>3</v>
      </c>
      <c r="E545" s="364">
        <v>0</v>
      </c>
      <c r="F545" s="364">
        <v>0</v>
      </c>
      <c r="G545" s="364">
        <v>0</v>
      </c>
      <c r="H545" s="364">
        <v>3</v>
      </c>
      <c r="I545" s="364">
        <v>1</v>
      </c>
      <c r="J545" s="364">
        <v>2</v>
      </c>
      <c r="K545" s="364">
        <v>3</v>
      </c>
      <c r="L545" s="364">
        <v>3</v>
      </c>
      <c r="M545" s="364">
        <v>0</v>
      </c>
      <c r="N545" s="364">
        <v>1</v>
      </c>
      <c r="O545" s="364">
        <v>0</v>
      </c>
      <c r="P545" s="364">
        <v>1</v>
      </c>
      <c r="Q545" s="364">
        <v>0</v>
      </c>
      <c r="R545" s="364">
        <v>0</v>
      </c>
      <c r="S545" s="364">
        <v>0</v>
      </c>
      <c r="T545" s="353" t="s">
        <v>12</v>
      </c>
      <c r="U545" s="366"/>
      <c r="V545" s="141"/>
    </row>
    <row r="546" spans="2:22" ht="13.5" thickBot="1" x14ac:dyDescent="0.25">
      <c r="B546" s="364">
        <v>5</v>
      </c>
      <c r="C546" s="364">
        <v>2</v>
      </c>
      <c r="D546" s="364">
        <v>3</v>
      </c>
      <c r="E546" s="364">
        <v>0</v>
      </c>
      <c r="F546" s="364">
        <v>0</v>
      </c>
      <c r="G546" s="364">
        <v>0</v>
      </c>
      <c r="H546" s="364">
        <v>0</v>
      </c>
      <c r="I546" s="364">
        <v>0</v>
      </c>
      <c r="J546" s="364">
        <v>0</v>
      </c>
      <c r="K546" s="364">
        <v>2</v>
      </c>
      <c r="L546" s="364">
        <v>1</v>
      </c>
      <c r="M546" s="364">
        <v>1</v>
      </c>
      <c r="N546" s="364">
        <v>0</v>
      </c>
      <c r="O546" s="364">
        <v>0</v>
      </c>
      <c r="P546" s="364">
        <v>0</v>
      </c>
      <c r="Q546" s="364">
        <v>3</v>
      </c>
      <c r="R546" s="364">
        <v>1</v>
      </c>
      <c r="S546" s="364">
        <v>2</v>
      </c>
      <c r="T546" s="353" t="s">
        <v>146</v>
      </c>
      <c r="U546" s="365"/>
      <c r="V546" s="141"/>
    </row>
    <row r="547" spans="2:22" ht="13.5" thickBot="1" x14ac:dyDescent="0.25">
      <c r="B547" s="364">
        <v>1</v>
      </c>
      <c r="C547" s="364">
        <v>1</v>
      </c>
      <c r="D547" s="364">
        <v>0</v>
      </c>
      <c r="E547" s="364">
        <v>0</v>
      </c>
      <c r="F547" s="364">
        <v>0</v>
      </c>
      <c r="G547" s="364">
        <v>0</v>
      </c>
      <c r="H547" s="364">
        <v>0</v>
      </c>
      <c r="I547" s="364">
        <v>0</v>
      </c>
      <c r="J547" s="364">
        <v>0</v>
      </c>
      <c r="K547" s="364">
        <v>1</v>
      </c>
      <c r="L547" s="364">
        <v>1</v>
      </c>
      <c r="M547" s="364">
        <v>0</v>
      </c>
      <c r="N547" s="364">
        <v>0</v>
      </c>
      <c r="O547" s="364">
        <v>0</v>
      </c>
      <c r="P547" s="364">
        <v>0</v>
      </c>
      <c r="Q547" s="364">
        <v>0</v>
      </c>
      <c r="R547" s="364">
        <v>0</v>
      </c>
      <c r="S547" s="364">
        <v>0</v>
      </c>
      <c r="T547" s="353" t="s">
        <v>145</v>
      </c>
      <c r="U547" s="365" t="s">
        <v>603</v>
      </c>
      <c r="V547" s="141"/>
    </row>
    <row r="548" spans="2:22" ht="13.5" thickBot="1" x14ac:dyDescent="0.25">
      <c r="B548" s="364">
        <v>6</v>
      </c>
      <c r="C548" s="364">
        <v>3</v>
      </c>
      <c r="D548" s="364">
        <v>3</v>
      </c>
      <c r="E548" s="364">
        <v>0</v>
      </c>
      <c r="F548" s="364">
        <v>0</v>
      </c>
      <c r="G548" s="364">
        <v>0</v>
      </c>
      <c r="H548" s="364">
        <v>0</v>
      </c>
      <c r="I548" s="364">
        <v>0</v>
      </c>
      <c r="J548" s="364">
        <v>0</v>
      </c>
      <c r="K548" s="364">
        <v>3</v>
      </c>
      <c r="L548" s="364">
        <v>2</v>
      </c>
      <c r="M548" s="364">
        <v>1</v>
      </c>
      <c r="N548" s="364">
        <v>0</v>
      </c>
      <c r="O548" s="364">
        <v>0</v>
      </c>
      <c r="P548" s="364">
        <v>0</v>
      </c>
      <c r="Q548" s="364">
        <v>3</v>
      </c>
      <c r="R548" s="364">
        <v>1</v>
      </c>
      <c r="S548" s="364">
        <v>2</v>
      </c>
      <c r="T548" s="353" t="s">
        <v>12</v>
      </c>
      <c r="U548" s="366"/>
      <c r="V548" s="141"/>
    </row>
    <row r="549" spans="2:22" ht="13.5" thickBot="1" x14ac:dyDescent="0.25">
      <c r="B549" s="364">
        <v>38</v>
      </c>
      <c r="C549" s="364">
        <v>38</v>
      </c>
      <c r="D549" s="364">
        <v>0</v>
      </c>
      <c r="E549" s="364">
        <v>0</v>
      </c>
      <c r="F549" s="364">
        <v>0</v>
      </c>
      <c r="G549" s="364">
        <v>0</v>
      </c>
      <c r="H549" s="364">
        <v>13</v>
      </c>
      <c r="I549" s="364">
        <v>13</v>
      </c>
      <c r="J549" s="364">
        <v>0</v>
      </c>
      <c r="K549" s="364">
        <v>23</v>
      </c>
      <c r="L549" s="364">
        <v>23</v>
      </c>
      <c r="M549" s="364">
        <v>0</v>
      </c>
      <c r="N549" s="364">
        <v>2</v>
      </c>
      <c r="O549" s="364">
        <v>2</v>
      </c>
      <c r="P549" s="364">
        <v>0</v>
      </c>
      <c r="Q549" s="364">
        <v>0</v>
      </c>
      <c r="R549" s="364">
        <v>0</v>
      </c>
      <c r="S549" s="364">
        <v>0</v>
      </c>
      <c r="T549" s="353" t="s">
        <v>146</v>
      </c>
      <c r="U549" s="365"/>
      <c r="V549" s="141"/>
    </row>
    <row r="550" spans="2:22" ht="13.5" thickBot="1" x14ac:dyDescent="0.25">
      <c r="B550" s="364">
        <v>13</v>
      </c>
      <c r="C550" s="364">
        <v>13</v>
      </c>
      <c r="D550" s="364">
        <v>0</v>
      </c>
      <c r="E550" s="364">
        <v>0</v>
      </c>
      <c r="F550" s="364">
        <v>0</v>
      </c>
      <c r="G550" s="364">
        <v>0</v>
      </c>
      <c r="H550" s="364">
        <v>0</v>
      </c>
      <c r="I550" s="364">
        <v>0</v>
      </c>
      <c r="J550" s="364">
        <v>0</v>
      </c>
      <c r="K550" s="364">
        <v>11</v>
      </c>
      <c r="L550" s="364">
        <v>11</v>
      </c>
      <c r="M550" s="364">
        <v>0</v>
      </c>
      <c r="N550" s="364">
        <v>1</v>
      </c>
      <c r="O550" s="364">
        <v>1</v>
      </c>
      <c r="P550" s="364">
        <v>0</v>
      </c>
      <c r="Q550" s="364">
        <v>1</v>
      </c>
      <c r="R550" s="364">
        <v>1</v>
      </c>
      <c r="S550" s="364">
        <v>0</v>
      </c>
      <c r="T550" s="353" t="s">
        <v>145</v>
      </c>
      <c r="U550" s="371" t="s">
        <v>563</v>
      </c>
      <c r="V550" s="141"/>
    </row>
    <row r="551" spans="2:22" ht="13.5" thickBot="1" x14ac:dyDescent="0.25">
      <c r="B551" s="364">
        <v>51</v>
      </c>
      <c r="C551" s="364">
        <v>51</v>
      </c>
      <c r="D551" s="364">
        <v>0</v>
      </c>
      <c r="E551" s="364">
        <v>0</v>
      </c>
      <c r="F551" s="364">
        <v>0</v>
      </c>
      <c r="G551" s="364">
        <v>0</v>
      </c>
      <c r="H551" s="364">
        <v>13</v>
      </c>
      <c r="I551" s="364">
        <v>13</v>
      </c>
      <c r="J551" s="364">
        <v>0</v>
      </c>
      <c r="K551" s="364">
        <v>34</v>
      </c>
      <c r="L551" s="364">
        <v>34</v>
      </c>
      <c r="M551" s="364">
        <v>0</v>
      </c>
      <c r="N551" s="364">
        <v>3</v>
      </c>
      <c r="O551" s="364">
        <v>3</v>
      </c>
      <c r="P551" s="364">
        <v>0</v>
      </c>
      <c r="Q551" s="364">
        <v>1</v>
      </c>
      <c r="R551" s="364">
        <v>1</v>
      </c>
      <c r="S551" s="364">
        <v>0</v>
      </c>
      <c r="T551" s="353" t="s">
        <v>12</v>
      </c>
      <c r="U551" s="366"/>
      <c r="V551" s="141"/>
    </row>
    <row r="552" spans="2:22" ht="13.5" thickBot="1" x14ac:dyDescent="0.25">
      <c r="B552" s="364">
        <v>13</v>
      </c>
      <c r="C552" s="364">
        <v>13</v>
      </c>
      <c r="D552" s="364">
        <v>0</v>
      </c>
      <c r="E552" s="364">
        <v>0</v>
      </c>
      <c r="F552" s="364">
        <v>0</v>
      </c>
      <c r="G552" s="364">
        <v>0</v>
      </c>
      <c r="H552" s="364">
        <v>0</v>
      </c>
      <c r="I552" s="364">
        <v>0</v>
      </c>
      <c r="J552" s="364">
        <v>0</v>
      </c>
      <c r="K552" s="364">
        <v>11</v>
      </c>
      <c r="L552" s="364">
        <v>11</v>
      </c>
      <c r="M552" s="364">
        <v>0</v>
      </c>
      <c r="N552" s="364">
        <v>2</v>
      </c>
      <c r="O552" s="364">
        <v>2</v>
      </c>
      <c r="P552" s="364">
        <v>0</v>
      </c>
      <c r="Q552" s="364">
        <v>0</v>
      </c>
      <c r="R552" s="364">
        <v>0</v>
      </c>
      <c r="S552" s="364">
        <v>0</v>
      </c>
      <c r="T552" s="353" t="s">
        <v>146</v>
      </c>
      <c r="U552" s="365"/>
      <c r="V552" s="141"/>
    </row>
    <row r="553" spans="2:22" ht="13.5" thickBot="1" x14ac:dyDescent="0.25">
      <c r="B553" s="364">
        <v>4</v>
      </c>
      <c r="C553" s="364">
        <v>3</v>
      </c>
      <c r="D553" s="364">
        <v>1</v>
      </c>
      <c r="E553" s="364">
        <v>0</v>
      </c>
      <c r="F553" s="364">
        <v>0</v>
      </c>
      <c r="G553" s="364">
        <v>0</v>
      </c>
      <c r="H553" s="364">
        <v>0</v>
      </c>
      <c r="I553" s="364">
        <v>0</v>
      </c>
      <c r="J553" s="364">
        <v>0</v>
      </c>
      <c r="K553" s="364">
        <v>3</v>
      </c>
      <c r="L553" s="364">
        <v>2</v>
      </c>
      <c r="M553" s="364">
        <v>1</v>
      </c>
      <c r="N553" s="364">
        <v>1</v>
      </c>
      <c r="O553" s="364">
        <v>1</v>
      </c>
      <c r="P553" s="364">
        <v>0</v>
      </c>
      <c r="Q553" s="364">
        <v>0</v>
      </c>
      <c r="R553" s="364">
        <v>0</v>
      </c>
      <c r="S553" s="364">
        <v>0</v>
      </c>
      <c r="T553" s="353" t="s">
        <v>145</v>
      </c>
      <c r="U553" s="371" t="s">
        <v>564</v>
      </c>
      <c r="V553" s="141"/>
    </row>
    <row r="554" spans="2:22" ht="13.5" thickBot="1" x14ac:dyDescent="0.25">
      <c r="B554" s="364">
        <v>17</v>
      </c>
      <c r="C554" s="364">
        <v>16</v>
      </c>
      <c r="D554" s="364">
        <v>1</v>
      </c>
      <c r="E554" s="364">
        <v>0</v>
      </c>
      <c r="F554" s="364">
        <v>0</v>
      </c>
      <c r="G554" s="364">
        <v>0</v>
      </c>
      <c r="H554" s="364">
        <v>0</v>
      </c>
      <c r="I554" s="364">
        <v>0</v>
      </c>
      <c r="J554" s="364">
        <v>0</v>
      </c>
      <c r="K554" s="364">
        <v>14</v>
      </c>
      <c r="L554" s="364">
        <v>13</v>
      </c>
      <c r="M554" s="364">
        <v>1</v>
      </c>
      <c r="N554" s="364">
        <v>3</v>
      </c>
      <c r="O554" s="364">
        <v>3</v>
      </c>
      <c r="P554" s="364">
        <v>0</v>
      </c>
      <c r="Q554" s="364">
        <v>0</v>
      </c>
      <c r="R554" s="364">
        <v>0</v>
      </c>
      <c r="S554" s="364">
        <v>0</v>
      </c>
      <c r="T554" s="353" t="s">
        <v>12</v>
      </c>
      <c r="U554" s="366"/>
      <c r="V554" s="141"/>
    </row>
    <row r="555" spans="2:22" ht="13.5" thickBot="1" x14ac:dyDescent="0.25">
      <c r="B555" s="364">
        <v>61</v>
      </c>
      <c r="C555" s="364">
        <v>56</v>
      </c>
      <c r="D555" s="364">
        <v>5</v>
      </c>
      <c r="E555" s="364">
        <v>0</v>
      </c>
      <c r="F555" s="364">
        <v>0</v>
      </c>
      <c r="G555" s="364">
        <v>0</v>
      </c>
      <c r="H555" s="364">
        <v>16</v>
      </c>
      <c r="I555" s="364">
        <v>14</v>
      </c>
      <c r="J555" s="364">
        <v>2</v>
      </c>
      <c r="K555" s="364">
        <v>38</v>
      </c>
      <c r="L555" s="364">
        <v>37</v>
      </c>
      <c r="M555" s="364">
        <v>1</v>
      </c>
      <c r="N555" s="364">
        <v>4</v>
      </c>
      <c r="O555" s="364">
        <v>4</v>
      </c>
      <c r="P555" s="364">
        <v>0</v>
      </c>
      <c r="Q555" s="364">
        <v>3</v>
      </c>
      <c r="R555" s="364">
        <v>1</v>
      </c>
      <c r="S555" s="364">
        <v>2</v>
      </c>
      <c r="T555" s="353" t="s">
        <v>146</v>
      </c>
      <c r="U555" s="367"/>
      <c r="V555" s="141"/>
    </row>
    <row r="556" spans="2:22" ht="13.5" thickBot="1" x14ac:dyDescent="0.25">
      <c r="B556" s="364">
        <v>20</v>
      </c>
      <c r="C556" s="364">
        <v>18</v>
      </c>
      <c r="D556" s="364">
        <v>2</v>
      </c>
      <c r="E556" s="364">
        <v>0</v>
      </c>
      <c r="F556" s="364">
        <v>0</v>
      </c>
      <c r="G556" s="364">
        <v>0</v>
      </c>
      <c r="H556" s="364">
        <v>0</v>
      </c>
      <c r="I556" s="364">
        <v>0</v>
      </c>
      <c r="J556" s="364">
        <v>0</v>
      </c>
      <c r="K556" s="364">
        <v>16</v>
      </c>
      <c r="L556" s="364">
        <v>15</v>
      </c>
      <c r="M556" s="364">
        <v>1</v>
      </c>
      <c r="N556" s="364">
        <v>3</v>
      </c>
      <c r="O556" s="364">
        <v>2</v>
      </c>
      <c r="P556" s="364">
        <v>1</v>
      </c>
      <c r="Q556" s="364">
        <v>1</v>
      </c>
      <c r="R556" s="364">
        <v>1</v>
      </c>
      <c r="S556" s="364">
        <v>0</v>
      </c>
      <c r="T556" s="353" t="s">
        <v>145</v>
      </c>
      <c r="U556" s="368" t="s">
        <v>188</v>
      </c>
      <c r="V556" s="141"/>
    </row>
    <row r="557" spans="2:22" ht="13.5" thickBot="1" x14ac:dyDescent="0.25">
      <c r="B557" s="364">
        <v>81</v>
      </c>
      <c r="C557" s="364">
        <v>74</v>
      </c>
      <c r="D557" s="364">
        <v>7</v>
      </c>
      <c r="E557" s="364">
        <v>0</v>
      </c>
      <c r="F557" s="364">
        <v>0</v>
      </c>
      <c r="G557" s="364">
        <v>0</v>
      </c>
      <c r="H557" s="364">
        <v>16</v>
      </c>
      <c r="I557" s="364">
        <v>14</v>
      </c>
      <c r="J557" s="364">
        <v>2</v>
      </c>
      <c r="K557" s="364">
        <v>54</v>
      </c>
      <c r="L557" s="364">
        <v>52</v>
      </c>
      <c r="M557" s="364">
        <v>2</v>
      </c>
      <c r="N557" s="364">
        <v>7</v>
      </c>
      <c r="O557" s="364">
        <v>6</v>
      </c>
      <c r="P557" s="364">
        <v>1</v>
      </c>
      <c r="Q557" s="364">
        <v>4</v>
      </c>
      <c r="R557" s="364">
        <v>2</v>
      </c>
      <c r="S557" s="364">
        <v>2</v>
      </c>
      <c r="T557" s="353" t="s">
        <v>12</v>
      </c>
      <c r="U557" s="363"/>
      <c r="V557" s="141"/>
    </row>
    <row r="558" spans="2:22" ht="18" customHeight="1" thickBot="1" x14ac:dyDescent="0.25">
      <c r="B558" s="610"/>
      <c r="C558" s="610"/>
      <c r="D558" s="610"/>
      <c r="E558" s="610"/>
      <c r="F558" s="610"/>
      <c r="G558" s="610"/>
      <c r="H558" s="610"/>
      <c r="I558" s="610"/>
      <c r="J558" s="610"/>
      <c r="K558" s="610"/>
      <c r="L558" s="610"/>
      <c r="M558" s="610"/>
      <c r="N558" s="610"/>
      <c r="O558" s="610"/>
      <c r="P558" s="610"/>
      <c r="Q558" s="610"/>
      <c r="R558" s="610"/>
      <c r="S558" s="610"/>
      <c r="T558" s="610"/>
      <c r="U558" s="610"/>
      <c r="V558" s="141"/>
    </row>
    <row r="559" spans="2:22" ht="13.5" customHeight="1" thickBot="1" x14ac:dyDescent="0.25">
      <c r="B559" s="607" t="s">
        <v>4</v>
      </c>
      <c r="C559" s="607"/>
      <c r="D559" s="607"/>
      <c r="E559" s="607" t="s">
        <v>53</v>
      </c>
      <c r="F559" s="607"/>
      <c r="G559" s="607"/>
      <c r="H559" s="607" t="s">
        <v>61</v>
      </c>
      <c r="I559" s="607"/>
      <c r="J559" s="607"/>
      <c r="K559" s="607" t="s">
        <v>60</v>
      </c>
      <c r="L559" s="607"/>
      <c r="M559" s="607"/>
      <c r="N559" s="607" t="s">
        <v>57</v>
      </c>
      <c r="O559" s="607"/>
      <c r="P559" s="607"/>
      <c r="Q559" s="607" t="s">
        <v>56</v>
      </c>
      <c r="R559" s="607"/>
      <c r="S559" s="607"/>
      <c r="T559" s="608" t="s">
        <v>741</v>
      </c>
      <c r="U559" s="347" t="s">
        <v>144</v>
      </c>
      <c r="V559" s="141"/>
    </row>
    <row r="560" spans="2:22" ht="13.5" thickBot="1" x14ac:dyDescent="0.25">
      <c r="B560" s="347" t="s">
        <v>227</v>
      </c>
      <c r="C560" s="347" t="s">
        <v>10</v>
      </c>
      <c r="D560" s="347" t="s">
        <v>9</v>
      </c>
      <c r="E560" s="347" t="s">
        <v>227</v>
      </c>
      <c r="F560" s="347" t="s">
        <v>10</v>
      </c>
      <c r="G560" s="347" t="s">
        <v>9</v>
      </c>
      <c r="H560" s="347" t="s">
        <v>227</v>
      </c>
      <c r="I560" s="347" t="s">
        <v>10</v>
      </c>
      <c r="J560" s="347" t="s">
        <v>9</v>
      </c>
      <c r="K560" s="347" t="s">
        <v>227</v>
      </c>
      <c r="L560" s="347" t="s">
        <v>10</v>
      </c>
      <c r="M560" s="347" t="s">
        <v>9</v>
      </c>
      <c r="N560" s="347" t="s">
        <v>227</v>
      </c>
      <c r="O560" s="347" t="s">
        <v>10</v>
      </c>
      <c r="P560" s="347" t="s">
        <v>9</v>
      </c>
      <c r="Q560" s="347" t="s">
        <v>227</v>
      </c>
      <c r="R560" s="347" t="s">
        <v>10</v>
      </c>
      <c r="S560" s="347" t="s">
        <v>9</v>
      </c>
      <c r="T560" s="609"/>
      <c r="U560" s="363" t="s">
        <v>106</v>
      </c>
      <c r="V560" s="141"/>
    </row>
    <row r="561" spans="2:22" ht="13.5" thickBot="1" x14ac:dyDescent="0.25">
      <c r="B561" s="364">
        <f>SUM(C561:D561)</f>
        <v>47</v>
      </c>
      <c r="C561" s="364">
        <f>R561+O561+L561+I561+F561</f>
        <v>0</v>
      </c>
      <c r="D561" s="364">
        <f>S561+P561+M561+J561+G561</f>
        <v>47</v>
      </c>
      <c r="E561" s="364">
        <f>SUM(F561:G561)</f>
        <v>6</v>
      </c>
      <c r="F561" s="364">
        <v>0</v>
      </c>
      <c r="G561" s="364">
        <v>6</v>
      </c>
      <c r="H561" s="364">
        <f>SUM(I561:J561)</f>
        <v>29</v>
      </c>
      <c r="I561" s="364">
        <v>0</v>
      </c>
      <c r="J561" s="364">
        <v>29</v>
      </c>
      <c r="K561" s="364">
        <f>SUM(L561:M561)</f>
        <v>12</v>
      </c>
      <c r="L561" s="364">
        <v>0</v>
      </c>
      <c r="M561" s="364">
        <v>12</v>
      </c>
      <c r="N561" s="364">
        <f>SUM(O561:P561)</f>
        <v>0</v>
      </c>
      <c r="O561" s="364">
        <v>0</v>
      </c>
      <c r="P561" s="364">
        <v>0</v>
      </c>
      <c r="Q561" s="364">
        <f>SUM(R561:S561)</f>
        <v>0</v>
      </c>
      <c r="R561" s="364">
        <v>0</v>
      </c>
      <c r="S561" s="364">
        <v>0</v>
      </c>
      <c r="T561" s="353" t="s">
        <v>146</v>
      </c>
      <c r="U561" s="365"/>
      <c r="V561" s="141"/>
    </row>
    <row r="562" spans="2:22" ht="13.5" thickBot="1" x14ac:dyDescent="0.25">
      <c r="B562" s="364">
        <f t="shared" ref="B562" si="528">SUM(C562:D562)</f>
        <v>2</v>
      </c>
      <c r="C562" s="364">
        <f t="shared" ref="C562:D562" si="529">R562+O562+L562+I562+F562</f>
        <v>0</v>
      </c>
      <c r="D562" s="364">
        <f t="shared" si="529"/>
        <v>2</v>
      </c>
      <c r="E562" s="364">
        <f t="shared" ref="E562:E604" si="530">SUM(F562:G562)</f>
        <v>0</v>
      </c>
      <c r="F562" s="364">
        <v>0</v>
      </c>
      <c r="G562" s="364">
        <v>0</v>
      </c>
      <c r="H562" s="364">
        <f t="shared" ref="H562:H604" si="531">SUM(I562:J562)</f>
        <v>2</v>
      </c>
      <c r="I562" s="364">
        <v>0</v>
      </c>
      <c r="J562" s="364">
        <v>2</v>
      </c>
      <c r="K562" s="364">
        <f t="shared" ref="K562:K604" si="532">SUM(L562:M562)</f>
        <v>0</v>
      </c>
      <c r="L562" s="364">
        <v>0</v>
      </c>
      <c r="M562" s="364">
        <v>0</v>
      </c>
      <c r="N562" s="364">
        <f t="shared" ref="N562:N604" si="533">SUM(O562:P562)</f>
        <v>0</v>
      </c>
      <c r="O562" s="364">
        <v>0</v>
      </c>
      <c r="P562" s="364">
        <v>0</v>
      </c>
      <c r="Q562" s="364">
        <f t="shared" ref="Q562:Q604" si="534">SUM(R562:S562)</f>
        <v>0</v>
      </c>
      <c r="R562" s="364">
        <v>0</v>
      </c>
      <c r="S562" s="364">
        <v>0</v>
      </c>
      <c r="T562" s="353" t="s">
        <v>145</v>
      </c>
      <c r="U562" s="371" t="s">
        <v>279</v>
      </c>
      <c r="V562" s="141"/>
    </row>
    <row r="563" spans="2:22" ht="13.5" thickBot="1" x14ac:dyDescent="0.25">
      <c r="B563" s="364">
        <f t="shared" ref="B563:R563" si="535">SUM(B561:B562)</f>
        <v>49</v>
      </c>
      <c r="C563" s="364">
        <f t="shared" si="535"/>
        <v>0</v>
      </c>
      <c r="D563" s="364">
        <f t="shared" si="535"/>
        <v>49</v>
      </c>
      <c r="E563" s="364">
        <f t="shared" si="535"/>
        <v>6</v>
      </c>
      <c r="F563" s="364">
        <f t="shared" si="535"/>
        <v>0</v>
      </c>
      <c r="G563" s="364">
        <f t="shared" si="535"/>
        <v>6</v>
      </c>
      <c r="H563" s="364">
        <f t="shared" si="535"/>
        <v>31</v>
      </c>
      <c r="I563" s="364">
        <f t="shared" si="535"/>
        <v>0</v>
      </c>
      <c r="J563" s="364">
        <f t="shared" si="535"/>
        <v>31</v>
      </c>
      <c r="K563" s="364">
        <f t="shared" si="535"/>
        <v>12</v>
      </c>
      <c r="L563" s="364">
        <f t="shared" si="535"/>
        <v>0</v>
      </c>
      <c r="M563" s="364">
        <f t="shared" si="535"/>
        <v>12</v>
      </c>
      <c r="N563" s="364">
        <f t="shared" si="535"/>
        <v>0</v>
      </c>
      <c r="O563" s="364">
        <f t="shared" si="535"/>
        <v>0</v>
      </c>
      <c r="P563" s="364">
        <f t="shared" si="535"/>
        <v>0</v>
      </c>
      <c r="Q563" s="364">
        <f t="shared" si="535"/>
        <v>0</v>
      </c>
      <c r="R563" s="364">
        <f t="shared" si="535"/>
        <v>0</v>
      </c>
      <c r="S563" s="364">
        <f>SUM(S561:S562)</f>
        <v>0</v>
      </c>
      <c r="T563" s="353" t="s">
        <v>12</v>
      </c>
      <c r="U563" s="366"/>
      <c r="V563" s="141"/>
    </row>
    <row r="564" spans="2:22" ht="13.5" thickBot="1" x14ac:dyDescent="0.25">
      <c r="B564" s="364">
        <f t="shared" ref="B564:B565" si="536">SUM(C564:D564)</f>
        <v>145</v>
      </c>
      <c r="C564" s="364">
        <f t="shared" ref="C564:D565" si="537">R564+O564+L564+I564+F564</f>
        <v>17</v>
      </c>
      <c r="D564" s="364">
        <f t="shared" si="537"/>
        <v>128</v>
      </c>
      <c r="E564" s="364">
        <f t="shared" si="530"/>
        <v>18</v>
      </c>
      <c r="F564" s="364">
        <v>2</v>
      </c>
      <c r="G564" s="364">
        <v>16</v>
      </c>
      <c r="H564" s="364">
        <f t="shared" si="531"/>
        <v>112</v>
      </c>
      <c r="I564" s="364">
        <v>13</v>
      </c>
      <c r="J564" s="364">
        <v>99</v>
      </c>
      <c r="K564" s="364">
        <f t="shared" si="532"/>
        <v>15</v>
      </c>
      <c r="L564" s="364">
        <v>2</v>
      </c>
      <c r="M564" s="364">
        <v>13</v>
      </c>
      <c r="N564" s="364">
        <f t="shared" si="533"/>
        <v>0</v>
      </c>
      <c r="O564" s="364">
        <v>0</v>
      </c>
      <c r="P564" s="364">
        <v>0</v>
      </c>
      <c r="Q564" s="364">
        <f t="shared" si="534"/>
        <v>0</v>
      </c>
      <c r="R564" s="364">
        <v>0</v>
      </c>
      <c r="S564" s="364">
        <v>0</v>
      </c>
      <c r="T564" s="353" t="s">
        <v>146</v>
      </c>
      <c r="U564" s="365"/>
      <c r="V564" s="141"/>
    </row>
    <row r="565" spans="2:22" ht="13.5" thickBot="1" x14ac:dyDescent="0.25">
      <c r="B565" s="364">
        <f t="shared" si="536"/>
        <v>3</v>
      </c>
      <c r="C565" s="364">
        <f t="shared" si="537"/>
        <v>0</v>
      </c>
      <c r="D565" s="364">
        <f t="shared" si="537"/>
        <v>3</v>
      </c>
      <c r="E565" s="364">
        <f t="shared" si="530"/>
        <v>0</v>
      </c>
      <c r="F565" s="364">
        <v>0</v>
      </c>
      <c r="G565" s="364">
        <v>0</v>
      </c>
      <c r="H565" s="364">
        <f t="shared" si="531"/>
        <v>2</v>
      </c>
      <c r="I565" s="364">
        <v>0</v>
      </c>
      <c r="J565" s="364">
        <v>2</v>
      </c>
      <c r="K565" s="364">
        <f t="shared" si="532"/>
        <v>1</v>
      </c>
      <c r="L565" s="364">
        <v>0</v>
      </c>
      <c r="M565" s="364">
        <v>1</v>
      </c>
      <c r="N565" s="364">
        <f t="shared" si="533"/>
        <v>0</v>
      </c>
      <c r="O565" s="364">
        <v>0</v>
      </c>
      <c r="P565" s="364">
        <v>0</v>
      </c>
      <c r="Q565" s="364">
        <f t="shared" si="534"/>
        <v>0</v>
      </c>
      <c r="R565" s="364">
        <v>0</v>
      </c>
      <c r="S565" s="364">
        <v>0</v>
      </c>
      <c r="T565" s="353" t="s">
        <v>145</v>
      </c>
      <c r="U565" s="365" t="s">
        <v>756</v>
      </c>
      <c r="V565" s="141"/>
    </row>
    <row r="566" spans="2:22" ht="13.5" thickBot="1" x14ac:dyDescent="0.25">
      <c r="B566" s="364">
        <f t="shared" ref="B566:R566" si="538">SUM(B564:B565)</f>
        <v>148</v>
      </c>
      <c r="C566" s="364">
        <f t="shared" si="538"/>
        <v>17</v>
      </c>
      <c r="D566" s="364">
        <f t="shared" si="538"/>
        <v>131</v>
      </c>
      <c r="E566" s="364">
        <f t="shared" si="538"/>
        <v>18</v>
      </c>
      <c r="F566" s="364">
        <f t="shared" si="538"/>
        <v>2</v>
      </c>
      <c r="G566" s="364">
        <f t="shared" si="538"/>
        <v>16</v>
      </c>
      <c r="H566" s="364">
        <f t="shared" si="538"/>
        <v>114</v>
      </c>
      <c r="I566" s="364">
        <f t="shared" si="538"/>
        <v>13</v>
      </c>
      <c r="J566" s="364">
        <f t="shared" si="538"/>
        <v>101</v>
      </c>
      <c r="K566" s="364">
        <f t="shared" si="538"/>
        <v>16</v>
      </c>
      <c r="L566" s="364">
        <f t="shared" si="538"/>
        <v>2</v>
      </c>
      <c r="M566" s="364">
        <f t="shared" si="538"/>
        <v>14</v>
      </c>
      <c r="N566" s="364">
        <f t="shared" si="538"/>
        <v>0</v>
      </c>
      <c r="O566" s="364">
        <f t="shared" si="538"/>
        <v>0</v>
      </c>
      <c r="P566" s="364">
        <f t="shared" si="538"/>
        <v>0</v>
      </c>
      <c r="Q566" s="364">
        <f t="shared" si="538"/>
        <v>0</v>
      </c>
      <c r="R566" s="364">
        <f t="shared" si="538"/>
        <v>0</v>
      </c>
      <c r="S566" s="364">
        <f>SUM(S564:S565)</f>
        <v>0</v>
      </c>
      <c r="T566" s="353" t="s">
        <v>12</v>
      </c>
      <c r="U566" s="366"/>
      <c r="V566" s="141"/>
    </row>
    <row r="567" spans="2:22" ht="13.5" thickBot="1" x14ac:dyDescent="0.25">
      <c r="B567" s="364">
        <f t="shared" ref="B567:B568" si="539">SUM(C567:D567)</f>
        <v>15</v>
      </c>
      <c r="C567" s="364">
        <f t="shared" ref="C567:D568" si="540">R567+O567+L567+I567+F567</f>
        <v>0</v>
      </c>
      <c r="D567" s="364">
        <f t="shared" si="540"/>
        <v>15</v>
      </c>
      <c r="E567" s="364">
        <f t="shared" si="530"/>
        <v>2</v>
      </c>
      <c r="F567" s="364">
        <v>0</v>
      </c>
      <c r="G567" s="364">
        <v>2</v>
      </c>
      <c r="H567" s="364">
        <f t="shared" si="531"/>
        <v>7</v>
      </c>
      <c r="I567" s="364">
        <v>0</v>
      </c>
      <c r="J567" s="364">
        <v>7</v>
      </c>
      <c r="K567" s="364">
        <f t="shared" si="532"/>
        <v>6</v>
      </c>
      <c r="L567" s="364">
        <v>0</v>
      </c>
      <c r="M567" s="364">
        <v>6</v>
      </c>
      <c r="N567" s="364">
        <f t="shared" si="533"/>
        <v>0</v>
      </c>
      <c r="O567" s="364">
        <v>0</v>
      </c>
      <c r="P567" s="364">
        <v>0</v>
      </c>
      <c r="Q567" s="364">
        <f t="shared" si="534"/>
        <v>0</v>
      </c>
      <c r="R567" s="364">
        <v>0</v>
      </c>
      <c r="S567" s="364">
        <v>0</v>
      </c>
      <c r="T567" s="353" t="s">
        <v>146</v>
      </c>
      <c r="U567" s="365"/>
      <c r="V567" s="141"/>
    </row>
    <row r="568" spans="2:22" ht="13.5" thickBot="1" x14ac:dyDescent="0.25">
      <c r="B568" s="364">
        <f t="shared" si="539"/>
        <v>2</v>
      </c>
      <c r="C568" s="364">
        <f t="shared" si="540"/>
        <v>0</v>
      </c>
      <c r="D568" s="364">
        <f t="shared" si="540"/>
        <v>2</v>
      </c>
      <c r="E568" s="364">
        <f t="shared" si="530"/>
        <v>0</v>
      </c>
      <c r="F568" s="364">
        <v>0</v>
      </c>
      <c r="G568" s="364">
        <v>0</v>
      </c>
      <c r="H568" s="364">
        <f t="shared" si="531"/>
        <v>2</v>
      </c>
      <c r="I568" s="364">
        <v>0</v>
      </c>
      <c r="J568" s="364">
        <v>2</v>
      </c>
      <c r="K568" s="364">
        <f t="shared" si="532"/>
        <v>0</v>
      </c>
      <c r="L568" s="364">
        <v>0</v>
      </c>
      <c r="M568" s="364">
        <v>0</v>
      </c>
      <c r="N568" s="364">
        <f t="shared" si="533"/>
        <v>0</v>
      </c>
      <c r="O568" s="364">
        <v>0</v>
      </c>
      <c r="P568" s="364">
        <v>0</v>
      </c>
      <c r="Q568" s="364">
        <f t="shared" si="534"/>
        <v>0</v>
      </c>
      <c r="R568" s="364">
        <v>0</v>
      </c>
      <c r="S568" s="364">
        <v>0</v>
      </c>
      <c r="T568" s="353" t="s">
        <v>145</v>
      </c>
      <c r="U568" s="365" t="s">
        <v>451</v>
      </c>
      <c r="V568" s="141"/>
    </row>
    <row r="569" spans="2:22" ht="13.5" thickBot="1" x14ac:dyDescent="0.25">
      <c r="B569" s="364">
        <f t="shared" ref="B569:R569" si="541">SUM(B567:B568)</f>
        <v>17</v>
      </c>
      <c r="C569" s="364">
        <f t="shared" si="541"/>
        <v>0</v>
      </c>
      <c r="D569" s="364">
        <f t="shared" si="541"/>
        <v>17</v>
      </c>
      <c r="E569" s="364">
        <f t="shared" si="541"/>
        <v>2</v>
      </c>
      <c r="F569" s="364">
        <f t="shared" si="541"/>
        <v>0</v>
      </c>
      <c r="G569" s="364">
        <f t="shared" si="541"/>
        <v>2</v>
      </c>
      <c r="H569" s="364">
        <f t="shared" si="541"/>
        <v>9</v>
      </c>
      <c r="I569" s="364">
        <f t="shared" si="541"/>
        <v>0</v>
      </c>
      <c r="J569" s="364">
        <f t="shared" si="541"/>
        <v>9</v>
      </c>
      <c r="K569" s="364">
        <f t="shared" si="541"/>
        <v>6</v>
      </c>
      <c r="L569" s="364">
        <f t="shared" si="541"/>
        <v>0</v>
      </c>
      <c r="M569" s="364">
        <f t="shared" si="541"/>
        <v>6</v>
      </c>
      <c r="N569" s="364">
        <f t="shared" si="541"/>
        <v>0</v>
      </c>
      <c r="O569" s="364">
        <f t="shared" si="541"/>
        <v>0</v>
      </c>
      <c r="P569" s="364">
        <f t="shared" si="541"/>
        <v>0</v>
      </c>
      <c r="Q569" s="364">
        <f t="shared" si="541"/>
        <v>0</v>
      </c>
      <c r="R569" s="364">
        <f t="shared" si="541"/>
        <v>0</v>
      </c>
      <c r="S569" s="364">
        <f>SUM(S567:S568)</f>
        <v>0</v>
      </c>
      <c r="T569" s="353" t="s">
        <v>12</v>
      </c>
      <c r="U569" s="366"/>
      <c r="V569" s="141"/>
    </row>
    <row r="570" spans="2:22" ht="13.5" thickBot="1" x14ac:dyDescent="0.25">
      <c r="B570" s="364">
        <f t="shared" ref="B570:B571" si="542">SUM(C570:D570)</f>
        <v>16</v>
      </c>
      <c r="C570" s="364">
        <f t="shared" ref="C570:D571" si="543">R570+O570+L570+I570+F570</f>
        <v>0</v>
      </c>
      <c r="D570" s="364">
        <f t="shared" si="543"/>
        <v>16</v>
      </c>
      <c r="E570" s="364">
        <f t="shared" si="530"/>
        <v>3</v>
      </c>
      <c r="F570" s="364">
        <v>0</v>
      </c>
      <c r="G570" s="364">
        <v>3</v>
      </c>
      <c r="H570" s="364">
        <f t="shared" si="531"/>
        <v>8</v>
      </c>
      <c r="I570" s="364">
        <v>0</v>
      </c>
      <c r="J570" s="364">
        <v>8</v>
      </c>
      <c r="K570" s="364">
        <f t="shared" si="532"/>
        <v>5</v>
      </c>
      <c r="L570" s="364">
        <v>0</v>
      </c>
      <c r="M570" s="364">
        <v>5</v>
      </c>
      <c r="N570" s="364">
        <f t="shared" si="533"/>
        <v>0</v>
      </c>
      <c r="O570" s="364">
        <v>0</v>
      </c>
      <c r="P570" s="364">
        <v>0</v>
      </c>
      <c r="Q570" s="364">
        <f t="shared" si="534"/>
        <v>0</v>
      </c>
      <c r="R570" s="364">
        <v>0</v>
      </c>
      <c r="S570" s="364">
        <v>0</v>
      </c>
      <c r="T570" s="353" t="s">
        <v>146</v>
      </c>
      <c r="U570" s="365"/>
      <c r="V570" s="141"/>
    </row>
    <row r="571" spans="2:22" ht="13.5" thickBot="1" x14ac:dyDescent="0.25">
      <c r="B571" s="364">
        <f t="shared" si="542"/>
        <v>2</v>
      </c>
      <c r="C571" s="364">
        <f t="shared" si="543"/>
        <v>0</v>
      </c>
      <c r="D571" s="364">
        <f t="shared" si="543"/>
        <v>2</v>
      </c>
      <c r="E571" s="364">
        <f t="shared" si="530"/>
        <v>0</v>
      </c>
      <c r="F571" s="364">
        <v>0</v>
      </c>
      <c r="G571" s="364">
        <v>0</v>
      </c>
      <c r="H571" s="364">
        <f t="shared" si="531"/>
        <v>2</v>
      </c>
      <c r="I571" s="364">
        <v>0</v>
      </c>
      <c r="J571" s="364">
        <v>2</v>
      </c>
      <c r="K571" s="364">
        <f t="shared" si="532"/>
        <v>0</v>
      </c>
      <c r="L571" s="364">
        <v>0</v>
      </c>
      <c r="M571" s="364">
        <v>0</v>
      </c>
      <c r="N571" s="364">
        <f t="shared" si="533"/>
        <v>0</v>
      </c>
      <c r="O571" s="364">
        <v>0</v>
      </c>
      <c r="P571" s="364">
        <v>0</v>
      </c>
      <c r="Q571" s="364">
        <f t="shared" si="534"/>
        <v>0</v>
      </c>
      <c r="R571" s="364">
        <v>0</v>
      </c>
      <c r="S571" s="364">
        <v>0</v>
      </c>
      <c r="T571" s="353" t="s">
        <v>145</v>
      </c>
      <c r="U571" s="365" t="s">
        <v>454</v>
      </c>
      <c r="V571" s="141"/>
    </row>
    <row r="572" spans="2:22" ht="13.5" thickBot="1" x14ac:dyDescent="0.25">
      <c r="B572" s="364">
        <f t="shared" ref="B572:R572" si="544">SUM(B570:B571)</f>
        <v>18</v>
      </c>
      <c r="C572" s="364">
        <f t="shared" si="544"/>
        <v>0</v>
      </c>
      <c r="D572" s="364">
        <f t="shared" si="544"/>
        <v>18</v>
      </c>
      <c r="E572" s="364">
        <f t="shared" si="544"/>
        <v>3</v>
      </c>
      <c r="F572" s="364">
        <f t="shared" si="544"/>
        <v>0</v>
      </c>
      <c r="G572" s="364">
        <f t="shared" si="544"/>
        <v>3</v>
      </c>
      <c r="H572" s="364">
        <f t="shared" si="544"/>
        <v>10</v>
      </c>
      <c r="I572" s="364">
        <f t="shared" si="544"/>
        <v>0</v>
      </c>
      <c r="J572" s="364">
        <f t="shared" si="544"/>
        <v>10</v>
      </c>
      <c r="K572" s="364">
        <f t="shared" si="544"/>
        <v>5</v>
      </c>
      <c r="L572" s="364">
        <f t="shared" si="544"/>
        <v>0</v>
      </c>
      <c r="M572" s="364">
        <f t="shared" si="544"/>
        <v>5</v>
      </c>
      <c r="N572" s="364">
        <f t="shared" si="544"/>
        <v>0</v>
      </c>
      <c r="O572" s="364">
        <f t="shared" si="544"/>
        <v>0</v>
      </c>
      <c r="P572" s="364">
        <f t="shared" si="544"/>
        <v>0</v>
      </c>
      <c r="Q572" s="364">
        <f t="shared" si="544"/>
        <v>0</v>
      </c>
      <c r="R572" s="364">
        <f t="shared" si="544"/>
        <v>0</v>
      </c>
      <c r="S572" s="364">
        <f>SUM(S570:S571)</f>
        <v>0</v>
      </c>
      <c r="T572" s="353" t="s">
        <v>12</v>
      </c>
      <c r="U572" s="366"/>
      <c r="V572" s="141"/>
    </row>
    <row r="573" spans="2:22" ht="13.5" thickBot="1" x14ac:dyDescent="0.25">
      <c r="B573" s="364">
        <f t="shared" ref="B573:B574" si="545">SUM(C573:D573)</f>
        <v>27</v>
      </c>
      <c r="C573" s="364">
        <f t="shared" ref="C573:D574" si="546">R573+O573+L573+I573+F573</f>
        <v>2</v>
      </c>
      <c r="D573" s="364">
        <f t="shared" si="546"/>
        <v>25</v>
      </c>
      <c r="E573" s="364">
        <f t="shared" si="530"/>
        <v>27</v>
      </c>
      <c r="F573" s="364">
        <v>2</v>
      </c>
      <c r="G573" s="364">
        <v>25</v>
      </c>
      <c r="H573" s="364">
        <f t="shared" si="531"/>
        <v>0</v>
      </c>
      <c r="I573" s="364">
        <v>0</v>
      </c>
      <c r="J573" s="364">
        <v>0</v>
      </c>
      <c r="K573" s="364">
        <f t="shared" si="532"/>
        <v>0</v>
      </c>
      <c r="L573" s="364">
        <v>0</v>
      </c>
      <c r="M573" s="364">
        <v>0</v>
      </c>
      <c r="N573" s="364">
        <f t="shared" si="533"/>
        <v>0</v>
      </c>
      <c r="O573" s="364">
        <v>0</v>
      </c>
      <c r="P573" s="364">
        <v>0</v>
      </c>
      <c r="Q573" s="364">
        <f t="shared" si="534"/>
        <v>0</v>
      </c>
      <c r="R573" s="364">
        <v>0</v>
      </c>
      <c r="S573" s="364">
        <v>0</v>
      </c>
      <c r="T573" s="353" t="s">
        <v>146</v>
      </c>
      <c r="U573" s="365"/>
      <c r="V573" s="141"/>
    </row>
    <row r="574" spans="2:22" ht="13.5" thickBot="1" x14ac:dyDescent="0.25">
      <c r="B574" s="364">
        <f t="shared" si="545"/>
        <v>2</v>
      </c>
      <c r="C574" s="364">
        <f t="shared" si="546"/>
        <v>0</v>
      </c>
      <c r="D574" s="364">
        <f t="shared" si="546"/>
        <v>2</v>
      </c>
      <c r="E574" s="364">
        <f t="shared" si="530"/>
        <v>2</v>
      </c>
      <c r="F574" s="364">
        <v>0</v>
      </c>
      <c r="G574" s="364">
        <v>2</v>
      </c>
      <c r="H574" s="364">
        <f t="shared" si="531"/>
        <v>0</v>
      </c>
      <c r="I574" s="364">
        <v>0</v>
      </c>
      <c r="J574" s="364">
        <v>0</v>
      </c>
      <c r="K574" s="364">
        <f t="shared" si="532"/>
        <v>0</v>
      </c>
      <c r="L574" s="364">
        <v>0</v>
      </c>
      <c r="M574" s="364">
        <v>0</v>
      </c>
      <c r="N574" s="364">
        <f t="shared" si="533"/>
        <v>0</v>
      </c>
      <c r="O574" s="364">
        <v>0</v>
      </c>
      <c r="P574" s="364">
        <v>0</v>
      </c>
      <c r="Q574" s="364">
        <f t="shared" si="534"/>
        <v>0</v>
      </c>
      <c r="R574" s="364">
        <v>0</v>
      </c>
      <c r="S574" s="364">
        <v>0</v>
      </c>
      <c r="T574" s="353" t="s">
        <v>145</v>
      </c>
      <c r="U574" s="365" t="s">
        <v>344</v>
      </c>
      <c r="V574" s="141"/>
    </row>
    <row r="575" spans="2:22" ht="13.5" thickBot="1" x14ac:dyDescent="0.25">
      <c r="B575" s="364">
        <f t="shared" ref="B575:R575" si="547">SUM(B573:B574)</f>
        <v>29</v>
      </c>
      <c r="C575" s="364">
        <f t="shared" si="547"/>
        <v>2</v>
      </c>
      <c r="D575" s="364">
        <f t="shared" si="547"/>
        <v>27</v>
      </c>
      <c r="E575" s="364">
        <f t="shared" si="547"/>
        <v>29</v>
      </c>
      <c r="F575" s="364">
        <f t="shared" si="547"/>
        <v>2</v>
      </c>
      <c r="G575" s="364">
        <f t="shared" si="547"/>
        <v>27</v>
      </c>
      <c r="H575" s="364">
        <f t="shared" si="547"/>
        <v>0</v>
      </c>
      <c r="I575" s="364">
        <f t="shared" si="547"/>
        <v>0</v>
      </c>
      <c r="J575" s="364">
        <f t="shared" si="547"/>
        <v>0</v>
      </c>
      <c r="K575" s="364">
        <f t="shared" si="547"/>
        <v>0</v>
      </c>
      <c r="L575" s="364">
        <f t="shared" si="547"/>
        <v>0</v>
      </c>
      <c r="M575" s="364">
        <f t="shared" si="547"/>
        <v>0</v>
      </c>
      <c r="N575" s="364">
        <f t="shared" si="547"/>
        <v>0</v>
      </c>
      <c r="O575" s="364">
        <f t="shared" si="547"/>
        <v>0</v>
      </c>
      <c r="P575" s="364">
        <f t="shared" si="547"/>
        <v>0</v>
      </c>
      <c r="Q575" s="364">
        <f t="shared" si="547"/>
        <v>0</v>
      </c>
      <c r="R575" s="364">
        <f t="shared" si="547"/>
        <v>0</v>
      </c>
      <c r="S575" s="364">
        <f>SUM(S573:S574)</f>
        <v>0</v>
      </c>
      <c r="T575" s="353" t="s">
        <v>12</v>
      </c>
      <c r="U575" s="366"/>
      <c r="V575" s="141"/>
    </row>
    <row r="576" spans="2:22" ht="13.5" thickBot="1" x14ac:dyDescent="0.25">
      <c r="B576" s="364">
        <f t="shared" ref="B576:B577" si="548">SUM(C576:D576)</f>
        <v>16</v>
      </c>
      <c r="C576" s="364">
        <f t="shared" ref="C576:D577" si="549">R576+O576+L576+I576+F576</f>
        <v>0</v>
      </c>
      <c r="D576" s="364">
        <f t="shared" si="549"/>
        <v>16</v>
      </c>
      <c r="E576" s="364">
        <f t="shared" si="530"/>
        <v>6</v>
      </c>
      <c r="F576" s="364">
        <v>0</v>
      </c>
      <c r="G576" s="364">
        <v>6</v>
      </c>
      <c r="H576" s="364">
        <f t="shared" si="531"/>
        <v>4</v>
      </c>
      <c r="I576" s="364">
        <v>0</v>
      </c>
      <c r="J576" s="364">
        <v>4</v>
      </c>
      <c r="K576" s="364">
        <f t="shared" si="532"/>
        <v>6</v>
      </c>
      <c r="L576" s="364">
        <v>0</v>
      </c>
      <c r="M576" s="364">
        <v>6</v>
      </c>
      <c r="N576" s="364">
        <f t="shared" si="533"/>
        <v>0</v>
      </c>
      <c r="O576" s="364">
        <v>0</v>
      </c>
      <c r="P576" s="364">
        <v>0</v>
      </c>
      <c r="Q576" s="364">
        <f t="shared" si="534"/>
        <v>0</v>
      </c>
      <c r="R576" s="364">
        <v>0</v>
      </c>
      <c r="S576" s="364">
        <v>0</v>
      </c>
      <c r="T576" s="353" t="s">
        <v>146</v>
      </c>
      <c r="U576" s="365"/>
      <c r="V576" s="141"/>
    </row>
    <row r="577" spans="2:22" ht="13.5" thickBot="1" x14ac:dyDescent="0.25">
      <c r="B577" s="364">
        <f t="shared" si="548"/>
        <v>2</v>
      </c>
      <c r="C577" s="364">
        <f t="shared" si="549"/>
        <v>0</v>
      </c>
      <c r="D577" s="364">
        <f t="shared" si="549"/>
        <v>2</v>
      </c>
      <c r="E577" s="364">
        <f t="shared" si="530"/>
        <v>0</v>
      </c>
      <c r="F577" s="364">
        <v>0</v>
      </c>
      <c r="G577" s="364">
        <v>0</v>
      </c>
      <c r="H577" s="364">
        <f t="shared" si="531"/>
        <v>2</v>
      </c>
      <c r="I577" s="364">
        <v>0</v>
      </c>
      <c r="J577" s="364">
        <v>2</v>
      </c>
      <c r="K577" s="364">
        <f t="shared" si="532"/>
        <v>0</v>
      </c>
      <c r="L577" s="364">
        <v>0</v>
      </c>
      <c r="M577" s="364">
        <v>0</v>
      </c>
      <c r="N577" s="364">
        <f t="shared" si="533"/>
        <v>0</v>
      </c>
      <c r="O577" s="364">
        <v>0</v>
      </c>
      <c r="P577" s="364">
        <v>0</v>
      </c>
      <c r="Q577" s="364">
        <f t="shared" si="534"/>
        <v>0</v>
      </c>
      <c r="R577" s="364">
        <v>0</v>
      </c>
      <c r="S577" s="364">
        <v>0</v>
      </c>
      <c r="T577" s="353" t="s">
        <v>145</v>
      </c>
      <c r="U577" s="365" t="s">
        <v>105</v>
      </c>
      <c r="V577" s="141"/>
    </row>
    <row r="578" spans="2:22" ht="13.5" thickBot="1" x14ac:dyDescent="0.25">
      <c r="B578" s="364">
        <f t="shared" ref="B578:R578" si="550">SUM(B576:B577)</f>
        <v>18</v>
      </c>
      <c r="C578" s="364">
        <f t="shared" si="550"/>
        <v>0</v>
      </c>
      <c r="D578" s="364">
        <f t="shared" si="550"/>
        <v>18</v>
      </c>
      <c r="E578" s="364">
        <f t="shared" si="550"/>
        <v>6</v>
      </c>
      <c r="F578" s="364">
        <f t="shared" si="550"/>
        <v>0</v>
      </c>
      <c r="G578" s="364">
        <f t="shared" si="550"/>
        <v>6</v>
      </c>
      <c r="H578" s="364">
        <f t="shared" si="550"/>
        <v>6</v>
      </c>
      <c r="I578" s="364">
        <f t="shared" si="550"/>
        <v>0</v>
      </c>
      <c r="J578" s="364">
        <f t="shared" si="550"/>
        <v>6</v>
      </c>
      <c r="K578" s="364">
        <f t="shared" si="550"/>
        <v>6</v>
      </c>
      <c r="L578" s="364">
        <f t="shared" si="550"/>
        <v>0</v>
      </c>
      <c r="M578" s="364">
        <f t="shared" si="550"/>
        <v>6</v>
      </c>
      <c r="N578" s="364">
        <f t="shared" si="550"/>
        <v>0</v>
      </c>
      <c r="O578" s="364">
        <f t="shared" si="550"/>
        <v>0</v>
      </c>
      <c r="P578" s="364">
        <f t="shared" si="550"/>
        <v>0</v>
      </c>
      <c r="Q578" s="364">
        <f t="shared" si="550"/>
        <v>0</v>
      </c>
      <c r="R578" s="364">
        <f t="shared" si="550"/>
        <v>0</v>
      </c>
      <c r="S578" s="364">
        <f>SUM(S576:S577)</f>
        <v>0</v>
      </c>
      <c r="T578" s="353" t="s">
        <v>12</v>
      </c>
      <c r="U578" s="366"/>
      <c r="V578" s="141"/>
    </row>
    <row r="579" spans="2:22" ht="13.5" thickBot="1" x14ac:dyDescent="0.25">
      <c r="B579" s="364">
        <f t="shared" ref="B579:B580" si="551">SUM(C579:D579)</f>
        <v>19</v>
      </c>
      <c r="C579" s="364">
        <f t="shared" ref="C579:D580" si="552">R579+O579+L579+I579+F579</f>
        <v>3</v>
      </c>
      <c r="D579" s="364">
        <f t="shared" si="552"/>
        <v>16</v>
      </c>
      <c r="E579" s="364">
        <f t="shared" si="530"/>
        <v>7</v>
      </c>
      <c r="F579" s="364">
        <v>1</v>
      </c>
      <c r="G579" s="364">
        <v>6</v>
      </c>
      <c r="H579" s="364">
        <f t="shared" si="531"/>
        <v>8</v>
      </c>
      <c r="I579" s="364">
        <v>1</v>
      </c>
      <c r="J579" s="364">
        <v>7</v>
      </c>
      <c r="K579" s="364">
        <f t="shared" si="532"/>
        <v>4</v>
      </c>
      <c r="L579" s="364">
        <v>1</v>
      </c>
      <c r="M579" s="364">
        <v>3</v>
      </c>
      <c r="N579" s="364">
        <f t="shared" si="533"/>
        <v>0</v>
      </c>
      <c r="O579" s="364">
        <v>0</v>
      </c>
      <c r="P579" s="364">
        <v>0</v>
      </c>
      <c r="Q579" s="364">
        <f t="shared" si="534"/>
        <v>0</v>
      </c>
      <c r="R579" s="364">
        <v>0</v>
      </c>
      <c r="S579" s="364">
        <v>0</v>
      </c>
      <c r="T579" s="353" t="s">
        <v>146</v>
      </c>
      <c r="U579" s="365"/>
      <c r="V579" s="141"/>
    </row>
    <row r="580" spans="2:22" ht="13.5" thickBot="1" x14ac:dyDescent="0.25">
      <c r="B580" s="364">
        <f t="shared" si="551"/>
        <v>1</v>
      </c>
      <c r="C580" s="364">
        <f t="shared" si="552"/>
        <v>0</v>
      </c>
      <c r="D580" s="364">
        <f t="shared" si="552"/>
        <v>1</v>
      </c>
      <c r="E580" s="364">
        <f t="shared" si="530"/>
        <v>0</v>
      </c>
      <c r="F580" s="364">
        <v>0</v>
      </c>
      <c r="G580" s="364">
        <v>0</v>
      </c>
      <c r="H580" s="364">
        <f t="shared" si="531"/>
        <v>0</v>
      </c>
      <c r="I580" s="364">
        <v>0</v>
      </c>
      <c r="J580" s="364">
        <v>0</v>
      </c>
      <c r="K580" s="364">
        <f t="shared" si="532"/>
        <v>1</v>
      </c>
      <c r="L580" s="364">
        <v>0</v>
      </c>
      <c r="M580" s="364">
        <v>1</v>
      </c>
      <c r="N580" s="364">
        <f t="shared" si="533"/>
        <v>0</v>
      </c>
      <c r="O580" s="364">
        <v>0</v>
      </c>
      <c r="P580" s="364">
        <v>0</v>
      </c>
      <c r="Q580" s="364">
        <f t="shared" si="534"/>
        <v>0</v>
      </c>
      <c r="R580" s="364">
        <v>0</v>
      </c>
      <c r="S580" s="364">
        <v>0</v>
      </c>
      <c r="T580" s="353" t="s">
        <v>145</v>
      </c>
      <c r="U580" s="365" t="s">
        <v>367</v>
      </c>
      <c r="V580" s="141"/>
    </row>
    <row r="581" spans="2:22" ht="13.5" thickBot="1" x14ac:dyDescent="0.25">
      <c r="B581" s="364">
        <f t="shared" ref="B581:R581" si="553">SUM(B579:B580)</f>
        <v>20</v>
      </c>
      <c r="C581" s="364">
        <f t="shared" si="553"/>
        <v>3</v>
      </c>
      <c r="D581" s="364">
        <f t="shared" si="553"/>
        <v>17</v>
      </c>
      <c r="E581" s="364">
        <f t="shared" si="553"/>
        <v>7</v>
      </c>
      <c r="F581" s="364">
        <f t="shared" si="553"/>
        <v>1</v>
      </c>
      <c r="G581" s="364">
        <f t="shared" si="553"/>
        <v>6</v>
      </c>
      <c r="H581" s="364">
        <f t="shared" si="553"/>
        <v>8</v>
      </c>
      <c r="I581" s="364">
        <f t="shared" si="553"/>
        <v>1</v>
      </c>
      <c r="J581" s="364">
        <f t="shared" si="553"/>
        <v>7</v>
      </c>
      <c r="K581" s="364">
        <f t="shared" si="553"/>
        <v>5</v>
      </c>
      <c r="L581" s="364">
        <f t="shared" si="553"/>
        <v>1</v>
      </c>
      <c r="M581" s="364">
        <f t="shared" si="553"/>
        <v>4</v>
      </c>
      <c r="N581" s="364">
        <f t="shared" si="553"/>
        <v>0</v>
      </c>
      <c r="O581" s="364">
        <f t="shared" si="553"/>
        <v>0</v>
      </c>
      <c r="P581" s="364">
        <f t="shared" si="553"/>
        <v>0</v>
      </c>
      <c r="Q581" s="364">
        <f t="shared" si="553"/>
        <v>0</v>
      </c>
      <c r="R581" s="364">
        <f t="shared" si="553"/>
        <v>0</v>
      </c>
      <c r="S581" s="364">
        <f>SUM(S579:S580)</f>
        <v>0</v>
      </c>
      <c r="T581" s="353" t="s">
        <v>12</v>
      </c>
      <c r="U581" s="366"/>
      <c r="V581" s="141"/>
    </row>
    <row r="582" spans="2:22" ht="13.5" thickBot="1" x14ac:dyDescent="0.25">
      <c r="B582" s="364">
        <f t="shared" ref="B582:B583" si="554">SUM(C582:D582)</f>
        <v>31</v>
      </c>
      <c r="C582" s="364">
        <f t="shared" ref="C582:D583" si="555">R582+O582+L582+I582+F582</f>
        <v>2</v>
      </c>
      <c r="D582" s="364">
        <f t="shared" si="555"/>
        <v>29</v>
      </c>
      <c r="E582" s="364">
        <f t="shared" si="530"/>
        <v>5</v>
      </c>
      <c r="F582" s="364">
        <v>0</v>
      </c>
      <c r="G582" s="364">
        <v>5</v>
      </c>
      <c r="H582" s="364">
        <f t="shared" si="531"/>
        <v>13</v>
      </c>
      <c r="I582" s="364">
        <v>1</v>
      </c>
      <c r="J582" s="364">
        <v>12</v>
      </c>
      <c r="K582" s="364">
        <f t="shared" si="532"/>
        <v>13</v>
      </c>
      <c r="L582" s="364">
        <v>1</v>
      </c>
      <c r="M582" s="364">
        <v>12</v>
      </c>
      <c r="N582" s="364">
        <f t="shared" si="533"/>
        <v>0</v>
      </c>
      <c r="O582" s="364">
        <v>0</v>
      </c>
      <c r="P582" s="364">
        <v>0</v>
      </c>
      <c r="Q582" s="364">
        <f t="shared" si="534"/>
        <v>0</v>
      </c>
      <c r="R582" s="364">
        <v>0</v>
      </c>
      <c r="S582" s="364">
        <v>0</v>
      </c>
      <c r="T582" s="353" t="s">
        <v>146</v>
      </c>
      <c r="U582" s="365"/>
      <c r="V582" s="141"/>
    </row>
    <row r="583" spans="2:22" ht="13.5" thickBot="1" x14ac:dyDescent="0.25">
      <c r="B583" s="364">
        <f t="shared" si="554"/>
        <v>2</v>
      </c>
      <c r="C583" s="364">
        <f t="shared" si="555"/>
        <v>0</v>
      </c>
      <c r="D583" s="364">
        <f t="shared" si="555"/>
        <v>2</v>
      </c>
      <c r="E583" s="364">
        <f t="shared" si="530"/>
        <v>0</v>
      </c>
      <c r="F583" s="364">
        <v>0</v>
      </c>
      <c r="G583" s="364">
        <v>0</v>
      </c>
      <c r="H583" s="364">
        <f t="shared" si="531"/>
        <v>1</v>
      </c>
      <c r="I583" s="364">
        <v>0</v>
      </c>
      <c r="J583" s="364">
        <v>1</v>
      </c>
      <c r="K583" s="364">
        <f t="shared" si="532"/>
        <v>1</v>
      </c>
      <c r="L583" s="364">
        <v>0</v>
      </c>
      <c r="M583" s="364">
        <v>1</v>
      </c>
      <c r="N583" s="364">
        <f t="shared" si="533"/>
        <v>0</v>
      </c>
      <c r="O583" s="364">
        <v>0</v>
      </c>
      <c r="P583" s="364">
        <v>0</v>
      </c>
      <c r="Q583" s="364">
        <f t="shared" si="534"/>
        <v>0</v>
      </c>
      <c r="R583" s="364">
        <v>0</v>
      </c>
      <c r="S583" s="364">
        <v>0</v>
      </c>
      <c r="T583" s="353" t="s">
        <v>145</v>
      </c>
      <c r="U583" s="365" t="s">
        <v>347</v>
      </c>
      <c r="V583" s="141"/>
    </row>
    <row r="584" spans="2:22" ht="13.5" thickBot="1" x14ac:dyDescent="0.25">
      <c r="B584" s="364">
        <f t="shared" ref="B584:R584" si="556">SUM(B582:B583)</f>
        <v>33</v>
      </c>
      <c r="C584" s="364">
        <f t="shared" si="556"/>
        <v>2</v>
      </c>
      <c r="D584" s="364">
        <f t="shared" si="556"/>
        <v>31</v>
      </c>
      <c r="E584" s="364">
        <f t="shared" si="556"/>
        <v>5</v>
      </c>
      <c r="F584" s="364">
        <f t="shared" si="556"/>
        <v>0</v>
      </c>
      <c r="G584" s="364">
        <f t="shared" si="556"/>
        <v>5</v>
      </c>
      <c r="H584" s="364">
        <f t="shared" si="556"/>
        <v>14</v>
      </c>
      <c r="I584" s="364">
        <f t="shared" si="556"/>
        <v>1</v>
      </c>
      <c r="J584" s="364">
        <f t="shared" si="556"/>
        <v>13</v>
      </c>
      <c r="K584" s="364">
        <f t="shared" si="556"/>
        <v>14</v>
      </c>
      <c r="L584" s="364">
        <f t="shared" si="556"/>
        <v>1</v>
      </c>
      <c r="M584" s="364">
        <f t="shared" si="556"/>
        <v>13</v>
      </c>
      <c r="N584" s="364">
        <f t="shared" si="556"/>
        <v>0</v>
      </c>
      <c r="O584" s="364">
        <f t="shared" si="556"/>
        <v>0</v>
      </c>
      <c r="P584" s="364">
        <f t="shared" si="556"/>
        <v>0</v>
      </c>
      <c r="Q584" s="364">
        <f t="shared" si="556"/>
        <v>0</v>
      </c>
      <c r="R584" s="364">
        <f t="shared" si="556"/>
        <v>0</v>
      </c>
      <c r="S584" s="364">
        <f>SUM(S582:S583)</f>
        <v>0</v>
      </c>
      <c r="T584" s="353" t="s">
        <v>12</v>
      </c>
      <c r="U584" s="366"/>
      <c r="V584" s="141"/>
    </row>
    <row r="585" spans="2:22" ht="13.5" thickBot="1" x14ac:dyDescent="0.25">
      <c r="B585" s="364">
        <f t="shared" ref="B585:B586" si="557">SUM(C585:D585)</f>
        <v>29</v>
      </c>
      <c r="C585" s="364">
        <f t="shared" ref="C585:D586" si="558">R585+O585+L585+I585+F585</f>
        <v>7</v>
      </c>
      <c r="D585" s="364">
        <f t="shared" si="558"/>
        <v>22</v>
      </c>
      <c r="E585" s="364">
        <f t="shared" si="530"/>
        <v>7</v>
      </c>
      <c r="F585" s="364">
        <v>2</v>
      </c>
      <c r="G585" s="364">
        <v>5</v>
      </c>
      <c r="H585" s="364">
        <f t="shared" si="531"/>
        <v>14</v>
      </c>
      <c r="I585" s="364">
        <v>3</v>
      </c>
      <c r="J585" s="364">
        <v>11</v>
      </c>
      <c r="K585" s="364">
        <f t="shared" si="532"/>
        <v>8</v>
      </c>
      <c r="L585" s="364">
        <v>2</v>
      </c>
      <c r="M585" s="364">
        <v>6</v>
      </c>
      <c r="N585" s="364">
        <f t="shared" si="533"/>
        <v>0</v>
      </c>
      <c r="O585" s="364">
        <v>0</v>
      </c>
      <c r="P585" s="364">
        <v>0</v>
      </c>
      <c r="Q585" s="364">
        <f t="shared" si="534"/>
        <v>0</v>
      </c>
      <c r="R585" s="364">
        <v>0</v>
      </c>
      <c r="S585" s="364">
        <v>0</v>
      </c>
      <c r="T585" s="353" t="s">
        <v>146</v>
      </c>
      <c r="U585" s="365"/>
      <c r="V585" s="141"/>
    </row>
    <row r="586" spans="2:22" ht="13.5" thickBot="1" x14ac:dyDescent="0.25">
      <c r="B586" s="364">
        <f t="shared" si="557"/>
        <v>1</v>
      </c>
      <c r="C586" s="364">
        <f t="shared" si="558"/>
        <v>0</v>
      </c>
      <c r="D586" s="364">
        <f t="shared" si="558"/>
        <v>1</v>
      </c>
      <c r="E586" s="364">
        <f t="shared" si="530"/>
        <v>0</v>
      </c>
      <c r="F586" s="364">
        <v>0</v>
      </c>
      <c r="G586" s="364">
        <v>0</v>
      </c>
      <c r="H586" s="364">
        <f t="shared" si="531"/>
        <v>0</v>
      </c>
      <c r="I586" s="364">
        <v>0</v>
      </c>
      <c r="J586" s="364">
        <v>0</v>
      </c>
      <c r="K586" s="364">
        <f t="shared" si="532"/>
        <v>1</v>
      </c>
      <c r="L586" s="364">
        <v>0</v>
      </c>
      <c r="M586" s="364">
        <v>1</v>
      </c>
      <c r="N586" s="364">
        <f t="shared" si="533"/>
        <v>0</v>
      </c>
      <c r="O586" s="364">
        <v>0</v>
      </c>
      <c r="P586" s="364">
        <v>0</v>
      </c>
      <c r="Q586" s="364">
        <f t="shared" si="534"/>
        <v>0</v>
      </c>
      <c r="R586" s="364">
        <v>0</v>
      </c>
      <c r="S586" s="364">
        <v>0</v>
      </c>
      <c r="T586" s="353" t="s">
        <v>145</v>
      </c>
      <c r="U586" s="371" t="s">
        <v>280</v>
      </c>
      <c r="V586" s="141"/>
    </row>
    <row r="587" spans="2:22" ht="13.5" thickBot="1" x14ac:dyDescent="0.25">
      <c r="B587" s="364">
        <f t="shared" ref="B587:R587" si="559">SUM(B585:B586)</f>
        <v>30</v>
      </c>
      <c r="C587" s="364">
        <f t="shared" si="559"/>
        <v>7</v>
      </c>
      <c r="D587" s="364">
        <f t="shared" si="559"/>
        <v>23</v>
      </c>
      <c r="E587" s="364">
        <f t="shared" si="559"/>
        <v>7</v>
      </c>
      <c r="F587" s="364">
        <f t="shared" si="559"/>
        <v>2</v>
      </c>
      <c r="G587" s="364">
        <f t="shared" si="559"/>
        <v>5</v>
      </c>
      <c r="H587" s="364">
        <f t="shared" si="559"/>
        <v>14</v>
      </c>
      <c r="I587" s="364">
        <f t="shared" si="559"/>
        <v>3</v>
      </c>
      <c r="J587" s="364">
        <f t="shared" si="559"/>
        <v>11</v>
      </c>
      <c r="K587" s="364">
        <f t="shared" si="559"/>
        <v>9</v>
      </c>
      <c r="L587" s="364">
        <f t="shared" si="559"/>
        <v>2</v>
      </c>
      <c r="M587" s="364">
        <f t="shared" si="559"/>
        <v>7</v>
      </c>
      <c r="N587" s="364">
        <f t="shared" si="559"/>
        <v>0</v>
      </c>
      <c r="O587" s="364">
        <f t="shared" si="559"/>
        <v>0</v>
      </c>
      <c r="P587" s="364">
        <f t="shared" si="559"/>
        <v>0</v>
      </c>
      <c r="Q587" s="364">
        <f t="shared" si="559"/>
        <v>0</v>
      </c>
      <c r="R587" s="364">
        <f t="shared" si="559"/>
        <v>0</v>
      </c>
      <c r="S587" s="364">
        <f>SUM(S585:S586)</f>
        <v>0</v>
      </c>
      <c r="T587" s="353" t="s">
        <v>12</v>
      </c>
      <c r="U587" s="366"/>
      <c r="V587" s="141"/>
    </row>
    <row r="588" spans="2:22" ht="13.5" thickBot="1" x14ac:dyDescent="0.25">
      <c r="B588" s="364">
        <f t="shared" ref="B588:B589" si="560">SUM(C588:D588)</f>
        <v>17</v>
      </c>
      <c r="C588" s="364">
        <f t="shared" ref="C588:D589" si="561">R588+O588+L588+I588+F588</f>
        <v>17</v>
      </c>
      <c r="D588" s="364">
        <f t="shared" si="561"/>
        <v>0</v>
      </c>
      <c r="E588" s="364">
        <f t="shared" si="530"/>
        <v>3</v>
      </c>
      <c r="F588" s="364">
        <v>3</v>
      </c>
      <c r="G588" s="364">
        <v>0</v>
      </c>
      <c r="H588" s="364">
        <f t="shared" si="531"/>
        <v>8</v>
      </c>
      <c r="I588" s="364">
        <v>8</v>
      </c>
      <c r="J588" s="364">
        <v>0</v>
      </c>
      <c r="K588" s="364">
        <f t="shared" si="532"/>
        <v>6</v>
      </c>
      <c r="L588" s="364">
        <v>6</v>
      </c>
      <c r="M588" s="364">
        <v>0</v>
      </c>
      <c r="N588" s="364">
        <f t="shared" si="533"/>
        <v>0</v>
      </c>
      <c r="O588" s="364">
        <v>0</v>
      </c>
      <c r="P588" s="364">
        <v>0</v>
      </c>
      <c r="Q588" s="364">
        <f t="shared" si="534"/>
        <v>0</v>
      </c>
      <c r="R588" s="364">
        <v>0</v>
      </c>
      <c r="S588" s="364">
        <v>0</v>
      </c>
      <c r="T588" s="353" t="s">
        <v>146</v>
      </c>
      <c r="U588" s="365"/>
      <c r="V588" s="141"/>
    </row>
    <row r="589" spans="2:22" ht="13.5" thickBot="1" x14ac:dyDescent="0.25">
      <c r="B589" s="364">
        <f t="shared" si="560"/>
        <v>0</v>
      </c>
      <c r="C589" s="364">
        <f t="shared" si="561"/>
        <v>0</v>
      </c>
      <c r="D589" s="364">
        <f t="shared" si="561"/>
        <v>0</v>
      </c>
      <c r="E589" s="364">
        <f t="shared" si="530"/>
        <v>0</v>
      </c>
      <c r="F589" s="364">
        <v>0</v>
      </c>
      <c r="G589" s="364">
        <v>0</v>
      </c>
      <c r="H589" s="364">
        <f t="shared" si="531"/>
        <v>0</v>
      </c>
      <c r="I589" s="364">
        <v>0</v>
      </c>
      <c r="J589" s="364">
        <v>0</v>
      </c>
      <c r="K589" s="364">
        <f t="shared" si="532"/>
        <v>0</v>
      </c>
      <c r="L589" s="364">
        <v>0</v>
      </c>
      <c r="M589" s="364">
        <v>0</v>
      </c>
      <c r="N589" s="364">
        <f t="shared" si="533"/>
        <v>0</v>
      </c>
      <c r="O589" s="364">
        <v>0</v>
      </c>
      <c r="P589" s="364">
        <v>0</v>
      </c>
      <c r="Q589" s="364">
        <f t="shared" si="534"/>
        <v>0</v>
      </c>
      <c r="R589" s="364">
        <v>0</v>
      </c>
      <c r="S589" s="364">
        <v>0</v>
      </c>
      <c r="T589" s="353" t="s">
        <v>145</v>
      </c>
      <c r="U589" s="371" t="s">
        <v>509</v>
      </c>
      <c r="V589" s="141"/>
    </row>
    <row r="590" spans="2:22" ht="13.5" thickBot="1" x14ac:dyDescent="0.25">
      <c r="B590" s="364">
        <f t="shared" ref="B590:R590" si="562">SUM(B588:B589)</f>
        <v>17</v>
      </c>
      <c r="C590" s="364">
        <f t="shared" si="562"/>
        <v>17</v>
      </c>
      <c r="D590" s="364">
        <f t="shared" si="562"/>
        <v>0</v>
      </c>
      <c r="E590" s="364">
        <f t="shared" si="562"/>
        <v>3</v>
      </c>
      <c r="F590" s="364">
        <f t="shared" si="562"/>
        <v>3</v>
      </c>
      <c r="G590" s="364">
        <f t="shared" si="562"/>
        <v>0</v>
      </c>
      <c r="H590" s="364">
        <f t="shared" si="562"/>
        <v>8</v>
      </c>
      <c r="I590" s="364">
        <f t="shared" si="562"/>
        <v>8</v>
      </c>
      <c r="J590" s="364">
        <f t="shared" si="562"/>
        <v>0</v>
      </c>
      <c r="K590" s="364">
        <f t="shared" si="562"/>
        <v>6</v>
      </c>
      <c r="L590" s="364">
        <f t="shared" si="562"/>
        <v>6</v>
      </c>
      <c r="M590" s="364">
        <f t="shared" si="562"/>
        <v>0</v>
      </c>
      <c r="N590" s="364">
        <f t="shared" si="562"/>
        <v>0</v>
      </c>
      <c r="O590" s="364">
        <f t="shared" si="562"/>
        <v>0</v>
      </c>
      <c r="P590" s="364">
        <f t="shared" si="562"/>
        <v>0</v>
      </c>
      <c r="Q590" s="364">
        <f t="shared" si="562"/>
        <v>0</v>
      </c>
      <c r="R590" s="364">
        <f t="shared" si="562"/>
        <v>0</v>
      </c>
      <c r="S590" s="364">
        <f>SUM(S588:S589)</f>
        <v>0</v>
      </c>
      <c r="T590" s="353" t="s">
        <v>12</v>
      </c>
      <c r="U590" s="366"/>
      <c r="V590" s="141"/>
    </row>
    <row r="591" spans="2:22" ht="13.5" thickBot="1" x14ac:dyDescent="0.25">
      <c r="B591" s="364">
        <f t="shared" ref="B591:B592" si="563">SUM(C591:D591)</f>
        <v>1</v>
      </c>
      <c r="C591" s="364">
        <f t="shared" ref="C591:D592" si="564">R591+O591+L591+I591+F591</f>
        <v>1</v>
      </c>
      <c r="D591" s="364">
        <f t="shared" si="564"/>
        <v>0</v>
      </c>
      <c r="E591" s="364">
        <f t="shared" si="530"/>
        <v>0</v>
      </c>
      <c r="F591" s="364">
        <v>0</v>
      </c>
      <c r="G591" s="364">
        <v>0</v>
      </c>
      <c r="H591" s="364">
        <f t="shared" si="531"/>
        <v>1</v>
      </c>
      <c r="I591" s="364">
        <v>1</v>
      </c>
      <c r="J591" s="364">
        <v>0</v>
      </c>
      <c r="K591" s="364">
        <f t="shared" si="532"/>
        <v>0</v>
      </c>
      <c r="L591" s="364">
        <v>0</v>
      </c>
      <c r="M591" s="364">
        <v>0</v>
      </c>
      <c r="N591" s="364">
        <f t="shared" si="533"/>
        <v>0</v>
      </c>
      <c r="O591" s="364">
        <v>0</v>
      </c>
      <c r="P591" s="364">
        <v>0</v>
      </c>
      <c r="Q591" s="364">
        <f t="shared" si="534"/>
        <v>0</v>
      </c>
      <c r="R591" s="364">
        <v>0</v>
      </c>
      <c r="S591" s="364">
        <v>0</v>
      </c>
      <c r="T591" s="353" t="s">
        <v>146</v>
      </c>
      <c r="U591" s="365"/>
      <c r="V591" s="141"/>
    </row>
    <row r="592" spans="2:22" ht="13.5" thickBot="1" x14ac:dyDescent="0.25">
      <c r="B592" s="364">
        <f t="shared" si="563"/>
        <v>0</v>
      </c>
      <c r="C592" s="364">
        <f t="shared" si="564"/>
        <v>0</v>
      </c>
      <c r="D592" s="364">
        <f t="shared" si="564"/>
        <v>0</v>
      </c>
      <c r="E592" s="364">
        <f t="shared" si="530"/>
        <v>0</v>
      </c>
      <c r="F592" s="364">
        <v>0</v>
      </c>
      <c r="G592" s="364">
        <v>0</v>
      </c>
      <c r="H592" s="364">
        <f t="shared" si="531"/>
        <v>0</v>
      </c>
      <c r="I592" s="364">
        <v>0</v>
      </c>
      <c r="J592" s="364">
        <v>0</v>
      </c>
      <c r="K592" s="364">
        <f t="shared" si="532"/>
        <v>0</v>
      </c>
      <c r="L592" s="364">
        <v>0</v>
      </c>
      <c r="M592" s="364">
        <v>0</v>
      </c>
      <c r="N592" s="364">
        <f t="shared" si="533"/>
        <v>0</v>
      </c>
      <c r="O592" s="364">
        <v>0</v>
      </c>
      <c r="P592" s="364">
        <v>0</v>
      </c>
      <c r="Q592" s="364">
        <f t="shared" si="534"/>
        <v>0</v>
      </c>
      <c r="R592" s="364">
        <v>0</v>
      </c>
      <c r="S592" s="364">
        <v>0</v>
      </c>
      <c r="T592" s="353" t="s">
        <v>145</v>
      </c>
      <c r="U592" s="365" t="s">
        <v>107</v>
      </c>
      <c r="V592" s="141"/>
    </row>
    <row r="593" spans="2:22" ht="13.5" thickBot="1" x14ac:dyDescent="0.25">
      <c r="B593" s="364">
        <f t="shared" ref="B593:R593" si="565">SUM(B591:B592)</f>
        <v>1</v>
      </c>
      <c r="C593" s="364">
        <f t="shared" si="565"/>
        <v>1</v>
      </c>
      <c r="D593" s="364">
        <f t="shared" si="565"/>
        <v>0</v>
      </c>
      <c r="E593" s="364">
        <f t="shared" si="565"/>
        <v>0</v>
      </c>
      <c r="F593" s="364">
        <f t="shared" si="565"/>
        <v>0</v>
      </c>
      <c r="G593" s="364">
        <f t="shared" si="565"/>
        <v>0</v>
      </c>
      <c r="H593" s="364">
        <f t="shared" si="565"/>
        <v>1</v>
      </c>
      <c r="I593" s="364">
        <f t="shared" si="565"/>
        <v>1</v>
      </c>
      <c r="J593" s="364">
        <f t="shared" si="565"/>
        <v>0</v>
      </c>
      <c r="K593" s="364">
        <f t="shared" si="565"/>
        <v>0</v>
      </c>
      <c r="L593" s="364">
        <f t="shared" si="565"/>
        <v>0</v>
      </c>
      <c r="M593" s="364">
        <f t="shared" si="565"/>
        <v>0</v>
      </c>
      <c r="N593" s="364">
        <f t="shared" si="565"/>
        <v>0</v>
      </c>
      <c r="O593" s="364">
        <f t="shared" si="565"/>
        <v>0</v>
      </c>
      <c r="P593" s="364">
        <f t="shared" si="565"/>
        <v>0</v>
      </c>
      <c r="Q593" s="364">
        <f t="shared" si="565"/>
        <v>0</v>
      </c>
      <c r="R593" s="364">
        <f t="shared" si="565"/>
        <v>0</v>
      </c>
      <c r="S593" s="364">
        <f>SUM(S591:S592)</f>
        <v>0</v>
      </c>
      <c r="T593" s="353" t="s">
        <v>12</v>
      </c>
      <c r="U593" s="366"/>
      <c r="V593" s="141"/>
    </row>
    <row r="594" spans="2:22" ht="13.5" thickBot="1" x14ac:dyDescent="0.25">
      <c r="B594" s="364">
        <f t="shared" ref="B594:B595" si="566">SUM(C594:D594)</f>
        <v>1</v>
      </c>
      <c r="C594" s="364">
        <f t="shared" ref="C594:D595" si="567">R594+O594+L594+I594+F594</f>
        <v>1</v>
      </c>
      <c r="D594" s="364">
        <f t="shared" si="567"/>
        <v>0</v>
      </c>
      <c r="E594" s="364">
        <f t="shared" si="530"/>
        <v>0</v>
      </c>
      <c r="F594" s="364">
        <v>0</v>
      </c>
      <c r="G594" s="364">
        <v>0</v>
      </c>
      <c r="H594" s="364">
        <f t="shared" si="531"/>
        <v>1</v>
      </c>
      <c r="I594" s="364">
        <v>1</v>
      </c>
      <c r="J594" s="364">
        <v>0</v>
      </c>
      <c r="K594" s="364">
        <f t="shared" si="532"/>
        <v>0</v>
      </c>
      <c r="L594" s="364">
        <v>0</v>
      </c>
      <c r="M594" s="364">
        <v>0</v>
      </c>
      <c r="N594" s="364">
        <f t="shared" si="533"/>
        <v>0</v>
      </c>
      <c r="O594" s="364">
        <v>0</v>
      </c>
      <c r="P594" s="364">
        <v>0</v>
      </c>
      <c r="Q594" s="364">
        <f t="shared" si="534"/>
        <v>0</v>
      </c>
      <c r="R594" s="364">
        <v>0</v>
      </c>
      <c r="S594" s="364">
        <v>0</v>
      </c>
      <c r="T594" s="353" t="s">
        <v>146</v>
      </c>
      <c r="U594" s="365"/>
      <c r="V594" s="141"/>
    </row>
    <row r="595" spans="2:22" ht="13.5" thickBot="1" x14ac:dyDescent="0.25">
      <c r="B595" s="364">
        <f t="shared" si="566"/>
        <v>0</v>
      </c>
      <c r="C595" s="364">
        <f t="shared" si="567"/>
        <v>0</v>
      </c>
      <c r="D595" s="364">
        <f t="shared" si="567"/>
        <v>0</v>
      </c>
      <c r="E595" s="364">
        <f t="shared" si="530"/>
        <v>0</v>
      </c>
      <c r="F595" s="364">
        <v>0</v>
      </c>
      <c r="G595" s="364">
        <v>0</v>
      </c>
      <c r="H595" s="364">
        <f t="shared" si="531"/>
        <v>0</v>
      </c>
      <c r="I595" s="364">
        <v>0</v>
      </c>
      <c r="J595" s="364">
        <v>0</v>
      </c>
      <c r="K595" s="364">
        <f t="shared" si="532"/>
        <v>0</v>
      </c>
      <c r="L595" s="364">
        <v>0</v>
      </c>
      <c r="M595" s="364">
        <v>0</v>
      </c>
      <c r="N595" s="364">
        <f t="shared" si="533"/>
        <v>0</v>
      </c>
      <c r="O595" s="364">
        <v>0</v>
      </c>
      <c r="P595" s="364">
        <v>0</v>
      </c>
      <c r="Q595" s="364">
        <f t="shared" si="534"/>
        <v>0</v>
      </c>
      <c r="R595" s="364">
        <v>0</v>
      </c>
      <c r="S595" s="364">
        <v>0</v>
      </c>
      <c r="T595" s="353" t="s">
        <v>145</v>
      </c>
      <c r="U595" s="371" t="s">
        <v>510</v>
      </c>
      <c r="V595" s="141"/>
    </row>
    <row r="596" spans="2:22" ht="13.5" thickBot="1" x14ac:dyDescent="0.25">
      <c r="B596" s="364">
        <f t="shared" ref="B596:R596" si="568">SUM(B594:B595)</f>
        <v>1</v>
      </c>
      <c r="C596" s="364">
        <f t="shared" si="568"/>
        <v>1</v>
      </c>
      <c r="D596" s="364">
        <f t="shared" si="568"/>
        <v>0</v>
      </c>
      <c r="E596" s="364">
        <f t="shared" si="568"/>
        <v>0</v>
      </c>
      <c r="F596" s="364">
        <f t="shared" si="568"/>
        <v>0</v>
      </c>
      <c r="G596" s="364">
        <f t="shared" si="568"/>
        <v>0</v>
      </c>
      <c r="H596" s="364">
        <f t="shared" si="568"/>
        <v>1</v>
      </c>
      <c r="I596" s="364">
        <f t="shared" si="568"/>
        <v>1</v>
      </c>
      <c r="J596" s="364">
        <f t="shared" si="568"/>
        <v>0</v>
      </c>
      <c r="K596" s="364">
        <f t="shared" si="568"/>
        <v>0</v>
      </c>
      <c r="L596" s="364">
        <f t="shared" si="568"/>
        <v>0</v>
      </c>
      <c r="M596" s="364">
        <f t="shared" si="568"/>
        <v>0</v>
      </c>
      <c r="N596" s="364">
        <f t="shared" si="568"/>
        <v>0</v>
      </c>
      <c r="O596" s="364">
        <f t="shared" si="568"/>
        <v>0</v>
      </c>
      <c r="P596" s="364">
        <f t="shared" si="568"/>
        <v>0</v>
      </c>
      <c r="Q596" s="364">
        <f t="shared" si="568"/>
        <v>0</v>
      </c>
      <c r="R596" s="364">
        <f t="shared" si="568"/>
        <v>0</v>
      </c>
      <c r="S596" s="364">
        <f>SUM(S594:S595)</f>
        <v>0</v>
      </c>
      <c r="T596" s="353" t="s">
        <v>12</v>
      </c>
      <c r="U596" s="366"/>
      <c r="V596" s="141"/>
    </row>
    <row r="597" spans="2:22" ht="13.5" thickBot="1" x14ac:dyDescent="0.25">
      <c r="B597" s="364">
        <f t="shared" ref="B597:B598" si="569">SUM(C597:D597)</f>
        <v>17</v>
      </c>
      <c r="C597" s="364">
        <f t="shared" ref="C597:D598" si="570">R597+O597+L597+I597+F597</f>
        <v>17</v>
      </c>
      <c r="D597" s="364">
        <f t="shared" si="570"/>
        <v>0</v>
      </c>
      <c r="E597" s="364">
        <f t="shared" si="530"/>
        <v>3</v>
      </c>
      <c r="F597" s="364">
        <v>3</v>
      </c>
      <c r="G597" s="364">
        <v>0</v>
      </c>
      <c r="H597" s="364">
        <f t="shared" si="531"/>
        <v>8</v>
      </c>
      <c r="I597" s="364">
        <v>8</v>
      </c>
      <c r="J597" s="364">
        <v>0</v>
      </c>
      <c r="K597" s="364">
        <f t="shared" si="532"/>
        <v>6</v>
      </c>
      <c r="L597" s="364">
        <v>6</v>
      </c>
      <c r="M597" s="364">
        <v>0</v>
      </c>
      <c r="N597" s="364">
        <f t="shared" si="533"/>
        <v>0</v>
      </c>
      <c r="O597" s="364">
        <v>0</v>
      </c>
      <c r="P597" s="364">
        <v>0</v>
      </c>
      <c r="Q597" s="364">
        <f t="shared" si="534"/>
        <v>0</v>
      </c>
      <c r="R597" s="364">
        <v>0</v>
      </c>
      <c r="S597" s="364">
        <v>0</v>
      </c>
      <c r="T597" s="353" t="s">
        <v>146</v>
      </c>
      <c r="U597" s="365"/>
      <c r="V597" s="141"/>
    </row>
    <row r="598" spans="2:22" ht="13.5" thickBot="1" x14ac:dyDescent="0.25">
      <c r="B598" s="364">
        <f t="shared" si="569"/>
        <v>0</v>
      </c>
      <c r="C598" s="364">
        <f t="shared" si="570"/>
        <v>0</v>
      </c>
      <c r="D598" s="364">
        <f t="shared" si="570"/>
        <v>0</v>
      </c>
      <c r="E598" s="364">
        <f t="shared" si="530"/>
        <v>0</v>
      </c>
      <c r="F598" s="364">
        <v>0</v>
      </c>
      <c r="G598" s="364">
        <v>0</v>
      </c>
      <c r="H598" s="364">
        <f t="shared" si="531"/>
        <v>0</v>
      </c>
      <c r="I598" s="364">
        <v>0</v>
      </c>
      <c r="J598" s="364">
        <v>0</v>
      </c>
      <c r="K598" s="364">
        <f t="shared" si="532"/>
        <v>0</v>
      </c>
      <c r="L598" s="364">
        <v>0</v>
      </c>
      <c r="M598" s="364">
        <v>0</v>
      </c>
      <c r="N598" s="364">
        <f t="shared" si="533"/>
        <v>0</v>
      </c>
      <c r="O598" s="364">
        <v>0</v>
      </c>
      <c r="P598" s="364">
        <v>0</v>
      </c>
      <c r="Q598" s="364">
        <f t="shared" si="534"/>
        <v>0</v>
      </c>
      <c r="R598" s="364">
        <v>0</v>
      </c>
      <c r="S598" s="364">
        <v>0</v>
      </c>
      <c r="T598" s="353" t="s">
        <v>145</v>
      </c>
      <c r="U598" s="371" t="s">
        <v>511</v>
      </c>
      <c r="V598" s="141"/>
    </row>
    <row r="599" spans="2:22" ht="13.5" thickBot="1" x14ac:dyDescent="0.25">
      <c r="B599" s="364">
        <f t="shared" ref="B599:R599" si="571">SUM(B597:B598)</f>
        <v>17</v>
      </c>
      <c r="C599" s="364">
        <f t="shared" si="571"/>
        <v>17</v>
      </c>
      <c r="D599" s="364">
        <f t="shared" si="571"/>
        <v>0</v>
      </c>
      <c r="E599" s="364">
        <f t="shared" si="571"/>
        <v>3</v>
      </c>
      <c r="F599" s="364">
        <f t="shared" si="571"/>
        <v>3</v>
      </c>
      <c r="G599" s="364">
        <f t="shared" si="571"/>
        <v>0</v>
      </c>
      <c r="H599" s="364">
        <f t="shared" si="571"/>
        <v>8</v>
      </c>
      <c r="I599" s="364">
        <f t="shared" si="571"/>
        <v>8</v>
      </c>
      <c r="J599" s="364">
        <f t="shared" si="571"/>
        <v>0</v>
      </c>
      <c r="K599" s="364">
        <f t="shared" si="571"/>
        <v>6</v>
      </c>
      <c r="L599" s="364">
        <f t="shared" si="571"/>
        <v>6</v>
      </c>
      <c r="M599" s="364">
        <f t="shared" si="571"/>
        <v>0</v>
      </c>
      <c r="N599" s="364">
        <f t="shared" si="571"/>
        <v>0</v>
      </c>
      <c r="O599" s="364">
        <f t="shared" si="571"/>
        <v>0</v>
      </c>
      <c r="P599" s="364">
        <f t="shared" si="571"/>
        <v>0</v>
      </c>
      <c r="Q599" s="364">
        <f t="shared" si="571"/>
        <v>0</v>
      </c>
      <c r="R599" s="364">
        <f t="shared" si="571"/>
        <v>0</v>
      </c>
      <c r="S599" s="364">
        <f>SUM(S597:S598)</f>
        <v>0</v>
      </c>
      <c r="T599" s="353" t="s">
        <v>12</v>
      </c>
      <c r="U599" s="366"/>
      <c r="V599" s="141"/>
    </row>
    <row r="600" spans="2:22" ht="13.5" thickBot="1" x14ac:dyDescent="0.25">
      <c r="B600" s="364">
        <f t="shared" ref="B600:B601" si="572">SUM(C600:D600)</f>
        <v>12</v>
      </c>
      <c r="C600" s="364">
        <f t="shared" ref="C600:D601" si="573">R600+O600+L600+I600+F600</f>
        <v>12</v>
      </c>
      <c r="D600" s="364">
        <f t="shared" si="573"/>
        <v>0</v>
      </c>
      <c r="E600" s="364">
        <f t="shared" si="530"/>
        <v>0</v>
      </c>
      <c r="F600" s="364">
        <v>0</v>
      </c>
      <c r="G600" s="364">
        <v>0</v>
      </c>
      <c r="H600" s="364">
        <f t="shared" si="531"/>
        <v>8</v>
      </c>
      <c r="I600" s="364">
        <v>8</v>
      </c>
      <c r="J600" s="364">
        <v>0</v>
      </c>
      <c r="K600" s="364">
        <f t="shared" si="532"/>
        <v>4</v>
      </c>
      <c r="L600" s="364">
        <v>4</v>
      </c>
      <c r="M600" s="364">
        <v>0</v>
      </c>
      <c r="N600" s="364">
        <f t="shared" si="533"/>
        <v>0</v>
      </c>
      <c r="O600" s="364">
        <v>0</v>
      </c>
      <c r="P600" s="364">
        <v>0</v>
      </c>
      <c r="Q600" s="364">
        <f t="shared" si="534"/>
        <v>0</v>
      </c>
      <c r="R600" s="364">
        <v>0</v>
      </c>
      <c r="S600" s="364">
        <v>0</v>
      </c>
      <c r="T600" s="353" t="s">
        <v>146</v>
      </c>
      <c r="U600" s="365"/>
      <c r="V600" s="141"/>
    </row>
    <row r="601" spans="2:22" ht="13.5" thickBot="1" x14ac:dyDescent="0.25">
      <c r="B601" s="364">
        <f t="shared" si="572"/>
        <v>0</v>
      </c>
      <c r="C601" s="364">
        <f t="shared" si="573"/>
        <v>0</v>
      </c>
      <c r="D601" s="364">
        <f t="shared" si="573"/>
        <v>0</v>
      </c>
      <c r="E601" s="364">
        <f t="shared" si="530"/>
        <v>0</v>
      </c>
      <c r="F601" s="364">
        <v>0</v>
      </c>
      <c r="G601" s="364">
        <v>0</v>
      </c>
      <c r="H601" s="364">
        <f t="shared" si="531"/>
        <v>0</v>
      </c>
      <c r="I601" s="364">
        <v>0</v>
      </c>
      <c r="J601" s="364">
        <v>0</v>
      </c>
      <c r="K601" s="364">
        <f t="shared" si="532"/>
        <v>0</v>
      </c>
      <c r="L601" s="364">
        <v>0</v>
      </c>
      <c r="M601" s="364">
        <v>0</v>
      </c>
      <c r="N601" s="364">
        <f t="shared" si="533"/>
        <v>0</v>
      </c>
      <c r="O601" s="364">
        <v>0</v>
      </c>
      <c r="P601" s="364">
        <v>0</v>
      </c>
      <c r="Q601" s="364">
        <f t="shared" si="534"/>
        <v>0</v>
      </c>
      <c r="R601" s="364">
        <v>0</v>
      </c>
      <c r="S601" s="364">
        <v>0</v>
      </c>
      <c r="T601" s="353" t="s">
        <v>145</v>
      </c>
      <c r="U601" s="365" t="s">
        <v>512</v>
      </c>
      <c r="V601" s="141"/>
    </row>
    <row r="602" spans="2:22" ht="13.5" thickBot="1" x14ac:dyDescent="0.25">
      <c r="B602" s="364">
        <f t="shared" ref="B602:R602" si="574">SUM(B600:B601)</f>
        <v>12</v>
      </c>
      <c r="C602" s="364">
        <f t="shared" si="574"/>
        <v>12</v>
      </c>
      <c r="D602" s="364">
        <f t="shared" si="574"/>
        <v>0</v>
      </c>
      <c r="E602" s="364">
        <f t="shared" si="574"/>
        <v>0</v>
      </c>
      <c r="F602" s="364">
        <f t="shared" si="574"/>
        <v>0</v>
      </c>
      <c r="G602" s="364">
        <f t="shared" si="574"/>
        <v>0</v>
      </c>
      <c r="H602" s="364">
        <f t="shared" si="574"/>
        <v>8</v>
      </c>
      <c r="I602" s="364">
        <f t="shared" si="574"/>
        <v>8</v>
      </c>
      <c r="J602" s="364">
        <f t="shared" si="574"/>
        <v>0</v>
      </c>
      <c r="K602" s="364">
        <f t="shared" si="574"/>
        <v>4</v>
      </c>
      <c r="L602" s="364">
        <f t="shared" si="574"/>
        <v>4</v>
      </c>
      <c r="M602" s="364">
        <f t="shared" si="574"/>
        <v>0</v>
      </c>
      <c r="N602" s="364">
        <f t="shared" si="574"/>
        <v>0</v>
      </c>
      <c r="O602" s="364">
        <f t="shared" si="574"/>
        <v>0</v>
      </c>
      <c r="P602" s="364">
        <f t="shared" si="574"/>
        <v>0</v>
      </c>
      <c r="Q602" s="364">
        <f t="shared" si="574"/>
        <v>0</v>
      </c>
      <c r="R602" s="364">
        <f t="shared" si="574"/>
        <v>0</v>
      </c>
      <c r="S602" s="364">
        <f>SUM(S600:S601)</f>
        <v>0</v>
      </c>
      <c r="T602" s="353" t="s">
        <v>12</v>
      </c>
      <c r="U602" s="366"/>
      <c r="V602" s="141"/>
    </row>
    <row r="603" spans="2:22" ht="13.5" thickBot="1" x14ac:dyDescent="0.25">
      <c r="B603" s="364">
        <f t="shared" ref="B603:B604" si="575">SUM(C603:D603)</f>
        <v>37</v>
      </c>
      <c r="C603" s="364">
        <f t="shared" ref="C603:D604" si="576">R603+O603+L603+I603+F603</f>
        <v>35</v>
      </c>
      <c r="D603" s="364">
        <f t="shared" si="576"/>
        <v>2</v>
      </c>
      <c r="E603" s="364">
        <f t="shared" si="530"/>
        <v>8</v>
      </c>
      <c r="F603" s="364">
        <v>6</v>
      </c>
      <c r="G603" s="364">
        <v>2</v>
      </c>
      <c r="H603" s="364">
        <f t="shared" si="531"/>
        <v>1</v>
      </c>
      <c r="I603" s="364">
        <v>1</v>
      </c>
      <c r="J603" s="364">
        <v>0</v>
      </c>
      <c r="K603" s="364">
        <f t="shared" si="532"/>
        <v>28</v>
      </c>
      <c r="L603" s="364">
        <v>28</v>
      </c>
      <c r="M603" s="364">
        <v>0</v>
      </c>
      <c r="N603" s="364">
        <f t="shared" si="533"/>
        <v>0</v>
      </c>
      <c r="O603" s="364">
        <v>0</v>
      </c>
      <c r="P603" s="364">
        <v>0</v>
      </c>
      <c r="Q603" s="364">
        <f t="shared" si="534"/>
        <v>0</v>
      </c>
      <c r="R603" s="364">
        <v>0</v>
      </c>
      <c r="S603" s="364">
        <v>0</v>
      </c>
      <c r="T603" s="353" t="s">
        <v>146</v>
      </c>
      <c r="U603" s="365"/>
      <c r="V603" s="141"/>
    </row>
    <row r="604" spans="2:22" ht="13.5" thickBot="1" x14ac:dyDescent="0.25">
      <c r="B604" s="364">
        <f t="shared" si="575"/>
        <v>0</v>
      </c>
      <c r="C604" s="364">
        <f t="shared" si="576"/>
        <v>0</v>
      </c>
      <c r="D604" s="364">
        <f t="shared" si="576"/>
        <v>0</v>
      </c>
      <c r="E604" s="364">
        <f t="shared" si="530"/>
        <v>0</v>
      </c>
      <c r="F604" s="364">
        <v>0</v>
      </c>
      <c r="G604" s="364">
        <v>0</v>
      </c>
      <c r="H604" s="364">
        <f t="shared" si="531"/>
        <v>0</v>
      </c>
      <c r="I604" s="364">
        <v>0</v>
      </c>
      <c r="J604" s="364">
        <v>0</v>
      </c>
      <c r="K604" s="364">
        <f t="shared" si="532"/>
        <v>0</v>
      </c>
      <c r="L604" s="364">
        <v>0</v>
      </c>
      <c r="M604" s="364">
        <v>0</v>
      </c>
      <c r="N604" s="364">
        <f t="shared" si="533"/>
        <v>0</v>
      </c>
      <c r="O604" s="364">
        <v>0</v>
      </c>
      <c r="P604" s="364">
        <v>0</v>
      </c>
      <c r="Q604" s="364">
        <f t="shared" si="534"/>
        <v>0</v>
      </c>
      <c r="R604" s="364">
        <v>0</v>
      </c>
      <c r="S604" s="364">
        <v>0</v>
      </c>
      <c r="T604" s="353" t="s">
        <v>145</v>
      </c>
      <c r="U604" s="365" t="s">
        <v>513</v>
      </c>
      <c r="V604" s="141"/>
    </row>
    <row r="605" spans="2:22" ht="13.5" thickBot="1" x14ac:dyDescent="0.25">
      <c r="B605" s="364">
        <f t="shared" ref="B605:R605" si="577">SUM(B603:B604)</f>
        <v>37</v>
      </c>
      <c r="C605" s="364">
        <f t="shared" si="577"/>
        <v>35</v>
      </c>
      <c r="D605" s="364">
        <f t="shared" si="577"/>
        <v>2</v>
      </c>
      <c r="E605" s="364">
        <f t="shared" si="577"/>
        <v>8</v>
      </c>
      <c r="F605" s="364">
        <f t="shared" si="577"/>
        <v>6</v>
      </c>
      <c r="G605" s="364">
        <f t="shared" si="577"/>
        <v>2</v>
      </c>
      <c r="H605" s="364">
        <f t="shared" si="577"/>
        <v>1</v>
      </c>
      <c r="I605" s="364">
        <f t="shared" si="577"/>
        <v>1</v>
      </c>
      <c r="J605" s="364">
        <f t="shared" si="577"/>
        <v>0</v>
      </c>
      <c r="K605" s="364">
        <f t="shared" si="577"/>
        <v>28</v>
      </c>
      <c r="L605" s="364">
        <f t="shared" si="577"/>
        <v>28</v>
      </c>
      <c r="M605" s="364">
        <f t="shared" si="577"/>
        <v>0</v>
      </c>
      <c r="N605" s="364">
        <f t="shared" si="577"/>
        <v>0</v>
      </c>
      <c r="O605" s="364">
        <f t="shared" si="577"/>
        <v>0</v>
      </c>
      <c r="P605" s="364">
        <f t="shared" si="577"/>
        <v>0</v>
      </c>
      <c r="Q605" s="364">
        <f t="shared" si="577"/>
        <v>0</v>
      </c>
      <c r="R605" s="364">
        <f t="shared" si="577"/>
        <v>0</v>
      </c>
      <c r="S605" s="364">
        <f>SUM(S603:S604)</f>
        <v>0</v>
      </c>
      <c r="T605" s="353" t="s">
        <v>12</v>
      </c>
      <c r="U605" s="366"/>
      <c r="V605" s="141"/>
    </row>
    <row r="606" spans="2:22" ht="13.5" thickBot="1" x14ac:dyDescent="0.25">
      <c r="B606" s="364">
        <f t="shared" ref="B606:R608" si="578">B561+B564+B567+B570+B573+B576+B579+B582+B585+B588+B591+B594+B597+B600+B603</f>
        <v>430</v>
      </c>
      <c r="C606" s="364">
        <f t="shared" si="578"/>
        <v>114</v>
      </c>
      <c r="D606" s="364">
        <f t="shared" si="578"/>
        <v>316</v>
      </c>
      <c r="E606" s="364">
        <f t="shared" si="578"/>
        <v>95</v>
      </c>
      <c r="F606" s="364">
        <f t="shared" si="578"/>
        <v>19</v>
      </c>
      <c r="G606" s="364">
        <f t="shared" si="578"/>
        <v>76</v>
      </c>
      <c r="H606" s="364">
        <f t="shared" si="578"/>
        <v>222</v>
      </c>
      <c r="I606" s="364">
        <f t="shared" si="578"/>
        <v>45</v>
      </c>
      <c r="J606" s="364">
        <f t="shared" si="578"/>
        <v>177</v>
      </c>
      <c r="K606" s="364">
        <f t="shared" si="578"/>
        <v>113</v>
      </c>
      <c r="L606" s="364">
        <f t="shared" si="578"/>
        <v>50</v>
      </c>
      <c r="M606" s="364">
        <f t="shared" si="578"/>
        <v>63</v>
      </c>
      <c r="N606" s="364">
        <f t="shared" si="578"/>
        <v>0</v>
      </c>
      <c r="O606" s="364">
        <f t="shared" si="578"/>
        <v>0</v>
      </c>
      <c r="P606" s="364">
        <f t="shared" si="578"/>
        <v>0</v>
      </c>
      <c r="Q606" s="364">
        <f t="shared" si="578"/>
        <v>0</v>
      </c>
      <c r="R606" s="364">
        <f t="shared" si="578"/>
        <v>0</v>
      </c>
      <c r="S606" s="364">
        <f>S561+S564+S567+S570+S573+S576+S579+S582+S585+S588+S591+S594+S597+S600+S603</f>
        <v>0</v>
      </c>
      <c r="T606" s="353" t="s">
        <v>146</v>
      </c>
      <c r="U606" s="367"/>
      <c r="V606" s="141"/>
    </row>
    <row r="607" spans="2:22" ht="13.5" thickBot="1" x14ac:dyDescent="0.25">
      <c r="B607" s="364">
        <f t="shared" si="578"/>
        <v>17</v>
      </c>
      <c r="C607" s="364">
        <f t="shared" si="578"/>
        <v>0</v>
      </c>
      <c r="D607" s="364">
        <f t="shared" si="578"/>
        <v>17</v>
      </c>
      <c r="E607" s="364">
        <f t="shared" si="578"/>
        <v>2</v>
      </c>
      <c r="F607" s="364">
        <f t="shared" si="578"/>
        <v>0</v>
      </c>
      <c r="G607" s="364">
        <f t="shared" si="578"/>
        <v>2</v>
      </c>
      <c r="H607" s="364">
        <f t="shared" si="578"/>
        <v>11</v>
      </c>
      <c r="I607" s="364">
        <f t="shared" si="578"/>
        <v>0</v>
      </c>
      <c r="J607" s="364">
        <f t="shared" si="578"/>
        <v>11</v>
      </c>
      <c r="K607" s="364">
        <f t="shared" si="578"/>
        <v>4</v>
      </c>
      <c r="L607" s="364">
        <f t="shared" si="578"/>
        <v>0</v>
      </c>
      <c r="M607" s="364">
        <f t="shared" si="578"/>
        <v>4</v>
      </c>
      <c r="N607" s="364">
        <f t="shared" si="578"/>
        <v>0</v>
      </c>
      <c r="O607" s="364">
        <f t="shared" si="578"/>
        <v>0</v>
      </c>
      <c r="P607" s="364">
        <f t="shared" si="578"/>
        <v>0</v>
      </c>
      <c r="Q607" s="364">
        <f t="shared" si="578"/>
        <v>0</v>
      </c>
      <c r="R607" s="364">
        <f t="shared" si="578"/>
        <v>0</v>
      </c>
      <c r="S607" s="364">
        <f t="shared" ref="S607:S608" si="579">S562+S565+S568+S571+S574+S577+S580+S583+S586+S589+S592+S595+S598+S601+S604</f>
        <v>0</v>
      </c>
      <c r="T607" s="353" t="s">
        <v>145</v>
      </c>
      <c r="U607" s="368" t="s">
        <v>188</v>
      </c>
      <c r="V607" s="141"/>
    </row>
    <row r="608" spans="2:22" ht="13.5" thickBot="1" x14ac:dyDescent="0.25">
      <c r="B608" s="364">
        <f t="shared" si="578"/>
        <v>447</v>
      </c>
      <c r="C608" s="364">
        <f t="shared" si="578"/>
        <v>114</v>
      </c>
      <c r="D608" s="364">
        <f t="shared" si="578"/>
        <v>333</v>
      </c>
      <c r="E608" s="364">
        <f t="shared" si="578"/>
        <v>97</v>
      </c>
      <c r="F608" s="364">
        <f t="shared" si="578"/>
        <v>19</v>
      </c>
      <c r="G608" s="364">
        <f t="shared" si="578"/>
        <v>78</v>
      </c>
      <c r="H608" s="364">
        <f t="shared" si="578"/>
        <v>233</v>
      </c>
      <c r="I608" s="364">
        <f t="shared" si="578"/>
        <v>45</v>
      </c>
      <c r="J608" s="364">
        <f t="shared" si="578"/>
        <v>188</v>
      </c>
      <c r="K608" s="364">
        <f t="shared" si="578"/>
        <v>117</v>
      </c>
      <c r="L608" s="364">
        <f t="shared" si="578"/>
        <v>50</v>
      </c>
      <c r="M608" s="364">
        <f t="shared" si="578"/>
        <v>67</v>
      </c>
      <c r="N608" s="364">
        <f t="shared" si="578"/>
        <v>0</v>
      </c>
      <c r="O608" s="364">
        <f t="shared" si="578"/>
        <v>0</v>
      </c>
      <c r="P608" s="364">
        <f t="shared" si="578"/>
        <v>0</v>
      </c>
      <c r="Q608" s="364">
        <f t="shared" si="578"/>
        <v>0</v>
      </c>
      <c r="R608" s="364">
        <f t="shared" si="578"/>
        <v>0</v>
      </c>
      <c r="S608" s="364">
        <f t="shared" si="579"/>
        <v>0</v>
      </c>
      <c r="T608" s="353" t="s">
        <v>12</v>
      </c>
      <c r="U608" s="363"/>
      <c r="V608" s="141"/>
    </row>
    <row r="609" spans="2:22" ht="18" customHeight="1" thickBot="1" x14ac:dyDescent="0.25">
      <c r="B609" s="610"/>
      <c r="C609" s="610"/>
      <c r="D609" s="610"/>
      <c r="E609" s="610"/>
      <c r="F609" s="610"/>
      <c r="G609" s="610"/>
      <c r="H609" s="610"/>
      <c r="I609" s="610"/>
      <c r="J609" s="610"/>
      <c r="K609" s="610"/>
      <c r="L609" s="610"/>
      <c r="M609" s="610"/>
      <c r="N609" s="610"/>
      <c r="O609" s="610"/>
      <c r="P609" s="610"/>
      <c r="Q609" s="610"/>
      <c r="R609" s="610"/>
      <c r="S609" s="610"/>
      <c r="T609" s="610"/>
      <c r="U609" s="610"/>
      <c r="V609" s="141"/>
    </row>
    <row r="610" spans="2:22" ht="13.5" customHeight="1" thickBot="1" x14ac:dyDescent="0.25">
      <c r="B610" s="607" t="s">
        <v>4</v>
      </c>
      <c r="C610" s="607"/>
      <c r="D610" s="607"/>
      <c r="E610" s="607" t="s">
        <v>53</v>
      </c>
      <c r="F610" s="607"/>
      <c r="G610" s="607"/>
      <c r="H610" s="607" t="s">
        <v>61</v>
      </c>
      <c r="I610" s="607"/>
      <c r="J610" s="607"/>
      <c r="K610" s="607" t="s">
        <v>60</v>
      </c>
      <c r="L610" s="607"/>
      <c r="M610" s="607"/>
      <c r="N610" s="607" t="s">
        <v>57</v>
      </c>
      <c r="O610" s="607"/>
      <c r="P610" s="607"/>
      <c r="Q610" s="607" t="s">
        <v>56</v>
      </c>
      <c r="R610" s="607"/>
      <c r="S610" s="607"/>
      <c r="T610" s="608" t="s">
        <v>741</v>
      </c>
      <c r="U610" s="347" t="s">
        <v>144</v>
      </c>
      <c r="V610" s="141"/>
    </row>
    <row r="611" spans="2:22" ht="13.5" thickBot="1" x14ac:dyDescent="0.25">
      <c r="B611" s="347" t="s">
        <v>227</v>
      </c>
      <c r="C611" s="347" t="s">
        <v>10</v>
      </c>
      <c r="D611" s="347" t="s">
        <v>9</v>
      </c>
      <c r="E611" s="347" t="s">
        <v>227</v>
      </c>
      <c r="F611" s="347" t="s">
        <v>10</v>
      </c>
      <c r="G611" s="347" t="s">
        <v>9</v>
      </c>
      <c r="H611" s="347" t="s">
        <v>227</v>
      </c>
      <c r="I611" s="347" t="s">
        <v>10</v>
      </c>
      <c r="J611" s="347" t="s">
        <v>9</v>
      </c>
      <c r="K611" s="347" t="s">
        <v>227</v>
      </c>
      <c r="L611" s="347" t="s">
        <v>10</v>
      </c>
      <c r="M611" s="347" t="s">
        <v>9</v>
      </c>
      <c r="N611" s="347" t="s">
        <v>227</v>
      </c>
      <c r="O611" s="347" t="s">
        <v>10</v>
      </c>
      <c r="P611" s="347" t="s">
        <v>9</v>
      </c>
      <c r="Q611" s="347" t="s">
        <v>227</v>
      </c>
      <c r="R611" s="347" t="s">
        <v>10</v>
      </c>
      <c r="S611" s="347" t="s">
        <v>9</v>
      </c>
      <c r="T611" s="609"/>
      <c r="U611" s="363" t="s">
        <v>109</v>
      </c>
      <c r="V611" s="141"/>
    </row>
    <row r="612" spans="2:22" ht="13.5" thickBot="1" x14ac:dyDescent="0.25">
      <c r="B612" s="364">
        <f>SUM(C612:D612)</f>
        <v>6</v>
      </c>
      <c r="C612" s="364">
        <f>R612+O612+L612+I612+F612</f>
        <v>0</v>
      </c>
      <c r="D612" s="364">
        <f>S612+P612+M612+J612+G612</f>
        <v>6</v>
      </c>
      <c r="E612" s="364">
        <f>SUM(F612:G612)</f>
        <v>0</v>
      </c>
      <c r="F612" s="364">
        <v>0</v>
      </c>
      <c r="G612" s="364">
        <v>0</v>
      </c>
      <c r="H612" s="364">
        <f>SUM(I612:J612)</f>
        <v>6</v>
      </c>
      <c r="I612" s="364">
        <v>0</v>
      </c>
      <c r="J612" s="364">
        <v>6</v>
      </c>
      <c r="K612" s="364">
        <f>SUM(L612:M612)</f>
        <v>0</v>
      </c>
      <c r="L612" s="364">
        <v>0</v>
      </c>
      <c r="M612" s="364">
        <v>0</v>
      </c>
      <c r="N612" s="364">
        <f>SUM(O612:P612)</f>
        <v>0</v>
      </c>
      <c r="O612" s="364">
        <v>0</v>
      </c>
      <c r="P612" s="364">
        <v>0</v>
      </c>
      <c r="Q612" s="364">
        <f>SUM(R612:S612)</f>
        <v>0</v>
      </c>
      <c r="R612" s="364">
        <v>0</v>
      </c>
      <c r="S612" s="364">
        <v>0</v>
      </c>
      <c r="T612" s="353" t="s">
        <v>146</v>
      </c>
      <c r="U612" s="365"/>
      <c r="V612" s="141"/>
    </row>
    <row r="613" spans="2:22" ht="13.5" thickBot="1" x14ac:dyDescent="0.25">
      <c r="B613" s="364">
        <f t="shared" ref="B613" si="580">SUM(C613:D613)</f>
        <v>0</v>
      </c>
      <c r="C613" s="364">
        <f t="shared" ref="C613:D613" si="581">R613+O613+L613+I613+F613</f>
        <v>0</v>
      </c>
      <c r="D613" s="364">
        <f t="shared" si="581"/>
        <v>0</v>
      </c>
      <c r="E613" s="364">
        <f t="shared" ref="E613:E631" si="582">SUM(F613:G613)</f>
        <v>0</v>
      </c>
      <c r="F613" s="364">
        <v>0</v>
      </c>
      <c r="G613" s="364">
        <v>0</v>
      </c>
      <c r="H613" s="364">
        <f t="shared" ref="H613:H631" si="583">SUM(I613:J613)</f>
        <v>0</v>
      </c>
      <c r="I613" s="364">
        <v>0</v>
      </c>
      <c r="J613" s="364">
        <v>0</v>
      </c>
      <c r="K613" s="364">
        <f t="shared" ref="K613:K631" si="584">SUM(L613:M613)</f>
        <v>0</v>
      </c>
      <c r="L613" s="364">
        <v>0</v>
      </c>
      <c r="M613" s="364">
        <v>0</v>
      </c>
      <c r="N613" s="364">
        <f t="shared" ref="N613:N631" si="585">SUM(O613:P613)</f>
        <v>0</v>
      </c>
      <c r="O613" s="364">
        <v>0</v>
      </c>
      <c r="P613" s="364">
        <v>0</v>
      </c>
      <c r="Q613" s="364">
        <f t="shared" ref="Q613:Q631" si="586">SUM(R613:S613)</f>
        <v>0</v>
      </c>
      <c r="R613" s="364">
        <v>0</v>
      </c>
      <c r="S613" s="364">
        <v>0</v>
      </c>
      <c r="T613" s="353" t="s">
        <v>145</v>
      </c>
      <c r="U613" s="365" t="s">
        <v>454</v>
      </c>
      <c r="V613" s="141"/>
    </row>
    <row r="614" spans="2:22" ht="13.5" thickBot="1" x14ac:dyDescent="0.25">
      <c r="B614" s="364">
        <f t="shared" ref="B614:R614" si="587">SUM(B612:B613)</f>
        <v>6</v>
      </c>
      <c r="C614" s="364">
        <f t="shared" si="587"/>
        <v>0</v>
      </c>
      <c r="D614" s="364">
        <f t="shared" si="587"/>
        <v>6</v>
      </c>
      <c r="E614" s="364">
        <f t="shared" si="587"/>
        <v>0</v>
      </c>
      <c r="F614" s="364">
        <f t="shared" si="587"/>
        <v>0</v>
      </c>
      <c r="G614" s="364">
        <f t="shared" si="587"/>
        <v>0</v>
      </c>
      <c r="H614" s="364">
        <f t="shared" si="587"/>
        <v>6</v>
      </c>
      <c r="I614" s="364">
        <f t="shared" si="587"/>
        <v>0</v>
      </c>
      <c r="J614" s="364">
        <f t="shared" si="587"/>
        <v>6</v>
      </c>
      <c r="K614" s="364">
        <f t="shared" si="587"/>
        <v>0</v>
      </c>
      <c r="L614" s="364">
        <f t="shared" si="587"/>
        <v>0</v>
      </c>
      <c r="M614" s="364">
        <f t="shared" si="587"/>
        <v>0</v>
      </c>
      <c r="N614" s="364">
        <f t="shared" si="587"/>
        <v>0</v>
      </c>
      <c r="O614" s="364">
        <f t="shared" si="587"/>
        <v>0</v>
      </c>
      <c r="P614" s="364">
        <f t="shared" si="587"/>
        <v>0</v>
      </c>
      <c r="Q614" s="364">
        <f t="shared" si="587"/>
        <v>0</v>
      </c>
      <c r="R614" s="364">
        <f t="shared" si="587"/>
        <v>0</v>
      </c>
      <c r="S614" s="364">
        <f>SUM(S612:S613)</f>
        <v>0</v>
      </c>
      <c r="T614" s="353" t="s">
        <v>12</v>
      </c>
      <c r="U614" s="366"/>
      <c r="V614" s="141"/>
    </row>
    <row r="615" spans="2:22" ht="13.5" thickBot="1" x14ac:dyDescent="0.25">
      <c r="B615" s="364">
        <f t="shared" ref="B615:B616" si="588">SUM(C615:D615)</f>
        <v>63</v>
      </c>
      <c r="C615" s="364">
        <f t="shared" ref="C615:D616" si="589">R615+O615+L615+I615+F615</f>
        <v>21</v>
      </c>
      <c r="D615" s="364">
        <f t="shared" si="589"/>
        <v>42</v>
      </c>
      <c r="E615" s="364">
        <f t="shared" si="582"/>
        <v>53</v>
      </c>
      <c r="F615" s="364">
        <v>17</v>
      </c>
      <c r="G615" s="364">
        <v>36</v>
      </c>
      <c r="H615" s="364">
        <f t="shared" si="583"/>
        <v>0</v>
      </c>
      <c r="I615" s="364">
        <v>0</v>
      </c>
      <c r="J615" s="364">
        <v>0</v>
      </c>
      <c r="K615" s="364">
        <f t="shared" si="584"/>
        <v>10</v>
      </c>
      <c r="L615" s="364">
        <v>4</v>
      </c>
      <c r="M615" s="364">
        <v>6</v>
      </c>
      <c r="N615" s="364">
        <f t="shared" si="585"/>
        <v>0</v>
      </c>
      <c r="O615" s="364">
        <v>0</v>
      </c>
      <c r="P615" s="364">
        <v>0</v>
      </c>
      <c r="Q615" s="364">
        <f t="shared" si="586"/>
        <v>0</v>
      </c>
      <c r="R615" s="364">
        <v>0</v>
      </c>
      <c r="S615" s="364">
        <v>0</v>
      </c>
      <c r="T615" s="353" t="s">
        <v>146</v>
      </c>
      <c r="U615" s="365"/>
      <c r="V615" s="141"/>
    </row>
    <row r="616" spans="2:22" ht="13.5" thickBot="1" x14ac:dyDescent="0.25">
      <c r="B616" s="364">
        <f t="shared" si="588"/>
        <v>0</v>
      </c>
      <c r="C616" s="364">
        <f t="shared" si="589"/>
        <v>0</v>
      </c>
      <c r="D616" s="364">
        <f t="shared" si="589"/>
        <v>0</v>
      </c>
      <c r="E616" s="364">
        <f t="shared" si="582"/>
        <v>0</v>
      </c>
      <c r="F616" s="364">
        <v>0</v>
      </c>
      <c r="G616" s="364">
        <v>0</v>
      </c>
      <c r="H616" s="364">
        <f t="shared" si="583"/>
        <v>0</v>
      </c>
      <c r="I616" s="364">
        <v>0</v>
      </c>
      <c r="J616" s="364">
        <v>0</v>
      </c>
      <c r="K616" s="364">
        <f t="shared" si="584"/>
        <v>0</v>
      </c>
      <c r="L616" s="364">
        <v>0</v>
      </c>
      <c r="M616" s="364">
        <v>0</v>
      </c>
      <c r="N616" s="364">
        <f t="shared" si="585"/>
        <v>0</v>
      </c>
      <c r="O616" s="364">
        <v>0</v>
      </c>
      <c r="P616" s="364">
        <v>0</v>
      </c>
      <c r="Q616" s="364">
        <f t="shared" si="586"/>
        <v>0</v>
      </c>
      <c r="R616" s="364">
        <v>0</v>
      </c>
      <c r="S616" s="364">
        <v>0</v>
      </c>
      <c r="T616" s="353" t="s">
        <v>145</v>
      </c>
      <c r="U616" s="365" t="s">
        <v>514</v>
      </c>
      <c r="V616" s="141"/>
    </row>
    <row r="617" spans="2:22" ht="13.5" thickBot="1" x14ac:dyDescent="0.25">
      <c r="B617" s="364">
        <f t="shared" ref="B617:R617" si="590">SUM(B615:B616)</f>
        <v>63</v>
      </c>
      <c r="C617" s="364">
        <f t="shared" si="590"/>
        <v>21</v>
      </c>
      <c r="D617" s="364">
        <f t="shared" si="590"/>
        <v>42</v>
      </c>
      <c r="E617" s="364">
        <f t="shared" si="590"/>
        <v>53</v>
      </c>
      <c r="F617" s="364">
        <f t="shared" si="590"/>
        <v>17</v>
      </c>
      <c r="G617" s="364">
        <f t="shared" si="590"/>
        <v>36</v>
      </c>
      <c r="H617" s="364">
        <f t="shared" si="590"/>
        <v>0</v>
      </c>
      <c r="I617" s="364">
        <f t="shared" si="590"/>
        <v>0</v>
      </c>
      <c r="J617" s="364">
        <f t="shared" si="590"/>
        <v>0</v>
      </c>
      <c r="K617" s="364">
        <f t="shared" si="590"/>
        <v>10</v>
      </c>
      <c r="L617" s="364">
        <f t="shared" si="590"/>
        <v>4</v>
      </c>
      <c r="M617" s="364">
        <f t="shared" si="590"/>
        <v>6</v>
      </c>
      <c r="N617" s="364">
        <f t="shared" si="590"/>
        <v>0</v>
      </c>
      <c r="O617" s="364">
        <f t="shared" si="590"/>
        <v>0</v>
      </c>
      <c r="P617" s="364">
        <f t="shared" si="590"/>
        <v>0</v>
      </c>
      <c r="Q617" s="364">
        <f t="shared" si="590"/>
        <v>0</v>
      </c>
      <c r="R617" s="364">
        <f t="shared" si="590"/>
        <v>0</v>
      </c>
      <c r="S617" s="364">
        <f>SUM(S615:S616)</f>
        <v>0</v>
      </c>
      <c r="T617" s="353" t="s">
        <v>12</v>
      </c>
      <c r="U617" s="366"/>
      <c r="V617" s="141"/>
    </row>
    <row r="618" spans="2:22" ht="13.5" thickBot="1" x14ac:dyDescent="0.25">
      <c r="B618" s="364">
        <f t="shared" ref="B618:B619" si="591">SUM(C618:D618)</f>
        <v>59</v>
      </c>
      <c r="C618" s="364">
        <f t="shared" ref="C618:D619" si="592">R618+O618+L618+I618+F618</f>
        <v>59</v>
      </c>
      <c r="D618" s="364">
        <f t="shared" si="592"/>
        <v>0</v>
      </c>
      <c r="E618" s="364">
        <f t="shared" si="582"/>
        <v>21</v>
      </c>
      <c r="F618" s="364">
        <v>21</v>
      </c>
      <c r="G618" s="364">
        <v>0</v>
      </c>
      <c r="H618" s="364">
        <f t="shared" si="583"/>
        <v>7</v>
      </c>
      <c r="I618" s="364">
        <v>7</v>
      </c>
      <c r="J618" s="364">
        <v>0</v>
      </c>
      <c r="K618" s="364">
        <f t="shared" si="584"/>
        <v>31</v>
      </c>
      <c r="L618" s="364">
        <v>31</v>
      </c>
      <c r="M618" s="364">
        <v>0</v>
      </c>
      <c r="N618" s="364">
        <f t="shared" si="585"/>
        <v>0</v>
      </c>
      <c r="O618" s="364">
        <v>0</v>
      </c>
      <c r="P618" s="364">
        <v>0</v>
      </c>
      <c r="Q618" s="364">
        <f t="shared" si="586"/>
        <v>0</v>
      </c>
      <c r="R618" s="364">
        <v>0</v>
      </c>
      <c r="S618" s="364">
        <v>0</v>
      </c>
      <c r="T618" s="353" t="s">
        <v>146</v>
      </c>
      <c r="U618" s="365"/>
      <c r="V618" s="141"/>
    </row>
    <row r="619" spans="2:22" ht="13.5" thickBot="1" x14ac:dyDescent="0.25">
      <c r="B619" s="364">
        <f t="shared" si="591"/>
        <v>0</v>
      </c>
      <c r="C619" s="364">
        <f t="shared" si="592"/>
        <v>0</v>
      </c>
      <c r="D619" s="364">
        <f t="shared" si="592"/>
        <v>0</v>
      </c>
      <c r="E619" s="364">
        <f t="shared" si="582"/>
        <v>0</v>
      </c>
      <c r="F619" s="364">
        <v>0</v>
      </c>
      <c r="G619" s="364">
        <v>0</v>
      </c>
      <c r="H619" s="364">
        <f t="shared" si="583"/>
        <v>0</v>
      </c>
      <c r="I619" s="364">
        <v>0</v>
      </c>
      <c r="J619" s="364">
        <v>0</v>
      </c>
      <c r="K619" s="364">
        <f t="shared" si="584"/>
        <v>0</v>
      </c>
      <c r="L619" s="364">
        <v>0</v>
      </c>
      <c r="M619" s="364">
        <v>0</v>
      </c>
      <c r="N619" s="364">
        <f t="shared" si="585"/>
        <v>0</v>
      </c>
      <c r="O619" s="364">
        <v>0</v>
      </c>
      <c r="P619" s="364">
        <v>0</v>
      </c>
      <c r="Q619" s="364">
        <f t="shared" si="586"/>
        <v>0</v>
      </c>
      <c r="R619" s="364">
        <v>0</v>
      </c>
      <c r="S619" s="364">
        <v>0</v>
      </c>
      <c r="T619" s="353" t="s">
        <v>145</v>
      </c>
      <c r="U619" s="365" t="s">
        <v>515</v>
      </c>
      <c r="V619" s="141"/>
    </row>
    <row r="620" spans="2:22" ht="13.5" thickBot="1" x14ac:dyDescent="0.25">
      <c r="B620" s="364">
        <f t="shared" ref="B620:R620" si="593">SUM(B618:B619)</f>
        <v>59</v>
      </c>
      <c r="C620" s="364">
        <f t="shared" si="593"/>
        <v>59</v>
      </c>
      <c r="D620" s="364">
        <f t="shared" si="593"/>
        <v>0</v>
      </c>
      <c r="E620" s="364">
        <f t="shared" si="593"/>
        <v>21</v>
      </c>
      <c r="F620" s="364">
        <f t="shared" si="593"/>
        <v>21</v>
      </c>
      <c r="G620" s="364">
        <f t="shared" si="593"/>
        <v>0</v>
      </c>
      <c r="H620" s="364">
        <f t="shared" si="593"/>
        <v>7</v>
      </c>
      <c r="I620" s="364">
        <f t="shared" si="593"/>
        <v>7</v>
      </c>
      <c r="J620" s="364">
        <f t="shared" si="593"/>
        <v>0</v>
      </c>
      <c r="K620" s="364">
        <f t="shared" si="593"/>
        <v>31</v>
      </c>
      <c r="L620" s="364">
        <f t="shared" si="593"/>
        <v>31</v>
      </c>
      <c r="M620" s="364">
        <f t="shared" si="593"/>
        <v>0</v>
      </c>
      <c r="N620" s="364">
        <f t="shared" si="593"/>
        <v>0</v>
      </c>
      <c r="O620" s="364">
        <f t="shared" si="593"/>
        <v>0</v>
      </c>
      <c r="P620" s="364">
        <f t="shared" si="593"/>
        <v>0</v>
      </c>
      <c r="Q620" s="364">
        <f t="shared" si="593"/>
        <v>0</v>
      </c>
      <c r="R620" s="364">
        <f t="shared" si="593"/>
        <v>0</v>
      </c>
      <c r="S620" s="364">
        <f>SUM(S618:S619)</f>
        <v>0</v>
      </c>
      <c r="T620" s="353" t="s">
        <v>12</v>
      </c>
      <c r="U620" s="366"/>
      <c r="V620" s="141"/>
    </row>
    <row r="621" spans="2:22" ht="13.5" thickBot="1" x14ac:dyDescent="0.25">
      <c r="B621" s="364">
        <f t="shared" ref="B621:B622" si="594">SUM(C621:D621)</f>
        <v>18</v>
      </c>
      <c r="C621" s="364">
        <f t="shared" ref="C621:D622" si="595">R621+O621+L621+I621+F621</f>
        <v>0</v>
      </c>
      <c r="D621" s="364">
        <f t="shared" si="595"/>
        <v>18</v>
      </c>
      <c r="E621" s="364">
        <f t="shared" si="582"/>
        <v>0</v>
      </c>
      <c r="F621" s="364">
        <v>0</v>
      </c>
      <c r="G621" s="364">
        <v>0</v>
      </c>
      <c r="H621" s="364">
        <f t="shared" si="583"/>
        <v>6</v>
      </c>
      <c r="I621" s="364">
        <v>0</v>
      </c>
      <c r="J621" s="364">
        <v>6</v>
      </c>
      <c r="K621" s="364">
        <f t="shared" si="584"/>
        <v>6</v>
      </c>
      <c r="L621" s="364">
        <v>0</v>
      </c>
      <c r="M621" s="364">
        <v>6</v>
      </c>
      <c r="N621" s="364">
        <f t="shared" si="585"/>
        <v>0</v>
      </c>
      <c r="O621" s="364">
        <v>0</v>
      </c>
      <c r="P621" s="364">
        <v>0</v>
      </c>
      <c r="Q621" s="364">
        <f t="shared" si="586"/>
        <v>6</v>
      </c>
      <c r="R621" s="364">
        <v>0</v>
      </c>
      <c r="S621" s="364">
        <v>6</v>
      </c>
      <c r="T621" s="353" t="s">
        <v>146</v>
      </c>
      <c r="U621" s="365"/>
      <c r="V621" s="141"/>
    </row>
    <row r="622" spans="2:22" ht="13.5" thickBot="1" x14ac:dyDescent="0.25">
      <c r="B622" s="364">
        <f t="shared" si="594"/>
        <v>0</v>
      </c>
      <c r="C622" s="364">
        <f t="shared" si="595"/>
        <v>0</v>
      </c>
      <c r="D622" s="364">
        <f t="shared" si="595"/>
        <v>0</v>
      </c>
      <c r="E622" s="364">
        <f t="shared" si="582"/>
        <v>0</v>
      </c>
      <c r="F622" s="364">
        <v>0</v>
      </c>
      <c r="G622" s="364">
        <v>0</v>
      </c>
      <c r="H622" s="364">
        <f t="shared" si="583"/>
        <v>0</v>
      </c>
      <c r="I622" s="364">
        <v>0</v>
      </c>
      <c r="J622" s="364">
        <v>0</v>
      </c>
      <c r="K622" s="364">
        <f t="shared" si="584"/>
        <v>0</v>
      </c>
      <c r="L622" s="364">
        <v>0</v>
      </c>
      <c r="M622" s="364">
        <v>0</v>
      </c>
      <c r="N622" s="364">
        <f t="shared" si="585"/>
        <v>0</v>
      </c>
      <c r="O622" s="364">
        <v>0</v>
      </c>
      <c r="P622" s="364">
        <v>0</v>
      </c>
      <c r="Q622" s="364">
        <f t="shared" si="586"/>
        <v>0</v>
      </c>
      <c r="R622" s="364">
        <v>0</v>
      </c>
      <c r="S622" s="364">
        <v>0</v>
      </c>
      <c r="T622" s="353" t="s">
        <v>145</v>
      </c>
      <c r="U622" s="365" t="s">
        <v>108</v>
      </c>
      <c r="V622" s="141"/>
    </row>
    <row r="623" spans="2:22" ht="13.5" thickBot="1" x14ac:dyDescent="0.25">
      <c r="B623" s="364">
        <f t="shared" ref="B623:R623" si="596">SUM(B621:B622)</f>
        <v>18</v>
      </c>
      <c r="C623" s="364">
        <f t="shared" si="596"/>
        <v>0</v>
      </c>
      <c r="D623" s="364">
        <f t="shared" si="596"/>
        <v>18</v>
      </c>
      <c r="E623" s="364">
        <f t="shared" si="596"/>
        <v>0</v>
      </c>
      <c r="F623" s="364">
        <f t="shared" si="596"/>
        <v>0</v>
      </c>
      <c r="G623" s="364">
        <f t="shared" si="596"/>
        <v>0</v>
      </c>
      <c r="H623" s="364">
        <f t="shared" si="596"/>
        <v>6</v>
      </c>
      <c r="I623" s="364">
        <f t="shared" si="596"/>
        <v>0</v>
      </c>
      <c r="J623" s="364">
        <f t="shared" si="596"/>
        <v>6</v>
      </c>
      <c r="K623" s="364">
        <f t="shared" si="596"/>
        <v>6</v>
      </c>
      <c r="L623" s="364">
        <f t="shared" si="596"/>
        <v>0</v>
      </c>
      <c r="M623" s="364">
        <f t="shared" si="596"/>
        <v>6</v>
      </c>
      <c r="N623" s="364">
        <f t="shared" si="596"/>
        <v>0</v>
      </c>
      <c r="O623" s="364">
        <f t="shared" si="596"/>
        <v>0</v>
      </c>
      <c r="P623" s="364">
        <f t="shared" si="596"/>
        <v>0</v>
      </c>
      <c r="Q623" s="364">
        <f t="shared" si="596"/>
        <v>6</v>
      </c>
      <c r="R623" s="364">
        <f t="shared" si="596"/>
        <v>0</v>
      </c>
      <c r="S623" s="364">
        <f>SUM(S621:S622)</f>
        <v>6</v>
      </c>
      <c r="T623" s="353" t="s">
        <v>12</v>
      </c>
      <c r="U623" s="366"/>
      <c r="V623" s="141"/>
    </row>
    <row r="624" spans="2:22" ht="13.5" thickBot="1" x14ac:dyDescent="0.25">
      <c r="B624" s="364">
        <f t="shared" ref="B624:B625" si="597">SUM(C624:D624)</f>
        <v>62</v>
      </c>
      <c r="C624" s="364">
        <f t="shared" ref="C624:D625" si="598">R624+O624+L624+I624+F624</f>
        <v>20</v>
      </c>
      <c r="D624" s="364">
        <f t="shared" si="598"/>
        <v>42</v>
      </c>
      <c r="E624" s="364">
        <f t="shared" si="582"/>
        <v>53</v>
      </c>
      <c r="F624" s="364">
        <v>17</v>
      </c>
      <c r="G624" s="364">
        <v>36</v>
      </c>
      <c r="H624" s="364">
        <f t="shared" si="583"/>
        <v>0</v>
      </c>
      <c r="I624" s="364">
        <v>0</v>
      </c>
      <c r="J624" s="364">
        <v>0</v>
      </c>
      <c r="K624" s="364">
        <f t="shared" si="584"/>
        <v>9</v>
      </c>
      <c r="L624" s="364">
        <v>3</v>
      </c>
      <c r="M624" s="364">
        <v>6</v>
      </c>
      <c r="N624" s="364">
        <f t="shared" si="585"/>
        <v>0</v>
      </c>
      <c r="O624" s="364">
        <v>0</v>
      </c>
      <c r="P624" s="364">
        <v>0</v>
      </c>
      <c r="Q624" s="364">
        <f t="shared" si="586"/>
        <v>0</v>
      </c>
      <c r="R624" s="364">
        <v>0</v>
      </c>
      <c r="S624" s="364">
        <v>0</v>
      </c>
      <c r="T624" s="353" t="s">
        <v>146</v>
      </c>
      <c r="U624" s="365"/>
      <c r="V624" s="141"/>
    </row>
    <row r="625" spans="2:22" ht="13.5" thickBot="1" x14ac:dyDescent="0.25">
      <c r="B625" s="364">
        <f t="shared" si="597"/>
        <v>0</v>
      </c>
      <c r="C625" s="364">
        <f t="shared" si="598"/>
        <v>0</v>
      </c>
      <c r="D625" s="364">
        <f t="shared" si="598"/>
        <v>0</v>
      </c>
      <c r="E625" s="364">
        <f t="shared" si="582"/>
        <v>0</v>
      </c>
      <c r="F625" s="364">
        <v>0</v>
      </c>
      <c r="G625" s="364">
        <v>0</v>
      </c>
      <c r="H625" s="364">
        <f t="shared" si="583"/>
        <v>0</v>
      </c>
      <c r="I625" s="364">
        <v>0</v>
      </c>
      <c r="J625" s="364">
        <v>0</v>
      </c>
      <c r="K625" s="364">
        <f t="shared" si="584"/>
        <v>0</v>
      </c>
      <c r="L625" s="364">
        <v>0</v>
      </c>
      <c r="M625" s="364">
        <v>0</v>
      </c>
      <c r="N625" s="364">
        <f t="shared" si="585"/>
        <v>0</v>
      </c>
      <c r="O625" s="364">
        <v>0</v>
      </c>
      <c r="P625" s="364">
        <v>0</v>
      </c>
      <c r="Q625" s="364">
        <f t="shared" si="586"/>
        <v>0</v>
      </c>
      <c r="R625" s="364">
        <v>0</v>
      </c>
      <c r="S625" s="364">
        <v>0</v>
      </c>
      <c r="T625" s="353" t="s">
        <v>145</v>
      </c>
      <c r="U625" s="365" t="s">
        <v>628</v>
      </c>
      <c r="V625" s="141"/>
    </row>
    <row r="626" spans="2:22" ht="13.5" thickBot="1" x14ac:dyDescent="0.25">
      <c r="B626" s="364">
        <f t="shared" ref="B626:R626" si="599">SUM(B624:B625)</f>
        <v>62</v>
      </c>
      <c r="C626" s="364">
        <f t="shared" si="599"/>
        <v>20</v>
      </c>
      <c r="D626" s="364">
        <f t="shared" si="599"/>
        <v>42</v>
      </c>
      <c r="E626" s="364">
        <f t="shared" si="599"/>
        <v>53</v>
      </c>
      <c r="F626" s="364">
        <f t="shared" si="599"/>
        <v>17</v>
      </c>
      <c r="G626" s="364">
        <f t="shared" si="599"/>
        <v>36</v>
      </c>
      <c r="H626" s="364">
        <f t="shared" si="599"/>
        <v>0</v>
      </c>
      <c r="I626" s="364">
        <f t="shared" si="599"/>
        <v>0</v>
      </c>
      <c r="J626" s="364">
        <f t="shared" si="599"/>
        <v>0</v>
      </c>
      <c r="K626" s="364">
        <f t="shared" si="599"/>
        <v>9</v>
      </c>
      <c r="L626" s="364">
        <f t="shared" si="599"/>
        <v>3</v>
      </c>
      <c r="M626" s="364">
        <f t="shared" si="599"/>
        <v>6</v>
      </c>
      <c r="N626" s="364">
        <f t="shared" si="599"/>
        <v>0</v>
      </c>
      <c r="O626" s="364">
        <f t="shared" si="599"/>
        <v>0</v>
      </c>
      <c r="P626" s="364">
        <f t="shared" si="599"/>
        <v>0</v>
      </c>
      <c r="Q626" s="364">
        <f t="shared" si="599"/>
        <v>0</v>
      </c>
      <c r="R626" s="364">
        <f t="shared" si="599"/>
        <v>0</v>
      </c>
      <c r="S626" s="364">
        <f>SUM(S624:S625)</f>
        <v>0</v>
      </c>
      <c r="T626" s="353" t="s">
        <v>12</v>
      </c>
      <c r="U626" s="366"/>
      <c r="V626" s="141"/>
    </row>
    <row r="627" spans="2:22" ht="13.5" thickBot="1" x14ac:dyDescent="0.25">
      <c r="B627" s="364">
        <f t="shared" ref="B627:B628" si="600">SUM(C627:D627)</f>
        <v>131</v>
      </c>
      <c r="C627" s="364">
        <f t="shared" ref="C627:D628" si="601">R627+O627+L627+I627+F627</f>
        <v>0</v>
      </c>
      <c r="D627" s="364">
        <f t="shared" si="601"/>
        <v>131</v>
      </c>
      <c r="E627" s="364">
        <f t="shared" si="582"/>
        <v>83</v>
      </c>
      <c r="F627" s="364">
        <v>0</v>
      </c>
      <c r="G627" s="364">
        <v>83</v>
      </c>
      <c r="H627" s="364">
        <f t="shared" si="583"/>
        <v>30</v>
      </c>
      <c r="I627" s="364">
        <v>0</v>
      </c>
      <c r="J627" s="364">
        <v>30</v>
      </c>
      <c r="K627" s="364">
        <f t="shared" si="584"/>
        <v>18</v>
      </c>
      <c r="L627" s="364">
        <v>0</v>
      </c>
      <c r="M627" s="364">
        <v>18</v>
      </c>
      <c r="N627" s="364">
        <f t="shared" si="585"/>
        <v>0</v>
      </c>
      <c r="O627" s="364">
        <v>0</v>
      </c>
      <c r="P627" s="364">
        <v>0</v>
      </c>
      <c r="Q627" s="364">
        <f t="shared" si="586"/>
        <v>0</v>
      </c>
      <c r="R627" s="364">
        <v>0</v>
      </c>
      <c r="S627" s="364">
        <v>0</v>
      </c>
      <c r="T627" s="353" t="s">
        <v>146</v>
      </c>
      <c r="U627" s="365"/>
      <c r="V627" s="141"/>
    </row>
    <row r="628" spans="2:22" ht="13.5" thickBot="1" x14ac:dyDescent="0.25">
      <c r="B628" s="364">
        <f t="shared" si="600"/>
        <v>0</v>
      </c>
      <c r="C628" s="364">
        <f t="shared" si="601"/>
        <v>0</v>
      </c>
      <c r="D628" s="364">
        <f t="shared" si="601"/>
        <v>0</v>
      </c>
      <c r="E628" s="364">
        <f t="shared" si="582"/>
        <v>0</v>
      </c>
      <c r="F628" s="364">
        <v>0</v>
      </c>
      <c r="G628" s="364">
        <v>0</v>
      </c>
      <c r="H628" s="364">
        <f t="shared" si="583"/>
        <v>0</v>
      </c>
      <c r="I628" s="364">
        <v>0</v>
      </c>
      <c r="J628" s="364">
        <v>0</v>
      </c>
      <c r="K628" s="364">
        <f t="shared" si="584"/>
        <v>0</v>
      </c>
      <c r="L628" s="364">
        <v>0</v>
      </c>
      <c r="M628" s="364">
        <v>0</v>
      </c>
      <c r="N628" s="364">
        <f t="shared" si="585"/>
        <v>0</v>
      </c>
      <c r="O628" s="364">
        <v>0</v>
      </c>
      <c r="P628" s="364">
        <v>0</v>
      </c>
      <c r="Q628" s="364">
        <f t="shared" si="586"/>
        <v>0</v>
      </c>
      <c r="R628" s="364">
        <v>0</v>
      </c>
      <c r="S628" s="364">
        <v>0</v>
      </c>
      <c r="T628" s="353" t="s">
        <v>145</v>
      </c>
      <c r="U628" s="365" t="s">
        <v>831</v>
      </c>
      <c r="V628" s="141"/>
    </row>
    <row r="629" spans="2:22" ht="13.5" thickBot="1" x14ac:dyDescent="0.25">
      <c r="B629" s="364">
        <f t="shared" ref="B629:R629" si="602">SUM(B627:B628)</f>
        <v>131</v>
      </c>
      <c r="C629" s="364">
        <f t="shared" si="602"/>
        <v>0</v>
      </c>
      <c r="D629" s="364">
        <f t="shared" si="602"/>
        <v>131</v>
      </c>
      <c r="E629" s="364">
        <f t="shared" si="602"/>
        <v>83</v>
      </c>
      <c r="F629" s="364">
        <f t="shared" si="602"/>
        <v>0</v>
      </c>
      <c r="G629" s="364">
        <f t="shared" si="602"/>
        <v>83</v>
      </c>
      <c r="H629" s="364">
        <f t="shared" si="602"/>
        <v>30</v>
      </c>
      <c r="I629" s="364">
        <f t="shared" si="602"/>
        <v>0</v>
      </c>
      <c r="J629" s="364">
        <f t="shared" si="602"/>
        <v>30</v>
      </c>
      <c r="K629" s="364">
        <f t="shared" si="602"/>
        <v>18</v>
      </c>
      <c r="L629" s="364">
        <f t="shared" si="602"/>
        <v>0</v>
      </c>
      <c r="M629" s="364">
        <f t="shared" si="602"/>
        <v>18</v>
      </c>
      <c r="N629" s="364">
        <f t="shared" si="602"/>
        <v>0</v>
      </c>
      <c r="O629" s="364">
        <f t="shared" si="602"/>
        <v>0</v>
      </c>
      <c r="P629" s="364">
        <f t="shared" si="602"/>
        <v>0</v>
      </c>
      <c r="Q629" s="364">
        <f t="shared" si="602"/>
        <v>0</v>
      </c>
      <c r="R629" s="364">
        <f t="shared" si="602"/>
        <v>0</v>
      </c>
      <c r="S629" s="364">
        <f>SUM(S627:S628)</f>
        <v>0</v>
      </c>
      <c r="T629" s="353" t="s">
        <v>12</v>
      </c>
      <c r="U629" s="366"/>
      <c r="V629" s="141"/>
    </row>
    <row r="630" spans="2:22" ht="13.5" thickBot="1" x14ac:dyDescent="0.25">
      <c r="B630" s="364">
        <f t="shared" ref="B630:B631" si="603">SUM(C630:D630)</f>
        <v>24</v>
      </c>
      <c r="C630" s="364">
        <f t="shared" ref="C630:D631" si="604">R630+O630+L630+I630+F630</f>
        <v>0</v>
      </c>
      <c r="D630" s="364">
        <f t="shared" si="604"/>
        <v>24</v>
      </c>
      <c r="E630" s="364">
        <f t="shared" si="582"/>
        <v>0</v>
      </c>
      <c r="F630" s="364">
        <v>0</v>
      </c>
      <c r="G630" s="364">
        <v>0</v>
      </c>
      <c r="H630" s="364">
        <f t="shared" si="583"/>
        <v>24</v>
      </c>
      <c r="I630" s="364">
        <v>0</v>
      </c>
      <c r="J630" s="364">
        <v>24</v>
      </c>
      <c r="K630" s="364">
        <f t="shared" si="584"/>
        <v>0</v>
      </c>
      <c r="L630" s="364">
        <v>0</v>
      </c>
      <c r="M630" s="364">
        <v>0</v>
      </c>
      <c r="N630" s="364">
        <f t="shared" si="585"/>
        <v>0</v>
      </c>
      <c r="O630" s="364">
        <v>0</v>
      </c>
      <c r="P630" s="364">
        <v>0</v>
      </c>
      <c r="Q630" s="364">
        <f t="shared" si="586"/>
        <v>0</v>
      </c>
      <c r="R630" s="364">
        <v>0</v>
      </c>
      <c r="S630" s="364">
        <v>0</v>
      </c>
      <c r="T630" s="353" t="s">
        <v>146</v>
      </c>
      <c r="U630" s="365"/>
      <c r="V630" s="141"/>
    </row>
    <row r="631" spans="2:22" ht="13.5" thickBot="1" x14ac:dyDescent="0.25">
      <c r="B631" s="364">
        <f t="shared" si="603"/>
        <v>1</v>
      </c>
      <c r="C631" s="364">
        <f t="shared" si="604"/>
        <v>0</v>
      </c>
      <c r="D631" s="364">
        <f t="shared" si="604"/>
        <v>1</v>
      </c>
      <c r="E631" s="364">
        <f t="shared" si="582"/>
        <v>0</v>
      </c>
      <c r="F631" s="364">
        <v>0</v>
      </c>
      <c r="G631" s="364">
        <v>0</v>
      </c>
      <c r="H631" s="364">
        <f t="shared" si="583"/>
        <v>0</v>
      </c>
      <c r="I631" s="364">
        <v>0</v>
      </c>
      <c r="J631" s="364">
        <v>0</v>
      </c>
      <c r="K631" s="364">
        <f t="shared" si="584"/>
        <v>1</v>
      </c>
      <c r="L631" s="364">
        <v>0</v>
      </c>
      <c r="M631" s="364">
        <v>1</v>
      </c>
      <c r="N631" s="364">
        <f t="shared" si="585"/>
        <v>0</v>
      </c>
      <c r="O631" s="364">
        <v>0</v>
      </c>
      <c r="P631" s="364">
        <v>0</v>
      </c>
      <c r="Q631" s="364">
        <f t="shared" si="586"/>
        <v>0</v>
      </c>
      <c r="R631" s="364">
        <v>0</v>
      </c>
      <c r="S631" s="364">
        <v>0</v>
      </c>
      <c r="T631" s="353" t="s">
        <v>145</v>
      </c>
      <c r="U631" s="365" t="s">
        <v>455</v>
      </c>
      <c r="V631" s="141"/>
    </row>
    <row r="632" spans="2:22" ht="13.5" thickBot="1" x14ac:dyDescent="0.25">
      <c r="B632" s="364">
        <f t="shared" ref="B632:R632" si="605">SUM(B630:B631)</f>
        <v>25</v>
      </c>
      <c r="C632" s="364">
        <f t="shared" si="605"/>
        <v>0</v>
      </c>
      <c r="D632" s="364">
        <f t="shared" si="605"/>
        <v>25</v>
      </c>
      <c r="E632" s="364">
        <f t="shared" si="605"/>
        <v>0</v>
      </c>
      <c r="F632" s="364">
        <f t="shared" si="605"/>
        <v>0</v>
      </c>
      <c r="G632" s="364">
        <f t="shared" si="605"/>
        <v>0</v>
      </c>
      <c r="H632" s="364">
        <f t="shared" si="605"/>
        <v>24</v>
      </c>
      <c r="I632" s="364">
        <f t="shared" si="605"/>
        <v>0</v>
      </c>
      <c r="J632" s="364">
        <f t="shared" si="605"/>
        <v>24</v>
      </c>
      <c r="K632" s="364">
        <f t="shared" si="605"/>
        <v>1</v>
      </c>
      <c r="L632" s="364">
        <f t="shared" si="605"/>
        <v>0</v>
      </c>
      <c r="M632" s="364">
        <f t="shared" si="605"/>
        <v>1</v>
      </c>
      <c r="N632" s="364">
        <f t="shared" si="605"/>
        <v>0</v>
      </c>
      <c r="O632" s="364">
        <f t="shared" si="605"/>
        <v>0</v>
      </c>
      <c r="P632" s="364">
        <f t="shared" si="605"/>
        <v>0</v>
      </c>
      <c r="Q632" s="364">
        <f t="shared" si="605"/>
        <v>0</v>
      </c>
      <c r="R632" s="364">
        <f t="shared" si="605"/>
        <v>0</v>
      </c>
      <c r="S632" s="364">
        <f>SUM(S630:S631)</f>
        <v>0</v>
      </c>
      <c r="T632" s="353" t="s">
        <v>12</v>
      </c>
      <c r="U632" s="366"/>
      <c r="V632" s="141"/>
    </row>
    <row r="633" spans="2:22" ht="13.5" thickBot="1" x14ac:dyDescent="0.25">
      <c r="B633" s="364">
        <f t="shared" ref="B633:R635" si="606">B612+B615+B618+B621+B624+B627+B630</f>
        <v>363</v>
      </c>
      <c r="C633" s="364">
        <f t="shared" si="606"/>
        <v>100</v>
      </c>
      <c r="D633" s="364">
        <f t="shared" si="606"/>
        <v>263</v>
      </c>
      <c r="E633" s="364">
        <f t="shared" si="606"/>
        <v>210</v>
      </c>
      <c r="F633" s="364">
        <f t="shared" si="606"/>
        <v>55</v>
      </c>
      <c r="G633" s="364">
        <f t="shared" si="606"/>
        <v>155</v>
      </c>
      <c r="H633" s="364">
        <f t="shared" si="606"/>
        <v>73</v>
      </c>
      <c r="I633" s="364">
        <f t="shared" si="606"/>
        <v>7</v>
      </c>
      <c r="J633" s="364">
        <f t="shared" si="606"/>
        <v>66</v>
      </c>
      <c r="K633" s="364">
        <f t="shared" si="606"/>
        <v>74</v>
      </c>
      <c r="L633" s="364">
        <f t="shared" si="606"/>
        <v>38</v>
      </c>
      <c r="M633" s="364">
        <f t="shared" si="606"/>
        <v>36</v>
      </c>
      <c r="N633" s="364">
        <f t="shared" si="606"/>
        <v>0</v>
      </c>
      <c r="O633" s="364">
        <f t="shared" si="606"/>
        <v>0</v>
      </c>
      <c r="P633" s="364">
        <f t="shared" si="606"/>
        <v>0</v>
      </c>
      <c r="Q633" s="364">
        <f t="shared" si="606"/>
        <v>6</v>
      </c>
      <c r="R633" s="364">
        <f t="shared" si="606"/>
        <v>0</v>
      </c>
      <c r="S633" s="364">
        <f>S612+S615+S618+S621+S624+S627+S630</f>
        <v>6</v>
      </c>
      <c r="T633" s="353" t="s">
        <v>146</v>
      </c>
      <c r="U633" s="367"/>
      <c r="V633" s="141"/>
    </row>
    <row r="634" spans="2:22" ht="13.5" thickBot="1" x14ac:dyDescent="0.25">
      <c r="B634" s="364">
        <f t="shared" si="606"/>
        <v>1</v>
      </c>
      <c r="C634" s="364">
        <f t="shared" si="606"/>
        <v>0</v>
      </c>
      <c r="D634" s="364">
        <f t="shared" si="606"/>
        <v>1</v>
      </c>
      <c r="E634" s="364">
        <f t="shared" si="606"/>
        <v>0</v>
      </c>
      <c r="F634" s="364">
        <f t="shared" si="606"/>
        <v>0</v>
      </c>
      <c r="G634" s="364">
        <f t="shared" si="606"/>
        <v>0</v>
      </c>
      <c r="H634" s="364">
        <f t="shared" si="606"/>
        <v>0</v>
      </c>
      <c r="I634" s="364">
        <f t="shared" si="606"/>
        <v>0</v>
      </c>
      <c r="J634" s="364">
        <f t="shared" si="606"/>
        <v>0</v>
      </c>
      <c r="K634" s="364">
        <f t="shared" si="606"/>
        <v>1</v>
      </c>
      <c r="L634" s="364">
        <f t="shared" si="606"/>
        <v>0</v>
      </c>
      <c r="M634" s="364">
        <f t="shared" si="606"/>
        <v>1</v>
      </c>
      <c r="N634" s="364">
        <f t="shared" si="606"/>
        <v>0</v>
      </c>
      <c r="O634" s="364">
        <f t="shared" si="606"/>
        <v>0</v>
      </c>
      <c r="P634" s="364">
        <f t="shared" si="606"/>
        <v>0</v>
      </c>
      <c r="Q634" s="364">
        <f t="shared" si="606"/>
        <v>0</v>
      </c>
      <c r="R634" s="364">
        <f t="shared" si="606"/>
        <v>0</v>
      </c>
      <c r="S634" s="364">
        <f t="shared" ref="S634:S635" si="607">S613+S616+S619+S622+S625+S628+S631</f>
        <v>0</v>
      </c>
      <c r="T634" s="353" t="s">
        <v>145</v>
      </c>
      <c r="U634" s="368" t="s">
        <v>188</v>
      </c>
      <c r="V634" s="141"/>
    </row>
    <row r="635" spans="2:22" ht="13.5" thickBot="1" x14ac:dyDescent="0.25">
      <c r="B635" s="364">
        <f t="shared" si="606"/>
        <v>364</v>
      </c>
      <c r="C635" s="364">
        <f t="shared" si="606"/>
        <v>100</v>
      </c>
      <c r="D635" s="364">
        <f t="shared" si="606"/>
        <v>264</v>
      </c>
      <c r="E635" s="364">
        <f t="shared" si="606"/>
        <v>210</v>
      </c>
      <c r="F635" s="364">
        <f t="shared" si="606"/>
        <v>55</v>
      </c>
      <c r="G635" s="364">
        <f t="shared" si="606"/>
        <v>155</v>
      </c>
      <c r="H635" s="364">
        <f t="shared" si="606"/>
        <v>73</v>
      </c>
      <c r="I635" s="364">
        <f t="shared" si="606"/>
        <v>7</v>
      </c>
      <c r="J635" s="364">
        <f t="shared" si="606"/>
        <v>66</v>
      </c>
      <c r="K635" s="364">
        <f t="shared" si="606"/>
        <v>75</v>
      </c>
      <c r="L635" s="364">
        <f t="shared" si="606"/>
        <v>38</v>
      </c>
      <c r="M635" s="364">
        <f t="shared" si="606"/>
        <v>37</v>
      </c>
      <c r="N635" s="364">
        <f t="shared" si="606"/>
        <v>0</v>
      </c>
      <c r="O635" s="364">
        <f t="shared" si="606"/>
        <v>0</v>
      </c>
      <c r="P635" s="364">
        <f t="shared" si="606"/>
        <v>0</v>
      </c>
      <c r="Q635" s="364">
        <f t="shared" si="606"/>
        <v>6</v>
      </c>
      <c r="R635" s="364">
        <f t="shared" si="606"/>
        <v>0</v>
      </c>
      <c r="S635" s="364">
        <f t="shared" si="607"/>
        <v>6</v>
      </c>
      <c r="T635" s="353" t="s">
        <v>12</v>
      </c>
      <c r="U635" s="363"/>
      <c r="V635" s="141"/>
    </row>
    <row r="636" spans="2:22" ht="18" customHeight="1" thickBot="1" x14ac:dyDescent="0.25">
      <c r="B636" s="610"/>
      <c r="C636" s="610"/>
      <c r="D636" s="610"/>
      <c r="E636" s="610"/>
      <c r="F636" s="610"/>
      <c r="G636" s="610"/>
      <c r="H636" s="610"/>
      <c r="I636" s="610"/>
      <c r="J636" s="610"/>
      <c r="K636" s="610"/>
      <c r="L636" s="610"/>
      <c r="M636" s="610"/>
      <c r="N636" s="610"/>
      <c r="O636" s="610"/>
      <c r="P636" s="610"/>
      <c r="Q636" s="610"/>
      <c r="R636" s="610"/>
      <c r="S636" s="610"/>
      <c r="T636" s="610"/>
      <c r="U636" s="610"/>
      <c r="V636" s="141"/>
    </row>
    <row r="637" spans="2:22" ht="13.5" customHeight="1" thickBot="1" x14ac:dyDescent="0.25">
      <c r="B637" s="607" t="s">
        <v>4</v>
      </c>
      <c r="C637" s="607"/>
      <c r="D637" s="607"/>
      <c r="E637" s="607" t="s">
        <v>53</v>
      </c>
      <c r="F637" s="607"/>
      <c r="G637" s="607"/>
      <c r="H637" s="607" t="s">
        <v>61</v>
      </c>
      <c r="I637" s="607"/>
      <c r="J637" s="607"/>
      <c r="K637" s="607" t="s">
        <v>60</v>
      </c>
      <c r="L637" s="607"/>
      <c r="M637" s="607"/>
      <c r="N637" s="607" t="s">
        <v>57</v>
      </c>
      <c r="O637" s="607"/>
      <c r="P637" s="607"/>
      <c r="Q637" s="607" t="s">
        <v>56</v>
      </c>
      <c r="R637" s="607"/>
      <c r="S637" s="607"/>
      <c r="T637" s="608" t="s">
        <v>741</v>
      </c>
      <c r="U637" s="347" t="s">
        <v>144</v>
      </c>
      <c r="V637" s="141"/>
    </row>
    <row r="638" spans="2:22" ht="13.5" thickBot="1" x14ac:dyDescent="0.25">
      <c r="B638" s="347" t="s">
        <v>227</v>
      </c>
      <c r="C638" s="347" t="s">
        <v>10</v>
      </c>
      <c r="D638" s="347" t="s">
        <v>9</v>
      </c>
      <c r="E638" s="347" t="s">
        <v>227</v>
      </c>
      <c r="F638" s="347" t="s">
        <v>10</v>
      </c>
      <c r="G638" s="347" t="s">
        <v>9</v>
      </c>
      <c r="H638" s="347" t="s">
        <v>227</v>
      </c>
      <c r="I638" s="347" t="s">
        <v>10</v>
      </c>
      <c r="J638" s="347" t="s">
        <v>9</v>
      </c>
      <c r="K638" s="347" t="s">
        <v>227</v>
      </c>
      <c r="L638" s="347" t="s">
        <v>10</v>
      </c>
      <c r="M638" s="347" t="s">
        <v>9</v>
      </c>
      <c r="N638" s="347" t="s">
        <v>227</v>
      </c>
      <c r="O638" s="347" t="s">
        <v>10</v>
      </c>
      <c r="P638" s="347" t="s">
        <v>9</v>
      </c>
      <c r="Q638" s="347" t="s">
        <v>227</v>
      </c>
      <c r="R638" s="347" t="s">
        <v>10</v>
      </c>
      <c r="S638" s="347" t="s">
        <v>9</v>
      </c>
      <c r="T638" s="609"/>
      <c r="U638" s="363" t="s">
        <v>111</v>
      </c>
      <c r="V638" s="141"/>
    </row>
    <row r="639" spans="2:22" ht="13.5" thickBot="1" x14ac:dyDescent="0.25">
      <c r="B639" s="364">
        <f>SUM(C639:D639)</f>
        <v>4</v>
      </c>
      <c r="C639" s="364">
        <f>R639+O639+L639+I639+F639</f>
        <v>0</v>
      </c>
      <c r="D639" s="364">
        <f>S639+P639+M639+J639+G639</f>
        <v>4</v>
      </c>
      <c r="E639" s="364">
        <f>SUM(F639:G639)</f>
        <v>0</v>
      </c>
      <c r="F639" s="364">
        <v>0</v>
      </c>
      <c r="G639" s="364">
        <v>0</v>
      </c>
      <c r="H639" s="364">
        <f>SUM(I639:J639)</f>
        <v>0</v>
      </c>
      <c r="I639" s="364">
        <v>0</v>
      </c>
      <c r="J639" s="364">
        <v>0</v>
      </c>
      <c r="K639" s="364">
        <f>SUM(L639:M639)</f>
        <v>4</v>
      </c>
      <c r="L639" s="364">
        <v>0</v>
      </c>
      <c r="M639" s="364">
        <v>4</v>
      </c>
      <c r="N639" s="364">
        <f>SUM(O639:P639)</f>
        <v>0</v>
      </c>
      <c r="O639" s="364">
        <v>0</v>
      </c>
      <c r="P639" s="364">
        <v>0</v>
      </c>
      <c r="Q639" s="364">
        <f>SUM(R639:S639)</f>
        <v>0</v>
      </c>
      <c r="R639" s="364">
        <v>0</v>
      </c>
      <c r="S639" s="364">
        <v>0</v>
      </c>
      <c r="T639" s="353" t="s">
        <v>146</v>
      </c>
      <c r="U639" s="365"/>
      <c r="V639" s="141"/>
    </row>
    <row r="640" spans="2:22" ht="13.5" thickBot="1" x14ac:dyDescent="0.25">
      <c r="B640" s="364">
        <f t="shared" ref="B640" si="608">SUM(C640:D640)</f>
        <v>0</v>
      </c>
      <c r="C640" s="364">
        <f t="shared" ref="C640:D640" si="609">R640+O640+L640+I640+F640</f>
        <v>0</v>
      </c>
      <c r="D640" s="364">
        <f t="shared" si="609"/>
        <v>0</v>
      </c>
      <c r="E640" s="364">
        <f t="shared" ref="E640:E667" si="610">SUM(F640:G640)</f>
        <v>0</v>
      </c>
      <c r="F640" s="364">
        <v>0</v>
      </c>
      <c r="G640" s="364">
        <v>0</v>
      </c>
      <c r="H640" s="364">
        <f t="shared" ref="H640:H667" si="611">SUM(I640:J640)</f>
        <v>0</v>
      </c>
      <c r="I640" s="364">
        <v>0</v>
      </c>
      <c r="J640" s="364">
        <v>0</v>
      </c>
      <c r="K640" s="364">
        <f t="shared" ref="K640:K667" si="612">SUM(L640:M640)</f>
        <v>0</v>
      </c>
      <c r="L640" s="364">
        <v>0</v>
      </c>
      <c r="M640" s="364">
        <v>0</v>
      </c>
      <c r="N640" s="364">
        <f t="shared" ref="N640:N667" si="613">SUM(O640:P640)</f>
        <v>0</v>
      </c>
      <c r="O640" s="364">
        <v>0</v>
      </c>
      <c r="P640" s="364">
        <v>0</v>
      </c>
      <c r="Q640" s="364">
        <f t="shared" ref="Q640:Q667" si="614">SUM(R640:S640)</f>
        <v>0</v>
      </c>
      <c r="R640" s="364">
        <v>0</v>
      </c>
      <c r="S640" s="364">
        <v>0</v>
      </c>
      <c r="T640" s="353" t="s">
        <v>145</v>
      </c>
      <c r="U640" s="365" t="s">
        <v>367</v>
      </c>
      <c r="V640" s="141"/>
    </row>
    <row r="641" spans="2:22" ht="13.5" thickBot="1" x14ac:dyDescent="0.25">
      <c r="B641" s="364">
        <f t="shared" ref="B641:R641" si="615">SUM(B639:B640)</f>
        <v>4</v>
      </c>
      <c r="C641" s="364">
        <f t="shared" si="615"/>
        <v>0</v>
      </c>
      <c r="D641" s="364">
        <f t="shared" si="615"/>
        <v>4</v>
      </c>
      <c r="E641" s="364">
        <f t="shared" si="615"/>
        <v>0</v>
      </c>
      <c r="F641" s="364">
        <f t="shared" si="615"/>
        <v>0</v>
      </c>
      <c r="G641" s="364">
        <f t="shared" si="615"/>
        <v>0</v>
      </c>
      <c r="H641" s="364">
        <f t="shared" si="615"/>
        <v>0</v>
      </c>
      <c r="I641" s="364">
        <f t="shared" si="615"/>
        <v>0</v>
      </c>
      <c r="J641" s="364">
        <f t="shared" si="615"/>
        <v>0</v>
      </c>
      <c r="K641" s="364">
        <f t="shared" si="615"/>
        <v>4</v>
      </c>
      <c r="L641" s="364">
        <f t="shared" si="615"/>
        <v>0</v>
      </c>
      <c r="M641" s="364">
        <f t="shared" si="615"/>
        <v>4</v>
      </c>
      <c r="N641" s="364">
        <f t="shared" si="615"/>
        <v>0</v>
      </c>
      <c r="O641" s="364">
        <f t="shared" si="615"/>
        <v>0</v>
      </c>
      <c r="P641" s="364">
        <f t="shared" si="615"/>
        <v>0</v>
      </c>
      <c r="Q641" s="364">
        <f t="shared" si="615"/>
        <v>0</v>
      </c>
      <c r="R641" s="364">
        <f t="shared" si="615"/>
        <v>0</v>
      </c>
      <c r="S641" s="364">
        <f>SUM(S639:S640)</f>
        <v>0</v>
      </c>
      <c r="T641" s="353" t="s">
        <v>12</v>
      </c>
      <c r="U641" s="366"/>
      <c r="V641" s="141"/>
    </row>
    <row r="642" spans="2:22" ht="13.5" thickBot="1" x14ac:dyDescent="0.25">
      <c r="B642" s="364">
        <f t="shared" ref="B642:B643" si="616">SUM(C642:D642)</f>
        <v>17</v>
      </c>
      <c r="C642" s="364">
        <f t="shared" ref="C642:D643" si="617">R642+O642+L642+I642+F642</f>
        <v>0</v>
      </c>
      <c r="D642" s="364">
        <f t="shared" si="617"/>
        <v>17</v>
      </c>
      <c r="E642" s="364">
        <f t="shared" si="610"/>
        <v>9</v>
      </c>
      <c r="F642" s="364">
        <v>0</v>
      </c>
      <c r="G642" s="364">
        <v>9</v>
      </c>
      <c r="H642" s="364">
        <f t="shared" si="611"/>
        <v>4</v>
      </c>
      <c r="I642" s="364">
        <v>0</v>
      </c>
      <c r="J642" s="364">
        <v>4</v>
      </c>
      <c r="K642" s="364">
        <f t="shared" si="612"/>
        <v>4</v>
      </c>
      <c r="L642" s="364">
        <v>0</v>
      </c>
      <c r="M642" s="364">
        <v>4</v>
      </c>
      <c r="N642" s="364">
        <f t="shared" si="613"/>
        <v>0</v>
      </c>
      <c r="O642" s="364">
        <v>0</v>
      </c>
      <c r="P642" s="364">
        <v>0</v>
      </c>
      <c r="Q642" s="364">
        <f t="shared" si="614"/>
        <v>0</v>
      </c>
      <c r="R642" s="364">
        <v>0</v>
      </c>
      <c r="S642" s="364">
        <v>0</v>
      </c>
      <c r="T642" s="353" t="s">
        <v>146</v>
      </c>
      <c r="U642" s="365"/>
      <c r="V642" s="141"/>
    </row>
    <row r="643" spans="2:22" ht="13.5" thickBot="1" x14ac:dyDescent="0.25">
      <c r="B643" s="364">
        <f t="shared" si="616"/>
        <v>0</v>
      </c>
      <c r="C643" s="364">
        <f t="shared" si="617"/>
        <v>0</v>
      </c>
      <c r="D643" s="364">
        <f t="shared" si="617"/>
        <v>0</v>
      </c>
      <c r="E643" s="364">
        <f t="shared" si="610"/>
        <v>0</v>
      </c>
      <c r="F643" s="364">
        <v>0</v>
      </c>
      <c r="G643" s="364">
        <v>0</v>
      </c>
      <c r="H643" s="364">
        <f t="shared" si="611"/>
        <v>0</v>
      </c>
      <c r="I643" s="364">
        <v>0</v>
      </c>
      <c r="J643" s="364">
        <v>0</v>
      </c>
      <c r="K643" s="364">
        <f t="shared" si="612"/>
        <v>0</v>
      </c>
      <c r="L643" s="364">
        <v>0</v>
      </c>
      <c r="M643" s="364">
        <v>0</v>
      </c>
      <c r="N643" s="364">
        <f t="shared" si="613"/>
        <v>0</v>
      </c>
      <c r="O643" s="364">
        <v>0</v>
      </c>
      <c r="P643" s="364">
        <v>0</v>
      </c>
      <c r="Q643" s="364">
        <f t="shared" si="614"/>
        <v>0</v>
      </c>
      <c r="R643" s="364">
        <v>0</v>
      </c>
      <c r="S643" s="364">
        <v>0</v>
      </c>
      <c r="T643" s="353" t="s">
        <v>145</v>
      </c>
      <c r="U643" s="365" t="s">
        <v>347</v>
      </c>
      <c r="V643" s="141"/>
    </row>
    <row r="644" spans="2:22" ht="13.5" thickBot="1" x14ac:dyDescent="0.25">
      <c r="B644" s="364">
        <f t="shared" ref="B644:R644" si="618">SUM(B642:B643)</f>
        <v>17</v>
      </c>
      <c r="C644" s="364">
        <f t="shared" si="618"/>
        <v>0</v>
      </c>
      <c r="D644" s="364">
        <f t="shared" si="618"/>
        <v>17</v>
      </c>
      <c r="E644" s="364">
        <f t="shared" si="618"/>
        <v>9</v>
      </c>
      <c r="F644" s="364">
        <f t="shared" si="618"/>
        <v>0</v>
      </c>
      <c r="G644" s="364">
        <f t="shared" si="618"/>
        <v>9</v>
      </c>
      <c r="H644" s="364">
        <f t="shared" si="618"/>
        <v>4</v>
      </c>
      <c r="I644" s="364">
        <f t="shared" si="618"/>
        <v>0</v>
      </c>
      <c r="J644" s="364">
        <f t="shared" si="618"/>
        <v>4</v>
      </c>
      <c r="K644" s="364">
        <f t="shared" si="618"/>
        <v>4</v>
      </c>
      <c r="L644" s="364">
        <f t="shared" si="618"/>
        <v>0</v>
      </c>
      <c r="M644" s="364">
        <f t="shared" si="618"/>
        <v>4</v>
      </c>
      <c r="N644" s="364">
        <f t="shared" si="618"/>
        <v>0</v>
      </c>
      <c r="O644" s="364">
        <f t="shared" si="618"/>
        <v>0</v>
      </c>
      <c r="P644" s="364">
        <f t="shared" si="618"/>
        <v>0</v>
      </c>
      <c r="Q644" s="364">
        <f t="shared" si="618"/>
        <v>0</v>
      </c>
      <c r="R644" s="364">
        <f t="shared" si="618"/>
        <v>0</v>
      </c>
      <c r="S644" s="364">
        <f>SUM(S642:S643)</f>
        <v>0</v>
      </c>
      <c r="T644" s="353" t="s">
        <v>12</v>
      </c>
      <c r="U644" s="366"/>
      <c r="V644" s="141"/>
    </row>
    <row r="645" spans="2:22" ht="13.5" thickBot="1" x14ac:dyDescent="0.25">
      <c r="B645" s="364">
        <f t="shared" ref="B645:B646" si="619">SUM(C645:D645)</f>
        <v>21</v>
      </c>
      <c r="C645" s="364">
        <f t="shared" ref="C645:D646" si="620">R645+O645+L645+I645+F645</f>
        <v>0</v>
      </c>
      <c r="D645" s="364">
        <f t="shared" si="620"/>
        <v>21</v>
      </c>
      <c r="E645" s="364">
        <f t="shared" si="610"/>
        <v>0</v>
      </c>
      <c r="F645" s="364">
        <v>0</v>
      </c>
      <c r="G645" s="364">
        <v>0</v>
      </c>
      <c r="H645" s="364">
        <f t="shared" si="611"/>
        <v>17</v>
      </c>
      <c r="I645" s="364">
        <v>0</v>
      </c>
      <c r="J645" s="364">
        <v>17</v>
      </c>
      <c r="K645" s="364">
        <f t="shared" si="612"/>
        <v>0</v>
      </c>
      <c r="L645" s="364">
        <v>0</v>
      </c>
      <c r="M645" s="364">
        <v>0</v>
      </c>
      <c r="N645" s="364">
        <f t="shared" si="613"/>
        <v>4</v>
      </c>
      <c r="O645" s="364">
        <v>0</v>
      </c>
      <c r="P645" s="364">
        <v>4</v>
      </c>
      <c r="Q645" s="364">
        <f t="shared" si="614"/>
        <v>0</v>
      </c>
      <c r="R645" s="364">
        <v>0</v>
      </c>
      <c r="S645" s="364">
        <v>0</v>
      </c>
      <c r="T645" s="353" t="s">
        <v>146</v>
      </c>
      <c r="U645" s="365"/>
      <c r="V645" s="141"/>
    </row>
    <row r="646" spans="2:22" ht="13.5" thickBot="1" x14ac:dyDescent="0.25">
      <c r="B646" s="364">
        <f t="shared" si="619"/>
        <v>0</v>
      </c>
      <c r="C646" s="364">
        <f t="shared" si="620"/>
        <v>0</v>
      </c>
      <c r="D646" s="364">
        <f t="shared" si="620"/>
        <v>0</v>
      </c>
      <c r="E646" s="364">
        <f t="shared" si="610"/>
        <v>0</v>
      </c>
      <c r="F646" s="364">
        <v>0</v>
      </c>
      <c r="G646" s="364">
        <v>0</v>
      </c>
      <c r="H646" s="364">
        <f t="shared" si="611"/>
        <v>0</v>
      </c>
      <c r="I646" s="364">
        <v>0</v>
      </c>
      <c r="J646" s="364">
        <v>0</v>
      </c>
      <c r="K646" s="364">
        <f t="shared" si="612"/>
        <v>0</v>
      </c>
      <c r="L646" s="364">
        <v>0</v>
      </c>
      <c r="M646" s="364">
        <v>0</v>
      </c>
      <c r="N646" s="364">
        <f t="shared" si="613"/>
        <v>0</v>
      </c>
      <c r="O646" s="364">
        <v>0</v>
      </c>
      <c r="P646" s="364">
        <v>0</v>
      </c>
      <c r="Q646" s="364">
        <f t="shared" si="614"/>
        <v>0</v>
      </c>
      <c r="R646" s="364">
        <v>0</v>
      </c>
      <c r="S646" s="364">
        <v>0</v>
      </c>
      <c r="T646" s="353" t="s">
        <v>145</v>
      </c>
      <c r="U646" s="365" t="s">
        <v>454</v>
      </c>
      <c r="V646" s="141"/>
    </row>
    <row r="647" spans="2:22" ht="13.5" thickBot="1" x14ac:dyDescent="0.25">
      <c r="B647" s="364">
        <f t="shared" ref="B647:R647" si="621">SUM(B645:B646)</f>
        <v>21</v>
      </c>
      <c r="C647" s="364">
        <f t="shared" si="621"/>
        <v>0</v>
      </c>
      <c r="D647" s="364">
        <f t="shared" si="621"/>
        <v>21</v>
      </c>
      <c r="E647" s="364">
        <f t="shared" si="621"/>
        <v>0</v>
      </c>
      <c r="F647" s="364">
        <f t="shared" si="621"/>
        <v>0</v>
      </c>
      <c r="G647" s="364">
        <f t="shared" si="621"/>
        <v>0</v>
      </c>
      <c r="H647" s="364">
        <f t="shared" si="621"/>
        <v>17</v>
      </c>
      <c r="I647" s="364">
        <f t="shared" si="621"/>
        <v>0</v>
      </c>
      <c r="J647" s="364">
        <f t="shared" si="621"/>
        <v>17</v>
      </c>
      <c r="K647" s="364">
        <f t="shared" si="621"/>
        <v>0</v>
      </c>
      <c r="L647" s="364">
        <f t="shared" si="621"/>
        <v>0</v>
      </c>
      <c r="M647" s="364">
        <f t="shared" si="621"/>
        <v>0</v>
      </c>
      <c r="N647" s="364">
        <f t="shared" si="621"/>
        <v>4</v>
      </c>
      <c r="O647" s="364">
        <f t="shared" si="621"/>
        <v>0</v>
      </c>
      <c r="P647" s="364">
        <f t="shared" si="621"/>
        <v>4</v>
      </c>
      <c r="Q647" s="364">
        <f t="shared" si="621"/>
        <v>0</v>
      </c>
      <c r="R647" s="364">
        <f t="shared" si="621"/>
        <v>0</v>
      </c>
      <c r="S647" s="364">
        <f>SUM(S645:S646)</f>
        <v>0</v>
      </c>
      <c r="T647" s="353" t="s">
        <v>12</v>
      </c>
      <c r="U647" s="366"/>
      <c r="V647" s="141"/>
    </row>
    <row r="648" spans="2:22" ht="13.5" thickBot="1" x14ac:dyDescent="0.25">
      <c r="B648" s="364">
        <f t="shared" ref="B648:B649" si="622">SUM(C648:D648)</f>
        <v>46</v>
      </c>
      <c r="C648" s="364">
        <f t="shared" ref="C648:D649" si="623">R648+O648+L648+I648+F648</f>
        <v>0</v>
      </c>
      <c r="D648" s="364">
        <f t="shared" si="623"/>
        <v>46</v>
      </c>
      <c r="E648" s="364">
        <f t="shared" si="610"/>
        <v>0</v>
      </c>
      <c r="F648" s="364">
        <v>0</v>
      </c>
      <c r="G648" s="364">
        <v>0</v>
      </c>
      <c r="H648" s="364">
        <f t="shared" si="611"/>
        <v>25</v>
      </c>
      <c r="I648" s="364">
        <v>0</v>
      </c>
      <c r="J648" s="364">
        <v>25</v>
      </c>
      <c r="K648" s="364">
        <f t="shared" si="612"/>
        <v>21</v>
      </c>
      <c r="L648" s="364">
        <v>0</v>
      </c>
      <c r="M648" s="364">
        <v>21</v>
      </c>
      <c r="N648" s="364">
        <f t="shared" si="613"/>
        <v>0</v>
      </c>
      <c r="O648" s="364">
        <v>0</v>
      </c>
      <c r="P648" s="364">
        <v>0</v>
      </c>
      <c r="Q648" s="364">
        <f t="shared" si="614"/>
        <v>0</v>
      </c>
      <c r="R648" s="364">
        <v>0</v>
      </c>
      <c r="S648" s="364">
        <v>0</v>
      </c>
      <c r="T648" s="353" t="s">
        <v>146</v>
      </c>
      <c r="U648" s="365"/>
      <c r="V648" s="141"/>
    </row>
    <row r="649" spans="2:22" ht="13.5" thickBot="1" x14ac:dyDescent="0.25">
      <c r="B649" s="364">
        <f t="shared" si="622"/>
        <v>0</v>
      </c>
      <c r="C649" s="364">
        <f t="shared" si="623"/>
        <v>0</v>
      </c>
      <c r="D649" s="364">
        <f t="shared" si="623"/>
        <v>0</v>
      </c>
      <c r="E649" s="364">
        <f t="shared" si="610"/>
        <v>0</v>
      </c>
      <c r="F649" s="364">
        <v>0</v>
      </c>
      <c r="G649" s="364">
        <v>0</v>
      </c>
      <c r="H649" s="364">
        <f t="shared" si="611"/>
        <v>0</v>
      </c>
      <c r="I649" s="364">
        <v>0</v>
      </c>
      <c r="J649" s="364">
        <v>0</v>
      </c>
      <c r="K649" s="364">
        <f t="shared" si="612"/>
        <v>0</v>
      </c>
      <c r="L649" s="364">
        <v>0</v>
      </c>
      <c r="M649" s="364">
        <v>0</v>
      </c>
      <c r="N649" s="364">
        <f t="shared" si="613"/>
        <v>0</v>
      </c>
      <c r="O649" s="364">
        <v>0</v>
      </c>
      <c r="P649" s="364">
        <v>0</v>
      </c>
      <c r="Q649" s="364">
        <f t="shared" si="614"/>
        <v>0</v>
      </c>
      <c r="R649" s="364">
        <v>0</v>
      </c>
      <c r="S649" s="364">
        <v>0</v>
      </c>
      <c r="T649" s="353" t="s">
        <v>145</v>
      </c>
      <c r="U649" s="365" t="s">
        <v>110</v>
      </c>
      <c r="V649" s="141"/>
    </row>
    <row r="650" spans="2:22" ht="13.5" thickBot="1" x14ac:dyDescent="0.25">
      <c r="B650" s="364">
        <f t="shared" ref="B650:R650" si="624">SUM(B648:B649)</f>
        <v>46</v>
      </c>
      <c r="C650" s="364">
        <f t="shared" si="624"/>
        <v>0</v>
      </c>
      <c r="D650" s="364">
        <f t="shared" si="624"/>
        <v>46</v>
      </c>
      <c r="E650" s="364">
        <f t="shared" si="624"/>
        <v>0</v>
      </c>
      <c r="F650" s="364">
        <f t="shared" si="624"/>
        <v>0</v>
      </c>
      <c r="G650" s="364">
        <f t="shared" si="624"/>
        <v>0</v>
      </c>
      <c r="H650" s="364">
        <f t="shared" si="624"/>
        <v>25</v>
      </c>
      <c r="I650" s="364">
        <f t="shared" si="624"/>
        <v>0</v>
      </c>
      <c r="J650" s="364">
        <f t="shared" si="624"/>
        <v>25</v>
      </c>
      <c r="K650" s="364">
        <f t="shared" si="624"/>
        <v>21</v>
      </c>
      <c r="L650" s="364">
        <f t="shared" si="624"/>
        <v>0</v>
      </c>
      <c r="M650" s="364">
        <f t="shared" si="624"/>
        <v>21</v>
      </c>
      <c r="N650" s="364">
        <f t="shared" si="624"/>
        <v>0</v>
      </c>
      <c r="O650" s="364">
        <f t="shared" si="624"/>
        <v>0</v>
      </c>
      <c r="P650" s="364">
        <f t="shared" si="624"/>
        <v>0</v>
      </c>
      <c r="Q650" s="364">
        <f t="shared" si="624"/>
        <v>0</v>
      </c>
      <c r="R650" s="364">
        <f t="shared" si="624"/>
        <v>0</v>
      </c>
      <c r="S650" s="364">
        <f>SUM(S648:S649)</f>
        <v>0</v>
      </c>
      <c r="T650" s="353" t="s">
        <v>12</v>
      </c>
      <c r="U650" s="366"/>
      <c r="V650" s="141"/>
    </row>
    <row r="651" spans="2:22" ht="13.5" thickBot="1" x14ac:dyDescent="0.25">
      <c r="B651" s="364">
        <f t="shared" ref="B651:B652" si="625">SUM(C651:D651)</f>
        <v>38</v>
      </c>
      <c r="C651" s="364">
        <f t="shared" ref="C651:D652" si="626">R651+O651+L651+I651+F651</f>
        <v>34</v>
      </c>
      <c r="D651" s="364">
        <f t="shared" si="626"/>
        <v>4</v>
      </c>
      <c r="E651" s="364">
        <f t="shared" si="610"/>
        <v>0</v>
      </c>
      <c r="F651" s="364">
        <v>0</v>
      </c>
      <c r="G651" s="364">
        <v>0</v>
      </c>
      <c r="H651" s="364">
        <f t="shared" si="611"/>
        <v>10</v>
      </c>
      <c r="I651" s="364">
        <v>10</v>
      </c>
      <c r="J651" s="364">
        <v>0</v>
      </c>
      <c r="K651" s="364">
        <f t="shared" si="612"/>
        <v>28</v>
      </c>
      <c r="L651" s="364">
        <v>24</v>
      </c>
      <c r="M651" s="364">
        <v>4</v>
      </c>
      <c r="N651" s="364">
        <f t="shared" si="613"/>
        <v>0</v>
      </c>
      <c r="O651" s="364">
        <v>0</v>
      </c>
      <c r="P651" s="364">
        <v>0</v>
      </c>
      <c r="Q651" s="364">
        <f t="shared" si="614"/>
        <v>0</v>
      </c>
      <c r="R651" s="364">
        <v>0</v>
      </c>
      <c r="S651" s="364">
        <v>0</v>
      </c>
      <c r="T651" s="353" t="s">
        <v>146</v>
      </c>
      <c r="U651" s="365"/>
      <c r="V651" s="141"/>
    </row>
    <row r="652" spans="2:22" ht="13.5" thickBot="1" x14ac:dyDescent="0.25">
      <c r="B652" s="364">
        <f t="shared" si="625"/>
        <v>0</v>
      </c>
      <c r="C652" s="364">
        <f t="shared" si="626"/>
        <v>0</v>
      </c>
      <c r="D652" s="364">
        <f t="shared" si="626"/>
        <v>0</v>
      </c>
      <c r="E652" s="364">
        <f t="shared" si="610"/>
        <v>0</v>
      </c>
      <c r="F652" s="364">
        <v>0</v>
      </c>
      <c r="G652" s="364">
        <v>0</v>
      </c>
      <c r="H652" s="364">
        <f t="shared" si="611"/>
        <v>0</v>
      </c>
      <c r="I652" s="364">
        <v>0</v>
      </c>
      <c r="J652" s="364">
        <v>0</v>
      </c>
      <c r="K652" s="364">
        <f t="shared" si="612"/>
        <v>0</v>
      </c>
      <c r="L652" s="364">
        <v>0</v>
      </c>
      <c r="M652" s="364">
        <v>0</v>
      </c>
      <c r="N652" s="364">
        <f t="shared" si="613"/>
        <v>0</v>
      </c>
      <c r="O652" s="364">
        <v>0</v>
      </c>
      <c r="P652" s="364">
        <v>0</v>
      </c>
      <c r="Q652" s="364">
        <f t="shared" si="614"/>
        <v>0</v>
      </c>
      <c r="R652" s="364">
        <v>0</v>
      </c>
      <c r="S652" s="364">
        <v>0</v>
      </c>
      <c r="T652" s="353" t="s">
        <v>145</v>
      </c>
      <c r="U652" s="371" t="s">
        <v>504</v>
      </c>
      <c r="V652" s="141"/>
    </row>
    <row r="653" spans="2:22" ht="13.5" thickBot="1" x14ac:dyDescent="0.25">
      <c r="B653" s="364">
        <f t="shared" ref="B653:R653" si="627">SUM(B651:B652)</f>
        <v>38</v>
      </c>
      <c r="C653" s="364">
        <f t="shared" si="627"/>
        <v>34</v>
      </c>
      <c r="D653" s="364">
        <f t="shared" si="627"/>
        <v>4</v>
      </c>
      <c r="E653" s="364">
        <f t="shared" si="627"/>
        <v>0</v>
      </c>
      <c r="F653" s="364">
        <f t="shared" si="627"/>
        <v>0</v>
      </c>
      <c r="G653" s="364">
        <f t="shared" si="627"/>
        <v>0</v>
      </c>
      <c r="H653" s="364">
        <f t="shared" si="627"/>
        <v>10</v>
      </c>
      <c r="I653" s="364">
        <f t="shared" si="627"/>
        <v>10</v>
      </c>
      <c r="J653" s="364">
        <f t="shared" si="627"/>
        <v>0</v>
      </c>
      <c r="K653" s="364">
        <f t="shared" si="627"/>
        <v>28</v>
      </c>
      <c r="L653" s="364">
        <f t="shared" si="627"/>
        <v>24</v>
      </c>
      <c r="M653" s="364">
        <f t="shared" si="627"/>
        <v>4</v>
      </c>
      <c r="N653" s="364">
        <f t="shared" si="627"/>
        <v>0</v>
      </c>
      <c r="O653" s="364">
        <f t="shared" si="627"/>
        <v>0</v>
      </c>
      <c r="P653" s="364">
        <f t="shared" si="627"/>
        <v>0</v>
      </c>
      <c r="Q653" s="364">
        <f t="shared" si="627"/>
        <v>0</v>
      </c>
      <c r="R653" s="364">
        <f t="shared" si="627"/>
        <v>0</v>
      </c>
      <c r="S653" s="364">
        <f>SUM(S651:S652)</f>
        <v>0</v>
      </c>
      <c r="T653" s="353" t="s">
        <v>12</v>
      </c>
      <c r="U653" s="366"/>
      <c r="V653" s="141"/>
    </row>
    <row r="654" spans="2:22" ht="13.5" thickBot="1" x14ac:dyDescent="0.25">
      <c r="B654" s="364">
        <f t="shared" ref="B654:B655" si="628">SUM(C654:D654)</f>
        <v>50</v>
      </c>
      <c r="C654" s="364">
        <f t="shared" ref="C654:D655" si="629">R654+O654+L654+I654+F654</f>
        <v>0</v>
      </c>
      <c r="D654" s="364">
        <f t="shared" si="629"/>
        <v>50</v>
      </c>
      <c r="E654" s="364">
        <f t="shared" si="610"/>
        <v>50</v>
      </c>
      <c r="F654" s="364">
        <v>0</v>
      </c>
      <c r="G654" s="364">
        <v>50</v>
      </c>
      <c r="H654" s="364">
        <f t="shared" si="611"/>
        <v>0</v>
      </c>
      <c r="I654" s="364">
        <v>0</v>
      </c>
      <c r="J654" s="364">
        <v>0</v>
      </c>
      <c r="K654" s="364">
        <f t="shared" si="612"/>
        <v>0</v>
      </c>
      <c r="L654" s="364">
        <v>0</v>
      </c>
      <c r="M654" s="364">
        <v>0</v>
      </c>
      <c r="N654" s="364">
        <f t="shared" si="613"/>
        <v>0</v>
      </c>
      <c r="O654" s="364">
        <v>0</v>
      </c>
      <c r="P654" s="364">
        <v>0</v>
      </c>
      <c r="Q654" s="364">
        <f t="shared" si="614"/>
        <v>0</v>
      </c>
      <c r="R654" s="364">
        <v>0</v>
      </c>
      <c r="S654" s="364">
        <v>0</v>
      </c>
      <c r="T654" s="353" t="s">
        <v>146</v>
      </c>
      <c r="U654" s="365"/>
      <c r="V654" s="141"/>
    </row>
    <row r="655" spans="2:22" ht="13.5" thickBot="1" x14ac:dyDescent="0.25">
      <c r="B655" s="364">
        <f t="shared" si="628"/>
        <v>0</v>
      </c>
      <c r="C655" s="364">
        <f t="shared" si="629"/>
        <v>0</v>
      </c>
      <c r="D655" s="364">
        <f t="shared" si="629"/>
        <v>0</v>
      </c>
      <c r="E655" s="364">
        <f t="shared" si="610"/>
        <v>0</v>
      </c>
      <c r="F655" s="364">
        <v>0</v>
      </c>
      <c r="G655" s="364">
        <v>0</v>
      </c>
      <c r="H655" s="364">
        <f t="shared" si="611"/>
        <v>0</v>
      </c>
      <c r="I655" s="364">
        <v>0</v>
      </c>
      <c r="J655" s="364">
        <v>0</v>
      </c>
      <c r="K655" s="364">
        <f t="shared" si="612"/>
        <v>0</v>
      </c>
      <c r="L655" s="364">
        <v>0</v>
      </c>
      <c r="M655" s="364">
        <v>0</v>
      </c>
      <c r="N655" s="364">
        <f t="shared" si="613"/>
        <v>0</v>
      </c>
      <c r="O655" s="364">
        <v>0</v>
      </c>
      <c r="P655" s="364">
        <v>0</v>
      </c>
      <c r="Q655" s="364">
        <f t="shared" si="614"/>
        <v>0</v>
      </c>
      <c r="R655" s="364">
        <v>0</v>
      </c>
      <c r="S655" s="364">
        <v>0</v>
      </c>
      <c r="T655" s="353" t="s">
        <v>145</v>
      </c>
      <c r="U655" s="371" t="s">
        <v>505</v>
      </c>
      <c r="V655" s="141"/>
    </row>
    <row r="656" spans="2:22" ht="13.5" thickBot="1" x14ac:dyDescent="0.25">
      <c r="B656" s="364">
        <f t="shared" ref="B656:R656" si="630">SUM(B654:B655)</f>
        <v>50</v>
      </c>
      <c r="C656" s="364">
        <f t="shared" si="630"/>
        <v>0</v>
      </c>
      <c r="D656" s="364">
        <f t="shared" si="630"/>
        <v>50</v>
      </c>
      <c r="E656" s="364">
        <f t="shared" si="630"/>
        <v>50</v>
      </c>
      <c r="F656" s="364">
        <f t="shared" si="630"/>
        <v>0</v>
      </c>
      <c r="G656" s="364">
        <f t="shared" si="630"/>
        <v>50</v>
      </c>
      <c r="H656" s="364">
        <f t="shared" si="630"/>
        <v>0</v>
      </c>
      <c r="I656" s="364">
        <f t="shared" si="630"/>
        <v>0</v>
      </c>
      <c r="J656" s="364">
        <f t="shared" si="630"/>
        <v>0</v>
      </c>
      <c r="K656" s="364">
        <f t="shared" si="630"/>
        <v>0</v>
      </c>
      <c r="L656" s="364">
        <f t="shared" si="630"/>
        <v>0</v>
      </c>
      <c r="M656" s="364">
        <f t="shared" si="630"/>
        <v>0</v>
      </c>
      <c r="N656" s="364">
        <f t="shared" si="630"/>
        <v>0</v>
      </c>
      <c r="O656" s="364">
        <f t="shared" si="630"/>
        <v>0</v>
      </c>
      <c r="P656" s="364">
        <f t="shared" si="630"/>
        <v>0</v>
      </c>
      <c r="Q656" s="364">
        <f t="shared" si="630"/>
        <v>0</v>
      </c>
      <c r="R656" s="364">
        <f t="shared" si="630"/>
        <v>0</v>
      </c>
      <c r="S656" s="364">
        <f>SUM(S654:S655)</f>
        <v>0</v>
      </c>
      <c r="T656" s="353" t="s">
        <v>12</v>
      </c>
      <c r="U656" s="366"/>
      <c r="V656" s="141"/>
    </row>
    <row r="657" spans="2:22" ht="13.5" thickBot="1" x14ac:dyDescent="0.25">
      <c r="B657" s="364">
        <f t="shared" ref="B657:B658" si="631">SUM(C657:D657)</f>
        <v>10</v>
      </c>
      <c r="C657" s="364">
        <f t="shared" ref="C657:D658" si="632">R657+O657+L657+I657+F657</f>
        <v>10</v>
      </c>
      <c r="D657" s="364">
        <f t="shared" si="632"/>
        <v>0</v>
      </c>
      <c r="E657" s="364">
        <f t="shared" si="610"/>
        <v>4</v>
      </c>
      <c r="F657" s="364">
        <v>4</v>
      </c>
      <c r="G657" s="364">
        <v>0</v>
      </c>
      <c r="H657" s="364">
        <f t="shared" si="611"/>
        <v>4</v>
      </c>
      <c r="I657" s="364">
        <v>4</v>
      </c>
      <c r="J657" s="364">
        <v>0</v>
      </c>
      <c r="K657" s="364">
        <f t="shared" si="612"/>
        <v>2</v>
      </c>
      <c r="L657" s="364">
        <v>2</v>
      </c>
      <c r="M657" s="364">
        <v>0</v>
      </c>
      <c r="N657" s="364">
        <f t="shared" si="613"/>
        <v>0</v>
      </c>
      <c r="O657" s="364">
        <v>0</v>
      </c>
      <c r="P657" s="364">
        <v>0</v>
      </c>
      <c r="Q657" s="364">
        <f t="shared" si="614"/>
        <v>0</v>
      </c>
      <c r="R657" s="364">
        <v>0</v>
      </c>
      <c r="S657" s="364">
        <v>0</v>
      </c>
      <c r="T657" s="353" t="s">
        <v>146</v>
      </c>
      <c r="U657" s="365"/>
      <c r="V657" s="141"/>
    </row>
    <row r="658" spans="2:22" ht="13.5" thickBot="1" x14ac:dyDescent="0.25">
      <c r="B658" s="364">
        <f t="shared" si="631"/>
        <v>0</v>
      </c>
      <c r="C658" s="364">
        <f t="shared" si="632"/>
        <v>0</v>
      </c>
      <c r="D658" s="364">
        <f t="shared" si="632"/>
        <v>0</v>
      </c>
      <c r="E658" s="364">
        <f t="shared" si="610"/>
        <v>0</v>
      </c>
      <c r="F658" s="364">
        <v>0</v>
      </c>
      <c r="G658" s="364">
        <v>0</v>
      </c>
      <c r="H658" s="364">
        <f t="shared" si="611"/>
        <v>0</v>
      </c>
      <c r="I658" s="364">
        <v>0</v>
      </c>
      <c r="J658" s="364">
        <v>0</v>
      </c>
      <c r="K658" s="364">
        <f t="shared" si="612"/>
        <v>0</v>
      </c>
      <c r="L658" s="364">
        <v>0</v>
      </c>
      <c r="M658" s="364">
        <v>0</v>
      </c>
      <c r="N658" s="364">
        <f t="shared" si="613"/>
        <v>0</v>
      </c>
      <c r="O658" s="364">
        <v>0</v>
      </c>
      <c r="P658" s="364">
        <v>0</v>
      </c>
      <c r="Q658" s="364">
        <f t="shared" si="614"/>
        <v>0</v>
      </c>
      <c r="R658" s="364">
        <v>0</v>
      </c>
      <c r="S658" s="364">
        <v>0</v>
      </c>
      <c r="T658" s="353" t="s">
        <v>145</v>
      </c>
      <c r="U658" s="365" t="s">
        <v>506</v>
      </c>
      <c r="V658" s="141"/>
    </row>
    <row r="659" spans="2:22" ht="13.5" thickBot="1" x14ac:dyDescent="0.25">
      <c r="B659" s="364">
        <f t="shared" ref="B659:R659" si="633">SUM(B657:B658)</f>
        <v>10</v>
      </c>
      <c r="C659" s="364">
        <f t="shared" si="633"/>
        <v>10</v>
      </c>
      <c r="D659" s="364">
        <f t="shared" si="633"/>
        <v>0</v>
      </c>
      <c r="E659" s="364">
        <f t="shared" si="633"/>
        <v>4</v>
      </c>
      <c r="F659" s="364">
        <f t="shared" si="633"/>
        <v>4</v>
      </c>
      <c r="G659" s="364">
        <f t="shared" si="633"/>
        <v>0</v>
      </c>
      <c r="H659" s="364">
        <f t="shared" si="633"/>
        <v>4</v>
      </c>
      <c r="I659" s="364">
        <f t="shared" si="633"/>
        <v>4</v>
      </c>
      <c r="J659" s="364">
        <f t="shared" si="633"/>
        <v>0</v>
      </c>
      <c r="K659" s="364">
        <f t="shared" si="633"/>
        <v>2</v>
      </c>
      <c r="L659" s="364">
        <f t="shared" si="633"/>
        <v>2</v>
      </c>
      <c r="M659" s="364">
        <f t="shared" si="633"/>
        <v>0</v>
      </c>
      <c r="N659" s="364">
        <f t="shared" si="633"/>
        <v>0</v>
      </c>
      <c r="O659" s="364">
        <f t="shared" si="633"/>
        <v>0</v>
      </c>
      <c r="P659" s="364">
        <f t="shared" si="633"/>
        <v>0</v>
      </c>
      <c r="Q659" s="364">
        <f t="shared" si="633"/>
        <v>0</v>
      </c>
      <c r="R659" s="364">
        <f t="shared" si="633"/>
        <v>0</v>
      </c>
      <c r="S659" s="364">
        <f>SUM(S657:S658)</f>
        <v>0</v>
      </c>
      <c r="T659" s="353" t="s">
        <v>12</v>
      </c>
      <c r="U659" s="366"/>
      <c r="V659" s="141"/>
    </row>
    <row r="660" spans="2:22" ht="13.5" thickBot="1" x14ac:dyDescent="0.25">
      <c r="B660" s="364">
        <f t="shared" ref="B660:B661" si="634">SUM(C660:D660)</f>
        <v>4</v>
      </c>
      <c r="C660" s="364">
        <f t="shared" ref="C660:D661" si="635">R660+O660+L660+I660+F660</f>
        <v>4</v>
      </c>
      <c r="D660" s="364">
        <f t="shared" si="635"/>
        <v>0</v>
      </c>
      <c r="E660" s="364">
        <f t="shared" si="610"/>
        <v>0</v>
      </c>
      <c r="F660" s="364">
        <v>0</v>
      </c>
      <c r="G660" s="364">
        <v>0</v>
      </c>
      <c r="H660" s="364">
        <f t="shared" si="611"/>
        <v>3</v>
      </c>
      <c r="I660" s="364">
        <v>3</v>
      </c>
      <c r="J660" s="364">
        <v>0</v>
      </c>
      <c r="K660" s="364">
        <f t="shared" si="612"/>
        <v>1</v>
      </c>
      <c r="L660" s="364">
        <v>1</v>
      </c>
      <c r="M660" s="364">
        <v>0</v>
      </c>
      <c r="N660" s="364">
        <f t="shared" si="613"/>
        <v>0</v>
      </c>
      <c r="O660" s="364">
        <v>0</v>
      </c>
      <c r="P660" s="364">
        <v>0</v>
      </c>
      <c r="Q660" s="364">
        <f t="shared" si="614"/>
        <v>0</v>
      </c>
      <c r="R660" s="364">
        <v>0</v>
      </c>
      <c r="S660" s="364">
        <v>0</v>
      </c>
      <c r="T660" s="353" t="s">
        <v>146</v>
      </c>
      <c r="U660" s="365"/>
      <c r="V660" s="141"/>
    </row>
    <row r="661" spans="2:22" ht="13.5" thickBot="1" x14ac:dyDescent="0.25">
      <c r="B661" s="364">
        <f t="shared" si="634"/>
        <v>0</v>
      </c>
      <c r="C661" s="364">
        <f t="shared" si="635"/>
        <v>0</v>
      </c>
      <c r="D661" s="364">
        <f t="shared" si="635"/>
        <v>0</v>
      </c>
      <c r="E661" s="364">
        <f t="shared" si="610"/>
        <v>0</v>
      </c>
      <c r="F661" s="364">
        <v>0</v>
      </c>
      <c r="G661" s="364">
        <v>0</v>
      </c>
      <c r="H661" s="364">
        <f t="shared" si="611"/>
        <v>0</v>
      </c>
      <c r="I661" s="364">
        <v>0</v>
      </c>
      <c r="J661" s="364">
        <v>0</v>
      </c>
      <c r="K661" s="364">
        <f t="shared" si="612"/>
        <v>0</v>
      </c>
      <c r="L661" s="364">
        <v>0</v>
      </c>
      <c r="M661" s="364">
        <v>0</v>
      </c>
      <c r="N661" s="364">
        <f t="shared" si="613"/>
        <v>0</v>
      </c>
      <c r="O661" s="364">
        <v>0</v>
      </c>
      <c r="P661" s="364">
        <v>0</v>
      </c>
      <c r="Q661" s="364">
        <f t="shared" si="614"/>
        <v>0</v>
      </c>
      <c r="R661" s="364">
        <v>0</v>
      </c>
      <c r="S661" s="364">
        <v>0</v>
      </c>
      <c r="T661" s="353" t="s">
        <v>145</v>
      </c>
      <c r="U661" s="365" t="s">
        <v>276</v>
      </c>
      <c r="V661" s="141"/>
    </row>
    <row r="662" spans="2:22" ht="13.5" thickBot="1" x14ac:dyDescent="0.25">
      <c r="B662" s="364">
        <f t="shared" ref="B662:R662" si="636">SUM(B660:B661)</f>
        <v>4</v>
      </c>
      <c r="C662" s="364">
        <f t="shared" si="636"/>
        <v>4</v>
      </c>
      <c r="D662" s="364">
        <f t="shared" si="636"/>
        <v>0</v>
      </c>
      <c r="E662" s="364">
        <f t="shared" si="636"/>
        <v>0</v>
      </c>
      <c r="F662" s="364">
        <f t="shared" si="636"/>
        <v>0</v>
      </c>
      <c r="G662" s="364">
        <f t="shared" si="636"/>
        <v>0</v>
      </c>
      <c r="H662" s="364">
        <f t="shared" si="636"/>
        <v>3</v>
      </c>
      <c r="I662" s="364">
        <f t="shared" si="636"/>
        <v>3</v>
      </c>
      <c r="J662" s="364">
        <f t="shared" si="636"/>
        <v>0</v>
      </c>
      <c r="K662" s="364">
        <f t="shared" si="636"/>
        <v>1</v>
      </c>
      <c r="L662" s="364">
        <f t="shared" si="636"/>
        <v>1</v>
      </c>
      <c r="M662" s="364">
        <f t="shared" si="636"/>
        <v>0</v>
      </c>
      <c r="N662" s="364">
        <f t="shared" si="636"/>
        <v>0</v>
      </c>
      <c r="O662" s="364">
        <f t="shared" si="636"/>
        <v>0</v>
      </c>
      <c r="P662" s="364">
        <f t="shared" si="636"/>
        <v>0</v>
      </c>
      <c r="Q662" s="364">
        <f t="shared" si="636"/>
        <v>0</v>
      </c>
      <c r="R662" s="364">
        <f t="shared" si="636"/>
        <v>0</v>
      </c>
      <c r="S662" s="364">
        <f>SUM(S660:S661)</f>
        <v>0</v>
      </c>
      <c r="T662" s="353" t="s">
        <v>12</v>
      </c>
      <c r="U662" s="366"/>
      <c r="V662" s="141"/>
    </row>
    <row r="663" spans="2:22" ht="13.5" thickBot="1" x14ac:dyDescent="0.25">
      <c r="B663" s="364">
        <f t="shared" ref="B663:B664" si="637">SUM(C663:D663)</f>
        <v>50</v>
      </c>
      <c r="C663" s="364">
        <f t="shared" ref="C663:D664" si="638">R663+O663+L663+I663+F663</f>
        <v>0</v>
      </c>
      <c r="D663" s="364">
        <f t="shared" si="638"/>
        <v>50</v>
      </c>
      <c r="E663" s="364">
        <f t="shared" si="610"/>
        <v>46</v>
      </c>
      <c r="F663" s="364">
        <v>0</v>
      </c>
      <c r="G663" s="364">
        <v>46</v>
      </c>
      <c r="H663" s="364">
        <f t="shared" si="611"/>
        <v>0</v>
      </c>
      <c r="I663" s="364">
        <v>0</v>
      </c>
      <c r="J663" s="364">
        <v>0</v>
      </c>
      <c r="K663" s="364">
        <f t="shared" si="612"/>
        <v>0</v>
      </c>
      <c r="L663" s="364">
        <v>0</v>
      </c>
      <c r="M663" s="364">
        <v>0</v>
      </c>
      <c r="N663" s="364">
        <f t="shared" si="613"/>
        <v>0</v>
      </c>
      <c r="O663" s="364">
        <v>0</v>
      </c>
      <c r="P663" s="364">
        <v>0</v>
      </c>
      <c r="Q663" s="364">
        <f t="shared" si="614"/>
        <v>4</v>
      </c>
      <c r="R663" s="364">
        <v>0</v>
      </c>
      <c r="S663" s="364">
        <v>4</v>
      </c>
      <c r="T663" s="353" t="s">
        <v>146</v>
      </c>
      <c r="U663" s="365"/>
      <c r="V663" s="141"/>
    </row>
    <row r="664" spans="2:22" ht="13.5" thickBot="1" x14ac:dyDescent="0.25">
      <c r="B664" s="364">
        <f t="shared" si="637"/>
        <v>0</v>
      </c>
      <c r="C664" s="364">
        <f t="shared" si="638"/>
        <v>0</v>
      </c>
      <c r="D664" s="364">
        <f t="shared" si="638"/>
        <v>0</v>
      </c>
      <c r="E664" s="364">
        <f t="shared" si="610"/>
        <v>0</v>
      </c>
      <c r="F664" s="364">
        <v>0</v>
      </c>
      <c r="G664" s="364">
        <v>0</v>
      </c>
      <c r="H664" s="364">
        <f t="shared" si="611"/>
        <v>0</v>
      </c>
      <c r="I664" s="364">
        <v>0</v>
      </c>
      <c r="J664" s="364">
        <v>0</v>
      </c>
      <c r="K664" s="364">
        <f t="shared" si="612"/>
        <v>0</v>
      </c>
      <c r="L664" s="364">
        <v>0</v>
      </c>
      <c r="M664" s="364">
        <v>0</v>
      </c>
      <c r="N664" s="364">
        <f t="shared" si="613"/>
        <v>0</v>
      </c>
      <c r="O664" s="364">
        <v>0</v>
      </c>
      <c r="P664" s="364">
        <v>0</v>
      </c>
      <c r="Q664" s="364">
        <f t="shared" si="614"/>
        <v>0</v>
      </c>
      <c r="R664" s="364">
        <v>0</v>
      </c>
      <c r="S664" s="364">
        <v>0</v>
      </c>
      <c r="T664" s="353" t="s">
        <v>145</v>
      </c>
      <c r="U664" s="371" t="s">
        <v>832</v>
      </c>
      <c r="V664" s="141"/>
    </row>
    <row r="665" spans="2:22" ht="13.5" thickBot="1" x14ac:dyDescent="0.25">
      <c r="B665" s="364">
        <f t="shared" ref="B665:R665" si="639">SUM(B663:B664)</f>
        <v>50</v>
      </c>
      <c r="C665" s="364">
        <f t="shared" si="639"/>
        <v>0</v>
      </c>
      <c r="D665" s="364">
        <f t="shared" si="639"/>
        <v>50</v>
      </c>
      <c r="E665" s="364">
        <f t="shared" si="639"/>
        <v>46</v>
      </c>
      <c r="F665" s="364">
        <f t="shared" si="639"/>
        <v>0</v>
      </c>
      <c r="G665" s="364">
        <f t="shared" si="639"/>
        <v>46</v>
      </c>
      <c r="H665" s="364">
        <f t="shared" si="639"/>
        <v>0</v>
      </c>
      <c r="I665" s="364">
        <f t="shared" si="639"/>
        <v>0</v>
      </c>
      <c r="J665" s="364">
        <f t="shared" si="639"/>
        <v>0</v>
      </c>
      <c r="K665" s="364">
        <f t="shared" si="639"/>
        <v>0</v>
      </c>
      <c r="L665" s="364">
        <f t="shared" si="639"/>
        <v>0</v>
      </c>
      <c r="M665" s="364">
        <f t="shared" si="639"/>
        <v>0</v>
      </c>
      <c r="N665" s="364">
        <f t="shared" si="639"/>
        <v>0</v>
      </c>
      <c r="O665" s="364">
        <f t="shared" si="639"/>
        <v>0</v>
      </c>
      <c r="P665" s="364">
        <f t="shared" si="639"/>
        <v>0</v>
      </c>
      <c r="Q665" s="364">
        <f t="shared" si="639"/>
        <v>4</v>
      </c>
      <c r="R665" s="364">
        <f t="shared" si="639"/>
        <v>0</v>
      </c>
      <c r="S665" s="364">
        <f>SUM(S663:S664)</f>
        <v>4</v>
      </c>
      <c r="T665" s="353" t="s">
        <v>12</v>
      </c>
      <c r="U665" s="366"/>
      <c r="V665" s="141"/>
    </row>
    <row r="666" spans="2:22" ht="13.5" thickBot="1" x14ac:dyDescent="0.25">
      <c r="B666" s="364">
        <f t="shared" ref="B666:B667" si="640">SUM(C666:D666)</f>
        <v>33</v>
      </c>
      <c r="C666" s="364">
        <f t="shared" ref="C666:D667" si="641">R666+O666+L666+I666+F666</f>
        <v>7</v>
      </c>
      <c r="D666" s="364">
        <f t="shared" si="641"/>
        <v>26</v>
      </c>
      <c r="E666" s="364">
        <f t="shared" si="610"/>
        <v>2</v>
      </c>
      <c r="F666" s="364">
        <v>2</v>
      </c>
      <c r="G666" s="364">
        <v>0</v>
      </c>
      <c r="H666" s="364">
        <f t="shared" si="611"/>
        <v>5</v>
      </c>
      <c r="I666" s="364">
        <v>5</v>
      </c>
      <c r="J666" s="364">
        <v>0</v>
      </c>
      <c r="K666" s="364">
        <f t="shared" si="612"/>
        <v>26</v>
      </c>
      <c r="L666" s="364">
        <v>0</v>
      </c>
      <c r="M666" s="364">
        <v>26</v>
      </c>
      <c r="N666" s="364">
        <f t="shared" si="613"/>
        <v>0</v>
      </c>
      <c r="O666" s="364">
        <v>0</v>
      </c>
      <c r="P666" s="364">
        <v>0</v>
      </c>
      <c r="Q666" s="364">
        <f t="shared" si="614"/>
        <v>0</v>
      </c>
      <c r="R666" s="364">
        <v>0</v>
      </c>
      <c r="S666" s="364">
        <v>0</v>
      </c>
      <c r="T666" s="353" t="s">
        <v>146</v>
      </c>
      <c r="U666" s="365"/>
      <c r="V666" s="141"/>
    </row>
    <row r="667" spans="2:22" ht="13.5" thickBot="1" x14ac:dyDescent="0.25">
      <c r="B667" s="364">
        <f t="shared" si="640"/>
        <v>0</v>
      </c>
      <c r="C667" s="364">
        <f t="shared" si="641"/>
        <v>0</v>
      </c>
      <c r="D667" s="364">
        <f t="shared" si="641"/>
        <v>0</v>
      </c>
      <c r="E667" s="364">
        <f t="shared" si="610"/>
        <v>0</v>
      </c>
      <c r="F667" s="364">
        <v>0</v>
      </c>
      <c r="G667" s="364">
        <v>0</v>
      </c>
      <c r="H667" s="364">
        <f t="shared" si="611"/>
        <v>0</v>
      </c>
      <c r="I667" s="364">
        <v>0</v>
      </c>
      <c r="J667" s="364">
        <v>0</v>
      </c>
      <c r="K667" s="364">
        <f t="shared" si="612"/>
        <v>0</v>
      </c>
      <c r="L667" s="364">
        <v>0</v>
      </c>
      <c r="M667" s="364">
        <v>0</v>
      </c>
      <c r="N667" s="364">
        <f t="shared" si="613"/>
        <v>0</v>
      </c>
      <c r="O667" s="364">
        <v>0</v>
      </c>
      <c r="P667" s="364">
        <v>0</v>
      </c>
      <c r="Q667" s="364">
        <f t="shared" si="614"/>
        <v>0</v>
      </c>
      <c r="R667" s="364">
        <v>0</v>
      </c>
      <c r="S667" s="364">
        <v>0</v>
      </c>
      <c r="T667" s="353" t="s">
        <v>145</v>
      </c>
      <c r="U667" s="365" t="s">
        <v>278</v>
      </c>
      <c r="V667" s="141"/>
    </row>
    <row r="668" spans="2:22" ht="13.5" thickBot="1" x14ac:dyDescent="0.25">
      <c r="B668" s="364">
        <f t="shared" ref="B668:R668" si="642">SUM(B666:B667)</f>
        <v>33</v>
      </c>
      <c r="C668" s="364">
        <f t="shared" si="642"/>
        <v>7</v>
      </c>
      <c r="D668" s="364">
        <f t="shared" si="642"/>
        <v>26</v>
      </c>
      <c r="E668" s="364">
        <f t="shared" si="642"/>
        <v>2</v>
      </c>
      <c r="F668" s="364">
        <f t="shared" si="642"/>
        <v>2</v>
      </c>
      <c r="G668" s="364">
        <f t="shared" si="642"/>
        <v>0</v>
      </c>
      <c r="H668" s="364">
        <f t="shared" si="642"/>
        <v>5</v>
      </c>
      <c r="I668" s="364">
        <f t="shared" si="642"/>
        <v>5</v>
      </c>
      <c r="J668" s="364">
        <f t="shared" si="642"/>
        <v>0</v>
      </c>
      <c r="K668" s="364">
        <f t="shared" si="642"/>
        <v>26</v>
      </c>
      <c r="L668" s="364">
        <f t="shared" si="642"/>
        <v>0</v>
      </c>
      <c r="M668" s="364">
        <f t="shared" si="642"/>
        <v>26</v>
      </c>
      <c r="N668" s="364">
        <f t="shared" si="642"/>
        <v>0</v>
      </c>
      <c r="O668" s="364">
        <f t="shared" si="642"/>
        <v>0</v>
      </c>
      <c r="P668" s="364">
        <f t="shared" si="642"/>
        <v>0</v>
      </c>
      <c r="Q668" s="364">
        <f t="shared" si="642"/>
        <v>0</v>
      </c>
      <c r="R668" s="364">
        <f t="shared" si="642"/>
        <v>0</v>
      </c>
      <c r="S668" s="364">
        <f>SUM(S666:S667)</f>
        <v>0</v>
      </c>
      <c r="T668" s="353" t="s">
        <v>12</v>
      </c>
      <c r="U668" s="366"/>
      <c r="V668" s="141"/>
    </row>
    <row r="669" spans="2:22" ht="13.5" thickBot="1" x14ac:dyDescent="0.25">
      <c r="B669" s="364">
        <f t="shared" ref="B669:R671" si="643">B639+B642+B645+B648+B651+B654+B657+B660+B663+B666</f>
        <v>273</v>
      </c>
      <c r="C669" s="364">
        <f t="shared" si="643"/>
        <v>55</v>
      </c>
      <c r="D669" s="364">
        <f t="shared" si="643"/>
        <v>218</v>
      </c>
      <c r="E669" s="364">
        <f t="shared" si="643"/>
        <v>111</v>
      </c>
      <c r="F669" s="364">
        <f t="shared" si="643"/>
        <v>6</v>
      </c>
      <c r="G669" s="364">
        <f t="shared" si="643"/>
        <v>105</v>
      </c>
      <c r="H669" s="364">
        <f t="shared" si="643"/>
        <v>68</v>
      </c>
      <c r="I669" s="364">
        <f t="shared" si="643"/>
        <v>22</v>
      </c>
      <c r="J669" s="364">
        <f t="shared" si="643"/>
        <v>46</v>
      </c>
      <c r="K669" s="364">
        <f t="shared" si="643"/>
        <v>86</v>
      </c>
      <c r="L669" s="364">
        <f t="shared" si="643"/>
        <v>27</v>
      </c>
      <c r="M669" s="364">
        <f t="shared" si="643"/>
        <v>59</v>
      </c>
      <c r="N669" s="364">
        <f t="shared" si="643"/>
        <v>4</v>
      </c>
      <c r="O669" s="364">
        <f t="shared" si="643"/>
        <v>0</v>
      </c>
      <c r="P669" s="364">
        <f t="shared" si="643"/>
        <v>4</v>
      </c>
      <c r="Q669" s="364">
        <f t="shared" si="643"/>
        <v>4</v>
      </c>
      <c r="R669" s="364">
        <f t="shared" si="643"/>
        <v>0</v>
      </c>
      <c r="S669" s="364">
        <f>S639+S642+S645+S648+S651+S654+S657+S660+S663+S666</f>
        <v>4</v>
      </c>
      <c r="T669" s="353" t="s">
        <v>146</v>
      </c>
      <c r="U669" s="367"/>
      <c r="V669" s="141"/>
    </row>
    <row r="670" spans="2:22" ht="13.5" thickBot="1" x14ac:dyDescent="0.25">
      <c r="B670" s="364">
        <f t="shared" si="643"/>
        <v>0</v>
      </c>
      <c r="C670" s="364">
        <f t="shared" si="643"/>
        <v>0</v>
      </c>
      <c r="D670" s="364">
        <f t="shared" si="643"/>
        <v>0</v>
      </c>
      <c r="E670" s="364">
        <f t="shared" si="643"/>
        <v>0</v>
      </c>
      <c r="F670" s="364">
        <f t="shared" si="643"/>
        <v>0</v>
      </c>
      <c r="G670" s="364">
        <f t="shared" si="643"/>
        <v>0</v>
      </c>
      <c r="H670" s="364">
        <f t="shared" si="643"/>
        <v>0</v>
      </c>
      <c r="I670" s="364">
        <f t="shared" si="643"/>
        <v>0</v>
      </c>
      <c r="J670" s="364">
        <f t="shared" si="643"/>
        <v>0</v>
      </c>
      <c r="K670" s="364">
        <f t="shared" si="643"/>
        <v>0</v>
      </c>
      <c r="L670" s="364">
        <f t="shared" si="643"/>
        <v>0</v>
      </c>
      <c r="M670" s="364">
        <f t="shared" si="643"/>
        <v>0</v>
      </c>
      <c r="N670" s="364">
        <f t="shared" si="643"/>
        <v>0</v>
      </c>
      <c r="O670" s="364">
        <f t="shared" si="643"/>
        <v>0</v>
      </c>
      <c r="P670" s="364">
        <f t="shared" si="643"/>
        <v>0</v>
      </c>
      <c r="Q670" s="364">
        <f t="shared" si="643"/>
        <v>0</v>
      </c>
      <c r="R670" s="364">
        <f t="shared" si="643"/>
        <v>0</v>
      </c>
      <c r="S670" s="364">
        <f t="shared" ref="S670:S671" si="644">S640+S643+S646+S649+S652+S655+S658+S661+S664+S667</f>
        <v>0</v>
      </c>
      <c r="T670" s="353" t="s">
        <v>145</v>
      </c>
      <c r="U670" s="368" t="s">
        <v>188</v>
      </c>
      <c r="V670" s="141"/>
    </row>
    <row r="671" spans="2:22" ht="13.5" thickBot="1" x14ac:dyDescent="0.25">
      <c r="B671" s="364">
        <f t="shared" si="643"/>
        <v>273</v>
      </c>
      <c r="C671" s="364">
        <f t="shared" si="643"/>
        <v>55</v>
      </c>
      <c r="D671" s="364">
        <f t="shared" si="643"/>
        <v>218</v>
      </c>
      <c r="E671" s="364">
        <f t="shared" si="643"/>
        <v>111</v>
      </c>
      <c r="F671" s="364">
        <f t="shared" si="643"/>
        <v>6</v>
      </c>
      <c r="G671" s="364">
        <f t="shared" si="643"/>
        <v>105</v>
      </c>
      <c r="H671" s="364">
        <f t="shared" si="643"/>
        <v>68</v>
      </c>
      <c r="I671" s="364">
        <f t="shared" si="643"/>
        <v>22</v>
      </c>
      <c r="J671" s="364">
        <f t="shared" si="643"/>
        <v>46</v>
      </c>
      <c r="K671" s="364">
        <f t="shared" si="643"/>
        <v>86</v>
      </c>
      <c r="L671" s="364">
        <f t="shared" si="643"/>
        <v>27</v>
      </c>
      <c r="M671" s="364">
        <f t="shared" si="643"/>
        <v>59</v>
      </c>
      <c r="N671" s="364">
        <f t="shared" si="643"/>
        <v>4</v>
      </c>
      <c r="O671" s="364">
        <f t="shared" si="643"/>
        <v>0</v>
      </c>
      <c r="P671" s="364">
        <f t="shared" si="643"/>
        <v>4</v>
      </c>
      <c r="Q671" s="364">
        <f t="shared" si="643"/>
        <v>4</v>
      </c>
      <c r="R671" s="364">
        <f t="shared" si="643"/>
        <v>0</v>
      </c>
      <c r="S671" s="364">
        <f t="shared" si="644"/>
        <v>4</v>
      </c>
      <c r="T671" s="353" t="s">
        <v>12</v>
      </c>
      <c r="U671" s="363"/>
      <c r="V671" s="141"/>
    </row>
    <row r="672" spans="2:22" ht="18" customHeight="1" thickBot="1" x14ac:dyDescent="0.25">
      <c r="B672" s="610"/>
      <c r="C672" s="610"/>
      <c r="D672" s="610"/>
      <c r="E672" s="610"/>
      <c r="F672" s="610"/>
      <c r="G672" s="610"/>
      <c r="H672" s="610"/>
      <c r="I672" s="610"/>
      <c r="J672" s="610"/>
      <c r="K672" s="610"/>
      <c r="L672" s="610"/>
      <c r="M672" s="610"/>
      <c r="N672" s="610"/>
      <c r="O672" s="610"/>
      <c r="P672" s="610"/>
      <c r="Q672" s="610"/>
      <c r="R672" s="610"/>
      <c r="S672" s="610"/>
      <c r="T672" s="610"/>
      <c r="U672" s="610"/>
      <c r="V672" s="141"/>
    </row>
    <row r="673" spans="2:22" ht="13.5" customHeight="1" thickBot="1" x14ac:dyDescent="0.25">
      <c r="B673" s="607" t="s">
        <v>4</v>
      </c>
      <c r="C673" s="607"/>
      <c r="D673" s="607"/>
      <c r="E673" s="607" t="s">
        <v>53</v>
      </c>
      <c r="F673" s="607"/>
      <c r="G673" s="607"/>
      <c r="H673" s="607" t="s">
        <v>61</v>
      </c>
      <c r="I673" s="607"/>
      <c r="J673" s="607"/>
      <c r="K673" s="607" t="s">
        <v>60</v>
      </c>
      <c r="L673" s="607"/>
      <c r="M673" s="607"/>
      <c r="N673" s="607" t="s">
        <v>57</v>
      </c>
      <c r="O673" s="607"/>
      <c r="P673" s="607"/>
      <c r="Q673" s="607" t="s">
        <v>56</v>
      </c>
      <c r="R673" s="607"/>
      <c r="S673" s="607"/>
      <c r="T673" s="608" t="s">
        <v>741</v>
      </c>
      <c r="U673" s="347" t="s">
        <v>144</v>
      </c>
      <c r="V673" s="141"/>
    </row>
    <row r="674" spans="2:22" ht="13.5" thickBot="1" x14ac:dyDescent="0.25">
      <c r="B674" s="347" t="s">
        <v>227</v>
      </c>
      <c r="C674" s="347" t="s">
        <v>10</v>
      </c>
      <c r="D674" s="347" t="s">
        <v>9</v>
      </c>
      <c r="E674" s="347" t="s">
        <v>227</v>
      </c>
      <c r="F674" s="347" t="s">
        <v>10</v>
      </c>
      <c r="G674" s="347" t="s">
        <v>9</v>
      </c>
      <c r="H674" s="347" t="s">
        <v>227</v>
      </c>
      <c r="I674" s="347" t="s">
        <v>10</v>
      </c>
      <c r="J674" s="347" t="s">
        <v>9</v>
      </c>
      <c r="K674" s="347" t="s">
        <v>227</v>
      </c>
      <c r="L674" s="347" t="s">
        <v>10</v>
      </c>
      <c r="M674" s="347" t="s">
        <v>9</v>
      </c>
      <c r="N674" s="347" t="s">
        <v>227</v>
      </c>
      <c r="O674" s="347" t="s">
        <v>10</v>
      </c>
      <c r="P674" s="347" t="s">
        <v>9</v>
      </c>
      <c r="Q674" s="347" t="s">
        <v>227</v>
      </c>
      <c r="R674" s="347" t="s">
        <v>10</v>
      </c>
      <c r="S674" s="347" t="s">
        <v>9</v>
      </c>
      <c r="T674" s="609"/>
      <c r="U674" s="363" t="s">
        <v>115</v>
      </c>
      <c r="V674" s="141"/>
    </row>
    <row r="675" spans="2:22" ht="13.5" thickBot="1" x14ac:dyDescent="0.25">
      <c r="B675" s="364">
        <f>SUM(C675:D675)</f>
        <v>24</v>
      </c>
      <c r="C675" s="364">
        <f>R675+O675+L675+I675+F675</f>
        <v>0</v>
      </c>
      <c r="D675" s="364">
        <f>S675+P675+M675+J675+G675</f>
        <v>24</v>
      </c>
      <c r="E675" s="364">
        <f>SUM(F675:G675)</f>
        <v>16</v>
      </c>
      <c r="F675" s="364">
        <v>0</v>
      </c>
      <c r="G675" s="364">
        <v>16</v>
      </c>
      <c r="H675" s="364">
        <f>SUM(I675:J675)</f>
        <v>4</v>
      </c>
      <c r="I675" s="364">
        <v>0</v>
      </c>
      <c r="J675" s="364">
        <v>4</v>
      </c>
      <c r="K675" s="364">
        <f>SUM(L675:M675)</f>
        <v>4</v>
      </c>
      <c r="L675" s="364">
        <v>0</v>
      </c>
      <c r="M675" s="364">
        <v>4</v>
      </c>
      <c r="N675" s="364">
        <f>SUM(O675:P675)</f>
        <v>0</v>
      </c>
      <c r="O675" s="364">
        <v>0</v>
      </c>
      <c r="P675" s="364">
        <v>0</v>
      </c>
      <c r="Q675" s="364">
        <f>SUM(R675:S675)</f>
        <v>0</v>
      </c>
      <c r="R675" s="364">
        <v>0</v>
      </c>
      <c r="S675" s="364">
        <v>0</v>
      </c>
      <c r="T675" s="353" t="s">
        <v>146</v>
      </c>
      <c r="U675" s="365"/>
      <c r="V675" s="141"/>
    </row>
    <row r="676" spans="2:22" ht="13.5" thickBot="1" x14ac:dyDescent="0.25">
      <c r="B676" s="364">
        <f t="shared" ref="B676" si="645">SUM(C676:D676)</f>
        <v>4</v>
      </c>
      <c r="C676" s="364">
        <f t="shared" ref="C676:D676" si="646">R676+O676+L676+I676+F676</f>
        <v>0</v>
      </c>
      <c r="D676" s="364">
        <f t="shared" si="646"/>
        <v>4</v>
      </c>
      <c r="E676" s="364">
        <f t="shared" ref="E676:E697" si="647">SUM(F676:G676)</f>
        <v>0</v>
      </c>
      <c r="F676" s="364">
        <v>0</v>
      </c>
      <c r="G676" s="364">
        <v>0</v>
      </c>
      <c r="H676" s="364">
        <f t="shared" ref="H676:H697" si="648">SUM(I676:J676)</f>
        <v>4</v>
      </c>
      <c r="I676" s="364">
        <v>0</v>
      </c>
      <c r="J676" s="364">
        <v>4</v>
      </c>
      <c r="K676" s="364">
        <f t="shared" ref="K676:K697" si="649">SUM(L676:M676)</f>
        <v>0</v>
      </c>
      <c r="L676" s="364">
        <v>0</v>
      </c>
      <c r="M676" s="364">
        <v>0</v>
      </c>
      <c r="N676" s="364">
        <f t="shared" ref="N676:N697" si="650">SUM(O676:P676)</f>
        <v>0</v>
      </c>
      <c r="O676" s="364">
        <v>0</v>
      </c>
      <c r="P676" s="364">
        <v>0</v>
      </c>
      <c r="Q676" s="364">
        <f t="shared" ref="Q676:Q697" si="651">SUM(R676:S676)</f>
        <v>0</v>
      </c>
      <c r="R676" s="364">
        <v>0</v>
      </c>
      <c r="S676" s="364">
        <v>0</v>
      </c>
      <c r="T676" s="353" t="s">
        <v>145</v>
      </c>
      <c r="U676" s="365" t="s">
        <v>367</v>
      </c>
      <c r="V676" s="141"/>
    </row>
    <row r="677" spans="2:22" ht="13.5" thickBot="1" x14ac:dyDescent="0.25">
      <c r="B677" s="364">
        <f t="shared" ref="B677:R677" si="652">SUM(B675:B676)</f>
        <v>28</v>
      </c>
      <c r="C677" s="364">
        <f t="shared" si="652"/>
        <v>0</v>
      </c>
      <c r="D677" s="364">
        <f t="shared" si="652"/>
        <v>28</v>
      </c>
      <c r="E677" s="364">
        <f t="shared" si="652"/>
        <v>16</v>
      </c>
      <c r="F677" s="364">
        <f t="shared" si="652"/>
        <v>0</v>
      </c>
      <c r="G677" s="364">
        <f t="shared" si="652"/>
        <v>16</v>
      </c>
      <c r="H677" s="364">
        <f t="shared" si="652"/>
        <v>8</v>
      </c>
      <c r="I677" s="364">
        <f t="shared" si="652"/>
        <v>0</v>
      </c>
      <c r="J677" s="364">
        <f t="shared" si="652"/>
        <v>8</v>
      </c>
      <c r="K677" s="364">
        <f t="shared" si="652"/>
        <v>4</v>
      </c>
      <c r="L677" s="364">
        <f t="shared" si="652"/>
        <v>0</v>
      </c>
      <c r="M677" s="364">
        <f t="shared" si="652"/>
        <v>4</v>
      </c>
      <c r="N677" s="364">
        <f t="shared" si="652"/>
        <v>0</v>
      </c>
      <c r="O677" s="364">
        <f t="shared" si="652"/>
        <v>0</v>
      </c>
      <c r="P677" s="364">
        <f t="shared" si="652"/>
        <v>0</v>
      </c>
      <c r="Q677" s="364">
        <f t="shared" si="652"/>
        <v>0</v>
      </c>
      <c r="R677" s="364">
        <f t="shared" si="652"/>
        <v>0</v>
      </c>
      <c r="S677" s="364">
        <f>SUM(S675:S676)</f>
        <v>0</v>
      </c>
      <c r="T677" s="353" t="s">
        <v>12</v>
      </c>
      <c r="U677" s="366"/>
      <c r="V677" s="141"/>
    </row>
    <row r="678" spans="2:22" ht="13.5" thickBot="1" x14ac:dyDescent="0.25">
      <c r="B678" s="364">
        <f t="shared" ref="B678:B679" si="653">SUM(C678:D678)</f>
        <v>14</v>
      </c>
      <c r="C678" s="364">
        <f t="shared" ref="C678:D679" si="654">R678+O678+L678+I678+F678</f>
        <v>6</v>
      </c>
      <c r="D678" s="364">
        <f t="shared" si="654"/>
        <v>8</v>
      </c>
      <c r="E678" s="364">
        <f t="shared" si="647"/>
        <v>4</v>
      </c>
      <c r="F678" s="364">
        <v>0</v>
      </c>
      <c r="G678" s="364">
        <v>4</v>
      </c>
      <c r="H678" s="364">
        <f t="shared" si="648"/>
        <v>0</v>
      </c>
      <c r="I678" s="364">
        <v>0</v>
      </c>
      <c r="J678" s="364">
        <v>0</v>
      </c>
      <c r="K678" s="364">
        <f t="shared" si="649"/>
        <v>6</v>
      </c>
      <c r="L678" s="364">
        <v>6</v>
      </c>
      <c r="M678" s="364">
        <v>0</v>
      </c>
      <c r="N678" s="364">
        <f t="shared" si="650"/>
        <v>4</v>
      </c>
      <c r="O678" s="364">
        <v>0</v>
      </c>
      <c r="P678" s="364">
        <v>4</v>
      </c>
      <c r="Q678" s="364">
        <f t="shared" si="651"/>
        <v>0</v>
      </c>
      <c r="R678" s="364">
        <v>0</v>
      </c>
      <c r="S678" s="364">
        <v>0</v>
      </c>
      <c r="T678" s="353" t="s">
        <v>146</v>
      </c>
      <c r="U678" s="365"/>
      <c r="V678" s="141"/>
    </row>
    <row r="679" spans="2:22" ht="13.5" thickBot="1" x14ac:dyDescent="0.25">
      <c r="B679" s="364">
        <f t="shared" si="653"/>
        <v>0</v>
      </c>
      <c r="C679" s="364">
        <f t="shared" si="654"/>
        <v>0</v>
      </c>
      <c r="D679" s="364">
        <f t="shared" si="654"/>
        <v>0</v>
      </c>
      <c r="E679" s="364">
        <f t="shared" si="647"/>
        <v>0</v>
      </c>
      <c r="F679" s="364">
        <v>0</v>
      </c>
      <c r="G679" s="364">
        <v>0</v>
      </c>
      <c r="H679" s="364">
        <f t="shared" si="648"/>
        <v>0</v>
      </c>
      <c r="I679" s="364">
        <v>0</v>
      </c>
      <c r="J679" s="364">
        <v>0</v>
      </c>
      <c r="K679" s="364">
        <f t="shared" si="649"/>
        <v>0</v>
      </c>
      <c r="L679" s="364">
        <v>0</v>
      </c>
      <c r="M679" s="364">
        <v>0</v>
      </c>
      <c r="N679" s="364">
        <f t="shared" si="650"/>
        <v>0</v>
      </c>
      <c r="O679" s="364">
        <v>0</v>
      </c>
      <c r="P679" s="364">
        <v>0</v>
      </c>
      <c r="Q679" s="364">
        <f t="shared" si="651"/>
        <v>0</v>
      </c>
      <c r="R679" s="364">
        <v>0</v>
      </c>
      <c r="S679" s="364">
        <v>0</v>
      </c>
      <c r="T679" s="353" t="s">
        <v>145</v>
      </c>
      <c r="U679" s="365" t="s">
        <v>347</v>
      </c>
      <c r="V679" s="141"/>
    </row>
    <row r="680" spans="2:22" ht="13.5" thickBot="1" x14ac:dyDescent="0.25">
      <c r="B680" s="364">
        <f t="shared" ref="B680:R680" si="655">SUM(B678:B679)</f>
        <v>14</v>
      </c>
      <c r="C680" s="364">
        <f t="shared" si="655"/>
        <v>6</v>
      </c>
      <c r="D680" s="364">
        <f t="shared" si="655"/>
        <v>8</v>
      </c>
      <c r="E680" s="364">
        <f t="shared" si="655"/>
        <v>4</v>
      </c>
      <c r="F680" s="364">
        <f t="shared" si="655"/>
        <v>0</v>
      </c>
      <c r="G680" s="364">
        <f t="shared" si="655"/>
        <v>4</v>
      </c>
      <c r="H680" s="364">
        <f t="shared" si="655"/>
        <v>0</v>
      </c>
      <c r="I680" s="364">
        <f t="shared" si="655"/>
        <v>0</v>
      </c>
      <c r="J680" s="364">
        <f t="shared" si="655"/>
        <v>0</v>
      </c>
      <c r="K680" s="364">
        <f t="shared" si="655"/>
        <v>6</v>
      </c>
      <c r="L680" s="364">
        <f t="shared" si="655"/>
        <v>6</v>
      </c>
      <c r="M680" s="364">
        <f t="shared" si="655"/>
        <v>0</v>
      </c>
      <c r="N680" s="364">
        <f t="shared" si="655"/>
        <v>4</v>
      </c>
      <c r="O680" s="364">
        <f t="shared" si="655"/>
        <v>0</v>
      </c>
      <c r="P680" s="364">
        <f t="shared" si="655"/>
        <v>4</v>
      </c>
      <c r="Q680" s="364">
        <f t="shared" si="655"/>
        <v>0</v>
      </c>
      <c r="R680" s="364">
        <f t="shared" si="655"/>
        <v>0</v>
      </c>
      <c r="S680" s="364">
        <f>SUM(S678:S679)</f>
        <v>0</v>
      </c>
      <c r="T680" s="353" t="s">
        <v>12</v>
      </c>
      <c r="U680" s="366"/>
      <c r="V680" s="141"/>
    </row>
    <row r="681" spans="2:22" ht="13.5" thickBot="1" x14ac:dyDescent="0.25">
      <c r="B681" s="364">
        <f t="shared" ref="B681:B682" si="656">SUM(C681:D681)</f>
        <v>29</v>
      </c>
      <c r="C681" s="364">
        <f t="shared" ref="C681:D682" si="657">R681+O681+L681+I681+F681</f>
        <v>21</v>
      </c>
      <c r="D681" s="364">
        <f t="shared" si="657"/>
        <v>8</v>
      </c>
      <c r="E681" s="364">
        <f t="shared" si="647"/>
        <v>8</v>
      </c>
      <c r="F681" s="364">
        <v>0</v>
      </c>
      <c r="G681" s="364">
        <v>8</v>
      </c>
      <c r="H681" s="364">
        <f t="shared" si="648"/>
        <v>3</v>
      </c>
      <c r="I681" s="364">
        <v>3</v>
      </c>
      <c r="J681" s="364">
        <v>0</v>
      </c>
      <c r="K681" s="364">
        <f t="shared" si="649"/>
        <v>18</v>
      </c>
      <c r="L681" s="364">
        <v>18</v>
      </c>
      <c r="M681" s="364">
        <v>0</v>
      </c>
      <c r="N681" s="364">
        <f t="shared" si="650"/>
        <v>0</v>
      </c>
      <c r="O681" s="364">
        <v>0</v>
      </c>
      <c r="P681" s="364">
        <v>0</v>
      </c>
      <c r="Q681" s="364">
        <f t="shared" si="651"/>
        <v>0</v>
      </c>
      <c r="R681" s="364">
        <v>0</v>
      </c>
      <c r="S681" s="364">
        <v>0</v>
      </c>
      <c r="T681" s="353" t="s">
        <v>146</v>
      </c>
      <c r="U681" s="365"/>
      <c r="V681" s="141"/>
    </row>
    <row r="682" spans="2:22" ht="13.5" thickBot="1" x14ac:dyDescent="0.25">
      <c r="B682" s="364">
        <f t="shared" si="656"/>
        <v>0</v>
      </c>
      <c r="C682" s="364">
        <f t="shared" si="657"/>
        <v>0</v>
      </c>
      <c r="D682" s="364">
        <f t="shared" si="657"/>
        <v>0</v>
      </c>
      <c r="E682" s="364">
        <f t="shared" si="647"/>
        <v>0</v>
      </c>
      <c r="F682" s="364">
        <v>0</v>
      </c>
      <c r="G682" s="364">
        <v>0</v>
      </c>
      <c r="H682" s="364">
        <f t="shared" si="648"/>
        <v>0</v>
      </c>
      <c r="I682" s="364">
        <v>0</v>
      </c>
      <c r="J682" s="364">
        <v>0</v>
      </c>
      <c r="K682" s="364">
        <f t="shared" si="649"/>
        <v>0</v>
      </c>
      <c r="L682" s="364">
        <v>0</v>
      </c>
      <c r="M682" s="364">
        <v>0</v>
      </c>
      <c r="N682" s="364">
        <f t="shared" si="650"/>
        <v>0</v>
      </c>
      <c r="O682" s="364">
        <v>0</v>
      </c>
      <c r="P682" s="364">
        <v>0</v>
      </c>
      <c r="Q682" s="364">
        <f t="shared" si="651"/>
        <v>0</v>
      </c>
      <c r="R682" s="364">
        <v>0</v>
      </c>
      <c r="S682" s="364">
        <v>0</v>
      </c>
      <c r="T682" s="353" t="s">
        <v>145</v>
      </c>
      <c r="U682" s="365" t="s">
        <v>114</v>
      </c>
      <c r="V682" s="141"/>
    </row>
    <row r="683" spans="2:22" ht="13.5" thickBot="1" x14ac:dyDescent="0.25">
      <c r="B683" s="364">
        <f t="shared" ref="B683:R683" si="658">SUM(B681:B682)</f>
        <v>29</v>
      </c>
      <c r="C683" s="364">
        <f t="shared" si="658"/>
        <v>21</v>
      </c>
      <c r="D683" s="364">
        <f t="shared" si="658"/>
        <v>8</v>
      </c>
      <c r="E683" s="364">
        <f t="shared" si="658"/>
        <v>8</v>
      </c>
      <c r="F683" s="364">
        <f t="shared" si="658"/>
        <v>0</v>
      </c>
      <c r="G683" s="364">
        <f t="shared" si="658"/>
        <v>8</v>
      </c>
      <c r="H683" s="364">
        <f t="shared" si="658"/>
        <v>3</v>
      </c>
      <c r="I683" s="364">
        <f t="shared" si="658"/>
        <v>3</v>
      </c>
      <c r="J683" s="364">
        <f t="shared" si="658"/>
        <v>0</v>
      </c>
      <c r="K683" s="364">
        <f t="shared" si="658"/>
        <v>18</v>
      </c>
      <c r="L683" s="364">
        <f t="shared" si="658"/>
        <v>18</v>
      </c>
      <c r="M683" s="364">
        <f t="shared" si="658"/>
        <v>0</v>
      </c>
      <c r="N683" s="364">
        <f t="shared" si="658"/>
        <v>0</v>
      </c>
      <c r="O683" s="364">
        <f t="shared" si="658"/>
        <v>0</v>
      </c>
      <c r="P683" s="364">
        <f t="shared" si="658"/>
        <v>0</v>
      </c>
      <c r="Q683" s="364">
        <f t="shared" si="658"/>
        <v>0</v>
      </c>
      <c r="R683" s="364">
        <f t="shared" si="658"/>
        <v>0</v>
      </c>
      <c r="S683" s="364">
        <f>SUM(S681:S682)</f>
        <v>0</v>
      </c>
      <c r="T683" s="353" t="s">
        <v>12</v>
      </c>
      <c r="U683" s="366"/>
      <c r="V683" s="141"/>
    </row>
    <row r="684" spans="2:22" ht="13.5" thickBot="1" x14ac:dyDescent="0.25">
      <c r="B684" s="364">
        <f t="shared" ref="B684:B685" si="659">SUM(C684:D684)</f>
        <v>56</v>
      </c>
      <c r="C684" s="364">
        <f t="shared" ref="C684:D685" si="660">R684+O684+L684+I684+F684</f>
        <v>56</v>
      </c>
      <c r="D684" s="364">
        <f t="shared" si="660"/>
        <v>0</v>
      </c>
      <c r="E684" s="364">
        <f t="shared" si="647"/>
        <v>12</v>
      </c>
      <c r="F684" s="364">
        <v>12</v>
      </c>
      <c r="G684" s="364">
        <v>0</v>
      </c>
      <c r="H684" s="364">
        <f t="shared" si="648"/>
        <v>3</v>
      </c>
      <c r="I684" s="364">
        <v>3</v>
      </c>
      <c r="J684" s="364">
        <v>0</v>
      </c>
      <c r="K684" s="364">
        <f t="shared" si="649"/>
        <v>41</v>
      </c>
      <c r="L684" s="364">
        <v>41</v>
      </c>
      <c r="M684" s="364">
        <v>0</v>
      </c>
      <c r="N684" s="364">
        <f t="shared" si="650"/>
        <v>0</v>
      </c>
      <c r="O684" s="364">
        <v>0</v>
      </c>
      <c r="P684" s="364">
        <v>0</v>
      </c>
      <c r="Q684" s="364">
        <f t="shared" si="651"/>
        <v>0</v>
      </c>
      <c r="R684" s="364">
        <v>0</v>
      </c>
      <c r="S684" s="364">
        <v>0</v>
      </c>
      <c r="T684" s="353" t="s">
        <v>146</v>
      </c>
      <c r="U684" s="365"/>
      <c r="V684" s="141"/>
    </row>
    <row r="685" spans="2:22" ht="13.5" thickBot="1" x14ac:dyDescent="0.25">
      <c r="B685" s="364">
        <f t="shared" si="659"/>
        <v>0</v>
      </c>
      <c r="C685" s="364">
        <f t="shared" si="660"/>
        <v>0</v>
      </c>
      <c r="D685" s="364">
        <f t="shared" si="660"/>
        <v>0</v>
      </c>
      <c r="E685" s="364">
        <f t="shared" si="647"/>
        <v>0</v>
      </c>
      <c r="F685" s="364">
        <v>0</v>
      </c>
      <c r="G685" s="364">
        <v>0</v>
      </c>
      <c r="H685" s="364">
        <f t="shared" si="648"/>
        <v>0</v>
      </c>
      <c r="I685" s="364">
        <v>0</v>
      </c>
      <c r="J685" s="364">
        <v>0</v>
      </c>
      <c r="K685" s="364">
        <f t="shared" si="649"/>
        <v>0</v>
      </c>
      <c r="L685" s="364">
        <v>0</v>
      </c>
      <c r="M685" s="364">
        <v>0</v>
      </c>
      <c r="N685" s="364">
        <f t="shared" si="650"/>
        <v>0</v>
      </c>
      <c r="O685" s="364">
        <v>0</v>
      </c>
      <c r="P685" s="364">
        <v>0</v>
      </c>
      <c r="Q685" s="364">
        <f t="shared" si="651"/>
        <v>0</v>
      </c>
      <c r="R685" s="364">
        <v>0</v>
      </c>
      <c r="S685" s="364">
        <v>0</v>
      </c>
      <c r="T685" s="353" t="s">
        <v>145</v>
      </c>
      <c r="U685" s="371" t="s">
        <v>518</v>
      </c>
      <c r="V685" s="141"/>
    </row>
    <row r="686" spans="2:22" ht="13.5" thickBot="1" x14ac:dyDescent="0.25">
      <c r="B686" s="364">
        <f t="shared" ref="B686:R686" si="661">SUM(B684:B685)</f>
        <v>56</v>
      </c>
      <c r="C686" s="364">
        <f t="shared" si="661"/>
        <v>56</v>
      </c>
      <c r="D686" s="364">
        <f t="shared" si="661"/>
        <v>0</v>
      </c>
      <c r="E686" s="364">
        <f t="shared" si="661"/>
        <v>12</v>
      </c>
      <c r="F686" s="364">
        <f t="shared" si="661"/>
        <v>12</v>
      </c>
      <c r="G686" s="364">
        <f t="shared" si="661"/>
        <v>0</v>
      </c>
      <c r="H686" s="364">
        <f t="shared" si="661"/>
        <v>3</v>
      </c>
      <c r="I686" s="364">
        <f t="shared" si="661"/>
        <v>3</v>
      </c>
      <c r="J686" s="364">
        <f t="shared" si="661"/>
        <v>0</v>
      </c>
      <c r="K686" s="364">
        <f t="shared" si="661"/>
        <v>41</v>
      </c>
      <c r="L686" s="364">
        <f t="shared" si="661"/>
        <v>41</v>
      </c>
      <c r="M686" s="364">
        <f t="shared" si="661"/>
        <v>0</v>
      </c>
      <c r="N686" s="364">
        <f t="shared" si="661"/>
        <v>0</v>
      </c>
      <c r="O686" s="364">
        <f t="shared" si="661"/>
        <v>0</v>
      </c>
      <c r="P686" s="364">
        <f t="shared" si="661"/>
        <v>0</v>
      </c>
      <c r="Q686" s="364">
        <f t="shared" si="661"/>
        <v>0</v>
      </c>
      <c r="R686" s="364">
        <f t="shared" si="661"/>
        <v>0</v>
      </c>
      <c r="S686" s="364">
        <f>SUM(S684:S685)</f>
        <v>0</v>
      </c>
      <c r="T686" s="353" t="s">
        <v>12</v>
      </c>
      <c r="U686" s="366"/>
      <c r="V686" s="141"/>
    </row>
    <row r="687" spans="2:22" ht="13.5" thickBot="1" x14ac:dyDescent="0.25">
      <c r="B687" s="364">
        <f t="shared" ref="B687:B688" si="662">SUM(C687:D687)</f>
        <v>118</v>
      </c>
      <c r="C687" s="364">
        <f t="shared" ref="C687:D688" si="663">R687+O687+L687+I687+F687</f>
        <v>0</v>
      </c>
      <c r="D687" s="364">
        <f t="shared" si="663"/>
        <v>118</v>
      </c>
      <c r="E687" s="364">
        <f t="shared" si="647"/>
        <v>98</v>
      </c>
      <c r="F687" s="364">
        <v>0</v>
      </c>
      <c r="G687" s="364">
        <v>98</v>
      </c>
      <c r="H687" s="364">
        <f t="shared" si="648"/>
        <v>4</v>
      </c>
      <c r="I687" s="364">
        <v>0</v>
      </c>
      <c r="J687" s="364">
        <v>4</v>
      </c>
      <c r="K687" s="364">
        <f t="shared" si="649"/>
        <v>16</v>
      </c>
      <c r="L687" s="364">
        <v>0</v>
      </c>
      <c r="M687" s="364">
        <v>16</v>
      </c>
      <c r="N687" s="364">
        <f t="shared" si="650"/>
        <v>0</v>
      </c>
      <c r="O687" s="364">
        <v>0</v>
      </c>
      <c r="P687" s="364">
        <v>0</v>
      </c>
      <c r="Q687" s="364">
        <f t="shared" si="651"/>
        <v>0</v>
      </c>
      <c r="R687" s="364">
        <v>0</v>
      </c>
      <c r="S687" s="364">
        <v>0</v>
      </c>
      <c r="T687" s="353" t="s">
        <v>146</v>
      </c>
      <c r="U687" s="365"/>
      <c r="V687" s="141"/>
    </row>
    <row r="688" spans="2:22" ht="13.5" thickBot="1" x14ac:dyDescent="0.25">
      <c r="B688" s="364">
        <f t="shared" si="662"/>
        <v>0</v>
      </c>
      <c r="C688" s="364">
        <f t="shared" si="663"/>
        <v>0</v>
      </c>
      <c r="D688" s="364">
        <f t="shared" si="663"/>
        <v>0</v>
      </c>
      <c r="E688" s="364">
        <f t="shared" si="647"/>
        <v>0</v>
      </c>
      <c r="F688" s="364">
        <v>0</v>
      </c>
      <c r="G688" s="364">
        <v>0</v>
      </c>
      <c r="H688" s="364">
        <f t="shared" si="648"/>
        <v>0</v>
      </c>
      <c r="I688" s="364">
        <v>0</v>
      </c>
      <c r="J688" s="364">
        <v>0</v>
      </c>
      <c r="K688" s="364">
        <f t="shared" si="649"/>
        <v>0</v>
      </c>
      <c r="L688" s="364">
        <v>0</v>
      </c>
      <c r="M688" s="364">
        <v>0</v>
      </c>
      <c r="N688" s="364">
        <f t="shared" si="650"/>
        <v>0</v>
      </c>
      <c r="O688" s="364">
        <v>0</v>
      </c>
      <c r="P688" s="364">
        <v>0</v>
      </c>
      <c r="Q688" s="364">
        <f t="shared" si="651"/>
        <v>0</v>
      </c>
      <c r="R688" s="364">
        <v>0</v>
      </c>
      <c r="S688" s="364">
        <v>0</v>
      </c>
      <c r="T688" s="353" t="s">
        <v>145</v>
      </c>
      <c r="U688" s="365" t="s">
        <v>256</v>
      </c>
      <c r="V688" s="141"/>
    </row>
    <row r="689" spans="2:22" ht="13.5" thickBot="1" x14ac:dyDescent="0.25">
      <c r="B689" s="364">
        <f t="shared" ref="B689:R689" si="664">SUM(B687:B688)</f>
        <v>118</v>
      </c>
      <c r="C689" s="364">
        <f t="shared" si="664"/>
        <v>0</v>
      </c>
      <c r="D689" s="364">
        <f t="shared" si="664"/>
        <v>118</v>
      </c>
      <c r="E689" s="364">
        <f t="shared" si="664"/>
        <v>98</v>
      </c>
      <c r="F689" s="364">
        <f t="shared" si="664"/>
        <v>0</v>
      </c>
      <c r="G689" s="364">
        <f t="shared" si="664"/>
        <v>98</v>
      </c>
      <c r="H689" s="364">
        <f t="shared" si="664"/>
        <v>4</v>
      </c>
      <c r="I689" s="364">
        <f t="shared" si="664"/>
        <v>0</v>
      </c>
      <c r="J689" s="364">
        <f t="shared" si="664"/>
        <v>4</v>
      </c>
      <c r="K689" s="364">
        <f t="shared" si="664"/>
        <v>16</v>
      </c>
      <c r="L689" s="364">
        <f t="shared" si="664"/>
        <v>0</v>
      </c>
      <c r="M689" s="364">
        <f t="shared" si="664"/>
        <v>16</v>
      </c>
      <c r="N689" s="364">
        <f t="shared" si="664"/>
        <v>0</v>
      </c>
      <c r="O689" s="364">
        <f t="shared" si="664"/>
        <v>0</v>
      </c>
      <c r="P689" s="364">
        <f t="shared" si="664"/>
        <v>0</v>
      </c>
      <c r="Q689" s="364">
        <f t="shared" si="664"/>
        <v>0</v>
      </c>
      <c r="R689" s="364">
        <f t="shared" si="664"/>
        <v>0</v>
      </c>
      <c r="S689" s="364">
        <f>SUM(S687:S688)</f>
        <v>0</v>
      </c>
      <c r="T689" s="353" t="s">
        <v>12</v>
      </c>
      <c r="U689" s="366"/>
      <c r="V689" s="141"/>
    </row>
    <row r="690" spans="2:22" ht="13.5" thickBot="1" x14ac:dyDescent="0.25">
      <c r="B690" s="364">
        <f t="shared" ref="B690:B691" si="665">SUM(C690:D690)</f>
        <v>48</v>
      </c>
      <c r="C690" s="364">
        <f t="shared" ref="C690:D691" si="666">R690+O690+L690+I690+F690</f>
        <v>6</v>
      </c>
      <c r="D690" s="364">
        <f t="shared" si="666"/>
        <v>42</v>
      </c>
      <c r="E690" s="364">
        <f t="shared" si="647"/>
        <v>34</v>
      </c>
      <c r="F690" s="364">
        <v>3</v>
      </c>
      <c r="G690" s="364">
        <v>31</v>
      </c>
      <c r="H690" s="364">
        <f t="shared" si="648"/>
        <v>11</v>
      </c>
      <c r="I690" s="364">
        <v>0</v>
      </c>
      <c r="J690" s="364">
        <v>11</v>
      </c>
      <c r="K690" s="364">
        <f t="shared" si="649"/>
        <v>3</v>
      </c>
      <c r="L690" s="364">
        <v>3</v>
      </c>
      <c r="M690" s="364">
        <v>0</v>
      </c>
      <c r="N690" s="364">
        <f t="shared" si="650"/>
        <v>0</v>
      </c>
      <c r="O690" s="364">
        <v>0</v>
      </c>
      <c r="P690" s="364">
        <v>0</v>
      </c>
      <c r="Q690" s="364">
        <f t="shared" si="651"/>
        <v>0</v>
      </c>
      <c r="R690" s="364">
        <v>0</v>
      </c>
      <c r="S690" s="364">
        <v>0</v>
      </c>
      <c r="T690" s="353" t="s">
        <v>146</v>
      </c>
      <c r="U690" s="365"/>
      <c r="V690" s="141"/>
    </row>
    <row r="691" spans="2:22" ht="13.5" thickBot="1" x14ac:dyDescent="0.25">
      <c r="B691" s="364">
        <f t="shared" si="665"/>
        <v>0</v>
      </c>
      <c r="C691" s="364">
        <f t="shared" si="666"/>
        <v>0</v>
      </c>
      <c r="D691" s="364">
        <f t="shared" si="666"/>
        <v>0</v>
      </c>
      <c r="E691" s="364">
        <f t="shared" si="647"/>
        <v>0</v>
      </c>
      <c r="F691" s="364">
        <v>0</v>
      </c>
      <c r="G691" s="364">
        <v>0</v>
      </c>
      <c r="H691" s="364">
        <f t="shared" si="648"/>
        <v>0</v>
      </c>
      <c r="I691" s="364">
        <v>0</v>
      </c>
      <c r="J691" s="364">
        <v>0</v>
      </c>
      <c r="K691" s="364">
        <f t="shared" si="649"/>
        <v>0</v>
      </c>
      <c r="L691" s="364">
        <v>0</v>
      </c>
      <c r="M691" s="364">
        <v>0</v>
      </c>
      <c r="N691" s="364">
        <f t="shared" si="650"/>
        <v>0</v>
      </c>
      <c r="O691" s="364">
        <v>0</v>
      </c>
      <c r="P691" s="364">
        <v>0</v>
      </c>
      <c r="Q691" s="364">
        <f t="shared" si="651"/>
        <v>0</v>
      </c>
      <c r="R691" s="364">
        <v>0</v>
      </c>
      <c r="S691" s="364">
        <v>0</v>
      </c>
      <c r="T691" s="353" t="s">
        <v>145</v>
      </c>
      <c r="U691" s="371" t="s">
        <v>280</v>
      </c>
      <c r="V691" s="141"/>
    </row>
    <row r="692" spans="2:22" ht="13.5" thickBot="1" x14ac:dyDescent="0.25">
      <c r="B692" s="364">
        <f t="shared" ref="B692:R692" si="667">SUM(B690:B691)</f>
        <v>48</v>
      </c>
      <c r="C692" s="364">
        <f t="shared" si="667"/>
        <v>6</v>
      </c>
      <c r="D692" s="364">
        <f t="shared" si="667"/>
        <v>42</v>
      </c>
      <c r="E692" s="364">
        <f t="shared" si="667"/>
        <v>34</v>
      </c>
      <c r="F692" s="364">
        <f t="shared" si="667"/>
        <v>3</v>
      </c>
      <c r="G692" s="364">
        <f t="shared" si="667"/>
        <v>31</v>
      </c>
      <c r="H692" s="364">
        <f t="shared" si="667"/>
        <v>11</v>
      </c>
      <c r="I692" s="364">
        <f t="shared" si="667"/>
        <v>0</v>
      </c>
      <c r="J692" s="364">
        <f t="shared" si="667"/>
        <v>11</v>
      </c>
      <c r="K692" s="364">
        <f t="shared" si="667"/>
        <v>3</v>
      </c>
      <c r="L692" s="364">
        <f t="shared" si="667"/>
        <v>3</v>
      </c>
      <c r="M692" s="364">
        <f t="shared" si="667"/>
        <v>0</v>
      </c>
      <c r="N692" s="364">
        <f t="shared" si="667"/>
        <v>0</v>
      </c>
      <c r="O692" s="364">
        <f t="shared" si="667"/>
        <v>0</v>
      </c>
      <c r="P692" s="364">
        <f t="shared" si="667"/>
        <v>0</v>
      </c>
      <c r="Q692" s="364">
        <f t="shared" si="667"/>
        <v>0</v>
      </c>
      <c r="R692" s="364">
        <f t="shared" si="667"/>
        <v>0</v>
      </c>
      <c r="S692" s="364">
        <f>SUM(S690:S691)</f>
        <v>0</v>
      </c>
      <c r="T692" s="353" t="s">
        <v>12</v>
      </c>
      <c r="U692" s="366"/>
      <c r="V692" s="141"/>
    </row>
    <row r="693" spans="2:22" ht="13.5" thickBot="1" x14ac:dyDescent="0.25">
      <c r="B693" s="364">
        <f t="shared" ref="B693:B694" si="668">SUM(C693:D693)</f>
        <v>3</v>
      </c>
      <c r="C693" s="364">
        <f t="shared" ref="C693:D694" si="669">R693+O693+L693+I693+F693</f>
        <v>3</v>
      </c>
      <c r="D693" s="364">
        <f t="shared" si="669"/>
        <v>0</v>
      </c>
      <c r="E693" s="364">
        <f t="shared" si="647"/>
        <v>0</v>
      </c>
      <c r="F693" s="364">
        <v>0</v>
      </c>
      <c r="G693" s="364">
        <v>0</v>
      </c>
      <c r="H693" s="364">
        <f t="shared" si="648"/>
        <v>3</v>
      </c>
      <c r="I693" s="364">
        <v>3</v>
      </c>
      <c r="J693" s="364">
        <v>0</v>
      </c>
      <c r="K693" s="364">
        <f t="shared" si="649"/>
        <v>0</v>
      </c>
      <c r="L693" s="364">
        <v>0</v>
      </c>
      <c r="M693" s="364">
        <v>0</v>
      </c>
      <c r="N693" s="364">
        <f t="shared" si="650"/>
        <v>0</v>
      </c>
      <c r="O693" s="364">
        <v>0</v>
      </c>
      <c r="P693" s="364">
        <v>0</v>
      </c>
      <c r="Q693" s="364">
        <f t="shared" si="651"/>
        <v>0</v>
      </c>
      <c r="R693" s="364">
        <v>0</v>
      </c>
      <c r="S693" s="364">
        <v>0</v>
      </c>
      <c r="T693" s="353" t="s">
        <v>146</v>
      </c>
      <c r="U693" s="365"/>
      <c r="V693" s="141"/>
    </row>
    <row r="694" spans="2:22" ht="13.5" thickBot="1" x14ac:dyDescent="0.25">
      <c r="B694" s="364">
        <f t="shared" si="668"/>
        <v>0</v>
      </c>
      <c r="C694" s="364">
        <f t="shared" si="669"/>
        <v>0</v>
      </c>
      <c r="D694" s="364">
        <f t="shared" si="669"/>
        <v>0</v>
      </c>
      <c r="E694" s="364">
        <f t="shared" si="647"/>
        <v>0</v>
      </c>
      <c r="F694" s="364">
        <v>0</v>
      </c>
      <c r="G694" s="364">
        <v>0</v>
      </c>
      <c r="H694" s="364">
        <f t="shared" si="648"/>
        <v>0</v>
      </c>
      <c r="I694" s="364">
        <v>0</v>
      </c>
      <c r="J694" s="364">
        <v>0</v>
      </c>
      <c r="K694" s="364">
        <f t="shared" si="649"/>
        <v>0</v>
      </c>
      <c r="L694" s="364">
        <v>0</v>
      </c>
      <c r="M694" s="364">
        <v>0</v>
      </c>
      <c r="N694" s="364">
        <f t="shared" si="650"/>
        <v>0</v>
      </c>
      <c r="O694" s="364">
        <v>0</v>
      </c>
      <c r="P694" s="364">
        <v>0</v>
      </c>
      <c r="Q694" s="364">
        <f t="shared" si="651"/>
        <v>0</v>
      </c>
      <c r="R694" s="364">
        <v>0</v>
      </c>
      <c r="S694" s="364">
        <v>0</v>
      </c>
      <c r="T694" s="353" t="s">
        <v>145</v>
      </c>
      <c r="U694" s="365" t="s">
        <v>282</v>
      </c>
      <c r="V694" s="141"/>
    </row>
    <row r="695" spans="2:22" ht="13.5" thickBot="1" x14ac:dyDescent="0.25">
      <c r="B695" s="364">
        <f t="shared" ref="B695:R695" si="670">SUM(B693:B694)</f>
        <v>3</v>
      </c>
      <c r="C695" s="364">
        <f t="shared" si="670"/>
        <v>3</v>
      </c>
      <c r="D695" s="364">
        <f t="shared" si="670"/>
        <v>0</v>
      </c>
      <c r="E695" s="364">
        <f t="shared" si="670"/>
        <v>0</v>
      </c>
      <c r="F695" s="364">
        <f t="shared" si="670"/>
        <v>0</v>
      </c>
      <c r="G695" s="364">
        <f t="shared" si="670"/>
        <v>0</v>
      </c>
      <c r="H695" s="364">
        <f t="shared" si="670"/>
        <v>3</v>
      </c>
      <c r="I695" s="364">
        <f t="shared" si="670"/>
        <v>3</v>
      </c>
      <c r="J695" s="364">
        <f t="shared" si="670"/>
        <v>0</v>
      </c>
      <c r="K695" s="364">
        <f t="shared" si="670"/>
        <v>0</v>
      </c>
      <c r="L695" s="364">
        <f t="shared" si="670"/>
        <v>0</v>
      </c>
      <c r="M695" s="364">
        <f t="shared" si="670"/>
        <v>0</v>
      </c>
      <c r="N695" s="364">
        <f t="shared" si="670"/>
        <v>0</v>
      </c>
      <c r="O695" s="364">
        <f t="shared" si="670"/>
        <v>0</v>
      </c>
      <c r="P695" s="364">
        <f t="shared" si="670"/>
        <v>0</v>
      </c>
      <c r="Q695" s="364">
        <f t="shared" si="670"/>
        <v>0</v>
      </c>
      <c r="R695" s="364">
        <f t="shared" si="670"/>
        <v>0</v>
      </c>
      <c r="S695" s="364">
        <f>SUM(S693:S694)</f>
        <v>0</v>
      </c>
      <c r="T695" s="353" t="s">
        <v>12</v>
      </c>
      <c r="U695" s="366"/>
      <c r="V695" s="141"/>
    </row>
    <row r="696" spans="2:22" ht="13.5" thickBot="1" x14ac:dyDescent="0.25">
      <c r="B696" s="364">
        <f t="shared" ref="B696:B697" si="671">SUM(C696:D696)</f>
        <v>21</v>
      </c>
      <c r="C696" s="364">
        <f t="shared" ref="C696:D697" si="672">R696+O696+L696+I696+F696</f>
        <v>21</v>
      </c>
      <c r="D696" s="364">
        <f t="shared" si="672"/>
        <v>0</v>
      </c>
      <c r="E696" s="364">
        <f t="shared" si="647"/>
        <v>9</v>
      </c>
      <c r="F696" s="364">
        <v>9</v>
      </c>
      <c r="G696" s="364">
        <v>0</v>
      </c>
      <c r="H696" s="364">
        <f t="shared" si="648"/>
        <v>3</v>
      </c>
      <c r="I696" s="364">
        <v>3</v>
      </c>
      <c r="J696" s="364">
        <v>0</v>
      </c>
      <c r="K696" s="364">
        <f t="shared" si="649"/>
        <v>9</v>
      </c>
      <c r="L696" s="364">
        <v>9</v>
      </c>
      <c r="M696" s="364">
        <v>0</v>
      </c>
      <c r="N696" s="364">
        <f t="shared" si="650"/>
        <v>0</v>
      </c>
      <c r="O696" s="364">
        <v>0</v>
      </c>
      <c r="P696" s="364">
        <v>0</v>
      </c>
      <c r="Q696" s="364">
        <f t="shared" si="651"/>
        <v>0</v>
      </c>
      <c r="R696" s="364">
        <v>0</v>
      </c>
      <c r="S696" s="364">
        <v>0</v>
      </c>
      <c r="T696" s="353" t="s">
        <v>146</v>
      </c>
      <c r="U696" s="365"/>
      <c r="V696" s="141"/>
    </row>
    <row r="697" spans="2:22" ht="13.5" thickBot="1" x14ac:dyDescent="0.25">
      <c r="B697" s="364">
        <f t="shared" si="671"/>
        <v>0</v>
      </c>
      <c r="C697" s="364">
        <f t="shared" si="672"/>
        <v>0</v>
      </c>
      <c r="D697" s="364">
        <f t="shared" si="672"/>
        <v>0</v>
      </c>
      <c r="E697" s="364">
        <f t="shared" si="647"/>
        <v>0</v>
      </c>
      <c r="F697" s="364">
        <v>0</v>
      </c>
      <c r="G697" s="364">
        <v>0</v>
      </c>
      <c r="H697" s="364">
        <f t="shared" si="648"/>
        <v>0</v>
      </c>
      <c r="I697" s="364">
        <v>0</v>
      </c>
      <c r="J697" s="364">
        <v>0</v>
      </c>
      <c r="K697" s="364">
        <f t="shared" si="649"/>
        <v>0</v>
      </c>
      <c r="L697" s="364">
        <v>0</v>
      </c>
      <c r="M697" s="364">
        <v>0</v>
      </c>
      <c r="N697" s="364">
        <f t="shared" si="650"/>
        <v>0</v>
      </c>
      <c r="O697" s="364">
        <v>0</v>
      </c>
      <c r="P697" s="364">
        <v>0</v>
      </c>
      <c r="Q697" s="364">
        <f t="shared" si="651"/>
        <v>0</v>
      </c>
      <c r="R697" s="364">
        <v>0</v>
      </c>
      <c r="S697" s="364">
        <v>0</v>
      </c>
      <c r="T697" s="353" t="s">
        <v>145</v>
      </c>
      <c r="U697" s="371" t="s">
        <v>517</v>
      </c>
      <c r="V697" s="141"/>
    </row>
    <row r="698" spans="2:22" ht="13.5" thickBot="1" x14ac:dyDescent="0.25">
      <c r="B698" s="364">
        <f t="shared" ref="B698:R698" si="673">SUM(B696:B697)</f>
        <v>21</v>
      </c>
      <c r="C698" s="364">
        <f t="shared" si="673"/>
        <v>21</v>
      </c>
      <c r="D698" s="364">
        <f t="shared" si="673"/>
        <v>0</v>
      </c>
      <c r="E698" s="364">
        <f t="shared" si="673"/>
        <v>9</v>
      </c>
      <c r="F698" s="364">
        <f t="shared" si="673"/>
        <v>9</v>
      </c>
      <c r="G698" s="364">
        <f t="shared" si="673"/>
        <v>0</v>
      </c>
      <c r="H698" s="364">
        <f t="shared" si="673"/>
        <v>3</v>
      </c>
      <c r="I698" s="364">
        <f t="shared" si="673"/>
        <v>3</v>
      </c>
      <c r="J698" s="364">
        <f t="shared" si="673"/>
        <v>0</v>
      </c>
      <c r="K698" s="364">
        <f t="shared" si="673"/>
        <v>9</v>
      </c>
      <c r="L698" s="364">
        <f t="shared" si="673"/>
        <v>9</v>
      </c>
      <c r="M698" s="364">
        <f t="shared" si="673"/>
        <v>0</v>
      </c>
      <c r="N698" s="364">
        <f t="shared" si="673"/>
        <v>0</v>
      </c>
      <c r="O698" s="364">
        <f t="shared" si="673"/>
        <v>0</v>
      </c>
      <c r="P698" s="364">
        <f t="shared" si="673"/>
        <v>0</v>
      </c>
      <c r="Q698" s="364">
        <f t="shared" si="673"/>
        <v>0</v>
      </c>
      <c r="R698" s="364">
        <f t="shared" si="673"/>
        <v>0</v>
      </c>
      <c r="S698" s="364">
        <f>SUM(S696:S697)</f>
        <v>0</v>
      </c>
      <c r="T698" s="353" t="s">
        <v>12</v>
      </c>
      <c r="U698" s="366"/>
      <c r="V698" s="141"/>
    </row>
    <row r="699" spans="2:22" ht="13.5" thickBot="1" x14ac:dyDescent="0.25">
      <c r="B699" s="364">
        <f t="shared" ref="B699:R701" si="674">B675+B678+B681+B684+B687+B690+B693+B696</f>
        <v>313</v>
      </c>
      <c r="C699" s="364">
        <f t="shared" si="674"/>
        <v>113</v>
      </c>
      <c r="D699" s="364">
        <f t="shared" si="674"/>
        <v>200</v>
      </c>
      <c r="E699" s="364">
        <f t="shared" si="674"/>
        <v>181</v>
      </c>
      <c r="F699" s="364">
        <f t="shared" si="674"/>
        <v>24</v>
      </c>
      <c r="G699" s="364">
        <f t="shared" si="674"/>
        <v>157</v>
      </c>
      <c r="H699" s="364">
        <f t="shared" si="674"/>
        <v>31</v>
      </c>
      <c r="I699" s="364">
        <f t="shared" si="674"/>
        <v>12</v>
      </c>
      <c r="J699" s="364">
        <f t="shared" si="674"/>
        <v>19</v>
      </c>
      <c r="K699" s="364">
        <f t="shared" si="674"/>
        <v>97</v>
      </c>
      <c r="L699" s="364">
        <f t="shared" si="674"/>
        <v>77</v>
      </c>
      <c r="M699" s="364">
        <f t="shared" si="674"/>
        <v>20</v>
      </c>
      <c r="N699" s="364">
        <f t="shared" si="674"/>
        <v>4</v>
      </c>
      <c r="O699" s="364">
        <f t="shared" si="674"/>
        <v>0</v>
      </c>
      <c r="P699" s="364">
        <f t="shared" si="674"/>
        <v>4</v>
      </c>
      <c r="Q699" s="364">
        <f t="shared" si="674"/>
        <v>0</v>
      </c>
      <c r="R699" s="364">
        <f t="shared" si="674"/>
        <v>0</v>
      </c>
      <c r="S699" s="364">
        <f>S675+S678+S681+S684+S687+S690+S693+S696</f>
        <v>0</v>
      </c>
      <c r="T699" s="353" t="s">
        <v>146</v>
      </c>
      <c r="U699" s="367"/>
      <c r="V699" s="141"/>
    </row>
    <row r="700" spans="2:22" ht="13.5" thickBot="1" x14ac:dyDescent="0.25">
      <c r="B700" s="364">
        <f t="shared" si="674"/>
        <v>4</v>
      </c>
      <c r="C700" s="364">
        <f t="shared" si="674"/>
        <v>0</v>
      </c>
      <c r="D700" s="364">
        <f t="shared" si="674"/>
        <v>4</v>
      </c>
      <c r="E700" s="364">
        <f t="shared" si="674"/>
        <v>0</v>
      </c>
      <c r="F700" s="364">
        <f t="shared" si="674"/>
        <v>0</v>
      </c>
      <c r="G700" s="364">
        <f t="shared" si="674"/>
        <v>0</v>
      </c>
      <c r="H700" s="364">
        <f t="shared" si="674"/>
        <v>4</v>
      </c>
      <c r="I700" s="364">
        <f t="shared" si="674"/>
        <v>0</v>
      </c>
      <c r="J700" s="364">
        <f t="shared" si="674"/>
        <v>4</v>
      </c>
      <c r="K700" s="364">
        <f t="shared" si="674"/>
        <v>0</v>
      </c>
      <c r="L700" s="364">
        <f t="shared" si="674"/>
        <v>0</v>
      </c>
      <c r="M700" s="364">
        <f t="shared" si="674"/>
        <v>0</v>
      </c>
      <c r="N700" s="364">
        <f t="shared" si="674"/>
        <v>0</v>
      </c>
      <c r="O700" s="364">
        <f t="shared" si="674"/>
        <v>0</v>
      </c>
      <c r="P700" s="364">
        <f t="shared" si="674"/>
        <v>0</v>
      </c>
      <c r="Q700" s="364">
        <f t="shared" si="674"/>
        <v>0</v>
      </c>
      <c r="R700" s="364">
        <f t="shared" si="674"/>
        <v>0</v>
      </c>
      <c r="S700" s="364">
        <f t="shared" ref="S700:S701" si="675">S676+S679+S682+S685+S688+S691+S694+S697</f>
        <v>0</v>
      </c>
      <c r="T700" s="353" t="s">
        <v>145</v>
      </c>
      <c r="U700" s="368" t="s">
        <v>188</v>
      </c>
      <c r="V700" s="141"/>
    </row>
    <row r="701" spans="2:22" ht="13.5" thickBot="1" x14ac:dyDescent="0.25">
      <c r="B701" s="364">
        <f t="shared" si="674"/>
        <v>317</v>
      </c>
      <c r="C701" s="364">
        <f t="shared" si="674"/>
        <v>113</v>
      </c>
      <c r="D701" s="364">
        <f t="shared" si="674"/>
        <v>204</v>
      </c>
      <c r="E701" s="364">
        <f t="shared" si="674"/>
        <v>181</v>
      </c>
      <c r="F701" s="364">
        <f t="shared" si="674"/>
        <v>24</v>
      </c>
      <c r="G701" s="364">
        <f t="shared" si="674"/>
        <v>157</v>
      </c>
      <c r="H701" s="364">
        <f t="shared" si="674"/>
        <v>35</v>
      </c>
      <c r="I701" s="364">
        <f t="shared" si="674"/>
        <v>12</v>
      </c>
      <c r="J701" s="364">
        <f t="shared" si="674"/>
        <v>23</v>
      </c>
      <c r="K701" s="364">
        <f t="shared" si="674"/>
        <v>97</v>
      </c>
      <c r="L701" s="364">
        <f t="shared" si="674"/>
        <v>77</v>
      </c>
      <c r="M701" s="364">
        <f t="shared" si="674"/>
        <v>20</v>
      </c>
      <c r="N701" s="364">
        <f t="shared" si="674"/>
        <v>4</v>
      </c>
      <c r="O701" s="364">
        <f t="shared" si="674"/>
        <v>0</v>
      </c>
      <c r="P701" s="364">
        <f t="shared" si="674"/>
        <v>4</v>
      </c>
      <c r="Q701" s="364">
        <f t="shared" si="674"/>
        <v>0</v>
      </c>
      <c r="R701" s="364">
        <f t="shared" si="674"/>
        <v>0</v>
      </c>
      <c r="S701" s="364">
        <f t="shared" si="675"/>
        <v>0</v>
      </c>
      <c r="T701" s="353" t="s">
        <v>12</v>
      </c>
      <c r="U701" s="363"/>
      <c r="V701" s="141"/>
    </row>
    <row r="702" spans="2:22" ht="18" customHeight="1" thickBot="1" x14ac:dyDescent="0.25">
      <c r="B702" s="610"/>
      <c r="C702" s="610"/>
      <c r="D702" s="610"/>
      <c r="E702" s="610"/>
      <c r="F702" s="610"/>
      <c r="G702" s="610"/>
      <c r="H702" s="610"/>
      <c r="I702" s="610"/>
      <c r="J702" s="610"/>
      <c r="K702" s="610"/>
      <c r="L702" s="610"/>
      <c r="M702" s="610"/>
      <c r="N702" s="610"/>
      <c r="O702" s="610"/>
      <c r="P702" s="610"/>
      <c r="Q702" s="610"/>
      <c r="R702" s="610"/>
      <c r="S702" s="610"/>
      <c r="T702" s="610"/>
      <c r="U702" s="610"/>
      <c r="V702" s="141"/>
    </row>
    <row r="703" spans="2:22" ht="13.5" customHeight="1" thickBot="1" x14ac:dyDescent="0.25">
      <c r="B703" s="607" t="s">
        <v>4</v>
      </c>
      <c r="C703" s="607"/>
      <c r="D703" s="607"/>
      <c r="E703" s="607" t="s">
        <v>53</v>
      </c>
      <c r="F703" s="607"/>
      <c r="G703" s="607"/>
      <c r="H703" s="607" t="s">
        <v>61</v>
      </c>
      <c r="I703" s="607"/>
      <c r="J703" s="607"/>
      <c r="K703" s="607" t="s">
        <v>60</v>
      </c>
      <c r="L703" s="607"/>
      <c r="M703" s="607"/>
      <c r="N703" s="607" t="s">
        <v>57</v>
      </c>
      <c r="O703" s="607"/>
      <c r="P703" s="607"/>
      <c r="Q703" s="607" t="s">
        <v>56</v>
      </c>
      <c r="R703" s="607"/>
      <c r="S703" s="607"/>
      <c r="T703" s="608" t="s">
        <v>741</v>
      </c>
      <c r="U703" s="347" t="s">
        <v>144</v>
      </c>
      <c r="V703" s="141"/>
    </row>
    <row r="704" spans="2:22" ht="13.5" thickBot="1" x14ac:dyDescent="0.25">
      <c r="B704" s="347" t="s">
        <v>227</v>
      </c>
      <c r="C704" s="347" t="s">
        <v>10</v>
      </c>
      <c r="D704" s="347" t="s">
        <v>9</v>
      </c>
      <c r="E704" s="347" t="s">
        <v>227</v>
      </c>
      <c r="F704" s="347" t="s">
        <v>10</v>
      </c>
      <c r="G704" s="347" t="s">
        <v>9</v>
      </c>
      <c r="H704" s="347" t="s">
        <v>227</v>
      </c>
      <c r="I704" s="347" t="s">
        <v>10</v>
      </c>
      <c r="J704" s="347" t="s">
        <v>9</v>
      </c>
      <c r="K704" s="347" t="s">
        <v>227</v>
      </c>
      <c r="L704" s="347" t="s">
        <v>10</v>
      </c>
      <c r="M704" s="347" t="s">
        <v>9</v>
      </c>
      <c r="N704" s="347" t="s">
        <v>227</v>
      </c>
      <c r="O704" s="347" t="s">
        <v>10</v>
      </c>
      <c r="P704" s="347" t="s">
        <v>9</v>
      </c>
      <c r="Q704" s="347" t="s">
        <v>227</v>
      </c>
      <c r="R704" s="347" t="s">
        <v>10</v>
      </c>
      <c r="S704" s="347" t="s">
        <v>9</v>
      </c>
      <c r="T704" s="609"/>
      <c r="U704" s="363" t="s">
        <v>117</v>
      </c>
      <c r="V704" s="141"/>
    </row>
    <row r="705" spans="2:22" ht="13.5" thickBot="1" x14ac:dyDescent="0.25">
      <c r="B705" s="364">
        <f>SUM(C705:D705)</f>
        <v>54</v>
      </c>
      <c r="C705" s="364">
        <f>R705+O705+L705+I705+F705</f>
        <v>4</v>
      </c>
      <c r="D705" s="364">
        <f>S705+P705+M705+J705+G705</f>
        <v>50</v>
      </c>
      <c r="E705" s="364">
        <f>SUM(F705:G705)</f>
        <v>0</v>
      </c>
      <c r="F705" s="364">
        <v>0</v>
      </c>
      <c r="G705" s="364">
        <v>0</v>
      </c>
      <c r="H705" s="364">
        <f>SUM(I705:J705)</f>
        <v>37</v>
      </c>
      <c r="I705" s="364">
        <v>4</v>
      </c>
      <c r="J705" s="364">
        <v>33</v>
      </c>
      <c r="K705" s="364">
        <f>SUM(L705:M705)</f>
        <v>11</v>
      </c>
      <c r="L705" s="364">
        <v>0</v>
      </c>
      <c r="M705" s="364">
        <v>11</v>
      </c>
      <c r="N705" s="364">
        <f>SUM(O705:P705)</f>
        <v>6</v>
      </c>
      <c r="O705" s="364">
        <v>0</v>
      </c>
      <c r="P705" s="364">
        <v>6</v>
      </c>
      <c r="Q705" s="364">
        <f>SUM(R705:S705)</f>
        <v>0</v>
      </c>
      <c r="R705" s="364">
        <v>0</v>
      </c>
      <c r="S705" s="364">
        <v>0</v>
      </c>
      <c r="T705" s="353" t="s">
        <v>146</v>
      </c>
      <c r="U705" s="365"/>
      <c r="V705" s="141"/>
    </row>
    <row r="706" spans="2:22" ht="13.5" thickBot="1" x14ac:dyDescent="0.25">
      <c r="B706" s="364">
        <f t="shared" ref="B706" si="676">SUM(C706:D706)</f>
        <v>0</v>
      </c>
      <c r="C706" s="364">
        <f t="shared" ref="C706:D706" si="677">R706+O706+L706+I706+F706</f>
        <v>0</v>
      </c>
      <c r="D706" s="364">
        <f t="shared" si="677"/>
        <v>0</v>
      </c>
      <c r="E706" s="364">
        <f t="shared" ref="E706:E724" si="678">SUM(F706:G706)</f>
        <v>0</v>
      </c>
      <c r="F706" s="364">
        <v>0</v>
      </c>
      <c r="G706" s="364">
        <v>0</v>
      </c>
      <c r="H706" s="364">
        <f t="shared" ref="H706:H724" si="679">SUM(I706:J706)</f>
        <v>0</v>
      </c>
      <c r="I706" s="364">
        <v>0</v>
      </c>
      <c r="J706" s="364">
        <v>0</v>
      </c>
      <c r="K706" s="364">
        <f t="shared" ref="K706:K724" si="680">SUM(L706:M706)</f>
        <v>0</v>
      </c>
      <c r="L706" s="364">
        <v>0</v>
      </c>
      <c r="M706" s="364">
        <v>0</v>
      </c>
      <c r="N706" s="364">
        <f t="shared" ref="N706:N724" si="681">SUM(O706:P706)</f>
        <v>0</v>
      </c>
      <c r="O706" s="364">
        <v>0</v>
      </c>
      <c r="P706" s="364">
        <v>0</v>
      </c>
      <c r="Q706" s="364">
        <f t="shared" ref="Q706:Q724" si="682">SUM(R706:S706)</f>
        <v>0</v>
      </c>
      <c r="R706" s="364">
        <v>0</v>
      </c>
      <c r="S706" s="364">
        <v>0</v>
      </c>
      <c r="T706" s="353" t="s">
        <v>145</v>
      </c>
      <c r="U706" s="365" t="s">
        <v>367</v>
      </c>
      <c r="V706" s="141"/>
    </row>
    <row r="707" spans="2:22" ht="13.5" thickBot="1" x14ac:dyDescent="0.25">
      <c r="B707" s="364">
        <f t="shared" ref="B707:R707" si="683">SUM(B705:B706)</f>
        <v>54</v>
      </c>
      <c r="C707" s="364">
        <f t="shared" si="683"/>
        <v>4</v>
      </c>
      <c r="D707" s="364">
        <f t="shared" si="683"/>
        <v>50</v>
      </c>
      <c r="E707" s="364">
        <f t="shared" si="683"/>
        <v>0</v>
      </c>
      <c r="F707" s="364">
        <f t="shared" si="683"/>
        <v>0</v>
      </c>
      <c r="G707" s="364">
        <f t="shared" si="683"/>
        <v>0</v>
      </c>
      <c r="H707" s="364">
        <f t="shared" si="683"/>
        <v>37</v>
      </c>
      <c r="I707" s="364">
        <f t="shared" si="683"/>
        <v>4</v>
      </c>
      <c r="J707" s="364">
        <f t="shared" si="683"/>
        <v>33</v>
      </c>
      <c r="K707" s="364">
        <f t="shared" si="683"/>
        <v>11</v>
      </c>
      <c r="L707" s="364">
        <f t="shared" si="683"/>
        <v>0</v>
      </c>
      <c r="M707" s="364">
        <f t="shared" si="683"/>
        <v>11</v>
      </c>
      <c r="N707" s="364">
        <f t="shared" si="683"/>
        <v>6</v>
      </c>
      <c r="O707" s="364">
        <f t="shared" si="683"/>
        <v>0</v>
      </c>
      <c r="P707" s="364">
        <f t="shared" si="683"/>
        <v>6</v>
      </c>
      <c r="Q707" s="364">
        <f t="shared" si="683"/>
        <v>0</v>
      </c>
      <c r="R707" s="364">
        <f t="shared" si="683"/>
        <v>0</v>
      </c>
      <c r="S707" s="364">
        <f>SUM(S705:S706)</f>
        <v>0</v>
      </c>
      <c r="T707" s="353" t="s">
        <v>12</v>
      </c>
      <c r="U707" s="366"/>
      <c r="V707" s="141"/>
    </row>
    <row r="708" spans="2:22" ht="13.5" thickBot="1" x14ac:dyDescent="0.25">
      <c r="B708" s="364">
        <f t="shared" ref="B708:B709" si="684">SUM(C708:D708)</f>
        <v>76</v>
      </c>
      <c r="C708" s="364">
        <f t="shared" ref="C708:D709" si="685">R708+O708+L708+I708+F708</f>
        <v>0</v>
      </c>
      <c r="D708" s="364">
        <f t="shared" si="685"/>
        <v>76</v>
      </c>
      <c r="E708" s="364">
        <f t="shared" si="678"/>
        <v>22</v>
      </c>
      <c r="F708" s="364">
        <v>0</v>
      </c>
      <c r="G708" s="364">
        <v>22</v>
      </c>
      <c r="H708" s="364">
        <f t="shared" si="679"/>
        <v>43</v>
      </c>
      <c r="I708" s="364">
        <v>0</v>
      </c>
      <c r="J708" s="364">
        <v>43</v>
      </c>
      <c r="K708" s="364">
        <f t="shared" si="680"/>
        <v>11</v>
      </c>
      <c r="L708" s="364">
        <v>0</v>
      </c>
      <c r="M708" s="364">
        <v>11</v>
      </c>
      <c r="N708" s="364">
        <f t="shared" si="681"/>
        <v>0</v>
      </c>
      <c r="O708" s="364">
        <v>0</v>
      </c>
      <c r="P708" s="364">
        <v>0</v>
      </c>
      <c r="Q708" s="364">
        <f t="shared" si="682"/>
        <v>0</v>
      </c>
      <c r="R708" s="364">
        <v>0</v>
      </c>
      <c r="S708" s="364">
        <v>0</v>
      </c>
      <c r="T708" s="353" t="s">
        <v>146</v>
      </c>
      <c r="U708" s="365"/>
      <c r="V708" s="141"/>
    </row>
    <row r="709" spans="2:22" ht="13.5" thickBot="1" x14ac:dyDescent="0.25">
      <c r="B709" s="364">
        <f t="shared" si="684"/>
        <v>0</v>
      </c>
      <c r="C709" s="364">
        <f t="shared" si="685"/>
        <v>0</v>
      </c>
      <c r="D709" s="364">
        <f t="shared" si="685"/>
        <v>0</v>
      </c>
      <c r="E709" s="364">
        <f t="shared" si="678"/>
        <v>0</v>
      </c>
      <c r="F709" s="364">
        <v>0</v>
      </c>
      <c r="G709" s="364">
        <v>0</v>
      </c>
      <c r="H709" s="364">
        <f t="shared" si="679"/>
        <v>0</v>
      </c>
      <c r="I709" s="364">
        <v>0</v>
      </c>
      <c r="J709" s="364">
        <v>0</v>
      </c>
      <c r="K709" s="364">
        <f t="shared" si="680"/>
        <v>0</v>
      </c>
      <c r="L709" s="364">
        <v>0</v>
      </c>
      <c r="M709" s="364">
        <v>0</v>
      </c>
      <c r="N709" s="364">
        <f t="shared" si="681"/>
        <v>0</v>
      </c>
      <c r="O709" s="364">
        <v>0</v>
      </c>
      <c r="P709" s="364">
        <v>0</v>
      </c>
      <c r="Q709" s="364">
        <f t="shared" si="682"/>
        <v>0</v>
      </c>
      <c r="R709" s="364">
        <v>0</v>
      </c>
      <c r="S709" s="364">
        <v>0</v>
      </c>
      <c r="T709" s="353" t="s">
        <v>145</v>
      </c>
      <c r="U709" s="365" t="s">
        <v>454</v>
      </c>
      <c r="V709" s="141"/>
    </row>
    <row r="710" spans="2:22" ht="13.5" thickBot="1" x14ac:dyDescent="0.25">
      <c r="B710" s="364">
        <f t="shared" ref="B710:R710" si="686">SUM(B708:B709)</f>
        <v>76</v>
      </c>
      <c r="C710" s="364">
        <f t="shared" si="686"/>
        <v>0</v>
      </c>
      <c r="D710" s="364">
        <f t="shared" si="686"/>
        <v>76</v>
      </c>
      <c r="E710" s="364">
        <f t="shared" si="686"/>
        <v>22</v>
      </c>
      <c r="F710" s="364">
        <f t="shared" si="686"/>
        <v>0</v>
      </c>
      <c r="G710" s="364">
        <f t="shared" si="686"/>
        <v>22</v>
      </c>
      <c r="H710" s="364">
        <f t="shared" si="686"/>
        <v>43</v>
      </c>
      <c r="I710" s="364">
        <f t="shared" si="686"/>
        <v>0</v>
      </c>
      <c r="J710" s="364">
        <f t="shared" si="686"/>
        <v>43</v>
      </c>
      <c r="K710" s="364">
        <f t="shared" si="686"/>
        <v>11</v>
      </c>
      <c r="L710" s="364">
        <f t="shared" si="686"/>
        <v>0</v>
      </c>
      <c r="M710" s="364">
        <f t="shared" si="686"/>
        <v>11</v>
      </c>
      <c r="N710" s="364">
        <f t="shared" si="686"/>
        <v>0</v>
      </c>
      <c r="O710" s="364">
        <f t="shared" si="686"/>
        <v>0</v>
      </c>
      <c r="P710" s="364">
        <f t="shared" si="686"/>
        <v>0</v>
      </c>
      <c r="Q710" s="364">
        <f t="shared" si="686"/>
        <v>0</v>
      </c>
      <c r="R710" s="364">
        <f t="shared" si="686"/>
        <v>0</v>
      </c>
      <c r="S710" s="364">
        <f>SUM(S708:S709)</f>
        <v>0</v>
      </c>
      <c r="T710" s="353" t="s">
        <v>12</v>
      </c>
      <c r="U710" s="366"/>
      <c r="V710" s="141"/>
    </row>
    <row r="711" spans="2:22" ht="13.5" thickBot="1" x14ac:dyDescent="0.25">
      <c r="B711" s="364">
        <f t="shared" ref="B711:B712" si="687">SUM(C711:D711)</f>
        <v>64</v>
      </c>
      <c r="C711" s="364">
        <f t="shared" ref="C711:D712" si="688">R711+O711+L711+I711+F711</f>
        <v>14</v>
      </c>
      <c r="D711" s="364">
        <f t="shared" si="688"/>
        <v>50</v>
      </c>
      <c r="E711" s="364">
        <f t="shared" si="678"/>
        <v>12</v>
      </c>
      <c r="F711" s="364">
        <v>0</v>
      </c>
      <c r="G711" s="364">
        <v>12</v>
      </c>
      <c r="H711" s="364">
        <f t="shared" si="679"/>
        <v>5</v>
      </c>
      <c r="I711" s="364">
        <v>5</v>
      </c>
      <c r="J711" s="364">
        <v>0</v>
      </c>
      <c r="K711" s="364">
        <f t="shared" si="680"/>
        <v>47</v>
      </c>
      <c r="L711" s="364">
        <v>9</v>
      </c>
      <c r="M711" s="364">
        <v>38</v>
      </c>
      <c r="N711" s="364">
        <f t="shared" si="681"/>
        <v>0</v>
      </c>
      <c r="O711" s="364">
        <v>0</v>
      </c>
      <c r="P711" s="364">
        <v>0</v>
      </c>
      <c r="Q711" s="364">
        <f t="shared" si="682"/>
        <v>0</v>
      </c>
      <c r="R711" s="364">
        <v>0</v>
      </c>
      <c r="S711" s="364">
        <v>0</v>
      </c>
      <c r="T711" s="353" t="s">
        <v>146</v>
      </c>
      <c r="U711" s="365"/>
      <c r="V711" s="141"/>
    </row>
    <row r="712" spans="2:22" ht="13.5" thickBot="1" x14ac:dyDescent="0.25">
      <c r="B712" s="364">
        <f t="shared" si="687"/>
        <v>0</v>
      </c>
      <c r="C712" s="364">
        <f t="shared" si="688"/>
        <v>0</v>
      </c>
      <c r="D712" s="364">
        <f t="shared" si="688"/>
        <v>0</v>
      </c>
      <c r="E712" s="364">
        <f t="shared" si="678"/>
        <v>0</v>
      </c>
      <c r="F712" s="364">
        <v>0</v>
      </c>
      <c r="G712" s="364">
        <v>0</v>
      </c>
      <c r="H712" s="364">
        <f t="shared" si="679"/>
        <v>0</v>
      </c>
      <c r="I712" s="364">
        <v>0</v>
      </c>
      <c r="J712" s="364">
        <v>0</v>
      </c>
      <c r="K712" s="364">
        <f t="shared" si="680"/>
        <v>0</v>
      </c>
      <c r="L712" s="364">
        <v>0</v>
      </c>
      <c r="M712" s="364">
        <v>0</v>
      </c>
      <c r="N712" s="364">
        <f t="shared" si="681"/>
        <v>0</v>
      </c>
      <c r="O712" s="364">
        <v>0</v>
      </c>
      <c r="P712" s="364">
        <v>0</v>
      </c>
      <c r="Q712" s="364">
        <f t="shared" si="682"/>
        <v>0</v>
      </c>
      <c r="R712" s="364">
        <v>0</v>
      </c>
      <c r="S712" s="364">
        <v>0</v>
      </c>
      <c r="T712" s="353" t="s">
        <v>145</v>
      </c>
      <c r="U712" s="365" t="s">
        <v>347</v>
      </c>
      <c r="V712" s="141"/>
    </row>
    <row r="713" spans="2:22" ht="13.5" thickBot="1" x14ac:dyDescent="0.25">
      <c r="B713" s="364">
        <f t="shared" ref="B713:R713" si="689">SUM(B711:B712)</f>
        <v>64</v>
      </c>
      <c r="C713" s="364">
        <f t="shared" si="689"/>
        <v>14</v>
      </c>
      <c r="D713" s="364">
        <f t="shared" si="689"/>
        <v>50</v>
      </c>
      <c r="E713" s="364">
        <f t="shared" si="689"/>
        <v>12</v>
      </c>
      <c r="F713" s="364">
        <f t="shared" si="689"/>
        <v>0</v>
      </c>
      <c r="G713" s="364">
        <f t="shared" si="689"/>
        <v>12</v>
      </c>
      <c r="H713" s="364">
        <f t="shared" si="689"/>
        <v>5</v>
      </c>
      <c r="I713" s="364">
        <f t="shared" si="689"/>
        <v>5</v>
      </c>
      <c r="J713" s="364">
        <f t="shared" si="689"/>
        <v>0</v>
      </c>
      <c r="K713" s="364">
        <f t="shared" si="689"/>
        <v>47</v>
      </c>
      <c r="L713" s="364">
        <f t="shared" si="689"/>
        <v>9</v>
      </c>
      <c r="M713" s="364">
        <f t="shared" si="689"/>
        <v>38</v>
      </c>
      <c r="N713" s="364">
        <f t="shared" si="689"/>
        <v>0</v>
      </c>
      <c r="O713" s="364">
        <f t="shared" si="689"/>
        <v>0</v>
      </c>
      <c r="P713" s="364">
        <f t="shared" si="689"/>
        <v>0</v>
      </c>
      <c r="Q713" s="364">
        <f t="shared" si="689"/>
        <v>0</v>
      </c>
      <c r="R713" s="364">
        <f t="shared" si="689"/>
        <v>0</v>
      </c>
      <c r="S713" s="364">
        <f>SUM(S711:S712)</f>
        <v>0</v>
      </c>
      <c r="T713" s="353" t="s">
        <v>12</v>
      </c>
      <c r="U713" s="366"/>
      <c r="V713" s="141"/>
    </row>
    <row r="714" spans="2:22" ht="13.5" thickBot="1" x14ac:dyDescent="0.25">
      <c r="B714" s="364">
        <f t="shared" ref="B714:B715" si="690">SUM(C714:D714)</f>
        <v>44</v>
      </c>
      <c r="C714" s="364">
        <f t="shared" ref="C714:D715" si="691">R714+O714+L714+I714+F714</f>
        <v>0</v>
      </c>
      <c r="D714" s="364">
        <f t="shared" si="691"/>
        <v>44</v>
      </c>
      <c r="E714" s="364">
        <f t="shared" si="678"/>
        <v>5</v>
      </c>
      <c r="F714" s="364">
        <v>0</v>
      </c>
      <c r="G714" s="364">
        <v>5</v>
      </c>
      <c r="H714" s="364">
        <f t="shared" si="679"/>
        <v>28</v>
      </c>
      <c r="I714" s="364">
        <v>0</v>
      </c>
      <c r="J714" s="364">
        <v>28</v>
      </c>
      <c r="K714" s="364">
        <f t="shared" si="680"/>
        <v>11</v>
      </c>
      <c r="L714" s="364">
        <v>0</v>
      </c>
      <c r="M714" s="364">
        <v>11</v>
      </c>
      <c r="N714" s="364">
        <f t="shared" si="681"/>
        <v>0</v>
      </c>
      <c r="O714" s="364">
        <v>0</v>
      </c>
      <c r="P714" s="364">
        <v>0</v>
      </c>
      <c r="Q714" s="364">
        <f t="shared" si="682"/>
        <v>0</v>
      </c>
      <c r="R714" s="364">
        <v>0</v>
      </c>
      <c r="S714" s="364">
        <v>0</v>
      </c>
      <c r="T714" s="353" t="s">
        <v>146</v>
      </c>
      <c r="U714" s="365"/>
      <c r="V714" s="141"/>
    </row>
    <row r="715" spans="2:22" ht="13.5" thickBot="1" x14ac:dyDescent="0.25">
      <c r="B715" s="364">
        <f t="shared" si="690"/>
        <v>0</v>
      </c>
      <c r="C715" s="364">
        <f t="shared" si="691"/>
        <v>0</v>
      </c>
      <c r="D715" s="364">
        <f t="shared" si="691"/>
        <v>0</v>
      </c>
      <c r="E715" s="364">
        <f t="shared" si="678"/>
        <v>0</v>
      </c>
      <c r="F715" s="364">
        <v>0</v>
      </c>
      <c r="G715" s="364">
        <v>0</v>
      </c>
      <c r="H715" s="364">
        <f t="shared" si="679"/>
        <v>0</v>
      </c>
      <c r="I715" s="364">
        <v>0</v>
      </c>
      <c r="J715" s="364">
        <v>0</v>
      </c>
      <c r="K715" s="364">
        <f t="shared" si="680"/>
        <v>0</v>
      </c>
      <c r="L715" s="364">
        <v>0</v>
      </c>
      <c r="M715" s="364">
        <v>0</v>
      </c>
      <c r="N715" s="364">
        <f t="shared" si="681"/>
        <v>0</v>
      </c>
      <c r="O715" s="364">
        <v>0</v>
      </c>
      <c r="P715" s="364">
        <v>0</v>
      </c>
      <c r="Q715" s="364">
        <f t="shared" si="682"/>
        <v>0</v>
      </c>
      <c r="R715" s="364">
        <v>0</v>
      </c>
      <c r="S715" s="364">
        <v>0</v>
      </c>
      <c r="T715" s="353" t="s">
        <v>145</v>
      </c>
      <c r="U715" s="365" t="s">
        <v>116</v>
      </c>
      <c r="V715" s="141"/>
    </row>
    <row r="716" spans="2:22" ht="13.5" thickBot="1" x14ac:dyDescent="0.25">
      <c r="B716" s="364">
        <f t="shared" ref="B716:R716" si="692">SUM(B714:B715)</f>
        <v>44</v>
      </c>
      <c r="C716" s="364">
        <f t="shared" si="692"/>
        <v>0</v>
      </c>
      <c r="D716" s="364">
        <f t="shared" si="692"/>
        <v>44</v>
      </c>
      <c r="E716" s="364">
        <f t="shared" si="692"/>
        <v>5</v>
      </c>
      <c r="F716" s="364">
        <f t="shared" si="692"/>
        <v>0</v>
      </c>
      <c r="G716" s="364">
        <f t="shared" si="692"/>
        <v>5</v>
      </c>
      <c r="H716" s="364">
        <f t="shared" si="692"/>
        <v>28</v>
      </c>
      <c r="I716" s="364">
        <f t="shared" si="692"/>
        <v>0</v>
      </c>
      <c r="J716" s="364">
        <f t="shared" si="692"/>
        <v>28</v>
      </c>
      <c r="K716" s="364">
        <f t="shared" si="692"/>
        <v>11</v>
      </c>
      <c r="L716" s="364">
        <f t="shared" si="692"/>
        <v>0</v>
      </c>
      <c r="M716" s="364">
        <f t="shared" si="692"/>
        <v>11</v>
      </c>
      <c r="N716" s="364">
        <f t="shared" si="692"/>
        <v>0</v>
      </c>
      <c r="O716" s="364">
        <f t="shared" si="692"/>
        <v>0</v>
      </c>
      <c r="P716" s="364">
        <f t="shared" si="692"/>
        <v>0</v>
      </c>
      <c r="Q716" s="364">
        <f t="shared" si="692"/>
        <v>0</v>
      </c>
      <c r="R716" s="364">
        <f t="shared" si="692"/>
        <v>0</v>
      </c>
      <c r="S716" s="364">
        <f>SUM(S714:S715)</f>
        <v>0</v>
      </c>
      <c r="T716" s="353" t="s">
        <v>12</v>
      </c>
      <c r="U716" s="366"/>
      <c r="V716" s="141"/>
    </row>
    <row r="717" spans="2:22" ht="13.5" thickBot="1" x14ac:dyDescent="0.25">
      <c r="B717" s="364">
        <f t="shared" ref="B717:B718" si="693">SUM(C717:D717)</f>
        <v>4</v>
      </c>
      <c r="C717" s="364">
        <f t="shared" ref="C717:D718" si="694">R717+O717+L717+I717+F717</f>
        <v>4</v>
      </c>
      <c r="D717" s="364">
        <f t="shared" si="694"/>
        <v>0</v>
      </c>
      <c r="E717" s="364">
        <f t="shared" si="678"/>
        <v>0</v>
      </c>
      <c r="F717" s="364">
        <v>0</v>
      </c>
      <c r="G717" s="364">
        <v>0</v>
      </c>
      <c r="H717" s="364">
        <f t="shared" si="679"/>
        <v>0</v>
      </c>
      <c r="I717" s="364">
        <v>0</v>
      </c>
      <c r="J717" s="364">
        <v>0</v>
      </c>
      <c r="K717" s="364">
        <f t="shared" si="680"/>
        <v>4</v>
      </c>
      <c r="L717" s="364">
        <v>4</v>
      </c>
      <c r="M717" s="364">
        <v>0</v>
      </c>
      <c r="N717" s="364">
        <f t="shared" si="681"/>
        <v>0</v>
      </c>
      <c r="O717" s="364">
        <v>0</v>
      </c>
      <c r="P717" s="364">
        <v>0</v>
      </c>
      <c r="Q717" s="364">
        <f t="shared" si="682"/>
        <v>0</v>
      </c>
      <c r="R717" s="364">
        <v>0</v>
      </c>
      <c r="S717" s="364">
        <v>0</v>
      </c>
      <c r="T717" s="353" t="s">
        <v>146</v>
      </c>
      <c r="U717" s="365"/>
      <c r="V717" s="141"/>
    </row>
    <row r="718" spans="2:22" ht="13.5" thickBot="1" x14ac:dyDescent="0.25">
      <c r="B718" s="364">
        <f t="shared" si="693"/>
        <v>0</v>
      </c>
      <c r="C718" s="364">
        <f t="shared" si="694"/>
        <v>0</v>
      </c>
      <c r="D718" s="364">
        <f t="shared" si="694"/>
        <v>0</v>
      </c>
      <c r="E718" s="364">
        <f t="shared" si="678"/>
        <v>0</v>
      </c>
      <c r="F718" s="364">
        <v>0</v>
      </c>
      <c r="G718" s="364">
        <v>0</v>
      </c>
      <c r="H718" s="364">
        <f t="shared" si="679"/>
        <v>0</v>
      </c>
      <c r="I718" s="364">
        <v>0</v>
      </c>
      <c r="J718" s="364">
        <v>0</v>
      </c>
      <c r="K718" s="364">
        <f t="shared" si="680"/>
        <v>0</v>
      </c>
      <c r="L718" s="364">
        <v>0</v>
      </c>
      <c r="M718" s="364">
        <v>0</v>
      </c>
      <c r="N718" s="364">
        <f t="shared" si="681"/>
        <v>0</v>
      </c>
      <c r="O718" s="364">
        <v>0</v>
      </c>
      <c r="P718" s="364">
        <v>0</v>
      </c>
      <c r="Q718" s="364">
        <f t="shared" si="682"/>
        <v>0</v>
      </c>
      <c r="R718" s="364">
        <v>0</v>
      </c>
      <c r="S718" s="364">
        <v>0</v>
      </c>
      <c r="T718" s="353" t="s">
        <v>145</v>
      </c>
      <c r="U718" s="365" t="s">
        <v>521</v>
      </c>
      <c r="V718" s="141"/>
    </row>
    <row r="719" spans="2:22" ht="13.5" thickBot="1" x14ac:dyDescent="0.25">
      <c r="B719" s="364">
        <f t="shared" ref="B719:R719" si="695">SUM(B717:B718)</f>
        <v>4</v>
      </c>
      <c r="C719" s="364">
        <f t="shared" si="695"/>
        <v>4</v>
      </c>
      <c r="D719" s="364">
        <f t="shared" si="695"/>
        <v>0</v>
      </c>
      <c r="E719" s="364">
        <f t="shared" si="695"/>
        <v>0</v>
      </c>
      <c r="F719" s="364">
        <f t="shared" si="695"/>
        <v>0</v>
      </c>
      <c r="G719" s="364">
        <f t="shared" si="695"/>
        <v>0</v>
      </c>
      <c r="H719" s="364">
        <f t="shared" si="695"/>
        <v>0</v>
      </c>
      <c r="I719" s="364">
        <f t="shared" si="695"/>
        <v>0</v>
      </c>
      <c r="J719" s="364">
        <f t="shared" si="695"/>
        <v>0</v>
      </c>
      <c r="K719" s="364">
        <f t="shared" si="695"/>
        <v>4</v>
      </c>
      <c r="L719" s="364">
        <f t="shared" si="695"/>
        <v>4</v>
      </c>
      <c r="M719" s="364">
        <f t="shared" si="695"/>
        <v>0</v>
      </c>
      <c r="N719" s="364">
        <f t="shared" si="695"/>
        <v>0</v>
      </c>
      <c r="O719" s="364">
        <f t="shared" si="695"/>
        <v>0</v>
      </c>
      <c r="P719" s="364">
        <f t="shared" si="695"/>
        <v>0</v>
      </c>
      <c r="Q719" s="364">
        <f t="shared" si="695"/>
        <v>0</v>
      </c>
      <c r="R719" s="364">
        <f t="shared" si="695"/>
        <v>0</v>
      </c>
      <c r="S719" s="364">
        <f>SUM(S717:S718)</f>
        <v>0</v>
      </c>
      <c r="T719" s="353" t="s">
        <v>12</v>
      </c>
      <c r="U719" s="366"/>
      <c r="V719" s="141"/>
    </row>
    <row r="720" spans="2:22" ht="13.5" thickBot="1" x14ac:dyDescent="0.25">
      <c r="B720" s="364">
        <f t="shared" ref="B720:B721" si="696">SUM(C720:D720)</f>
        <v>30</v>
      </c>
      <c r="C720" s="364">
        <f t="shared" ref="C720:D721" si="697">R720+O720+L720+I720+F720</f>
        <v>30</v>
      </c>
      <c r="D720" s="364">
        <f t="shared" si="697"/>
        <v>0</v>
      </c>
      <c r="E720" s="364">
        <f t="shared" si="678"/>
        <v>9</v>
      </c>
      <c r="F720" s="364">
        <v>9</v>
      </c>
      <c r="G720" s="364">
        <v>0</v>
      </c>
      <c r="H720" s="364">
        <f t="shared" si="679"/>
        <v>4</v>
      </c>
      <c r="I720" s="364">
        <v>4</v>
      </c>
      <c r="J720" s="364">
        <v>0</v>
      </c>
      <c r="K720" s="364">
        <f t="shared" si="680"/>
        <v>17</v>
      </c>
      <c r="L720" s="364">
        <v>17</v>
      </c>
      <c r="M720" s="364">
        <v>0</v>
      </c>
      <c r="N720" s="364">
        <f t="shared" si="681"/>
        <v>0</v>
      </c>
      <c r="O720" s="364">
        <v>0</v>
      </c>
      <c r="P720" s="364">
        <v>0</v>
      </c>
      <c r="Q720" s="364">
        <f t="shared" si="682"/>
        <v>0</v>
      </c>
      <c r="R720" s="364">
        <v>0</v>
      </c>
      <c r="S720" s="364">
        <v>0</v>
      </c>
      <c r="T720" s="353" t="s">
        <v>146</v>
      </c>
      <c r="U720" s="365"/>
      <c r="V720" s="141"/>
    </row>
    <row r="721" spans="2:22" ht="13.5" thickBot="1" x14ac:dyDescent="0.25">
      <c r="B721" s="364">
        <f t="shared" si="696"/>
        <v>0</v>
      </c>
      <c r="C721" s="364">
        <f t="shared" si="697"/>
        <v>0</v>
      </c>
      <c r="D721" s="364">
        <f t="shared" si="697"/>
        <v>0</v>
      </c>
      <c r="E721" s="364">
        <f t="shared" si="678"/>
        <v>0</v>
      </c>
      <c r="F721" s="364">
        <v>0</v>
      </c>
      <c r="G721" s="364">
        <v>0</v>
      </c>
      <c r="H721" s="364">
        <f t="shared" si="679"/>
        <v>0</v>
      </c>
      <c r="I721" s="364">
        <v>0</v>
      </c>
      <c r="J721" s="364">
        <v>0</v>
      </c>
      <c r="K721" s="364">
        <f t="shared" si="680"/>
        <v>0</v>
      </c>
      <c r="L721" s="364">
        <v>0</v>
      </c>
      <c r="M721" s="364">
        <v>0</v>
      </c>
      <c r="N721" s="364">
        <f t="shared" si="681"/>
        <v>0</v>
      </c>
      <c r="O721" s="364">
        <v>0</v>
      </c>
      <c r="P721" s="364">
        <v>0</v>
      </c>
      <c r="Q721" s="364">
        <f t="shared" si="682"/>
        <v>0</v>
      </c>
      <c r="R721" s="364">
        <v>0</v>
      </c>
      <c r="S721" s="364">
        <v>0</v>
      </c>
      <c r="T721" s="353" t="s">
        <v>145</v>
      </c>
      <c r="U721" s="365" t="s">
        <v>523</v>
      </c>
      <c r="V721" s="141"/>
    </row>
    <row r="722" spans="2:22" ht="13.5" thickBot="1" x14ac:dyDescent="0.25">
      <c r="B722" s="364">
        <f t="shared" ref="B722:R722" si="698">SUM(B720:B721)</f>
        <v>30</v>
      </c>
      <c r="C722" s="364">
        <f t="shared" si="698"/>
        <v>30</v>
      </c>
      <c r="D722" s="364">
        <f t="shared" si="698"/>
        <v>0</v>
      </c>
      <c r="E722" s="364">
        <f t="shared" si="698"/>
        <v>9</v>
      </c>
      <c r="F722" s="364">
        <f t="shared" si="698"/>
        <v>9</v>
      </c>
      <c r="G722" s="364">
        <f t="shared" si="698"/>
        <v>0</v>
      </c>
      <c r="H722" s="364">
        <f t="shared" si="698"/>
        <v>4</v>
      </c>
      <c r="I722" s="364">
        <f t="shared" si="698"/>
        <v>4</v>
      </c>
      <c r="J722" s="364">
        <f t="shared" si="698"/>
        <v>0</v>
      </c>
      <c r="K722" s="364">
        <f t="shared" si="698"/>
        <v>17</v>
      </c>
      <c r="L722" s="364">
        <f t="shared" si="698"/>
        <v>17</v>
      </c>
      <c r="M722" s="364">
        <f t="shared" si="698"/>
        <v>0</v>
      </c>
      <c r="N722" s="364">
        <f t="shared" si="698"/>
        <v>0</v>
      </c>
      <c r="O722" s="364">
        <f t="shared" si="698"/>
        <v>0</v>
      </c>
      <c r="P722" s="364">
        <f t="shared" si="698"/>
        <v>0</v>
      </c>
      <c r="Q722" s="364">
        <f t="shared" si="698"/>
        <v>0</v>
      </c>
      <c r="R722" s="364">
        <f t="shared" si="698"/>
        <v>0</v>
      </c>
      <c r="S722" s="364">
        <f>SUM(S720:S721)</f>
        <v>0</v>
      </c>
      <c r="T722" s="353" t="s">
        <v>12</v>
      </c>
      <c r="U722" s="366"/>
      <c r="V722" s="141"/>
    </row>
    <row r="723" spans="2:22" ht="13.5" thickBot="1" x14ac:dyDescent="0.25">
      <c r="B723" s="364">
        <f t="shared" ref="B723:B724" si="699">SUM(C723:D723)</f>
        <v>23</v>
      </c>
      <c r="C723" s="364">
        <f t="shared" ref="C723:D724" si="700">R723+O723+L723+I723+F723</f>
        <v>17</v>
      </c>
      <c r="D723" s="364">
        <f t="shared" si="700"/>
        <v>6</v>
      </c>
      <c r="E723" s="364">
        <f t="shared" si="678"/>
        <v>0</v>
      </c>
      <c r="F723" s="364">
        <v>0</v>
      </c>
      <c r="G723" s="364">
        <v>0</v>
      </c>
      <c r="H723" s="364">
        <f t="shared" si="679"/>
        <v>6</v>
      </c>
      <c r="I723" s="364">
        <v>0</v>
      </c>
      <c r="J723" s="364">
        <v>6</v>
      </c>
      <c r="K723" s="364">
        <f t="shared" si="680"/>
        <v>17</v>
      </c>
      <c r="L723" s="364">
        <v>17</v>
      </c>
      <c r="M723" s="364">
        <v>0</v>
      </c>
      <c r="N723" s="364">
        <f t="shared" si="681"/>
        <v>0</v>
      </c>
      <c r="O723" s="364">
        <v>0</v>
      </c>
      <c r="P723" s="364">
        <v>0</v>
      </c>
      <c r="Q723" s="364">
        <f t="shared" si="682"/>
        <v>0</v>
      </c>
      <c r="R723" s="364">
        <v>0</v>
      </c>
      <c r="S723" s="364">
        <v>0</v>
      </c>
      <c r="T723" s="353" t="s">
        <v>146</v>
      </c>
      <c r="U723" s="365"/>
      <c r="V723" s="141"/>
    </row>
    <row r="724" spans="2:22" ht="13.5" thickBot="1" x14ac:dyDescent="0.25">
      <c r="B724" s="364">
        <f t="shared" si="699"/>
        <v>0</v>
      </c>
      <c r="C724" s="364">
        <f t="shared" si="700"/>
        <v>0</v>
      </c>
      <c r="D724" s="364">
        <f t="shared" si="700"/>
        <v>0</v>
      </c>
      <c r="E724" s="364">
        <f t="shared" si="678"/>
        <v>0</v>
      </c>
      <c r="F724" s="364">
        <v>0</v>
      </c>
      <c r="G724" s="364">
        <v>0</v>
      </c>
      <c r="H724" s="364">
        <f t="shared" si="679"/>
        <v>0</v>
      </c>
      <c r="I724" s="364">
        <v>0</v>
      </c>
      <c r="J724" s="364">
        <v>0</v>
      </c>
      <c r="K724" s="364">
        <f t="shared" si="680"/>
        <v>0</v>
      </c>
      <c r="L724" s="364">
        <v>0</v>
      </c>
      <c r="M724" s="364">
        <v>0</v>
      </c>
      <c r="N724" s="364">
        <f t="shared" si="681"/>
        <v>0</v>
      </c>
      <c r="O724" s="364">
        <v>0</v>
      </c>
      <c r="P724" s="364">
        <v>0</v>
      </c>
      <c r="Q724" s="364">
        <f t="shared" si="682"/>
        <v>0</v>
      </c>
      <c r="R724" s="364">
        <v>0</v>
      </c>
      <c r="S724" s="364">
        <v>0</v>
      </c>
      <c r="T724" s="353" t="s">
        <v>145</v>
      </c>
      <c r="U724" s="371" t="s">
        <v>668</v>
      </c>
      <c r="V724" s="141"/>
    </row>
    <row r="725" spans="2:22" ht="13.5" thickBot="1" x14ac:dyDescent="0.25">
      <c r="B725" s="364">
        <f t="shared" ref="B725:R725" si="701">SUM(B723:B724)</f>
        <v>23</v>
      </c>
      <c r="C725" s="364">
        <f t="shared" si="701"/>
        <v>17</v>
      </c>
      <c r="D725" s="364">
        <f t="shared" si="701"/>
        <v>6</v>
      </c>
      <c r="E725" s="364">
        <f t="shared" si="701"/>
        <v>0</v>
      </c>
      <c r="F725" s="364">
        <f t="shared" si="701"/>
        <v>0</v>
      </c>
      <c r="G725" s="364">
        <f t="shared" si="701"/>
        <v>0</v>
      </c>
      <c r="H725" s="364">
        <f t="shared" si="701"/>
        <v>6</v>
      </c>
      <c r="I725" s="364">
        <f t="shared" si="701"/>
        <v>0</v>
      </c>
      <c r="J725" s="364">
        <f t="shared" si="701"/>
        <v>6</v>
      </c>
      <c r="K725" s="364">
        <f t="shared" si="701"/>
        <v>17</v>
      </c>
      <c r="L725" s="364">
        <f t="shared" si="701"/>
        <v>17</v>
      </c>
      <c r="M725" s="364">
        <f t="shared" si="701"/>
        <v>0</v>
      </c>
      <c r="N725" s="364">
        <f t="shared" si="701"/>
        <v>0</v>
      </c>
      <c r="O725" s="364">
        <f t="shared" si="701"/>
        <v>0</v>
      </c>
      <c r="P725" s="364">
        <f t="shared" si="701"/>
        <v>0</v>
      </c>
      <c r="Q725" s="364">
        <f t="shared" si="701"/>
        <v>0</v>
      </c>
      <c r="R725" s="364">
        <f t="shared" si="701"/>
        <v>0</v>
      </c>
      <c r="S725" s="364">
        <f>SUM(S723:S724)</f>
        <v>0</v>
      </c>
      <c r="T725" s="353" t="s">
        <v>12</v>
      </c>
      <c r="U725" s="366"/>
      <c r="V725" s="141"/>
    </row>
    <row r="726" spans="2:22" ht="13.5" thickBot="1" x14ac:dyDescent="0.25">
      <c r="B726" s="364">
        <f t="shared" ref="B726:R728" si="702">B705+B708+B711+B714+B717+B720+B723</f>
        <v>295</v>
      </c>
      <c r="C726" s="364">
        <f t="shared" si="702"/>
        <v>69</v>
      </c>
      <c r="D726" s="364">
        <f t="shared" si="702"/>
        <v>226</v>
      </c>
      <c r="E726" s="364">
        <f t="shared" si="702"/>
        <v>48</v>
      </c>
      <c r="F726" s="364">
        <f t="shared" si="702"/>
        <v>9</v>
      </c>
      <c r="G726" s="364">
        <f t="shared" si="702"/>
        <v>39</v>
      </c>
      <c r="H726" s="364">
        <f t="shared" si="702"/>
        <v>123</v>
      </c>
      <c r="I726" s="364">
        <f t="shared" si="702"/>
        <v>13</v>
      </c>
      <c r="J726" s="364">
        <f t="shared" si="702"/>
        <v>110</v>
      </c>
      <c r="K726" s="364">
        <f t="shared" si="702"/>
        <v>118</v>
      </c>
      <c r="L726" s="364">
        <f t="shared" si="702"/>
        <v>47</v>
      </c>
      <c r="M726" s="364">
        <f t="shared" si="702"/>
        <v>71</v>
      </c>
      <c r="N726" s="364">
        <f t="shared" si="702"/>
        <v>6</v>
      </c>
      <c r="O726" s="364">
        <f t="shared" si="702"/>
        <v>0</v>
      </c>
      <c r="P726" s="364">
        <f t="shared" si="702"/>
        <v>6</v>
      </c>
      <c r="Q726" s="364">
        <f t="shared" si="702"/>
        <v>0</v>
      </c>
      <c r="R726" s="364">
        <f t="shared" si="702"/>
        <v>0</v>
      </c>
      <c r="S726" s="364">
        <f>S705+S708+S711+S714+S717+S720+S723</f>
        <v>0</v>
      </c>
      <c r="T726" s="353" t="s">
        <v>146</v>
      </c>
      <c r="U726" s="367"/>
      <c r="V726" s="141"/>
    </row>
    <row r="727" spans="2:22" ht="13.5" thickBot="1" x14ac:dyDescent="0.25">
      <c r="B727" s="364">
        <f t="shared" si="702"/>
        <v>0</v>
      </c>
      <c r="C727" s="364">
        <f t="shared" si="702"/>
        <v>0</v>
      </c>
      <c r="D727" s="364">
        <f t="shared" si="702"/>
        <v>0</v>
      </c>
      <c r="E727" s="364">
        <f t="shared" si="702"/>
        <v>0</v>
      </c>
      <c r="F727" s="364">
        <f t="shared" si="702"/>
        <v>0</v>
      </c>
      <c r="G727" s="364">
        <f t="shared" si="702"/>
        <v>0</v>
      </c>
      <c r="H727" s="364">
        <f t="shared" si="702"/>
        <v>0</v>
      </c>
      <c r="I727" s="364">
        <f t="shared" si="702"/>
        <v>0</v>
      </c>
      <c r="J727" s="364">
        <f t="shared" si="702"/>
        <v>0</v>
      </c>
      <c r="K727" s="364">
        <f t="shared" si="702"/>
        <v>0</v>
      </c>
      <c r="L727" s="364">
        <f t="shared" si="702"/>
        <v>0</v>
      </c>
      <c r="M727" s="364">
        <f t="shared" si="702"/>
        <v>0</v>
      </c>
      <c r="N727" s="364">
        <f t="shared" si="702"/>
        <v>0</v>
      </c>
      <c r="O727" s="364">
        <f t="shared" si="702"/>
        <v>0</v>
      </c>
      <c r="P727" s="364">
        <f t="shared" si="702"/>
        <v>0</v>
      </c>
      <c r="Q727" s="364">
        <f t="shared" si="702"/>
        <v>0</v>
      </c>
      <c r="R727" s="364">
        <f t="shared" si="702"/>
        <v>0</v>
      </c>
      <c r="S727" s="364">
        <f t="shared" ref="S727:S728" si="703">S706+S709+S712+S715+S718+S721+S724</f>
        <v>0</v>
      </c>
      <c r="T727" s="353" t="s">
        <v>145</v>
      </c>
      <c r="U727" s="368" t="s">
        <v>188</v>
      </c>
      <c r="V727" s="141"/>
    </row>
    <row r="728" spans="2:22" ht="13.5" thickBot="1" x14ac:dyDescent="0.25">
      <c r="B728" s="364">
        <f t="shared" si="702"/>
        <v>295</v>
      </c>
      <c r="C728" s="364">
        <f t="shared" si="702"/>
        <v>69</v>
      </c>
      <c r="D728" s="364">
        <f t="shared" si="702"/>
        <v>226</v>
      </c>
      <c r="E728" s="364">
        <f t="shared" si="702"/>
        <v>48</v>
      </c>
      <c r="F728" s="364">
        <f t="shared" si="702"/>
        <v>9</v>
      </c>
      <c r="G728" s="364">
        <f t="shared" si="702"/>
        <v>39</v>
      </c>
      <c r="H728" s="364">
        <f t="shared" si="702"/>
        <v>123</v>
      </c>
      <c r="I728" s="364">
        <f t="shared" si="702"/>
        <v>13</v>
      </c>
      <c r="J728" s="364">
        <f t="shared" si="702"/>
        <v>110</v>
      </c>
      <c r="K728" s="364">
        <f t="shared" si="702"/>
        <v>118</v>
      </c>
      <c r="L728" s="364">
        <f t="shared" si="702"/>
        <v>47</v>
      </c>
      <c r="M728" s="364">
        <f t="shared" si="702"/>
        <v>71</v>
      </c>
      <c r="N728" s="364">
        <f t="shared" si="702"/>
        <v>6</v>
      </c>
      <c r="O728" s="364">
        <f t="shared" si="702"/>
        <v>0</v>
      </c>
      <c r="P728" s="364">
        <f t="shared" si="702"/>
        <v>6</v>
      </c>
      <c r="Q728" s="364">
        <f t="shared" si="702"/>
        <v>0</v>
      </c>
      <c r="R728" s="364">
        <f t="shared" si="702"/>
        <v>0</v>
      </c>
      <c r="S728" s="364">
        <f t="shared" si="703"/>
        <v>0</v>
      </c>
      <c r="T728" s="353" t="s">
        <v>12</v>
      </c>
      <c r="U728" s="363"/>
      <c r="V728" s="141"/>
    </row>
    <row r="729" spans="2:22" ht="18" customHeight="1" thickBot="1" x14ac:dyDescent="0.25">
      <c r="B729" s="610"/>
      <c r="C729" s="610"/>
      <c r="D729" s="610"/>
      <c r="E729" s="610"/>
      <c r="F729" s="610"/>
      <c r="G729" s="610"/>
      <c r="H729" s="610"/>
      <c r="I729" s="610"/>
      <c r="J729" s="610"/>
      <c r="K729" s="610"/>
      <c r="L729" s="610"/>
      <c r="M729" s="610"/>
      <c r="N729" s="610"/>
      <c r="O729" s="610"/>
      <c r="P729" s="610"/>
      <c r="Q729" s="610"/>
      <c r="R729" s="610"/>
      <c r="S729" s="610"/>
      <c r="T729" s="610"/>
      <c r="U729" s="610"/>
      <c r="V729" s="141"/>
    </row>
    <row r="730" spans="2:22" ht="13.5" customHeight="1" thickBot="1" x14ac:dyDescent="0.25">
      <c r="B730" s="607" t="s">
        <v>4</v>
      </c>
      <c r="C730" s="607"/>
      <c r="D730" s="607"/>
      <c r="E730" s="607" t="s">
        <v>53</v>
      </c>
      <c r="F730" s="607"/>
      <c r="G730" s="607"/>
      <c r="H730" s="607" t="s">
        <v>61</v>
      </c>
      <c r="I730" s="607"/>
      <c r="J730" s="607"/>
      <c r="K730" s="607" t="s">
        <v>60</v>
      </c>
      <c r="L730" s="607"/>
      <c r="M730" s="607"/>
      <c r="N730" s="607" t="s">
        <v>57</v>
      </c>
      <c r="O730" s="607"/>
      <c r="P730" s="607"/>
      <c r="Q730" s="607" t="s">
        <v>56</v>
      </c>
      <c r="R730" s="607"/>
      <c r="S730" s="607"/>
      <c r="T730" s="608" t="s">
        <v>741</v>
      </c>
      <c r="U730" s="347" t="s">
        <v>144</v>
      </c>
      <c r="V730" s="141"/>
    </row>
    <row r="731" spans="2:22" ht="13.5" thickBot="1" x14ac:dyDescent="0.25">
      <c r="B731" s="347" t="s">
        <v>227</v>
      </c>
      <c r="C731" s="347" t="s">
        <v>10</v>
      </c>
      <c r="D731" s="347" t="s">
        <v>9</v>
      </c>
      <c r="E731" s="347" t="s">
        <v>227</v>
      </c>
      <c r="F731" s="347" t="s">
        <v>10</v>
      </c>
      <c r="G731" s="347" t="s">
        <v>9</v>
      </c>
      <c r="H731" s="347" t="s">
        <v>227</v>
      </c>
      <c r="I731" s="347" t="s">
        <v>10</v>
      </c>
      <c r="J731" s="347" t="s">
        <v>9</v>
      </c>
      <c r="K731" s="347" t="s">
        <v>227</v>
      </c>
      <c r="L731" s="347" t="s">
        <v>10</v>
      </c>
      <c r="M731" s="347" t="s">
        <v>9</v>
      </c>
      <c r="N731" s="347" t="s">
        <v>227</v>
      </c>
      <c r="O731" s="347" t="s">
        <v>10</v>
      </c>
      <c r="P731" s="347" t="s">
        <v>9</v>
      </c>
      <c r="Q731" s="347" t="s">
        <v>227</v>
      </c>
      <c r="R731" s="347" t="s">
        <v>10</v>
      </c>
      <c r="S731" s="347" t="s">
        <v>9</v>
      </c>
      <c r="T731" s="609"/>
      <c r="U731" s="363" t="s">
        <v>119</v>
      </c>
      <c r="V731" s="141"/>
    </row>
    <row r="732" spans="2:22" ht="13.5" thickBot="1" x14ac:dyDescent="0.25">
      <c r="B732" s="364">
        <f>SUM(C732:D732)</f>
        <v>11</v>
      </c>
      <c r="C732" s="364">
        <f>R732+O732+L732+I732+F732</f>
        <v>11</v>
      </c>
      <c r="D732" s="364">
        <f>S732+P732+M732+J732+G732</f>
        <v>0</v>
      </c>
      <c r="E732" s="364">
        <f>SUM(F732:G732)</f>
        <v>5</v>
      </c>
      <c r="F732" s="364">
        <v>5</v>
      </c>
      <c r="G732" s="364">
        <v>0</v>
      </c>
      <c r="H732" s="364">
        <f>SUM(I732:J732)</f>
        <v>4</v>
      </c>
      <c r="I732" s="364">
        <v>4</v>
      </c>
      <c r="J732" s="364">
        <v>0</v>
      </c>
      <c r="K732" s="364">
        <f>SUM(L732:M732)</f>
        <v>2</v>
      </c>
      <c r="L732" s="364">
        <v>2</v>
      </c>
      <c r="M732" s="364">
        <v>0</v>
      </c>
      <c r="N732" s="364">
        <f>SUM(O732:P732)</f>
        <v>0</v>
      </c>
      <c r="O732" s="364">
        <v>0</v>
      </c>
      <c r="P732" s="364">
        <v>0</v>
      </c>
      <c r="Q732" s="364">
        <f>SUM(R732:S732)</f>
        <v>0</v>
      </c>
      <c r="R732" s="364">
        <v>0</v>
      </c>
      <c r="S732" s="364">
        <v>0</v>
      </c>
      <c r="T732" s="353" t="s">
        <v>146</v>
      </c>
      <c r="U732" s="365"/>
      <c r="V732" s="141"/>
    </row>
    <row r="733" spans="2:22" ht="13.5" thickBot="1" x14ac:dyDescent="0.25">
      <c r="B733" s="364">
        <f t="shared" ref="B733" si="704">SUM(C733:D733)</f>
        <v>0</v>
      </c>
      <c r="C733" s="364">
        <f t="shared" ref="C733:D748" si="705">R733+O733+L733+I733+F733</f>
        <v>0</v>
      </c>
      <c r="D733" s="364">
        <f t="shared" si="705"/>
        <v>0</v>
      </c>
      <c r="E733" s="364">
        <f t="shared" ref="E733:E754" si="706">SUM(F733:G733)</f>
        <v>0</v>
      </c>
      <c r="F733" s="364">
        <v>0</v>
      </c>
      <c r="G733" s="364">
        <v>0</v>
      </c>
      <c r="H733" s="364">
        <f t="shared" ref="H733:H754" si="707">SUM(I733:J733)</f>
        <v>0</v>
      </c>
      <c r="I733" s="364">
        <v>0</v>
      </c>
      <c r="J733" s="364">
        <v>0</v>
      </c>
      <c r="K733" s="364">
        <f t="shared" ref="K733:K754" si="708">SUM(L733:M733)</f>
        <v>0</v>
      </c>
      <c r="L733" s="364">
        <v>0</v>
      </c>
      <c r="M733" s="364">
        <v>0</v>
      </c>
      <c r="N733" s="364">
        <f t="shared" ref="N733:N754" si="709">SUM(O733:P733)</f>
        <v>0</v>
      </c>
      <c r="O733" s="364">
        <v>0</v>
      </c>
      <c r="P733" s="364">
        <v>0</v>
      </c>
      <c r="Q733" s="364">
        <f t="shared" ref="Q733:Q754" si="710">SUM(R733:S733)</f>
        <v>0</v>
      </c>
      <c r="R733" s="364">
        <v>0</v>
      </c>
      <c r="S733" s="364">
        <v>0</v>
      </c>
      <c r="T733" s="353" t="s">
        <v>145</v>
      </c>
      <c r="U733" s="371" t="s">
        <v>525</v>
      </c>
      <c r="V733" s="141"/>
    </row>
    <row r="734" spans="2:22" ht="13.5" thickBot="1" x14ac:dyDescent="0.25">
      <c r="B734" s="364">
        <f t="shared" ref="B734:R734" si="711">SUM(B732:B733)</f>
        <v>11</v>
      </c>
      <c r="C734" s="364">
        <f t="shared" si="711"/>
        <v>11</v>
      </c>
      <c r="D734" s="364">
        <f t="shared" si="711"/>
        <v>0</v>
      </c>
      <c r="E734" s="364">
        <f t="shared" si="711"/>
        <v>5</v>
      </c>
      <c r="F734" s="364">
        <f t="shared" si="711"/>
        <v>5</v>
      </c>
      <c r="G734" s="364">
        <f t="shared" si="711"/>
        <v>0</v>
      </c>
      <c r="H734" s="364">
        <f t="shared" si="711"/>
        <v>4</v>
      </c>
      <c r="I734" s="364">
        <f t="shared" si="711"/>
        <v>4</v>
      </c>
      <c r="J734" s="364">
        <f t="shared" si="711"/>
        <v>0</v>
      </c>
      <c r="K734" s="364">
        <f t="shared" si="711"/>
        <v>2</v>
      </c>
      <c r="L734" s="364">
        <f t="shared" si="711"/>
        <v>2</v>
      </c>
      <c r="M734" s="364">
        <f t="shared" si="711"/>
        <v>0</v>
      </c>
      <c r="N734" s="364">
        <f t="shared" si="711"/>
        <v>0</v>
      </c>
      <c r="O734" s="364">
        <f t="shared" si="711"/>
        <v>0</v>
      </c>
      <c r="P734" s="364">
        <f t="shared" si="711"/>
        <v>0</v>
      </c>
      <c r="Q734" s="364">
        <f t="shared" si="711"/>
        <v>0</v>
      </c>
      <c r="R734" s="364">
        <f t="shared" si="711"/>
        <v>0</v>
      </c>
      <c r="S734" s="364">
        <f>SUM(S732:S733)</f>
        <v>0</v>
      </c>
      <c r="T734" s="353" t="s">
        <v>12</v>
      </c>
      <c r="U734" s="366"/>
      <c r="V734" s="141"/>
    </row>
    <row r="735" spans="2:22" ht="13.5" thickBot="1" x14ac:dyDescent="0.25">
      <c r="B735" s="364">
        <f t="shared" ref="B735:B736" si="712">SUM(C735:D735)</f>
        <v>3</v>
      </c>
      <c r="C735" s="364">
        <f t="shared" si="705"/>
        <v>3</v>
      </c>
      <c r="D735" s="364">
        <f t="shared" si="705"/>
        <v>0</v>
      </c>
      <c r="E735" s="364">
        <f t="shared" si="706"/>
        <v>1</v>
      </c>
      <c r="F735" s="364">
        <v>1</v>
      </c>
      <c r="G735" s="364">
        <v>0</v>
      </c>
      <c r="H735" s="364">
        <f t="shared" si="707"/>
        <v>1</v>
      </c>
      <c r="I735" s="364">
        <v>1</v>
      </c>
      <c r="J735" s="364">
        <v>0</v>
      </c>
      <c r="K735" s="364">
        <f t="shared" si="708"/>
        <v>1</v>
      </c>
      <c r="L735" s="364">
        <v>1</v>
      </c>
      <c r="M735" s="364">
        <v>0</v>
      </c>
      <c r="N735" s="364">
        <f t="shared" si="709"/>
        <v>0</v>
      </c>
      <c r="O735" s="364">
        <v>0</v>
      </c>
      <c r="P735" s="364">
        <v>0</v>
      </c>
      <c r="Q735" s="364">
        <f t="shared" si="710"/>
        <v>0</v>
      </c>
      <c r="R735" s="364">
        <v>0</v>
      </c>
      <c r="S735" s="364">
        <v>0</v>
      </c>
      <c r="T735" s="353" t="s">
        <v>146</v>
      </c>
      <c r="U735" s="365"/>
      <c r="V735" s="141"/>
    </row>
    <row r="736" spans="2:22" ht="13.5" thickBot="1" x14ac:dyDescent="0.25">
      <c r="B736" s="364">
        <f t="shared" si="712"/>
        <v>0</v>
      </c>
      <c r="C736" s="364">
        <f t="shared" si="705"/>
        <v>0</v>
      </c>
      <c r="D736" s="364">
        <f t="shared" si="705"/>
        <v>0</v>
      </c>
      <c r="E736" s="364">
        <f t="shared" si="706"/>
        <v>0</v>
      </c>
      <c r="F736" s="364">
        <v>0</v>
      </c>
      <c r="G736" s="364">
        <v>0</v>
      </c>
      <c r="H736" s="364">
        <f t="shared" si="707"/>
        <v>0</v>
      </c>
      <c r="I736" s="364">
        <v>0</v>
      </c>
      <c r="J736" s="364">
        <v>0</v>
      </c>
      <c r="K736" s="364">
        <f t="shared" si="708"/>
        <v>0</v>
      </c>
      <c r="L736" s="364">
        <v>0</v>
      </c>
      <c r="M736" s="364">
        <v>0</v>
      </c>
      <c r="N736" s="364">
        <f t="shared" si="709"/>
        <v>0</v>
      </c>
      <c r="O736" s="364">
        <v>0</v>
      </c>
      <c r="P736" s="364">
        <v>0</v>
      </c>
      <c r="Q736" s="364">
        <f t="shared" si="710"/>
        <v>0</v>
      </c>
      <c r="R736" s="364">
        <v>0</v>
      </c>
      <c r="S736" s="364">
        <v>0</v>
      </c>
      <c r="T736" s="353" t="s">
        <v>145</v>
      </c>
      <c r="U736" s="365" t="s">
        <v>526</v>
      </c>
      <c r="V736" s="141"/>
    </row>
    <row r="737" spans="2:22" ht="13.5" thickBot="1" x14ac:dyDescent="0.25">
      <c r="B737" s="364">
        <f t="shared" ref="B737:D737" si="713">SUM(B735:B736)</f>
        <v>3</v>
      </c>
      <c r="C737" s="364">
        <f t="shared" si="713"/>
        <v>3</v>
      </c>
      <c r="D737" s="364">
        <f t="shared" si="713"/>
        <v>0</v>
      </c>
      <c r="E737" s="364">
        <f t="shared" si="706"/>
        <v>1</v>
      </c>
      <c r="F737" s="364">
        <f t="shared" ref="F737:G737" si="714">SUM(F735:F736)</f>
        <v>1</v>
      </c>
      <c r="G737" s="364">
        <f t="shared" si="714"/>
        <v>0</v>
      </c>
      <c r="H737" s="364">
        <f t="shared" si="707"/>
        <v>1</v>
      </c>
      <c r="I737" s="364">
        <f t="shared" ref="I737:J737" si="715">SUM(I735:I736)</f>
        <v>1</v>
      </c>
      <c r="J737" s="364">
        <f t="shared" si="715"/>
        <v>0</v>
      </c>
      <c r="K737" s="364">
        <f t="shared" si="708"/>
        <v>1</v>
      </c>
      <c r="L737" s="364">
        <f t="shared" ref="L737:M737" si="716">SUM(L735:L736)</f>
        <v>1</v>
      </c>
      <c r="M737" s="364">
        <f t="shared" si="716"/>
        <v>0</v>
      </c>
      <c r="N737" s="364">
        <f t="shared" si="709"/>
        <v>0</v>
      </c>
      <c r="O737" s="364">
        <f t="shared" ref="O737:P737" si="717">SUM(O735:O736)</f>
        <v>0</v>
      </c>
      <c r="P737" s="364">
        <f t="shared" si="717"/>
        <v>0</v>
      </c>
      <c r="Q737" s="364">
        <f t="shared" si="710"/>
        <v>0</v>
      </c>
      <c r="R737" s="364">
        <f t="shared" ref="R737" si="718">SUM(R735:R736)</f>
        <v>0</v>
      </c>
      <c r="S737" s="364">
        <f>SUM(S735:S736)</f>
        <v>0</v>
      </c>
      <c r="T737" s="353" t="s">
        <v>12</v>
      </c>
      <c r="U737" s="366"/>
      <c r="V737" s="141"/>
    </row>
    <row r="738" spans="2:22" ht="13.5" thickBot="1" x14ac:dyDescent="0.25">
      <c r="B738" s="364">
        <f t="shared" ref="B738:B739" si="719">SUM(C738:D738)</f>
        <v>12</v>
      </c>
      <c r="C738" s="364">
        <f t="shared" si="705"/>
        <v>12</v>
      </c>
      <c r="D738" s="364">
        <f t="shared" si="705"/>
        <v>0</v>
      </c>
      <c r="E738" s="364">
        <f t="shared" si="706"/>
        <v>3</v>
      </c>
      <c r="F738" s="364">
        <v>3</v>
      </c>
      <c r="G738" s="364">
        <v>0</v>
      </c>
      <c r="H738" s="364">
        <f t="shared" si="707"/>
        <v>5</v>
      </c>
      <c r="I738" s="364">
        <v>5</v>
      </c>
      <c r="J738" s="364">
        <v>0</v>
      </c>
      <c r="K738" s="364">
        <f t="shared" si="708"/>
        <v>4</v>
      </c>
      <c r="L738" s="364">
        <v>4</v>
      </c>
      <c r="M738" s="364">
        <v>0</v>
      </c>
      <c r="N738" s="364">
        <f t="shared" si="709"/>
        <v>0</v>
      </c>
      <c r="O738" s="364">
        <v>0</v>
      </c>
      <c r="P738" s="364">
        <v>0</v>
      </c>
      <c r="Q738" s="364">
        <f t="shared" si="710"/>
        <v>0</v>
      </c>
      <c r="R738" s="364">
        <v>0</v>
      </c>
      <c r="S738" s="364">
        <v>0</v>
      </c>
      <c r="T738" s="353" t="s">
        <v>146</v>
      </c>
      <c r="U738" s="365"/>
      <c r="V738" s="141"/>
    </row>
    <row r="739" spans="2:22" ht="13.5" thickBot="1" x14ac:dyDescent="0.25">
      <c r="B739" s="364">
        <f t="shared" si="719"/>
        <v>0</v>
      </c>
      <c r="C739" s="364">
        <f t="shared" si="705"/>
        <v>0</v>
      </c>
      <c r="D739" s="364">
        <f t="shared" si="705"/>
        <v>0</v>
      </c>
      <c r="E739" s="364">
        <f t="shared" si="706"/>
        <v>0</v>
      </c>
      <c r="F739" s="364">
        <v>0</v>
      </c>
      <c r="G739" s="364">
        <v>0</v>
      </c>
      <c r="H739" s="364">
        <f t="shared" si="707"/>
        <v>0</v>
      </c>
      <c r="I739" s="364">
        <v>0</v>
      </c>
      <c r="J739" s="364">
        <v>0</v>
      </c>
      <c r="K739" s="364">
        <f t="shared" si="708"/>
        <v>0</v>
      </c>
      <c r="L739" s="364">
        <v>0</v>
      </c>
      <c r="M739" s="364">
        <v>0</v>
      </c>
      <c r="N739" s="364">
        <f t="shared" si="709"/>
        <v>0</v>
      </c>
      <c r="O739" s="364">
        <v>0</v>
      </c>
      <c r="P739" s="364">
        <v>0</v>
      </c>
      <c r="Q739" s="364">
        <f t="shared" si="710"/>
        <v>0</v>
      </c>
      <c r="R739" s="364">
        <v>0</v>
      </c>
      <c r="S739" s="364">
        <v>0</v>
      </c>
      <c r="T739" s="353" t="s">
        <v>145</v>
      </c>
      <c r="U739" s="371" t="s">
        <v>208</v>
      </c>
      <c r="V739" s="141"/>
    </row>
    <row r="740" spans="2:22" ht="13.5" thickBot="1" x14ac:dyDescent="0.25">
      <c r="B740" s="364">
        <f t="shared" ref="B740:R740" si="720">SUM(B738:B739)</f>
        <v>12</v>
      </c>
      <c r="C740" s="364">
        <f t="shared" si="720"/>
        <v>12</v>
      </c>
      <c r="D740" s="364">
        <f t="shared" si="720"/>
        <v>0</v>
      </c>
      <c r="E740" s="364">
        <f t="shared" si="720"/>
        <v>3</v>
      </c>
      <c r="F740" s="364">
        <f t="shared" si="720"/>
        <v>3</v>
      </c>
      <c r="G740" s="364">
        <f t="shared" si="720"/>
        <v>0</v>
      </c>
      <c r="H740" s="364">
        <f t="shared" si="720"/>
        <v>5</v>
      </c>
      <c r="I740" s="364">
        <f t="shared" si="720"/>
        <v>5</v>
      </c>
      <c r="J740" s="364">
        <f t="shared" si="720"/>
        <v>0</v>
      </c>
      <c r="K740" s="364">
        <f t="shared" si="720"/>
        <v>4</v>
      </c>
      <c r="L740" s="364">
        <f t="shared" si="720"/>
        <v>4</v>
      </c>
      <c r="M740" s="364">
        <f t="shared" si="720"/>
        <v>0</v>
      </c>
      <c r="N740" s="364">
        <f t="shared" si="720"/>
        <v>0</v>
      </c>
      <c r="O740" s="364">
        <f t="shared" si="720"/>
        <v>0</v>
      </c>
      <c r="P740" s="364">
        <f t="shared" si="720"/>
        <v>0</v>
      </c>
      <c r="Q740" s="364">
        <f t="shared" si="720"/>
        <v>0</v>
      </c>
      <c r="R740" s="364">
        <f t="shared" si="720"/>
        <v>0</v>
      </c>
      <c r="S740" s="364">
        <f>SUM(S738:S739)</f>
        <v>0</v>
      </c>
      <c r="T740" s="353" t="s">
        <v>12</v>
      </c>
      <c r="U740" s="366"/>
      <c r="V740" s="141"/>
    </row>
    <row r="741" spans="2:22" ht="13.5" thickBot="1" x14ac:dyDescent="0.25">
      <c r="B741" s="364">
        <f t="shared" ref="B741:B742" si="721">SUM(C741:D741)</f>
        <v>30</v>
      </c>
      <c r="C741" s="364">
        <f t="shared" si="705"/>
        <v>0</v>
      </c>
      <c r="D741" s="364">
        <f t="shared" si="705"/>
        <v>30</v>
      </c>
      <c r="E741" s="364">
        <f t="shared" si="706"/>
        <v>20</v>
      </c>
      <c r="F741" s="364">
        <v>0</v>
      </c>
      <c r="G741" s="364">
        <v>20</v>
      </c>
      <c r="H741" s="364">
        <f t="shared" si="707"/>
        <v>6</v>
      </c>
      <c r="I741" s="364">
        <v>0</v>
      </c>
      <c r="J741" s="364">
        <v>6</v>
      </c>
      <c r="K741" s="364">
        <f t="shared" si="708"/>
        <v>4</v>
      </c>
      <c r="L741" s="364">
        <v>0</v>
      </c>
      <c r="M741" s="364">
        <v>4</v>
      </c>
      <c r="N741" s="364">
        <f t="shared" si="709"/>
        <v>0</v>
      </c>
      <c r="O741" s="364">
        <v>0</v>
      </c>
      <c r="P741" s="364">
        <v>0</v>
      </c>
      <c r="Q741" s="364">
        <f t="shared" si="710"/>
        <v>0</v>
      </c>
      <c r="R741" s="364">
        <v>0</v>
      </c>
      <c r="S741" s="364">
        <v>0</v>
      </c>
      <c r="T741" s="353" t="s">
        <v>146</v>
      </c>
      <c r="U741" s="365"/>
      <c r="V741" s="141"/>
    </row>
    <row r="742" spans="2:22" ht="13.5" thickBot="1" x14ac:dyDescent="0.25">
      <c r="B742" s="364">
        <f t="shared" si="721"/>
        <v>0</v>
      </c>
      <c r="C742" s="364">
        <f t="shared" si="705"/>
        <v>0</v>
      </c>
      <c r="D742" s="364">
        <f t="shared" si="705"/>
        <v>0</v>
      </c>
      <c r="E742" s="364">
        <f t="shared" si="706"/>
        <v>0</v>
      </c>
      <c r="F742" s="364">
        <v>0</v>
      </c>
      <c r="G742" s="364">
        <v>0</v>
      </c>
      <c r="H742" s="364">
        <f t="shared" si="707"/>
        <v>0</v>
      </c>
      <c r="I742" s="364">
        <v>0</v>
      </c>
      <c r="J742" s="364">
        <v>0</v>
      </c>
      <c r="K742" s="364">
        <f t="shared" si="708"/>
        <v>0</v>
      </c>
      <c r="L742" s="364">
        <v>0</v>
      </c>
      <c r="M742" s="364">
        <v>0</v>
      </c>
      <c r="N742" s="364">
        <f t="shared" si="709"/>
        <v>0</v>
      </c>
      <c r="O742" s="364">
        <v>0</v>
      </c>
      <c r="P742" s="364">
        <v>0</v>
      </c>
      <c r="Q742" s="364">
        <f t="shared" si="710"/>
        <v>0</v>
      </c>
      <c r="R742" s="364">
        <v>0</v>
      </c>
      <c r="S742" s="364">
        <v>0</v>
      </c>
      <c r="T742" s="353" t="s">
        <v>145</v>
      </c>
      <c r="U742" s="371" t="s">
        <v>209</v>
      </c>
      <c r="V742" s="141"/>
    </row>
    <row r="743" spans="2:22" ht="13.5" thickBot="1" x14ac:dyDescent="0.25">
      <c r="B743" s="364">
        <f t="shared" ref="B743:R743" si="722">SUM(B741:B742)</f>
        <v>30</v>
      </c>
      <c r="C743" s="364">
        <f t="shared" si="722"/>
        <v>0</v>
      </c>
      <c r="D743" s="364">
        <f t="shared" si="722"/>
        <v>30</v>
      </c>
      <c r="E743" s="364">
        <f t="shared" si="722"/>
        <v>20</v>
      </c>
      <c r="F743" s="364">
        <f t="shared" si="722"/>
        <v>0</v>
      </c>
      <c r="G743" s="364">
        <f t="shared" si="722"/>
        <v>20</v>
      </c>
      <c r="H743" s="364">
        <f t="shared" si="722"/>
        <v>6</v>
      </c>
      <c r="I743" s="364">
        <f t="shared" si="722"/>
        <v>0</v>
      </c>
      <c r="J743" s="364">
        <f t="shared" si="722"/>
        <v>6</v>
      </c>
      <c r="K743" s="364">
        <f t="shared" si="722"/>
        <v>4</v>
      </c>
      <c r="L743" s="364">
        <f t="shared" si="722"/>
        <v>0</v>
      </c>
      <c r="M743" s="364">
        <f t="shared" si="722"/>
        <v>4</v>
      </c>
      <c r="N743" s="364">
        <f t="shared" si="722"/>
        <v>0</v>
      </c>
      <c r="O743" s="364">
        <f t="shared" si="722"/>
        <v>0</v>
      </c>
      <c r="P743" s="364">
        <f t="shared" si="722"/>
        <v>0</v>
      </c>
      <c r="Q743" s="364">
        <f t="shared" si="722"/>
        <v>0</v>
      </c>
      <c r="R743" s="364">
        <f t="shared" si="722"/>
        <v>0</v>
      </c>
      <c r="S743" s="364">
        <f>SUM(S741:S742)</f>
        <v>0</v>
      </c>
      <c r="T743" s="353" t="s">
        <v>12</v>
      </c>
      <c r="U743" s="366"/>
      <c r="V743" s="141"/>
    </row>
    <row r="744" spans="2:22" ht="13.5" thickBot="1" x14ac:dyDescent="0.25">
      <c r="B744" s="364">
        <f t="shared" ref="B744:B745" si="723">SUM(C744:D744)</f>
        <v>41</v>
      </c>
      <c r="C744" s="364">
        <f t="shared" si="705"/>
        <v>0</v>
      </c>
      <c r="D744" s="364">
        <f t="shared" si="705"/>
        <v>41</v>
      </c>
      <c r="E744" s="364">
        <f t="shared" si="706"/>
        <v>21</v>
      </c>
      <c r="F744" s="364">
        <v>0</v>
      </c>
      <c r="G744" s="364">
        <v>21</v>
      </c>
      <c r="H744" s="364">
        <f t="shared" si="707"/>
        <v>15</v>
      </c>
      <c r="I744" s="364">
        <v>0</v>
      </c>
      <c r="J744" s="364">
        <v>15</v>
      </c>
      <c r="K744" s="364">
        <f t="shared" si="708"/>
        <v>5</v>
      </c>
      <c r="L744" s="364">
        <v>0</v>
      </c>
      <c r="M744" s="364">
        <v>5</v>
      </c>
      <c r="N744" s="364">
        <f t="shared" si="709"/>
        <v>0</v>
      </c>
      <c r="O744" s="364">
        <v>0</v>
      </c>
      <c r="P744" s="364">
        <v>0</v>
      </c>
      <c r="Q744" s="364">
        <f t="shared" si="710"/>
        <v>0</v>
      </c>
      <c r="R744" s="364">
        <v>0</v>
      </c>
      <c r="S744" s="364">
        <v>0</v>
      </c>
      <c r="T744" s="353" t="s">
        <v>146</v>
      </c>
      <c r="U744" s="365"/>
      <c r="V744" s="141"/>
    </row>
    <row r="745" spans="2:22" ht="13.5" thickBot="1" x14ac:dyDescent="0.25">
      <c r="B745" s="364">
        <f t="shared" si="723"/>
        <v>0</v>
      </c>
      <c r="C745" s="364">
        <f t="shared" si="705"/>
        <v>0</v>
      </c>
      <c r="D745" s="364">
        <f t="shared" si="705"/>
        <v>0</v>
      </c>
      <c r="E745" s="364">
        <f t="shared" si="706"/>
        <v>0</v>
      </c>
      <c r="F745" s="364">
        <v>0</v>
      </c>
      <c r="G745" s="364">
        <v>0</v>
      </c>
      <c r="H745" s="364">
        <f t="shared" si="707"/>
        <v>0</v>
      </c>
      <c r="I745" s="364">
        <v>0</v>
      </c>
      <c r="J745" s="364">
        <v>0</v>
      </c>
      <c r="K745" s="364">
        <f t="shared" si="708"/>
        <v>0</v>
      </c>
      <c r="L745" s="364">
        <v>0</v>
      </c>
      <c r="M745" s="364">
        <v>0</v>
      </c>
      <c r="N745" s="364">
        <f t="shared" si="709"/>
        <v>0</v>
      </c>
      <c r="O745" s="364">
        <v>0</v>
      </c>
      <c r="P745" s="364">
        <v>0</v>
      </c>
      <c r="Q745" s="364">
        <f t="shared" si="710"/>
        <v>0</v>
      </c>
      <c r="R745" s="364">
        <v>0</v>
      </c>
      <c r="S745" s="364">
        <v>0</v>
      </c>
      <c r="T745" s="353" t="s">
        <v>145</v>
      </c>
      <c r="U745" s="365" t="s">
        <v>455</v>
      </c>
      <c r="V745" s="141"/>
    </row>
    <row r="746" spans="2:22" ht="13.5" thickBot="1" x14ac:dyDescent="0.25">
      <c r="B746" s="364">
        <f t="shared" ref="B746:R746" si="724">SUM(B744:B745)</f>
        <v>41</v>
      </c>
      <c r="C746" s="364">
        <f t="shared" si="724"/>
        <v>0</v>
      </c>
      <c r="D746" s="364">
        <f t="shared" si="724"/>
        <v>41</v>
      </c>
      <c r="E746" s="364">
        <f t="shared" si="724"/>
        <v>21</v>
      </c>
      <c r="F746" s="364">
        <f t="shared" si="724"/>
        <v>0</v>
      </c>
      <c r="G746" s="364">
        <f t="shared" si="724"/>
        <v>21</v>
      </c>
      <c r="H746" s="364">
        <f t="shared" si="724"/>
        <v>15</v>
      </c>
      <c r="I746" s="364">
        <f t="shared" si="724"/>
        <v>0</v>
      </c>
      <c r="J746" s="364">
        <f t="shared" si="724"/>
        <v>15</v>
      </c>
      <c r="K746" s="364">
        <f t="shared" si="724"/>
        <v>5</v>
      </c>
      <c r="L746" s="364">
        <f t="shared" si="724"/>
        <v>0</v>
      </c>
      <c r="M746" s="364">
        <f t="shared" si="724"/>
        <v>5</v>
      </c>
      <c r="N746" s="364">
        <f t="shared" si="724"/>
        <v>0</v>
      </c>
      <c r="O746" s="364">
        <f t="shared" si="724"/>
        <v>0</v>
      </c>
      <c r="P746" s="364">
        <f t="shared" si="724"/>
        <v>0</v>
      </c>
      <c r="Q746" s="364">
        <f t="shared" si="724"/>
        <v>0</v>
      </c>
      <c r="R746" s="364">
        <f t="shared" si="724"/>
        <v>0</v>
      </c>
      <c r="S746" s="364">
        <f>SUM(S744:S745)</f>
        <v>0</v>
      </c>
      <c r="T746" s="353" t="s">
        <v>12</v>
      </c>
      <c r="U746" s="366"/>
      <c r="V746" s="141"/>
    </row>
    <row r="747" spans="2:22" ht="18" customHeight="1" thickBot="1" x14ac:dyDescent="0.25">
      <c r="B747" s="364">
        <f t="shared" ref="B747:B748" si="725">SUM(C747:D747)</f>
        <v>20</v>
      </c>
      <c r="C747" s="364">
        <f t="shared" si="705"/>
        <v>0</v>
      </c>
      <c r="D747" s="364">
        <f t="shared" si="705"/>
        <v>20</v>
      </c>
      <c r="E747" s="364">
        <f t="shared" si="706"/>
        <v>15</v>
      </c>
      <c r="F747" s="364">
        <v>0</v>
      </c>
      <c r="G747" s="364">
        <v>15</v>
      </c>
      <c r="H747" s="364">
        <f t="shared" si="707"/>
        <v>5</v>
      </c>
      <c r="I747" s="364">
        <v>0</v>
      </c>
      <c r="J747" s="364">
        <v>5</v>
      </c>
      <c r="K747" s="364">
        <f t="shared" si="708"/>
        <v>0</v>
      </c>
      <c r="L747" s="364">
        <v>0</v>
      </c>
      <c r="M747" s="364">
        <v>0</v>
      </c>
      <c r="N747" s="364">
        <f t="shared" si="709"/>
        <v>0</v>
      </c>
      <c r="O747" s="364">
        <v>0</v>
      </c>
      <c r="P747" s="364">
        <v>0</v>
      </c>
      <c r="Q747" s="364">
        <f t="shared" si="710"/>
        <v>0</v>
      </c>
      <c r="R747" s="364">
        <v>0</v>
      </c>
      <c r="S747" s="364">
        <v>0</v>
      </c>
      <c r="T747" s="353" t="s">
        <v>146</v>
      </c>
      <c r="U747" s="365"/>
      <c r="V747" s="141"/>
    </row>
    <row r="748" spans="2:22" ht="18" customHeight="1" thickBot="1" x14ac:dyDescent="0.25">
      <c r="B748" s="364">
        <f t="shared" si="725"/>
        <v>0</v>
      </c>
      <c r="C748" s="364">
        <f t="shared" si="705"/>
        <v>0</v>
      </c>
      <c r="D748" s="364">
        <f t="shared" si="705"/>
        <v>0</v>
      </c>
      <c r="E748" s="364">
        <f t="shared" si="706"/>
        <v>0</v>
      </c>
      <c r="F748" s="364">
        <v>0</v>
      </c>
      <c r="G748" s="364">
        <v>0</v>
      </c>
      <c r="H748" s="364">
        <f t="shared" si="707"/>
        <v>0</v>
      </c>
      <c r="I748" s="364">
        <v>0</v>
      </c>
      <c r="J748" s="364">
        <v>0</v>
      </c>
      <c r="K748" s="364">
        <f t="shared" si="708"/>
        <v>0</v>
      </c>
      <c r="L748" s="364">
        <v>0</v>
      </c>
      <c r="M748" s="364">
        <v>0</v>
      </c>
      <c r="N748" s="364">
        <f t="shared" si="709"/>
        <v>0</v>
      </c>
      <c r="O748" s="364">
        <v>0</v>
      </c>
      <c r="P748" s="364">
        <v>0</v>
      </c>
      <c r="Q748" s="364">
        <f t="shared" si="710"/>
        <v>0</v>
      </c>
      <c r="R748" s="364">
        <v>0</v>
      </c>
      <c r="S748" s="364">
        <v>0</v>
      </c>
      <c r="T748" s="353" t="s">
        <v>145</v>
      </c>
      <c r="U748" s="365" t="s">
        <v>378</v>
      </c>
      <c r="V748" s="141"/>
    </row>
    <row r="749" spans="2:22" ht="18" customHeight="1" thickBot="1" x14ac:dyDescent="0.25">
      <c r="B749" s="364">
        <f t="shared" ref="B749:R749" si="726">SUM(B747:B748)</f>
        <v>20</v>
      </c>
      <c r="C749" s="364">
        <f t="shared" si="726"/>
        <v>0</v>
      </c>
      <c r="D749" s="364">
        <f t="shared" si="726"/>
        <v>20</v>
      </c>
      <c r="E749" s="364">
        <f t="shared" si="726"/>
        <v>15</v>
      </c>
      <c r="F749" s="364">
        <f t="shared" si="726"/>
        <v>0</v>
      </c>
      <c r="G749" s="364">
        <f t="shared" si="726"/>
        <v>15</v>
      </c>
      <c r="H749" s="364">
        <f t="shared" si="726"/>
        <v>5</v>
      </c>
      <c r="I749" s="364">
        <f t="shared" si="726"/>
        <v>0</v>
      </c>
      <c r="J749" s="364">
        <f t="shared" si="726"/>
        <v>5</v>
      </c>
      <c r="K749" s="364">
        <f t="shared" si="726"/>
        <v>0</v>
      </c>
      <c r="L749" s="364">
        <f t="shared" si="726"/>
        <v>0</v>
      </c>
      <c r="M749" s="364">
        <f t="shared" si="726"/>
        <v>0</v>
      </c>
      <c r="N749" s="364">
        <f t="shared" si="726"/>
        <v>0</v>
      </c>
      <c r="O749" s="364">
        <f t="shared" si="726"/>
        <v>0</v>
      </c>
      <c r="P749" s="364">
        <f t="shared" si="726"/>
        <v>0</v>
      </c>
      <c r="Q749" s="364">
        <f t="shared" si="726"/>
        <v>0</v>
      </c>
      <c r="R749" s="364">
        <f t="shared" si="726"/>
        <v>0</v>
      </c>
      <c r="S749" s="364">
        <f>SUM(S747:S748)</f>
        <v>0</v>
      </c>
      <c r="T749" s="353" t="s">
        <v>12</v>
      </c>
      <c r="U749" s="366"/>
      <c r="V749" s="141"/>
    </row>
    <row r="750" spans="2:22" ht="13.5" customHeight="1" thickBot="1" x14ac:dyDescent="0.25">
      <c r="B750" s="364">
        <f t="shared" ref="B750:B751" si="727">SUM(C750:D750)</f>
        <v>77</v>
      </c>
      <c r="C750" s="364">
        <f t="shared" ref="C750:D754" si="728">R750+O750+L750+I750+F750</f>
        <v>0</v>
      </c>
      <c r="D750" s="364">
        <f t="shared" si="728"/>
        <v>77</v>
      </c>
      <c r="E750" s="364">
        <f t="shared" si="706"/>
        <v>45</v>
      </c>
      <c r="F750" s="364">
        <v>0</v>
      </c>
      <c r="G750" s="364">
        <v>45</v>
      </c>
      <c r="H750" s="364">
        <f t="shared" si="707"/>
        <v>25</v>
      </c>
      <c r="I750" s="364">
        <v>0</v>
      </c>
      <c r="J750" s="364">
        <v>25</v>
      </c>
      <c r="K750" s="364">
        <f t="shared" si="708"/>
        <v>7</v>
      </c>
      <c r="L750" s="364">
        <v>0</v>
      </c>
      <c r="M750" s="364">
        <v>7</v>
      </c>
      <c r="N750" s="364">
        <f t="shared" si="709"/>
        <v>0</v>
      </c>
      <c r="O750" s="364">
        <v>0</v>
      </c>
      <c r="P750" s="364">
        <v>0</v>
      </c>
      <c r="Q750" s="364">
        <f t="shared" si="710"/>
        <v>0</v>
      </c>
      <c r="R750" s="364">
        <v>0</v>
      </c>
      <c r="S750" s="364">
        <v>0</v>
      </c>
      <c r="T750" s="353" t="s">
        <v>146</v>
      </c>
      <c r="U750" s="365"/>
      <c r="V750" s="141"/>
    </row>
    <row r="751" spans="2:22" ht="13.5" thickBot="1" x14ac:dyDescent="0.25">
      <c r="B751" s="364">
        <f t="shared" si="727"/>
        <v>0</v>
      </c>
      <c r="C751" s="364">
        <f t="shared" si="728"/>
        <v>0</v>
      </c>
      <c r="D751" s="364">
        <f t="shared" si="728"/>
        <v>0</v>
      </c>
      <c r="E751" s="364">
        <f t="shared" si="706"/>
        <v>0</v>
      </c>
      <c r="F751" s="364">
        <v>0</v>
      </c>
      <c r="G751" s="364">
        <v>0</v>
      </c>
      <c r="H751" s="364">
        <f t="shared" si="707"/>
        <v>0</v>
      </c>
      <c r="I751" s="364">
        <v>0</v>
      </c>
      <c r="J751" s="364">
        <v>0</v>
      </c>
      <c r="K751" s="364">
        <f t="shared" si="708"/>
        <v>0</v>
      </c>
      <c r="L751" s="364">
        <v>0</v>
      </c>
      <c r="M751" s="364">
        <v>0</v>
      </c>
      <c r="N751" s="364">
        <f t="shared" si="709"/>
        <v>0</v>
      </c>
      <c r="O751" s="364">
        <v>0</v>
      </c>
      <c r="P751" s="364">
        <v>0</v>
      </c>
      <c r="Q751" s="364">
        <f t="shared" si="710"/>
        <v>0</v>
      </c>
      <c r="R751" s="364">
        <v>0</v>
      </c>
      <c r="S751" s="364">
        <v>0</v>
      </c>
      <c r="T751" s="353" t="s">
        <v>145</v>
      </c>
      <c r="U751" s="365" t="s">
        <v>528</v>
      </c>
      <c r="V751" s="141"/>
    </row>
    <row r="752" spans="2:22" ht="13.5" thickBot="1" x14ac:dyDescent="0.25">
      <c r="B752" s="364">
        <f t="shared" ref="B752:R752" si="729">SUM(B750:B751)</f>
        <v>77</v>
      </c>
      <c r="C752" s="364">
        <f t="shared" si="729"/>
        <v>0</v>
      </c>
      <c r="D752" s="364">
        <f t="shared" si="729"/>
        <v>77</v>
      </c>
      <c r="E752" s="364">
        <f t="shared" si="729"/>
        <v>45</v>
      </c>
      <c r="F752" s="364">
        <f t="shared" si="729"/>
        <v>0</v>
      </c>
      <c r="G752" s="364">
        <f t="shared" si="729"/>
        <v>45</v>
      </c>
      <c r="H752" s="364">
        <f t="shared" si="729"/>
        <v>25</v>
      </c>
      <c r="I752" s="364">
        <f t="shared" si="729"/>
        <v>0</v>
      </c>
      <c r="J752" s="364">
        <f t="shared" si="729"/>
        <v>25</v>
      </c>
      <c r="K752" s="364">
        <f t="shared" si="729"/>
        <v>7</v>
      </c>
      <c r="L752" s="364">
        <f t="shared" si="729"/>
        <v>0</v>
      </c>
      <c r="M752" s="364">
        <f t="shared" si="729"/>
        <v>7</v>
      </c>
      <c r="N752" s="364">
        <f t="shared" si="729"/>
        <v>0</v>
      </c>
      <c r="O752" s="364">
        <f t="shared" si="729"/>
        <v>0</v>
      </c>
      <c r="P752" s="364">
        <f t="shared" si="729"/>
        <v>0</v>
      </c>
      <c r="Q752" s="364">
        <f t="shared" si="729"/>
        <v>0</v>
      </c>
      <c r="R752" s="364">
        <f t="shared" si="729"/>
        <v>0</v>
      </c>
      <c r="S752" s="364">
        <f>SUM(S750:S751)</f>
        <v>0</v>
      </c>
      <c r="T752" s="353" t="s">
        <v>12</v>
      </c>
      <c r="U752" s="366"/>
      <c r="V752" s="141"/>
    </row>
    <row r="753" spans="2:22" ht="13.5" thickBot="1" x14ac:dyDescent="0.25">
      <c r="B753" s="364">
        <f t="shared" ref="B753:B754" si="730">SUM(C753:D753)</f>
        <v>23</v>
      </c>
      <c r="C753" s="364">
        <f t="shared" si="728"/>
        <v>0</v>
      </c>
      <c r="D753" s="364">
        <f t="shared" si="728"/>
        <v>23</v>
      </c>
      <c r="E753" s="364">
        <f t="shared" si="706"/>
        <v>8</v>
      </c>
      <c r="F753" s="364">
        <v>0</v>
      </c>
      <c r="G753" s="364">
        <v>8</v>
      </c>
      <c r="H753" s="364">
        <f t="shared" si="707"/>
        <v>12</v>
      </c>
      <c r="I753" s="364">
        <v>0</v>
      </c>
      <c r="J753" s="364">
        <v>12</v>
      </c>
      <c r="K753" s="364">
        <f t="shared" si="708"/>
        <v>3</v>
      </c>
      <c r="L753" s="364">
        <v>0</v>
      </c>
      <c r="M753" s="364">
        <v>3</v>
      </c>
      <c r="N753" s="364">
        <f t="shared" si="709"/>
        <v>0</v>
      </c>
      <c r="O753" s="364">
        <v>0</v>
      </c>
      <c r="P753" s="364">
        <v>0</v>
      </c>
      <c r="Q753" s="364">
        <f t="shared" si="710"/>
        <v>0</v>
      </c>
      <c r="R753" s="364">
        <v>0</v>
      </c>
      <c r="S753" s="364">
        <v>0</v>
      </c>
      <c r="T753" s="353" t="s">
        <v>146</v>
      </c>
      <c r="U753" s="365"/>
      <c r="V753" s="141"/>
    </row>
    <row r="754" spans="2:22" ht="13.5" thickBot="1" x14ac:dyDescent="0.25">
      <c r="B754" s="364">
        <f t="shared" si="730"/>
        <v>0</v>
      </c>
      <c r="C754" s="364">
        <f t="shared" si="728"/>
        <v>0</v>
      </c>
      <c r="D754" s="364">
        <f t="shared" si="728"/>
        <v>0</v>
      </c>
      <c r="E754" s="364">
        <f t="shared" si="706"/>
        <v>0</v>
      </c>
      <c r="F754" s="364">
        <v>0</v>
      </c>
      <c r="G754" s="364">
        <v>0</v>
      </c>
      <c r="H754" s="364">
        <f t="shared" si="707"/>
        <v>0</v>
      </c>
      <c r="I754" s="364">
        <v>0</v>
      </c>
      <c r="J754" s="364">
        <v>0</v>
      </c>
      <c r="K754" s="364">
        <f t="shared" si="708"/>
        <v>0</v>
      </c>
      <c r="L754" s="364">
        <v>0</v>
      </c>
      <c r="M754" s="364">
        <v>0</v>
      </c>
      <c r="N754" s="364">
        <f t="shared" si="709"/>
        <v>0</v>
      </c>
      <c r="O754" s="364">
        <v>0</v>
      </c>
      <c r="P754" s="364">
        <v>0</v>
      </c>
      <c r="Q754" s="364">
        <f t="shared" si="710"/>
        <v>0</v>
      </c>
      <c r="R754" s="364">
        <v>0</v>
      </c>
      <c r="S754" s="364">
        <v>0</v>
      </c>
      <c r="T754" s="353" t="s">
        <v>145</v>
      </c>
      <c r="U754" s="365" t="s">
        <v>451</v>
      </c>
      <c r="V754" s="141"/>
    </row>
    <row r="755" spans="2:22" ht="13.5" thickBot="1" x14ac:dyDescent="0.25">
      <c r="B755" s="364">
        <f t="shared" ref="B755:R755" si="731">SUM(B753:B754)</f>
        <v>23</v>
      </c>
      <c r="C755" s="364">
        <f t="shared" si="731"/>
        <v>0</v>
      </c>
      <c r="D755" s="364">
        <f t="shared" si="731"/>
        <v>23</v>
      </c>
      <c r="E755" s="364">
        <f t="shared" si="731"/>
        <v>8</v>
      </c>
      <c r="F755" s="364">
        <f t="shared" si="731"/>
        <v>0</v>
      </c>
      <c r="G755" s="364">
        <f t="shared" si="731"/>
        <v>8</v>
      </c>
      <c r="H755" s="364">
        <f t="shared" si="731"/>
        <v>12</v>
      </c>
      <c r="I755" s="364">
        <f t="shared" si="731"/>
        <v>0</v>
      </c>
      <c r="J755" s="364">
        <f t="shared" si="731"/>
        <v>12</v>
      </c>
      <c r="K755" s="364">
        <f t="shared" si="731"/>
        <v>3</v>
      </c>
      <c r="L755" s="364">
        <f t="shared" si="731"/>
        <v>0</v>
      </c>
      <c r="M755" s="364">
        <f t="shared" si="731"/>
        <v>3</v>
      </c>
      <c r="N755" s="364">
        <f t="shared" si="731"/>
        <v>0</v>
      </c>
      <c r="O755" s="364">
        <f t="shared" si="731"/>
        <v>0</v>
      </c>
      <c r="P755" s="364">
        <f t="shared" si="731"/>
        <v>0</v>
      </c>
      <c r="Q755" s="364">
        <f t="shared" si="731"/>
        <v>0</v>
      </c>
      <c r="R755" s="364">
        <f t="shared" si="731"/>
        <v>0</v>
      </c>
      <c r="S755" s="364">
        <f>SUM(S753:S754)</f>
        <v>0</v>
      </c>
      <c r="T755" s="353" t="s">
        <v>12</v>
      </c>
      <c r="U755" s="366"/>
      <c r="V755" s="141"/>
    </row>
    <row r="756" spans="2:22" ht="13.5" thickBot="1" x14ac:dyDescent="0.25">
      <c r="B756" s="364">
        <f t="shared" ref="B756:R758" si="732">B732+B735+B738+B741+B744+B747+B750+B753</f>
        <v>217</v>
      </c>
      <c r="C756" s="364">
        <f t="shared" si="732"/>
        <v>26</v>
      </c>
      <c r="D756" s="364">
        <f t="shared" si="732"/>
        <v>191</v>
      </c>
      <c r="E756" s="364">
        <f t="shared" si="732"/>
        <v>118</v>
      </c>
      <c r="F756" s="364">
        <f t="shared" si="732"/>
        <v>9</v>
      </c>
      <c r="G756" s="364">
        <f t="shared" si="732"/>
        <v>109</v>
      </c>
      <c r="H756" s="364">
        <f t="shared" si="732"/>
        <v>73</v>
      </c>
      <c r="I756" s="364">
        <f t="shared" si="732"/>
        <v>10</v>
      </c>
      <c r="J756" s="364">
        <f t="shared" si="732"/>
        <v>63</v>
      </c>
      <c r="K756" s="364">
        <f t="shared" si="732"/>
        <v>26</v>
      </c>
      <c r="L756" s="364">
        <f t="shared" si="732"/>
        <v>7</v>
      </c>
      <c r="M756" s="364">
        <f t="shared" si="732"/>
        <v>19</v>
      </c>
      <c r="N756" s="364">
        <f t="shared" si="732"/>
        <v>0</v>
      </c>
      <c r="O756" s="364">
        <f t="shared" si="732"/>
        <v>0</v>
      </c>
      <c r="P756" s="364">
        <f t="shared" si="732"/>
        <v>0</v>
      </c>
      <c r="Q756" s="364">
        <f t="shared" si="732"/>
        <v>0</v>
      </c>
      <c r="R756" s="364">
        <f t="shared" si="732"/>
        <v>0</v>
      </c>
      <c r="S756" s="364">
        <f>S732+S735+S738+S741+S744+S747+S750+S753</f>
        <v>0</v>
      </c>
      <c r="T756" s="353" t="s">
        <v>146</v>
      </c>
      <c r="U756" s="367"/>
      <c r="V756" s="141"/>
    </row>
    <row r="757" spans="2:22" ht="13.5" thickBot="1" x14ac:dyDescent="0.25">
      <c r="B757" s="364">
        <f t="shared" si="732"/>
        <v>0</v>
      </c>
      <c r="C757" s="364">
        <f t="shared" si="732"/>
        <v>0</v>
      </c>
      <c r="D757" s="364">
        <f t="shared" si="732"/>
        <v>0</v>
      </c>
      <c r="E757" s="364">
        <f t="shared" si="732"/>
        <v>0</v>
      </c>
      <c r="F757" s="364">
        <f t="shared" si="732"/>
        <v>0</v>
      </c>
      <c r="G757" s="364">
        <f t="shared" si="732"/>
        <v>0</v>
      </c>
      <c r="H757" s="364">
        <f t="shared" si="732"/>
        <v>0</v>
      </c>
      <c r="I757" s="364">
        <f t="shared" si="732"/>
        <v>0</v>
      </c>
      <c r="J757" s="364">
        <f t="shared" si="732"/>
        <v>0</v>
      </c>
      <c r="K757" s="364">
        <f t="shared" si="732"/>
        <v>0</v>
      </c>
      <c r="L757" s="364">
        <f t="shared" si="732"/>
        <v>0</v>
      </c>
      <c r="M757" s="364">
        <f t="shared" si="732"/>
        <v>0</v>
      </c>
      <c r="N757" s="364">
        <f t="shared" si="732"/>
        <v>0</v>
      </c>
      <c r="O757" s="364">
        <f t="shared" si="732"/>
        <v>0</v>
      </c>
      <c r="P757" s="364">
        <f t="shared" si="732"/>
        <v>0</v>
      </c>
      <c r="Q757" s="364">
        <f t="shared" si="732"/>
        <v>0</v>
      </c>
      <c r="R757" s="364">
        <f t="shared" si="732"/>
        <v>0</v>
      </c>
      <c r="S757" s="364">
        <f t="shared" ref="S757:S758" si="733">S733+S736+S739+S742+S745+S748+S751+S754</f>
        <v>0</v>
      </c>
      <c r="T757" s="353" t="s">
        <v>145</v>
      </c>
      <c r="U757" s="368" t="s">
        <v>188</v>
      </c>
      <c r="V757" s="141"/>
    </row>
    <row r="758" spans="2:22" ht="13.5" thickBot="1" x14ac:dyDescent="0.25">
      <c r="B758" s="364">
        <f t="shared" si="732"/>
        <v>217</v>
      </c>
      <c r="C758" s="364">
        <f t="shared" si="732"/>
        <v>26</v>
      </c>
      <c r="D758" s="364">
        <f t="shared" si="732"/>
        <v>191</v>
      </c>
      <c r="E758" s="364">
        <f t="shared" si="732"/>
        <v>118</v>
      </c>
      <c r="F758" s="364">
        <f t="shared" si="732"/>
        <v>9</v>
      </c>
      <c r="G758" s="364">
        <f t="shared" si="732"/>
        <v>109</v>
      </c>
      <c r="H758" s="364">
        <f t="shared" si="732"/>
        <v>73</v>
      </c>
      <c r="I758" s="364">
        <f t="shared" si="732"/>
        <v>10</v>
      </c>
      <c r="J758" s="364">
        <f t="shared" si="732"/>
        <v>63</v>
      </c>
      <c r="K758" s="364">
        <f t="shared" si="732"/>
        <v>26</v>
      </c>
      <c r="L758" s="364">
        <f t="shared" si="732"/>
        <v>7</v>
      </c>
      <c r="M758" s="364">
        <f t="shared" si="732"/>
        <v>19</v>
      </c>
      <c r="N758" s="364">
        <f t="shared" si="732"/>
        <v>0</v>
      </c>
      <c r="O758" s="364">
        <f t="shared" si="732"/>
        <v>0</v>
      </c>
      <c r="P758" s="364">
        <f t="shared" si="732"/>
        <v>0</v>
      </c>
      <c r="Q758" s="364">
        <f t="shared" si="732"/>
        <v>0</v>
      </c>
      <c r="R758" s="364">
        <f t="shared" si="732"/>
        <v>0</v>
      </c>
      <c r="S758" s="364">
        <f t="shared" si="733"/>
        <v>0</v>
      </c>
      <c r="T758" s="353" t="s">
        <v>12</v>
      </c>
      <c r="U758" s="363"/>
      <c r="V758" s="141"/>
    </row>
    <row r="759" spans="2:22" ht="18" customHeight="1" thickBot="1" x14ac:dyDescent="0.25">
      <c r="B759" s="606"/>
      <c r="C759" s="606"/>
      <c r="D759" s="606"/>
      <c r="E759" s="606"/>
      <c r="F759" s="606"/>
      <c r="G759" s="606"/>
      <c r="H759" s="606"/>
      <c r="I759" s="606"/>
      <c r="J759" s="606"/>
      <c r="K759" s="606"/>
      <c r="L759" s="606"/>
      <c r="M759" s="606"/>
      <c r="N759" s="606"/>
      <c r="O759" s="606"/>
      <c r="P759" s="606"/>
      <c r="Q759" s="606"/>
      <c r="R759" s="606"/>
      <c r="S759" s="606"/>
      <c r="T759" s="606"/>
      <c r="U759" s="606"/>
      <c r="V759" s="141"/>
    </row>
    <row r="760" spans="2:22" ht="12.75" customHeight="1" thickBot="1" x14ac:dyDescent="0.25">
      <c r="B760" s="607" t="s">
        <v>4</v>
      </c>
      <c r="C760" s="607"/>
      <c r="D760" s="607"/>
      <c r="E760" s="607" t="s">
        <v>53</v>
      </c>
      <c r="F760" s="607"/>
      <c r="G760" s="607"/>
      <c r="H760" s="607" t="s">
        <v>61</v>
      </c>
      <c r="I760" s="607"/>
      <c r="J760" s="607"/>
      <c r="K760" s="607" t="s">
        <v>60</v>
      </c>
      <c r="L760" s="607"/>
      <c r="M760" s="607"/>
      <c r="N760" s="607" t="s">
        <v>57</v>
      </c>
      <c r="O760" s="607"/>
      <c r="P760" s="607"/>
      <c r="Q760" s="607" t="s">
        <v>56</v>
      </c>
      <c r="R760" s="607"/>
      <c r="S760" s="607"/>
      <c r="T760" s="608" t="s">
        <v>741</v>
      </c>
      <c r="U760" s="347" t="s">
        <v>144</v>
      </c>
      <c r="V760" s="141"/>
    </row>
    <row r="761" spans="2:22" ht="12.75" customHeight="1" thickBot="1" x14ac:dyDescent="0.25">
      <c r="B761" s="347" t="s">
        <v>227</v>
      </c>
      <c r="C761" s="347" t="s">
        <v>10</v>
      </c>
      <c r="D761" s="347" t="s">
        <v>9</v>
      </c>
      <c r="E761" s="347" t="s">
        <v>227</v>
      </c>
      <c r="F761" s="347" t="s">
        <v>10</v>
      </c>
      <c r="G761" s="347" t="s">
        <v>9</v>
      </c>
      <c r="H761" s="347" t="s">
        <v>227</v>
      </c>
      <c r="I761" s="347" t="s">
        <v>10</v>
      </c>
      <c r="J761" s="347" t="s">
        <v>9</v>
      </c>
      <c r="K761" s="347" t="s">
        <v>227</v>
      </c>
      <c r="L761" s="347" t="s">
        <v>10</v>
      </c>
      <c r="M761" s="347" t="s">
        <v>9</v>
      </c>
      <c r="N761" s="347" t="s">
        <v>227</v>
      </c>
      <c r="O761" s="347" t="s">
        <v>10</v>
      </c>
      <c r="P761" s="347" t="s">
        <v>9</v>
      </c>
      <c r="Q761" s="347" t="s">
        <v>227</v>
      </c>
      <c r="R761" s="347" t="s">
        <v>10</v>
      </c>
      <c r="S761" s="347" t="s">
        <v>9</v>
      </c>
      <c r="T761" s="609"/>
      <c r="U761" s="363" t="s">
        <v>121</v>
      </c>
      <c r="V761" s="141"/>
    </row>
    <row r="762" spans="2:22" ht="12.75" customHeight="1" thickBot="1" x14ac:dyDescent="0.25">
      <c r="B762" s="364">
        <f>SUM(C762:D762)</f>
        <v>311</v>
      </c>
      <c r="C762" s="364">
        <f>R762+O762+L762+I762+F762</f>
        <v>158</v>
      </c>
      <c r="D762" s="364">
        <f>S762+P762+M762+J762+G762</f>
        <v>153</v>
      </c>
      <c r="E762" s="364">
        <f>SUM(F762:G762)</f>
        <v>11</v>
      </c>
      <c r="F762" s="364">
        <v>11</v>
      </c>
      <c r="G762" s="364">
        <v>0</v>
      </c>
      <c r="H762" s="364">
        <f>SUM(I762:J762)</f>
        <v>195</v>
      </c>
      <c r="I762" s="364">
        <v>42</v>
      </c>
      <c r="J762" s="364">
        <v>153</v>
      </c>
      <c r="K762" s="364">
        <f>SUM(L762:M762)</f>
        <v>103</v>
      </c>
      <c r="L762" s="364">
        <v>103</v>
      </c>
      <c r="M762" s="364">
        <v>0</v>
      </c>
      <c r="N762" s="364">
        <f>SUM(O762:P762)</f>
        <v>2</v>
      </c>
      <c r="O762" s="364">
        <v>2</v>
      </c>
      <c r="P762" s="364">
        <v>0</v>
      </c>
      <c r="Q762" s="364">
        <f>SUM(R762:S762)</f>
        <v>0</v>
      </c>
      <c r="R762" s="364">
        <v>0</v>
      </c>
      <c r="S762" s="364">
        <v>0</v>
      </c>
      <c r="T762" s="353" t="s">
        <v>146</v>
      </c>
      <c r="U762" s="365"/>
      <c r="V762" s="141"/>
    </row>
    <row r="763" spans="2:22" ht="12.75" customHeight="1" thickBot="1" x14ac:dyDescent="0.25">
      <c r="B763" s="364">
        <f t="shared" ref="B763" si="734">SUM(C763:D763)</f>
        <v>0</v>
      </c>
      <c r="C763" s="364">
        <f t="shared" ref="C763:D763" si="735">R763+O763+L763+I763+F763</f>
        <v>0</v>
      </c>
      <c r="D763" s="364">
        <f t="shared" si="735"/>
        <v>0</v>
      </c>
      <c r="E763" s="364">
        <f t="shared" ref="E763:E781" si="736">SUM(F763:G763)</f>
        <v>0</v>
      </c>
      <c r="F763" s="364">
        <v>0</v>
      </c>
      <c r="G763" s="364">
        <v>0</v>
      </c>
      <c r="H763" s="364">
        <f t="shared" ref="H763:H781" si="737">SUM(I763:J763)</f>
        <v>0</v>
      </c>
      <c r="I763" s="364">
        <v>0</v>
      </c>
      <c r="J763" s="364">
        <v>0</v>
      </c>
      <c r="K763" s="364">
        <f t="shared" ref="K763:K781" si="738">SUM(L763:M763)</f>
        <v>0</v>
      </c>
      <c r="L763" s="364">
        <v>0</v>
      </c>
      <c r="M763" s="364">
        <v>0</v>
      </c>
      <c r="N763" s="364">
        <f t="shared" ref="N763:N781" si="739">SUM(O763:P763)</f>
        <v>0</v>
      </c>
      <c r="O763" s="364">
        <v>0</v>
      </c>
      <c r="P763" s="364">
        <v>0</v>
      </c>
      <c r="Q763" s="364">
        <f t="shared" ref="Q763:Q781" si="740">SUM(R763:S763)</f>
        <v>0</v>
      </c>
      <c r="R763" s="364">
        <v>0</v>
      </c>
      <c r="S763" s="364">
        <v>0</v>
      </c>
      <c r="T763" s="353" t="s">
        <v>145</v>
      </c>
      <c r="U763" s="365" t="s">
        <v>529</v>
      </c>
      <c r="V763" s="141"/>
    </row>
    <row r="764" spans="2:22" ht="12.75" customHeight="1" thickBot="1" x14ac:dyDescent="0.25">
      <c r="B764" s="364">
        <f t="shared" ref="B764:R764" si="741">SUM(B762:B763)</f>
        <v>311</v>
      </c>
      <c r="C764" s="364">
        <f t="shared" si="741"/>
        <v>158</v>
      </c>
      <c r="D764" s="364">
        <f t="shared" si="741"/>
        <v>153</v>
      </c>
      <c r="E764" s="364">
        <f t="shared" si="741"/>
        <v>11</v>
      </c>
      <c r="F764" s="364">
        <f t="shared" si="741"/>
        <v>11</v>
      </c>
      <c r="G764" s="364">
        <f t="shared" si="741"/>
        <v>0</v>
      </c>
      <c r="H764" s="364">
        <f t="shared" si="741"/>
        <v>195</v>
      </c>
      <c r="I764" s="364">
        <f t="shared" si="741"/>
        <v>42</v>
      </c>
      <c r="J764" s="364">
        <f t="shared" si="741"/>
        <v>153</v>
      </c>
      <c r="K764" s="364">
        <f t="shared" si="741"/>
        <v>103</v>
      </c>
      <c r="L764" s="364">
        <f t="shared" si="741"/>
        <v>103</v>
      </c>
      <c r="M764" s="364">
        <f t="shared" si="741"/>
        <v>0</v>
      </c>
      <c r="N764" s="364">
        <f t="shared" si="741"/>
        <v>2</v>
      </c>
      <c r="O764" s="364">
        <f t="shared" si="741"/>
        <v>2</v>
      </c>
      <c r="P764" s="364">
        <f t="shared" si="741"/>
        <v>0</v>
      </c>
      <c r="Q764" s="364">
        <f t="shared" si="741"/>
        <v>0</v>
      </c>
      <c r="R764" s="364">
        <f t="shared" si="741"/>
        <v>0</v>
      </c>
      <c r="S764" s="364">
        <f>SUM(S762:S763)</f>
        <v>0</v>
      </c>
      <c r="T764" s="353" t="s">
        <v>12</v>
      </c>
      <c r="U764" s="366"/>
      <c r="V764" s="141"/>
    </row>
    <row r="765" spans="2:22" ht="12.75" customHeight="1" thickBot="1" x14ac:dyDescent="0.25">
      <c r="B765" s="364">
        <f t="shared" ref="B765:B766" si="742">SUM(C765:D765)</f>
        <v>90</v>
      </c>
      <c r="C765" s="364">
        <f t="shared" ref="C765:D766" si="743">R765+O765+L765+I765+F765</f>
        <v>90</v>
      </c>
      <c r="D765" s="364">
        <f t="shared" si="743"/>
        <v>0</v>
      </c>
      <c r="E765" s="364">
        <f t="shared" si="736"/>
        <v>0</v>
      </c>
      <c r="F765" s="364">
        <v>0</v>
      </c>
      <c r="G765" s="364">
        <v>0</v>
      </c>
      <c r="H765" s="364">
        <f t="shared" si="737"/>
        <v>29</v>
      </c>
      <c r="I765" s="364">
        <v>29</v>
      </c>
      <c r="J765" s="364">
        <v>0</v>
      </c>
      <c r="K765" s="364">
        <f t="shared" si="738"/>
        <v>59</v>
      </c>
      <c r="L765" s="364">
        <v>59</v>
      </c>
      <c r="M765" s="364">
        <v>0</v>
      </c>
      <c r="N765" s="364">
        <f t="shared" si="739"/>
        <v>2</v>
      </c>
      <c r="O765" s="364">
        <v>2</v>
      </c>
      <c r="P765" s="364">
        <v>0</v>
      </c>
      <c r="Q765" s="364">
        <f t="shared" si="740"/>
        <v>0</v>
      </c>
      <c r="R765" s="364">
        <v>0</v>
      </c>
      <c r="S765" s="364">
        <v>0</v>
      </c>
      <c r="T765" s="353" t="s">
        <v>146</v>
      </c>
      <c r="U765" s="365"/>
      <c r="V765" s="141"/>
    </row>
    <row r="766" spans="2:22" ht="12.75" customHeight="1" thickBot="1" x14ac:dyDescent="0.25">
      <c r="B766" s="364">
        <f t="shared" si="742"/>
        <v>2</v>
      </c>
      <c r="C766" s="364">
        <f t="shared" si="743"/>
        <v>0</v>
      </c>
      <c r="D766" s="364">
        <f t="shared" si="743"/>
        <v>2</v>
      </c>
      <c r="E766" s="364">
        <f t="shared" si="736"/>
        <v>2</v>
      </c>
      <c r="F766" s="364">
        <v>0</v>
      </c>
      <c r="G766" s="364">
        <v>2</v>
      </c>
      <c r="H766" s="364">
        <f t="shared" si="737"/>
        <v>0</v>
      </c>
      <c r="I766" s="364">
        <v>0</v>
      </c>
      <c r="J766" s="364">
        <v>0</v>
      </c>
      <c r="K766" s="364">
        <f t="shared" si="738"/>
        <v>0</v>
      </c>
      <c r="L766" s="364">
        <v>0</v>
      </c>
      <c r="M766" s="364">
        <v>0</v>
      </c>
      <c r="N766" s="364">
        <f t="shared" si="739"/>
        <v>0</v>
      </c>
      <c r="O766" s="364">
        <v>0</v>
      </c>
      <c r="P766" s="364">
        <v>0</v>
      </c>
      <c r="Q766" s="364">
        <f t="shared" si="740"/>
        <v>0</v>
      </c>
      <c r="R766" s="364">
        <v>0</v>
      </c>
      <c r="S766" s="364">
        <v>0</v>
      </c>
      <c r="T766" s="353" t="s">
        <v>145</v>
      </c>
      <c r="U766" s="365" t="s">
        <v>530</v>
      </c>
      <c r="V766" s="141"/>
    </row>
    <row r="767" spans="2:22" ht="12.75" customHeight="1" thickBot="1" x14ac:dyDescent="0.25">
      <c r="B767" s="364">
        <f t="shared" ref="B767:R767" si="744">SUM(B765:B766)</f>
        <v>92</v>
      </c>
      <c r="C767" s="364">
        <f t="shared" si="744"/>
        <v>90</v>
      </c>
      <c r="D767" s="364">
        <f t="shared" si="744"/>
        <v>2</v>
      </c>
      <c r="E767" s="364">
        <f t="shared" si="744"/>
        <v>2</v>
      </c>
      <c r="F767" s="364">
        <f t="shared" si="744"/>
        <v>0</v>
      </c>
      <c r="G767" s="364">
        <f t="shared" si="744"/>
        <v>2</v>
      </c>
      <c r="H767" s="364">
        <f t="shared" si="744"/>
        <v>29</v>
      </c>
      <c r="I767" s="364">
        <f t="shared" si="744"/>
        <v>29</v>
      </c>
      <c r="J767" s="364">
        <f t="shared" si="744"/>
        <v>0</v>
      </c>
      <c r="K767" s="364">
        <f t="shared" si="744"/>
        <v>59</v>
      </c>
      <c r="L767" s="364">
        <f t="shared" si="744"/>
        <v>59</v>
      </c>
      <c r="M767" s="364">
        <f t="shared" si="744"/>
        <v>0</v>
      </c>
      <c r="N767" s="364">
        <f t="shared" si="744"/>
        <v>2</v>
      </c>
      <c r="O767" s="364">
        <f t="shared" si="744"/>
        <v>2</v>
      </c>
      <c r="P767" s="364">
        <f t="shared" si="744"/>
        <v>0</v>
      </c>
      <c r="Q767" s="364">
        <f t="shared" si="744"/>
        <v>0</v>
      </c>
      <c r="R767" s="364">
        <f t="shared" si="744"/>
        <v>0</v>
      </c>
      <c r="S767" s="364">
        <f>SUM(S765:S766)</f>
        <v>0</v>
      </c>
      <c r="T767" s="353" t="s">
        <v>12</v>
      </c>
      <c r="U767" s="366"/>
      <c r="V767" s="141"/>
    </row>
    <row r="768" spans="2:22" ht="12.75" customHeight="1" thickBot="1" x14ac:dyDescent="0.25">
      <c r="B768" s="364">
        <f t="shared" ref="B768:B769" si="745">SUM(C768:D768)</f>
        <v>96</v>
      </c>
      <c r="C768" s="364">
        <f t="shared" ref="C768:D769" si="746">R768+O768+L768+I768+F768</f>
        <v>96</v>
      </c>
      <c r="D768" s="364">
        <f t="shared" si="746"/>
        <v>0</v>
      </c>
      <c r="E768" s="364">
        <f t="shared" si="736"/>
        <v>3</v>
      </c>
      <c r="F768" s="364">
        <v>3</v>
      </c>
      <c r="G768" s="364">
        <v>0</v>
      </c>
      <c r="H768" s="364">
        <f t="shared" si="737"/>
        <v>17</v>
      </c>
      <c r="I768" s="364">
        <v>17</v>
      </c>
      <c r="J768" s="364">
        <v>0</v>
      </c>
      <c r="K768" s="364">
        <f t="shared" si="738"/>
        <v>76</v>
      </c>
      <c r="L768" s="364">
        <v>76</v>
      </c>
      <c r="M768" s="364">
        <v>0</v>
      </c>
      <c r="N768" s="364">
        <f t="shared" si="739"/>
        <v>0</v>
      </c>
      <c r="O768" s="364">
        <v>0</v>
      </c>
      <c r="P768" s="364">
        <v>0</v>
      </c>
      <c r="Q768" s="364">
        <f t="shared" si="740"/>
        <v>0</v>
      </c>
      <c r="R768" s="364">
        <v>0</v>
      </c>
      <c r="S768" s="364">
        <v>0</v>
      </c>
      <c r="T768" s="353" t="s">
        <v>146</v>
      </c>
      <c r="U768" s="365"/>
      <c r="V768" s="141"/>
    </row>
    <row r="769" spans="2:22" ht="12.75" customHeight="1" thickBot="1" x14ac:dyDescent="0.25">
      <c r="B769" s="364">
        <f t="shared" si="745"/>
        <v>0</v>
      </c>
      <c r="C769" s="364">
        <f t="shared" si="746"/>
        <v>0</v>
      </c>
      <c r="D769" s="364">
        <f t="shared" si="746"/>
        <v>0</v>
      </c>
      <c r="E769" s="364">
        <f t="shared" si="736"/>
        <v>0</v>
      </c>
      <c r="F769" s="364">
        <v>0</v>
      </c>
      <c r="G769" s="364">
        <v>0</v>
      </c>
      <c r="H769" s="364">
        <f t="shared" si="737"/>
        <v>0</v>
      </c>
      <c r="I769" s="364">
        <v>0</v>
      </c>
      <c r="J769" s="364">
        <v>0</v>
      </c>
      <c r="K769" s="364">
        <f t="shared" si="738"/>
        <v>0</v>
      </c>
      <c r="L769" s="364">
        <v>0</v>
      </c>
      <c r="M769" s="364">
        <v>0</v>
      </c>
      <c r="N769" s="364">
        <f t="shared" si="739"/>
        <v>0</v>
      </c>
      <c r="O769" s="364">
        <v>0</v>
      </c>
      <c r="P769" s="364">
        <v>0</v>
      </c>
      <c r="Q769" s="364">
        <f t="shared" si="740"/>
        <v>0</v>
      </c>
      <c r="R769" s="364">
        <v>0</v>
      </c>
      <c r="S769" s="364">
        <v>0</v>
      </c>
      <c r="T769" s="353" t="s">
        <v>145</v>
      </c>
      <c r="U769" s="365" t="s">
        <v>531</v>
      </c>
      <c r="V769" s="141"/>
    </row>
    <row r="770" spans="2:22" ht="12.75" customHeight="1" thickBot="1" x14ac:dyDescent="0.25">
      <c r="B770" s="364">
        <f t="shared" ref="B770:R770" si="747">SUM(B768:B769)</f>
        <v>96</v>
      </c>
      <c r="C770" s="364">
        <f t="shared" si="747"/>
        <v>96</v>
      </c>
      <c r="D770" s="364">
        <f t="shared" si="747"/>
        <v>0</v>
      </c>
      <c r="E770" s="364">
        <f t="shared" si="747"/>
        <v>3</v>
      </c>
      <c r="F770" s="364">
        <f t="shared" si="747"/>
        <v>3</v>
      </c>
      <c r="G770" s="364">
        <f t="shared" si="747"/>
        <v>0</v>
      </c>
      <c r="H770" s="364">
        <f t="shared" si="747"/>
        <v>17</v>
      </c>
      <c r="I770" s="364">
        <f t="shared" si="747"/>
        <v>17</v>
      </c>
      <c r="J770" s="364">
        <f t="shared" si="747"/>
        <v>0</v>
      </c>
      <c r="K770" s="364">
        <f t="shared" si="747"/>
        <v>76</v>
      </c>
      <c r="L770" s="364">
        <f t="shared" si="747"/>
        <v>76</v>
      </c>
      <c r="M770" s="364">
        <f t="shared" si="747"/>
        <v>0</v>
      </c>
      <c r="N770" s="364">
        <f t="shared" si="747"/>
        <v>0</v>
      </c>
      <c r="O770" s="364">
        <f t="shared" si="747"/>
        <v>0</v>
      </c>
      <c r="P770" s="364">
        <f t="shared" si="747"/>
        <v>0</v>
      </c>
      <c r="Q770" s="364">
        <f t="shared" si="747"/>
        <v>0</v>
      </c>
      <c r="R770" s="364">
        <f t="shared" si="747"/>
        <v>0</v>
      </c>
      <c r="S770" s="364">
        <f>SUM(S768:S769)</f>
        <v>0</v>
      </c>
      <c r="T770" s="353" t="s">
        <v>12</v>
      </c>
      <c r="U770" s="366"/>
      <c r="V770" s="141"/>
    </row>
    <row r="771" spans="2:22" ht="12.75" customHeight="1" thickBot="1" x14ac:dyDescent="0.25">
      <c r="B771" s="364">
        <f t="shared" ref="B771:B772" si="748">SUM(C771:D771)</f>
        <v>515</v>
      </c>
      <c r="C771" s="364">
        <f t="shared" ref="C771:D772" si="749">R771+O771+L771+I771+F771</f>
        <v>515</v>
      </c>
      <c r="D771" s="364">
        <f t="shared" si="749"/>
        <v>0</v>
      </c>
      <c r="E771" s="364">
        <f t="shared" si="736"/>
        <v>0</v>
      </c>
      <c r="F771" s="364">
        <v>0</v>
      </c>
      <c r="G771" s="364">
        <v>0</v>
      </c>
      <c r="H771" s="364">
        <f t="shared" si="737"/>
        <v>259</v>
      </c>
      <c r="I771" s="364">
        <v>259</v>
      </c>
      <c r="J771" s="364">
        <v>0</v>
      </c>
      <c r="K771" s="364">
        <f t="shared" si="738"/>
        <v>254</v>
      </c>
      <c r="L771" s="364">
        <v>254</v>
      </c>
      <c r="M771" s="364">
        <v>0</v>
      </c>
      <c r="N771" s="364">
        <f t="shared" si="739"/>
        <v>2</v>
      </c>
      <c r="O771" s="364">
        <v>2</v>
      </c>
      <c r="P771" s="364">
        <v>0</v>
      </c>
      <c r="Q771" s="364">
        <f t="shared" si="740"/>
        <v>0</v>
      </c>
      <c r="R771" s="364">
        <v>0</v>
      </c>
      <c r="S771" s="364">
        <v>0</v>
      </c>
      <c r="T771" s="353" t="s">
        <v>146</v>
      </c>
      <c r="U771" s="365"/>
      <c r="V771" s="141"/>
    </row>
    <row r="772" spans="2:22" ht="12.75" customHeight="1" thickBot="1" x14ac:dyDescent="0.25">
      <c r="B772" s="364">
        <f t="shared" si="748"/>
        <v>0</v>
      </c>
      <c r="C772" s="364">
        <f t="shared" si="749"/>
        <v>0</v>
      </c>
      <c r="D772" s="364">
        <f t="shared" si="749"/>
        <v>0</v>
      </c>
      <c r="E772" s="364">
        <f t="shared" si="736"/>
        <v>0</v>
      </c>
      <c r="F772" s="364">
        <v>0</v>
      </c>
      <c r="G772" s="364">
        <v>0</v>
      </c>
      <c r="H772" s="364">
        <f t="shared" si="737"/>
        <v>0</v>
      </c>
      <c r="I772" s="364">
        <v>0</v>
      </c>
      <c r="J772" s="364">
        <v>0</v>
      </c>
      <c r="K772" s="364">
        <f t="shared" si="738"/>
        <v>0</v>
      </c>
      <c r="L772" s="364">
        <v>0</v>
      </c>
      <c r="M772" s="364">
        <v>0</v>
      </c>
      <c r="N772" s="364">
        <f t="shared" si="739"/>
        <v>0</v>
      </c>
      <c r="O772" s="364">
        <v>0</v>
      </c>
      <c r="P772" s="364">
        <v>0</v>
      </c>
      <c r="Q772" s="364">
        <f t="shared" si="740"/>
        <v>0</v>
      </c>
      <c r="R772" s="364">
        <v>0</v>
      </c>
      <c r="S772" s="364">
        <v>0</v>
      </c>
      <c r="T772" s="353" t="s">
        <v>145</v>
      </c>
      <c r="U772" s="365" t="s">
        <v>533</v>
      </c>
      <c r="V772" s="141"/>
    </row>
    <row r="773" spans="2:22" ht="12.75" customHeight="1" thickBot="1" x14ac:dyDescent="0.25">
      <c r="B773" s="364">
        <f t="shared" ref="B773:R773" si="750">SUM(B771:B772)</f>
        <v>515</v>
      </c>
      <c r="C773" s="364">
        <f t="shared" si="750"/>
        <v>515</v>
      </c>
      <c r="D773" s="364">
        <f t="shared" si="750"/>
        <v>0</v>
      </c>
      <c r="E773" s="364">
        <f t="shared" si="750"/>
        <v>0</v>
      </c>
      <c r="F773" s="364">
        <f t="shared" si="750"/>
        <v>0</v>
      </c>
      <c r="G773" s="364">
        <f t="shared" si="750"/>
        <v>0</v>
      </c>
      <c r="H773" s="364">
        <f t="shared" si="750"/>
        <v>259</v>
      </c>
      <c r="I773" s="364">
        <f t="shared" si="750"/>
        <v>259</v>
      </c>
      <c r="J773" s="364">
        <f t="shared" si="750"/>
        <v>0</v>
      </c>
      <c r="K773" s="364">
        <f t="shared" si="750"/>
        <v>254</v>
      </c>
      <c r="L773" s="364">
        <f t="shared" si="750"/>
        <v>254</v>
      </c>
      <c r="M773" s="364">
        <f t="shared" si="750"/>
        <v>0</v>
      </c>
      <c r="N773" s="364">
        <f t="shared" si="750"/>
        <v>2</v>
      </c>
      <c r="O773" s="364">
        <f t="shared" si="750"/>
        <v>2</v>
      </c>
      <c r="P773" s="364">
        <f t="shared" si="750"/>
        <v>0</v>
      </c>
      <c r="Q773" s="364">
        <f t="shared" si="750"/>
        <v>0</v>
      </c>
      <c r="R773" s="364">
        <f t="shared" si="750"/>
        <v>0</v>
      </c>
      <c r="S773" s="364">
        <f>SUM(S771:S772)</f>
        <v>0</v>
      </c>
      <c r="T773" s="353" t="s">
        <v>12</v>
      </c>
      <c r="U773" s="366"/>
      <c r="V773" s="141"/>
    </row>
    <row r="774" spans="2:22" ht="12.75" customHeight="1" thickBot="1" x14ac:dyDescent="0.25">
      <c r="B774" s="364">
        <f t="shared" ref="B774:B775" si="751">SUM(C774:D774)</f>
        <v>2</v>
      </c>
      <c r="C774" s="364">
        <f t="shared" ref="C774:D775" si="752">R774+O774+L774+I774+F774</f>
        <v>2</v>
      </c>
      <c r="D774" s="364">
        <f t="shared" si="752"/>
        <v>0</v>
      </c>
      <c r="E774" s="364">
        <f t="shared" si="736"/>
        <v>0</v>
      </c>
      <c r="F774" s="364">
        <v>0</v>
      </c>
      <c r="G774" s="364">
        <v>0</v>
      </c>
      <c r="H774" s="364">
        <f t="shared" si="737"/>
        <v>0</v>
      </c>
      <c r="I774" s="364">
        <v>0</v>
      </c>
      <c r="J774" s="364">
        <v>0</v>
      </c>
      <c r="K774" s="364">
        <f t="shared" si="738"/>
        <v>2</v>
      </c>
      <c r="L774" s="364">
        <v>2</v>
      </c>
      <c r="M774" s="364">
        <v>0</v>
      </c>
      <c r="N774" s="364">
        <f t="shared" si="739"/>
        <v>0</v>
      </c>
      <c r="O774" s="364">
        <v>0</v>
      </c>
      <c r="P774" s="364">
        <v>0</v>
      </c>
      <c r="Q774" s="364">
        <f t="shared" si="740"/>
        <v>0</v>
      </c>
      <c r="R774" s="364">
        <v>0</v>
      </c>
      <c r="S774" s="364">
        <v>0</v>
      </c>
      <c r="T774" s="353" t="s">
        <v>146</v>
      </c>
      <c r="U774" s="365"/>
      <c r="V774" s="141"/>
    </row>
    <row r="775" spans="2:22" ht="12.75" customHeight="1" thickBot="1" x14ac:dyDescent="0.25">
      <c r="B775" s="364">
        <f t="shared" si="751"/>
        <v>0</v>
      </c>
      <c r="C775" s="364">
        <f t="shared" si="752"/>
        <v>0</v>
      </c>
      <c r="D775" s="364">
        <f t="shared" si="752"/>
        <v>0</v>
      </c>
      <c r="E775" s="364">
        <f t="shared" si="736"/>
        <v>0</v>
      </c>
      <c r="F775" s="364">
        <v>0</v>
      </c>
      <c r="G775" s="364">
        <v>0</v>
      </c>
      <c r="H775" s="364">
        <f t="shared" si="737"/>
        <v>0</v>
      </c>
      <c r="I775" s="364">
        <v>0</v>
      </c>
      <c r="J775" s="364">
        <v>0</v>
      </c>
      <c r="K775" s="364">
        <f t="shared" si="738"/>
        <v>0</v>
      </c>
      <c r="L775" s="364">
        <v>0</v>
      </c>
      <c r="M775" s="364">
        <v>0</v>
      </c>
      <c r="N775" s="364">
        <f t="shared" si="739"/>
        <v>0</v>
      </c>
      <c r="O775" s="364">
        <v>0</v>
      </c>
      <c r="P775" s="364">
        <v>0</v>
      </c>
      <c r="Q775" s="364">
        <f t="shared" si="740"/>
        <v>0</v>
      </c>
      <c r="R775" s="364">
        <v>0</v>
      </c>
      <c r="S775" s="364">
        <v>0</v>
      </c>
      <c r="T775" s="353" t="s">
        <v>145</v>
      </c>
      <c r="U775" s="365" t="s">
        <v>835</v>
      </c>
      <c r="V775" s="141"/>
    </row>
    <row r="776" spans="2:22" ht="12.75" customHeight="1" thickBot="1" x14ac:dyDescent="0.25">
      <c r="B776" s="364">
        <f t="shared" ref="B776:R776" si="753">SUM(B774:B775)</f>
        <v>2</v>
      </c>
      <c r="C776" s="364">
        <f t="shared" si="753"/>
        <v>2</v>
      </c>
      <c r="D776" s="364">
        <f t="shared" si="753"/>
        <v>0</v>
      </c>
      <c r="E776" s="364">
        <f t="shared" si="753"/>
        <v>0</v>
      </c>
      <c r="F776" s="364">
        <f t="shared" si="753"/>
        <v>0</v>
      </c>
      <c r="G776" s="364">
        <f t="shared" si="753"/>
        <v>0</v>
      </c>
      <c r="H776" s="364">
        <f t="shared" si="753"/>
        <v>0</v>
      </c>
      <c r="I776" s="364">
        <f t="shared" si="753"/>
        <v>0</v>
      </c>
      <c r="J776" s="364">
        <f t="shared" si="753"/>
        <v>0</v>
      </c>
      <c r="K776" s="364">
        <f t="shared" si="753"/>
        <v>2</v>
      </c>
      <c r="L776" s="364">
        <f t="shared" si="753"/>
        <v>2</v>
      </c>
      <c r="M776" s="364">
        <f t="shared" si="753"/>
        <v>0</v>
      </c>
      <c r="N776" s="364">
        <f t="shared" si="753"/>
        <v>0</v>
      </c>
      <c r="O776" s="364">
        <f t="shared" si="753"/>
        <v>0</v>
      </c>
      <c r="P776" s="364">
        <f t="shared" si="753"/>
        <v>0</v>
      </c>
      <c r="Q776" s="364">
        <f t="shared" si="753"/>
        <v>0</v>
      </c>
      <c r="R776" s="364">
        <f t="shared" si="753"/>
        <v>0</v>
      </c>
      <c r="S776" s="364">
        <f>SUM(S774:S775)</f>
        <v>0</v>
      </c>
      <c r="T776" s="353" t="s">
        <v>12</v>
      </c>
      <c r="U776" s="366"/>
      <c r="V776" s="141"/>
    </row>
    <row r="777" spans="2:22" ht="12.75" customHeight="1" thickBot="1" x14ac:dyDescent="0.25">
      <c r="B777" s="364">
        <f t="shared" ref="B777:B778" si="754">SUM(C777:D777)</f>
        <v>173</v>
      </c>
      <c r="C777" s="364">
        <f t="shared" ref="C777:D778" si="755">R777+O777+L777+I777+F777</f>
        <v>173</v>
      </c>
      <c r="D777" s="364">
        <f t="shared" si="755"/>
        <v>0</v>
      </c>
      <c r="E777" s="364">
        <f t="shared" si="736"/>
        <v>4</v>
      </c>
      <c r="F777" s="364">
        <v>4</v>
      </c>
      <c r="G777" s="364">
        <v>0</v>
      </c>
      <c r="H777" s="364">
        <f t="shared" si="737"/>
        <v>33</v>
      </c>
      <c r="I777" s="364">
        <v>33</v>
      </c>
      <c r="J777" s="364">
        <v>0</v>
      </c>
      <c r="K777" s="364">
        <f t="shared" si="738"/>
        <v>127</v>
      </c>
      <c r="L777" s="364">
        <v>127</v>
      </c>
      <c r="M777" s="364">
        <v>0</v>
      </c>
      <c r="N777" s="364">
        <f t="shared" si="739"/>
        <v>9</v>
      </c>
      <c r="O777" s="364">
        <v>9</v>
      </c>
      <c r="P777" s="364">
        <v>0</v>
      </c>
      <c r="Q777" s="364">
        <f t="shared" si="740"/>
        <v>0</v>
      </c>
      <c r="R777" s="364">
        <v>0</v>
      </c>
      <c r="S777" s="364">
        <v>0</v>
      </c>
      <c r="T777" s="353" t="s">
        <v>146</v>
      </c>
      <c r="U777" s="365"/>
      <c r="V777" s="141"/>
    </row>
    <row r="778" spans="2:22" ht="12.75" customHeight="1" thickBot="1" x14ac:dyDescent="0.25">
      <c r="B778" s="364">
        <f t="shared" si="754"/>
        <v>0</v>
      </c>
      <c r="C778" s="364">
        <f t="shared" si="755"/>
        <v>0</v>
      </c>
      <c r="D778" s="364">
        <f t="shared" si="755"/>
        <v>0</v>
      </c>
      <c r="E778" s="364">
        <f t="shared" si="736"/>
        <v>0</v>
      </c>
      <c r="F778" s="364">
        <v>0</v>
      </c>
      <c r="G778" s="364">
        <v>0</v>
      </c>
      <c r="H778" s="364">
        <f t="shared" si="737"/>
        <v>0</v>
      </c>
      <c r="I778" s="364">
        <v>0</v>
      </c>
      <c r="J778" s="364">
        <v>0</v>
      </c>
      <c r="K778" s="364">
        <f t="shared" si="738"/>
        <v>0</v>
      </c>
      <c r="L778" s="364">
        <v>0</v>
      </c>
      <c r="M778" s="364">
        <v>0</v>
      </c>
      <c r="N778" s="364">
        <f t="shared" si="739"/>
        <v>0</v>
      </c>
      <c r="O778" s="364">
        <v>0</v>
      </c>
      <c r="P778" s="364">
        <v>0</v>
      </c>
      <c r="Q778" s="364">
        <f t="shared" si="740"/>
        <v>0</v>
      </c>
      <c r="R778" s="364">
        <v>0</v>
      </c>
      <c r="S778" s="364">
        <v>0</v>
      </c>
      <c r="T778" s="353" t="s">
        <v>145</v>
      </c>
      <c r="U778" s="365" t="s">
        <v>549</v>
      </c>
      <c r="V778" s="141"/>
    </row>
    <row r="779" spans="2:22" ht="12.75" customHeight="1" thickBot="1" x14ac:dyDescent="0.25">
      <c r="B779" s="364">
        <f t="shared" ref="B779:R779" si="756">SUM(B777:B778)</f>
        <v>173</v>
      </c>
      <c r="C779" s="364">
        <f t="shared" si="756"/>
        <v>173</v>
      </c>
      <c r="D779" s="364">
        <f t="shared" si="756"/>
        <v>0</v>
      </c>
      <c r="E779" s="364">
        <f t="shared" si="756"/>
        <v>4</v>
      </c>
      <c r="F779" s="364">
        <f t="shared" si="756"/>
        <v>4</v>
      </c>
      <c r="G779" s="364">
        <f t="shared" si="756"/>
        <v>0</v>
      </c>
      <c r="H779" s="364">
        <f t="shared" si="756"/>
        <v>33</v>
      </c>
      <c r="I779" s="364">
        <f t="shared" si="756"/>
        <v>33</v>
      </c>
      <c r="J779" s="364">
        <f t="shared" si="756"/>
        <v>0</v>
      </c>
      <c r="K779" s="364">
        <f t="shared" si="756"/>
        <v>127</v>
      </c>
      <c r="L779" s="364">
        <f t="shared" si="756"/>
        <v>127</v>
      </c>
      <c r="M779" s="364">
        <f t="shared" si="756"/>
        <v>0</v>
      </c>
      <c r="N779" s="364">
        <f t="shared" si="756"/>
        <v>9</v>
      </c>
      <c r="O779" s="364">
        <f t="shared" si="756"/>
        <v>9</v>
      </c>
      <c r="P779" s="364">
        <f t="shared" si="756"/>
        <v>0</v>
      </c>
      <c r="Q779" s="364">
        <f t="shared" si="756"/>
        <v>0</v>
      </c>
      <c r="R779" s="364">
        <f t="shared" si="756"/>
        <v>0</v>
      </c>
      <c r="S779" s="364">
        <f>SUM(S777:S778)</f>
        <v>0</v>
      </c>
      <c r="T779" s="353" t="s">
        <v>12</v>
      </c>
      <c r="U779" s="366"/>
      <c r="V779" s="141"/>
    </row>
    <row r="780" spans="2:22" ht="12.75" customHeight="1" thickBot="1" x14ac:dyDescent="0.25">
      <c r="B780" s="364">
        <f t="shared" ref="B780:B781" si="757">SUM(C780:D780)</f>
        <v>14</v>
      </c>
      <c r="C780" s="364">
        <f t="shared" ref="C780:D781" si="758">R780+O780+L780+I780+F780</f>
        <v>14</v>
      </c>
      <c r="D780" s="364">
        <f t="shared" si="758"/>
        <v>0</v>
      </c>
      <c r="E780" s="364">
        <f t="shared" si="736"/>
        <v>0</v>
      </c>
      <c r="F780" s="364">
        <v>0</v>
      </c>
      <c r="G780" s="364">
        <v>0</v>
      </c>
      <c r="H780" s="364">
        <f t="shared" si="737"/>
        <v>12</v>
      </c>
      <c r="I780" s="364">
        <v>12</v>
      </c>
      <c r="J780" s="364">
        <v>0</v>
      </c>
      <c r="K780" s="364">
        <f t="shared" si="738"/>
        <v>2</v>
      </c>
      <c r="L780" s="364">
        <v>2</v>
      </c>
      <c r="M780" s="364">
        <v>0</v>
      </c>
      <c r="N780" s="364">
        <f t="shared" si="739"/>
        <v>0</v>
      </c>
      <c r="O780" s="364">
        <v>0</v>
      </c>
      <c r="P780" s="364">
        <v>0</v>
      </c>
      <c r="Q780" s="364">
        <f t="shared" si="740"/>
        <v>0</v>
      </c>
      <c r="R780" s="364">
        <v>0</v>
      </c>
      <c r="S780" s="364">
        <v>0</v>
      </c>
      <c r="T780" s="353" t="s">
        <v>146</v>
      </c>
      <c r="U780" s="365"/>
      <c r="V780" s="141"/>
    </row>
    <row r="781" spans="2:22" ht="12.75" customHeight="1" thickBot="1" x14ac:dyDescent="0.25">
      <c r="B781" s="364">
        <f t="shared" si="757"/>
        <v>0</v>
      </c>
      <c r="C781" s="364">
        <f t="shared" si="758"/>
        <v>0</v>
      </c>
      <c r="D781" s="364">
        <f t="shared" si="758"/>
        <v>0</v>
      </c>
      <c r="E781" s="364">
        <f t="shared" si="736"/>
        <v>0</v>
      </c>
      <c r="F781" s="364">
        <v>0</v>
      </c>
      <c r="G781" s="364">
        <v>0</v>
      </c>
      <c r="H781" s="364">
        <f t="shared" si="737"/>
        <v>0</v>
      </c>
      <c r="I781" s="364">
        <v>0</v>
      </c>
      <c r="J781" s="364">
        <v>0</v>
      </c>
      <c r="K781" s="364">
        <f t="shared" si="738"/>
        <v>0</v>
      </c>
      <c r="L781" s="364">
        <v>0</v>
      </c>
      <c r="M781" s="364">
        <v>0</v>
      </c>
      <c r="N781" s="364">
        <f t="shared" si="739"/>
        <v>0</v>
      </c>
      <c r="O781" s="364">
        <v>0</v>
      </c>
      <c r="P781" s="364">
        <v>0</v>
      </c>
      <c r="Q781" s="364">
        <f t="shared" si="740"/>
        <v>0</v>
      </c>
      <c r="R781" s="364">
        <v>0</v>
      </c>
      <c r="S781" s="364">
        <v>0</v>
      </c>
      <c r="T781" s="353" t="s">
        <v>145</v>
      </c>
      <c r="U781" s="365" t="s">
        <v>550</v>
      </c>
      <c r="V781" s="141"/>
    </row>
    <row r="782" spans="2:22" ht="12.75" customHeight="1" thickBot="1" x14ac:dyDescent="0.25">
      <c r="B782" s="364">
        <f t="shared" ref="B782:R782" si="759">SUM(B780:B781)</f>
        <v>14</v>
      </c>
      <c r="C782" s="364">
        <f t="shared" si="759"/>
        <v>14</v>
      </c>
      <c r="D782" s="364">
        <f t="shared" si="759"/>
        <v>0</v>
      </c>
      <c r="E782" s="364">
        <f t="shared" si="759"/>
        <v>0</v>
      </c>
      <c r="F782" s="364">
        <f t="shared" si="759"/>
        <v>0</v>
      </c>
      <c r="G782" s="364">
        <f t="shared" si="759"/>
        <v>0</v>
      </c>
      <c r="H782" s="364">
        <f t="shared" si="759"/>
        <v>12</v>
      </c>
      <c r="I782" s="364">
        <f t="shared" si="759"/>
        <v>12</v>
      </c>
      <c r="J782" s="364">
        <f t="shared" si="759"/>
        <v>0</v>
      </c>
      <c r="K782" s="364">
        <f t="shared" si="759"/>
        <v>2</v>
      </c>
      <c r="L782" s="364">
        <f t="shared" si="759"/>
        <v>2</v>
      </c>
      <c r="M782" s="364">
        <f t="shared" si="759"/>
        <v>0</v>
      </c>
      <c r="N782" s="364">
        <f t="shared" si="759"/>
        <v>0</v>
      </c>
      <c r="O782" s="364">
        <f t="shared" si="759"/>
        <v>0</v>
      </c>
      <c r="P782" s="364">
        <f t="shared" si="759"/>
        <v>0</v>
      </c>
      <c r="Q782" s="364">
        <f t="shared" si="759"/>
        <v>0</v>
      </c>
      <c r="R782" s="364">
        <f t="shared" si="759"/>
        <v>0</v>
      </c>
      <c r="S782" s="364">
        <f>SUM(S780:S781)</f>
        <v>0</v>
      </c>
      <c r="T782" s="353" t="s">
        <v>12</v>
      </c>
      <c r="U782" s="366"/>
      <c r="V782" s="141"/>
    </row>
    <row r="783" spans="2:22" ht="12.75" customHeight="1" thickBot="1" x14ac:dyDescent="0.25">
      <c r="B783" s="364">
        <f t="shared" ref="B783:R785" si="760">B762+B765+B768+B771+B774+B777+B780</f>
        <v>1201</v>
      </c>
      <c r="C783" s="364">
        <f t="shared" si="760"/>
        <v>1048</v>
      </c>
      <c r="D783" s="364">
        <f t="shared" si="760"/>
        <v>153</v>
      </c>
      <c r="E783" s="364">
        <f t="shared" si="760"/>
        <v>18</v>
      </c>
      <c r="F783" s="364">
        <f t="shared" si="760"/>
        <v>18</v>
      </c>
      <c r="G783" s="364">
        <f t="shared" si="760"/>
        <v>0</v>
      </c>
      <c r="H783" s="364">
        <f t="shared" si="760"/>
        <v>545</v>
      </c>
      <c r="I783" s="364">
        <f t="shared" si="760"/>
        <v>392</v>
      </c>
      <c r="J783" s="364">
        <f t="shared" si="760"/>
        <v>153</v>
      </c>
      <c r="K783" s="364">
        <f t="shared" si="760"/>
        <v>623</v>
      </c>
      <c r="L783" s="364">
        <f t="shared" si="760"/>
        <v>623</v>
      </c>
      <c r="M783" s="364">
        <f t="shared" si="760"/>
        <v>0</v>
      </c>
      <c r="N783" s="364">
        <f t="shared" si="760"/>
        <v>15</v>
      </c>
      <c r="O783" s="364">
        <f t="shared" si="760"/>
        <v>15</v>
      </c>
      <c r="P783" s="364">
        <f t="shared" si="760"/>
        <v>0</v>
      </c>
      <c r="Q783" s="364">
        <f t="shared" si="760"/>
        <v>0</v>
      </c>
      <c r="R783" s="364">
        <f t="shared" si="760"/>
        <v>0</v>
      </c>
      <c r="S783" s="364">
        <f>S762+S765+S768+S771+S774+S777+S780</f>
        <v>0</v>
      </c>
      <c r="T783" s="353" t="s">
        <v>146</v>
      </c>
      <c r="U783" s="367"/>
      <c r="V783" s="141"/>
    </row>
    <row r="784" spans="2:22" ht="12.75" customHeight="1" thickBot="1" x14ac:dyDescent="0.25">
      <c r="B784" s="364">
        <f t="shared" si="760"/>
        <v>2</v>
      </c>
      <c r="C784" s="364">
        <f t="shared" si="760"/>
        <v>0</v>
      </c>
      <c r="D784" s="364">
        <f t="shared" si="760"/>
        <v>2</v>
      </c>
      <c r="E784" s="364">
        <f t="shared" si="760"/>
        <v>2</v>
      </c>
      <c r="F784" s="364">
        <f t="shared" si="760"/>
        <v>0</v>
      </c>
      <c r="G784" s="364">
        <f t="shared" si="760"/>
        <v>2</v>
      </c>
      <c r="H784" s="364">
        <f t="shared" si="760"/>
        <v>0</v>
      </c>
      <c r="I784" s="364">
        <f t="shared" si="760"/>
        <v>0</v>
      </c>
      <c r="J784" s="364">
        <f t="shared" si="760"/>
        <v>0</v>
      </c>
      <c r="K784" s="364">
        <f t="shared" si="760"/>
        <v>0</v>
      </c>
      <c r="L784" s="364">
        <f t="shared" si="760"/>
        <v>0</v>
      </c>
      <c r="M784" s="364">
        <f t="shared" si="760"/>
        <v>0</v>
      </c>
      <c r="N784" s="364">
        <f t="shared" si="760"/>
        <v>0</v>
      </c>
      <c r="O784" s="364">
        <f t="shared" si="760"/>
        <v>0</v>
      </c>
      <c r="P784" s="364">
        <f t="shared" si="760"/>
        <v>0</v>
      </c>
      <c r="Q784" s="364">
        <f t="shared" si="760"/>
        <v>0</v>
      </c>
      <c r="R784" s="364">
        <f t="shared" si="760"/>
        <v>0</v>
      </c>
      <c r="S784" s="364">
        <f t="shared" ref="S784:S785" si="761">S763+S766+S769+S772+S775+S778+S781</f>
        <v>0</v>
      </c>
      <c r="T784" s="353" t="s">
        <v>145</v>
      </c>
      <c r="U784" s="368" t="s">
        <v>188</v>
      </c>
      <c r="V784" s="141"/>
    </row>
    <row r="785" spans="2:22" ht="12.75" customHeight="1" thickBot="1" x14ac:dyDescent="0.25">
      <c r="B785" s="364">
        <f t="shared" si="760"/>
        <v>1203</v>
      </c>
      <c r="C785" s="364">
        <f t="shared" si="760"/>
        <v>1048</v>
      </c>
      <c r="D785" s="364">
        <f t="shared" si="760"/>
        <v>155</v>
      </c>
      <c r="E785" s="364">
        <f t="shared" si="760"/>
        <v>20</v>
      </c>
      <c r="F785" s="364">
        <f t="shared" si="760"/>
        <v>18</v>
      </c>
      <c r="G785" s="364">
        <f t="shared" si="760"/>
        <v>2</v>
      </c>
      <c r="H785" s="364">
        <f t="shared" si="760"/>
        <v>545</v>
      </c>
      <c r="I785" s="364">
        <f t="shared" si="760"/>
        <v>392</v>
      </c>
      <c r="J785" s="364">
        <f t="shared" si="760"/>
        <v>153</v>
      </c>
      <c r="K785" s="364">
        <f t="shared" si="760"/>
        <v>623</v>
      </c>
      <c r="L785" s="364">
        <f t="shared" si="760"/>
        <v>623</v>
      </c>
      <c r="M785" s="364">
        <f t="shared" si="760"/>
        <v>0</v>
      </c>
      <c r="N785" s="364">
        <f t="shared" si="760"/>
        <v>15</v>
      </c>
      <c r="O785" s="364">
        <f t="shared" si="760"/>
        <v>15</v>
      </c>
      <c r="P785" s="364">
        <f t="shared" si="760"/>
        <v>0</v>
      </c>
      <c r="Q785" s="364">
        <f t="shared" si="760"/>
        <v>0</v>
      </c>
      <c r="R785" s="364">
        <f t="shared" si="760"/>
        <v>0</v>
      </c>
      <c r="S785" s="364">
        <f t="shared" si="761"/>
        <v>0</v>
      </c>
      <c r="T785" s="353" t="s">
        <v>12</v>
      </c>
      <c r="U785" s="363"/>
      <c r="V785" s="141"/>
    </row>
    <row r="786" spans="2:22" ht="13.5" thickBot="1" x14ac:dyDescent="0.25">
      <c r="B786" s="610"/>
      <c r="C786" s="610"/>
      <c r="D786" s="610"/>
      <c r="E786" s="610"/>
      <c r="F786" s="610"/>
      <c r="G786" s="610"/>
      <c r="H786" s="610"/>
      <c r="I786" s="610"/>
      <c r="J786" s="610"/>
      <c r="K786" s="610"/>
      <c r="L786" s="610"/>
      <c r="M786" s="610"/>
      <c r="N786" s="610"/>
      <c r="O786" s="610"/>
      <c r="P786" s="610"/>
      <c r="Q786" s="610"/>
      <c r="R786" s="610"/>
      <c r="S786" s="610"/>
      <c r="T786" s="610"/>
      <c r="U786" s="610"/>
      <c r="V786" s="141"/>
    </row>
    <row r="787" spans="2:22" ht="13.5" customHeight="1" thickBot="1" x14ac:dyDescent="0.25">
      <c r="B787" s="607" t="s">
        <v>4</v>
      </c>
      <c r="C787" s="607"/>
      <c r="D787" s="607"/>
      <c r="E787" s="607" t="s">
        <v>53</v>
      </c>
      <c r="F787" s="607"/>
      <c r="G787" s="607"/>
      <c r="H787" s="607" t="s">
        <v>61</v>
      </c>
      <c r="I787" s="607"/>
      <c r="J787" s="607"/>
      <c r="K787" s="607" t="s">
        <v>60</v>
      </c>
      <c r="L787" s="607"/>
      <c r="M787" s="607"/>
      <c r="N787" s="607" t="s">
        <v>57</v>
      </c>
      <c r="O787" s="607"/>
      <c r="P787" s="607"/>
      <c r="Q787" s="607" t="s">
        <v>56</v>
      </c>
      <c r="R787" s="607"/>
      <c r="S787" s="607"/>
      <c r="T787" s="608" t="s">
        <v>741</v>
      </c>
      <c r="U787" s="347" t="s">
        <v>144</v>
      </c>
      <c r="V787" s="141"/>
    </row>
    <row r="788" spans="2:22" ht="13.5" thickBot="1" x14ac:dyDescent="0.25">
      <c r="B788" s="347" t="s">
        <v>227</v>
      </c>
      <c r="C788" s="347" t="s">
        <v>10</v>
      </c>
      <c r="D788" s="347" t="s">
        <v>9</v>
      </c>
      <c r="E788" s="347" t="s">
        <v>227</v>
      </c>
      <c r="F788" s="347" t="s">
        <v>10</v>
      </c>
      <c r="G788" s="347" t="s">
        <v>9</v>
      </c>
      <c r="H788" s="347" t="s">
        <v>227</v>
      </c>
      <c r="I788" s="347" t="s">
        <v>10</v>
      </c>
      <c r="J788" s="347" t="s">
        <v>9</v>
      </c>
      <c r="K788" s="347" t="s">
        <v>227</v>
      </c>
      <c r="L788" s="347" t="s">
        <v>10</v>
      </c>
      <c r="M788" s="347" t="s">
        <v>9</v>
      </c>
      <c r="N788" s="347" t="s">
        <v>227</v>
      </c>
      <c r="O788" s="347" t="s">
        <v>10</v>
      </c>
      <c r="P788" s="347" t="s">
        <v>9</v>
      </c>
      <c r="Q788" s="347" t="s">
        <v>227</v>
      </c>
      <c r="R788" s="347" t="s">
        <v>10</v>
      </c>
      <c r="S788" s="347" t="s">
        <v>9</v>
      </c>
      <c r="T788" s="609"/>
      <c r="U788" s="363" t="s">
        <v>123</v>
      </c>
      <c r="V788" s="141"/>
    </row>
    <row r="789" spans="2:22" ht="13.5" thickBot="1" x14ac:dyDescent="0.25">
      <c r="B789" s="364">
        <f>SUM(C789:D789)</f>
        <v>38</v>
      </c>
      <c r="C789" s="364">
        <f>R789+O789+L789+I789+F789</f>
        <v>0</v>
      </c>
      <c r="D789" s="364">
        <f>S789+P789+M789+J789+G789</f>
        <v>38</v>
      </c>
      <c r="E789" s="364">
        <f>SUM(F789:G789)</f>
        <v>12</v>
      </c>
      <c r="F789" s="364">
        <v>0</v>
      </c>
      <c r="G789" s="364">
        <v>12</v>
      </c>
      <c r="H789" s="364">
        <f>SUM(I789:J789)</f>
        <v>12</v>
      </c>
      <c r="I789" s="364">
        <v>0</v>
      </c>
      <c r="J789" s="364">
        <v>12</v>
      </c>
      <c r="K789" s="364">
        <f>SUM(L789:M789)</f>
        <v>11</v>
      </c>
      <c r="L789" s="364">
        <v>0</v>
      </c>
      <c r="M789" s="364">
        <v>11</v>
      </c>
      <c r="N789" s="364">
        <f>SUM(O789:P789)</f>
        <v>0</v>
      </c>
      <c r="O789" s="364">
        <v>0</v>
      </c>
      <c r="P789" s="364">
        <v>0</v>
      </c>
      <c r="Q789" s="364">
        <f>SUM(R789:S789)</f>
        <v>3</v>
      </c>
      <c r="R789" s="364">
        <v>0</v>
      </c>
      <c r="S789" s="364">
        <v>3</v>
      </c>
      <c r="T789" s="353" t="s">
        <v>146</v>
      </c>
      <c r="U789" s="365"/>
      <c r="V789" s="141"/>
    </row>
    <row r="790" spans="2:22" ht="13.5" thickBot="1" x14ac:dyDescent="0.25">
      <c r="B790" s="364">
        <f t="shared" ref="B790" si="762">SUM(C790:D790)</f>
        <v>2</v>
      </c>
      <c r="C790" s="364">
        <f t="shared" ref="C790:D790" si="763">R790+O790+L790+I790+F790</f>
        <v>1</v>
      </c>
      <c r="D790" s="364">
        <f t="shared" si="763"/>
        <v>1</v>
      </c>
      <c r="E790" s="364">
        <f t="shared" ref="E790:E802" si="764">SUM(F790:G790)</f>
        <v>0</v>
      </c>
      <c r="F790" s="364">
        <v>0</v>
      </c>
      <c r="G790" s="364">
        <v>0</v>
      </c>
      <c r="H790" s="364">
        <f t="shared" ref="H790:H802" si="765">SUM(I790:J790)</f>
        <v>0</v>
      </c>
      <c r="I790" s="364">
        <v>0</v>
      </c>
      <c r="J790" s="364">
        <v>0</v>
      </c>
      <c r="K790" s="364">
        <f t="shared" ref="K790:K802" si="766">SUM(L790:M790)</f>
        <v>2</v>
      </c>
      <c r="L790" s="364">
        <v>1</v>
      </c>
      <c r="M790" s="364">
        <v>1</v>
      </c>
      <c r="N790" s="364">
        <f t="shared" ref="N790:N802" si="767">SUM(O790:P790)</f>
        <v>0</v>
      </c>
      <c r="O790" s="364">
        <v>0</v>
      </c>
      <c r="P790" s="364">
        <v>0</v>
      </c>
      <c r="Q790" s="364">
        <f t="shared" ref="Q790:Q802" si="768">SUM(R790:S790)</f>
        <v>0</v>
      </c>
      <c r="R790" s="364">
        <v>0</v>
      </c>
      <c r="S790" s="364">
        <v>0</v>
      </c>
      <c r="T790" s="353" t="s">
        <v>145</v>
      </c>
      <c r="U790" s="365" t="s">
        <v>558</v>
      </c>
      <c r="V790" s="141"/>
    </row>
    <row r="791" spans="2:22" ht="13.5" thickBot="1" x14ac:dyDescent="0.25">
      <c r="B791" s="364">
        <f t="shared" ref="B791:R791" si="769">SUM(B789:B790)</f>
        <v>40</v>
      </c>
      <c r="C791" s="364">
        <f t="shared" si="769"/>
        <v>1</v>
      </c>
      <c r="D791" s="364">
        <f t="shared" si="769"/>
        <v>39</v>
      </c>
      <c r="E791" s="364">
        <f t="shared" si="769"/>
        <v>12</v>
      </c>
      <c r="F791" s="364">
        <f t="shared" si="769"/>
        <v>0</v>
      </c>
      <c r="G791" s="364">
        <f t="shared" si="769"/>
        <v>12</v>
      </c>
      <c r="H791" s="364">
        <f t="shared" si="769"/>
        <v>12</v>
      </c>
      <c r="I791" s="364">
        <f t="shared" si="769"/>
        <v>0</v>
      </c>
      <c r="J791" s="364">
        <f t="shared" si="769"/>
        <v>12</v>
      </c>
      <c r="K791" s="364">
        <f t="shared" si="769"/>
        <v>13</v>
      </c>
      <c r="L791" s="364">
        <f t="shared" si="769"/>
        <v>1</v>
      </c>
      <c r="M791" s="364">
        <f t="shared" si="769"/>
        <v>12</v>
      </c>
      <c r="N791" s="364">
        <f t="shared" si="769"/>
        <v>0</v>
      </c>
      <c r="O791" s="364">
        <f t="shared" si="769"/>
        <v>0</v>
      </c>
      <c r="P791" s="364">
        <f t="shared" si="769"/>
        <v>0</v>
      </c>
      <c r="Q791" s="364">
        <f t="shared" si="769"/>
        <v>3</v>
      </c>
      <c r="R791" s="364">
        <f t="shared" si="769"/>
        <v>0</v>
      </c>
      <c r="S791" s="364">
        <f>SUM(S789:S790)</f>
        <v>3</v>
      </c>
      <c r="T791" s="353" t="s">
        <v>12</v>
      </c>
      <c r="U791" s="366"/>
      <c r="V791" s="141"/>
    </row>
    <row r="792" spans="2:22" ht="13.5" thickBot="1" x14ac:dyDescent="0.25">
      <c r="B792" s="364">
        <f t="shared" ref="B792:B793" si="770">SUM(C792:D792)</f>
        <v>9</v>
      </c>
      <c r="C792" s="364">
        <f t="shared" ref="C792:D793" si="771">R792+O792+L792+I792+F792</f>
        <v>9</v>
      </c>
      <c r="D792" s="364">
        <f t="shared" si="771"/>
        <v>0</v>
      </c>
      <c r="E792" s="364">
        <f t="shared" si="764"/>
        <v>1</v>
      </c>
      <c r="F792" s="364">
        <v>1</v>
      </c>
      <c r="G792" s="364">
        <v>0</v>
      </c>
      <c r="H792" s="364">
        <f t="shared" si="765"/>
        <v>2</v>
      </c>
      <c r="I792" s="364">
        <v>2</v>
      </c>
      <c r="J792" s="364">
        <v>0</v>
      </c>
      <c r="K792" s="364">
        <f t="shared" si="766"/>
        <v>6</v>
      </c>
      <c r="L792" s="364">
        <v>6</v>
      </c>
      <c r="M792" s="364">
        <v>0</v>
      </c>
      <c r="N792" s="364">
        <f t="shared" si="767"/>
        <v>0</v>
      </c>
      <c r="O792" s="364">
        <v>0</v>
      </c>
      <c r="P792" s="364">
        <v>0</v>
      </c>
      <c r="Q792" s="364">
        <f t="shared" si="768"/>
        <v>0</v>
      </c>
      <c r="R792" s="364">
        <v>0</v>
      </c>
      <c r="S792" s="364">
        <v>0</v>
      </c>
      <c r="T792" s="353" t="s">
        <v>146</v>
      </c>
      <c r="U792" s="365"/>
      <c r="V792" s="141"/>
    </row>
    <row r="793" spans="2:22" ht="13.5" thickBot="1" x14ac:dyDescent="0.25">
      <c r="B793" s="364">
        <f t="shared" si="770"/>
        <v>0</v>
      </c>
      <c r="C793" s="364">
        <f t="shared" si="771"/>
        <v>0</v>
      </c>
      <c r="D793" s="364">
        <f t="shared" si="771"/>
        <v>0</v>
      </c>
      <c r="E793" s="364">
        <f t="shared" si="764"/>
        <v>0</v>
      </c>
      <c r="F793" s="364">
        <v>0</v>
      </c>
      <c r="G793" s="364">
        <v>0</v>
      </c>
      <c r="H793" s="364">
        <f t="shared" si="765"/>
        <v>0</v>
      </c>
      <c r="I793" s="364">
        <v>0</v>
      </c>
      <c r="J793" s="364">
        <v>0</v>
      </c>
      <c r="K793" s="364">
        <f t="shared" si="766"/>
        <v>0</v>
      </c>
      <c r="L793" s="364">
        <v>0</v>
      </c>
      <c r="M793" s="364">
        <v>0</v>
      </c>
      <c r="N793" s="364">
        <f t="shared" si="767"/>
        <v>0</v>
      </c>
      <c r="O793" s="364">
        <v>0</v>
      </c>
      <c r="P793" s="364">
        <v>0</v>
      </c>
      <c r="Q793" s="364">
        <f t="shared" si="768"/>
        <v>0</v>
      </c>
      <c r="R793" s="364">
        <v>0</v>
      </c>
      <c r="S793" s="364">
        <v>0</v>
      </c>
      <c r="T793" s="353" t="s">
        <v>145</v>
      </c>
      <c r="U793" s="365" t="s">
        <v>122</v>
      </c>
      <c r="V793" s="141"/>
    </row>
    <row r="794" spans="2:22" ht="13.5" thickBot="1" x14ac:dyDescent="0.25">
      <c r="B794" s="364">
        <f t="shared" ref="B794:R794" si="772">SUM(B792:B793)</f>
        <v>9</v>
      </c>
      <c r="C794" s="364">
        <f t="shared" si="772"/>
        <v>9</v>
      </c>
      <c r="D794" s="364">
        <f t="shared" si="772"/>
        <v>0</v>
      </c>
      <c r="E794" s="364">
        <f t="shared" si="772"/>
        <v>1</v>
      </c>
      <c r="F794" s="364">
        <f t="shared" si="772"/>
        <v>1</v>
      </c>
      <c r="G794" s="364">
        <f t="shared" si="772"/>
        <v>0</v>
      </c>
      <c r="H794" s="364">
        <f t="shared" si="772"/>
        <v>2</v>
      </c>
      <c r="I794" s="364">
        <f t="shared" si="772"/>
        <v>2</v>
      </c>
      <c r="J794" s="364">
        <f t="shared" si="772"/>
        <v>0</v>
      </c>
      <c r="K794" s="364">
        <f t="shared" si="772"/>
        <v>6</v>
      </c>
      <c r="L794" s="364">
        <f t="shared" si="772"/>
        <v>6</v>
      </c>
      <c r="M794" s="364">
        <f t="shared" si="772"/>
        <v>0</v>
      </c>
      <c r="N794" s="364">
        <f t="shared" si="772"/>
        <v>0</v>
      </c>
      <c r="O794" s="364">
        <f t="shared" si="772"/>
        <v>0</v>
      </c>
      <c r="P794" s="364">
        <f t="shared" si="772"/>
        <v>0</v>
      </c>
      <c r="Q794" s="364">
        <f t="shared" si="772"/>
        <v>0</v>
      </c>
      <c r="R794" s="364">
        <f t="shared" si="772"/>
        <v>0</v>
      </c>
      <c r="S794" s="364">
        <f>SUM(S792:S793)</f>
        <v>0</v>
      </c>
      <c r="T794" s="353" t="s">
        <v>12</v>
      </c>
      <c r="U794" s="366"/>
      <c r="V794" s="141"/>
    </row>
    <row r="795" spans="2:22" ht="13.5" thickBot="1" x14ac:dyDescent="0.25">
      <c r="B795" s="364">
        <f t="shared" ref="B795:B796" si="773">SUM(C795:D795)</f>
        <v>44</v>
      </c>
      <c r="C795" s="364">
        <f t="shared" ref="C795:D796" si="774">R795+O795+L795+I795+F795</f>
        <v>0</v>
      </c>
      <c r="D795" s="364">
        <f t="shared" si="774"/>
        <v>44</v>
      </c>
      <c r="E795" s="364">
        <f t="shared" si="764"/>
        <v>41</v>
      </c>
      <c r="F795" s="364">
        <v>0</v>
      </c>
      <c r="G795" s="364">
        <v>41</v>
      </c>
      <c r="H795" s="364">
        <f t="shared" si="765"/>
        <v>3</v>
      </c>
      <c r="I795" s="364">
        <v>0</v>
      </c>
      <c r="J795" s="364">
        <v>3</v>
      </c>
      <c r="K795" s="364">
        <f t="shared" si="766"/>
        <v>0</v>
      </c>
      <c r="L795" s="364">
        <v>0</v>
      </c>
      <c r="M795" s="364">
        <v>0</v>
      </c>
      <c r="N795" s="364">
        <f t="shared" si="767"/>
        <v>0</v>
      </c>
      <c r="O795" s="364">
        <v>0</v>
      </c>
      <c r="P795" s="364">
        <v>0</v>
      </c>
      <c r="Q795" s="364">
        <f t="shared" si="768"/>
        <v>0</v>
      </c>
      <c r="R795" s="364">
        <v>0</v>
      </c>
      <c r="S795" s="364">
        <v>0</v>
      </c>
      <c r="T795" s="353" t="s">
        <v>146</v>
      </c>
      <c r="U795" s="365"/>
      <c r="V795" s="141"/>
    </row>
    <row r="796" spans="2:22" ht="13.5" thickBot="1" x14ac:dyDescent="0.25">
      <c r="B796" s="364">
        <f t="shared" si="773"/>
        <v>0</v>
      </c>
      <c r="C796" s="364">
        <f t="shared" si="774"/>
        <v>0</v>
      </c>
      <c r="D796" s="364">
        <f t="shared" si="774"/>
        <v>0</v>
      </c>
      <c r="E796" s="364">
        <f t="shared" si="764"/>
        <v>0</v>
      </c>
      <c r="F796" s="364">
        <v>0</v>
      </c>
      <c r="G796" s="364">
        <v>0</v>
      </c>
      <c r="H796" s="364">
        <f t="shared" si="765"/>
        <v>0</v>
      </c>
      <c r="I796" s="364">
        <v>0</v>
      </c>
      <c r="J796" s="364">
        <v>0</v>
      </c>
      <c r="K796" s="364">
        <f t="shared" si="766"/>
        <v>0</v>
      </c>
      <c r="L796" s="364">
        <v>0</v>
      </c>
      <c r="M796" s="364">
        <v>0</v>
      </c>
      <c r="N796" s="364">
        <f t="shared" si="767"/>
        <v>0</v>
      </c>
      <c r="O796" s="364">
        <v>0</v>
      </c>
      <c r="P796" s="364">
        <v>0</v>
      </c>
      <c r="Q796" s="364">
        <f t="shared" si="768"/>
        <v>0</v>
      </c>
      <c r="R796" s="364">
        <v>0</v>
      </c>
      <c r="S796" s="364">
        <v>0</v>
      </c>
      <c r="T796" s="353" t="s">
        <v>145</v>
      </c>
      <c r="U796" s="365" t="s">
        <v>780</v>
      </c>
      <c r="V796" s="141"/>
    </row>
    <row r="797" spans="2:22" ht="13.5" thickBot="1" x14ac:dyDescent="0.25">
      <c r="B797" s="364">
        <f t="shared" ref="B797:R797" si="775">SUM(B795:B796)</f>
        <v>44</v>
      </c>
      <c r="C797" s="364">
        <f t="shared" si="775"/>
        <v>0</v>
      </c>
      <c r="D797" s="364">
        <f t="shared" si="775"/>
        <v>44</v>
      </c>
      <c r="E797" s="364">
        <f t="shared" si="775"/>
        <v>41</v>
      </c>
      <c r="F797" s="364">
        <f t="shared" si="775"/>
        <v>0</v>
      </c>
      <c r="G797" s="364">
        <f t="shared" si="775"/>
        <v>41</v>
      </c>
      <c r="H797" s="364">
        <f t="shared" si="775"/>
        <v>3</v>
      </c>
      <c r="I797" s="364">
        <f t="shared" si="775"/>
        <v>0</v>
      </c>
      <c r="J797" s="364">
        <f t="shared" si="775"/>
        <v>3</v>
      </c>
      <c r="K797" s="364">
        <f t="shared" si="775"/>
        <v>0</v>
      </c>
      <c r="L797" s="364">
        <f t="shared" si="775"/>
        <v>0</v>
      </c>
      <c r="M797" s="364">
        <f t="shared" si="775"/>
        <v>0</v>
      </c>
      <c r="N797" s="364">
        <f t="shared" si="775"/>
        <v>0</v>
      </c>
      <c r="O797" s="364">
        <f t="shared" si="775"/>
        <v>0</v>
      </c>
      <c r="P797" s="364">
        <f t="shared" si="775"/>
        <v>0</v>
      </c>
      <c r="Q797" s="364">
        <f t="shared" si="775"/>
        <v>0</v>
      </c>
      <c r="R797" s="364">
        <f t="shared" si="775"/>
        <v>0</v>
      </c>
      <c r="S797" s="364">
        <f>SUM(S795:S796)</f>
        <v>0</v>
      </c>
      <c r="T797" s="353" t="s">
        <v>12</v>
      </c>
      <c r="U797" s="366"/>
      <c r="V797" s="141"/>
    </row>
    <row r="798" spans="2:22" ht="13.5" thickBot="1" x14ac:dyDescent="0.25">
      <c r="B798" s="364">
        <f t="shared" ref="B798:B799" si="776">SUM(C798:D798)</f>
        <v>13</v>
      </c>
      <c r="C798" s="364">
        <f t="shared" ref="C798:D799" si="777">R798+O798+L798+I798+F798</f>
        <v>13</v>
      </c>
      <c r="D798" s="364">
        <f t="shared" si="777"/>
        <v>0</v>
      </c>
      <c r="E798" s="364">
        <f t="shared" si="764"/>
        <v>3</v>
      </c>
      <c r="F798" s="364">
        <v>3</v>
      </c>
      <c r="G798" s="364">
        <v>0</v>
      </c>
      <c r="H798" s="364">
        <f t="shared" si="765"/>
        <v>1</v>
      </c>
      <c r="I798" s="364">
        <v>1</v>
      </c>
      <c r="J798" s="364">
        <v>0</v>
      </c>
      <c r="K798" s="364">
        <f t="shared" si="766"/>
        <v>9</v>
      </c>
      <c r="L798" s="364">
        <v>9</v>
      </c>
      <c r="M798" s="364">
        <v>0</v>
      </c>
      <c r="N798" s="364">
        <f t="shared" si="767"/>
        <v>0</v>
      </c>
      <c r="O798" s="364">
        <v>0</v>
      </c>
      <c r="P798" s="364">
        <v>0</v>
      </c>
      <c r="Q798" s="364">
        <f t="shared" si="768"/>
        <v>0</v>
      </c>
      <c r="R798" s="364">
        <v>0</v>
      </c>
      <c r="S798" s="364">
        <v>0</v>
      </c>
      <c r="T798" s="353" t="s">
        <v>146</v>
      </c>
      <c r="U798" s="365"/>
      <c r="V798" s="141"/>
    </row>
    <row r="799" spans="2:22" ht="13.5" thickBot="1" x14ac:dyDescent="0.25">
      <c r="B799" s="364">
        <f t="shared" si="776"/>
        <v>0</v>
      </c>
      <c r="C799" s="364">
        <f t="shared" si="777"/>
        <v>0</v>
      </c>
      <c r="D799" s="364">
        <f t="shared" si="777"/>
        <v>0</v>
      </c>
      <c r="E799" s="364">
        <f t="shared" si="764"/>
        <v>0</v>
      </c>
      <c r="F799" s="364">
        <v>0</v>
      </c>
      <c r="G799" s="364">
        <v>0</v>
      </c>
      <c r="H799" s="364">
        <f t="shared" si="765"/>
        <v>0</v>
      </c>
      <c r="I799" s="364">
        <v>0</v>
      </c>
      <c r="J799" s="364">
        <v>0</v>
      </c>
      <c r="K799" s="364">
        <f t="shared" si="766"/>
        <v>0</v>
      </c>
      <c r="L799" s="364">
        <v>0</v>
      </c>
      <c r="M799" s="364">
        <v>0</v>
      </c>
      <c r="N799" s="364">
        <f t="shared" si="767"/>
        <v>0</v>
      </c>
      <c r="O799" s="364">
        <v>0</v>
      </c>
      <c r="P799" s="364">
        <v>0</v>
      </c>
      <c r="Q799" s="364">
        <f t="shared" si="768"/>
        <v>0</v>
      </c>
      <c r="R799" s="364">
        <v>0</v>
      </c>
      <c r="S799" s="364">
        <v>0</v>
      </c>
      <c r="T799" s="353" t="s">
        <v>145</v>
      </c>
      <c r="U799" s="365" t="s">
        <v>559</v>
      </c>
      <c r="V799" s="141"/>
    </row>
    <row r="800" spans="2:22" ht="13.5" thickBot="1" x14ac:dyDescent="0.25">
      <c r="B800" s="364">
        <f t="shared" ref="B800:R800" si="778">SUM(B798:B799)</f>
        <v>13</v>
      </c>
      <c r="C800" s="364">
        <f t="shared" si="778"/>
        <v>13</v>
      </c>
      <c r="D800" s="364">
        <f t="shared" si="778"/>
        <v>0</v>
      </c>
      <c r="E800" s="364">
        <f t="shared" si="778"/>
        <v>3</v>
      </c>
      <c r="F800" s="364">
        <f t="shared" si="778"/>
        <v>3</v>
      </c>
      <c r="G800" s="364">
        <f t="shared" si="778"/>
        <v>0</v>
      </c>
      <c r="H800" s="364">
        <f t="shared" si="778"/>
        <v>1</v>
      </c>
      <c r="I800" s="364">
        <f t="shared" si="778"/>
        <v>1</v>
      </c>
      <c r="J800" s="364">
        <f t="shared" si="778"/>
        <v>0</v>
      </c>
      <c r="K800" s="364">
        <f t="shared" si="778"/>
        <v>9</v>
      </c>
      <c r="L800" s="364">
        <f t="shared" si="778"/>
        <v>9</v>
      </c>
      <c r="M800" s="364">
        <f t="shared" si="778"/>
        <v>0</v>
      </c>
      <c r="N800" s="364">
        <f t="shared" si="778"/>
        <v>0</v>
      </c>
      <c r="O800" s="364">
        <f t="shared" si="778"/>
        <v>0</v>
      </c>
      <c r="P800" s="364">
        <f t="shared" si="778"/>
        <v>0</v>
      </c>
      <c r="Q800" s="364">
        <f t="shared" si="778"/>
        <v>0</v>
      </c>
      <c r="R800" s="364">
        <f t="shared" si="778"/>
        <v>0</v>
      </c>
      <c r="S800" s="364">
        <f>SUM(S798:S799)</f>
        <v>0</v>
      </c>
      <c r="T800" s="353" t="s">
        <v>12</v>
      </c>
      <c r="U800" s="366"/>
      <c r="V800" s="141"/>
    </row>
    <row r="801" spans="2:22" ht="13.5" thickBot="1" x14ac:dyDescent="0.25">
      <c r="B801" s="364">
        <f t="shared" ref="B801:B802" si="779">SUM(C801:D801)</f>
        <v>49</v>
      </c>
      <c r="C801" s="364">
        <f t="shared" ref="C801:D802" si="780">R801+O801+L801+I801+F801</f>
        <v>0</v>
      </c>
      <c r="D801" s="364">
        <f t="shared" si="780"/>
        <v>49</v>
      </c>
      <c r="E801" s="364">
        <f t="shared" si="764"/>
        <v>32</v>
      </c>
      <c r="F801" s="364">
        <v>0</v>
      </c>
      <c r="G801" s="364">
        <v>32</v>
      </c>
      <c r="H801" s="364">
        <f t="shared" si="765"/>
        <v>0</v>
      </c>
      <c r="I801" s="364">
        <v>0</v>
      </c>
      <c r="J801" s="364">
        <v>0</v>
      </c>
      <c r="K801" s="364">
        <f t="shared" si="766"/>
        <v>17</v>
      </c>
      <c r="L801" s="364">
        <v>0</v>
      </c>
      <c r="M801" s="364">
        <v>17</v>
      </c>
      <c r="N801" s="364">
        <f t="shared" si="767"/>
        <v>0</v>
      </c>
      <c r="O801" s="364">
        <v>0</v>
      </c>
      <c r="P801" s="364">
        <v>0</v>
      </c>
      <c r="Q801" s="364">
        <f t="shared" si="768"/>
        <v>0</v>
      </c>
      <c r="R801" s="364">
        <v>0</v>
      </c>
      <c r="S801" s="364">
        <v>0</v>
      </c>
      <c r="T801" s="353" t="s">
        <v>146</v>
      </c>
      <c r="U801" s="365"/>
      <c r="V801" s="141"/>
    </row>
    <row r="802" spans="2:22" ht="13.5" thickBot="1" x14ac:dyDescent="0.25">
      <c r="B802" s="364">
        <f t="shared" si="779"/>
        <v>0</v>
      </c>
      <c r="C802" s="364">
        <f t="shared" si="780"/>
        <v>0</v>
      </c>
      <c r="D802" s="364">
        <f t="shared" si="780"/>
        <v>0</v>
      </c>
      <c r="E802" s="364">
        <f t="shared" si="764"/>
        <v>0</v>
      </c>
      <c r="F802" s="364">
        <v>0</v>
      </c>
      <c r="G802" s="364">
        <v>0</v>
      </c>
      <c r="H802" s="364">
        <f t="shared" si="765"/>
        <v>0</v>
      </c>
      <c r="I802" s="364">
        <v>0</v>
      </c>
      <c r="J802" s="364">
        <v>0</v>
      </c>
      <c r="K802" s="364">
        <f t="shared" si="766"/>
        <v>0</v>
      </c>
      <c r="L802" s="364">
        <v>0</v>
      </c>
      <c r="M802" s="364">
        <v>0</v>
      </c>
      <c r="N802" s="364">
        <f t="shared" si="767"/>
        <v>0</v>
      </c>
      <c r="O802" s="364">
        <v>0</v>
      </c>
      <c r="P802" s="364">
        <v>0</v>
      </c>
      <c r="Q802" s="364">
        <f t="shared" si="768"/>
        <v>0</v>
      </c>
      <c r="R802" s="364">
        <v>0</v>
      </c>
      <c r="S802" s="364">
        <v>0</v>
      </c>
      <c r="T802" s="353" t="s">
        <v>145</v>
      </c>
      <c r="U802" s="365" t="s">
        <v>124</v>
      </c>
      <c r="V802" s="141"/>
    </row>
    <row r="803" spans="2:22" ht="13.5" thickBot="1" x14ac:dyDescent="0.25">
      <c r="B803" s="364">
        <f t="shared" ref="B803:R803" si="781">SUM(B801:B802)</f>
        <v>49</v>
      </c>
      <c r="C803" s="364">
        <f t="shared" si="781"/>
        <v>0</v>
      </c>
      <c r="D803" s="364">
        <f t="shared" si="781"/>
        <v>49</v>
      </c>
      <c r="E803" s="364">
        <f t="shared" si="781"/>
        <v>32</v>
      </c>
      <c r="F803" s="364">
        <f t="shared" si="781"/>
        <v>0</v>
      </c>
      <c r="G803" s="364">
        <f t="shared" si="781"/>
        <v>32</v>
      </c>
      <c r="H803" s="364">
        <f t="shared" si="781"/>
        <v>0</v>
      </c>
      <c r="I803" s="364">
        <f t="shared" si="781"/>
        <v>0</v>
      </c>
      <c r="J803" s="364">
        <f t="shared" si="781"/>
        <v>0</v>
      </c>
      <c r="K803" s="364">
        <f t="shared" si="781"/>
        <v>17</v>
      </c>
      <c r="L803" s="364">
        <f t="shared" si="781"/>
        <v>0</v>
      </c>
      <c r="M803" s="364">
        <f t="shared" si="781"/>
        <v>17</v>
      </c>
      <c r="N803" s="364">
        <f t="shared" si="781"/>
        <v>0</v>
      </c>
      <c r="O803" s="364">
        <f t="shared" si="781"/>
        <v>0</v>
      </c>
      <c r="P803" s="364">
        <f t="shared" si="781"/>
        <v>0</v>
      </c>
      <c r="Q803" s="364">
        <f t="shared" si="781"/>
        <v>0</v>
      </c>
      <c r="R803" s="364">
        <f t="shared" si="781"/>
        <v>0</v>
      </c>
      <c r="S803" s="364">
        <f>SUM(S801:S802)</f>
        <v>0</v>
      </c>
      <c r="T803" s="353" t="s">
        <v>12</v>
      </c>
      <c r="U803" s="366"/>
      <c r="V803" s="141"/>
    </row>
    <row r="804" spans="2:22" ht="13.5" thickBot="1" x14ac:dyDescent="0.25">
      <c r="B804" s="364">
        <f t="shared" ref="B804:R806" si="782">B789+B792+B795+B798+B801</f>
        <v>153</v>
      </c>
      <c r="C804" s="364">
        <f t="shared" si="782"/>
        <v>22</v>
      </c>
      <c r="D804" s="364">
        <f t="shared" si="782"/>
        <v>131</v>
      </c>
      <c r="E804" s="364">
        <f t="shared" si="782"/>
        <v>89</v>
      </c>
      <c r="F804" s="364">
        <f t="shared" si="782"/>
        <v>4</v>
      </c>
      <c r="G804" s="364">
        <f t="shared" si="782"/>
        <v>85</v>
      </c>
      <c r="H804" s="364">
        <f t="shared" si="782"/>
        <v>18</v>
      </c>
      <c r="I804" s="364">
        <f t="shared" si="782"/>
        <v>3</v>
      </c>
      <c r="J804" s="364">
        <f t="shared" si="782"/>
        <v>15</v>
      </c>
      <c r="K804" s="364">
        <f t="shared" si="782"/>
        <v>43</v>
      </c>
      <c r="L804" s="364">
        <f t="shared" si="782"/>
        <v>15</v>
      </c>
      <c r="M804" s="364">
        <f t="shared" si="782"/>
        <v>28</v>
      </c>
      <c r="N804" s="364">
        <f t="shared" si="782"/>
        <v>0</v>
      </c>
      <c r="O804" s="364">
        <f t="shared" si="782"/>
        <v>0</v>
      </c>
      <c r="P804" s="364">
        <f t="shared" si="782"/>
        <v>0</v>
      </c>
      <c r="Q804" s="364">
        <f t="shared" si="782"/>
        <v>3</v>
      </c>
      <c r="R804" s="364">
        <f t="shared" si="782"/>
        <v>0</v>
      </c>
      <c r="S804" s="364">
        <f>S789+S792+S795+S798+S801</f>
        <v>3</v>
      </c>
      <c r="T804" s="353" t="s">
        <v>146</v>
      </c>
      <c r="U804" s="367"/>
      <c r="V804" s="141"/>
    </row>
    <row r="805" spans="2:22" ht="13.5" thickBot="1" x14ac:dyDescent="0.25">
      <c r="B805" s="364">
        <f t="shared" si="782"/>
        <v>2</v>
      </c>
      <c r="C805" s="364">
        <f t="shared" si="782"/>
        <v>1</v>
      </c>
      <c r="D805" s="364">
        <f t="shared" si="782"/>
        <v>1</v>
      </c>
      <c r="E805" s="364">
        <f t="shared" si="782"/>
        <v>0</v>
      </c>
      <c r="F805" s="364">
        <f t="shared" si="782"/>
        <v>0</v>
      </c>
      <c r="G805" s="364">
        <f t="shared" si="782"/>
        <v>0</v>
      </c>
      <c r="H805" s="364">
        <f t="shared" si="782"/>
        <v>0</v>
      </c>
      <c r="I805" s="364">
        <f t="shared" si="782"/>
        <v>0</v>
      </c>
      <c r="J805" s="364">
        <f t="shared" si="782"/>
        <v>0</v>
      </c>
      <c r="K805" s="364">
        <f t="shared" si="782"/>
        <v>2</v>
      </c>
      <c r="L805" s="364">
        <f t="shared" si="782"/>
        <v>1</v>
      </c>
      <c r="M805" s="364">
        <f t="shared" si="782"/>
        <v>1</v>
      </c>
      <c r="N805" s="364">
        <f t="shared" si="782"/>
        <v>0</v>
      </c>
      <c r="O805" s="364">
        <f t="shared" si="782"/>
        <v>0</v>
      </c>
      <c r="P805" s="364">
        <f t="shared" si="782"/>
        <v>0</v>
      </c>
      <c r="Q805" s="364">
        <f t="shared" si="782"/>
        <v>0</v>
      </c>
      <c r="R805" s="364">
        <f t="shared" si="782"/>
        <v>0</v>
      </c>
      <c r="S805" s="364">
        <f t="shared" ref="S805:S806" si="783">S790+S793+S796+S799+S802</f>
        <v>0</v>
      </c>
      <c r="T805" s="353" t="s">
        <v>145</v>
      </c>
      <c r="U805" s="368" t="s">
        <v>188</v>
      </c>
      <c r="V805" s="141"/>
    </row>
    <row r="806" spans="2:22" ht="13.5" thickBot="1" x14ac:dyDescent="0.25">
      <c r="B806" s="364">
        <f t="shared" si="782"/>
        <v>155</v>
      </c>
      <c r="C806" s="364">
        <f t="shared" si="782"/>
        <v>23</v>
      </c>
      <c r="D806" s="364">
        <f t="shared" si="782"/>
        <v>132</v>
      </c>
      <c r="E806" s="364">
        <f t="shared" si="782"/>
        <v>89</v>
      </c>
      <c r="F806" s="364">
        <f t="shared" si="782"/>
        <v>4</v>
      </c>
      <c r="G806" s="364">
        <f t="shared" si="782"/>
        <v>85</v>
      </c>
      <c r="H806" s="364">
        <f t="shared" si="782"/>
        <v>18</v>
      </c>
      <c r="I806" s="364">
        <f t="shared" si="782"/>
        <v>3</v>
      </c>
      <c r="J806" s="364">
        <f t="shared" si="782"/>
        <v>15</v>
      </c>
      <c r="K806" s="364">
        <f t="shared" si="782"/>
        <v>45</v>
      </c>
      <c r="L806" s="364">
        <f t="shared" si="782"/>
        <v>16</v>
      </c>
      <c r="M806" s="364">
        <f t="shared" si="782"/>
        <v>29</v>
      </c>
      <c r="N806" s="364">
        <f t="shared" si="782"/>
        <v>0</v>
      </c>
      <c r="O806" s="364">
        <f t="shared" si="782"/>
        <v>0</v>
      </c>
      <c r="P806" s="364">
        <f t="shared" si="782"/>
        <v>0</v>
      </c>
      <c r="Q806" s="364">
        <f t="shared" si="782"/>
        <v>3</v>
      </c>
      <c r="R806" s="364">
        <f t="shared" si="782"/>
        <v>0</v>
      </c>
      <c r="S806" s="364">
        <f t="shared" si="783"/>
        <v>3</v>
      </c>
      <c r="T806" s="353" t="s">
        <v>12</v>
      </c>
      <c r="U806" s="363"/>
      <c r="V806" s="141"/>
    </row>
    <row r="807" spans="2:22" ht="13.5" thickBot="1" x14ac:dyDescent="0.25">
      <c r="B807" s="610"/>
      <c r="C807" s="610"/>
      <c r="D807" s="610"/>
      <c r="E807" s="610"/>
      <c r="F807" s="610"/>
      <c r="G807" s="610"/>
      <c r="H807" s="610"/>
      <c r="I807" s="610"/>
      <c r="J807" s="610"/>
      <c r="K807" s="610"/>
      <c r="L807" s="610"/>
      <c r="M807" s="610"/>
      <c r="N807" s="610"/>
      <c r="O807" s="610"/>
      <c r="P807" s="610"/>
      <c r="Q807" s="610"/>
      <c r="R807" s="610"/>
      <c r="S807" s="610"/>
      <c r="T807" s="610"/>
      <c r="U807" s="610"/>
      <c r="V807" s="141"/>
    </row>
    <row r="808" spans="2:22" ht="13.5" customHeight="1" thickBot="1" x14ac:dyDescent="0.25">
      <c r="B808" s="607" t="s">
        <v>4</v>
      </c>
      <c r="C808" s="607"/>
      <c r="D808" s="607"/>
      <c r="E808" s="607" t="s">
        <v>53</v>
      </c>
      <c r="F808" s="607"/>
      <c r="G808" s="607"/>
      <c r="H808" s="607" t="s">
        <v>61</v>
      </c>
      <c r="I808" s="607"/>
      <c r="J808" s="607"/>
      <c r="K808" s="607" t="s">
        <v>60</v>
      </c>
      <c r="L808" s="607"/>
      <c r="M808" s="607"/>
      <c r="N808" s="607" t="s">
        <v>57</v>
      </c>
      <c r="O808" s="607"/>
      <c r="P808" s="607"/>
      <c r="Q808" s="607" t="s">
        <v>56</v>
      </c>
      <c r="R808" s="607"/>
      <c r="S808" s="607"/>
      <c r="T808" s="608" t="s">
        <v>741</v>
      </c>
      <c r="U808" s="347" t="s">
        <v>144</v>
      </c>
      <c r="V808" s="141"/>
    </row>
    <row r="809" spans="2:22" ht="13.5" thickBot="1" x14ac:dyDescent="0.25">
      <c r="B809" s="347" t="s">
        <v>227</v>
      </c>
      <c r="C809" s="347" t="s">
        <v>10</v>
      </c>
      <c r="D809" s="347" t="s">
        <v>9</v>
      </c>
      <c r="E809" s="347" t="s">
        <v>227</v>
      </c>
      <c r="F809" s="347" t="s">
        <v>10</v>
      </c>
      <c r="G809" s="347" t="s">
        <v>9</v>
      </c>
      <c r="H809" s="347" t="s">
        <v>227</v>
      </c>
      <c r="I809" s="347" t="s">
        <v>10</v>
      </c>
      <c r="J809" s="347" t="s">
        <v>9</v>
      </c>
      <c r="K809" s="347" t="s">
        <v>227</v>
      </c>
      <c r="L809" s="347" t="s">
        <v>10</v>
      </c>
      <c r="M809" s="347" t="s">
        <v>9</v>
      </c>
      <c r="N809" s="347" t="s">
        <v>227</v>
      </c>
      <c r="O809" s="347" t="s">
        <v>10</v>
      </c>
      <c r="P809" s="347" t="s">
        <v>9</v>
      </c>
      <c r="Q809" s="347" t="s">
        <v>227</v>
      </c>
      <c r="R809" s="347" t="s">
        <v>10</v>
      </c>
      <c r="S809" s="347" t="s">
        <v>9</v>
      </c>
      <c r="T809" s="609"/>
      <c r="U809" s="363" t="s">
        <v>151</v>
      </c>
      <c r="V809" s="141"/>
    </row>
    <row r="810" spans="2:22" ht="13.5" thickBot="1" x14ac:dyDescent="0.25">
      <c r="B810" s="364">
        <f>SUM(C810:D810)</f>
        <v>48</v>
      </c>
      <c r="C810" s="364">
        <f>R810+O810+L810+I810+F810</f>
        <v>0</v>
      </c>
      <c r="D810" s="364">
        <f>S810+P810+M810+J810+G810</f>
        <v>48</v>
      </c>
      <c r="E810" s="364">
        <f>SUM(F810:G810)</f>
        <v>23</v>
      </c>
      <c r="F810" s="364">
        <v>0</v>
      </c>
      <c r="G810" s="364">
        <v>23</v>
      </c>
      <c r="H810" s="364">
        <f>SUM(I810:J810)</f>
        <v>5</v>
      </c>
      <c r="I810" s="364">
        <v>0</v>
      </c>
      <c r="J810" s="364">
        <v>5</v>
      </c>
      <c r="K810" s="364">
        <f>SUM(L810:M810)</f>
        <v>17</v>
      </c>
      <c r="L810" s="364">
        <v>0</v>
      </c>
      <c r="M810" s="364">
        <v>17</v>
      </c>
      <c r="N810" s="364">
        <f>SUM(O810:P810)</f>
        <v>1</v>
      </c>
      <c r="O810" s="364">
        <v>0</v>
      </c>
      <c r="P810" s="364">
        <v>1</v>
      </c>
      <c r="Q810" s="364">
        <f>SUM(R810:S810)</f>
        <v>2</v>
      </c>
      <c r="R810" s="364">
        <v>0</v>
      </c>
      <c r="S810" s="364">
        <v>2</v>
      </c>
      <c r="T810" s="353" t="s">
        <v>146</v>
      </c>
      <c r="U810" s="365"/>
      <c r="V810" s="141"/>
    </row>
    <row r="811" spans="2:22" ht="13.5" thickBot="1" x14ac:dyDescent="0.25">
      <c r="B811" s="364">
        <f t="shared" ref="B811" si="784">SUM(C811:D811)</f>
        <v>1</v>
      </c>
      <c r="C811" s="364">
        <f t="shared" ref="C811:D811" si="785">R811+O811+L811+I811+F811</f>
        <v>0</v>
      </c>
      <c r="D811" s="364">
        <f t="shared" si="785"/>
        <v>1</v>
      </c>
      <c r="E811" s="364">
        <f t="shared" ref="E811:E874" si="786">SUM(F811:G811)</f>
        <v>1</v>
      </c>
      <c r="F811" s="364">
        <v>0</v>
      </c>
      <c r="G811" s="364">
        <v>1</v>
      </c>
      <c r="H811" s="364">
        <f t="shared" ref="H811:H874" si="787">SUM(I811:J811)</f>
        <v>0</v>
      </c>
      <c r="I811" s="364">
        <v>0</v>
      </c>
      <c r="J811" s="364">
        <v>0</v>
      </c>
      <c r="K811" s="364">
        <f t="shared" ref="K811:K874" si="788">SUM(L811:M811)</f>
        <v>0</v>
      </c>
      <c r="L811" s="364">
        <v>0</v>
      </c>
      <c r="M811" s="364">
        <v>0</v>
      </c>
      <c r="N811" s="364">
        <f t="shared" ref="N811:N874" si="789">SUM(O811:P811)</f>
        <v>0</v>
      </c>
      <c r="O811" s="364">
        <v>0</v>
      </c>
      <c r="P811" s="364">
        <v>0</v>
      </c>
      <c r="Q811" s="364">
        <f t="shared" ref="Q811:Q874" si="790">SUM(R811:S811)</f>
        <v>0</v>
      </c>
      <c r="R811" s="364">
        <v>0</v>
      </c>
      <c r="S811" s="364">
        <v>0</v>
      </c>
      <c r="T811" s="353" t="s">
        <v>145</v>
      </c>
      <c r="U811" s="365" t="s">
        <v>290</v>
      </c>
      <c r="V811" s="141"/>
    </row>
    <row r="812" spans="2:22" ht="13.5" thickBot="1" x14ac:dyDescent="0.25">
      <c r="B812" s="364">
        <f t="shared" ref="B812:R812" si="791">SUM(B810:B811)</f>
        <v>49</v>
      </c>
      <c r="C812" s="364">
        <f t="shared" si="791"/>
        <v>0</v>
      </c>
      <c r="D812" s="364">
        <f t="shared" si="791"/>
        <v>49</v>
      </c>
      <c r="E812" s="364">
        <f t="shared" si="791"/>
        <v>24</v>
      </c>
      <c r="F812" s="364">
        <f t="shared" si="791"/>
        <v>0</v>
      </c>
      <c r="G812" s="364">
        <f t="shared" si="791"/>
        <v>24</v>
      </c>
      <c r="H812" s="364">
        <f t="shared" si="791"/>
        <v>5</v>
      </c>
      <c r="I812" s="364">
        <f t="shared" si="791"/>
        <v>0</v>
      </c>
      <c r="J812" s="364">
        <f t="shared" si="791"/>
        <v>5</v>
      </c>
      <c r="K812" s="364">
        <f t="shared" si="791"/>
        <v>17</v>
      </c>
      <c r="L812" s="364">
        <f t="shared" si="791"/>
        <v>0</v>
      </c>
      <c r="M812" s="364">
        <f t="shared" si="791"/>
        <v>17</v>
      </c>
      <c r="N812" s="364">
        <f t="shared" si="791"/>
        <v>1</v>
      </c>
      <c r="O812" s="364">
        <f t="shared" si="791"/>
        <v>0</v>
      </c>
      <c r="P812" s="364">
        <f t="shared" si="791"/>
        <v>1</v>
      </c>
      <c r="Q812" s="364">
        <f t="shared" si="791"/>
        <v>2</v>
      </c>
      <c r="R812" s="364">
        <f t="shared" si="791"/>
        <v>0</v>
      </c>
      <c r="S812" s="364">
        <f>SUM(S810:S811)</f>
        <v>2</v>
      </c>
      <c r="T812" s="353" t="s">
        <v>12</v>
      </c>
      <c r="U812" s="366"/>
      <c r="V812" s="141"/>
    </row>
    <row r="813" spans="2:22" ht="13.5" thickBot="1" x14ac:dyDescent="0.25">
      <c r="B813" s="364">
        <f t="shared" ref="B813:B814" si="792">SUM(C813:D813)</f>
        <v>19</v>
      </c>
      <c r="C813" s="364">
        <f t="shared" ref="C813:D814" si="793">R813+O813+L813+I813+F813</f>
        <v>0</v>
      </c>
      <c r="D813" s="364">
        <f t="shared" si="793"/>
        <v>19</v>
      </c>
      <c r="E813" s="364">
        <f t="shared" si="786"/>
        <v>12</v>
      </c>
      <c r="F813" s="364">
        <v>0</v>
      </c>
      <c r="G813" s="364">
        <v>12</v>
      </c>
      <c r="H813" s="364">
        <f t="shared" si="787"/>
        <v>1</v>
      </c>
      <c r="I813" s="364">
        <v>0</v>
      </c>
      <c r="J813" s="364">
        <v>1</v>
      </c>
      <c r="K813" s="364">
        <f t="shared" si="788"/>
        <v>3</v>
      </c>
      <c r="L813" s="364">
        <v>0</v>
      </c>
      <c r="M813" s="364">
        <v>3</v>
      </c>
      <c r="N813" s="364">
        <f t="shared" si="789"/>
        <v>1</v>
      </c>
      <c r="O813" s="364">
        <v>0</v>
      </c>
      <c r="P813" s="364">
        <v>1</v>
      </c>
      <c r="Q813" s="364">
        <f t="shared" si="790"/>
        <v>2</v>
      </c>
      <c r="R813" s="364">
        <v>0</v>
      </c>
      <c r="S813" s="364">
        <v>2</v>
      </c>
      <c r="T813" s="353" t="s">
        <v>146</v>
      </c>
      <c r="U813" s="365"/>
      <c r="V813" s="141"/>
    </row>
    <row r="814" spans="2:22" ht="13.5" thickBot="1" x14ac:dyDescent="0.25">
      <c r="B814" s="364">
        <f t="shared" si="792"/>
        <v>0</v>
      </c>
      <c r="C814" s="364">
        <f t="shared" si="793"/>
        <v>0</v>
      </c>
      <c r="D814" s="364">
        <f t="shared" si="793"/>
        <v>0</v>
      </c>
      <c r="E814" s="364">
        <f t="shared" si="786"/>
        <v>0</v>
      </c>
      <c r="F814" s="364">
        <v>0</v>
      </c>
      <c r="G814" s="364">
        <v>0</v>
      </c>
      <c r="H814" s="364">
        <f t="shared" si="787"/>
        <v>0</v>
      </c>
      <c r="I814" s="364">
        <v>0</v>
      </c>
      <c r="J814" s="364">
        <v>0</v>
      </c>
      <c r="K814" s="364">
        <f t="shared" si="788"/>
        <v>0</v>
      </c>
      <c r="L814" s="364">
        <v>0</v>
      </c>
      <c r="M814" s="364">
        <v>0</v>
      </c>
      <c r="N814" s="364">
        <f t="shared" si="789"/>
        <v>0</v>
      </c>
      <c r="O814" s="364">
        <v>0</v>
      </c>
      <c r="P814" s="364">
        <v>0</v>
      </c>
      <c r="Q814" s="364">
        <f t="shared" si="790"/>
        <v>0</v>
      </c>
      <c r="R814" s="364">
        <v>0</v>
      </c>
      <c r="S814" s="364">
        <v>0</v>
      </c>
      <c r="T814" s="353" t="s">
        <v>145</v>
      </c>
      <c r="U814" s="365" t="s">
        <v>803</v>
      </c>
      <c r="V814" s="141"/>
    </row>
    <row r="815" spans="2:22" ht="13.5" thickBot="1" x14ac:dyDescent="0.25">
      <c r="B815" s="364">
        <f t="shared" ref="B815:R815" si="794">SUM(B813:B814)</f>
        <v>19</v>
      </c>
      <c r="C815" s="364">
        <f t="shared" si="794"/>
        <v>0</v>
      </c>
      <c r="D815" s="364">
        <f t="shared" si="794"/>
        <v>19</v>
      </c>
      <c r="E815" s="364">
        <f t="shared" si="794"/>
        <v>12</v>
      </c>
      <c r="F815" s="364">
        <f t="shared" si="794"/>
        <v>0</v>
      </c>
      <c r="G815" s="364">
        <f t="shared" si="794"/>
        <v>12</v>
      </c>
      <c r="H815" s="364">
        <f t="shared" si="794"/>
        <v>1</v>
      </c>
      <c r="I815" s="364">
        <f t="shared" si="794"/>
        <v>0</v>
      </c>
      <c r="J815" s="364">
        <f t="shared" si="794"/>
        <v>1</v>
      </c>
      <c r="K815" s="364">
        <f t="shared" si="794"/>
        <v>3</v>
      </c>
      <c r="L815" s="364">
        <f t="shared" si="794"/>
        <v>0</v>
      </c>
      <c r="M815" s="364">
        <f t="shared" si="794"/>
        <v>3</v>
      </c>
      <c r="N815" s="364">
        <f t="shared" si="794"/>
        <v>1</v>
      </c>
      <c r="O815" s="364">
        <f t="shared" si="794"/>
        <v>0</v>
      </c>
      <c r="P815" s="364">
        <f t="shared" si="794"/>
        <v>1</v>
      </c>
      <c r="Q815" s="364">
        <f t="shared" si="794"/>
        <v>2</v>
      </c>
      <c r="R815" s="364">
        <f t="shared" si="794"/>
        <v>0</v>
      </c>
      <c r="S815" s="364">
        <f>SUM(S813:S814)</f>
        <v>2</v>
      </c>
      <c r="T815" s="353" t="s">
        <v>12</v>
      </c>
      <c r="U815" s="366"/>
      <c r="V815" s="141"/>
    </row>
    <row r="816" spans="2:22" ht="13.5" thickBot="1" x14ac:dyDescent="0.25">
      <c r="B816" s="364">
        <f t="shared" ref="B816:B817" si="795">SUM(C816:D816)</f>
        <v>50</v>
      </c>
      <c r="C816" s="364">
        <f t="shared" ref="C816:D817" si="796">R816+O816+L816+I816+F816</f>
        <v>0</v>
      </c>
      <c r="D816" s="364">
        <f t="shared" si="796"/>
        <v>50</v>
      </c>
      <c r="E816" s="364">
        <f t="shared" si="786"/>
        <v>35</v>
      </c>
      <c r="F816" s="364">
        <v>0</v>
      </c>
      <c r="G816" s="364">
        <v>35</v>
      </c>
      <c r="H816" s="364">
        <f t="shared" si="787"/>
        <v>7</v>
      </c>
      <c r="I816" s="364">
        <v>0</v>
      </c>
      <c r="J816" s="364">
        <v>7</v>
      </c>
      <c r="K816" s="364">
        <f t="shared" si="788"/>
        <v>4</v>
      </c>
      <c r="L816" s="364">
        <v>0</v>
      </c>
      <c r="M816" s="364">
        <v>4</v>
      </c>
      <c r="N816" s="364">
        <f t="shared" si="789"/>
        <v>0</v>
      </c>
      <c r="O816" s="364">
        <v>0</v>
      </c>
      <c r="P816" s="364">
        <v>0</v>
      </c>
      <c r="Q816" s="364">
        <f t="shared" si="790"/>
        <v>4</v>
      </c>
      <c r="R816" s="364">
        <v>0</v>
      </c>
      <c r="S816" s="364">
        <v>4</v>
      </c>
      <c r="T816" s="353" t="s">
        <v>146</v>
      </c>
      <c r="U816" s="365"/>
      <c r="V816" s="141"/>
    </row>
    <row r="817" spans="2:22" ht="13.5" thickBot="1" x14ac:dyDescent="0.25">
      <c r="B817" s="364">
        <f t="shared" si="795"/>
        <v>0</v>
      </c>
      <c r="C817" s="364">
        <f t="shared" si="796"/>
        <v>0</v>
      </c>
      <c r="D817" s="364">
        <f t="shared" si="796"/>
        <v>0</v>
      </c>
      <c r="E817" s="364">
        <f t="shared" si="786"/>
        <v>0</v>
      </c>
      <c r="F817" s="364">
        <v>0</v>
      </c>
      <c r="G817" s="364">
        <v>0</v>
      </c>
      <c r="H817" s="364">
        <f t="shared" si="787"/>
        <v>0</v>
      </c>
      <c r="I817" s="364">
        <v>0</v>
      </c>
      <c r="J817" s="364">
        <v>0</v>
      </c>
      <c r="K817" s="364">
        <f t="shared" si="788"/>
        <v>0</v>
      </c>
      <c r="L817" s="364">
        <v>0</v>
      </c>
      <c r="M817" s="364">
        <v>0</v>
      </c>
      <c r="N817" s="364">
        <f t="shared" si="789"/>
        <v>0</v>
      </c>
      <c r="O817" s="364">
        <v>0</v>
      </c>
      <c r="P817" s="364">
        <v>0</v>
      </c>
      <c r="Q817" s="364">
        <f t="shared" si="790"/>
        <v>0</v>
      </c>
      <c r="R817" s="364">
        <v>0</v>
      </c>
      <c r="S817" s="364">
        <v>0</v>
      </c>
      <c r="T817" s="353" t="s">
        <v>145</v>
      </c>
      <c r="U817" s="365" t="s">
        <v>292</v>
      </c>
      <c r="V817" s="141"/>
    </row>
    <row r="818" spans="2:22" ht="13.5" thickBot="1" x14ac:dyDescent="0.25">
      <c r="B818" s="364">
        <f t="shared" ref="B818:R818" si="797">SUM(B816:B817)</f>
        <v>50</v>
      </c>
      <c r="C818" s="364">
        <f t="shared" si="797"/>
        <v>0</v>
      </c>
      <c r="D818" s="364">
        <f t="shared" si="797"/>
        <v>50</v>
      </c>
      <c r="E818" s="364">
        <f t="shared" si="797"/>
        <v>35</v>
      </c>
      <c r="F818" s="364">
        <f t="shared" si="797"/>
        <v>0</v>
      </c>
      <c r="G818" s="364">
        <f t="shared" si="797"/>
        <v>35</v>
      </c>
      <c r="H818" s="364">
        <f t="shared" si="797"/>
        <v>7</v>
      </c>
      <c r="I818" s="364">
        <f t="shared" si="797"/>
        <v>0</v>
      </c>
      <c r="J818" s="364">
        <f t="shared" si="797"/>
        <v>7</v>
      </c>
      <c r="K818" s="364">
        <f t="shared" si="797"/>
        <v>4</v>
      </c>
      <c r="L818" s="364">
        <f t="shared" si="797"/>
        <v>0</v>
      </c>
      <c r="M818" s="364">
        <f t="shared" si="797"/>
        <v>4</v>
      </c>
      <c r="N818" s="364">
        <f t="shared" si="797"/>
        <v>0</v>
      </c>
      <c r="O818" s="364">
        <f t="shared" si="797"/>
        <v>0</v>
      </c>
      <c r="P818" s="364">
        <f t="shared" si="797"/>
        <v>0</v>
      </c>
      <c r="Q818" s="364">
        <f t="shared" si="797"/>
        <v>4</v>
      </c>
      <c r="R818" s="364">
        <f t="shared" si="797"/>
        <v>0</v>
      </c>
      <c r="S818" s="364">
        <f>SUM(S816:S817)</f>
        <v>4</v>
      </c>
      <c r="T818" s="353" t="s">
        <v>12</v>
      </c>
      <c r="U818" s="366"/>
      <c r="V818" s="141"/>
    </row>
    <row r="819" spans="2:22" ht="13.5" thickBot="1" x14ac:dyDescent="0.25">
      <c r="B819" s="364">
        <f t="shared" ref="B819:B820" si="798">SUM(C819:D819)</f>
        <v>18</v>
      </c>
      <c r="C819" s="364">
        <f t="shared" ref="C819:D820" si="799">R819+O819+L819+I819+F819</f>
        <v>0</v>
      </c>
      <c r="D819" s="364">
        <f t="shared" si="799"/>
        <v>18</v>
      </c>
      <c r="E819" s="364">
        <f t="shared" si="786"/>
        <v>9</v>
      </c>
      <c r="F819" s="364">
        <v>0</v>
      </c>
      <c r="G819" s="364">
        <v>9</v>
      </c>
      <c r="H819" s="364">
        <f t="shared" si="787"/>
        <v>5</v>
      </c>
      <c r="I819" s="364">
        <v>0</v>
      </c>
      <c r="J819" s="364">
        <v>5</v>
      </c>
      <c r="K819" s="364">
        <f t="shared" si="788"/>
        <v>2</v>
      </c>
      <c r="L819" s="364">
        <v>0</v>
      </c>
      <c r="M819" s="364">
        <v>2</v>
      </c>
      <c r="N819" s="364">
        <f t="shared" si="789"/>
        <v>1</v>
      </c>
      <c r="O819" s="364">
        <v>0</v>
      </c>
      <c r="P819" s="364">
        <v>1</v>
      </c>
      <c r="Q819" s="364">
        <f t="shared" si="790"/>
        <v>1</v>
      </c>
      <c r="R819" s="364">
        <v>0</v>
      </c>
      <c r="S819" s="364">
        <v>1</v>
      </c>
      <c r="T819" s="353" t="s">
        <v>146</v>
      </c>
      <c r="U819" s="365"/>
      <c r="V819" s="141"/>
    </row>
    <row r="820" spans="2:22" ht="13.5" thickBot="1" x14ac:dyDescent="0.25">
      <c r="B820" s="364">
        <f t="shared" si="798"/>
        <v>2</v>
      </c>
      <c r="C820" s="364">
        <f t="shared" si="799"/>
        <v>0</v>
      </c>
      <c r="D820" s="364">
        <f t="shared" si="799"/>
        <v>2</v>
      </c>
      <c r="E820" s="364">
        <f t="shared" si="786"/>
        <v>2</v>
      </c>
      <c r="F820" s="364">
        <v>0</v>
      </c>
      <c r="G820" s="364">
        <v>2</v>
      </c>
      <c r="H820" s="364">
        <f t="shared" si="787"/>
        <v>0</v>
      </c>
      <c r="I820" s="364">
        <v>0</v>
      </c>
      <c r="J820" s="364">
        <v>0</v>
      </c>
      <c r="K820" s="364">
        <f t="shared" si="788"/>
        <v>0</v>
      </c>
      <c r="L820" s="364">
        <v>0</v>
      </c>
      <c r="M820" s="364">
        <v>0</v>
      </c>
      <c r="N820" s="364">
        <f t="shared" si="789"/>
        <v>0</v>
      </c>
      <c r="O820" s="364">
        <v>0</v>
      </c>
      <c r="P820" s="364">
        <v>0</v>
      </c>
      <c r="Q820" s="364">
        <f t="shared" si="790"/>
        <v>0</v>
      </c>
      <c r="R820" s="364">
        <v>0</v>
      </c>
      <c r="S820" s="364">
        <v>0</v>
      </c>
      <c r="T820" s="353" t="s">
        <v>145</v>
      </c>
      <c r="U820" s="365" t="s">
        <v>293</v>
      </c>
      <c r="V820" s="141"/>
    </row>
    <row r="821" spans="2:22" ht="13.5" thickBot="1" x14ac:dyDescent="0.25">
      <c r="B821" s="364">
        <f t="shared" ref="B821:R821" si="800">SUM(B819:B820)</f>
        <v>20</v>
      </c>
      <c r="C821" s="364">
        <f t="shared" si="800"/>
        <v>0</v>
      </c>
      <c r="D821" s="364">
        <f t="shared" si="800"/>
        <v>20</v>
      </c>
      <c r="E821" s="364">
        <f t="shared" si="800"/>
        <v>11</v>
      </c>
      <c r="F821" s="364">
        <f t="shared" si="800"/>
        <v>0</v>
      </c>
      <c r="G821" s="364">
        <f t="shared" si="800"/>
        <v>11</v>
      </c>
      <c r="H821" s="364">
        <f t="shared" si="800"/>
        <v>5</v>
      </c>
      <c r="I821" s="364">
        <f t="shared" si="800"/>
        <v>0</v>
      </c>
      <c r="J821" s="364">
        <f t="shared" si="800"/>
        <v>5</v>
      </c>
      <c r="K821" s="364">
        <f t="shared" si="800"/>
        <v>2</v>
      </c>
      <c r="L821" s="364">
        <f t="shared" si="800"/>
        <v>0</v>
      </c>
      <c r="M821" s="364">
        <f t="shared" si="800"/>
        <v>2</v>
      </c>
      <c r="N821" s="364">
        <f t="shared" si="800"/>
        <v>1</v>
      </c>
      <c r="O821" s="364">
        <f t="shared" si="800"/>
        <v>0</v>
      </c>
      <c r="P821" s="364">
        <f t="shared" si="800"/>
        <v>1</v>
      </c>
      <c r="Q821" s="364">
        <f t="shared" si="800"/>
        <v>1</v>
      </c>
      <c r="R821" s="364">
        <f t="shared" si="800"/>
        <v>0</v>
      </c>
      <c r="S821" s="364">
        <f>SUM(S819:S820)</f>
        <v>1</v>
      </c>
      <c r="T821" s="353" t="s">
        <v>12</v>
      </c>
      <c r="U821" s="366"/>
      <c r="V821" s="141"/>
    </row>
    <row r="822" spans="2:22" ht="13.5" thickBot="1" x14ac:dyDescent="0.25">
      <c r="B822" s="364">
        <f t="shared" ref="B822:B823" si="801">SUM(C822:D822)</f>
        <v>42</v>
      </c>
      <c r="C822" s="364">
        <f t="shared" ref="C822:D823" si="802">R822+O822+L822+I822+F822</f>
        <v>0</v>
      </c>
      <c r="D822" s="364">
        <f t="shared" si="802"/>
        <v>42</v>
      </c>
      <c r="E822" s="364">
        <f t="shared" si="786"/>
        <v>8</v>
      </c>
      <c r="F822" s="364">
        <v>0</v>
      </c>
      <c r="G822" s="364">
        <v>8</v>
      </c>
      <c r="H822" s="364">
        <f t="shared" si="787"/>
        <v>12</v>
      </c>
      <c r="I822" s="364">
        <v>0</v>
      </c>
      <c r="J822" s="364">
        <v>12</v>
      </c>
      <c r="K822" s="364">
        <f t="shared" si="788"/>
        <v>17</v>
      </c>
      <c r="L822" s="364">
        <v>0</v>
      </c>
      <c r="M822" s="364">
        <v>17</v>
      </c>
      <c r="N822" s="364">
        <f t="shared" si="789"/>
        <v>2</v>
      </c>
      <c r="O822" s="364">
        <v>0</v>
      </c>
      <c r="P822" s="364">
        <v>2</v>
      </c>
      <c r="Q822" s="364">
        <f t="shared" si="790"/>
        <v>3</v>
      </c>
      <c r="R822" s="364">
        <v>0</v>
      </c>
      <c r="S822" s="364">
        <v>3</v>
      </c>
      <c r="T822" s="353" t="s">
        <v>146</v>
      </c>
      <c r="U822" s="365"/>
      <c r="V822" s="141"/>
    </row>
    <row r="823" spans="2:22" ht="13.5" thickBot="1" x14ac:dyDescent="0.25">
      <c r="B823" s="364">
        <f t="shared" si="801"/>
        <v>0</v>
      </c>
      <c r="C823" s="364">
        <f t="shared" si="802"/>
        <v>0</v>
      </c>
      <c r="D823" s="364">
        <f t="shared" si="802"/>
        <v>0</v>
      </c>
      <c r="E823" s="364">
        <f t="shared" si="786"/>
        <v>0</v>
      </c>
      <c r="F823" s="364">
        <v>0</v>
      </c>
      <c r="G823" s="364">
        <v>0</v>
      </c>
      <c r="H823" s="364">
        <f t="shared" si="787"/>
        <v>0</v>
      </c>
      <c r="I823" s="364">
        <v>0</v>
      </c>
      <c r="J823" s="364">
        <v>0</v>
      </c>
      <c r="K823" s="364">
        <f t="shared" si="788"/>
        <v>0</v>
      </c>
      <c r="L823" s="364">
        <v>0</v>
      </c>
      <c r="M823" s="364">
        <v>0</v>
      </c>
      <c r="N823" s="364">
        <f t="shared" si="789"/>
        <v>0</v>
      </c>
      <c r="O823" s="364">
        <v>0</v>
      </c>
      <c r="P823" s="364">
        <v>0</v>
      </c>
      <c r="Q823" s="364">
        <f t="shared" si="790"/>
        <v>0</v>
      </c>
      <c r="R823" s="364">
        <v>0</v>
      </c>
      <c r="S823" s="364">
        <v>0</v>
      </c>
      <c r="T823" s="353" t="s">
        <v>145</v>
      </c>
      <c r="U823" s="365" t="s">
        <v>294</v>
      </c>
      <c r="V823" s="141"/>
    </row>
    <row r="824" spans="2:22" ht="13.5" thickBot="1" x14ac:dyDescent="0.25">
      <c r="B824" s="364">
        <f t="shared" ref="B824:R824" si="803">SUM(B822:B823)</f>
        <v>42</v>
      </c>
      <c r="C824" s="364">
        <f t="shared" si="803"/>
        <v>0</v>
      </c>
      <c r="D824" s="364">
        <f t="shared" si="803"/>
        <v>42</v>
      </c>
      <c r="E824" s="364">
        <f t="shared" si="803"/>
        <v>8</v>
      </c>
      <c r="F824" s="364">
        <f t="shared" si="803"/>
        <v>0</v>
      </c>
      <c r="G824" s="364">
        <f t="shared" si="803"/>
        <v>8</v>
      </c>
      <c r="H824" s="364">
        <f t="shared" si="803"/>
        <v>12</v>
      </c>
      <c r="I824" s="364">
        <f t="shared" si="803"/>
        <v>0</v>
      </c>
      <c r="J824" s="364">
        <f t="shared" si="803"/>
        <v>12</v>
      </c>
      <c r="K824" s="364">
        <f t="shared" si="803"/>
        <v>17</v>
      </c>
      <c r="L824" s="364">
        <f t="shared" si="803"/>
        <v>0</v>
      </c>
      <c r="M824" s="364">
        <f t="shared" si="803"/>
        <v>17</v>
      </c>
      <c r="N824" s="364">
        <f t="shared" si="803"/>
        <v>2</v>
      </c>
      <c r="O824" s="364">
        <f t="shared" si="803"/>
        <v>0</v>
      </c>
      <c r="P824" s="364">
        <f t="shared" si="803"/>
        <v>2</v>
      </c>
      <c r="Q824" s="364">
        <f t="shared" si="803"/>
        <v>3</v>
      </c>
      <c r="R824" s="364">
        <f t="shared" si="803"/>
        <v>0</v>
      </c>
      <c r="S824" s="364">
        <f>SUM(S822:S823)</f>
        <v>3</v>
      </c>
      <c r="T824" s="353" t="s">
        <v>12</v>
      </c>
      <c r="U824" s="366"/>
      <c r="V824" s="141"/>
    </row>
    <row r="825" spans="2:22" ht="13.5" thickBot="1" x14ac:dyDescent="0.25">
      <c r="B825" s="364">
        <f t="shared" ref="B825:B826" si="804">SUM(C825:D825)</f>
        <v>39</v>
      </c>
      <c r="C825" s="364">
        <f t="shared" ref="C825:D826" si="805">R825+O825+L825+I825+F825</f>
        <v>0</v>
      </c>
      <c r="D825" s="364">
        <f t="shared" si="805"/>
        <v>39</v>
      </c>
      <c r="E825" s="364">
        <f t="shared" si="786"/>
        <v>16</v>
      </c>
      <c r="F825" s="364">
        <v>0</v>
      </c>
      <c r="G825" s="364">
        <v>16</v>
      </c>
      <c r="H825" s="364">
        <f t="shared" si="787"/>
        <v>15</v>
      </c>
      <c r="I825" s="364">
        <v>0</v>
      </c>
      <c r="J825" s="364">
        <v>15</v>
      </c>
      <c r="K825" s="364">
        <f t="shared" si="788"/>
        <v>3</v>
      </c>
      <c r="L825" s="364">
        <v>0</v>
      </c>
      <c r="M825" s="364">
        <v>3</v>
      </c>
      <c r="N825" s="364">
        <f t="shared" si="789"/>
        <v>3</v>
      </c>
      <c r="O825" s="364">
        <v>0</v>
      </c>
      <c r="P825" s="364">
        <v>3</v>
      </c>
      <c r="Q825" s="364">
        <f t="shared" si="790"/>
        <v>2</v>
      </c>
      <c r="R825" s="364">
        <v>0</v>
      </c>
      <c r="S825" s="364">
        <v>2</v>
      </c>
      <c r="T825" s="353" t="s">
        <v>146</v>
      </c>
      <c r="U825" s="365"/>
      <c r="V825" s="141"/>
    </row>
    <row r="826" spans="2:22" ht="13.5" thickBot="1" x14ac:dyDescent="0.25">
      <c r="B826" s="364">
        <f t="shared" si="804"/>
        <v>0</v>
      </c>
      <c r="C826" s="364">
        <f t="shared" si="805"/>
        <v>0</v>
      </c>
      <c r="D826" s="364">
        <f t="shared" si="805"/>
        <v>0</v>
      </c>
      <c r="E826" s="364">
        <f t="shared" si="786"/>
        <v>0</v>
      </c>
      <c r="F826" s="364">
        <v>0</v>
      </c>
      <c r="G826" s="364">
        <v>0</v>
      </c>
      <c r="H826" s="364">
        <f t="shared" si="787"/>
        <v>0</v>
      </c>
      <c r="I826" s="364">
        <v>0</v>
      </c>
      <c r="J826" s="364">
        <v>0</v>
      </c>
      <c r="K826" s="364">
        <f t="shared" si="788"/>
        <v>0</v>
      </c>
      <c r="L826" s="364">
        <v>0</v>
      </c>
      <c r="M826" s="364">
        <v>0</v>
      </c>
      <c r="N826" s="364">
        <f t="shared" si="789"/>
        <v>0</v>
      </c>
      <c r="O826" s="364">
        <v>0</v>
      </c>
      <c r="P826" s="364">
        <v>0</v>
      </c>
      <c r="Q826" s="364">
        <f t="shared" si="790"/>
        <v>0</v>
      </c>
      <c r="R826" s="364">
        <v>0</v>
      </c>
      <c r="S826" s="364">
        <v>0</v>
      </c>
      <c r="T826" s="353" t="s">
        <v>145</v>
      </c>
      <c r="U826" s="365" t="s">
        <v>295</v>
      </c>
      <c r="V826" s="141"/>
    </row>
    <row r="827" spans="2:22" ht="13.5" thickBot="1" x14ac:dyDescent="0.25">
      <c r="B827" s="364">
        <f t="shared" ref="B827:R827" si="806">SUM(B825:B826)</f>
        <v>39</v>
      </c>
      <c r="C827" s="364">
        <f t="shared" si="806"/>
        <v>0</v>
      </c>
      <c r="D827" s="364">
        <f t="shared" si="806"/>
        <v>39</v>
      </c>
      <c r="E827" s="364">
        <f t="shared" si="806"/>
        <v>16</v>
      </c>
      <c r="F827" s="364">
        <f t="shared" si="806"/>
        <v>0</v>
      </c>
      <c r="G827" s="364">
        <f t="shared" si="806"/>
        <v>16</v>
      </c>
      <c r="H827" s="364">
        <f t="shared" si="806"/>
        <v>15</v>
      </c>
      <c r="I827" s="364">
        <f t="shared" si="806"/>
        <v>0</v>
      </c>
      <c r="J827" s="364">
        <f t="shared" si="806"/>
        <v>15</v>
      </c>
      <c r="K827" s="364">
        <f t="shared" si="806"/>
        <v>3</v>
      </c>
      <c r="L827" s="364">
        <f t="shared" si="806"/>
        <v>0</v>
      </c>
      <c r="M827" s="364">
        <f t="shared" si="806"/>
        <v>3</v>
      </c>
      <c r="N827" s="364">
        <f t="shared" si="806"/>
        <v>3</v>
      </c>
      <c r="O827" s="364">
        <f t="shared" si="806"/>
        <v>0</v>
      </c>
      <c r="P827" s="364">
        <f t="shared" si="806"/>
        <v>3</v>
      </c>
      <c r="Q827" s="364">
        <f t="shared" si="806"/>
        <v>2</v>
      </c>
      <c r="R827" s="364">
        <f t="shared" si="806"/>
        <v>0</v>
      </c>
      <c r="S827" s="364">
        <f>SUM(S825:S826)</f>
        <v>2</v>
      </c>
      <c r="T827" s="353" t="s">
        <v>12</v>
      </c>
      <c r="U827" s="366"/>
      <c r="V827" s="141"/>
    </row>
    <row r="828" spans="2:22" ht="13.5" thickBot="1" x14ac:dyDescent="0.25">
      <c r="B828" s="364">
        <f t="shared" ref="B828:B829" si="807">SUM(C828:D828)</f>
        <v>43</v>
      </c>
      <c r="C828" s="364">
        <f t="shared" ref="C828:D829" si="808">R828+O828+L828+I828+F828</f>
        <v>0</v>
      </c>
      <c r="D828" s="364">
        <f t="shared" si="808"/>
        <v>43</v>
      </c>
      <c r="E828" s="364">
        <f t="shared" si="786"/>
        <v>18</v>
      </c>
      <c r="F828" s="364">
        <v>0</v>
      </c>
      <c r="G828" s="364">
        <v>18</v>
      </c>
      <c r="H828" s="364">
        <f t="shared" si="787"/>
        <v>15</v>
      </c>
      <c r="I828" s="364">
        <v>0</v>
      </c>
      <c r="J828" s="364">
        <v>15</v>
      </c>
      <c r="K828" s="364">
        <f t="shared" si="788"/>
        <v>3</v>
      </c>
      <c r="L828" s="364">
        <v>0</v>
      </c>
      <c r="M828" s="364">
        <v>3</v>
      </c>
      <c r="N828" s="364">
        <f t="shared" si="789"/>
        <v>4</v>
      </c>
      <c r="O828" s="364">
        <v>0</v>
      </c>
      <c r="P828" s="364">
        <v>4</v>
      </c>
      <c r="Q828" s="364">
        <f t="shared" si="790"/>
        <v>3</v>
      </c>
      <c r="R828" s="364">
        <v>0</v>
      </c>
      <c r="S828" s="364">
        <v>3</v>
      </c>
      <c r="T828" s="353" t="s">
        <v>146</v>
      </c>
      <c r="U828" s="365"/>
      <c r="V828" s="141"/>
    </row>
    <row r="829" spans="2:22" ht="13.5" thickBot="1" x14ac:dyDescent="0.25">
      <c r="B829" s="364">
        <f t="shared" si="807"/>
        <v>0</v>
      </c>
      <c r="C829" s="364">
        <f t="shared" si="808"/>
        <v>0</v>
      </c>
      <c r="D829" s="364">
        <f t="shared" si="808"/>
        <v>0</v>
      </c>
      <c r="E829" s="364">
        <f t="shared" si="786"/>
        <v>0</v>
      </c>
      <c r="F829" s="364">
        <v>0</v>
      </c>
      <c r="G829" s="364">
        <v>0</v>
      </c>
      <c r="H829" s="364">
        <f t="shared" si="787"/>
        <v>0</v>
      </c>
      <c r="I829" s="364">
        <v>0</v>
      </c>
      <c r="J829" s="364">
        <v>0</v>
      </c>
      <c r="K829" s="364">
        <f t="shared" si="788"/>
        <v>0</v>
      </c>
      <c r="L829" s="364">
        <v>0</v>
      </c>
      <c r="M829" s="364">
        <v>0</v>
      </c>
      <c r="N829" s="364">
        <f t="shared" si="789"/>
        <v>0</v>
      </c>
      <c r="O829" s="364">
        <v>0</v>
      </c>
      <c r="P829" s="364">
        <v>0</v>
      </c>
      <c r="Q829" s="364">
        <f t="shared" si="790"/>
        <v>0</v>
      </c>
      <c r="R829" s="364">
        <v>0</v>
      </c>
      <c r="S829" s="364">
        <v>0</v>
      </c>
      <c r="T829" s="353" t="s">
        <v>145</v>
      </c>
      <c r="U829" s="365" t="s">
        <v>296</v>
      </c>
      <c r="V829" s="141"/>
    </row>
    <row r="830" spans="2:22" ht="13.5" thickBot="1" x14ac:dyDescent="0.25">
      <c r="B830" s="364">
        <f t="shared" ref="B830:R830" si="809">SUM(B828:B829)</f>
        <v>43</v>
      </c>
      <c r="C830" s="364">
        <f t="shared" si="809"/>
        <v>0</v>
      </c>
      <c r="D830" s="364">
        <f t="shared" si="809"/>
        <v>43</v>
      </c>
      <c r="E830" s="364">
        <f t="shared" si="809"/>
        <v>18</v>
      </c>
      <c r="F830" s="364">
        <f t="shared" si="809"/>
        <v>0</v>
      </c>
      <c r="G830" s="364">
        <f t="shared" si="809"/>
        <v>18</v>
      </c>
      <c r="H830" s="364">
        <f t="shared" si="809"/>
        <v>15</v>
      </c>
      <c r="I830" s="364">
        <f t="shared" si="809"/>
        <v>0</v>
      </c>
      <c r="J830" s="364">
        <f t="shared" si="809"/>
        <v>15</v>
      </c>
      <c r="K830" s="364">
        <f t="shared" si="809"/>
        <v>3</v>
      </c>
      <c r="L830" s="364">
        <f t="shared" si="809"/>
        <v>0</v>
      </c>
      <c r="M830" s="364">
        <f t="shared" si="809"/>
        <v>3</v>
      </c>
      <c r="N830" s="364">
        <f t="shared" si="809"/>
        <v>4</v>
      </c>
      <c r="O830" s="364">
        <f t="shared" si="809"/>
        <v>0</v>
      </c>
      <c r="P830" s="364">
        <f t="shared" si="809"/>
        <v>4</v>
      </c>
      <c r="Q830" s="364">
        <f t="shared" si="809"/>
        <v>3</v>
      </c>
      <c r="R830" s="364">
        <f t="shared" si="809"/>
        <v>0</v>
      </c>
      <c r="S830" s="364">
        <f>SUM(S828:S829)</f>
        <v>3</v>
      </c>
      <c r="T830" s="353" t="s">
        <v>12</v>
      </c>
      <c r="U830" s="366"/>
      <c r="V830" s="141"/>
    </row>
    <row r="831" spans="2:22" ht="13.5" thickBot="1" x14ac:dyDescent="0.25">
      <c r="B831" s="364">
        <f t="shared" ref="B831:B832" si="810">SUM(C831:D831)</f>
        <v>28</v>
      </c>
      <c r="C831" s="364">
        <f t="shared" ref="C831:D832" si="811">R831+O831+L831+I831+F831</f>
        <v>0</v>
      </c>
      <c r="D831" s="364">
        <f t="shared" si="811"/>
        <v>28</v>
      </c>
      <c r="E831" s="364">
        <f t="shared" si="786"/>
        <v>8</v>
      </c>
      <c r="F831" s="364">
        <v>0</v>
      </c>
      <c r="G831" s="364">
        <v>8</v>
      </c>
      <c r="H831" s="364">
        <f t="shared" si="787"/>
        <v>7</v>
      </c>
      <c r="I831" s="364">
        <v>0</v>
      </c>
      <c r="J831" s="364">
        <v>7</v>
      </c>
      <c r="K831" s="364">
        <f t="shared" si="788"/>
        <v>9</v>
      </c>
      <c r="L831" s="364">
        <v>0</v>
      </c>
      <c r="M831" s="364">
        <v>9</v>
      </c>
      <c r="N831" s="364">
        <f t="shared" si="789"/>
        <v>1</v>
      </c>
      <c r="O831" s="364">
        <v>0</v>
      </c>
      <c r="P831" s="364">
        <v>1</v>
      </c>
      <c r="Q831" s="364">
        <f t="shared" si="790"/>
        <v>3</v>
      </c>
      <c r="R831" s="364">
        <v>0</v>
      </c>
      <c r="S831" s="364">
        <v>3</v>
      </c>
      <c r="T831" s="353" t="s">
        <v>146</v>
      </c>
      <c r="U831" s="365"/>
      <c r="V831" s="141"/>
    </row>
    <row r="832" spans="2:22" ht="13.5" thickBot="1" x14ac:dyDescent="0.25">
      <c r="B832" s="364">
        <f t="shared" si="810"/>
        <v>0</v>
      </c>
      <c r="C832" s="364">
        <f t="shared" si="811"/>
        <v>0</v>
      </c>
      <c r="D832" s="364">
        <f t="shared" si="811"/>
        <v>0</v>
      </c>
      <c r="E832" s="364">
        <f t="shared" si="786"/>
        <v>0</v>
      </c>
      <c r="F832" s="364">
        <v>0</v>
      </c>
      <c r="G832" s="364">
        <v>0</v>
      </c>
      <c r="H832" s="364">
        <f t="shared" si="787"/>
        <v>0</v>
      </c>
      <c r="I832" s="364">
        <v>0</v>
      </c>
      <c r="J832" s="364">
        <v>0</v>
      </c>
      <c r="K832" s="364">
        <f t="shared" si="788"/>
        <v>0</v>
      </c>
      <c r="L832" s="364">
        <v>0</v>
      </c>
      <c r="M832" s="364">
        <v>0</v>
      </c>
      <c r="N832" s="364">
        <f t="shared" si="789"/>
        <v>0</v>
      </c>
      <c r="O832" s="364">
        <v>0</v>
      </c>
      <c r="P832" s="364">
        <v>0</v>
      </c>
      <c r="Q832" s="364">
        <f t="shared" si="790"/>
        <v>0</v>
      </c>
      <c r="R832" s="364">
        <v>0</v>
      </c>
      <c r="S832" s="364">
        <v>0</v>
      </c>
      <c r="T832" s="353" t="s">
        <v>145</v>
      </c>
      <c r="U832" s="365" t="s">
        <v>297</v>
      </c>
      <c r="V832" s="141"/>
    </row>
    <row r="833" spans="2:22" ht="13.5" thickBot="1" x14ac:dyDescent="0.25">
      <c r="B833" s="364">
        <f t="shared" ref="B833:R833" si="812">SUM(B831:B832)</f>
        <v>28</v>
      </c>
      <c r="C833" s="364">
        <f t="shared" si="812"/>
        <v>0</v>
      </c>
      <c r="D833" s="364">
        <f t="shared" si="812"/>
        <v>28</v>
      </c>
      <c r="E833" s="364">
        <f t="shared" si="812"/>
        <v>8</v>
      </c>
      <c r="F833" s="364">
        <f t="shared" si="812"/>
        <v>0</v>
      </c>
      <c r="G833" s="364">
        <f t="shared" si="812"/>
        <v>8</v>
      </c>
      <c r="H833" s="364">
        <f t="shared" si="812"/>
        <v>7</v>
      </c>
      <c r="I833" s="364">
        <f t="shared" si="812"/>
        <v>0</v>
      </c>
      <c r="J833" s="364">
        <f t="shared" si="812"/>
        <v>7</v>
      </c>
      <c r="K833" s="364">
        <f t="shared" si="812"/>
        <v>9</v>
      </c>
      <c r="L833" s="364">
        <f t="shared" si="812"/>
        <v>0</v>
      </c>
      <c r="M833" s="364">
        <f t="shared" si="812"/>
        <v>9</v>
      </c>
      <c r="N833" s="364">
        <f t="shared" si="812"/>
        <v>1</v>
      </c>
      <c r="O833" s="364">
        <f t="shared" si="812"/>
        <v>0</v>
      </c>
      <c r="P833" s="364">
        <f t="shared" si="812"/>
        <v>1</v>
      </c>
      <c r="Q833" s="364">
        <f t="shared" si="812"/>
        <v>3</v>
      </c>
      <c r="R833" s="364">
        <f t="shared" si="812"/>
        <v>0</v>
      </c>
      <c r="S833" s="364">
        <f>SUM(S831:S832)</f>
        <v>3</v>
      </c>
      <c r="T833" s="353" t="s">
        <v>12</v>
      </c>
      <c r="U833" s="366"/>
      <c r="V833" s="141"/>
    </row>
    <row r="834" spans="2:22" ht="13.5" thickBot="1" x14ac:dyDescent="0.25">
      <c r="B834" s="364">
        <f t="shared" ref="B834:B835" si="813">SUM(C834:D834)</f>
        <v>36</v>
      </c>
      <c r="C834" s="364">
        <f t="shared" ref="C834:D835" si="814">R834+O834+L834+I834+F834</f>
        <v>0</v>
      </c>
      <c r="D834" s="364">
        <f t="shared" si="814"/>
        <v>36</v>
      </c>
      <c r="E834" s="364">
        <f t="shared" si="786"/>
        <v>24</v>
      </c>
      <c r="F834" s="364">
        <v>0</v>
      </c>
      <c r="G834" s="364">
        <v>24</v>
      </c>
      <c r="H834" s="364">
        <f t="shared" si="787"/>
        <v>7</v>
      </c>
      <c r="I834" s="364">
        <v>0</v>
      </c>
      <c r="J834" s="364">
        <v>7</v>
      </c>
      <c r="K834" s="364">
        <f t="shared" si="788"/>
        <v>2</v>
      </c>
      <c r="L834" s="364">
        <v>0</v>
      </c>
      <c r="M834" s="364">
        <v>2</v>
      </c>
      <c r="N834" s="364">
        <f t="shared" si="789"/>
        <v>0</v>
      </c>
      <c r="O834" s="364">
        <v>0</v>
      </c>
      <c r="P834" s="364">
        <v>0</v>
      </c>
      <c r="Q834" s="364">
        <f t="shared" si="790"/>
        <v>3</v>
      </c>
      <c r="R834" s="364">
        <v>0</v>
      </c>
      <c r="S834" s="364">
        <v>3</v>
      </c>
      <c r="T834" s="353" t="s">
        <v>146</v>
      </c>
      <c r="U834" s="365"/>
      <c r="V834" s="141"/>
    </row>
    <row r="835" spans="2:22" ht="13.5" thickBot="1" x14ac:dyDescent="0.25">
      <c r="B835" s="364">
        <f t="shared" si="813"/>
        <v>0</v>
      </c>
      <c r="C835" s="364">
        <f t="shared" si="814"/>
        <v>0</v>
      </c>
      <c r="D835" s="364">
        <f t="shared" si="814"/>
        <v>0</v>
      </c>
      <c r="E835" s="364">
        <f t="shared" si="786"/>
        <v>0</v>
      </c>
      <c r="F835" s="364">
        <v>0</v>
      </c>
      <c r="G835" s="364">
        <v>0</v>
      </c>
      <c r="H835" s="364">
        <f t="shared" si="787"/>
        <v>0</v>
      </c>
      <c r="I835" s="364">
        <v>0</v>
      </c>
      <c r="J835" s="364">
        <v>0</v>
      </c>
      <c r="K835" s="364">
        <f t="shared" si="788"/>
        <v>0</v>
      </c>
      <c r="L835" s="364">
        <v>0</v>
      </c>
      <c r="M835" s="364">
        <v>0</v>
      </c>
      <c r="N835" s="364">
        <f t="shared" si="789"/>
        <v>0</v>
      </c>
      <c r="O835" s="364">
        <v>0</v>
      </c>
      <c r="P835" s="364">
        <v>0</v>
      </c>
      <c r="Q835" s="364">
        <f t="shared" si="790"/>
        <v>0</v>
      </c>
      <c r="R835" s="364">
        <v>0</v>
      </c>
      <c r="S835" s="364">
        <v>0</v>
      </c>
      <c r="T835" s="353" t="s">
        <v>145</v>
      </c>
      <c r="U835" s="371" t="s">
        <v>782</v>
      </c>
      <c r="V835" s="141"/>
    </row>
    <row r="836" spans="2:22" ht="13.5" thickBot="1" x14ac:dyDescent="0.25">
      <c r="B836" s="364">
        <f t="shared" ref="B836:R836" si="815">SUM(B834:B835)</f>
        <v>36</v>
      </c>
      <c r="C836" s="364">
        <f t="shared" si="815"/>
        <v>0</v>
      </c>
      <c r="D836" s="364">
        <f t="shared" si="815"/>
        <v>36</v>
      </c>
      <c r="E836" s="364">
        <f t="shared" si="815"/>
        <v>24</v>
      </c>
      <c r="F836" s="364">
        <f t="shared" si="815"/>
        <v>0</v>
      </c>
      <c r="G836" s="364">
        <f t="shared" si="815"/>
        <v>24</v>
      </c>
      <c r="H836" s="364">
        <f t="shared" si="815"/>
        <v>7</v>
      </c>
      <c r="I836" s="364">
        <f t="shared" si="815"/>
        <v>0</v>
      </c>
      <c r="J836" s="364">
        <f t="shared" si="815"/>
        <v>7</v>
      </c>
      <c r="K836" s="364">
        <f t="shared" si="815"/>
        <v>2</v>
      </c>
      <c r="L836" s="364">
        <f t="shared" si="815"/>
        <v>0</v>
      </c>
      <c r="M836" s="364">
        <f t="shared" si="815"/>
        <v>2</v>
      </c>
      <c r="N836" s="364">
        <f t="shared" si="815"/>
        <v>0</v>
      </c>
      <c r="O836" s="364">
        <f t="shared" si="815"/>
        <v>0</v>
      </c>
      <c r="P836" s="364">
        <f t="shared" si="815"/>
        <v>0</v>
      </c>
      <c r="Q836" s="364">
        <f t="shared" si="815"/>
        <v>3</v>
      </c>
      <c r="R836" s="364">
        <f t="shared" si="815"/>
        <v>0</v>
      </c>
      <c r="S836" s="364">
        <f>SUM(S834:S835)</f>
        <v>3</v>
      </c>
      <c r="T836" s="353" t="s">
        <v>12</v>
      </c>
      <c r="U836" s="366"/>
      <c r="V836" s="141"/>
    </row>
    <row r="837" spans="2:22" ht="13.5" thickBot="1" x14ac:dyDescent="0.25">
      <c r="B837" s="364">
        <f t="shared" ref="B837:B838" si="816">SUM(C837:D837)</f>
        <v>23</v>
      </c>
      <c r="C837" s="364">
        <f t="shared" ref="C837:D838" si="817">R837+O837+L837+I837+F837</f>
        <v>0</v>
      </c>
      <c r="D837" s="364">
        <f t="shared" si="817"/>
        <v>23</v>
      </c>
      <c r="E837" s="364">
        <f t="shared" si="786"/>
        <v>17</v>
      </c>
      <c r="F837" s="364">
        <v>0</v>
      </c>
      <c r="G837" s="364">
        <v>17</v>
      </c>
      <c r="H837" s="364">
        <f t="shared" si="787"/>
        <v>0</v>
      </c>
      <c r="I837" s="364">
        <v>0</v>
      </c>
      <c r="J837" s="364">
        <v>0</v>
      </c>
      <c r="K837" s="364">
        <f t="shared" si="788"/>
        <v>3</v>
      </c>
      <c r="L837" s="364">
        <v>0</v>
      </c>
      <c r="M837" s="364">
        <v>3</v>
      </c>
      <c r="N837" s="364">
        <f t="shared" si="789"/>
        <v>1</v>
      </c>
      <c r="O837" s="364">
        <v>0</v>
      </c>
      <c r="P837" s="364">
        <v>1</v>
      </c>
      <c r="Q837" s="364">
        <f t="shared" si="790"/>
        <v>2</v>
      </c>
      <c r="R837" s="364">
        <v>0</v>
      </c>
      <c r="S837" s="364">
        <v>2</v>
      </c>
      <c r="T837" s="353" t="s">
        <v>146</v>
      </c>
      <c r="U837" s="365"/>
      <c r="V837" s="141"/>
    </row>
    <row r="838" spans="2:22" ht="13.5" thickBot="1" x14ac:dyDescent="0.25">
      <c r="B838" s="364">
        <f t="shared" si="816"/>
        <v>0</v>
      </c>
      <c r="C838" s="364">
        <f t="shared" si="817"/>
        <v>0</v>
      </c>
      <c r="D838" s="364">
        <f t="shared" si="817"/>
        <v>0</v>
      </c>
      <c r="E838" s="364">
        <f t="shared" si="786"/>
        <v>0</v>
      </c>
      <c r="F838" s="364">
        <v>0</v>
      </c>
      <c r="G838" s="364">
        <v>0</v>
      </c>
      <c r="H838" s="364">
        <f t="shared" si="787"/>
        <v>0</v>
      </c>
      <c r="I838" s="364">
        <v>0</v>
      </c>
      <c r="J838" s="364">
        <v>0</v>
      </c>
      <c r="K838" s="364">
        <f t="shared" si="788"/>
        <v>0</v>
      </c>
      <c r="L838" s="364">
        <v>0</v>
      </c>
      <c r="M838" s="364">
        <v>0</v>
      </c>
      <c r="N838" s="364">
        <f t="shared" si="789"/>
        <v>0</v>
      </c>
      <c r="O838" s="364">
        <v>0</v>
      </c>
      <c r="P838" s="364">
        <v>0</v>
      </c>
      <c r="Q838" s="364">
        <f t="shared" si="790"/>
        <v>0</v>
      </c>
      <c r="R838" s="364">
        <v>0</v>
      </c>
      <c r="S838" s="364">
        <v>0</v>
      </c>
      <c r="T838" s="353" t="s">
        <v>145</v>
      </c>
      <c r="U838" s="365" t="s">
        <v>299</v>
      </c>
      <c r="V838" s="141"/>
    </row>
    <row r="839" spans="2:22" ht="13.5" thickBot="1" x14ac:dyDescent="0.25">
      <c r="B839" s="364">
        <f t="shared" ref="B839:R839" si="818">SUM(B837:B838)</f>
        <v>23</v>
      </c>
      <c r="C839" s="364">
        <f t="shared" si="818"/>
        <v>0</v>
      </c>
      <c r="D839" s="364">
        <f t="shared" si="818"/>
        <v>23</v>
      </c>
      <c r="E839" s="364">
        <f t="shared" si="818"/>
        <v>17</v>
      </c>
      <c r="F839" s="364">
        <f t="shared" si="818"/>
        <v>0</v>
      </c>
      <c r="G839" s="364">
        <f t="shared" si="818"/>
        <v>17</v>
      </c>
      <c r="H839" s="364">
        <f t="shared" si="818"/>
        <v>0</v>
      </c>
      <c r="I839" s="364">
        <f t="shared" si="818"/>
        <v>0</v>
      </c>
      <c r="J839" s="364">
        <f t="shared" si="818"/>
        <v>0</v>
      </c>
      <c r="K839" s="364">
        <f t="shared" si="818"/>
        <v>3</v>
      </c>
      <c r="L839" s="364">
        <f t="shared" si="818"/>
        <v>0</v>
      </c>
      <c r="M839" s="364">
        <f t="shared" si="818"/>
        <v>3</v>
      </c>
      <c r="N839" s="364">
        <f t="shared" si="818"/>
        <v>1</v>
      </c>
      <c r="O839" s="364">
        <f t="shared" si="818"/>
        <v>0</v>
      </c>
      <c r="P839" s="364">
        <f t="shared" si="818"/>
        <v>1</v>
      </c>
      <c r="Q839" s="364">
        <f t="shared" si="818"/>
        <v>2</v>
      </c>
      <c r="R839" s="364">
        <f t="shared" si="818"/>
        <v>0</v>
      </c>
      <c r="S839" s="364">
        <f>SUM(S837:S838)</f>
        <v>2</v>
      </c>
      <c r="T839" s="353" t="s">
        <v>12</v>
      </c>
      <c r="U839" s="366"/>
      <c r="V839" s="141"/>
    </row>
    <row r="840" spans="2:22" ht="13.5" thickBot="1" x14ac:dyDescent="0.25">
      <c r="B840" s="364">
        <f t="shared" ref="B840:B841" si="819">SUM(C840:D840)</f>
        <v>23</v>
      </c>
      <c r="C840" s="364">
        <f t="shared" ref="C840:D841" si="820">R840+O840+L840+I840+F840</f>
        <v>0</v>
      </c>
      <c r="D840" s="364">
        <f t="shared" si="820"/>
        <v>23</v>
      </c>
      <c r="E840" s="364">
        <f t="shared" si="786"/>
        <v>8</v>
      </c>
      <c r="F840" s="364">
        <v>0</v>
      </c>
      <c r="G840" s="364">
        <v>8</v>
      </c>
      <c r="H840" s="364">
        <f t="shared" si="787"/>
        <v>3</v>
      </c>
      <c r="I840" s="364">
        <v>0</v>
      </c>
      <c r="J840" s="364">
        <v>3</v>
      </c>
      <c r="K840" s="364">
        <f t="shared" si="788"/>
        <v>9</v>
      </c>
      <c r="L840" s="364">
        <v>0</v>
      </c>
      <c r="M840" s="364">
        <v>9</v>
      </c>
      <c r="N840" s="364">
        <f t="shared" si="789"/>
        <v>1</v>
      </c>
      <c r="O840" s="364">
        <v>0</v>
      </c>
      <c r="P840" s="364">
        <v>1</v>
      </c>
      <c r="Q840" s="364">
        <f t="shared" si="790"/>
        <v>2</v>
      </c>
      <c r="R840" s="364">
        <v>0</v>
      </c>
      <c r="S840" s="364">
        <v>2</v>
      </c>
      <c r="T840" s="353" t="s">
        <v>146</v>
      </c>
      <c r="U840" s="365"/>
      <c r="V840" s="141"/>
    </row>
    <row r="841" spans="2:22" ht="13.5" thickBot="1" x14ac:dyDescent="0.25">
      <c r="B841" s="364">
        <f t="shared" si="819"/>
        <v>0</v>
      </c>
      <c r="C841" s="364">
        <f t="shared" si="820"/>
        <v>0</v>
      </c>
      <c r="D841" s="364">
        <f t="shared" si="820"/>
        <v>0</v>
      </c>
      <c r="E841" s="364">
        <f t="shared" si="786"/>
        <v>0</v>
      </c>
      <c r="F841" s="364">
        <v>0</v>
      </c>
      <c r="G841" s="364">
        <v>0</v>
      </c>
      <c r="H841" s="364">
        <f t="shared" si="787"/>
        <v>0</v>
      </c>
      <c r="I841" s="364">
        <v>0</v>
      </c>
      <c r="J841" s="364">
        <v>0</v>
      </c>
      <c r="K841" s="364">
        <f t="shared" si="788"/>
        <v>0</v>
      </c>
      <c r="L841" s="364">
        <v>0</v>
      </c>
      <c r="M841" s="364">
        <v>0</v>
      </c>
      <c r="N841" s="364">
        <f t="shared" si="789"/>
        <v>0</v>
      </c>
      <c r="O841" s="364">
        <v>0</v>
      </c>
      <c r="P841" s="364">
        <v>0</v>
      </c>
      <c r="Q841" s="364">
        <f t="shared" si="790"/>
        <v>0</v>
      </c>
      <c r="R841" s="364">
        <v>0</v>
      </c>
      <c r="S841" s="364">
        <v>0</v>
      </c>
      <c r="T841" s="353" t="s">
        <v>145</v>
      </c>
      <c r="U841" s="365" t="s">
        <v>844</v>
      </c>
      <c r="V841" s="141"/>
    </row>
    <row r="842" spans="2:22" ht="13.5" thickBot="1" x14ac:dyDescent="0.25">
      <c r="B842" s="364">
        <f t="shared" ref="B842:R842" si="821">SUM(B840:B841)</f>
        <v>23</v>
      </c>
      <c r="C842" s="364">
        <f t="shared" si="821"/>
        <v>0</v>
      </c>
      <c r="D842" s="364">
        <f t="shared" si="821"/>
        <v>23</v>
      </c>
      <c r="E842" s="364">
        <f t="shared" si="821"/>
        <v>8</v>
      </c>
      <c r="F842" s="364">
        <f t="shared" si="821"/>
        <v>0</v>
      </c>
      <c r="G842" s="364">
        <f t="shared" si="821"/>
        <v>8</v>
      </c>
      <c r="H842" s="364">
        <f t="shared" si="821"/>
        <v>3</v>
      </c>
      <c r="I842" s="364">
        <f t="shared" si="821"/>
        <v>0</v>
      </c>
      <c r="J842" s="364">
        <f t="shared" si="821"/>
        <v>3</v>
      </c>
      <c r="K842" s="364">
        <f t="shared" si="821"/>
        <v>9</v>
      </c>
      <c r="L842" s="364">
        <f t="shared" si="821"/>
        <v>0</v>
      </c>
      <c r="M842" s="364">
        <f t="shared" si="821"/>
        <v>9</v>
      </c>
      <c r="N842" s="364">
        <f t="shared" si="821"/>
        <v>1</v>
      </c>
      <c r="O842" s="364">
        <f t="shared" si="821"/>
        <v>0</v>
      </c>
      <c r="P842" s="364">
        <f t="shared" si="821"/>
        <v>1</v>
      </c>
      <c r="Q842" s="364">
        <f t="shared" si="821"/>
        <v>2</v>
      </c>
      <c r="R842" s="364">
        <f t="shared" si="821"/>
        <v>0</v>
      </c>
      <c r="S842" s="364">
        <f>SUM(S840:S841)</f>
        <v>2</v>
      </c>
      <c r="T842" s="353" t="s">
        <v>12</v>
      </c>
      <c r="U842" s="366"/>
      <c r="V842" s="141"/>
    </row>
    <row r="843" spans="2:22" ht="13.5" thickBot="1" x14ac:dyDescent="0.25">
      <c r="B843" s="364">
        <f t="shared" ref="B843:B844" si="822">SUM(C843:D843)</f>
        <v>27</v>
      </c>
      <c r="C843" s="364">
        <f t="shared" ref="C843:D844" si="823">R843+O843+L843+I843+F843</f>
        <v>0</v>
      </c>
      <c r="D843" s="364">
        <f t="shared" si="823"/>
        <v>27</v>
      </c>
      <c r="E843" s="364">
        <f t="shared" si="786"/>
        <v>19</v>
      </c>
      <c r="F843" s="364">
        <v>0</v>
      </c>
      <c r="G843" s="364">
        <v>19</v>
      </c>
      <c r="H843" s="364">
        <f t="shared" si="787"/>
        <v>5</v>
      </c>
      <c r="I843" s="364">
        <v>0</v>
      </c>
      <c r="J843" s="364">
        <v>5</v>
      </c>
      <c r="K843" s="364">
        <f t="shared" si="788"/>
        <v>0</v>
      </c>
      <c r="L843" s="364">
        <v>0</v>
      </c>
      <c r="M843" s="364">
        <v>0</v>
      </c>
      <c r="N843" s="364">
        <f t="shared" si="789"/>
        <v>1</v>
      </c>
      <c r="O843" s="364">
        <v>0</v>
      </c>
      <c r="P843" s="364">
        <v>1</v>
      </c>
      <c r="Q843" s="364">
        <f t="shared" si="790"/>
        <v>2</v>
      </c>
      <c r="R843" s="364">
        <v>0</v>
      </c>
      <c r="S843" s="364">
        <v>2</v>
      </c>
      <c r="T843" s="353" t="s">
        <v>146</v>
      </c>
      <c r="U843" s="365"/>
      <c r="V843" s="141"/>
    </row>
    <row r="844" spans="2:22" ht="13.5" thickBot="1" x14ac:dyDescent="0.25">
      <c r="B844" s="364">
        <f t="shared" si="822"/>
        <v>0</v>
      </c>
      <c r="C844" s="364">
        <f t="shared" si="823"/>
        <v>0</v>
      </c>
      <c r="D844" s="364">
        <f t="shared" si="823"/>
        <v>0</v>
      </c>
      <c r="E844" s="364">
        <f t="shared" si="786"/>
        <v>0</v>
      </c>
      <c r="F844" s="364">
        <v>0</v>
      </c>
      <c r="G844" s="364">
        <v>0</v>
      </c>
      <c r="H844" s="364">
        <f t="shared" si="787"/>
        <v>0</v>
      </c>
      <c r="I844" s="364">
        <v>0</v>
      </c>
      <c r="J844" s="364">
        <v>0</v>
      </c>
      <c r="K844" s="364">
        <f t="shared" si="788"/>
        <v>0</v>
      </c>
      <c r="L844" s="364">
        <v>0</v>
      </c>
      <c r="M844" s="364">
        <v>0</v>
      </c>
      <c r="N844" s="364">
        <f t="shared" si="789"/>
        <v>0</v>
      </c>
      <c r="O844" s="364">
        <v>0</v>
      </c>
      <c r="P844" s="364">
        <v>0</v>
      </c>
      <c r="Q844" s="364">
        <f t="shared" si="790"/>
        <v>0</v>
      </c>
      <c r="R844" s="364">
        <v>0</v>
      </c>
      <c r="S844" s="364">
        <v>0</v>
      </c>
      <c r="T844" s="353" t="s">
        <v>145</v>
      </c>
      <c r="U844" s="365" t="s">
        <v>301</v>
      </c>
      <c r="V844" s="141"/>
    </row>
    <row r="845" spans="2:22" ht="13.5" thickBot="1" x14ac:dyDescent="0.25">
      <c r="B845" s="364">
        <f t="shared" ref="B845:R845" si="824">SUM(B843:B844)</f>
        <v>27</v>
      </c>
      <c r="C845" s="364">
        <f t="shared" si="824"/>
        <v>0</v>
      </c>
      <c r="D845" s="364">
        <f t="shared" si="824"/>
        <v>27</v>
      </c>
      <c r="E845" s="364">
        <f t="shared" si="824"/>
        <v>19</v>
      </c>
      <c r="F845" s="364">
        <f t="shared" si="824"/>
        <v>0</v>
      </c>
      <c r="G845" s="364">
        <f t="shared" si="824"/>
        <v>19</v>
      </c>
      <c r="H845" s="364">
        <f t="shared" si="824"/>
        <v>5</v>
      </c>
      <c r="I845" s="364">
        <f t="shared" si="824"/>
        <v>0</v>
      </c>
      <c r="J845" s="364">
        <f t="shared" si="824"/>
        <v>5</v>
      </c>
      <c r="K845" s="364">
        <f t="shared" si="824"/>
        <v>0</v>
      </c>
      <c r="L845" s="364">
        <f t="shared" si="824"/>
        <v>0</v>
      </c>
      <c r="M845" s="364">
        <f t="shared" si="824"/>
        <v>0</v>
      </c>
      <c r="N845" s="364">
        <f t="shared" si="824"/>
        <v>1</v>
      </c>
      <c r="O845" s="364">
        <f t="shared" si="824"/>
        <v>0</v>
      </c>
      <c r="P845" s="364">
        <f t="shared" si="824"/>
        <v>1</v>
      </c>
      <c r="Q845" s="364">
        <f t="shared" si="824"/>
        <v>2</v>
      </c>
      <c r="R845" s="364">
        <f t="shared" si="824"/>
        <v>0</v>
      </c>
      <c r="S845" s="364">
        <f>SUM(S843:S844)</f>
        <v>2</v>
      </c>
      <c r="T845" s="353" t="s">
        <v>12</v>
      </c>
      <c r="U845" s="366"/>
      <c r="V845" s="141"/>
    </row>
    <row r="846" spans="2:22" ht="13.5" thickBot="1" x14ac:dyDescent="0.25">
      <c r="B846" s="364">
        <f t="shared" ref="B846:B847" si="825">SUM(C846:D846)</f>
        <v>29</v>
      </c>
      <c r="C846" s="364">
        <f t="shared" ref="C846:D847" si="826">R846+O846+L846+I846+F846</f>
        <v>0</v>
      </c>
      <c r="D846" s="364">
        <f t="shared" si="826"/>
        <v>29</v>
      </c>
      <c r="E846" s="364">
        <f t="shared" si="786"/>
        <v>7</v>
      </c>
      <c r="F846" s="364">
        <v>0</v>
      </c>
      <c r="G846" s="364">
        <v>7</v>
      </c>
      <c r="H846" s="364">
        <f t="shared" si="787"/>
        <v>12</v>
      </c>
      <c r="I846" s="364">
        <v>0</v>
      </c>
      <c r="J846" s="364">
        <v>12</v>
      </c>
      <c r="K846" s="364">
        <f t="shared" si="788"/>
        <v>9</v>
      </c>
      <c r="L846" s="364">
        <v>0</v>
      </c>
      <c r="M846" s="364">
        <v>9</v>
      </c>
      <c r="N846" s="364">
        <f t="shared" si="789"/>
        <v>0</v>
      </c>
      <c r="O846" s="364">
        <v>0</v>
      </c>
      <c r="P846" s="364">
        <v>0</v>
      </c>
      <c r="Q846" s="364">
        <f t="shared" si="790"/>
        <v>1</v>
      </c>
      <c r="R846" s="364">
        <v>0</v>
      </c>
      <c r="S846" s="364">
        <v>1</v>
      </c>
      <c r="T846" s="353" t="s">
        <v>146</v>
      </c>
      <c r="U846" s="365"/>
      <c r="V846" s="141"/>
    </row>
    <row r="847" spans="2:22" ht="13.5" thickBot="1" x14ac:dyDescent="0.25">
      <c r="B847" s="364">
        <f t="shared" si="825"/>
        <v>0</v>
      </c>
      <c r="C847" s="364">
        <f t="shared" si="826"/>
        <v>0</v>
      </c>
      <c r="D847" s="364">
        <f t="shared" si="826"/>
        <v>0</v>
      </c>
      <c r="E847" s="364">
        <f t="shared" si="786"/>
        <v>0</v>
      </c>
      <c r="F847" s="364">
        <v>0</v>
      </c>
      <c r="G847" s="364">
        <v>0</v>
      </c>
      <c r="H847" s="364">
        <f t="shared" si="787"/>
        <v>0</v>
      </c>
      <c r="I847" s="364">
        <v>0</v>
      </c>
      <c r="J847" s="364">
        <v>0</v>
      </c>
      <c r="K847" s="364">
        <f t="shared" si="788"/>
        <v>0</v>
      </c>
      <c r="L847" s="364">
        <v>0</v>
      </c>
      <c r="M847" s="364">
        <v>0</v>
      </c>
      <c r="N847" s="364">
        <f t="shared" si="789"/>
        <v>0</v>
      </c>
      <c r="O847" s="364">
        <v>0</v>
      </c>
      <c r="P847" s="364">
        <v>0</v>
      </c>
      <c r="Q847" s="364">
        <f t="shared" si="790"/>
        <v>0</v>
      </c>
      <c r="R847" s="364">
        <v>0</v>
      </c>
      <c r="S847" s="364">
        <v>0</v>
      </c>
      <c r="T847" s="353" t="s">
        <v>145</v>
      </c>
      <c r="U847" s="365" t="s">
        <v>302</v>
      </c>
      <c r="V847" s="141"/>
    </row>
    <row r="848" spans="2:22" ht="13.5" thickBot="1" x14ac:dyDescent="0.25">
      <c r="B848" s="364">
        <f t="shared" ref="B848:R848" si="827">SUM(B846:B847)</f>
        <v>29</v>
      </c>
      <c r="C848" s="364">
        <f t="shared" si="827"/>
        <v>0</v>
      </c>
      <c r="D848" s="364">
        <f t="shared" si="827"/>
        <v>29</v>
      </c>
      <c r="E848" s="364">
        <f t="shared" si="827"/>
        <v>7</v>
      </c>
      <c r="F848" s="364">
        <f t="shared" si="827"/>
        <v>0</v>
      </c>
      <c r="G848" s="364">
        <f t="shared" si="827"/>
        <v>7</v>
      </c>
      <c r="H848" s="364">
        <f t="shared" si="827"/>
        <v>12</v>
      </c>
      <c r="I848" s="364">
        <f t="shared" si="827"/>
        <v>0</v>
      </c>
      <c r="J848" s="364">
        <f t="shared" si="827"/>
        <v>12</v>
      </c>
      <c r="K848" s="364">
        <f t="shared" si="827"/>
        <v>9</v>
      </c>
      <c r="L848" s="364">
        <f t="shared" si="827"/>
        <v>0</v>
      </c>
      <c r="M848" s="364">
        <f t="shared" si="827"/>
        <v>9</v>
      </c>
      <c r="N848" s="364">
        <f t="shared" si="827"/>
        <v>0</v>
      </c>
      <c r="O848" s="364">
        <f t="shared" si="827"/>
        <v>0</v>
      </c>
      <c r="P848" s="364">
        <f t="shared" si="827"/>
        <v>0</v>
      </c>
      <c r="Q848" s="364">
        <f t="shared" si="827"/>
        <v>1</v>
      </c>
      <c r="R848" s="364">
        <f t="shared" si="827"/>
        <v>0</v>
      </c>
      <c r="S848" s="364">
        <f>SUM(S846:S847)</f>
        <v>1</v>
      </c>
      <c r="T848" s="353" t="s">
        <v>12</v>
      </c>
      <c r="U848" s="366"/>
      <c r="V848" s="141"/>
    </row>
    <row r="849" spans="2:22" ht="13.5" thickBot="1" x14ac:dyDescent="0.25">
      <c r="B849" s="364">
        <f t="shared" ref="B849:B850" si="828">SUM(C849:D849)</f>
        <v>22</v>
      </c>
      <c r="C849" s="364">
        <f t="shared" ref="C849:D850" si="829">R849+O849+L849+I849+F849</f>
        <v>0</v>
      </c>
      <c r="D849" s="364">
        <f t="shared" si="829"/>
        <v>22</v>
      </c>
      <c r="E849" s="364">
        <f t="shared" si="786"/>
        <v>10</v>
      </c>
      <c r="F849" s="364">
        <v>0</v>
      </c>
      <c r="G849" s="364">
        <v>10</v>
      </c>
      <c r="H849" s="364">
        <f t="shared" si="787"/>
        <v>8</v>
      </c>
      <c r="I849" s="364">
        <v>0</v>
      </c>
      <c r="J849" s="364">
        <v>8</v>
      </c>
      <c r="K849" s="364">
        <f t="shared" si="788"/>
        <v>3</v>
      </c>
      <c r="L849" s="364">
        <v>0</v>
      </c>
      <c r="M849" s="364">
        <v>3</v>
      </c>
      <c r="N849" s="364">
        <f t="shared" si="789"/>
        <v>0</v>
      </c>
      <c r="O849" s="364">
        <v>0</v>
      </c>
      <c r="P849" s="364">
        <v>0</v>
      </c>
      <c r="Q849" s="364">
        <f t="shared" si="790"/>
        <v>1</v>
      </c>
      <c r="R849" s="364">
        <v>0</v>
      </c>
      <c r="S849" s="364">
        <v>1</v>
      </c>
      <c r="T849" s="353" t="s">
        <v>146</v>
      </c>
      <c r="U849" s="365"/>
      <c r="V849" s="141"/>
    </row>
    <row r="850" spans="2:22" ht="13.5" thickBot="1" x14ac:dyDescent="0.25">
      <c r="B850" s="364">
        <f t="shared" si="828"/>
        <v>0</v>
      </c>
      <c r="C850" s="364">
        <f t="shared" si="829"/>
        <v>0</v>
      </c>
      <c r="D850" s="364">
        <f t="shared" si="829"/>
        <v>0</v>
      </c>
      <c r="E850" s="364">
        <f t="shared" si="786"/>
        <v>0</v>
      </c>
      <c r="F850" s="364">
        <v>0</v>
      </c>
      <c r="G850" s="364">
        <v>0</v>
      </c>
      <c r="H850" s="364">
        <f t="shared" si="787"/>
        <v>0</v>
      </c>
      <c r="I850" s="364">
        <v>0</v>
      </c>
      <c r="J850" s="364">
        <v>0</v>
      </c>
      <c r="K850" s="364">
        <f t="shared" si="788"/>
        <v>0</v>
      </c>
      <c r="L850" s="364">
        <v>0</v>
      </c>
      <c r="M850" s="364">
        <v>0</v>
      </c>
      <c r="N850" s="364">
        <f t="shared" si="789"/>
        <v>0</v>
      </c>
      <c r="O850" s="364">
        <v>0</v>
      </c>
      <c r="P850" s="364">
        <v>0</v>
      </c>
      <c r="Q850" s="364">
        <f t="shared" si="790"/>
        <v>0</v>
      </c>
      <c r="R850" s="364">
        <v>0</v>
      </c>
      <c r="S850" s="364">
        <v>0</v>
      </c>
      <c r="T850" s="353" t="s">
        <v>145</v>
      </c>
      <c r="U850" s="365" t="s">
        <v>303</v>
      </c>
      <c r="V850" s="141"/>
    </row>
    <row r="851" spans="2:22" ht="13.5" thickBot="1" x14ac:dyDescent="0.25">
      <c r="B851" s="364">
        <f t="shared" ref="B851:R851" si="830">SUM(B849:B850)</f>
        <v>22</v>
      </c>
      <c r="C851" s="364">
        <f t="shared" si="830"/>
        <v>0</v>
      </c>
      <c r="D851" s="364">
        <f t="shared" si="830"/>
        <v>22</v>
      </c>
      <c r="E851" s="364">
        <f t="shared" si="830"/>
        <v>10</v>
      </c>
      <c r="F851" s="364">
        <f t="shared" si="830"/>
        <v>0</v>
      </c>
      <c r="G851" s="364">
        <f t="shared" si="830"/>
        <v>10</v>
      </c>
      <c r="H851" s="364">
        <f t="shared" si="830"/>
        <v>8</v>
      </c>
      <c r="I851" s="364">
        <f t="shared" si="830"/>
        <v>0</v>
      </c>
      <c r="J851" s="364">
        <f t="shared" si="830"/>
        <v>8</v>
      </c>
      <c r="K851" s="364">
        <f t="shared" si="830"/>
        <v>3</v>
      </c>
      <c r="L851" s="364">
        <f t="shared" si="830"/>
        <v>0</v>
      </c>
      <c r="M851" s="364">
        <f t="shared" si="830"/>
        <v>3</v>
      </c>
      <c r="N851" s="364">
        <f t="shared" si="830"/>
        <v>0</v>
      </c>
      <c r="O851" s="364">
        <f t="shared" si="830"/>
        <v>0</v>
      </c>
      <c r="P851" s="364">
        <f t="shared" si="830"/>
        <v>0</v>
      </c>
      <c r="Q851" s="364">
        <f t="shared" si="830"/>
        <v>1</v>
      </c>
      <c r="R851" s="364">
        <f t="shared" si="830"/>
        <v>0</v>
      </c>
      <c r="S851" s="364">
        <f>SUM(S849:S850)</f>
        <v>1</v>
      </c>
      <c r="T851" s="353" t="s">
        <v>12</v>
      </c>
      <c r="U851" s="366"/>
      <c r="V851" s="141"/>
    </row>
    <row r="852" spans="2:22" ht="13.5" thickBot="1" x14ac:dyDescent="0.25">
      <c r="B852" s="364">
        <f t="shared" ref="B852:B853" si="831">SUM(C852:D852)</f>
        <v>28</v>
      </c>
      <c r="C852" s="364">
        <f t="shared" ref="C852:D853" si="832">R852+O852+L852+I852+F852</f>
        <v>0</v>
      </c>
      <c r="D852" s="364">
        <f t="shared" si="832"/>
        <v>28</v>
      </c>
      <c r="E852" s="364">
        <f t="shared" si="786"/>
        <v>18</v>
      </c>
      <c r="F852" s="364">
        <v>0</v>
      </c>
      <c r="G852" s="364">
        <v>18</v>
      </c>
      <c r="H852" s="364">
        <f t="shared" si="787"/>
        <v>3</v>
      </c>
      <c r="I852" s="364">
        <v>0</v>
      </c>
      <c r="J852" s="364">
        <v>3</v>
      </c>
      <c r="K852" s="364">
        <f t="shared" si="788"/>
        <v>3</v>
      </c>
      <c r="L852" s="364">
        <v>0</v>
      </c>
      <c r="M852" s="364">
        <v>3</v>
      </c>
      <c r="N852" s="364">
        <f t="shared" si="789"/>
        <v>3</v>
      </c>
      <c r="O852" s="364">
        <v>0</v>
      </c>
      <c r="P852" s="364">
        <v>3</v>
      </c>
      <c r="Q852" s="364">
        <f t="shared" si="790"/>
        <v>1</v>
      </c>
      <c r="R852" s="364">
        <v>0</v>
      </c>
      <c r="S852" s="364">
        <v>1</v>
      </c>
      <c r="T852" s="353" t="s">
        <v>146</v>
      </c>
      <c r="U852" s="365"/>
      <c r="V852" s="141"/>
    </row>
    <row r="853" spans="2:22" ht="13.5" thickBot="1" x14ac:dyDescent="0.25">
      <c r="B853" s="364">
        <f t="shared" si="831"/>
        <v>0</v>
      </c>
      <c r="C853" s="364">
        <f t="shared" si="832"/>
        <v>0</v>
      </c>
      <c r="D853" s="364">
        <f t="shared" si="832"/>
        <v>0</v>
      </c>
      <c r="E853" s="364">
        <f t="shared" si="786"/>
        <v>0</v>
      </c>
      <c r="F853" s="364">
        <v>0</v>
      </c>
      <c r="G853" s="364">
        <v>0</v>
      </c>
      <c r="H853" s="364">
        <f t="shared" si="787"/>
        <v>0</v>
      </c>
      <c r="I853" s="364">
        <v>0</v>
      </c>
      <c r="J853" s="364">
        <v>0</v>
      </c>
      <c r="K853" s="364">
        <f t="shared" si="788"/>
        <v>0</v>
      </c>
      <c r="L853" s="364">
        <v>0</v>
      </c>
      <c r="M853" s="364">
        <v>0</v>
      </c>
      <c r="N853" s="364">
        <f t="shared" si="789"/>
        <v>0</v>
      </c>
      <c r="O853" s="364">
        <v>0</v>
      </c>
      <c r="P853" s="364">
        <v>0</v>
      </c>
      <c r="Q853" s="364">
        <f t="shared" si="790"/>
        <v>0</v>
      </c>
      <c r="R853" s="364">
        <v>0</v>
      </c>
      <c r="S853" s="364">
        <v>0</v>
      </c>
      <c r="T853" s="353" t="s">
        <v>145</v>
      </c>
      <c r="U853" s="365" t="s">
        <v>304</v>
      </c>
      <c r="V853" s="141"/>
    </row>
    <row r="854" spans="2:22" ht="13.5" thickBot="1" x14ac:dyDescent="0.25">
      <c r="B854" s="364">
        <f t="shared" ref="B854:R854" si="833">SUM(B852:B853)</f>
        <v>28</v>
      </c>
      <c r="C854" s="364">
        <f t="shared" si="833"/>
        <v>0</v>
      </c>
      <c r="D854" s="364">
        <f t="shared" si="833"/>
        <v>28</v>
      </c>
      <c r="E854" s="364">
        <f t="shared" si="833"/>
        <v>18</v>
      </c>
      <c r="F854" s="364">
        <f t="shared" si="833"/>
        <v>0</v>
      </c>
      <c r="G854" s="364">
        <f t="shared" si="833"/>
        <v>18</v>
      </c>
      <c r="H854" s="364">
        <f t="shared" si="833"/>
        <v>3</v>
      </c>
      <c r="I854" s="364">
        <f t="shared" si="833"/>
        <v>0</v>
      </c>
      <c r="J854" s="364">
        <f t="shared" si="833"/>
        <v>3</v>
      </c>
      <c r="K854" s="364">
        <f t="shared" si="833"/>
        <v>3</v>
      </c>
      <c r="L854" s="364">
        <f t="shared" si="833"/>
        <v>0</v>
      </c>
      <c r="M854" s="364">
        <f t="shared" si="833"/>
        <v>3</v>
      </c>
      <c r="N854" s="364">
        <f t="shared" si="833"/>
        <v>3</v>
      </c>
      <c r="O854" s="364">
        <f t="shared" si="833"/>
        <v>0</v>
      </c>
      <c r="P854" s="364">
        <f t="shared" si="833"/>
        <v>3</v>
      </c>
      <c r="Q854" s="364">
        <f t="shared" si="833"/>
        <v>1</v>
      </c>
      <c r="R854" s="364">
        <f t="shared" si="833"/>
        <v>0</v>
      </c>
      <c r="S854" s="364">
        <f>SUM(S852:S853)</f>
        <v>1</v>
      </c>
      <c r="T854" s="353" t="s">
        <v>12</v>
      </c>
      <c r="U854" s="366"/>
      <c r="V854" s="141"/>
    </row>
    <row r="855" spans="2:22" ht="13.5" thickBot="1" x14ac:dyDescent="0.25">
      <c r="B855" s="364">
        <f t="shared" ref="B855:B856" si="834">SUM(C855:D855)</f>
        <v>24</v>
      </c>
      <c r="C855" s="364">
        <f t="shared" ref="C855:D856" si="835">R855+O855+L855+I855+F855</f>
        <v>0</v>
      </c>
      <c r="D855" s="364">
        <f t="shared" si="835"/>
        <v>24</v>
      </c>
      <c r="E855" s="364">
        <f t="shared" si="786"/>
        <v>11</v>
      </c>
      <c r="F855" s="364">
        <v>0</v>
      </c>
      <c r="G855" s="364">
        <v>11</v>
      </c>
      <c r="H855" s="364">
        <f t="shared" si="787"/>
        <v>3</v>
      </c>
      <c r="I855" s="364">
        <v>0</v>
      </c>
      <c r="J855" s="364">
        <v>3</v>
      </c>
      <c r="K855" s="364">
        <f t="shared" si="788"/>
        <v>7</v>
      </c>
      <c r="L855" s="364">
        <v>0</v>
      </c>
      <c r="M855" s="364">
        <v>7</v>
      </c>
      <c r="N855" s="364">
        <f t="shared" si="789"/>
        <v>2</v>
      </c>
      <c r="O855" s="364">
        <v>0</v>
      </c>
      <c r="P855" s="364">
        <v>2</v>
      </c>
      <c r="Q855" s="364">
        <f t="shared" si="790"/>
        <v>1</v>
      </c>
      <c r="R855" s="364">
        <v>0</v>
      </c>
      <c r="S855" s="364">
        <v>1</v>
      </c>
      <c r="T855" s="353" t="s">
        <v>146</v>
      </c>
      <c r="U855" s="365"/>
      <c r="V855" s="141"/>
    </row>
    <row r="856" spans="2:22" ht="13.5" thickBot="1" x14ac:dyDescent="0.25">
      <c r="B856" s="364">
        <f t="shared" si="834"/>
        <v>0</v>
      </c>
      <c r="C856" s="364">
        <f t="shared" si="835"/>
        <v>0</v>
      </c>
      <c r="D856" s="364">
        <f t="shared" si="835"/>
        <v>0</v>
      </c>
      <c r="E856" s="364">
        <f t="shared" si="786"/>
        <v>0</v>
      </c>
      <c r="F856" s="364">
        <v>0</v>
      </c>
      <c r="G856" s="364">
        <v>0</v>
      </c>
      <c r="H856" s="364">
        <f t="shared" si="787"/>
        <v>0</v>
      </c>
      <c r="I856" s="364">
        <v>0</v>
      </c>
      <c r="J856" s="364">
        <v>0</v>
      </c>
      <c r="K856" s="364">
        <f t="shared" si="788"/>
        <v>0</v>
      </c>
      <c r="L856" s="364">
        <v>0</v>
      </c>
      <c r="M856" s="364">
        <v>0</v>
      </c>
      <c r="N856" s="364">
        <f t="shared" si="789"/>
        <v>0</v>
      </c>
      <c r="O856" s="364">
        <v>0</v>
      </c>
      <c r="P856" s="364">
        <v>0</v>
      </c>
      <c r="Q856" s="364">
        <f t="shared" si="790"/>
        <v>0</v>
      </c>
      <c r="R856" s="364">
        <v>0</v>
      </c>
      <c r="S856" s="364">
        <v>0</v>
      </c>
      <c r="T856" s="353" t="s">
        <v>145</v>
      </c>
      <c r="U856" s="365" t="s">
        <v>305</v>
      </c>
      <c r="V856" s="141"/>
    </row>
    <row r="857" spans="2:22" ht="13.5" thickBot="1" x14ac:dyDescent="0.25">
      <c r="B857" s="364">
        <f t="shared" ref="B857:R857" si="836">SUM(B855:B856)</f>
        <v>24</v>
      </c>
      <c r="C857" s="364">
        <f t="shared" si="836"/>
        <v>0</v>
      </c>
      <c r="D857" s="364">
        <f t="shared" si="836"/>
        <v>24</v>
      </c>
      <c r="E857" s="364">
        <f t="shared" si="836"/>
        <v>11</v>
      </c>
      <c r="F857" s="364">
        <f t="shared" si="836"/>
        <v>0</v>
      </c>
      <c r="G857" s="364">
        <f t="shared" si="836"/>
        <v>11</v>
      </c>
      <c r="H857" s="364">
        <f t="shared" si="836"/>
        <v>3</v>
      </c>
      <c r="I857" s="364">
        <f t="shared" si="836"/>
        <v>0</v>
      </c>
      <c r="J857" s="364">
        <f t="shared" si="836"/>
        <v>3</v>
      </c>
      <c r="K857" s="364">
        <f t="shared" si="836"/>
        <v>7</v>
      </c>
      <c r="L857" s="364">
        <f t="shared" si="836"/>
        <v>0</v>
      </c>
      <c r="M857" s="364">
        <f t="shared" si="836"/>
        <v>7</v>
      </c>
      <c r="N857" s="364">
        <f t="shared" si="836"/>
        <v>2</v>
      </c>
      <c r="O857" s="364">
        <f t="shared" si="836"/>
        <v>0</v>
      </c>
      <c r="P857" s="364">
        <f t="shared" si="836"/>
        <v>2</v>
      </c>
      <c r="Q857" s="364">
        <f t="shared" si="836"/>
        <v>1</v>
      </c>
      <c r="R857" s="364">
        <f t="shared" si="836"/>
        <v>0</v>
      </c>
      <c r="S857" s="364">
        <f>SUM(S855:S856)</f>
        <v>1</v>
      </c>
      <c r="T857" s="353" t="s">
        <v>12</v>
      </c>
      <c r="U857" s="366"/>
      <c r="V857" s="141"/>
    </row>
    <row r="858" spans="2:22" ht="13.5" thickBot="1" x14ac:dyDescent="0.25">
      <c r="B858" s="364">
        <f t="shared" ref="B858:B859" si="837">SUM(C858:D858)</f>
        <v>33</v>
      </c>
      <c r="C858" s="364">
        <f t="shared" ref="C858:D859" si="838">R858+O858+L858+I858+F858</f>
        <v>0</v>
      </c>
      <c r="D858" s="364">
        <f t="shared" si="838"/>
        <v>33</v>
      </c>
      <c r="E858" s="364">
        <f t="shared" si="786"/>
        <v>7</v>
      </c>
      <c r="F858" s="364">
        <v>0</v>
      </c>
      <c r="G858" s="364">
        <v>7</v>
      </c>
      <c r="H858" s="364">
        <f t="shared" si="787"/>
        <v>11</v>
      </c>
      <c r="I858" s="364">
        <v>0</v>
      </c>
      <c r="J858" s="364">
        <v>11</v>
      </c>
      <c r="K858" s="364">
        <f t="shared" si="788"/>
        <v>7</v>
      </c>
      <c r="L858" s="364">
        <v>0</v>
      </c>
      <c r="M858" s="364">
        <v>7</v>
      </c>
      <c r="N858" s="364">
        <f t="shared" si="789"/>
        <v>6</v>
      </c>
      <c r="O858" s="364">
        <v>0</v>
      </c>
      <c r="P858" s="364">
        <v>6</v>
      </c>
      <c r="Q858" s="364">
        <f t="shared" si="790"/>
        <v>2</v>
      </c>
      <c r="R858" s="364">
        <v>0</v>
      </c>
      <c r="S858" s="364">
        <v>2</v>
      </c>
      <c r="T858" s="353" t="s">
        <v>146</v>
      </c>
      <c r="U858" s="365"/>
      <c r="V858" s="141"/>
    </row>
    <row r="859" spans="2:22" ht="13.5" thickBot="1" x14ac:dyDescent="0.25">
      <c r="B859" s="364">
        <f t="shared" si="837"/>
        <v>0</v>
      </c>
      <c r="C859" s="364">
        <f t="shared" si="838"/>
        <v>0</v>
      </c>
      <c r="D859" s="364">
        <f t="shared" si="838"/>
        <v>0</v>
      </c>
      <c r="E859" s="364">
        <f t="shared" si="786"/>
        <v>0</v>
      </c>
      <c r="F859" s="364">
        <v>0</v>
      </c>
      <c r="G859" s="364">
        <v>0</v>
      </c>
      <c r="H859" s="364">
        <f t="shared" si="787"/>
        <v>0</v>
      </c>
      <c r="I859" s="364">
        <v>0</v>
      </c>
      <c r="J859" s="364">
        <v>0</v>
      </c>
      <c r="K859" s="364">
        <f t="shared" si="788"/>
        <v>0</v>
      </c>
      <c r="L859" s="364">
        <v>0</v>
      </c>
      <c r="M859" s="364">
        <v>0</v>
      </c>
      <c r="N859" s="364">
        <f t="shared" si="789"/>
        <v>0</v>
      </c>
      <c r="O859" s="364">
        <v>0</v>
      </c>
      <c r="P859" s="364">
        <v>0</v>
      </c>
      <c r="Q859" s="364">
        <f t="shared" si="790"/>
        <v>0</v>
      </c>
      <c r="R859" s="364">
        <v>0</v>
      </c>
      <c r="S859" s="364">
        <v>0</v>
      </c>
      <c r="T859" s="353" t="s">
        <v>145</v>
      </c>
      <c r="U859" s="365" t="s">
        <v>306</v>
      </c>
      <c r="V859" s="141"/>
    </row>
    <row r="860" spans="2:22" ht="13.5" thickBot="1" x14ac:dyDescent="0.25">
      <c r="B860" s="364">
        <f t="shared" ref="B860:R860" si="839">SUM(B858:B859)</f>
        <v>33</v>
      </c>
      <c r="C860" s="364">
        <f t="shared" si="839"/>
        <v>0</v>
      </c>
      <c r="D860" s="364">
        <f t="shared" si="839"/>
        <v>33</v>
      </c>
      <c r="E860" s="364">
        <f t="shared" si="839"/>
        <v>7</v>
      </c>
      <c r="F860" s="364">
        <f t="shared" si="839"/>
        <v>0</v>
      </c>
      <c r="G860" s="364">
        <f t="shared" si="839"/>
        <v>7</v>
      </c>
      <c r="H860" s="364">
        <f t="shared" si="839"/>
        <v>11</v>
      </c>
      <c r="I860" s="364">
        <f t="shared" si="839"/>
        <v>0</v>
      </c>
      <c r="J860" s="364">
        <f t="shared" si="839"/>
        <v>11</v>
      </c>
      <c r="K860" s="364">
        <f t="shared" si="839"/>
        <v>7</v>
      </c>
      <c r="L860" s="364">
        <f t="shared" si="839"/>
        <v>0</v>
      </c>
      <c r="M860" s="364">
        <f t="shared" si="839"/>
        <v>7</v>
      </c>
      <c r="N860" s="364">
        <f t="shared" si="839"/>
        <v>6</v>
      </c>
      <c r="O860" s="364">
        <f t="shared" si="839"/>
        <v>0</v>
      </c>
      <c r="P860" s="364">
        <f t="shared" si="839"/>
        <v>6</v>
      </c>
      <c r="Q860" s="364">
        <f t="shared" si="839"/>
        <v>2</v>
      </c>
      <c r="R860" s="364">
        <f t="shared" si="839"/>
        <v>0</v>
      </c>
      <c r="S860" s="364">
        <f>SUM(S858:S859)</f>
        <v>2</v>
      </c>
      <c r="T860" s="353" t="s">
        <v>12</v>
      </c>
      <c r="U860" s="366"/>
      <c r="V860" s="141"/>
    </row>
    <row r="861" spans="2:22" ht="13.5" thickBot="1" x14ac:dyDescent="0.25">
      <c r="B861" s="364">
        <f t="shared" ref="B861:B862" si="840">SUM(C861:D861)</f>
        <v>12</v>
      </c>
      <c r="C861" s="364">
        <f t="shared" ref="C861:D862" si="841">R861+O861+L861+I861+F861</f>
        <v>0</v>
      </c>
      <c r="D861" s="364">
        <f t="shared" si="841"/>
        <v>12</v>
      </c>
      <c r="E861" s="364">
        <f t="shared" si="786"/>
        <v>4</v>
      </c>
      <c r="F861" s="364">
        <v>0</v>
      </c>
      <c r="G861" s="364">
        <v>4</v>
      </c>
      <c r="H861" s="364">
        <f t="shared" si="787"/>
        <v>3</v>
      </c>
      <c r="I861" s="364">
        <v>0</v>
      </c>
      <c r="J861" s="364">
        <v>3</v>
      </c>
      <c r="K861" s="364">
        <f t="shared" si="788"/>
        <v>3</v>
      </c>
      <c r="L861" s="364">
        <v>0</v>
      </c>
      <c r="M861" s="364">
        <v>3</v>
      </c>
      <c r="N861" s="364">
        <f t="shared" si="789"/>
        <v>2</v>
      </c>
      <c r="O861" s="364">
        <v>0</v>
      </c>
      <c r="P861" s="364">
        <v>2</v>
      </c>
      <c r="Q861" s="364">
        <f t="shared" si="790"/>
        <v>0</v>
      </c>
      <c r="R861" s="364">
        <v>0</v>
      </c>
      <c r="S861" s="364">
        <v>0</v>
      </c>
      <c r="T861" s="353" t="s">
        <v>146</v>
      </c>
      <c r="U861" s="365"/>
      <c r="V861" s="141"/>
    </row>
    <row r="862" spans="2:22" ht="13.5" thickBot="1" x14ac:dyDescent="0.25">
      <c r="B862" s="364">
        <f t="shared" si="840"/>
        <v>0</v>
      </c>
      <c r="C862" s="364">
        <f t="shared" si="841"/>
        <v>0</v>
      </c>
      <c r="D862" s="364">
        <f t="shared" si="841"/>
        <v>0</v>
      </c>
      <c r="E862" s="364">
        <f t="shared" si="786"/>
        <v>0</v>
      </c>
      <c r="F862" s="364">
        <v>0</v>
      </c>
      <c r="G862" s="364">
        <v>0</v>
      </c>
      <c r="H862" s="364">
        <f t="shared" si="787"/>
        <v>0</v>
      </c>
      <c r="I862" s="364">
        <v>0</v>
      </c>
      <c r="J862" s="364">
        <v>0</v>
      </c>
      <c r="K862" s="364">
        <f t="shared" si="788"/>
        <v>0</v>
      </c>
      <c r="L862" s="364">
        <v>0</v>
      </c>
      <c r="M862" s="364">
        <v>0</v>
      </c>
      <c r="N862" s="364">
        <f t="shared" si="789"/>
        <v>0</v>
      </c>
      <c r="O862" s="364">
        <v>0</v>
      </c>
      <c r="P862" s="364">
        <v>0</v>
      </c>
      <c r="Q862" s="364">
        <f t="shared" si="790"/>
        <v>0</v>
      </c>
      <c r="R862" s="364">
        <v>0</v>
      </c>
      <c r="S862" s="364">
        <v>0</v>
      </c>
      <c r="T862" s="353" t="s">
        <v>145</v>
      </c>
      <c r="U862" s="365" t="s">
        <v>307</v>
      </c>
      <c r="V862" s="141"/>
    </row>
    <row r="863" spans="2:22" ht="13.5" thickBot="1" x14ac:dyDescent="0.25">
      <c r="B863" s="364">
        <f t="shared" ref="B863:R863" si="842">SUM(B861:B862)</f>
        <v>12</v>
      </c>
      <c r="C863" s="364">
        <f t="shared" si="842"/>
        <v>0</v>
      </c>
      <c r="D863" s="364">
        <f t="shared" si="842"/>
        <v>12</v>
      </c>
      <c r="E863" s="364">
        <f t="shared" si="842"/>
        <v>4</v>
      </c>
      <c r="F863" s="364">
        <f t="shared" si="842"/>
        <v>0</v>
      </c>
      <c r="G863" s="364">
        <f t="shared" si="842"/>
        <v>4</v>
      </c>
      <c r="H863" s="364">
        <f t="shared" si="842"/>
        <v>3</v>
      </c>
      <c r="I863" s="364">
        <f t="shared" si="842"/>
        <v>0</v>
      </c>
      <c r="J863" s="364">
        <f t="shared" si="842"/>
        <v>3</v>
      </c>
      <c r="K863" s="364">
        <f t="shared" si="842"/>
        <v>3</v>
      </c>
      <c r="L863" s="364">
        <f t="shared" si="842"/>
        <v>0</v>
      </c>
      <c r="M863" s="364">
        <f t="shared" si="842"/>
        <v>3</v>
      </c>
      <c r="N863" s="364">
        <f t="shared" si="842"/>
        <v>2</v>
      </c>
      <c r="O863" s="364">
        <f t="shared" si="842"/>
        <v>0</v>
      </c>
      <c r="P863" s="364">
        <f t="shared" si="842"/>
        <v>2</v>
      </c>
      <c r="Q863" s="364">
        <f t="shared" si="842"/>
        <v>0</v>
      </c>
      <c r="R863" s="364">
        <f t="shared" si="842"/>
        <v>0</v>
      </c>
      <c r="S863" s="364">
        <f>SUM(S861:S862)</f>
        <v>0</v>
      </c>
      <c r="T863" s="353" t="s">
        <v>12</v>
      </c>
      <c r="U863" s="366"/>
      <c r="V863" s="141"/>
    </row>
    <row r="864" spans="2:22" ht="13.5" thickBot="1" x14ac:dyDescent="0.25">
      <c r="B864" s="364">
        <f t="shared" ref="B864:B865" si="843">SUM(C864:D864)</f>
        <v>14</v>
      </c>
      <c r="C864" s="364">
        <f t="shared" ref="C864:D865" si="844">R864+O864+L864+I864+F864</f>
        <v>0</v>
      </c>
      <c r="D864" s="364">
        <f t="shared" si="844"/>
        <v>14</v>
      </c>
      <c r="E864" s="364">
        <f t="shared" si="786"/>
        <v>7</v>
      </c>
      <c r="F864" s="364">
        <v>0</v>
      </c>
      <c r="G864" s="364">
        <v>7</v>
      </c>
      <c r="H864" s="364">
        <f t="shared" si="787"/>
        <v>3</v>
      </c>
      <c r="I864" s="364">
        <v>0</v>
      </c>
      <c r="J864" s="364">
        <v>3</v>
      </c>
      <c r="K864" s="364">
        <f t="shared" si="788"/>
        <v>3</v>
      </c>
      <c r="L864" s="364">
        <v>0</v>
      </c>
      <c r="M864" s="364">
        <v>3</v>
      </c>
      <c r="N864" s="364">
        <f t="shared" si="789"/>
        <v>0</v>
      </c>
      <c r="O864" s="364">
        <v>0</v>
      </c>
      <c r="P864" s="364">
        <v>0</v>
      </c>
      <c r="Q864" s="364">
        <f t="shared" si="790"/>
        <v>1</v>
      </c>
      <c r="R864" s="364">
        <v>0</v>
      </c>
      <c r="S864" s="364">
        <v>1</v>
      </c>
      <c r="T864" s="353" t="s">
        <v>146</v>
      </c>
      <c r="U864" s="365"/>
      <c r="V864" s="141"/>
    </row>
    <row r="865" spans="2:22" ht="13.5" thickBot="1" x14ac:dyDescent="0.25">
      <c r="B865" s="364">
        <f t="shared" si="843"/>
        <v>0</v>
      </c>
      <c r="C865" s="364">
        <f t="shared" si="844"/>
        <v>0</v>
      </c>
      <c r="D865" s="364">
        <f t="shared" si="844"/>
        <v>0</v>
      </c>
      <c r="E865" s="364">
        <f t="shared" si="786"/>
        <v>0</v>
      </c>
      <c r="F865" s="364">
        <v>0</v>
      </c>
      <c r="G865" s="364">
        <v>0</v>
      </c>
      <c r="H865" s="364">
        <f t="shared" si="787"/>
        <v>0</v>
      </c>
      <c r="I865" s="364">
        <v>0</v>
      </c>
      <c r="J865" s="364">
        <v>0</v>
      </c>
      <c r="K865" s="364">
        <f t="shared" si="788"/>
        <v>0</v>
      </c>
      <c r="L865" s="364">
        <v>0</v>
      </c>
      <c r="M865" s="364">
        <v>0</v>
      </c>
      <c r="N865" s="364">
        <f t="shared" si="789"/>
        <v>0</v>
      </c>
      <c r="O865" s="364">
        <v>0</v>
      </c>
      <c r="P865" s="364">
        <v>0</v>
      </c>
      <c r="Q865" s="364">
        <f t="shared" si="790"/>
        <v>0</v>
      </c>
      <c r="R865" s="364">
        <v>0</v>
      </c>
      <c r="S865" s="364">
        <v>0</v>
      </c>
      <c r="T865" s="353" t="s">
        <v>145</v>
      </c>
      <c r="U865" s="365" t="s">
        <v>308</v>
      </c>
      <c r="V865" s="141"/>
    </row>
    <row r="866" spans="2:22" ht="13.5" thickBot="1" x14ac:dyDescent="0.25">
      <c r="B866" s="364">
        <f t="shared" ref="B866:R866" si="845">SUM(B864:B865)</f>
        <v>14</v>
      </c>
      <c r="C866" s="364">
        <f t="shared" si="845"/>
        <v>0</v>
      </c>
      <c r="D866" s="364">
        <f t="shared" si="845"/>
        <v>14</v>
      </c>
      <c r="E866" s="364">
        <f t="shared" si="845"/>
        <v>7</v>
      </c>
      <c r="F866" s="364">
        <f t="shared" si="845"/>
        <v>0</v>
      </c>
      <c r="G866" s="364">
        <f t="shared" si="845"/>
        <v>7</v>
      </c>
      <c r="H866" s="364">
        <f t="shared" si="845"/>
        <v>3</v>
      </c>
      <c r="I866" s="364">
        <f t="shared" si="845"/>
        <v>0</v>
      </c>
      <c r="J866" s="364">
        <f t="shared" si="845"/>
        <v>3</v>
      </c>
      <c r="K866" s="364">
        <f t="shared" si="845"/>
        <v>3</v>
      </c>
      <c r="L866" s="364">
        <f t="shared" si="845"/>
        <v>0</v>
      </c>
      <c r="M866" s="364">
        <f t="shared" si="845"/>
        <v>3</v>
      </c>
      <c r="N866" s="364">
        <f t="shared" si="845"/>
        <v>0</v>
      </c>
      <c r="O866" s="364">
        <f t="shared" si="845"/>
        <v>0</v>
      </c>
      <c r="P866" s="364">
        <f t="shared" si="845"/>
        <v>0</v>
      </c>
      <c r="Q866" s="364">
        <f t="shared" si="845"/>
        <v>1</v>
      </c>
      <c r="R866" s="364">
        <f t="shared" si="845"/>
        <v>0</v>
      </c>
      <c r="S866" s="364">
        <f>SUM(S864:S865)</f>
        <v>1</v>
      </c>
      <c r="T866" s="353" t="s">
        <v>12</v>
      </c>
      <c r="U866" s="366"/>
      <c r="V866" s="141"/>
    </row>
    <row r="867" spans="2:22" ht="13.5" thickBot="1" x14ac:dyDescent="0.25">
      <c r="B867" s="364">
        <f t="shared" ref="B867:B868" si="846">SUM(C867:D867)</f>
        <v>45</v>
      </c>
      <c r="C867" s="364">
        <f t="shared" ref="C867:D868" si="847">R867+O867+L867+I867+F867</f>
        <v>0</v>
      </c>
      <c r="D867" s="364">
        <f t="shared" si="847"/>
        <v>45</v>
      </c>
      <c r="E867" s="364">
        <f t="shared" si="786"/>
        <v>11</v>
      </c>
      <c r="F867" s="364">
        <v>0</v>
      </c>
      <c r="G867" s="364">
        <v>11</v>
      </c>
      <c r="H867" s="364">
        <f t="shared" si="787"/>
        <v>14</v>
      </c>
      <c r="I867" s="364">
        <v>0</v>
      </c>
      <c r="J867" s="364">
        <v>14</v>
      </c>
      <c r="K867" s="364">
        <f t="shared" si="788"/>
        <v>14</v>
      </c>
      <c r="L867" s="364">
        <v>0</v>
      </c>
      <c r="M867" s="364">
        <v>14</v>
      </c>
      <c r="N867" s="364">
        <f t="shared" si="789"/>
        <v>3</v>
      </c>
      <c r="O867" s="364">
        <v>0</v>
      </c>
      <c r="P867" s="364">
        <v>3</v>
      </c>
      <c r="Q867" s="364">
        <f t="shared" si="790"/>
        <v>3</v>
      </c>
      <c r="R867" s="364">
        <v>0</v>
      </c>
      <c r="S867" s="364">
        <v>3</v>
      </c>
      <c r="T867" s="353" t="s">
        <v>146</v>
      </c>
      <c r="U867" s="365"/>
      <c r="V867" s="141"/>
    </row>
    <row r="868" spans="2:22" ht="13.5" thickBot="1" x14ac:dyDescent="0.25">
      <c r="B868" s="364">
        <f t="shared" si="846"/>
        <v>0</v>
      </c>
      <c r="C868" s="364">
        <f t="shared" si="847"/>
        <v>0</v>
      </c>
      <c r="D868" s="364">
        <f t="shared" si="847"/>
        <v>0</v>
      </c>
      <c r="E868" s="364">
        <f t="shared" si="786"/>
        <v>0</v>
      </c>
      <c r="F868" s="364">
        <v>0</v>
      </c>
      <c r="G868" s="364">
        <v>0</v>
      </c>
      <c r="H868" s="364">
        <f t="shared" si="787"/>
        <v>0</v>
      </c>
      <c r="I868" s="364">
        <v>0</v>
      </c>
      <c r="J868" s="364">
        <v>0</v>
      </c>
      <c r="K868" s="364">
        <f t="shared" si="788"/>
        <v>0</v>
      </c>
      <c r="L868" s="364">
        <v>0</v>
      </c>
      <c r="M868" s="364">
        <v>0</v>
      </c>
      <c r="N868" s="364">
        <f t="shared" si="789"/>
        <v>0</v>
      </c>
      <c r="O868" s="364">
        <v>0</v>
      </c>
      <c r="P868" s="364">
        <v>0</v>
      </c>
      <c r="Q868" s="364">
        <f t="shared" si="790"/>
        <v>0</v>
      </c>
      <c r="R868" s="364">
        <v>0</v>
      </c>
      <c r="S868" s="364">
        <v>0</v>
      </c>
      <c r="T868" s="353" t="s">
        <v>145</v>
      </c>
      <c r="U868" s="365" t="s">
        <v>309</v>
      </c>
      <c r="V868" s="141"/>
    </row>
    <row r="869" spans="2:22" ht="13.5" thickBot="1" x14ac:dyDescent="0.25">
      <c r="B869" s="364">
        <f t="shared" ref="B869:R869" si="848">SUM(B867:B868)</f>
        <v>45</v>
      </c>
      <c r="C869" s="364">
        <f t="shared" si="848"/>
        <v>0</v>
      </c>
      <c r="D869" s="364">
        <f t="shared" si="848"/>
        <v>45</v>
      </c>
      <c r="E869" s="364">
        <f t="shared" si="848"/>
        <v>11</v>
      </c>
      <c r="F869" s="364">
        <f t="shared" si="848"/>
        <v>0</v>
      </c>
      <c r="G869" s="364">
        <f t="shared" si="848"/>
        <v>11</v>
      </c>
      <c r="H869" s="364">
        <f t="shared" si="848"/>
        <v>14</v>
      </c>
      <c r="I869" s="364">
        <f t="shared" si="848"/>
        <v>0</v>
      </c>
      <c r="J869" s="364">
        <f t="shared" si="848"/>
        <v>14</v>
      </c>
      <c r="K869" s="364">
        <f t="shared" si="848"/>
        <v>14</v>
      </c>
      <c r="L869" s="364">
        <f t="shared" si="848"/>
        <v>0</v>
      </c>
      <c r="M869" s="364">
        <f t="shared" si="848"/>
        <v>14</v>
      </c>
      <c r="N869" s="364">
        <f t="shared" si="848"/>
        <v>3</v>
      </c>
      <c r="O869" s="364">
        <f t="shared" si="848"/>
        <v>0</v>
      </c>
      <c r="P869" s="364">
        <f t="shared" si="848"/>
        <v>3</v>
      </c>
      <c r="Q869" s="364">
        <f t="shared" si="848"/>
        <v>3</v>
      </c>
      <c r="R869" s="364">
        <f t="shared" si="848"/>
        <v>0</v>
      </c>
      <c r="S869" s="364">
        <f>SUM(S867:S868)</f>
        <v>3</v>
      </c>
      <c r="T869" s="353" t="s">
        <v>12</v>
      </c>
      <c r="U869" s="366"/>
      <c r="V869" s="141"/>
    </row>
    <row r="870" spans="2:22" ht="13.5" thickBot="1" x14ac:dyDescent="0.25">
      <c r="B870" s="364">
        <f t="shared" ref="B870:B871" si="849">SUM(C870:D870)</f>
        <v>13</v>
      </c>
      <c r="C870" s="364">
        <f t="shared" ref="C870:D871" si="850">R870+O870+L870+I870+F870</f>
        <v>0</v>
      </c>
      <c r="D870" s="364">
        <f t="shared" si="850"/>
        <v>13</v>
      </c>
      <c r="E870" s="364">
        <f t="shared" si="786"/>
        <v>2</v>
      </c>
      <c r="F870" s="364">
        <v>0</v>
      </c>
      <c r="G870" s="364">
        <v>2</v>
      </c>
      <c r="H870" s="364">
        <f t="shared" si="787"/>
        <v>3</v>
      </c>
      <c r="I870" s="364">
        <v>0</v>
      </c>
      <c r="J870" s="364">
        <v>3</v>
      </c>
      <c r="K870" s="364">
        <f t="shared" si="788"/>
        <v>7</v>
      </c>
      <c r="L870" s="364">
        <v>0</v>
      </c>
      <c r="M870" s="364">
        <v>7</v>
      </c>
      <c r="N870" s="364">
        <f t="shared" si="789"/>
        <v>1</v>
      </c>
      <c r="O870" s="364">
        <v>0</v>
      </c>
      <c r="P870" s="364">
        <v>1</v>
      </c>
      <c r="Q870" s="364">
        <f t="shared" si="790"/>
        <v>0</v>
      </c>
      <c r="R870" s="364">
        <v>0</v>
      </c>
      <c r="S870" s="364">
        <v>0</v>
      </c>
      <c r="T870" s="353" t="s">
        <v>146</v>
      </c>
      <c r="U870" s="365"/>
      <c r="V870" s="141"/>
    </row>
    <row r="871" spans="2:22" ht="13.5" thickBot="1" x14ac:dyDescent="0.25">
      <c r="B871" s="364">
        <f t="shared" si="849"/>
        <v>0</v>
      </c>
      <c r="C871" s="364">
        <f t="shared" si="850"/>
        <v>0</v>
      </c>
      <c r="D871" s="364">
        <f t="shared" si="850"/>
        <v>0</v>
      </c>
      <c r="E871" s="364">
        <f t="shared" si="786"/>
        <v>0</v>
      </c>
      <c r="F871" s="364">
        <v>0</v>
      </c>
      <c r="G871" s="364">
        <v>0</v>
      </c>
      <c r="H871" s="364">
        <f t="shared" si="787"/>
        <v>0</v>
      </c>
      <c r="I871" s="364">
        <v>0</v>
      </c>
      <c r="J871" s="364">
        <v>0</v>
      </c>
      <c r="K871" s="364">
        <f t="shared" si="788"/>
        <v>0</v>
      </c>
      <c r="L871" s="364">
        <v>0</v>
      </c>
      <c r="M871" s="364">
        <v>0</v>
      </c>
      <c r="N871" s="364">
        <f t="shared" si="789"/>
        <v>0</v>
      </c>
      <c r="O871" s="364">
        <v>0</v>
      </c>
      <c r="P871" s="364">
        <v>0</v>
      </c>
      <c r="Q871" s="364">
        <f t="shared" si="790"/>
        <v>0</v>
      </c>
      <c r="R871" s="364">
        <v>0</v>
      </c>
      <c r="S871" s="364">
        <v>0</v>
      </c>
      <c r="T871" s="353" t="s">
        <v>145</v>
      </c>
      <c r="U871" s="365" t="s">
        <v>310</v>
      </c>
      <c r="V871" s="141"/>
    </row>
    <row r="872" spans="2:22" ht="13.5" thickBot="1" x14ac:dyDescent="0.25">
      <c r="B872" s="364">
        <f t="shared" ref="B872:R872" si="851">SUM(B870:B871)</f>
        <v>13</v>
      </c>
      <c r="C872" s="364">
        <f t="shared" si="851"/>
        <v>0</v>
      </c>
      <c r="D872" s="364">
        <f t="shared" si="851"/>
        <v>13</v>
      </c>
      <c r="E872" s="364">
        <f t="shared" si="851"/>
        <v>2</v>
      </c>
      <c r="F872" s="364">
        <f t="shared" si="851"/>
        <v>0</v>
      </c>
      <c r="G872" s="364">
        <f t="shared" si="851"/>
        <v>2</v>
      </c>
      <c r="H872" s="364">
        <f t="shared" si="851"/>
        <v>3</v>
      </c>
      <c r="I872" s="364">
        <f t="shared" si="851"/>
        <v>0</v>
      </c>
      <c r="J872" s="364">
        <f t="shared" si="851"/>
        <v>3</v>
      </c>
      <c r="K872" s="364">
        <f t="shared" si="851"/>
        <v>7</v>
      </c>
      <c r="L872" s="364">
        <f t="shared" si="851"/>
        <v>0</v>
      </c>
      <c r="M872" s="364">
        <f t="shared" si="851"/>
        <v>7</v>
      </c>
      <c r="N872" s="364">
        <f t="shared" si="851"/>
        <v>1</v>
      </c>
      <c r="O872" s="364">
        <f t="shared" si="851"/>
        <v>0</v>
      </c>
      <c r="P872" s="364">
        <f t="shared" si="851"/>
        <v>1</v>
      </c>
      <c r="Q872" s="364">
        <f t="shared" si="851"/>
        <v>0</v>
      </c>
      <c r="R872" s="364">
        <f t="shared" si="851"/>
        <v>0</v>
      </c>
      <c r="S872" s="364">
        <f>SUM(S870:S871)</f>
        <v>0</v>
      </c>
      <c r="T872" s="353" t="s">
        <v>12</v>
      </c>
      <c r="U872" s="366"/>
      <c r="V872" s="141"/>
    </row>
    <row r="873" spans="2:22" ht="13.5" thickBot="1" x14ac:dyDescent="0.25">
      <c r="B873" s="364">
        <f t="shared" ref="B873:B874" si="852">SUM(C873:D873)</f>
        <v>51</v>
      </c>
      <c r="C873" s="364">
        <f t="shared" ref="C873:D874" si="853">R873+O873+L873+I873+F873</f>
        <v>0</v>
      </c>
      <c r="D873" s="364">
        <f t="shared" si="853"/>
        <v>51</v>
      </c>
      <c r="E873" s="364">
        <f t="shared" si="786"/>
        <v>33</v>
      </c>
      <c r="F873" s="364">
        <v>0</v>
      </c>
      <c r="G873" s="364">
        <v>33</v>
      </c>
      <c r="H873" s="364">
        <f t="shared" si="787"/>
        <v>8</v>
      </c>
      <c r="I873" s="364">
        <v>0</v>
      </c>
      <c r="J873" s="364">
        <v>8</v>
      </c>
      <c r="K873" s="364">
        <f t="shared" si="788"/>
        <v>8</v>
      </c>
      <c r="L873" s="364">
        <v>0</v>
      </c>
      <c r="M873" s="364">
        <v>8</v>
      </c>
      <c r="N873" s="364">
        <f t="shared" si="789"/>
        <v>0</v>
      </c>
      <c r="O873" s="364">
        <v>0</v>
      </c>
      <c r="P873" s="364">
        <v>0</v>
      </c>
      <c r="Q873" s="364">
        <f t="shared" si="790"/>
        <v>2</v>
      </c>
      <c r="R873" s="364">
        <v>0</v>
      </c>
      <c r="S873" s="364">
        <v>2</v>
      </c>
      <c r="T873" s="353" t="s">
        <v>146</v>
      </c>
      <c r="U873" s="365"/>
      <c r="V873" s="141"/>
    </row>
    <row r="874" spans="2:22" ht="13.5" thickBot="1" x14ac:dyDescent="0.25">
      <c r="B874" s="364">
        <f t="shared" si="852"/>
        <v>0</v>
      </c>
      <c r="C874" s="364">
        <f t="shared" si="853"/>
        <v>0</v>
      </c>
      <c r="D874" s="364">
        <f t="shared" si="853"/>
        <v>0</v>
      </c>
      <c r="E874" s="364">
        <f t="shared" si="786"/>
        <v>0</v>
      </c>
      <c r="F874" s="364">
        <v>0</v>
      </c>
      <c r="G874" s="364">
        <v>0</v>
      </c>
      <c r="H874" s="364">
        <f t="shared" si="787"/>
        <v>0</v>
      </c>
      <c r="I874" s="364">
        <v>0</v>
      </c>
      <c r="J874" s="364">
        <v>0</v>
      </c>
      <c r="K874" s="364">
        <f t="shared" si="788"/>
        <v>0</v>
      </c>
      <c r="L874" s="364">
        <v>0</v>
      </c>
      <c r="M874" s="364">
        <v>0</v>
      </c>
      <c r="N874" s="364">
        <f t="shared" si="789"/>
        <v>0</v>
      </c>
      <c r="O874" s="364">
        <v>0</v>
      </c>
      <c r="P874" s="364">
        <v>0</v>
      </c>
      <c r="Q874" s="364">
        <f t="shared" si="790"/>
        <v>0</v>
      </c>
      <c r="R874" s="364">
        <v>0</v>
      </c>
      <c r="S874" s="364">
        <v>0</v>
      </c>
      <c r="T874" s="353" t="s">
        <v>145</v>
      </c>
      <c r="U874" s="365" t="s">
        <v>311</v>
      </c>
      <c r="V874" s="141"/>
    </row>
    <row r="875" spans="2:22" ht="13.5" thickBot="1" x14ac:dyDescent="0.25">
      <c r="B875" s="364">
        <f t="shared" ref="B875:R875" si="854">SUM(B873:B874)</f>
        <v>51</v>
      </c>
      <c r="C875" s="364">
        <f t="shared" si="854"/>
        <v>0</v>
      </c>
      <c r="D875" s="364">
        <f t="shared" si="854"/>
        <v>51</v>
      </c>
      <c r="E875" s="364">
        <f t="shared" si="854"/>
        <v>33</v>
      </c>
      <c r="F875" s="364">
        <f t="shared" si="854"/>
        <v>0</v>
      </c>
      <c r="G875" s="364">
        <f t="shared" si="854"/>
        <v>33</v>
      </c>
      <c r="H875" s="364">
        <f t="shared" si="854"/>
        <v>8</v>
      </c>
      <c r="I875" s="364">
        <f t="shared" si="854"/>
        <v>0</v>
      </c>
      <c r="J875" s="364">
        <f t="shared" si="854"/>
        <v>8</v>
      </c>
      <c r="K875" s="364">
        <f t="shared" si="854"/>
        <v>8</v>
      </c>
      <c r="L875" s="364">
        <f t="shared" si="854"/>
        <v>0</v>
      </c>
      <c r="M875" s="364">
        <f t="shared" si="854"/>
        <v>8</v>
      </c>
      <c r="N875" s="364">
        <f t="shared" si="854"/>
        <v>0</v>
      </c>
      <c r="O875" s="364">
        <f t="shared" si="854"/>
        <v>0</v>
      </c>
      <c r="P875" s="364">
        <f t="shared" si="854"/>
        <v>0</v>
      </c>
      <c r="Q875" s="364">
        <f t="shared" si="854"/>
        <v>2</v>
      </c>
      <c r="R875" s="364">
        <f t="shared" si="854"/>
        <v>0</v>
      </c>
      <c r="S875" s="364">
        <f>SUM(S873:S874)</f>
        <v>2</v>
      </c>
      <c r="T875" s="353" t="s">
        <v>12</v>
      </c>
      <c r="U875" s="366"/>
      <c r="V875" s="141"/>
    </row>
    <row r="876" spans="2:22" ht="13.5" thickBot="1" x14ac:dyDescent="0.25">
      <c r="B876" s="364">
        <f t="shared" ref="B876:B877" si="855">SUM(C876:D876)</f>
        <v>7</v>
      </c>
      <c r="C876" s="364">
        <f t="shared" ref="C876:D877" si="856">R876+O876+L876+I876+F876</f>
        <v>0</v>
      </c>
      <c r="D876" s="364">
        <f t="shared" si="856"/>
        <v>7</v>
      </c>
      <c r="E876" s="364">
        <f t="shared" ref="E876:E937" si="857">SUM(F876:G876)</f>
        <v>0</v>
      </c>
      <c r="F876" s="364">
        <v>0</v>
      </c>
      <c r="G876" s="364">
        <v>0</v>
      </c>
      <c r="H876" s="364">
        <f t="shared" ref="H876:H937" si="858">SUM(I876:J876)</f>
        <v>4</v>
      </c>
      <c r="I876" s="364">
        <v>0</v>
      </c>
      <c r="J876" s="364">
        <v>4</v>
      </c>
      <c r="K876" s="364">
        <f t="shared" ref="K876:K937" si="859">SUM(L876:M876)</f>
        <v>2</v>
      </c>
      <c r="L876" s="364">
        <v>0</v>
      </c>
      <c r="M876" s="364">
        <v>2</v>
      </c>
      <c r="N876" s="364">
        <f t="shared" ref="N876:N937" si="860">SUM(O876:P876)</f>
        <v>1</v>
      </c>
      <c r="O876" s="364">
        <v>0</v>
      </c>
      <c r="P876" s="364">
        <v>1</v>
      </c>
      <c r="Q876" s="364">
        <f t="shared" ref="Q876:Q937" si="861">SUM(R876:S876)</f>
        <v>0</v>
      </c>
      <c r="R876" s="364">
        <v>0</v>
      </c>
      <c r="S876" s="364">
        <v>0</v>
      </c>
      <c r="T876" s="353" t="s">
        <v>146</v>
      </c>
      <c r="U876" s="365"/>
      <c r="V876" s="141"/>
    </row>
    <row r="877" spans="2:22" ht="13.5" thickBot="1" x14ac:dyDescent="0.25">
      <c r="B877" s="364">
        <f t="shared" si="855"/>
        <v>0</v>
      </c>
      <c r="C877" s="364">
        <f t="shared" si="856"/>
        <v>0</v>
      </c>
      <c r="D877" s="364">
        <f t="shared" si="856"/>
        <v>0</v>
      </c>
      <c r="E877" s="364">
        <f t="shared" si="857"/>
        <v>0</v>
      </c>
      <c r="F877" s="364">
        <v>0</v>
      </c>
      <c r="G877" s="364">
        <v>0</v>
      </c>
      <c r="H877" s="364">
        <f t="shared" si="858"/>
        <v>0</v>
      </c>
      <c r="I877" s="364">
        <v>0</v>
      </c>
      <c r="J877" s="364">
        <v>0</v>
      </c>
      <c r="K877" s="364">
        <f t="shared" si="859"/>
        <v>0</v>
      </c>
      <c r="L877" s="364">
        <v>0</v>
      </c>
      <c r="M877" s="364">
        <v>0</v>
      </c>
      <c r="N877" s="364">
        <f t="shared" si="860"/>
        <v>0</v>
      </c>
      <c r="O877" s="364">
        <v>0</v>
      </c>
      <c r="P877" s="364">
        <v>0</v>
      </c>
      <c r="Q877" s="364">
        <f t="shared" si="861"/>
        <v>0</v>
      </c>
      <c r="R877" s="364">
        <v>0</v>
      </c>
      <c r="S877" s="364">
        <v>0</v>
      </c>
      <c r="T877" s="353" t="s">
        <v>145</v>
      </c>
      <c r="U877" s="365" t="s">
        <v>312</v>
      </c>
      <c r="V877" s="141"/>
    </row>
    <row r="878" spans="2:22" ht="13.5" thickBot="1" x14ac:dyDescent="0.25">
      <c r="B878" s="364">
        <f t="shared" ref="B878:R878" si="862">SUM(B876:B877)</f>
        <v>7</v>
      </c>
      <c r="C878" s="364">
        <f t="shared" si="862"/>
        <v>0</v>
      </c>
      <c r="D878" s="364">
        <f t="shared" si="862"/>
        <v>7</v>
      </c>
      <c r="E878" s="364">
        <f t="shared" si="862"/>
        <v>0</v>
      </c>
      <c r="F878" s="364">
        <f t="shared" si="862"/>
        <v>0</v>
      </c>
      <c r="G878" s="364">
        <f t="shared" si="862"/>
        <v>0</v>
      </c>
      <c r="H878" s="364">
        <f t="shared" si="862"/>
        <v>4</v>
      </c>
      <c r="I878" s="364">
        <f t="shared" si="862"/>
        <v>0</v>
      </c>
      <c r="J878" s="364">
        <f t="shared" si="862"/>
        <v>4</v>
      </c>
      <c r="K878" s="364">
        <f t="shared" si="862"/>
        <v>2</v>
      </c>
      <c r="L878" s="364">
        <f t="shared" si="862"/>
        <v>0</v>
      </c>
      <c r="M878" s="364">
        <f t="shared" si="862"/>
        <v>2</v>
      </c>
      <c r="N878" s="364">
        <f t="shared" si="862"/>
        <v>1</v>
      </c>
      <c r="O878" s="364">
        <f t="shared" si="862"/>
        <v>0</v>
      </c>
      <c r="P878" s="364">
        <f t="shared" si="862"/>
        <v>1</v>
      </c>
      <c r="Q878" s="364">
        <f t="shared" si="862"/>
        <v>0</v>
      </c>
      <c r="R878" s="364">
        <f t="shared" si="862"/>
        <v>0</v>
      </c>
      <c r="S878" s="364">
        <f>SUM(S876:S877)</f>
        <v>0</v>
      </c>
      <c r="T878" s="353" t="s">
        <v>12</v>
      </c>
      <c r="U878" s="366"/>
      <c r="V878" s="141"/>
    </row>
    <row r="879" spans="2:22" ht="13.5" thickBot="1" x14ac:dyDescent="0.25">
      <c r="B879" s="364">
        <f t="shared" ref="B879:B880" si="863">SUM(C879:D879)</f>
        <v>14</v>
      </c>
      <c r="C879" s="364">
        <f t="shared" ref="C879:D880" si="864">R879+O879+L879+I879+F879</f>
        <v>0</v>
      </c>
      <c r="D879" s="364">
        <f t="shared" si="864"/>
        <v>14</v>
      </c>
      <c r="E879" s="364">
        <f t="shared" si="857"/>
        <v>5</v>
      </c>
      <c r="F879" s="364">
        <v>0</v>
      </c>
      <c r="G879" s="364">
        <v>5</v>
      </c>
      <c r="H879" s="364">
        <f t="shared" si="858"/>
        <v>4</v>
      </c>
      <c r="I879" s="364">
        <v>0</v>
      </c>
      <c r="J879" s="364">
        <v>4</v>
      </c>
      <c r="K879" s="364">
        <f t="shared" si="859"/>
        <v>4</v>
      </c>
      <c r="L879" s="364">
        <v>0</v>
      </c>
      <c r="M879" s="364">
        <v>4</v>
      </c>
      <c r="N879" s="364">
        <f t="shared" si="860"/>
        <v>1</v>
      </c>
      <c r="O879" s="364">
        <v>0</v>
      </c>
      <c r="P879" s="364">
        <v>1</v>
      </c>
      <c r="Q879" s="364">
        <f t="shared" si="861"/>
        <v>0</v>
      </c>
      <c r="R879" s="364">
        <v>0</v>
      </c>
      <c r="S879" s="364">
        <v>0</v>
      </c>
      <c r="T879" s="353" t="s">
        <v>146</v>
      </c>
      <c r="U879" s="365"/>
      <c r="V879" s="141"/>
    </row>
    <row r="880" spans="2:22" ht="13.5" thickBot="1" x14ac:dyDescent="0.25">
      <c r="B880" s="364">
        <f t="shared" si="863"/>
        <v>0</v>
      </c>
      <c r="C880" s="364">
        <f t="shared" si="864"/>
        <v>0</v>
      </c>
      <c r="D880" s="364">
        <f t="shared" si="864"/>
        <v>0</v>
      </c>
      <c r="E880" s="364">
        <f t="shared" si="857"/>
        <v>0</v>
      </c>
      <c r="F880" s="364">
        <v>0</v>
      </c>
      <c r="G880" s="364">
        <v>0</v>
      </c>
      <c r="H880" s="364">
        <f t="shared" si="858"/>
        <v>0</v>
      </c>
      <c r="I880" s="364">
        <v>0</v>
      </c>
      <c r="J880" s="364">
        <v>0</v>
      </c>
      <c r="K880" s="364">
        <f t="shared" si="859"/>
        <v>0</v>
      </c>
      <c r="L880" s="364">
        <v>0</v>
      </c>
      <c r="M880" s="364">
        <v>0</v>
      </c>
      <c r="N880" s="364">
        <f t="shared" si="860"/>
        <v>0</v>
      </c>
      <c r="O880" s="364">
        <v>0</v>
      </c>
      <c r="P880" s="364">
        <v>0</v>
      </c>
      <c r="Q880" s="364">
        <f t="shared" si="861"/>
        <v>0</v>
      </c>
      <c r="R880" s="364">
        <v>0</v>
      </c>
      <c r="S880" s="364">
        <v>0</v>
      </c>
      <c r="T880" s="353" t="s">
        <v>145</v>
      </c>
      <c r="U880" s="365" t="s">
        <v>313</v>
      </c>
      <c r="V880" s="141"/>
    </row>
    <row r="881" spans="2:22" ht="13.5" thickBot="1" x14ac:dyDescent="0.25">
      <c r="B881" s="364">
        <f t="shared" ref="B881:R881" si="865">SUM(B879:B880)</f>
        <v>14</v>
      </c>
      <c r="C881" s="364">
        <f t="shared" si="865"/>
        <v>0</v>
      </c>
      <c r="D881" s="364">
        <f t="shared" si="865"/>
        <v>14</v>
      </c>
      <c r="E881" s="364">
        <f t="shared" si="865"/>
        <v>5</v>
      </c>
      <c r="F881" s="364">
        <f t="shared" si="865"/>
        <v>0</v>
      </c>
      <c r="G881" s="364">
        <f t="shared" si="865"/>
        <v>5</v>
      </c>
      <c r="H881" s="364">
        <f t="shared" si="865"/>
        <v>4</v>
      </c>
      <c r="I881" s="364">
        <f t="shared" si="865"/>
        <v>0</v>
      </c>
      <c r="J881" s="364">
        <f t="shared" si="865"/>
        <v>4</v>
      </c>
      <c r="K881" s="364">
        <f t="shared" si="865"/>
        <v>4</v>
      </c>
      <c r="L881" s="364">
        <f t="shared" si="865"/>
        <v>0</v>
      </c>
      <c r="M881" s="364">
        <f t="shared" si="865"/>
        <v>4</v>
      </c>
      <c r="N881" s="364">
        <f t="shared" si="865"/>
        <v>1</v>
      </c>
      <c r="O881" s="364">
        <f t="shared" si="865"/>
        <v>0</v>
      </c>
      <c r="P881" s="364">
        <f t="shared" si="865"/>
        <v>1</v>
      </c>
      <c r="Q881" s="364">
        <f t="shared" si="865"/>
        <v>0</v>
      </c>
      <c r="R881" s="364">
        <f t="shared" si="865"/>
        <v>0</v>
      </c>
      <c r="S881" s="364">
        <f>SUM(S879:S880)</f>
        <v>0</v>
      </c>
      <c r="T881" s="353" t="s">
        <v>12</v>
      </c>
      <c r="U881" s="366"/>
      <c r="V881" s="141"/>
    </row>
    <row r="882" spans="2:22" ht="13.5" thickBot="1" x14ac:dyDescent="0.25">
      <c r="B882" s="364">
        <f t="shared" ref="B882:B883" si="866">SUM(C882:D882)</f>
        <v>14</v>
      </c>
      <c r="C882" s="364">
        <f t="shared" ref="C882:D883" si="867">R882+O882+L882+I882+F882</f>
        <v>0</v>
      </c>
      <c r="D882" s="364">
        <f t="shared" si="867"/>
        <v>14</v>
      </c>
      <c r="E882" s="364">
        <f t="shared" si="857"/>
        <v>2</v>
      </c>
      <c r="F882" s="364">
        <v>0</v>
      </c>
      <c r="G882" s="364">
        <v>2</v>
      </c>
      <c r="H882" s="364">
        <f t="shared" si="858"/>
        <v>6</v>
      </c>
      <c r="I882" s="364">
        <v>0</v>
      </c>
      <c r="J882" s="364">
        <v>6</v>
      </c>
      <c r="K882" s="364">
        <f t="shared" si="859"/>
        <v>4</v>
      </c>
      <c r="L882" s="364">
        <v>0</v>
      </c>
      <c r="M882" s="364">
        <v>4</v>
      </c>
      <c r="N882" s="364">
        <f t="shared" si="860"/>
        <v>2</v>
      </c>
      <c r="O882" s="364">
        <v>0</v>
      </c>
      <c r="P882" s="364">
        <v>2</v>
      </c>
      <c r="Q882" s="364">
        <f t="shared" si="861"/>
        <v>0</v>
      </c>
      <c r="R882" s="364">
        <v>0</v>
      </c>
      <c r="S882" s="364">
        <v>0</v>
      </c>
      <c r="T882" s="353" t="s">
        <v>146</v>
      </c>
      <c r="U882" s="365"/>
      <c r="V882" s="141"/>
    </row>
    <row r="883" spans="2:22" ht="13.5" thickBot="1" x14ac:dyDescent="0.25">
      <c r="B883" s="364">
        <f t="shared" si="866"/>
        <v>0</v>
      </c>
      <c r="C883" s="364">
        <f t="shared" si="867"/>
        <v>0</v>
      </c>
      <c r="D883" s="364">
        <f t="shared" si="867"/>
        <v>0</v>
      </c>
      <c r="E883" s="364">
        <f t="shared" si="857"/>
        <v>0</v>
      </c>
      <c r="F883" s="364">
        <v>0</v>
      </c>
      <c r="G883" s="364">
        <v>0</v>
      </c>
      <c r="H883" s="364">
        <f t="shared" si="858"/>
        <v>0</v>
      </c>
      <c r="I883" s="364">
        <v>0</v>
      </c>
      <c r="J883" s="364">
        <v>0</v>
      </c>
      <c r="K883" s="364">
        <f t="shared" si="859"/>
        <v>0</v>
      </c>
      <c r="L883" s="364">
        <v>0</v>
      </c>
      <c r="M883" s="364">
        <v>0</v>
      </c>
      <c r="N883" s="364">
        <f t="shared" si="860"/>
        <v>0</v>
      </c>
      <c r="O883" s="364">
        <v>0</v>
      </c>
      <c r="P883" s="364">
        <v>0</v>
      </c>
      <c r="Q883" s="364">
        <f t="shared" si="861"/>
        <v>0</v>
      </c>
      <c r="R883" s="364">
        <v>0</v>
      </c>
      <c r="S883" s="364">
        <v>0</v>
      </c>
      <c r="T883" s="353" t="s">
        <v>145</v>
      </c>
      <c r="U883" s="365" t="s">
        <v>314</v>
      </c>
      <c r="V883" s="141"/>
    </row>
    <row r="884" spans="2:22" ht="13.5" thickBot="1" x14ac:dyDescent="0.25">
      <c r="B884" s="364">
        <f t="shared" ref="B884:R884" si="868">SUM(B882:B883)</f>
        <v>14</v>
      </c>
      <c r="C884" s="364">
        <f t="shared" si="868"/>
        <v>0</v>
      </c>
      <c r="D884" s="364">
        <f t="shared" si="868"/>
        <v>14</v>
      </c>
      <c r="E884" s="364">
        <f t="shared" si="868"/>
        <v>2</v>
      </c>
      <c r="F884" s="364">
        <f t="shared" si="868"/>
        <v>0</v>
      </c>
      <c r="G884" s="364">
        <f t="shared" si="868"/>
        <v>2</v>
      </c>
      <c r="H884" s="364">
        <f t="shared" si="868"/>
        <v>6</v>
      </c>
      <c r="I884" s="364">
        <f t="shared" si="868"/>
        <v>0</v>
      </c>
      <c r="J884" s="364">
        <f t="shared" si="868"/>
        <v>6</v>
      </c>
      <c r="K884" s="364">
        <f t="shared" si="868"/>
        <v>4</v>
      </c>
      <c r="L884" s="364">
        <f t="shared" si="868"/>
        <v>0</v>
      </c>
      <c r="M884" s="364">
        <f t="shared" si="868"/>
        <v>4</v>
      </c>
      <c r="N884" s="364">
        <f t="shared" si="868"/>
        <v>2</v>
      </c>
      <c r="O884" s="364">
        <f t="shared" si="868"/>
        <v>0</v>
      </c>
      <c r="P884" s="364">
        <f t="shared" si="868"/>
        <v>2</v>
      </c>
      <c r="Q884" s="364">
        <f t="shared" si="868"/>
        <v>0</v>
      </c>
      <c r="R884" s="364">
        <f t="shared" si="868"/>
        <v>0</v>
      </c>
      <c r="S884" s="364">
        <f>SUM(S882:S883)</f>
        <v>0</v>
      </c>
      <c r="T884" s="353" t="s">
        <v>12</v>
      </c>
      <c r="U884" s="366"/>
      <c r="V884" s="141"/>
    </row>
    <row r="885" spans="2:22" ht="13.5" thickBot="1" x14ac:dyDescent="0.25">
      <c r="B885" s="364">
        <f t="shared" ref="B885:B886" si="869">SUM(C885:D885)</f>
        <v>12</v>
      </c>
      <c r="C885" s="364">
        <f t="shared" ref="C885:D886" si="870">R885+O885+L885+I885+F885</f>
        <v>0</v>
      </c>
      <c r="D885" s="364">
        <f t="shared" si="870"/>
        <v>12</v>
      </c>
      <c r="E885" s="364">
        <f t="shared" si="857"/>
        <v>4</v>
      </c>
      <c r="F885" s="364">
        <v>0</v>
      </c>
      <c r="G885" s="364">
        <v>4</v>
      </c>
      <c r="H885" s="364">
        <f t="shared" si="858"/>
        <v>5</v>
      </c>
      <c r="I885" s="364">
        <v>0</v>
      </c>
      <c r="J885" s="364">
        <v>5</v>
      </c>
      <c r="K885" s="364">
        <f t="shared" si="859"/>
        <v>0</v>
      </c>
      <c r="L885" s="364">
        <v>0</v>
      </c>
      <c r="M885" s="364">
        <v>0</v>
      </c>
      <c r="N885" s="364">
        <f t="shared" si="860"/>
        <v>3</v>
      </c>
      <c r="O885" s="364">
        <v>0</v>
      </c>
      <c r="P885" s="364">
        <v>3</v>
      </c>
      <c r="Q885" s="364">
        <f t="shared" si="861"/>
        <v>0</v>
      </c>
      <c r="R885" s="364">
        <v>0</v>
      </c>
      <c r="S885" s="364">
        <v>0</v>
      </c>
      <c r="T885" s="353" t="s">
        <v>146</v>
      </c>
      <c r="U885" s="365"/>
      <c r="V885" s="141"/>
    </row>
    <row r="886" spans="2:22" ht="13.5" thickBot="1" x14ac:dyDescent="0.25">
      <c r="B886" s="364">
        <f t="shared" si="869"/>
        <v>0</v>
      </c>
      <c r="C886" s="364">
        <f t="shared" si="870"/>
        <v>0</v>
      </c>
      <c r="D886" s="364">
        <f t="shared" si="870"/>
        <v>0</v>
      </c>
      <c r="E886" s="364">
        <f t="shared" si="857"/>
        <v>0</v>
      </c>
      <c r="F886" s="364">
        <v>0</v>
      </c>
      <c r="G886" s="364">
        <v>0</v>
      </c>
      <c r="H886" s="364">
        <f t="shared" si="858"/>
        <v>0</v>
      </c>
      <c r="I886" s="364">
        <v>0</v>
      </c>
      <c r="J886" s="364">
        <v>0</v>
      </c>
      <c r="K886" s="364">
        <f t="shared" si="859"/>
        <v>0</v>
      </c>
      <c r="L886" s="364">
        <v>0</v>
      </c>
      <c r="M886" s="364">
        <v>0</v>
      </c>
      <c r="N886" s="364">
        <f t="shared" si="860"/>
        <v>0</v>
      </c>
      <c r="O886" s="364">
        <v>0</v>
      </c>
      <c r="P886" s="364">
        <v>0</v>
      </c>
      <c r="Q886" s="364">
        <f t="shared" si="861"/>
        <v>0</v>
      </c>
      <c r="R886" s="364">
        <v>0</v>
      </c>
      <c r="S886" s="364">
        <v>0</v>
      </c>
      <c r="T886" s="353" t="s">
        <v>145</v>
      </c>
      <c r="U886" s="365" t="s">
        <v>315</v>
      </c>
      <c r="V886" s="141"/>
    </row>
    <row r="887" spans="2:22" ht="13.5" thickBot="1" x14ac:dyDescent="0.25">
      <c r="B887" s="364">
        <f t="shared" ref="B887:R887" si="871">SUM(B885:B886)</f>
        <v>12</v>
      </c>
      <c r="C887" s="364">
        <f t="shared" si="871"/>
        <v>0</v>
      </c>
      <c r="D887" s="364">
        <f t="shared" si="871"/>
        <v>12</v>
      </c>
      <c r="E887" s="364">
        <f t="shared" si="871"/>
        <v>4</v>
      </c>
      <c r="F887" s="364">
        <f t="shared" si="871"/>
        <v>0</v>
      </c>
      <c r="G887" s="364">
        <f t="shared" si="871"/>
        <v>4</v>
      </c>
      <c r="H887" s="364">
        <f t="shared" si="871"/>
        <v>5</v>
      </c>
      <c r="I887" s="364">
        <f t="shared" si="871"/>
        <v>0</v>
      </c>
      <c r="J887" s="364">
        <f t="shared" si="871"/>
        <v>5</v>
      </c>
      <c r="K887" s="364">
        <f t="shared" si="871"/>
        <v>0</v>
      </c>
      <c r="L887" s="364">
        <f t="shared" si="871"/>
        <v>0</v>
      </c>
      <c r="M887" s="364">
        <f t="shared" si="871"/>
        <v>0</v>
      </c>
      <c r="N887" s="364">
        <f t="shared" si="871"/>
        <v>3</v>
      </c>
      <c r="O887" s="364">
        <f t="shared" si="871"/>
        <v>0</v>
      </c>
      <c r="P887" s="364">
        <f t="shared" si="871"/>
        <v>3</v>
      </c>
      <c r="Q887" s="364">
        <f t="shared" si="871"/>
        <v>0</v>
      </c>
      <c r="R887" s="364">
        <f t="shared" si="871"/>
        <v>0</v>
      </c>
      <c r="S887" s="364">
        <f>SUM(S885:S886)</f>
        <v>0</v>
      </c>
      <c r="T887" s="353" t="s">
        <v>12</v>
      </c>
      <c r="U887" s="366"/>
      <c r="V887" s="141"/>
    </row>
    <row r="888" spans="2:22" ht="13.5" thickBot="1" x14ac:dyDescent="0.25">
      <c r="B888" s="364">
        <f t="shared" ref="B888:B889" si="872">SUM(C888:D888)</f>
        <v>18</v>
      </c>
      <c r="C888" s="364">
        <f t="shared" ref="C888:D889" si="873">R888+O888+L888+I888+F888</f>
        <v>0</v>
      </c>
      <c r="D888" s="364">
        <f t="shared" si="873"/>
        <v>18</v>
      </c>
      <c r="E888" s="364">
        <f t="shared" si="857"/>
        <v>3</v>
      </c>
      <c r="F888" s="364">
        <v>0</v>
      </c>
      <c r="G888" s="364">
        <v>3</v>
      </c>
      <c r="H888" s="364">
        <f t="shared" si="858"/>
        <v>8</v>
      </c>
      <c r="I888" s="364">
        <v>0</v>
      </c>
      <c r="J888" s="364">
        <v>8</v>
      </c>
      <c r="K888" s="364">
        <f t="shared" si="859"/>
        <v>5</v>
      </c>
      <c r="L888" s="364">
        <v>0</v>
      </c>
      <c r="M888" s="364">
        <v>5</v>
      </c>
      <c r="N888" s="364">
        <f t="shared" si="860"/>
        <v>2</v>
      </c>
      <c r="O888" s="364">
        <v>0</v>
      </c>
      <c r="P888" s="364">
        <v>2</v>
      </c>
      <c r="Q888" s="364">
        <f t="shared" si="861"/>
        <v>0</v>
      </c>
      <c r="R888" s="364">
        <v>0</v>
      </c>
      <c r="S888" s="364">
        <v>0</v>
      </c>
      <c r="T888" s="353" t="s">
        <v>146</v>
      </c>
      <c r="U888" s="365"/>
      <c r="V888" s="141"/>
    </row>
    <row r="889" spans="2:22" ht="13.5" thickBot="1" x14ac:dyDescent="0.25">
      <c r="B889" s="364">
        <f t="shared" si="872"/>
        <v>0</v>
      </c>
      <c r="C889" s="364">
        <f t="shared" si="873"/>
        <v>0</v>
      </c>
      <c r="D889" s="364">
        <f t="shared" si="873"/>
        <v>0</v>
      </c>
      <c r="E889" s="364">
        <f t="shared" si="857"/>
        <v>0</v>
      </c>
      <c r="F889" s="364">
        <v>0</v>
      </c>
      <c r="G889" s="364">
        <v>0</v>
      </c>
      <c r="H889" s="364">
        <f t="shared" si="858"/>
        <v>0</v>
      </c>
      <c r="I889" s="364">
        <v>0</v>
      </c>
      <c r="J889" s="364">
        <v>0</v>
      </c>
      <c r="K889" s="364">
        <f t="shared" si="859"/>
        <v>0</v>
      </c>
      <c r="L889" s="364">
        <v>0</v>
      </c>
      <c r="M889" s="364">
        <v>0</v>
      </c>
      <c r="N889" s="364">
        <f t="shared" si="860"/>
        <v>0</v>
      </c>
      <c r="O889" s="364">
        <v>0</v>
      </c>
      <c r="P889" s="364">
        <v>0</v>
      </c>
      <c r="Q889" s="364">
        <f t="shared" si="861"/>
        <v>0</v>
      </c>
      <c r="R889" s="364">
        <v>0</v>
      </c>
      <c r="S889" s="364">
        <v>0</v>
      </c>
      <c r="T889" s="353" t="s">
        <v>145</v>
      </c>
      <c r="U889" s="365" t="s">
        <v>316</v>
      </c>
      <c r="V889" s="141"/>
    </row>
    <row r="890" spans="2:22" ht="13.5" thickBot="1" x14ac:dyDescent="0.25">
      <c r="B890" s="364">
        <f t="shared" ref="B890:R890" si="874">SUM(B888:B889)</f>
        <v>18</v>
      </c>
      <c r="C890" s="364">
        <f t="shared" si="874"/>
        <v>0</v>
      </c>
      <c r="D890" s="364">
        <f t="shared" si="874"/>
        <v>18</v>
      </c>
      <c r="E890" s="364">
        <f t="shared" si="874"/>
        <v>3</v>
      </c>
      <c r="F890" s="364">
        <f t="shared" si="874"/>
        <v>0</v>
      </c>
      <c r="G890" s="364">
        <f t="shared" si="874"/>
        <v>3</v>
      </c>
      <c r="H890" s="364">
        <f t="shared" si="874"/>
        <v>8</v>
      </c>
      <c r="I890" s="364">
        <f t="shared" si="874"/>
        <v>0</v>
      </c>
      <c r="J890" s="364">
        <f t="shared" si="874"/>
        <v>8</v>
      </c>
      <c r="K890" s="364">
        <f t="shared" si="874"/>
        <v>5</v>
      </c>
      <c r="L890" s="364">
        <f t="shared" si="874"/>
        <v>0</v>
      </c>
      <c r="M890" s="364">
        <f t="shared" si="874"/>
        <v>5</v>
      </c>
      <c r="N890" s="364">
        <f t="shared" si="874"/>
        <v>2</v>
      </c>
      <c r="O890" s="364">
        <f t="shared" si="874"/>
        <v>0</v>
      </c>
      <c r="P890" s="364">
        <f t="shared" si="874"/>
        <v>2</v>
      </c>
      <c r="Q890" s="364">
        <f t="shared" si="874"/>
        <v>0</v>
      </c>
      <c r="R890" s="364">
        <f t="shared" si="874"/>
        <v>0</v>
      </c>
      <c r="S890" s="364">
        <f>SUM(S888:S889)</f>
        <v>0</v>
      </c>
      <c r="T890" s="353" t="s">
        <v>12</v>
      </c>
      <c r="U890" s="366"/>
      <c r="V890" s="141"/>
    </row>
    <row r="891" spans="2:22" ht="13.5" thickBot="1" x14ac:dyDescent="0.25">
      <c r="B891" s="364">
        <f t="shared" ref="B891:B892" si="875">SUM(C891:D891)</f>
        <v>11</v>
      </c>
      <c r="C891" s="364">
        <f t="shared" ref="C891:D892" si="876">R891+O891+L891+I891+F891</f>
        <v>0</v>
      </c>
      <c r="D891" s="364">
        <f t="shared" si="876"/>
        <v>11</v>
      </c>
      <c r="E891" s="364">
        <f t="shared" si="857"/>
        <v>3</v>
      </c>
      <c r="F891" s="364">
        <v>0</v>
      </c>
      <c r="G891" s="364">
        <v>3</v>
      </c>
      <c r="H891" s="364">
        <f t="shared" si="858"/>
        <v>4</v>
      </c>
      <c r="I891" s="364">
        <v>0</v>
      </c>
      <c r="J891" s="364">
        <v>4</v>
      </c>
      <c r="K891" s="364">
        <f t="shared" si="859"/>
        <v>2</v>
      </c>
      <c r="L891" s="364">
        <v>0</v>
      </c>
      <c r="M891" s="364">
        <v>2</v>
      </c>
      <c r="N891" s="364">
        <f t="shared" si="860"/>
        <v>2</v>
      </c>
      <c r="O891" s="364">
        <v>0</v>
      </c>
      <c r="P891" s="364">
        <v>2</v>
      </c>
      <c r="Q891" s="364">
        <f t="shared" si="861"/>
        <v>0</v>
      </c>
      <c r="R891" s="364">
        <v>0</v>
      </c>
      <c r="S891" s="364">
        <v>0</v>
      </c>
      <c r="T891" s="353" t="s">
        <v>146</v>
      </c>
      <c r="U891" s="365"/>
      <c r="V891" s="141"/>
    </row>
    <row r="892" spans="2:22" ht="13.5" thickBot="1" x14ac:dyDescent="0.25">
      <c r="B892" s="364">
        <f t="shared" si="875"/>
        <v>0</v>
      </c>
      <c r="C892" s="364">
        <f t="shared" si="876"/>
        <v>0</v>
      </c>
      <c r="D892" s="364">
        <f t="shared" si="876"/>
        <v>0</v>
      </c>
      <c r="E892" s="364">
        <f t="shared" si="857"/>
        <v>0</v>
      </c>
      <c r="F892" s="364">
        <v>0</v>
      </c>
      <c r="G892" s="364">
        <v>0</v>
      </c>
      <c r="H892" s="364">
        <f t="shared" si="858"/>
        <v>0</v>
      </c>
      <c r="I892" s="364">
        <v>0</v>
      </c>
      <c r="J892" s="364">
        <v>0</v>
      </c>
      <c r="K892" s="364">
        <f t="shared" si="859"/>
        <v>0</v>
      </c>
      <c r="L892" s="364">
        <v>0</v>
      </c>
      <c r="M892" s="364">
        <v>0</v>
      </c>
      <c r="N892" s="364">
        <f t="shared" si="860"/>
        <v>0</v>
      </c>
      <c r="O892" s="364">
        <v>0</v>
      </c>
      <c r="P892" s="364">
        <v>0</v>
      </c>
      <c r="Q892" s="364">
        <f t="shared" si="861"/>
        <v>0</v>
      </c>
      <c r="R892" s="364">
        <v>0</v>
      </c>
      <c r="S892" s="364">
        <v>0</v>
      </c>
      <c r="T892" s="353" t="s">
        <v>145</v>
      </c>
      <c r="U892" s="365" t="s">
        <v>317</v>
      </c>
      <c r="V892" s="141"/>
    </row>
    <row r="893" spans="2:22" ht="13.5" thickBot="1" x14ac:dyDescent="0.25">
      <c r="B893" s="364">
        <f t="shared" ref="B893:R893" si="877">SUM(B891:B892)</f>
        <v>11</v>
      </c>
      <c r="C893" s="364">
        <f t="shared" si="877"/>
        <v>0</v>
      </c>
      <c r="D893" s="364">
        <f t="shared" si="877"/>
        <v>11</v>
      </c>
      <c r="E893" s="364">
        <f t="shared" si="877"/>
        <v>3</v>
      </c>
      <c r="F893" s="364">
        <f t="shared" si="877"/>
        <v>0</v>
      </c>
      <c r="G893" s="364">
        <f t="shared" si="877"/>
        <v>3</v>
      </c>
      <c r="H893" s="364">
        <f t="shared" si="877"/>
        <v>4</v>
      </c>
      <c r="I893" s="364">
        <f t="shared" si="877"/>
        <v>0</v>
      </c>
      <c r="J893" s="364">
        <f t="shared" si="877"/>
        <v>4</v>
      </c>
      <c r="K893" s="364">
        <f t="shared" si="877"/>
        <v>2</v>
      </c>
      <c r="L893" s="364">
        <f t="shared" si="877"/>
        <v>0</v>
      </c>
      <c r="M893" s="364">
        <f t="shared" si="877"/>
        <v>2</v>
      </c>
      <c r="N893" s="364">
        <f t="shared" si="877"/>
        <v>2</v>
      </c>
      <c r="O893" s="364">
        <f t="shared" si="877"/>
        <v>0</v>
      </c>
      <c r="P893" s="364">
        <f t="shared" si="877"/>
        <v>2</v>
      </c>
      <c r="Q893" s="364">
        <f t="shared" si="877"/>
        <v>0</v>
      </c>
      <c r="R893" s="364">
        <f t="shared" si="877"/>
        <v>0</v>
      </c>
      <c r="S893" s="364">
        <f>SUM(S891:S892)</f>
        <v>0</v>
      </c>
      <c r="T893" s="353" t="s">
        <v>12</v>
      </c>
      <c r="U893" s="366"/>
      <c r="V893" s="141"/>
    </row>
    <row r="894" spans="2:22" ht="13.5" thickBot="1" x14ac:dyDescent="0.25">
      <c r="B894" s="364">
        <f t="shared" ref="B894:B895" si="878">SUM(C894:D894)</f>
        <v>13</v>
      </c>
      <c r="C894" s="364">
        <f t="shared" ref="C894:D895" si="879">R894+O894+L894+I894+F894</f>
        <v>0</v>
      </c>
      <c r="D894" s="364">
        <f t="shared" si="879"/>
        <v>13</v>
      </c>
      <c r="E894" s="364">
        <f t="shared" si="857"/>
        <v>2</v>
      </c>
      <c r="F894" s="364">
        <v>0</v>
      </c>
      <c r="G894" s="364">
        <v>2</v>
      </c>
      <c r="H894" s="364">
        <f t="shared" si="858"/>
        <v>4</v>
      </c>
      <c r="I894" s="364">
        <v>0</v>
      </c>
      <c r="J894" s="364">
        <v>4</v>
      </c>
      <c r="K894" s="364">
        <f t="shared" si="859"/>
        <v>6</v>
      </c>
      <c r="L894" s="364">
        <v>0</v>
      </c>
      <c r="M894" s="364">
        <v>6</v>
      </c>
      <c r="N894" s="364">
        <f t="shared" si="860"/>
        <v>0</v>
      </c>
      <c r="O894" s="364">
        <v>0</v>
      </c>
      <c r="P894" s="364">
        <v>0</v>
      </c>
      <c r="Q894" s="364">
        <f t="shared" si="861"/>
        <v>1</v>
      </c>
      <c r="R894" s="364">
        <v>0</v>
      </c>
      <c r="S894" s="364">
        <v>1</v>
      </c>
      <c r="T894" s="353" t="s">
        <v>146</v>
      </c>
      <c r="U894" s="365"/>
      <c r="V894" s="141"/>
    </row>
    <row r="895" spans="2:22" ht="13.5" thickBot="1" x14ac:dyDescent="0.25">
      <c r="B895" s="364">
        <f t="shared" si="878"/>
        <v>0</v>
      </c>
      <c r="C895" s="364">
        <f t="shared" si="879"/>
        <v>0</v>
      </c>
      <c r="D895" s="364">
        <f t="shared" si="879"/>
        <v>0</v>
      </c>
      <c r="E895" s="364">
        <f t="shared" si="857"/>
        <v>0</v>
      </c>
      <c r="F895" s="364">
        <v>0</v>
      </c>
      <c r="G895" s="364">
        <v>0</v>
      </c>
      <c r="H895" s="364">
        <f t="shared" si="858"/>
        <v>0</v>
      </c>
      <c r="I895" s="364">
        <v>0</v>
      </c>
      <c r="J895" s="364">
        <v>0</v>
      </c>
      <c r="K895" s="364">
        <f t="shared" si="859"/>
        <v>0</v>
      </c>
      <c r="L895" s="364">
        <v>0</v>
      </c>
      <c r="M895" s="364">
        <v>0</v>
      </c>
      <c r="N895" s="364">
        <f t="shared" si="860"/>
        <v>0</v>
      </c>
      <c r="O895" s="364">
        <v>0</v>
      </c>
      <c r="P895" s="364">
        <v>0</v>
      </c>
      <c r="Q895" s="364">
        <f t="shared" si="861"/>
        <v>0</v>
      </c>
      <c r="R895" s="364">
        <v>0</v>
      </c>
      <c r="S895" s="364">
        <v>0</v>
      </c>
      <c r="T895" s="353" t="s">
        <v>145</v>
      </c>
      <c r="U895" s="365" t="s">
        <v>318</v>
      </c>
      <c r="V895" s="141"/>
    </row>
    <row r="896" spans="2:22" ht="13.5" thickBot="1" x14ac:dyDescent="0.25">
      <c r="B896" s="364">
        <f t="shared" ref="B896:R896" si="880">SUM(B894:B895)</f>
        <v>13</v>
      </c>
      <c r="C896" s="364">
        <f t="shared" si="880"/>
        <v>0</v>
      </c>
      <c r="D896" s="364">
        <f t="shared" si="880"/>
        <v>13</v>
      </c>
      <c r="E896" s="364">
        <f t="shared" si="880"/>
        <v>2</v>
      </c>
      <c r="F896" s="364">
        <f t="shared" si="880"/>
        <v>0</v>
      </c>
      <c r="G896" s="364">
        <f t="shared" si="880"/>
        <v>2</v>
      </c>
      <c r="H896" s="364">
        <f t="shared" si="880"/>
        <v>4</v>
      </c>
      <c r="I896" s="364">
        <f t="shared" si="880"/>
        <v>0</v>
      </c>
      <c r="J896" s="364">
        <f t="shared" si="880"/>
        <v>4</v>
      </c>
      <c r="K896" s="364">
        <f t="shared" si="880"/>
        <v>6</v>
      </c>
      <c r="L896" s="364">
        <f t="shared" si="880"/>
        <v>0</v>
      </c>
      <c r="M896" s="364">
        <f t="shared" si="880"/>
        <v>6</v>
      </c>
      <c r="N896" s="364">
        <f t="shared" si="880"/>
        <v>0</v>
      </c>
      <c r="O896" s="364">
        <f t="shared" si="880"/>
        <v>0</v>
      </c>
      <c r="P896" s="364">
        <f t="shared" si="880"/>
        <v>0</v>
      </c>
      <c r="Q896" s="364">
        <f t="shared" si="880"/>
        <v>1</v>
      </c>
      <c r="R896" s="364">
        <f t="shared" si="880"/>
        <v>0</v>
      </c>
      <c r="S896" s="364">
        <f>SUM(S894:S895)</f>
        <v>1</v>
      </c>
      <c r="T896" s="353" t="s">
        <v>12</v>
      </c>
      <c r="U896" s="366"/>
      <c r="V896" s="141"/>
    </row>
    <row r="897" spans="2:22" ht="13.5" thickBot="1" x14ac:dyDescent="0.25">
      <c r="B897" s="364">
        <f t="shared" ref="B897:B898" si="881">SUM(C897:D897)</f>
        <v>9</v>
      </c>
      <c r="C897" s="364">
        <f t="shared" ref="C897:D898" si="882">R897+O897+L897+I897+F897</f>
        <v>0</v>
      </c>
      <c r="D897" s="364">
        <f t="shared" si="882"/>
        <v>9</v>
      </c>
      <c r="E897" s="364">
        <f t="shared" si="857"/>
        <v>0</v>
      </c>
      <c r="F897" s="364">
        <v>0</v>
      </c>
      <c r="G897" s="364">
        <v>0</v>
      </c>
      <c r="H897" s="364">
        <f t="shared" si="858"/>
        <v>5</v>
      </c>
      <c r="I897" s="364">
        <v>0</v>
      </c>
      <c r="J897" s="364">
        <v>5</v>
      </c>
      <c r="K897" s="364">
        <f t="shared" si="859"/>
        <v>3</v>
      </c>
      <c r="L897" s="364">
        <v>0</v>
      </c>
      <c r="M897" s="364">
        <v>3</v>
      </c>
      <c r="N897" s="364">
        <f t="shared" si="860"/>
        <v>1</v>
      </c>
      <c r="O897" s="364">
        <v>0</v>
      </c>
      <c r="P897" s="364">
        <v>1</v>
      </c>
      <c r="Q897" s="364">
        <f t="shared" si="861"/>
        <v>0</v>
      </c>
      <c r="R897" s="364">
        <v>0</v>
      </c>
      <c r="S897" s="364">
        <v>0</v>
      </c>
      <c r="T897" s="353" t="s">
        <v>146</v>
      </c>
      <c r="U897" s="365"/>
      <c r="V897" s="141"/>
    </row>
    <row r="898" spans="2:22" ht="13.5" thickBot="1" x14ac:dyDescent="0.25">
      <c r="B898" s="364">
        <f t="shared" si="881"/>
        <v>0</v>
      </c>
      <c r="C898" s="364">
        <f t="shared" si="882"/>
        <v>0</v>
      </c>
      <c r="D898" s="364">
        <f t="shared" si="882"/>
        <v>0</v>
      </c>
      <c r="E898" s="364">
        <f t="shared" si="857"/>
        <v>0</v>
      </c>
      <c r="F898" s="364">
        <v>0</v>
      </c>
      <c r="G898" s="364">
        <v>0</v>
      </c>
      <c r="H898" s="364">
        <f t="shared" si="858"/>
        <v>0</v>
      </c>
      <c r="I898" s="364">
        <v>0</v>
      </c>
      <c r="J898" s="364">
        <v>0</v>
      </c>
      <c r="K898" s="364">
        <f t="shared" si="859"/>
        <v>0</v>
      </c>
      <c r="L898" s="364">
        <v>0</v>
      </c>
      <c r="M898" s="364">
        <v>0</v>
      </c>
      <c r="N898" s="364">
        <f t="shared" si="860"/>
        <v>0</v>
      </c>
      <c r="O898" s="364">
        <v>0</v>
      </c>
      <c r="P898" s="364">
        <v>0</v>
      </c>
      <c r="Q898" s="364">
        <f t="shared" si="861"/>
        <v>0</v>
      </c>
      <c r="R898" s="364">
        <v>0</v>
      </c>
      <c r="S898" s="364">
        <v>0</v>
      </c>
      <c r="T898" s="353" t="s">
        <v>145</v>
      </c>
      <c r="U898" s="365" t="s">
        <v>319</v>
      </c>
      <c r="V898" s="141"/>
    </row>
    <row r="899" spans="2:22" ht="13.5" thickBot="1" x14ac:dyDescent="0.25">
      <c r="B899" s="364">
        <f t="shared" ref="B899:R899" si="883">SUM(B897:B898)</f>
        <v>9</v>
      </c>
      <c r="C899" s="364">
        <f t="shared" si="883"/>
        <v>0</v>
      </c>
      <c r="D899" s="364">
        <f t="shared" si="883"/>
        <v>9</v>
      </c>
      <c r="E899" s="364">
        <f t="shared" si="883"/>
        <v>0</v>
      </c>
      <c r="F899" s="364">
        <f t="shared" si="883"/>
        <v>0</v>
      </c>
      <c r="G899" s="364">
        <f t="shared" si="883"/>
        <v>0</v>
      </c>
      <c r="H899" s="364">
        <f t="shared" si="883"/>
        <v>5</v>
      </c>
      <c r="I899" s="364">
        <f t="shared" si="883"/>
        <v>0</v>
      </c>
      <c r="J899" s="364">
        <f t="shared" si="883"/>
        <v>5</v>
      </c>
      <c r="K899" s="364">
        <f t="shared" si="883"/>
        <v>3</v>
      </c>
      <c r="L899" s="364">
        <f t="shared" si="883"/>
        <v>0</v>
      </c>
      <c r="M899" s="364">
        <f t="shared" si="883"/>
        <v>3</v>
      </c>
      <c r="N899" s="364">
        <f t="shared" si="883"/>
        <v>1</v>
      </c>
      <c r="O899" s="364">
        <f t="shared" si="883"/>
        <v>0</v>
      </c>
      <c r="P899" s="364">
        <f t="shared" si="883"/>
        <v>1</v>
      </c>
      <c r="Q899" s="364">
        <f t="shared" si="883"/>
        <v>0</v>
      </c>
      <c r="R899" s="364">
        <f t="shared" si="883"/>
        <v>0</v>
      </c>
      <c r="S899" s="364">
        <f>SUM(S897:S898)</f>
        <v>0</v>
      </c>
      <c r="T899" s="353" t="s">
        <v>12</v>
      </c>
      <c r="U899" s="366"/>
      <c r="V899" s="141"/>
    </row>
    <row r="900" spans="2:22" ht="13.5" thickBot="1" x14ac:dyDescent="0.25">
      <c r="B900" s="364">
        <f t="shared" ref="B900:B901" si="884">SUM(C900:D900)</f>
        <v>35</v>
      </c>
      <c r="C900" s="364">
        <f t="shared" ref="C900:D901" si="885">R900+O900+L900+I900+F900</f>
        <v>0</v>
      </c>
      <c r="D900" s="364">
        <f t="shared" si="885"/>
        <v>35</v>
      </c>
      <c r="E900" s="364">
        <f t="shared" si="857"/>
        <v>9</v>
      </c>
      <c r="F900" s="364">
        <v>0</v>
      </c>
      <c r="G900" s="364">
        <v>9</v>
      </c>
      <c r="H900" s="364">
        <f t="shared" si="858"/>
        <v>12</v>
      </c>
      <c r="I900" s="364">
        <v>0</v>
      </c>
      <c r="J900" s="364">
        <v>12</v>
      </c>
      <c r="K900" s="364">
        <f t="shared" si="859"/>
        <v>8</v>
      </c>
      <c r="L900" s="364">
        <v>0</v>
      </c>
      <c r="M900" s="364">
        <v>8</v>
      </c>
      <c r="N900" s="364">
        <f t="shared" si="860"/>
        <v>6</v>
      </c>
      <c r="O900" s="364">
        <v>0</v>
      </c>
      <c r="P900" s="364">
        <v>6</v>
      </c>
      <c r="Q900" s="364">
        <f t="shared" si="861"/>
        <v>0</v>
      </c>
      <c r="R900" s="364">
        <v>0</v>
      </c>
      <c r="S900" s="364">
        <v>0</v>
      </c>
      <c r="T900" s="353" t="s">
        <v>146</v>
      </c>
      <c r="U900" s="365"/>
      <c r="V900" s="141"/>
    </row>
    <row r="901" spans="2:22" ht="13.5" thickBot="1" x14ac:dyDescent="0.25">
      <c r="B901" s="364">
        <f t="shared" si="884"/>
        <v>0</v>
      </c>
      <c r="C901" s="364">
        <f t="shared" si="885"/>
        <v>0</v>
      </c>
      <c r="D901" s="364">
        <f t="shared" si="885"/>
        <v>0</v>
      </c>
      <c r="E901" s="364">
        <f t="shared" si="857"/>
        <v>0</v>
      </c>
      <c r="F901" s="364">
        <v>0</v>
      </c>
      <c r="G901" s="364">
        <v>0</v>
      </c>
      <c r="H901" s="364">
        <f t="shared" si="858"/>
        <v>0</v>
      </c>
      <c r="I901" s="364">
        <v>0</v>
      </c>
      <c r="J901" s="364">
        <v>0</v>
      </c>
      <c r="K901" s="364">
        <f t="shared" si="859"/>
        <v>0</v>
      </c>
      <c r="L901" s="364">
        <v>0</v>
      </c>
      <c r="M901" s="364">
        <v>0</v>
      </c>
      <c r="N901" s="364">
        <f t="shared" si="860"/>
        <v>0</v>
      </c>
      <c r="O901" s="364">
        <v>0</v>
      </c>
      <c r="P901" s="364">
        <v>0</v>
      </c>
      <c r="Q901" s="364">
        <f t="shared" si="861"/>
        <v>0</v>
      </c>
      <c r="R901" s="364">
        <v>0</v>
      </c>
      <c r="S901" s="364">
        <v>0</v>
      </c>
      <c r="T901" s="353" t="s">
        <v>145</v>
      </c>
      <c r="U901" s="365" t="s">
        <v>320</v>
      </c>
      <c r="V901" s="141"/>
    </row>
    <row r="902" spans="2:22" ht="13.5" thickBot="1" x14ac:dyDescent="0.25">
      <c r="B902" s="364">
        <f t="shared" ref="B902:R902" si="886">SUM(B900:B901)</f>
        <v>35</v>
      </c>
      <c r="C902" s="364">
        <f t="shared" si="886"/>
        <v>0</v>
      </c>
      <c r="D902" s="364">
        <f t="shared" si="886"/>
        <v>35</v>
      </c>
      <c r="E902" s="364">
        <f t="shared" si="886"/>
        <v>9</v>
      </c>
      <c r="F902" s="364">
        <f t="shared" si="886"/>
        <v>0</v>
      </c>
      <c r="G902" s="364">
        <f t="shared" si="886"/>
        <v>9</v>
      </c>
      <c r="H902" s="364">
        <f t="shared" si="886"/>
        <v>12</v>
      </c>
      <c r="I902" s="364">
        <f t="shared" si="886"/>
        <v>0</v>
      </c>
      <c r="J902" s="364">
        <f t="shared" si="886"/>
        <v>12</v>
      </c>
      <c r="K902" s="364">
        <f t="shared" si="886"/>
        <v>8</v>
      </c>
      <c r="L902" s="364">
        <f t="shared" si="886"/>
        <v>0</v>
      </c>
      <c r="M902" s="364">
        <f t="shared" si="886"/>
        <v>8</v>
      </c>
      <c r="N902" s="364">
        <f t="shared" si="886"/>
        <v>6</v>
      </c>
      <c r="O902" s="364">
        <f t="shared" si="886"/>
        <v>0</v>
      </c>
      <c r="P902" s="364">
        <f t="shared" si="886"/>
        <v>6</v>
      </c>
      <c r="Q902" s="364">
        <f t="shared" si="886"/>
        <v>0</v>
      </c>
      <c r="R902" s="364">
        <f t="shared" si="886"/>
        <v>0</v>
      </c>
      <c r="S902" s="364">
        <f>SUM(S900:S901)</f>
        <v>0</v>
      </c>
      <c r="T902" s="353" t="s">
        <v>12</v>
      </c>
      <c r="U902" s="366"/>
      <c r="V902" s="141"/>
    </row>
    <row r="903" spans="2:22" ht="13.5" thickBot="1" x14ac:dyDescent="0.25">
      <c r="B903" s="364">
        <f t="shared" ref="B903:B904" si="887">SUM(C903:D903)</f>
        <v>16</v>
      </c>
      <c r="C903" s="364">
        <f t="shared" ref="C903:D904" si="888">R903+O903+L903+I903+F903</f>
        <v>0</v>
      </c>
      <c r="D903" s="364">
        <f t="shared" si="888"/>
        <v>16</v>
      </c>
      <c r="E903" s="364">
        <f t="shared" si="857"/>
        <v>0</v>
      </c>
      <c r="F903" s="364">
        <v>0</v>
      </c>
      <c r="G903" s="364">
        <v>0</v>
      </c>
      <c r="H903" s="364">
        <f t="shared" si="858"/>
        <v>9</v>
      </c>
      <c r="I903" s="364">
        <v>0</v>
      </c>
      <c r="J903" s="364">
        <v>9</v>
      </c>
      <c r="K903" s="364">
        <f t="shared" si="859"/>
        <v>5</v>
      </c>
      <c r="L903" s="364">
        <v>0</v>
      </c>
      <c r="M903" s="364">
        <v>5</v>
      </c>
      <c r="N903" s="364">
        <f t="shared" si="860"/>
        <v>2</v>
      </c>
      <c r="O903" s="364">
        <v>0</v>
      </c>
      <c r="P903" s="364">
        <v>2</v>
      </c>
      <c r="Q903" s="364">
        <f t="shared" si="861"/>
        <v>0</v>
      </c>
      <c r="R903" s="364">
        <v>0</v>
      </c>
      <c r="S903" s="364">
        <v>0</v>
      </c>
      <c r="T903" s="353" t="s">
        <v>146</v>
      </c>
      <c r="U903" s="365"/>
      <c r="V903" s="141"/>
    </row>
    <row r="904" spans="2:22" ht="13.5" thickBot="1" x14ac:dyDescent="0.25">
      <c r="B904" s="364">
        <f t="shared" si="887"/>
        <v>0</v>
      </c>
      <c r="C904" s="364">
        <f t="shared" si="888"/>
        <v>0</v>
      </c>
      <c r="D904" s="364">
        <f t="shared" si="888"/>
        <v>0</v>
      </c>
      <c r="E904" s="364">
        <f t="shared" si="857"/>
        <v>0</v>
      </c>
      <c r="F904" s="364">
        <v>0</v>
      </c>
      <c r="G904" s="364">
        <v>0</v>
      </c>
      <c r="H904" s="364">
        <f t="shared" si="858"/>
        <v>0</v>
      </c>
      <c r="I904" s="364">
        <v>0</v>
      </c>
      <c r="J904" s="364">
        <v>0</v>
      </c>
      <c r="K904" s="364">
        <f t="shared" si="859"/>
        <v>0</v>
      </c>
      <c r="L904" s="364">
        <v>0</v>
      </c>
      <c r="M904" s="364">
        <v>0</v>
      </c>
      <c r="N904" s="364">
        <f t="shared" si="860"/>
        <v>0</v>
      </c>
      <c r="O904" s="364">
        <v>0</v>
      </c>
      <c r="P904" s="364">
        <v>0</v>
      </c>
      <c r="Q904" s="364">
        <f t="shared" si="861"/>
        <v>0</v>
      </c>
      <c r="R904" s="364">
        <v>0</v>
      </c>
      <c r="S904" s="364">
        <v>0</v>
      </c>
      <c r="T904" s="353" t="s">
        <v>145</v>
      </c>
      <c r="U904" s="365" t="s">
        <v>321</v>
      </c>
      <c r="V904" s="141"/>
    </row>
    <row r="905" spans="2:22" ht="13.5" thickBot="1" x14ac:dyDescent="0.25">
      <c r="B905" s="364">
        <f t="shared" ref="B905:R905" si="889">SUM(B903:B904)</f>
        <v>16</v>
      </c>
      <c r="C905" s="364">
        <f t="shared" si="889"/>
        <v>0</v>
      </c>
      <c r="D905" s="364">
        <f t="shared" si="889"/>
        <v>16</v>
      </c>
      <c r="E905" s="364">
        <f t="shared" si="889"/>
        <v>0</v>
      </c>
      <c r="F905" s="364">
        <f t="shared" si="889"/>
        <v>0</v>
      </c>
      <c r="G905" s="364">
        <f t="shared" si="889"/>
        <v>0</v>
      </c>
      <c r="H905" s="364">
        <f t="shared" si="889"/>
        <v>9</v>
      </c>
      <c r="I905" s="364">
        <f t="shared" si="889"/>
        <v>0</v>
      </c>
      <c r="J905" s="364">
        <f t="shared" si="889"/>
        <v>9</v>
      </c>
      <c r="K905" s="364">
        <f t="shared" si="889"/>
        <v>5</v>
      </c>
      <c r="L905" s="364">
        <f t="shared" si="889"/>
        <v>0</v>
      </c>
      <c r="M905" s="364">
        <f t="shared" si="889"/>
        <v>5</v>
      </c>
      <c r="N905" s="364">
        <f t="shared" si="889"/>
        <v>2</v>
      </c>
      <c r="O905" s="364">
        <f t="shared" si="889"/>
        <v>0</v>
      </c>
      <c r="P905" s="364">
        <f t="shared" si="889"/>
        <v>2</v>
      </c>
      <c r="Q905" s="364">
        <f t="shared" si="889"/>
        <v>0</v>
      </c>
      <c r="R905" s="364">
        <f t="shared" si="889"/>
        <v>0</v>
      </c>
      <c r="S905" s="364">
        <f>SUM(S903:S904)</f>
        <v>0</v>
      </c>
      <c r="T905" s="353" t="s">
        <v>12</v>
      </c>
      <c r="U905" s="366"/>
      <c r="V905" s="141"/>
    </row>
    <row r="906" spans="2:22" ht="13.5" thickBot="1" x14ac:dyDescent="0.25">
      <c r="B906" s="364">
        <f t="shared" ref="B906:B907" si="890">SUM(C906:D906)</f>
        <v>11</v>
      </c>
      <c r="C906" s="364">
        <f t="shared" ref="C906:D907" si="891">R906+O906+L906+I906+F906</f>
        <v>0</v>
      </c>
      <c r="D906" s="364">
        <f t="shared" si="891"/>
        <v>11</v>
      </c>
      <c r="E906" s="364">
        <f t="shared" si="857"/>
        <v>6</v>
      </c>
      <c r="F906" s="364">
        <v>0</v>
      </c>
      <c r="G906" s="364">
        <v>6</v>
      </c>
      <c r="H906" s="364">
        <f t="shared" si="858"/>
        <v>0</v>
      </c>
      <c r="I906" s="364">
        <v>0</v>
      </c>
      <c r="J906" s="364">
        <v>0</v>
      </c>
      <c r="K906" s="364">
        <f t="shared" si="859"/>
        <v>1</v>
      </c>
      <c r="L906" s="364">
        <v>0</v>
      </c>
      <c r="M906" s="364">
        <v>1</v>
      </c>
      <c r="N906" s="364">
        <f t="shared" si="860"/>
        <v>4</v>
      </c>
      <c r="O906" s="364">
        <v>0</v>
      </c>
      <c r="P906" s="364">
        <v>4</v>
      </c>
      <c r="Q906" s="364">
        <f t="shared" si="861"/>
        <v>0</v>
      </c>
      <c r="R906" s="364">
        <v>0</v>
      </c>
      <c r="S906" s="364">
        <v>0</v>
      </c>
      <c r="T906" s="353" t="s">
        <v>146</v>
      </c>
      <c r="U906" s="365"/>
      <c r="V906" s="141"/>
    </row>
    <row r="907" spans="2:22" ht="13.5" thickBot="1" x14ac:dyDescent="0.25">
      <c r="B907" s="364">
        <f t="shared" si="890"/>
        <v>0</v>
      </c>
      <c r="C907" s="364">
        <f t="shared" si="891"/>
        <v>0</v>
      </c>
      <c r="D907" s="364">
        <f t="shared" si="891"/>
        <v>0</v>
      </c>
      <c r="E907" s="364">
        <f t="shared" si="857"/>
        <v>0</v>
      </c>
      <c r="F907" s="364">
        <v>0</v>
      </c>
      <c r="G907" s="364">
        <v>0</v>
      </c>
      <c r="H907" s="364">
        <f t="shared" si="858"/>
        <v>0</v>
      </c>
      <c r="I907" s="364">
        <v>0</v>
      </c>
      <c r="J907" s="364">
        <v>0</v>
      </c>
      <c r="K907" s="364">
        <f t="shared" si="859"/>
        <v>0</v>
      </c>
      <c r="L907" s="364">
        <v>0</v>
      </c>
      <c r="M907" s="364">
        <v>0</v>
      </c>
      <c r="N907" s="364">
        <f t="shared" si="860"/>
        <v>0</v>
      </c>
      <c r="O907" s="364">
        <v>0</v>
      </c>
      <c r="P907" s="364">
        <v>0</v>
      </c>
      <c r="Q907" s="364">
        <f t="shared" si="861"/>
        <v>0</v>
      </c>
      <c r="R907" s="364">
        <v>0</v>
      </c>
      <c r="S907" s="364">
        <v>0</v>
      </c>
      <c r="T907" s="353" t="s">
        <v>145</v>
      </c>
      <c r="U907" s="365" t="s">
        <v>322</v>
      </c>
      <c r="V907" s="141"/>
    </row>
    <row r="908" spans="2:22" ht="13.5" thickBot="1" x14ac:dyDescent="0.25">
      <c r="B908" s="364">
        <f t="shared" ref="B908:R908" si="892">SUM(B906:B907)</f>
        <v>11</v>
      </c>
      <c r="C908" s="364">
        <f t="shared" si="892"/>
        <v>0</v>
      </c>
      <c r="D908" s="364">
        <f t="shared" si="892"/>
        <v>11</v>
      </c>
      <c r="E908" s="364">
        <f t="shared" si="892"/>
        <v>6</v>
      </c>
      <c r="F908" s="364">
        <f t="shared" si="892"/>
        <v>0</v>
      </c>
      <c r="G908" s="364">
        <f t="shared" si="892"/>
        <v>6</v>
      </c>
      <c r="H908" s="364">
        <f t="shared" si="892"/>
        <v>0</v>
      </c>
      <c r="I908" s="364">
        <f t="shared" si="892"/>
        <v>0</v>
      </c>
      <c r="J908" s="364">
        <f t="shared" si="892"/>
        <v>0</v>
      </c>
      <c r="K908" s="364">
        <f t="shared" si="892"/>
        <v>1</v>
      </c>
      <c r="L908" s="364">
        <f t="shared" si="892"/>
        <v>0</v>
      </c>
      <c r="M908" s="364">
        <f t="shared" si="892"/>
        <v>1</v>
      </c>
      <c r="N908" s="364">
        <f t="shared" si="892"/>
        <v>4</v>
      </c>
      <c r="O908" s="364">
        <f t="shared" si="892"/>
        <v>0</v>
      </c>
      <c r="P908" s="364">
        <f t="shared" si="892"/>
        <v>4</v>
      </c>
      <c r="Q908" s="364">
        <f t="shared" si="892"/>
        <v>0</v>
      </c>
      <c r="R908" s="364">
        <f t="shared" si="892"/>
        <v>0</v>
      </c>
      <c r="S908" s="364">
        <f>SUM(S906:S907)</f>
        <v>0</v>
      </c>
      <c r="T908" s="353" t="s">
        <v>12</v>
      </c>
      <c r="U908" s="366"/>
      <c r="V908" s="141"/>
    </row>
    <row r="909" spans="2:22" ht="13.5" thickBot="1" x14ac:dyDescent="0.25">
      <c r="B909" s="364">
        <f t="shared" ref="B909:B910" si="893">SUM(C909:D909)</f>
        <v>15</v>
      </c>
      <c r="C909" s="364">
        <f t="shared" ref="C909:D910" si="894">R909+O909+L909+I909+F909</f>
        <v>0</v>
      </c>
      <c r="D909" s="364">
        <f t="shared" si="894"/>
        <v>15</v>
      </c>
      <c r="E909" s="364">
        <f t="shared" si="857"/>
        <v>11</v>
      </c>
      <c r="F909" s="364">
        <v>0</v>
      </c>
      <c r="G909" s="364">
        <v>11</v>
      </c>
      <c r="H909" s="364">
        <f t="shared" si="858"/>
        <v>0</v>
      </c>
      <c r="I909" s="364">
        <v>0</v>
      </c>
      <c r="J909" s="364">
        <v>0</v>
      </c>
      <c r="K909" s="364">
        <f t="shared" si="859"/>
        <v>1</v>
      </c>
      <c r="L909" s="364">
        <v>0</v>
      </c>
      <c r="M909" s="364">
        <v>1</v>
      </c>
      <c r="N909" s="364">
        <f t="shared" si="860"/>
        <v>3</v>
      </c>
      <c r="O909" s="364">
        <v>0</v>
      </c>
      <c r="P909" s="364">
        <v>3</v>
      </c>
      <c r="Q909" s="364">
        <f t="shared" si="861"/>
        <v>0</v>
      </c>
      <c r="R909" s="364">
        <v>0</v>
      </c>
      <c r="S909" s="364">
        <v>0</v>
      </c>
      <c r="T909" s="353" t="s">
        <v>146</v>
      </c>
      <c r="U909" s="365"/>
      <c r="V909" s="141"/>
    </row>
    <row r="910" spans="2:22" ht="13.5" thickBot="1" x14ac:dyDescent="0.25">
      <c r="B910" s="364">
        <f t="shared" si="893"/>
        <v>0</v>
      </c>
      <c r="C910" s="364">
        <f t="shared" si="894"/>
        <v>0</v>
      </c>
      <c r="D910" s="364">
        <f t="shared" si="894"/>
        <v>0</v>
      </c>
      <c r="E910" s="364">
        <f t="shared" si="857"/>
        <v>0</v>
      </c>
      <c r="F910" s="364">
        <v>0</v>
      </c>
      <c r="G910" s="364">
        <v>0</v>
      </c>
      <c r="H910" s="364">
        <f t="shared" si="858"/>
        <v>0</v>
      </c>
      <c r="I910" s="364">
        <v>0</v>
      </c>
      <c r="J910" s="364">
        <v>0</v>
      </c>
      <c r="K910" s="364">
        <f t="shared" si="859"/>
        <v>0</v>
      </c>
      <c r="L910" s="364">
        <v>0</v>
      </c>
      <c r="M910" s="364">
        <v>0</v>
      </c>
      <c r="N910" s="364">
        <f t="shared" si="860"/>
        <v>0</v>
      </c>
      <c r="O910" s="364">
        <v>0</v>
      </c>
      <c r="P910" s="364">
        <v>0</v>
      </c>
      <c r="Q910" s="364">
        <f t="shared" si="861"/>
        <v>0</v>
      </c>
      <c r="R910" s="364">
        <v>0</v>
      </c>
      <c r="S910" s="364">
        <v>0</v>
      </c>
      <c r="T910" s="353" t="s">
        <v>145</v>
      </c>
      <c r="U910" s="365" t="s">
        <v>323</v>
      </c>
      <c r="V910" s="141"/>
    </row>
    <row r="911" spans="2:22" ht="13.5" thickBot="1" x14ac:dyDescent="0.25">
      <c r="B911" s="364">
        <f t="shared" ref="B911:R911" si="895">SUM(B909:B910)</f>
        <v>15</v>
      </c>
      <c r="C911" s="364">
        <f t="shared" si="895"/>
        <v>0</v>
      </c>
      <c r="D911" s="364">
        <f t="shared" si="895"/>
        <v>15</v>
      </c>
      <c r="E911" s="364">
        <f t="shared" si="895"/>
        <v>11</v>
      </c>
      <c r="F911" s="364">
        <f t="shared" si="895"/>
        <v>0</v>
      </c>
      <c r="G911" s="364">
        <f t="shared" si="895"/>
        <v>11</v>
      </c>
      <c r="H911" s="364">
        <f t="shared" si="895"/>
        <v>0</v>
      </c>
      <c r="I911" s="364">
        <f t="shared" si="895"/>
        <v>0</v>
      </c>
      <c r="J911" s="364">
        <f t="shared" si="895"/>
        <v>0</v>
      </c>
      <c r="K911" s="364">
        <f t="shared" si="895"/>
        <v>1</v>
      </c>
      <c r="L911" s="364">
        <f t="shared" si="895"/>
        <v>0</v>
      </c>
      <c r="M911" s="364">
        <f t="shared" si="895"/>
        <v>1</v>
      </c>
      <c r="N911" s="364">
        <f t="shared" si="895"/>
        <v>3</v>
      </c>
      <c r="O911" s="364">
        <f t="shared" si="895"/>
        <v>0</v>
      </c>
      <c r="P911" s="364">
        <f t="shared" si="895"/>
        <v>3</v>
      </c>
      <c r="Q911" s="364">
        <f t="shared" si="895"/>
        <v>0</v>
      </c>
      <c r="R911" s="364">
        <f t="shared" si="895"/>
        <v>0</v>
      </c>
      <c r="S911" s="364">
        <f>SUM(S909:S910)</f>
        <v>0</v>
      </c>
      <c r="T911" s="353" t="s">
        <v>12</v>
      </c>
      <c r="U911" s="366"/>
      <c r="V911" s="141"/>
    </row>
    <row r="912" spans="2:22" ht="13.5" thickBot="1" x14ac:dyDescent="0.25">
      <c r="B912" s="364">
        <f t="shared" ref="B912:B913" si="896">SUM(C912:D912)</f>
        <v>10</v>
      </c>
      <c r="C912" s="364">
        <f t="shared" ref="C912:D913" si="897">R912+O912+L912+I912+F912</f>
        <v>0</v>
      </c>
      <c r="D912" s="364">
        <f t="shared" si="897"/>
        <v>10</v>
      </c>
      <c r="E912" s="364">
        <f t="shared" si="857"/>
        <v>5</v>
      </c>
      <c r="F912" s="364">
        <v>0</v>
      </c>
      <c r="G912" s="364">
        <v>5</v>
      </c>
      <c r="H912" s="364">
        <f t="shared" si="858"/>
        <v>0</v>
      </c>
      <c r="I912" s="364">
        <v>0</v>
      </c>
      <c r="J912" s="364">
        <v>0</v>
      </c>
      <c r="K912" s="364">
        <f t="shared" si="859"/>
        <v>1</v>
      </c>
      <c r="L912" s="364">
        <v>0</v>
      </c>
      <c r="M912" s="364">
        <v>1</v>
      </c>
      <c r="N912" s="364">
        <f t="shared" si="860"/>
        <v>4</v>
      </c>
      <c r="O912" s="364">
        <v>0</v>
      </c>
      <c r="P912" s="364">
        <v>4</v>
      </c>
      <c r="Q912" s="364">
        <f t="shared" si="861"/>
        <v>0</v>
      </c>
      <c r="R912" s="364">
        <v>0</v>
      </c>
      <c r="S912" s="364">
        <v>0</v>
      </c>
      <c r="T912" s="353" t="s">
        <v>146</v>
      </c>
      <c r="U912" s="365"/>
      <c r="V912" s="141"/>
    </row>
    <row r="913" spans="2:22" ht="13.5" thickBot="1" x14ac:dyDescent="0.25">
      <c r="B913" s="364">
        <f t="shared" si="896"/>
        <v>0</v>
      </c>
      <c r="C913" s="364">
        <f t="shared" si="897"/>
        <v>0</v>
      </c>
      <c r="D913" s="364">
        <f t="shared" si="897"/>
        <v>0</v>
      </c>
      <c r="E913" s="364">
        <f t="shared" si="857"/>
        <v>0</v>
      </c>
      <c r="F913" s="364">
        <v>0</v>
      </c>
      <c r="G913" s="364">
        <v>0</v>
      </c>
      <c r="H913" s="364">
        <f t="shared" si="858"/>
        <v>0</v>
      </c>
      <c r="I913" s="364">
        <v>0</v>
      </c>
      <c r="J913" s="364">
        <v>0</v>
      </c>
      <c r="K913" s="364">
        <f t="shared" si="859"/>
        <v>0</v>
      </c>
      <c r="L913" s="364">
        <v>0</v>
      </c>
      <c r="M913" s="364">
        <v>0</v>
      </c>
      <c r="N913" s="364">
        <f t="shared" si="860"/>
        <v>0</v>
      </c>
      <c r="O913" s="364">
        <v>0</v>
      </c>
      <c r="P913" s="364">
        <v>0</v>
      </c>
      <c r="Q913" s="364">
        <f t="shared" si="861"/>
        <v>0</v>
      </c>
      <c r="R913" s="364">
        <v>0</v>
      </c>
      <c r="S913" s="364">
        <v>0</v>
      </c>
      <c r="T913" s="353" t="s">
        <v>145</v>
      </c>
      <c r="U913" s="365" t="s">
        <v>324</v>
      </c>
      <c r="V913" s="141"/>
    </row>
    <row r="914" spans="2:22" ht="13.5" thickBot="1" x14ac:dyDescent="0.25">
      <c r="B914" s="364">
        <f t="shared" ref="B914:R914" si="898">SUM(B912:B913)</f>
        <v>10</v>
      </c>
      <c r="C914" s="364">
        <f t="shared" si="898"/>
        <v>0</v>
      </c>
      <c r="D914" s="364">
        <f t="shared" si="898"/>
        <v>10</v>
      </c>
      <c r="E914" s="364">
        <f t="shared" si="898"/>
        <v>5</v>
      </c>
      <c r="F914" s="364">
        <f t="shared" si="898"/>
        <v>0</v>
      </c>
      <c r="G914" s="364">
        <f t="shared" si="898"/>
        <v>5</v>
      </c>
      <c r="H914" s="364">
        <f t="shared" si="898"/>
        <v>0</v>
      </c>
      <c r="I914" s="364">
        <f t="shared" si="898"/>
        <v>0</v>
      </c>
      <c r="J914" s="364">
        <f t="shared" si="898"/>
        <v>0</v>
      </c>
      <c r="K914" s="364">
        <f t="shared" si="898"/>
        <v>1</v>
      </c>
      <c r="L914" s="364">
        <f t="shared" si="898"/>
        <v>0</v>
      </c>
      <c r="M914" s="364">
        <f t="shared" si="898"/>
        <v>1</v>
      </c>
      <c r="N914" s="364">
        <f t="shared" si="898"/>
        <v>4</v>
      </c>
      <c r="O914" s="364">
        <f t="shared" si="898"/>
        <v>0</v>
      </c>
      <c r="P914" s="364">
        <f t="shared" si="898"/>
        <v>4</v>
      </c>
      <c r="Q914" s="364">
        <f t="shared" si="898"/>
        <v>0</v>
      </c>
      <c r="R914" s="364">
        <f t="shared" si="898"/>
        <v>0</v>
      </c>
      <c r="S914" s="364">
        <f>SUM(S912:S913)</f>
        <v>0</v>
      </c>
      <c r="T914" s="353" t="s">
        <v>12</v>
      </c>
      <c r="U914" s="366"/>
      <c r="V914" s="141"/>
    </row>
    <row r="915" spans="2:22" ht="13.5" thickBot="1" x14ac:dyDescent="0.25">
      <c r="B915" s="364">
        <f t="shared" ref="B915:B916" si="899">SUM(C915:D915)</f>
        <v>10</v>
      </c>
      <c r="C915" s="364">
        <f t="shared" ref="C915:D916" si="900">R915+O915+L915+I915+F915</f>
        <v>10</v>
      </c>
      <c r="D915" s="364">
        <f t="shared" si="900"/>
        <v>0</v>
      </c>
      <c r="E915" s="364">
        <f t="shared" si="857"/>
        <v>10</v>
      </c>
      <c r="F915" s="364">
        <v>10</v>
      </c>
      <c r="G915" s="364">
        <v>0</v>
      </c>
      <c r="H915" s="364">
        <f t="shared" si="858"/>
        <v>0</v>
      </c>
      <c r="I915" s="364">
        <v>0</v>
      </c>
      <c r="J915" s="364">
        <v>0</v>
      </c>
      <c r="K915" s="364">
        <f t="shared" si="859"/>
        <v>0</v>
      </c>
      <c r="L915" s="364">
        <v>0</v>
      </c>
      <c r="M915" s="364">
        <v>0</v>
      </c>
      <c r="N915" s="364">
        <f t="shared" si="860"/>
        <v>0</v>
      </c>
      <c r="O915" s="364">
        <v>0</v>
      </c>
      <c r="P915" s="364">
        <v>0</v>
      </c>
      <c r="Q915" s="364">
        <f t="shared" si="861"/>
        <v>0</v>
      </c>
      <c r="R915" s="364">
        <v>0</v>
      </c>
      <c r="S915" s="364">
        <v>0</v>
      </c>
      <c r="T915" s="353">
        <v>3</v>
      </c>
      <c r="U915" s="365"/>
      <c r="V915" s="141"/>
    </row>
    <row r="916" spans="2:22" ht="18" customHeight="1" thickBot="1" x14ac:dyDescent="0.25">
      <c r="B916" s="364">
        <f t="shared" si="899"/>
        <v>0</v>
      </c>
      <c r="C916" s="364">
        <f t="shared" si="900"/>
        <v>0</v>
      </c>
      <c r="D916" s="364">
        <f t="shared" si="900"/>
        <v>0</v>
      </c>
      <c r="E916" s="364">
        <f t="shared" si="857"/>
        <v>0</v>
      </c>
      <c r="F916" s="364">
        <v>0</v>
      </c>
      <c r="G916" s="364">
        <v>0</v>
      </c>
      <c r="H916" s="364">
        <f t="shared" si="858"/>
        <v>0</v>
      </c>
      <c r="I916" s="364">
        <v>0</v>
      </c>
      <c r="J916" s="364">
        <v>0</v>
      </c>
      <c r="K916" s="364">
        <f t="shared" si="859"/>
        <v>0</v>
      </c>
      <c r="L916" s="364">
        <v>0</v>
      </c>
      <c r="M916" s="364">
        <v>0</v>
      </c>
      <c r="N916" s="364">
        <f t="shared" si="860"/>
        <v>0</v>
      </c>
      <c r="O916" s="364">
        <v>0</v>
      </c>
      <c r="P916" s="364">
        <v>0</v>
      </c>
      <c r="Q916" s="364">
        <f t="shared" si="861"/>
        <v>0</v>
      </c>
      <c r="R916" s="364">
        <v>0</v>
      </c>
      <c r="S916" s="364">
        <v>0</v>
      </c>
      <c r="T916" s="353" t="s">
        <v>145</v>
      </c>
      <c r="U916" s="365" t="s">
        <v>325</v>
      </c>
      <c r="V916" s="141"/>
    </row>
    <row r="917" spans="2:22" ht="18" customHeight="1" thickBot="1" x14ac:dyDescent="0.25">
      <c r="B917" s="364">
        <f t="shared" ref="B917:R917" si="901">SUM(B915:B916)</f>
        <v>10</v>
      </c>
      <c r="C917" s="364">
        <f t="shared" si="901"/>
        <v>10</v>
      </c>
      <c r="D917" s="364">
        <f t="shared" si="901"/>
        <v>0</v>
      </c>
      <c r="E917" s="364">
        <f t="shared" si="901"/>
        <v>10</v>
      </c>
      <c r="F917" s="364">
        <f t="shared" si="901"/>
        <v>10</v>
      </c>
      <c r="G917" s="364">
        <f t="shared" si="901"/>
        <v>0</v>
      </c>
      <c r="H917" s="364">
        <f t="shared" si="901"/>
        <v>0</v>
      </c>
      <c r="I917" s="364">
        <f t="shared" si="901"/>
        <v>0</v>
      </c>
      <c r="J917" s="364">
        <f t="shared" si="901"/>
        <v>0</v>
      </c>
      <c r="K917" s="364">
        <f t="shared" si="901"/>
        <v>0</v>
      </c>
      <c r="L917" s="364">
        <f t="shared" si="901"/>
        <v>0</v>
      </c>
      <c r="M917" s="364">
        <f t="shared" si="901"/>
        <v>0</v>
      </c>
      <c r="N917" s="364">
        <f t="shared" si="901"/>
        <v>0</v>
      </c>
      <c r="O917" s="364">
        <f t="shared" si="901"/>
        <v>0</v>
      </c>
      <c r="P917" s="364">
        <f t="shared" si="901"/>
        <v>0</v>
      </c>
      <c r="Q917" s="364">
        <f t="shared" si="901"/>
        <v>0</v>
      </c>
      <c r="R917" s="364">
        <f t="shared" si="901"/>
        <v>0</v>
      </c>
      <c r="S917" s="364">
        <f>SUM(S915:S916)</f>
        <v>0</v>
      </c>
      <c r="T917" s="353" t="s">
        <v>12</v>
      </c>
      <c r="U917" s="366"/>
      <c r="V917" s="141"/>
    </row>
    <row r="918" spans="2:22" ht="18" customHeight="1" thickBot="1" x14ac:dyDescent="0.25">
      <c r="B918" s="364">
        <f t="shared" ref="B918:B919" si="902">SUM(C918:D918)</f>
        <v>7</v>
      </c>
      <c r="C918" s="364">
        <f t="shared" ref="C918:D919" si="903">R918+O918+L918+I918+F918</f>
        <v>7</v>
      </c>
      <c r="D918" s="364">
        <f t="shared" si="903"/>
        <v>0</v>
      </c>
      <c r="E918" s="364">
        <f t="shared" si="857"/>
        <v>7</v>
      </c>
      <c r="F918" s="364">
        <v>7</v>
      </c>
      <c r="G918" s="364">
        <v>0</v>
      </c>
      <c r="H918" s="364">
        <f t="shared" si="858"/>
        <v>0</v>
      </c>
      <c r="I918" s="364">
        <v>0</v>
      </c>
      <c r="J918" s="364">
        <v>0</v>
      </c>
      <c r="K918" s="364">
        <f t="shared" si="859"/>
        <v>0</v>
      </c>
      <c r="L918" s="364">
        <v>0</v>
      </c>
      <c r="M918" s="364">
        <v>0</v>
      </c>
      <c r="N918" s="364">
        <f t="shared" si="860"/>
        <v>0</v>
      </c>
      <c r="O918" s="364">
        <v>0</v>
      </c>
      <c r="P918" s="364">
        <v>0</v>
      </c>
      <c r="Q918" s="364">
        <f t="shared" si="861"/>
        <v>0</v>
      </c>
      <c r="R918" s="364">
        <v>0</v>
      </c>
      <c r="S918" s="364">
        <v>0</v>
      </c>
      <c r="T918" s="353" t="s">
        <v>146</v>
      </c>
      <c r="U918" s="365"/>
      <c r="V918" s="141"/>
    </row>
    <row r="919" spans="2:22" ht="13.5" thickBot="1" x14ac:dyDescent="0.25">
      <c r="B919" s="364">
        <f t="shared" si="902"/>
        <v>0</v>
      </c>
      <c r="C919" s="364">
        <f t="shared" si="903"/>
        <v>0</v>
      </c>
      <c r="D919" s="364">
        <f t="shared" si="903"/>
        <v>0</v>
      </c>
      <c r="E919" s="364">
        <f t="shared" si="857"/>
        <v>0</v>
      </c>
      <c r="F919" s="364">
        <v>0</v>
      </c>
      <c r="G919" s="364">
        <v>0</v>
      </c>
      <c r="H919" s="364">
        <f t="shared" si="858"/>
        <v>0</v>
      </c>
      <c r="I919" s="364">
        <v>0</v>
      </c>
      <c r="J919" s="364">
        <v>0</v>
      </c>
      <c r="K919" s="364">
        <f t="shared" si="859"/>
        <v>0</v>
      </c>
      <c r="L919" s="364">
        <v>0</v>
      </c>
      <c r="M919" s="364">
        <v>0</v>
      </c>
      <c r="N919" s="364">
        <f t="shared" si="860"/>
        <v>0</v>
      </c>
      <c r="O919" s="364">
        <v>0</v>
      </c>
      <c r="P919" s="364">
        <v>0</v>
      </c>
      <c r="Q919" s="364">
        <f t="shared" si="861"/>
        <v>0</v>
      </c>
      <c r="R919" s="364">
        <v>0</v>
      </c>
      <c r="S919" s="364">
        <v>0</v>
      </c>
      <c r="T919" s="353" t="s">
        <v>145</v>
      </c>
      <c r="U919" s="365" t="s">
        <v>326</v>
      </c>
      <c r="V919" s="141"/>
    </row>
    <row r="920" spans="2:22" ht="13.5" thickBot="1" x14ac:dyDescent="0.25">
      <c r="B920" s="364">
        <f t="shared" ref="B920:R920" si="904">SUM(B918:B919)</f>
        <v>7</v>
      </c>
      <c r="C920" s="364">
        <f t="shared" si="904"/>
        <v>7</v>
      </c>
      <c r="D920" s="364">
        <f t="shared" si="904"/>
        <v>0</v>
      </c>
      <c r="E920" s="364">
        <f t="shared" si="904"/>
        <v>7</v>
      </c>
      <c r="F920" s="364">
        <f t="shared" si="904"/>
        <v>7</v>
      </c>
      <c r="G920" s="364">
        <f t="shared" si="904"/>
        <v>0</v>
      </c>
      <c r="H920" s="364">
        <f t="shared" si="904"/>
        <v>0</v>
      </c>
      <c r="I920" s="364">
        <f t="shared" si="904"/>
        <v>0</v>
      </c>
      <c r="J920" s="364">
        <f t="shared" si="904"/>
        <v>0</v>
      </c>
      <c r="K920" s="364">
        <f t="shared" si="904"/>
        <v>0</v>
      </c>
      <c r="L920" s="364">
        <f t="shared" si="904"/>
        <v>0</v>
      </c>
      <c r="M920" s="364">
        <f t="shared" si="904"/>
        <v>0</v>
      </c>
      <c r="N920" s="364">
        <f t="shared" si="904"/>
        <v>0</v>
      </c>
      <c r="O920" s="364">
        <f t="shared" si="904"/>
        <v>0</v>
      </c>
      <c r="P920" s="364">
        <f t="shared" si="904"/>
        <v>0</v>
      </c>
      <c r="Q920" s="364">
        <f t="shared" si="904"/>
        <v>0</v>
      </c>
      <c r="R920" s="364">
        <f t="shared" si="904"/>
        <v>0</v>
      </c>
      <c r="S920" s="364">
        <f>SUM(S918:S919)</f>
        <v>0</v>
      </c>
      <c r="T920" s="353" t="s">
        <v>12</v>
      </c>
      <c r="U920" s="366"/>
      <c r="V920" s="141"/>
    </row>
    <row r="921" spans="2:22" ht="13.5" thickBot="1" x14ac:dyDescent="0.25">
      <c r="B921" s="364">
        <f t="shared" ref="B921:B922" si="905">SUM(C921:D921)</f>
        <v>9</v>
      </c>
      <c r="C921" s="364">
        <f t="shared" ref="C921:D922" si="906">R921+O921+L921+I921+F921</f>
        <v>9</v>
      </c>
      <c r="D921" s="364">
        <f t="shared" si="906"/>
        <v>0</v>
      </c>
      <c r="E921" s="364">
        <f t="shared" si="857"/>
        <v>9</v>
      </c>
      <c r="F921" s="364">
        <v>9</v>
      </c>
      <c r="G921" s="364">
        <v>0</v>
      </c>
      <c r="H921" s="364">
        <f t="shared" si="858"/>
        <v>0</v>
      </c>
      <c r="I921" s="364">
        <v>0</v>
      </c>
      <c r="J921" s="364">
        <v>0</v>
      </c>
      <c r="K921" s="364">
        <f t="shared" si="859"/>
        <v>0</v>
      </c>
      <c r="L921" s="364">
        <v>0</v>
      </c>
      <c r="M921" s="364">
        <v>0</v>
      </c>
      <c r="N921" s="364">
        <f t="shared" si="860"/>
        <v>0</v>
      </c>
      <c r="O921" s="364">
        <v>0</v>
      </c>
      <c r="P921" s="364">
        <v>0</v>
      </c>
      <c r="Q921" s="364">
        <f t="shared" si="861"/>
        <v>0</v>
      </c>
      <c r="R921" s="364">
        <v>0</v>
      </c>
      <c r="S921" s="364">
        <v>0</v>
      </c>
      <c r="T921" s="353" t="s">
        <v>146</v>
      </c>
      <c r="U921" s="365"/>
      <c r="V921" s="141"/>
    </row>
    <row r="922" spans="2:22" ht="13.5" thickBot="1" x14ac:dyDescent="0.25">
      <c r="B922" s="364">
        <f t="shared" si="905"/>
        <v>0</v>
      </c>
      <c r="C922" s="364">
        <f t="shared" si="906"/>
        <v>0</v>
      </c>
      <c r="D922" s="364">
        <f t="shared" si="906"/>
        <v>0</v>
      </c>
      <c r="E922" s="364">
        <f t="shared" si="857"/>
        <v>0</v>
      </c>
      <c r="F922" s="364">
        <v>0</v>
      </c>
      <c r="G922" s="364">
        <v>0</v>
      </c>
      <c r="H922" s="364">
        <f t="shared" si="858"/>
        <v>0</v>
      </c>
      <c r="I922" s="364">
        <v>0</v>
      </c>
      <c r="J922" s="364">
        <v>0</v>
      </c>
      <c r="K922" s="364">
        <f t="shared" si="859"/>
        <v>0</v>
      </c>
      <c r="L922" s="364">
        <v>0</v>
      </c>
      <c r="M922" s="364">
        <v>0</v>
      </c>
      <c r="N922" s="364">
        <f t="shared" si="860"/>
        <v>0</v>
      </c>
      <c r="O922" s="364">
        <v>0</v>
      </c>
      <c r="P922" s="364">
        <v>0</v>
      </c>
      <c r="Q922" s="364">
        <f t="shared" si="861"/>
        <v>0</v>
      </c>
      <c r="R922" s="364">
        <v>0</v>
      </c>
      <c r="S922" s="364">
        <v>0</v>
      </c>
      <c r="T922" s="353" t="s">
        <v>145</v>
      </c>
      <c r="U922" s="365" t="s">
        <v>327</v>
      </c>
      <c r="V922" s="141"/>
    </row>
    <row r="923" spans="2:22" ht="13.5" thickBot="1" x14ac:dyDescent="0.25">
      <c r="B923" s="364">
        <f t="shared" ref="B923:R923" si="907">SUM(B921:B922)</f>
        <v>9</v>
      </c>
      <c r="C923" s="364">
        <f t="shared" si="907"/>
        <v>9</v>
      </c>
      <c r="D923" s="364">
        <f t="shared" si="907"/>
        <v>0</v>
      </c>
      <c r="E923" s="364">
        <f t="shared" si="907"/>
        <v>9</v>
      </c>
      <c r="F923" s="364">
        <f t="shared" si="907"/>
        <v>9</v>
      </c>
      <c r="G923" s="364">
        <f t="shared" si="907"/>
        <v>0</v>
      </c>
      <c r="H923" s="364">
        <f t="shared" si="907"/>
        <v>0</v>
      </c>
      <c r="I923" s="364">
        <f t="shared" si="907"/>
        <v>0</v>
      </c>
      <c r="J923" s="364">
        <f t="shared" si="907"/>
        <v>0</v>
      </c>
      <c r="K923" s="364">
        <f t="shared" si="907"/>
        <v>0</v>
      </c>
      <c r="L923" s="364">
        <f t="shared" si="907"/>
        <v>0</v>
      </c>
      <c r="M923" s="364">
        <f t="shared" si="907"/>
        <v>0</v>
      </c>
      <c r="N923" s="364">
        <f t="shared" si="907"/>
        <v>0</v>
      </c>
      <c r="O923" s="364">
        <f t="shared" si="907"/>
        <v>0</v>
      </c>
      <c r="P923" s="364">
        <f t="shared" si="907"/>
        <v>0</v>
      </c>
      <c r="Q923" s="364">
        <f t="shared" si="907"/>
        <v>0</v>
      </c>
      <c r="R923" s="364">
        <f t="shared" si="907"/>
        <v>0</v>
      </c>
      <c r="S923" s="364">
        <f>SUM(S921:S922)</f>
        <v>0</v>
      </c>
      <c r="T923" s="353" t="s">
        <v>12</v>
      </c>
      <c r="U923" s="366"/>
      <c r="V923" s="141"/>
    </row>
    <row r="924" spans="2:22" ht="13.5" thickBot="1" x14ac:dyDescent="0.25">
      <c r="B924" s="364">
        <f t="shared" ref="B924:B925" si="908">SUM(C924:D924)</f>
        <v>13</v>
      </c>
      <c r="C924" s="364">
        <f t="shared" ref="C924:D925" si="909">R924+O924+L924+I924+F924</f>
        <v>13</v>
      </c>
      <c r="D924" s="364">
        <f t="shared" si="909"/>
        <v>0</v>
      </c>
      <c r="E924" s="364">
        <f t="shared" si="857"/>
        <v>13</v>
      </c>
      <c r="F924" s="364">
        <v>13</v>
      </c>
      <c r="G924" s="364">
        <v>0</v>
      </c>
      <c r="H924" s="364">
        <f t="shared" si="858"/>
        <v>0</v>
      </c>
      <c r="I924" s="364">
        <v>0</v>
      </c>
      <c r="J924" s="364">
        <v>0</v>
      </c>
      <c r="K924" s="364">
        <f t="shared" si="859"/>
        <v>0</v>
      </c>
      <c r="L924" s="364">
        <v>0</v>
      </c>
      <c r="M924" s="364">
        <v>0</v>
      </c>
      <c r="N924" s="364">
        <f t="shared" si="860"/>
        <v>0</v>
      </c>
      <c r="O924" s="364">
        <v>0</v>
      </c>
      <c r="P924" s="364">
        <v>0</v>
      </c>
      <c r="Q924" s="364">
        <f t="shared" si="861"/>
        <v>0</v>
      </c>
      <c r="R924" s="364">
        <v>0</v>
      </c>
      <c r="S924" s="364">
        <v>0</v>
      </c>
      <c r="T924" s="353" t="s">
        <v>146</v>
      </c>
      <c r="U924" s="365"/>
      <c r="V924" s="141"/>
    </row>
    <row r="925" spans="2:22" ht="13.5" thickBot="1" x14ac:dyDescent="0.25">
      <c r="B925" s="364">
        <f t="shared" si="908"/>
        <v>0</v>
      </c>
      <c r="C925" s="364">
        <f t="shared" si="909"/>
        <v>0</v>
      </c>
      <c r="D925" s="364">
        <f t="shared" si="909"/>
        <v>0</v>
      </c>
      <c r="E925" s="364">
        <f t="shared" si="857"/>
        <v>0</v>
      </c>
      <c r="F925" s="364">
        <v>0</v>
      </c>
      <c r="G925" s="364">
        <v>0</v>
      </c>
      <c r="H925" s="364">
        <f t="shared" si="858"/>
        <v>0</v>
      </c>
      <c r="I925" s="364">
        <v>0</v>
      </c>
      <c r="J925" s="364">
        <v>0</v>
      </c>
      <c r="K925" s="364">
        <f t="shared" si="859"/>
        <v>0</v>
      </c>
      <c r="L925" s="364">
        <v>0</v>
      </c>
      <c r="M925" s="364">
        <v>0</v>
      </c>
      <c r="N925" s="364">
        <f t="shared" si="860"/>
        <v>0</v>
      </c>
      <c r="O925" s="364">
        <v>0</v>
      </c>
      <c r="P925" s="364">
        <v>0</v>
      </c>
      <c r="Q925" s="364">
        <f t="shared" si="861"/>
        <v>0</v>
      </c>
      <c r="R925" s="364">
        <v>0</v>
      </c>
      <c r="S925" s="364">
        <v>0</v>
      </c>
      <c r="T925" s="353" t="s">
        <v>145</v>
      </c>
      <c r="U925" s="365" t="s">
        <v>328</v>
      </c>
      <c r="V925" s="141"/>
    </row>
    <row r="926" spans="2:22" ht="13.5" thickBot="1" x14ac:dyDescent="0.25">
      <c r="B926" s="364">
        <f t="shared" ref="B926:R926" si="910">SUM(B924:B925)</f>
        <v>13</v>
      </c>
      <c r="C926" s="364">
        <f t="shared" si="910"/>
        <v>13</v>
      </c>
      <c r="D926" s="364">
        <f t="shared" si="910"/>
        <v>0</v>
      </c>
      <c r="E926" s="364">
        <f t="shared" si="910"/>
        <v>13</v>
      </c>
      <c r="F926" s="364">
        <f t="shared" si="910"/>
        <v>13</v>
      </c>
      <c r="G926" s="364">
        <f t="shared" si="910"/>
        <v>0</v>
      </c>
      <c r="H926" s="364">
        <f t="shared" si="910"/>
        <v>0</v>
      </c>
      <c r="I926" s="364">
        <f t="shared" si="910"/>
        <v>0</v>
      </c>
      <c r="J926" s="364">
        <f t="shared" si="910"/>
        <v>0</v>
      </c>
      <c r="K926" s="364">
        <f t="shared" si="910"/>
        <v>0</v>
      </c>
      <c r="L926" s="364">
        <f t="shared" si="910"/>
        <v>0</v>
      </c>
      <c r="M926" s="364">
        <f t="shared" si="910"/>
        <v>0</v>
      </c>
      <c r="N926" s="364">
        <f t="shared" si="910"/>
        <v>0</v>
      </c>
      <c r="O926" s="364">
        <f t="shared" si="910"/>
        <v>0</v>
      </c>
      <c r="P926" s="364">
        <f t="shared" si="910"/>
        <v>0</v>
      </c>
      <c r="Q926" s="364">
        <f t="shared" si="910"/>
        <v>0</v>
      </c>
      <c r="R926" s="364">
        <f t="shared" si="910"/>
        <v>0</v>
      </c>
      <c r="S926" s="364">
        <f>SUM(S924:S925)</f>
        <v>0</v>
      </c>
      <c r="T926" s="353" t="s">
        <v>12</v>
      </c>
      <c r="U926" s="366"/>
      <c r="V926" s="141"/>
    </row>
    <row r="927" spans="2:22" ht="18" customHeight="1" thickBot="1" x14ac:dyDescent="0.25">
      <c r="B927" s="364">
        <f t="shared" ref="B927:B928" si="911">SUM(C927:D927)</f>
        <v>8</v>
      </c>
      <c r="C927" s="364">
        <f t="shared" ref="C927:D928" si="912">R927+O927+L927+I927+F927</f>
        <v>8</v>
      </c>
      <c r="D927" s="364">
        <f t="shared" si="912"/>
        <v>0</v>
      </c>
      <c r="E927" s="364">
        <f t="shared" si="857"/>
        <v>8</v>
      </c>
      <c r="F927" s="364">
        <v>8</v>
      </c>
      <c r="G927" s="364">
        <v>0</v>
      </c>
      <c r="H927" s="364">
        <f t="shared" si="858"/>
        <v>0</v>
      </c>
      <c r="I927" s="364">
        <v>0</v>
      </c>
      <c r="J927" s="364">
        <v>0</v>
      </c>
      <c r="K927" s="364">
        <f t="shared" si="859"/>
        <v>0</v>
      </c>
      <c r="L927" s="364">
        <v>0</v>
      </c>
      <c r="M927" s="364">
        <v>0</v>
      </c>
      <c r="N927" s="364">
        <f t="shared" si="860"/>
        <v>0</v>
      </c>
      <c r="O927" s="364">
        <v>0</v>
      </c>
      <c r="P927" s="364">
        <v>0</v>
      </c>
      <c r="Q927" s="364">
        <f t="shared" si="861"/>
        <v>0</v>
      </c>
      <c r="R927" s="364">
        <v>0</v>
      </c>
      <c r="S927" s="364">
        <v>0</v>
      </c>
      <c r="T927" s="353" t="s">
        <v>146</v>
      </c>
      <c r="U927" s="365"/>
      <c r="V927" s="141"/>
    </row>
    <row r="928" spans="2:22" ht="18" customHeight="1" thickBot="1" x14ac:dyDescent="0.25">
      <c r="B928" s="364">
        <f t="shared" si="911"/>
        <v>0</v>
      </c>
      <c r="C928" s="364">
        <f t="shared" si="912"/>
        <v>0</v>
      </c>
      <c r="D928" s="364">
        <f t="shared" si="912"/>
        <v>0</v>
      </c>
      <c r="E928" s="364">
        <f t="shared" si="857"/>
        <v>0</v>
      </c>
      <c r="F928" s="364">
        <v>0</v>
      </c>
      <c r="G928" s="364">
        <v>0</v>
      </c>
      <c r="H928" s="364">
        <f t="shared" si="858"/>
        <v>0</v>
      </c>
      <c r="I928" s="364">
        <v>0</v>
      </c>
      <c r="J928" s="364">
        <v>0</v>
      </c>
      <c r="K928" s="364">
        <f t="shared" si="859"/>
        <v>0</v>
      </c>
      <c r="L928" s="364">
        <v>0</v>
      </c>
      <c r="M928" s="364">
        <v>0</v>
      </c>
      <c r="N928" s="364">
        <f t="shared" si="860"/>
        <v>0</v>
      </c>
      <c r="O928" s="364">
        <v>0</v>
      </c>
      <c r="P928" s="364">
        <v>0</v>
      </c>
      <c r="Q928" s="364">
        <f t="shared" si="861"/>
        <v>0</v>
      </c>
      <c r="R928" s="364">
        <v>0</v>
      </c>
      <c r="S928" s="364">
        <v>0</v>
      </c>
      <c r="T928" s="353" t="s">
        <v>145</v>
      </c>
      <c r="U928" s="365" t="s">
        <v>329</v>
      </c>
      <c r="V928" s="141"/>
    </row>
    <row r="929" spans="2:22" ht="18" customHeight="1" thickBot="1" x14ac:dyDescent="0.25">
      <c r="B929" s="364">
        <f t="shared" ref="B929:R929" si="913">SUM(B927:B928)</f>
        <v>8</v>
      </c>
      <c r="C929" s="364">
        <f t="shared" si="913"/>
        <v>8</v>
      </c>
      <c r="D929" s="364">
        <f t="shared" si="913"/>
        <v>0</v>
      </c>
      <c r="E929" s="364">
        <f t="shared" si="913"/>
        <v>8</v>
      </c>
      <c r="F929" s="364">
        <f t="shared" si="913"/>
        <v>8</v>
      </c>
      <c r="G929" s="364">
        <f t="shared" si="913"/>
        <v>0</v>
      </c>
      <c r="H929" s="364">
        <f t="shared" si="913"/>
        <v>0</v>
      </c>
      <c r="I929" s="364">
        <f t="shared" si="913"/>
        <v>0</v>
      </c>
      <c r="J929" s="364">
        <f t="shared" si="913"/>
        <v>0</v>
      </c>
      <c r="K929" s="364">
        <f t="shared" si="913"/>
        <v>0</v>
      </c>
      <c r="L929" s="364">
        <f t="shared" si="913"/>
        <v>0</v>
      </c>
      <c r="M929" s="364">
        <f t="shared" si="913"/>
        <v>0</v>
      </c>
      <c r="N929" s="364">
        <f t="shared" si="913"/>
        <v>0</v>
      </c>
      <c r="O929" s="364">
        <f t="shared" si="913"/>
        <v>0</v>
      </c>
      <c r="P929" s="364">
        <f t="shared" si="913"/>
        <v>0</v>
      </c>
      <c r="Q929" s="364">
        <f t="shared" si="913"/>
        <v>0</v>
      </c>
      <c r="R929" s="364">
        <f t="shared" si="913"/>
        <v>0</v>
      </c>
      <c r="S929" s="364">
        <f>SUM(S927:S928)</f>
        <v>0</v>
      </c>
      <c r="T929" s="353" t="s">
        <v>12</v>
      </c>
      <c r="U929" s="366"/>
      <c r="V929" s="141"/>
    </row>
    <row r="930" spans="2:22" ht="13.5" thickBot="1" x14ac:dyDescent="0.25">
      <c r="B930" s="364">
        <f t="shared" ref="B930:B931" si="914">SUM(C930:D930)</f>
        <v>10</v>
      </c>
      <c r="C930" s="364">
        <f t="shared" ref="C930:D931" si="915">R930+O930+L930+I930+F930</f>
        <v>10</v>
      </c>
      <c r="D930" s="364">
        <f t="shared" si="915"/>
        <v>0</v>
      </c>
      <c r="E930" s="364">
        <f t="shared" si="857"/>
        <v>10</v>
      </c>
      <c r="F930" s="364">
        <v>10</v>
      </c>
      <c r="G930" s="364">
        <v>0</v>
      </c>
      <c r="H930" s="364">
        <f t="shared" si="858"/>
        <v>0</v>
      </c>
      <c r="I930" s="364">
        <v>0</v>
      </c>
      <c r="J930" s="364">
        <v>0</v>
      </c>
      <c r="K930" s="364">
        <f t="shared" si="859"/>
        <v>0</v>
      </c>
      <c r="L930" s="364">
        <v>0</v>
      </c>
      <c r="M930" s="364">
        <v>0</v>
      </c>
      <c r="N930" s="364">
        <f t="shared" si="860"/>
        <v>0</v>
      </c>
      <c r="O930" s="364">
        <v>0</v>
      </c>
      <c r="P930" s="364">
        <v>0</v>
      </c>
      <c r="Q930" s="364">
        <f t="shared" si="861"/>
        <v>0</v>
      </c>
      <c r="R930" s="364">
        <v>0</v>
      </c>
      <c r="S930" s="364">
        <v>0</v>
      </c>
      <c r="T930" s="353" t="s">
        <v>146</v>
      </c>
      <c r="U930" s="365"/>
      <c r="V930" s="141"/>
    </row>
    <row r="931" spans="2:22" ht="13.5" thickBot="1" x14ac:dyDescent="0.25">
      <c r="B931" s="364">
        <f t="shared" si="914"/>
        <v>0</v>
      </c>
      <c r="C931" s="364">
        <f t="shared" si="915"/>
        <v>0</v>
      </c>
      <c r="D931" s="364">
        <f t="shared" si="915"/>
        <v>0</v>
      </c>
      <c r="E931" s="364">
        <f t="shared" si="857"/>
        <v>0</v>
      </c>
      <c r="F931" s="364">
        <v>0</v>
      </c>
      <c r="G931" s="364">
        <v>0</v>
      </c>
      <c r="H931" s="364">
        <f t="shared" si="858"/>
        <v>0</v>
      </c>
      <c r="I931" s="364">
        <v>0</v>
      </c>
      <c r="J931" s="364">
        <v>0</v>
      </c>
      <c r="K931" s="364">
        <f t="shared" si="859"/>
        <v>0</v>
      </c>
      <c r="L931" s="364">
        <v>0</v>
      </c>
      <c r="M931" s="364">
        <v>0</v>
      </c>
      <c r="N931" s="364">
        <f t="shared" si="860"/>
        <v>0</v>
      </c>
      <c r="O931" s="364">
        <v>0</v>
      </c>
      <c r="P931" s="364">
        <v>0</v>
      </c>
      <c r="Q931" s="364">
        <f t="shared" si="861"/>
        <v>0</v>
      </c>
      <c r="R931" s="364">
        <v>0</v>
      </c>
      <c r="S931" s="364">
        <v>0</v>
      </c>
      <c r="T931" s="353" t="s">
        <v>145</v>
      </c>
      <c r="U931" s="365" t="s">
        <v>330</v>
      </c>
      <c r="V931" s="141"/>
    </row>
    <row r="932" spans="2:22" ht="13.5" thickBot="1" x14ac:dyDescent="0.25">
      <c r="B932" s="364">
        <f t="shared" ref="B932:R932" si="916">SUM(B930:B931)</f>
        <v>10</v>
      </c>
      <c r="C932" s="364">
        <f t="shared" si="916"/>
        <v>10</v>
      </c>
      <c r="D932" s="364">
        <f t="shared" si="916"/>
        <v>0</v>
      </c>
      <c r="E932" s="364">
        <f t="shared" si="916"/>
        <v>10</v>
      </c>
      <c r="F932" s="364">
        <f t="shared" si="916"/>
        <v>10</v>
      </c>
      <c r="G932" s="364">
        <f t="shared" si="916"/>
        <v>0</v>
      </c>
      <c r="H932" s="364">
        <f t="shared" si="916"/>
        <v>0</v>
      </c>
      <c r="I932" s="364">
        <f t="shared" si="916"/>
        <v>0</v>
      </c>
      <c r="J932" s="364">
        <f t="shared" si="916"/>
        <v>0</v>
      </c>
      <c r="K932" s="364">
        <f t="shared" si="916"/>
        <v>0</v>
      </c>
      <c r="L932" s="364">
        <f t="shared" si="916"/>
        <v>0</v>
      </c>
      <c r="M932" s="364">
        <f t="shared" si="916"/>
        <v>0</v>
      </c>
      <c r="N932" s="364">
        <f t="shared" si="916"/>
        <v>0</v>
      </c>
      <c r="O932" s="364">
        <f t="shared" si="916"/>
        <v>0</v>
      </c>
      <c r="P932" s="364">
        <f t="shared" si="916"/>
        <v>0</v>
      </c>
      <c r="Q932" s="364">
        <f t="shared" si="916"/>
        <v>0</v>
      </c>
      <c r="R932" s="364">
        <f t="shared" si="916"/>
        <v>0</v>
      </c>
      <c r="S932" s="364">
        <f>SUM(S930:S931)</f>
        <v>0</v>
      </c>
      <c r="T932" s="353" t="s">
        <v>12</v>
      </c>
      <c r="U932" s="366"/>
      <c r="V932" s="141"/>
    </row>
    <row r="933" spans="2:22" ht="13.5" thickBot="1" x14ac:dyDescent="0.25">
      <c r="B933" s="364">
        <f t="shared" ref="B933:B934" si="917">SUM(C933:D933)</f>
        <v>6</v>
      </c>
      <c r="C933" s="364">
        <f t="shared" ref="C933:D934" si="918">R933+O933+L933+I933+F933</f>
        <v>6</v>
      </c>
      <c r="D933" s="364">
        <f t="shared" si="918"/>
        <v>0</v>
      </c>
      <c r="E933" s="364">
        <f t="shared" si="857"/>
        <v>6</v>
      </c>
      <c r="F933" s="364">
        <v>6</v>
      </c>
      <c r="G933" s="364">
        <v>0</v>
      </c>
      <c r="H933" s="364">
        <f t="shared" si="858"/>
        <v>0</v>
      </c>
      <c r="I933" s="364">
        <v>0</v>
      </c>
      <c r="J933" s="364">
        <v>0</v>
      </c>
      <c r="K933" s="364">
        <f t="shared" si="859"/>
        <v>0</v>
      </c>
      <c r="L933" s="364">
        <v>0</v>
      </c>
      <c r="M933" s="364">
        <v>0</v>
      </c>
      <c r="N933" s="364">
        <f t="shared" si="860"/>
        <v>0</v>
      </c>
      <c r="O933" s="364">
        <v>0</v>
      </c>
      <c r="P933" s="364">
        <v>0</v>
      </c>
      <c r="Q933" s="364">
        <f t="shared" si="861"/>
        <v>0</v>
      </c>
      <c r="R933" s="364">
        <v>0</v>
      </c>
      <c r="S933" s="364">
        <v>0</v>
      </c>
      <c r="T933" s="353" t="s">
        <v>146</v>
      </c>
      <c r="U933" s="365"/>
      <c r="V933" s="141"/>
    </row>
    <row r="934" spans="2:22" ht="13.5" thickBot="1" x14ac:dyDescent="0.25">
      <c r="B934" s="364">
        <f t="shared" si="917"/>
        <v>0</v>
      </c>
      <c r="C934" s="364">
        <f t="shared" si="918"/>
        <v>0</v>
      </c>
      <c r="D934" s="364">
        <f t="shared" si="918"/>
        <v>0</v>
      </c>
      <c r="E934" s="364">
        <f t="shared" si="857"/>
        <v>0</v>
      </c>
      <c r="F934" s="364">
        <v>0</v>
      </c>
      <c r="G934" s="364">
        <v>0</v>
      </c>
      <c r="H934" s="364">
        <f t="shared" si="858"/>
        <v>0</v>
      </c>
      <c r="I934" s="364">
        <v>0</v>
      </c>
      <c r="J934" s="364">
        <v>0</v>
      </c>
      <c r="K934" s="364">
        <f t="shared" si="859"/>
        <v>0</v>
      </c>
      <c r="L934" s="364">
        <v>0</v>
      </c>
      <c r="M934" s="364">
        <v>0</v>
      </c>
      <c r="N934" s="364">
        <f t="shared" si="860"/>
        <v>0</v>
      </c>
      <c r="O934" s="364">
        <v>0</v>
      </c>
      <c r="P934" s="364">
        <v>0</v>
      </c>
      <c r="Q934" s="364">
        <f t="shared" si="861"/>
        <v>0</v>
      </c>
      <c r="R934" s="364">
        <v>0</v>
      </c>
      <c r="S934" s="364">
        <v>0</v>
      </c>
      <c r="T934" s="353" t="s">
        <v>145</v>
      </c>
      <c r="U934" s="365" t="s">
        <v>331</v>
      </c>
      <c r="V934" s="141"/>
    </row>
    <row r="935" spans="2:22" ht="13.5" thickBot="1" x14ac:dyDescent="0.25">
      <c r="B935" s="364">
        <f t="shared" ref="B935:R935" si="919">SUM(B933:B934)</f>
        <v>6</v>
      </c>
      <c r="C935" s="364">
        <f t="shared" si="919"/>
        <v>6</v>
      </c>
      <c r="D935" s="364">
        <f t="shared" si="919"/>
        <v>0</v>
      </c>
      <c r="E935" s="364">
        <f t="shared" si="919"/>
        <v>6</v>
      </c>
      <c r="F935" s="364">
        <f t="shared" si="919"/>
        <v>6</v>
      </c>
      <c r="G935" s="364">
        <f t="shared" si="919"/>
        <v>0</v>
      </c>
      <c r="H935" s="364">
        <f t="shared" si="919"/>
        <v>0</v>
      </c>
      <c r="I935" s="364">
        <f t="shared" si="919"/>
        <v>0</v>
      </c>
      <c r="J935" s="364">
        <f t="shared" si="919"/>
        <v>0</v>
      </c>
      <c r="K935" s="364">
        <f t="shared" si="919"/>
        <v>0</v>
      </c>
      <c r="L935" s="364">
        <f t="shared" si="919"/>
        <v>0</v>
      </c>
      <c r="M935" s="364">
        <f t="shared" si="919"/>
        <v>0</v>
      </c>
      <c r="N935" s="364">
        <f t="shared" si="919"/>
        <v>0</v>
      </c>
      <c r="O935" s="364">
        <f t="shared" si="919"/>
        <v>0</v>
      </c>
      <c r="P935" s="364">
        <f t="shared" si="919"/>
        <v>0</v>
      </c>
      <c r="Q935" s="364">
        <f t="shared" si="919"/>
        <v>0</v>
      </c>
      <c r="R935" s="364">
        <f t="shared" si="919"/>
        <v>0</v>
      </c>
      <c r="S935" s="364">
        <f>SUM(S933:S934)</f>
        <v>0</v>
      </c>
      <c r="T935" s="353" t="s">
        <v>12</v>
      </c>
      <c r="U935" s="366"/>
      <c r="V935" s="141"/>
    </row>
    <row r="936" spans="2:22" ht="13.5" thickBot="1" x14ac:dyDescent="0.25">
      <c r="B936" s="364">
        <f t="shared" ref="B936:B937" si="920">SUM(C936:D936)</f>
        <v>7</v>
      </c>
      <c r="C936" s="364">
        <f t="shared" ref="C936:D937" si="921">R936+O936+L936+I936+F936</f>
        <v>7</v>
      </c>
      <c r="D936" s="364">
        <f t="shared" si="921"/>
        <v>0</v>
      </c>
      <c r="E936" s="364">
        <f t="shared" si="857"/>
        <v>7</v>
      </c>
      <c r="F936" s="364">
        <v>7</v>
      </c>
      <c r="G936" s="364">
        <v>0</v>
      </c>
      <c r="H936" s="364">
        <f t="shared" si="858"/>
        <v>0</v>
      </c>
      <c r="I936" s="364">
        <v>0</v>
      </c>
      <c r="J936" s="364">
        <v>0</v>
      </c>
      <c r="K936" s="364">
        <f t="shared" si="859"/>
        <v>0</v>
      </c>
      <c r="L936" s="364">
        <v>0</v>
      </c>
      <c r="M936" s="364">
        <v>0</v>
      </c>
      <c r="N936" s="364">
        <f t="shared" si="860"/>
        <v>0</v>
      </c>
      <c r="O936" s="364">
        <v>0</v>
      </c>
      <c r="P936" s="364">
        <v>0</v>
      </c>
      <c r="Q936" s="364">
        <f t="shared" si="861"/>
        <v>0</v>
      </c>
      <c r="R936" s="364">
        <v>0</v>
      </c>
      <c r="S936" s="364">
        <v>0</v>
      </c>
      <c r="T936" s="353" t="s">
        <v>146</v>
      </c>
      <c r="U936" s="365"/>
      <c r="V936" s="141"/>
    </row>
    <row r="937" spans="2:22" ht="13.5" thickBot="1" x14ac:dyDescent="0.25">
      <c r="B937" s="364">
        <f t="shared" si="920"/>
        <v>0</v>
      </c>
      <c r="C937" s="364">
        <f t="shared" si="921"/>
        <v>0</v>
      </c>
      <c r="D937" s="364">
        <f t="shared" si="921"/>
        <v>0</v>
      </c>
      <c r="E937" s="364">
        <f t="shared" si="857"/>
        <v>0</v>
      </c>
      <c r="F937" s="364">
        <v>0</v>
      </c>
      <c r="G937" s="364">
        <v>0</v>
      </c>
      <c r="H937" s="364">
        <f t="shared" si="858"/>
        <v>0</v>
      </c>
      <c r="I937" s="364">
        <v>0</v>
      </c>
      <c r="J937" s="364">
        <v>0</v>
      </c>
      <c r="K937" s="364">
        <f t="shared" si="859"/>
        <v>0</v>
      </c>
      <c r="L937" s="364">
        <v>0</v>
      </c>
      <c r="M937" s="364">
        <v>0</v>
      </c>
      <c r="N937" s="364">
        <f t="shared" si="860"/>
        <v>0</v>
      </c>
      <c r="O937" s="364">
        <v>0</v>
      </c>
      <c r="P937" s="364">
        <v>0</v>
      </c>
      <c r="Q937" s="364">
        <f t="shared" si="861"/>
        <v>0</v>
      </c>
      <c r="R937" s="364">
        <v>0</v>
      </c>
      <c r="S937" s="364">
        <v>0</v>
      </c>
      <c r="T937" s="353" t="s">
        <v>145</v>
      </c>
      <c r="U937" s="365" t="s">
        <v>332</v>
      </c>
      <c r="V937" s="141"/>
    </row>
    <row r="938" spans="2:22" ht="13.5" thickBot="1" x14ac:dyDescent="0.25">
      <c r="B938" s="364">
        <f t="shared" ref="B938:R938" si="922">SUM(B936:B937)</f>
        <v>7</v>
      </c>
      <c r="C938" s="364">
        <f t="shared" si="922"/>
        <v>7</v>
      </c>
      <c r="D938" s="364">
        <f t="shared" si="922"/>
        <v>0</v>
      </c>
      <c r="E938" s="364">
        <f t="shared" si="922"/>
        <v>7</v>
      </c>
      <c r="F938" s="364">
        <f t="shared" si="922"/>
        <v>7</v>
      </c>
      <c r="G938" s="364">
        <f t="shared" si="922"/>
        <v>0</v>
      </c>
      <c r="H938" s="364">
        <f t="shared" si="922"/>
        <v>0</v>
      </c>
      <c r="I938" s="364">
        <f t="shared" si="922"/>
        <v>0</v>
      </c>
      <c r="J938" s="364">
        <f t="shared" si="922"/>
        <v>0</v>
      </c>
      <c r="K938" s="364">
        <f t="shared" si="922"/>
        <v>0</v>
      </c>
      <c r="L938" s="364">
        <f t="shared" si="922"/>
        <v>0</v>
      </c>
      <c r="M938" s="364">
        <f t="shared" si="922"/>
        <v>0</v>
      </c>
      <c r="N938" s="364">
        <f t="shared" si="922"/>
        <v>0</v>
      </c>
      <c r="O938" s="364">
        <f t="shared" si="922"/>
        <v>0</v>
      </c>
      <c r="P938" s="364">
        <f t="shared" si="922"/>
        <v>0</v>
      </c>
      <c r="Q938" s="364">
        <f t="shared" si="922"/>
        <v>0</v>
      </c>
      <c r="R938" s="364">
        <f t="shared" si="922"/>
        <v>0</v>
      </c>
      <c r="S938" s="364">
        <f>SUM(S936:S937)</f>
        <v>0</v>
      </c>
      <c r="T938" s="353" t="s">
        <v>12</v>
      </c>
      <c r="U938" s="366"/>
      <c r="V938" s="141"/>
    </row>
    <row r="939" spans="2:22" ht="13.5" thickBot="1" x14ac:dyDescent="0.25">
      <c r="B939" s="364">
        <f t="shared" ref="B939:B940" si="923">SUM(C939:D939)</f>
        <v>5</v>
      </c>
      <c r="C939" s="364">
        <f t="shared" ref="C939:D940" si="924">R939+O939+L939+I939+F939</f>
        <v>5</v>
      </c>
      <c r="D939" s="364">
        <f t="shared" si="924"/>
        <v>0</v>
      </c>
      <c r="E939" s="364">
        <f t="shared" ref="E939:E940" si="925">SUM(F939:G939)</f>
        <v>5</v>
      </c>
      <c r="F939" s="364">
        <v>5</v>
      </c>
      <c r="G939" s="364">
        <v>0</v>
      </c>
      <c r="H939" s="364">
        <f t="shared" ref="H939:H940" si="926">SUM(I939:J939)</f>
        <v>0</v>
      </c>
      <c r="I939" s="364">
        <v>0</v>
      </c>
      <c r="J939" s="364">
        <v>0</v>
      </c>
      <c r="K939" s="364">
        <f t="shared" ref="K939:K940" si="927">SUM(L939:M939)</f>
        <v>0</v>
      </c>
      <c r="L939" s="364">
        <v>0</v>
      </c>
      <c r="M939" s="364">
        <v>0</v>
      </c>
      <c r="N939" s="364">
        <f t="shared" ref="N939:N940" si="928">SUM(O939:P939)</f>
        <v>0</v>
      </c>
      <c r="O939" s="364">
        <v>0</v>
      </c>
      <c r="P939" s="364">
        <v>0</v>
      </c>
      <c r="Q939" s="364">
        <f t="shared" ref="Q939:Q940" si="929">SUM(R939:S939)</f>
        <v>0</v>
      </c>
      <c r="R939" s="364">
        <v>0</v>
      </c>
      <c r="S939" s="364">
        <v>0</v>
      </c>
      <c r="T939" s="353" t="s">
        <v>146</v>
      </c>
      <c r="U939" s="365"/>
      <c r="V939" s="141"/>
    </row>
    <row r="940" spans="2:22" ht="13.5" thickBot="1" x14ac:dyDescent="0.25">
      <c r="B940" s="364">
        <f t="shared" si="923"/>
        <v>0</v>
      </c>
      <c r="C940" s="364">
        <f t="shared" si="924"/>
        <v>0</v>
      </c>
      <c r="D940" s="364">
        <f t="shared" si="924"/>
        <v>0</v>
      </c>
      <c r="E940" s="364">
        <f t="shared" si="925"/>
        <v>0</v>
      </c>
      <c r="F940" s="364">
        <v>0</v>
      </c>
      <c r="G940" s="364">
        <v>0</v>
      </c>
      <c r="H940" s="364">
        <f t="shared" si="926"/>
        <v>0</v>
      </c>
      <c r="I940" s="364">
        <v>0</v>
      </c>
      <c r="J940" s="364">
        <v>0</v>
      </c>
      <c r="K940" s="364">
        <f t="shared" si="927"/>
        <v>0</v>
      </c>
      <c r="L940" s="364">
        <v>0</v>
      </c>
      <c r="M940" s="364">
        <v>0</v>
      </c>
      <c r="N940" s="364">
        <f t="shared" si="928"/>
        <v>0</v>
      </c>
      <c r="O940" s="364">
        <v>0</v>
      </c>
      <c r="P940" s="364">
        <v>0</v>
      </c>
      <c r="Q940" s="364">
        <f t="shared" si="929"/>
        <v>0</v>
      </c>
      <c r="R940" s="364">
        <v>0</v>
      </c>
      <c r="S940" s="364">
        <v>0</v>
      </c>
      <c r="T940" s="353" t="s">
        <v>145</v>
      </c>
      <c r="U940" s="365" t="s">
        <v>333</v>
      </c>
      <c r="V940" s="141"/>
    </row>
    <row r="941" spans="2:22" ht="13.5" thickBot="1" x14ac:dyDescent="0.25">
      <c r="B941" s="364">
        <f t="shared" ref="B941:R941" si="930">SUM(B939:B940)</f>
        <v>5</v>
      </c>
      <c r="C941" s="364">
        <f t="shared" si="930"/>
        <v>5</v>
      </c>
      <c r="D941" s="364">
        <f t="shared" si="930"/>
        <v>0</v>
      </c>
      <c r="E941" s="364">
        <f t="shared" si="930"/>
        <v>5</v>
      </c>
      <c r="F941" s="364">
        <f t="shared" si="930"/>
        <v>5</v>
      </c>
      <c r="G941" s="364">
        <f t="shared" si="930"/>
        <v>0</v>
      </c>
      <c r="H941" s="364">
        <f t="shared" si="930"/>
        <v>0</v>
      </c>
      <c r="I941" s="364">
        <f t="shared" si="930"/>
        <v>0</v>
      </c>
      <c r="J941" s="364">
        <f t="shared" si="930"/>
        <v>0</v>
      </c>
      <c r="K941" s="364">
        <f t="shared" si="930"/>
        <v>0</v>
      </c>
      <c r="L941" s="364">
        <f t="shared" si="930"/>
        <v>0</v>
      </c>
      <c r="M941" s="364">
        <f t="shared" si="930"/>
        <v>0</v>
      </c>
      <c r="N941" s="364">
        <f t="shared" si="930"/>
        <v>0</v>
      </c>
      <c r="O941" s="364">
        <f t="shared" si="930"/>
        <v>0</v>
      </c>
      <c r="P941" s="364">
        <f t="shared" si="930"/>
        <v>0</v>
      </c>
      <c r="Q941" s="364">
        <f t="shared" si="930"/>
        <v>0</v>
      </c>
      <c r="R941" s="364">
        <f t="shared" si="930"/>
        <v>0</v>
      </c>
      <c r="S941" s="364">
        <f>SUM(S939:S940)</f>
        <v>0</v>
      </c>
      <c r="T941" s="353" t="s">
        <v>12</v>
      </c>
      <c r="U941" s="366"/>
      <c r="V941" s="141"/>
    </row>
    <row r="942" spans="2:22" ht="13.5" thickBot="1" x14ac:dyDescent="0.25">
      <c r="B942" s="364">
        <f t="shared" ref="B942:R944" si="931">B810+B813+B816+B819+B822+B825+B828+B831+B834+B837+B840+B843+B846+B849+B852+B855+B858+B861+B864+B867+B870+B873+B876+B879+B882+B885+B888+B891+B894+B897+B900+B903+B906+B909+B912+B915+B918+B921+B924+B927+B930+B933+B936+B939</f>
        <v>927</v>
      </c>
      <c r="C942" s="364">
        <f t="shared" si="931"/>
        <v>75</v>
      </c>
      <c r="D942" s="364">
        <f t="shared" si="931"/>
        <v>852</v>
      </c>
      <c r="E942" s="364">
        <f t="shared" si="931"/>
        <v>432</v>
      </c>
      <c r="F942" s="364">
        <f t="shared" si="931"/>
        <v>75</v>
      </c>
      <c r="G942" s="364">
        <f t="shared" si="931"/>
        <v>357</v>
      </c>
      <c r="H942" s="364">
        <f t="shared" si="931"/>
        <v>211</v>
      </c>
      <c r="I942" s="364">
        <f t="shared" si="931"/>
        <v>0</v>
      </c>
      <c r="J942" s="364">
        <f t="shared" si="931"/>
        <v>211</v>
      </c>
      <c r="K942" s="364">
        <f t="shared" si="931"/>
        <v>178</v>
      </c>
      <c r="L942" s="364">
        <f t="shared" si="931"/>
        <v>0</v>
      </c>
      <c r="M942" s="364">
        <f t="shared" si="931"/>
        <v>178</v>
      </c>
      <c r="N942" s="364">
        <f t="shared" si="931"/>
        <v>64</v>
      </c>
      <c r="O942" s="364">
        <f t="shared" si="931"/>
        <v>0</v>
      </c>
      <c r="P942" s="364">
        <f t="shared" si="931"/>
        <v>64</v>
      </c>
      <c r="Q942" s="364">
        <f t="shared" si="931"/>
        <v>42</v>
      </c>
      <c r="R942" s="364">
        <f t="shared" si="931"/>
        <v>0</v>
      </c>
      <c r="S942" s="364">
        <f>S810+S813+S816+S819+S822+S825+S828+S831+S834+S837+S840+S843+S846+S849+S852+S855+S858+S861+S864+S867+S870+S873+S876+S879+S882+S885+S888+S891+S894+S897+S900+S903+S906+S909+S912+S915+S918+S921+S924+S927+S930+S933+S936+S939</f>
        <v>42</v>
      </c>
      <c r="T942" s="353" t="s">
        <v>146</v>
      </c>
      <c r="U942" s="367"/>
      <c r="V942" s="141"/>
    </row>
    <row r="943" spans="2:22" ht="13.5" thickBot="1" x14ac:dyDescent="0.25">
      <c r="B943" s="364">
        <f t="shared" si="931"/>
        <v>3</v>
      </c>
      <c r="C943" s="364">
        <f t="shared" si="931"/>
        <v>0</v>
      </c>
      <c r="D943" s="364">
        <f t="shared" si="931"/>
        <v>3</v>
      </c>
      <c r="E943" s="364">
        <f t="shared" si="931"/>
        <v>3</v>
      </c>
      <c r="F943" s="364">
        <f t="shared" si="931"/>
        <v>0</v>
      </c>
      <c r="G943" s="364">
        <f t="shared" si="931"/>
        <v>3</v>
      </c>
      <c r="H943" s="364">
        <f t="shared" si="931"/>
        <v>0</v>
      </c>
      <c r="I943" s="364">
        <f t="shared" si="931"/>
        <v>0</v>
      </c>
      <c r="J943" s="364">
        <f t="shared" si="931"/>
        <v>0</v>
      </c>
      <c r="K943" s="364">
        <f t="shared" si="931"/>
        <v>0</v>
      </c>
      <c r="L943" s="364">
        <f t="shared" si="931"/>
        <v>0</v>
      </c>
      <c r="M943" s="364">
        <f t="shared" si="931"/>
        <v>0</v>
      </c>
      <c r="N943" s="364">
        <f t="shared" si="931"/>
        <v>0</v>
      </c>
      <c r="O943" s="364">
        <f t="shared" si="931"/>
        <v>0</v>
      </c>
      <c r="P943" s="364">
        <f t="shared" si="931"/>
        <v>0</v>
      </c>
      <c r="Q943" s="364">
        <f t="shared" si="931"/>
        <v>0</v>
      </c>
      <c r="R943" s="364">
        <f t="shared" si="931"/>
        <v>0</v>
      </c>
      <c r="S943" s="364">
        <f t="shared" ref="S943:S944" si="932">S811+S814+S817+S820+S823+S826+S829+S832+S835+S838+S841+S844+S847+S850+S853+S856+S859+S862+S865+S868+S871+S874+S877+S880+S883+S886+S889+S892+S895+S898+S901+S904+S907+S910+S913+S916+S919+S922+S925+S928+S931+S934+S937+S940</f>
        <v>0</v>
      </c>
      <c r="T943" s="353" t="s">
        <v>145</v>
      </c>
      <c r="U943" s="368" t="s">
        <v>188</v>
      </c>
      <c r="V943" s="141"/>
    </row>
    <row r="944" spans="2:22" ht="13.5" thickBot="1" x14ac:dyDescent="0.25">
      <c r="B944" s="364">
        <f t="shared" si="931"/>
        <v>930</v>
      </c>
      <c r="C944" s="364">
        <f t="shared" si="931"/>
        <v>75</v>
      </c>
      <c r="D944" s="364">
        <f t="shared" si="931"/>
        <v>855</v>
      </c>
      <c r="E944" s="364">
        <f t="shared" si="931"/>
        <v>435</v>
      </c>
      <c r="F944" s="364">
        <f t="shared" si="931"/>
        <v>75</v>
      </c>
      <c r="G944" s="364">
        <f t="shared" si="931"/>
        <v>360</v>
      </c>
      <c r="H944" s="364">
        <f t="shared" si="931"/>
        <v>211</v>
      </c>
      <c r="I944" s="364">
        <f t="shared" si="931"/>
        <v>0</v>
      </c>
      <c r="J944" s="364">
        <f t="shared" si="931"/>
        <v>211</v>
      </c>
      <c r="K944" s="364">
        <f t="shared" si="931"/>
        <v>178</v>
      </c>
      <c r="L944" s="364">
        <f t="shared" si="931"/>
        <v>0</v>
      </c>
      <c r="M944" s="364">
        <f t="shared" si="931"/>
        <v>178</v>
      </c>
      <c r="N944" s="364">
        <f t="shared" si="931"/>
        <v>64</v>
      </c>
      <c r="O944" s="364">
        <f t="shared" si="931"/>
        <v>0</v>
      </c>
      <c r="P944" s="364">
        <f t="shared" si="931"/>
        <v>64</v>
      </c>
      <c r="Q944" s="364">
        <f t="shared" si="931"/>
        <v>42</v>
      </c>
      <c r="R944" s="364">
        <f t="shared" si="931"/>
        <v>0</v>
      </c>
      <c r="S944" s="364">
        <f t="shared" si="932"/>
        <v>42</v>
      </c>
      <c r="T944" s="353" t="s">
        <v>12</v>
      </c>
      <c r="U944" s="363"/>
      <c r="V944" s="141"/>
    </row>
    <row r="945" spans="2:22" ht="13.5" thickBot="1" x14ac:dyDescent="0.25">
      <c r="B945" s="610"/>
      <c r="C945" s="610"/>
      <c r="D945" s="610"/>
      <c r="E945" s="610"/>
      <c r="F945" s="610"/>
      <c r="G945" s="610"/>
      <c r="H945" s="610"/>
      <c r="I945" s="610"/>
      <c r="J945" s="610"/>
      <c r="K945" s="610"/>
      <c r="L945" s="610"/>
      <c r="M945" s="610"/>
      <c r="N945" s="610"/>
      <c r="O945" s="610"/>
      <c r="P945" s="610"/>
      <c r="Q945" s="610"/>
      <c r="R945" s="610"/>
      <c r="S945" s="610"/>
      <c r="T945" s="610"/>
      <c r="U945" s="610"/>
      <c r="V945" s="141"/>
    </row>
    <row r="946" spans="2:22" ht="18" customHeight="1" thickBot="1" x14ac:dyDescent="0.25">
      <c r="B946" s="607" t="s">
        <v>4</v>
      </c>
      <c r="C946" s="607"/>
      <c r="D946" s="607"/>
      <c r="E946" s="607" t="s">
        <v>53</v>
      </c>
      <c r="F946" s="607"/>
      <c r="G946" s="607"/>
      <c r="H946" s="607" t="s">
        <v>61</v>
      </c>
      <c r="I946" s="607"/>
      <c r="J946" s="607"/>
      <c r="K946" s="607" t="s">
        <v>60</v>
      </c>
      <c r="L946" s="607"/>
      <c r="M946" s="607"/>
      <c r="N946" s="607" t="s">
        <v>57</v>
      </c>
      <c r="O946" s="607"/>
      <c r="P946" s="607"/>
      <c r="Q946" s="607" t="s">
        <v>56</v>
      </c>
      <c r="R946" s="607"/>
      <c r="S946" s="607"/>
      <c r="T946" s="608" t="s">
        <v>741</v>
      </c>
      <c r="U946" s="347" t="s">
        <v>144</v>
      </c>
      <c r="V946" s="141"/>
    </row>
    <row r="947" spans="2:22" ht="18" customHeight="1" thickBot="1" x14ac:dyDescent="0.25">
      <c r="B947" s="347" t="s">
        <v>227</v>
      </c>
      <c r="C947" s="347" t="s">
        <v>10</v>
      </c>
      <c r="D947" s="347" t="s">
        <v>9</v>
      </c>
      <c r="E947" s="347" t="s">
        <v>227</v>
      </c>
      <c r="F947" s="347" t="s">
        <v>10</v>
      </c>
      <c r="G947" s="347" t="s">
        <v>9</v>
      </c>
      <c r="H947" s="347" t="s">
        <v>227</v>
      </c>
      <c r="I947" s="347" t="s">
        <v>10</v>
      </c>
      <c r="J947" s="347" t="s">
        <v>9</v>
      </c>
      <c r="K947" s="347" t="s">
        <v>227</v>
      </c>
      <c r="L947" s="347" t="s">
        <v>10</v>
      </c>
      <c r="M947" s="347" t="s">
        <v>9</v>
      </c>
      <c r="N947" s="347" t="s">
        <v>227</v>
      </c>
      <c r="O947" s="347" t="s">
        <v>10</v>
      </c>
      <c r="P947" s="347" t="s">
        <v>9</v>
      </c>
      <c r="Q947" s="347" t="s">
        <v>227</v>
      </c>
      <c r="R947" s="347" t="s">
        <v>10</v>
      </c>
      <c r="S947" s="347" t="s">
        <v>9</v>
      </c>
      <c r="T947" s="609"/>
      <c r="U947" s="363" t="s">
        <v>152</v>
      </c>
      <c r="V947" s="141"/>
    </row>
    <row r="948" spans="2:22" ht="13.5" thickBot="1" x14ac:dyDescent="0.25">
      <c r="B948" s="364">
        <f>SUM(C948:D948)</f>
        <v>40</v>
      </c>
      <c r="C948" s="364">
        <f>R948+O948+L948+I948+F948</f>
        <v>18</v>
      </c>
      <c r="D948" s="364">
        <f>S948+P948+M948+J948+G948</f>
        <v>22</v>
      </c>
      <c r="E948" s="364">
        <f>SUM(F948:G948)</f>
        <v>18</v>
      </c>
      <c r="F948" s="364">
        <v>6</v>
      </c>
      <c r="G948" s="364">
        <v>12</v>
      </c>
      <c r="H948" s="364">
        <f>SUM(I948:J948)</f>
        <v>10</v>
      </c>
      <c r="I948" s="364">
        <v>4</v>
      </c>
      <c r="J948" s="364">
        <v>6</v>
      </c>
      <c r="K948" s="364">
        <f>SUM(L948:M948)</f>
        <v>10</v>
      </c>
      <c r="L948" s="364">
        <v>7</v>
      </c>
      <c r="M948" s="364">
        <v>3</v>
      </c>
      <c r="N948" s="364">
        <f>SUM(O948:P948)</f>
        <v>2</v>
      </c>
      <c r="O948" s="364">
        <v>1</v>
      </c>
      <c r="P948" s="364">
        <v>1</v>
      </c>
      <c r="Q948" s="364">
        <f>SUM(R948:S948)</f>
        <v>0</v>
      </c>
      <c r="R948" s="364">
        <v>0</v>
      </c>
      <c r="S948" s="364">
        <v>0</v>
      </c>
      <c r="T948" s="353" t="s">
        <v>146</v>
      </c>
      <c r="U948" s="365"/>
      <c r="V948" s="141"/>
    </row>
    <row r="949" spans="2:22" ht="13.5" thickBot="1" x14ac:dyDescent="0.25">
      <c r="B949" s="364">
        <f t="shared" ref="B949" si="933">SUM(C949:D949)</f>
        <v>91</v>
      </c>
      <c r="C949" s="364">
        <f t="shared" ref="C949:D949" si="934">R949+O949+L949+I949+F949</f>
        <v>32</v>
      </c>
      <c r="D949" s="364">
        <f t="shared" si="934"/>
        <v>59</v>
      </c>
      <c r="E949" s="364">
        <f t="shared" ref="E949" si="935">SUM(F949:G949)</f>
        <v>20</v>
      </c>
      <c r="F949" s="364">
        <v>5</v>
      </c>
      <c r="G949" s="364">
        <v>15</v>
      </c>
      <c r="H949" s="364">
        <f t="shared" ref="H949" si="936">SUM(I949:J949)</f>
        <v>29</v>
      </c>
      <c r="I949" s="364">
        <v>9</v>
      </c>
      <c r="J949" s="364">
        <v>20</v>
      </c>
      <c r="K949" s="364">
        <f t="shared" ref="K949" si="937">SUM(L949:M949)</f>
        <v>40</v>
      </c>
      <c r="L949" s="364">
        <v>18</v>
      </c>
      <c r="M949" s="364">
        <v>22</v>
      </c>
      <c r="N949" s="364">
        <f t="shared" ref="N949" si="938">SUM(O949:P949)</f>
        <v>2</v>
      </c>
      <c r="O949" s="364">
        <v>0</v>
      </c>
      <c r="P949" s="364">
        <v>2</v>
      </c>
      <c r="Q949" s="364">
        <f t="shared" ref="Q949" si="939">SUM(R949:S949)</f>
        <v>0</v>
      </c>
      <c r="R949" s="364">
        <v>0</v>
      </c>
      <c r="S949" s="364">
        <v>0</v>
      </c>
      <c r="T949" s="353" t="s">
        <v>145</v>
      </c>
      <c r="U949" s="365" t="s">
        <v>336</v>
      </c>
      <c r="V949" s="141"/>
    </row>
    <row r="950" spans="2:22" ht="13.5" thickBot="1" x14ac:dyDescent="0.25">
      <c r="B950" s="364">
        <f t="shared" ref="B950:R950" si="940">SUM(B948:B949)</f>
        <v>131</v>
      </c>
      <c r="C950" s="364">
        <f t="shared" si="940"/>
        <v>50</v>
      </c>
      <c r="D950" s="364">
        <f t="shared" si="940"/>
        <v>81</v>
      </c>
      <c r="E950" s="364">
        <f t="shared" si="940"/>
        <v>38</v>
      </c>
      <c r="F950" s="364">
        <f t="shared" si="940"/>
        <v>11</v>
      </c>
      <c r="G950" s="364">
        <f t="shared" si="940"/>
        <v>27</v>
      </c>
      <c r="H950" s="364">
        <f t="shared" si="940"/>
        <v>39</v>
      </c>
      <c r="I950" s="364">
        <f t="shared" si="940"/>
        <v>13</v>
      </c>
      <c r="J950" s="364">
        <f t="shared" si="940"/>
        <v>26</v>
      </c>
      <c r="K950" s="364">
        <f t="shared" si="940"/>
        <v>50</v>
      </c>
      <c r="L950" s="364">
        <f t="shared" si="940"/>
        <v>25</v>
      </c>
      <c r="M950" s="364">
        <f t="shared" si="940"/>
        <v>25</v>
      </c>
      <c r="N950" s="364">
        <f t="shared" si="940"/>
        <v>4</v>
      </c>
      <c r="O950" s="364">
        <f t="shared" si="940"/>
        <v>1</v>
      </c>
      <c r="P950" s="364">
        <f t="shared" si="940"/>
        <v>3</v>
      </c>
      <c r="Q950" s="364">
        <f t="shared" si="940"/>
        <v>0</v>
      </c>
      <c r="R950" s="364">
        <f t="shared" si="940"/>
        <v>0</v>
      </c>
      <c r="S950" s="364">
        <f>SUM(S948:S949)</f>
        <v>0</v>
      </c>
      <c r="T950" s="353" t="s">
        <v>12</v>
      </c>
      <c r="U950" s="366"/>
      <c r="V950" s="141"/>
    </row>
    <row r="951" spans="2:22" ht="13.5" thickBot="1" x14ac:dyDescent="0.25">
      <c r="B951" s="364">
        <f t="shared" ref="B951:R953" si="941">B948</f>
        <v>40</v>
      </c>
      <c r="C951" s="364">
        <f t="shared" si="941"/>
        <v>18</v>
      </c>
      <c r="D951" s="364">
        <f t="shared" si="941"/>
        <v>22</v>
      </c>
      <c r="E951" s="364">
        <f t="shared" si="941"/>
        <v>18</v>
      </c>
      <c r="F951" s="364">
        <f t="shared" si="941"/>
        <v>6</v>
      </c>
      <c r="G951" s="364">
        <f t="shared" si="941"/>
        <v>12</v>
      </c>
      <c r="H951" s="364">
        <f t="shared" si="941"/>
        <v>10</v>
      </c>
      <c r="I951" s="364">
        <f t="shared" si="941"/>
        <v>4</v>
      </c>
      <c r="J951" s="364">
        <f t="shared" si="941"/>
        <v>6</v>
      </c>
      <c r="K951" s="364">
        <f t="shared" si="941"/>
        <v>10</v>
      </c>
      <c r="L951" s="364">
        <f t="shared" si="941"/>
        <v>7</v>
      </c>
      <c r="M951" s="364">
        <f t="shared" si="941"/>
        <v>3</v>
      </c>
      <c r="N951" s="364">
        <f t="shared" si="941"/>
        <v>2</v>
      </c>
      <c r="O951" s="364">
        <f t="shared" si="941"/>
        <v>1</v>
      </c>
      <c r="P951" s="364">
        <f t="shared" si="941"/>
        <v>1</v>
      </c>
      <c r="Q951" s="364">
        <f t="shared" si="941"/>
        <v>0</v>
      </c>
      <c r="R951" s="364">
        <f t="shared" si="941"/>
        <v>0</v>
      </c>
      <c r="S951" s="364">
        <f>S948</f>
        <v>0</v>
      </c>
      <c r="T951" s="353" t="s">
        <v>146</v>
      </c>
      <c r="U951" s="367"/>
      <c r="V951" s="141"/>
    </row>
    <row r="952" spans="2:22" ht="13.5" thickBot="1" x14ac:dyDescent="0.25">
      <c r="B952" s="364">
        <f t="shared" si="941"/>
        <v>91</v>
      </c>
      <c r="C952" s="364">
        <f t="shared" si="941"/>
        <v>32</v>
      </c>
      <c r="D952" s="364">
        <f t="shared" si="941"/>
        <v>59</v>
      </c>
      <c r="E952" s="364">
        <f t="shared" si="941"/>
        <v>20</v>
      </c>
      <c r="F952" s="364">
        <f t="shared" si="941"/>
        <v>5</v>
      </c>
      <c r="G952" s="364">
        <f t="shared" si="941"/>
        <v>15</v>
      </c>
      <c r="H952" s="364">
        <f t="shared" si="941"/>
        <v>29</v>
      </c>
      <c r="I952" s="364">
        <f t="shared" si="941"/>
        <v>9</v>
      </c>
      <c r="J952" s="364">
        <f t="shared" si="941"/>
        <v>20</v>
      </c>
      <c r="K952" s="364">
        <f t="shared" si="941"/>
        <v>40</v>
      </c>
      <c r="L952" s="364">
        <f t="shared" si="941"/>
        <v>18</v>
      </c>
      <c r="M952" s="364">
        <f t="shared" si="941"/>
        <v>22</v>
      </c>
      <c r="N952" s="364">
        <f t="shared" si="941"/>
        <v>2</v>
      </c>
      <c r="O952" s="364">
        <f t="shared" si="941"/>
        <v>0</v>
      </c>
      <c r="P952" s="364">
        <f t="shared" si="941"/>
        <v>2</v>
      </c>
      <c r="Q952" s="364">
        <f t="shared" si="941"/>
        <v>0</v>
      </c>
      <c r="R952" s="364">
        <f t="shared" si="941"/>
        <v>0</v>
      </c>
      <c r="S952" s="364">
        <f t="shared" ref="S952:S953" si="942">S949</f>
        <v>0</v>
      </c>
      <c r="T952" s="353" t="s">
        <v>145</v>
      </c>
      <c r="U952" s="368" t="s">
        <v>188</v>
      </c>
      <c r="V952" s="141"/>
    </row>
    <row r="953" spans="2:22" ht="13.5" thickBot="1" x14ac:dyDescent="0.25">
      <c r="B953" s="364">
        <f t="shared" si="941"/>
        <v>131</v>
      </c>
      <c r="C953" s="364">
        <f t="shared" si="941"/>
        <v>50</v>
      </c>
      <c r="D953" s="364">
        <f t="shared" si="941"/>
        <v>81</v>
      </c>
      <c r="E953" s="364">
        <f t="shared" si="941"/>
        <v>38</v>
      </c>
      <c r="F953" s="364">
        <f t="shared" si="941"/>
        <v>11</v>
      </c>
      <c r="G953" s="364">
        <f t="shared" si="941"/>
        <v>27</v>
      </c>
      <c r="H953" s="364">
        <f t="shared" si="941"/>
        <v>39</v>
      </c>
      <c r="I953" s="364">
        <f t="shared" si="941"/>
        <v>13</v>
      </c>
      <c r="J953" s="364">
        <f t="shared" si="941"/>
        <v>26</v>
      </c>
      <c r="K953" s="364">
        <f t="shared" si="941"/>
        <v>50</v>
      </c>
      <c r="L953" s="364">
        <f t="shared" si="941"/>
        <v>25</v>
      </c>
      <c r="M953" s="364">
        <f t="shared" si="941"/>
        <v>25</v>
      </c>
      <c r="N953" s="364">
        <f t="shared" si="941"/>
        <v>4</v>
      </c>
      <c r="O953" s="364">
        <f t="shared" si="941"/>
        <v>1</v>
      </c>
      <c r="P953" s="364">
        <f t="shared" si="941"/>
        <v>3</v>
      </c>
      <c r="Q953" s="364">
        <f t="shared" si="941"/>
        <v>0</v>
      </c>
      <c r="R953" s="364">
        <f t="shared" si="941"/>
        <v>0</v>
      </c>
      <c r="S953" s="364">
        <f t="shared" si="942"/>
        <v>0</v>
      </c>
      <c r="T953" s="353" t="s">
        <v>12</v>
      </c>
      <c r="U953" s="363"/>
      <c r="V953" s="141"/>
    </row>
    <row r="954" spans="2:22" ht="13.5" thickBot="1" x14ac:dyDescent="0.25">
      <c r="B954" s="610"/>
      <c r="C954" s="610"/>
      <c r="D954" s="610"/>
      <c r="E954" s="610"/>
      <c r="F954" s="610"/>
      <c r="G954" s="610"/>
      <c r="H954" s="610"/>
      <c r="I954" s="610"/>
      <c r="J954" s="610"/>
      <c r="K954" s="610"/>
      <c r="L954" s="610"/>
      <c r="M954" s="610"/>
      <c r="N954" s="610"/>
      <c r="O954" s="610"/>
      <c r="P954" s="610"/>
      <c r="Q954" s="610"/>
      <c r="R954" s="610"/>
      <c r="S954" s="610"/>
      <c r="T954" s="610"/>
      <c r="U954" s="610"/>
      <c r="V954" s="141"/>
    </row>
    <row r="955" spans="2:22" ht="18" customHeight="1" thickBot="1" x14ac:dyDescent="0.25">
      <c r="B955" s="607" t="s">
        <v>4</v>
      </c>
      <c r="C955" s="607"/>
      <c r="D955" s="607"/>
      <c r="E955" s="607" t="s">
        <v>53</v>
      </c>
      <c r="F955" s="607"/>
      <c r="G955" s="607"/>
      <c r="H955" s="607" t="s">
        <v>61</v>
      </c>
      <c r="I955" s="607"/>
      <c r="J955" s="607"/>
      <c r="K955" s="607" t="s">
        <v>60</v>
      </c>
      <c r="L955" s="607"/>
      <c r="M955" s="607"/>
      <c r="N955" s="607" t="s">
        <v>57</v>
      </c>
      <c r="O955" s="607"/>
      <c r="P955" s="607"/>
      <c r="Q955" s="607" t="s">
        <v>56</v>
      </c>
      <c r="R955" s="607"/>
      <c r="S955" s="607"/>
      <c r="T955" s="608" t="s">
        <v>741</v>
      </c>
      <c r="U955" s="347" t="s">
        <v>144</v>
      </c>
      <c r="V955" s="141"/>
    </row>
    <row r="956" spans="2:22" ht="18" customHeight="1" thickBot="1" x14ac:dyDescent="0.25">
      <c r="B956" s="347" t="s">
        <v>227</v>
      </c>
      <c r="C956" s="347" t="s">
        <v>10</v>
      </c>
      <c r="D956" s="347" t="s">
        <v>9</v>
      </c>
      <c r="E956" s="347" t="s">
        <v>227</v>
      </c>
      <c r="F956" s="347" t="s">
        <v>10</v>
      </c>
      <c r="G956" s="347" t="s">
        <v>9</v>
      </c>
      <c r="H956" s="347" t="s">
        <v>227</v>
      </c>
      <c r="I956" s="347" t="s">
        <v>10</v>
      </c>
      <c r="J956" s="347" t="s">
        <v>9</v>
      </c>
      <c r="K956" s="347" t="s">
        <v>227</v>
      </c>
      <c r="L956" s="347" t="s">
        <v>10</v>
      </c>
      <c r="M956" s="347" t="s">
        <v>9</v>
      </c>
      <c r="N956" s="347" t="s">
        <v>227</v>
      </c>
      <c r="O956" s="347" t="s">
        <v>10</v>
      </c>
      <c r="P956" s="347" t="s">
        <v>9</v>
      </c>
      <c r="Q956" s="347" t="s">
        <v>227</v>
      </c>
      <c r="R956" s="347" t="s">
        <v>10</v>
      </c>
      <c r="S956" s="347" t="s">
        <v>9</v>
      </c>
      <c r="T956" s="609"/>
      <c r="U956" s="363" t="s">
        <v>228</v>
      </c>
      <c r="V956" s="141"/>
    </row>
    <row r="957" spans="2:22" ht="13.5" thickBot="1" x14ac:dyDescent="0.25">
      <c r="B957" s="364">
        <f>SUM(C957:D957)</f>
        <v>96</v>
      </c>
      <c r="C957" s="364">
        <f>R957+O957+L957+I957+F957</f>
        <v>0</v>
      </c>
      <c r="D957" s="364">
        <f>S957+P957+M957+J957+G957</f>
        <v>96</v>
      </c>
      <c r="E957" s="364">
        <f>SUM(F957:G957)</f>
        <v>25</v>
      </c>
      <c r="F957" s="364">
        <v>0</v>
      </c>
      <c r="G957" s="364">
        <v>25</v>
      </c>
      <c r="H957" s="364">
        <f>SUM(I957:J957)</f>
        <v>35</v>
      </c>
      <c r="I957" s="364">
        <v>0</v>
      </c>
      <c r="J957" s="364">
        <v>35</v>
      </c>
      <c r="K957" s="364">
        <f>SUM(L957:M957)</f>
        <v>30</v>
      </c>
      <c r="L957" s="364">
        <v>0</v>
      </c>
      <c r="M957" s="364">
        <v>30</v>
      </c>
      <c r="N957" s="364">
        <f>SUM(O957:P957)</f>
        <v>4</v>
      </c>
      <c r="O957" s="364">
        <v>0</v>
      </c>
      <c r="P957" s="364">
        <v>4</v>
      </c>
      <c r="Q957" s="364">
        <f>SUM(R957:S957)</f>
        <v>2</v>
      </c>
      <c r="R957" s="364">
        <v>0</v>
      </c>
      <c r="S957" s="364">
        <v>2</v>
      </c>
      <c r="T957" s="353" t="s">
        <v>146</v>
      </c>
      <c r="U957" s="365"/>
      <c r="V957" s="141"/>
    </row>
    <row r="958" spans="2:22" ht="13.5" thickBot="1" x14ac:dyDescent="0.25">
      <c r="B958" s="364">
        <f t="shared" ref="B958:B967" si="943">SUM(C958:D958)</f>
        <v>12</v>
      </c>
      <c r="C958" s="364">
        <f t="shared" ref="C958:D967" si="944">R958+O958+L958+I958+F958</f>
        <v>0</v>
      </c>
      <c r="D958" s="364">
        <f t="shared" si="944"/>
        <v>12</v>
      </c>
      <c r="E958" s="364">
        <f t="shared" ref="E958:E967" si="945">SUM(F958:G958)</f>
        <v>0</v>
      </c>
      <c r="F958" s="364">
        <v>0</v>
      </c>
      <c r="G958" s="364">
        <v>0</v>
      </c>
      <c r="H958" s="364">
        <f t="shared" ref="H958:H967" si="946">SUM(I958:J958)</f>
        <v>2</v>
      </c>
      <c r="I958" s="364">
        <v>0</v>
      </c>
      <c r="J958" s="364">
        <v>2</v>
      </c>
      <c r="K958" s="364">
        <f t="shared" ref="K958:K967" si="947">SUM(L958:M958)</f>
        <v>10</v>
      </c>
      <c r="L958" s="364">
        <v>0</v>
      </c>
      <c r="M958" s="364">
        <v>10</v>
      </c>
      <c r="N958" s="364">
        <f t="shared" ref="N958:N967" si="948">SUM(O958:P958)</f>
        <v>0</v>
      </c>
      <c r="O958" s="364">
        <v>0</v>
      </c>
      <c r="P958" s="364">
        <v>0</v>
      </c>
      <c r="Q958" s="364">
        <f t="shared" ref="Q958:Q967" si="949">SUM(R958:S958)</f>
        <v>0</v>
      </c>
      <c r="R958" s="364">
        <v>0</v>
      </c>
      <c r="S958" s="364">
        <v>0</v>
      </c>
      <c r="T958" s="353" t="s">
        <v>145</v>
      </c>
      <c r="U958" s="365" t="s">
        <v>334</v>
      </c>
      <c r="V958" s="141"/>
    </row>
    <row r="959" spans="2:22" ht="13.5" thickBot="1" x14ac:dyDescent="0.25">
      <c r="B959" s="364">
        <f t="shared" ref="B959:R959" si="950">SUM(B957:B958)</f>
        <v>108</v>
      </c>
      <c r="C959" s="364">
        <f t="shared" si="950"/>
        <v>0</v>
      </c>
      <c r="D959" s="364">
        <f t="shared" si="950"/>
        <v>108</v>
      </c>
      <c r="E959" s="364">
        <f t="shared" si="950"/>
        <v>25</v>
      </c>
      <c r="F959" s="364">
        <f t="shared" si="950"/>
        <v>0</v>
      </c>
      <c r="G959" s="364">
        <f t="shared" si="950"/>
        <v>25</v>
      </c>
      <c r="H959" s="364">
        <f t="shared" si="950"/>
        <v>37</v>
      </c>
      <c r="I959" s="364">
        <f t="shared" si="950"/>
        <v>0</v>
      </c>
      <c r="J959" s="364">
        <f t="shared" si="950"/>
        <v>37</v>
      </c>
      <c r="K959" s="364">
        <f t="shared" si="950"/>
        <v>40</v>
      </c>
      <c r="L959" s="364">
        <f t="shared" si="950"/>
        <v>0</v>
      </c>
      <c r="M959" s="364">
        <f t="shared" si="950"/>
        <v>40</v>
      </c>
      <c r="N959" s="364">
        <f t="shared" si="950"/>
        <v>4</v>
      </c>
      <c r="O959" s="364">
        <f t="shared" si="950"/>
        <v>0</v>
      </c>
      <c r="P959" s="364">
        <f t="shared" si="950"/>
        <v>4</v>
      </c>
      <c r="Q959" s="364">
        <f t="shared" si="950"/>
        <v>2</v>
      </c>
      <c r="R959" s="364">
        <f t="shared" si="950"/>
        <v>0</v>
      </c>
      <c r="S959" s="364">
        <f>SUM(S957:S958)</f>
        <v>2</v>
      </c>
      <c r="T959" s="353" t="s">
        <v>12</v>
      </c>
      <c r="U959" s="366"/>
      <c r="V959" s="141"/>
    </row>
    <row r="960" spans="2:22" ht="13.5" thickBot="1" x14ac:dyDescent="0.25">
      <c r="B960" s="364">
        <f t="shared" si="943"/>
        <v>75</v>
      </c>
      <c r="C960" s="364">
        <f t="shared" si="944"/>
        <v>0</v>
      </c>
      <c r="D960" s="364">
        <f t="shared" si="944"/>
        <v>75</v>
      </c>
      <c r="E960" s="364">
        <f t="shared" si="945"/>
        <v>36</v>
      </c>
      <c r="F960" s="364">
        <v>0</v>
      </c>
      <c r="G960" s="364">
        <v>36</v>
      </c>
      <c r="H960" s="364">
        <f t="shared" si="946"/>
        <v>6</v>
      </c>
      <c r="I960" s="364">
        <v>0</v>
      </c>
      <c r="J960" s="364">
        <v>6</v>
      </c>
      <c r="K960" s="364">
        <f t="shared" si="947"/>
        <v>30</v>
      </c>
      <c r="L960" s="364">
        <v>0</v>
      </c>
      <c r="M960" s="364">
        <v>30</v>
      </c>
      <c r="N960" s="364">
        <f t="shared" si="948"/>
        <v>2</v>
      </c>
      <c r="O960" s="364">
        <v>0</v>
      </c>
      <c r="P960" s="364">
        <v>2</v>
      </c>
      <c r="Q960" s="364">
        <f t="shared" si="949"/>
        <v>1</v>
      </c>
      <c r="R960" s="364">
        <v>0</v>
      </c>
      <c r="S960" s="364">
        <v>1</v>
      </c>
      <c r="T960" s="353" t="s">
        <v>146</v>
      </c>
      <c r="U960" s="365"/>
      <c r="V960" s="141"/>
    </row>
    <row r="961" spans="2:22" ht="13.5" thickBot="1" x14ac:dyDescent="0.25">
      <c r="B961" s="364">
        <f t="shared" si="943"/>
        <v>9</v>
      </c>
      <c r="C961" s="364">
        <f t="shared" si="944"/>
        <v>0</v>
      </c>
      <c r="D961" s="364">
        <f t="shared" si="944"/>
        <v>9</v>
      </c>
      <c r="E961" s="364">
        <f t="shared" si="945"/>
        <v>1</v>
      </c>
      <c r="F961" s="364">
        <v>0</v>
      </c>
      <c r="G961" s="364">
        <v>1</v>
      </c>
      <c r="H961" s="364">
        <f t="shared" si="946"/>
        <v>0</v>
      </c>
      <c r="I961" s="364">
        <v>0</v>
      </c>
      <c r="J961" s="364">
        <v>0</v>
      </c>
      <c r="K961" s="364">
        <f t="shared" si="947"/>
        <v>5</v>
      </c>
      <c r="L961" s="364">
        <v>0</v>
      </c>
      <c r="M961" s="364">
        <v>5</v>
      </c>
      <c r="N961" s="364">
        <f t="shared" si="948"/>
        <v>3</v>
      </c>
      <c r="O961" s="364">
        <v>0</v>
      </c>
      <c r="P961" s="364">
        <v>3</v>
      </c>
      <c r="Q961" s="364">
        <f t="shared" si="949"/>
        <v>0</v>
      </c>
      <c r="R961" s="364">
        <v>0</v>
      </c>
      <c r="S961" s="364">
        <v>0</v>
      </c>
      <c r="T961" s="353" t="s">
        <v>145</v>
      </c>
      <c r="U961" s="365" t="s">
        <v>335</v>
      </c>
      <c r="V961" s="141"/>
    </row>
    <row r="962" spans="2:22" ht="13.5" thickBot="1" x14ac:dyDescent="0.25">
      <c r="B962" s="364">
        <f t="shared" ref="B962:R962" si="951">SUM(B960:B961)</f>
        <v>84</v>
      </c>
      <c r="C962" s="364">
        <f t="shared" si="951"/>
        <v>0</v>
      </c>
      <c r="D962" s="364">
        <f t="shared" si="951"/>
        <v>84</v>
      </c>
      <c r="E962" s="364">
        <f t="shared" si="951"/>
        <v>37</v>
      </c>
      <c r="F962" s="364">
        <f t="shared" si="951"/>
        <v>0</v>
      </c>
      <c r="G962" s="364">
        <f t="shared" si="951"/>
        <v>37</v>
      </c>
      <c r="H962" s="364">
        <f t="shared" si="951"/>
        <v>6</v>
      </c>
      <c r="I962" s="364">
        <f t="shared" si="951"/>
        <v>0</v>
      </c>
      <c r="J962" s="364">
        <f t="shared" si="951"/>
        <v>6</v>
      </c>
      <c r="K962" s="364">
        <f t="shared" si="951"/>
        <v>35</v>
      </c>
      <c r="L962" s="364">
        <f t="shared" si="951"/>
        <v>0</v>
      </c>
      <c r="M962" s="364">
        <f t="shared" si="951"/>
        <v>35</v>
      </c>
      <c r="N962" s="364">
        <f t="shared" si="951"/>
        <v>5</v>
      </c>
      <c r="O962" s="364">
        <f t="shared" si="951"/>
        <v>0</v>
      </c>
      <c r="P962" s="364">
        <f t="shared" si="951"/>
        <v>5</v>
      </c>
      <c r="Q962" s="364">
        <f t="shared" si="951"/>
        <v>1</v>
      </c>
      <c r="R962" s="364">
        <f t="shared" si="951"/>
        <v>0</v>
      </c>
      <c r="S962" s="364">
        <f>SUM(S960:S961)</f>
        <v>1</v>
      </c>
      <c r="T962" s="353" t="s">
        <v>12</v>
      </c>
      <c r="U962" s="366"/>
      <c r="V962" s="141"/>
    </row>
    <row r="963" spans="2:22" ht="13.5" thickBot="1" x14ac:dyDescent="0.25">
      <c r="B963" s="364">
        <f t="shared" si="943"/>
        <v>36</v>
      </c>
      <c r="C963" s="364">
        <f t="shared" si="944"/>
        <v>11</v>
      </c>
      <c r="D963" s="364">
        <f t="shared" si="944"/>
        <v>25</v>
      </c>
      <c r="E963" s="364">
        <f t="shared" si="945"/>
        <v>10</v>
      </c>
      <c r="F963" s="364">
        <v>2</v>
      </c>
      <c r="G963" s="364">
        <v>8</v>
      </c>
      <c r="H963" s="364">
        <f t="shared" si="946"/>
        <v>5</v>
      </c>
      <c r="I963" s="364">
        <v>0</v>
      </c>
      <c r="J963" s="364">
        <v>5</v>
      </c>
      <c r="K963" s="364">
        <f t="shared" si="947"/>
        <v>18</v>
      </c>
      <c r="L963" s="364">
        <v>9</v>
      </c>
      <c r="M963" s="364">
        <v>9</v>
      </c>
      <c r="N963" s="364">
        <f t="shared" si="948"/>
        <v>2</v>
      </c>
      <c r="O963" s="364">
        <v>0</v>
      </c>
      <c r="P963" s="364">
        <v>2</v>
      </c>
      <c r="Q963" s="364">
        <f t="shared" si="949"/>
        <v>1</v>
      </c>
      <c r="R963" s="364">
        <v>0</v>
      </c>
      <c r="S963" s="364">
        <v>1</v>
      </c>
      <c r="T963" s="353" t="s">
        <v>146</v>
      </c>
      <c r="U963" s="365"/>
      <c r="V963" s="141"/>
    </row>
    <row r="964" spans="2:22" ht="13.5" thickBot="1" x14ac:dyDescent="0.25">
      <c r="B964" s="364">
        <f t="shared" si="943"/>
        <v>4</v>
      </c>
      <c r="C964" s="364">
        <f t="shared" si="944"/>
        <v>2</v>
      </c>
      <c r="D964" s="364">
        <f t="shared" si="944"/>
        <v>2</v>
      </c>
      <c r="E964" s="364">
        <f t="shared" si="945"/>
        <v>0</v>
      </c>
      <c r="F964" s="364">
        <v>0</v>
      </c>
      <c r="G964" s="364">
        <v>0</v>
      </c>
      <c r="H964" s="364">
        <f t="shared" si="946"/>
        <v>0</v>
      </c>
      <c r="I964" s="364">
        <v>0</v>
      </c>
      <c r="J964" s="364">
        <v>0</v>
      </c>
      <c r="K964" s="364">
        <f t="shared" si="947"/>
        <v>4</v>
      </c>
      <c r="L964" s="364">
        <v>2</v>
      </c>
      <c r="M964" s="364">
        <v>2</v>
      </c>
      <c r="N964" s="364">
        <f t="shared" si="948"/>
        <v>0</v>
      </c>
      <c r="O964" s="364">
        <v>0</v>
      </c>
      <c r="P964" s="364">
        <v>0</v>
      </c>
      <c r="Q964" s="364">
        <f t="shared" si="949"/>
        <v>0</v>
      </c>
      <c r="R964" s="364">
        <v>0</v>
      </c>
      <c r="S964" s="364">
        <v>0</v>
      </c>
      <c r="T964" s="353" t="s">
        <v>145</v>
      </c>
      <c r="U964" s="365" t="s">
        <v>572</v>
      </c>
      <c r="V964" s="141"/>
    </row>
    <row r="965" spans="2:22" ht="13.5" thickBot="1" x14ac:dyDescent="0.25">
      <c r="B965" s="364">
        <f t="shared" ref="B965:R965" si="952">SUM(B963:B964)</f>
        <v>40</v>
      </c>
      <c r="C965" s="364">
        <f t="shared" si="952"/>
        <v>13</v>
      </c>
      <c r="D965" s="364">
        <f t="shared" si="952"/>
        <v>27</v>
      </c>
      <c r="E965" s="364">
        <f t="shared" si="952"/>
        <v>10</v>
      </c>
      <c r="F965" s="364">
        <f t="shared" si="952"/>
        <v>2</v>
      </c>
      <c r="G965" s="364">
        <f t="shared" si="952"/>
        <v>8</v>
      </c>
      <c r="H965" s="364">
        <f t="shared" si="952"/>
        <v>5</v>
      </c>
      <c r="I965" s="364">
        <f t="shared" si="952"/>
        <v>0</v>
      </c>
      <c r="J965" s="364">
        <f t="shared" si="952"/>
        <v>5</v>
      </c>
      <c r="K965" s="364">
        <f t="shared" si="952"/>
        <v>22</v>
      </c>
      <c r="L965" s="364">
        <f t="shared" si="952"/>
        <v>11</v>
      </c>
      <c r="M965" s="364">
        <f t="shared" si="952"/>
        <v>11</v>
      </c>
      <c r="N965" s="364">
        <f t="shared" si="952"/>
        <v>2</v>
      </c>
      <c r="O965" s="364">
        <f t="shared" si="952"/>
        <v>0</v>
      </c>
      <c r="P965" s="364">
        <f t="shared" si="952"/>
        <v>2</v>
      </c>
      <c r="Q965" s="364">
        <f t="shared" si="952"/>
        <v>1</v>
      </c>
      <c r="R965" s="364">
        <f t="shared" si="952"/>
        <v>0</v>
      </c>
      <c r="S965" s="364">
        <f>SUM(S963:S964)</f>
        <v>1</v>
      </c>
      <c r="T965" s="353" t="s">
        <v>12</v>
      </c>
      <c r="U965" s="366"/>
      <c r="V965" s="141"/>
    </row>
    <row r="966" spans="2:22" ht="13.5" thickBot="1" x14ac:dyDescent="0.25">
      <c r="B966" s="364">
        <f t="shared" si="943"/>
        <v>53</v>
      </c>
      <c r="C966" s="364">
        <f t="shared" si="944"/>
        <v>13</v>
      </c>
      <c r="D966" s="364">
        <f t="shared" si="944"/>
        <v>40</v>
      </c>
      <c r="E966" s="364">
        <f t="shared" si="945"/>
        <v>15</v>
      </c>
      <c r="F966" s="364">
        <v>1</v>
      </c>
      <c r="G966" s="364">
        <v>14</v>
      </c>
      <c r="H966" s="364">
        <f t="shared" si="946"/>
        <v>9</v>
      </c>
      <c r="I966" s="364">
        <v>0</v>
      </c>
      <c r="J966" s="364">
        <v>9</v>
      </c>
      <c r="K966" s="364">
        <f t="shared" si="947"/>
        <v>27</v>
      </c>
      <c r="L966" s="364">
        <v>12</v>
      </c>
      <c r="M966" s="364">
        <v>15</v>
      </c>
      <c r="N966" s="364">
        <f t="shared" si="948"/>
        <v>0</v>
      </c>
      <c r="O966" s="364">
        <v>0</v>
      </c>
      <c r="P966" s="364">
        <v>0</v>
      </c>
      <c r="Q966" s="364">
        <f t="shared" si="949"/>
        <v>2</v>
      </c>
      <c r="R966" s="364">
        <v>0</v>
      </c>
      <c r="S966" s="364">
        <v>2</v>
      </c>
      <c r="T966" s="353" t="s">
        <v>146</v>
      </c>
      <c r="U966" s="365"/>
      <c r="V966" s="141"/>
    </row>
    <row r="967" spans="2:22" ht="13.5" thickBot="1" x14ac:dyDescent="0.25">
      <c r="B967" s="364">
        <f t="shared" si="943"/>
        <v>0</v>
      </c>
      <c r="C967" s="364">
        <f t="shared" si="944"/>
        <v>0</v>
      </c>
      <c r="D967" s="364">
        <f t="shared" si="944"/>
        <v>0</v>
      </c>
      <c r="E967" s="364">
        <f t="shared" si="945"/>
        <v>0</v>
      </c>
      <c r="F967" s="364">
        <v>0</v>
      </c>
      <c r="G967" s="364">
        <v>0</v>
      </c>
      <c r="H967" s="364">
        <f t="shared" si="946"/>
        <v>0</v>
      </c>
      <c r="I967" s="364">
        <v>0</v>
      </c>
      <c r="J967" s="364">
        <v>0</v>
      </c>
      <c r="K967" s="364">
        <f t="shared" si="947"/>
        <v>0</v>
      </c>
      <c r="L967" s="364">
        <v>0</v>
      </c>
      <c r="M967" s="364">
        <v>0</v>
      </c>
      <c r="N967" s="364">
        <f t="shared" si="948"/>
        <v>0</v>
      </c>
      <c r="O967" s="364">
        <v>0</v>
      </c>
      <c r="P967" s="364">
        <v>0</v>
      </c>
      <c r="Q967" s="364">
        <f t="shared" si="949"/>
        <v>0</v>
      </c>
      <c r="R967" s="364">
        <v>0</v>
      </c>
      <c r="S967" s="364">
        <v>0</v>
      </c>
      <c r="T967" s="353" t="s">
        <v>145</v>
      </c>
      <c r="U967" s="365" t="s">
        <v>573</v>
      </c>
      <c r="V967" s="141"/>
    </row>
    <row r="968" spans="2:22" ht="13.5" thickBot="1" x14ac:dyDescent="0.25">
      <c r="B968" s="364">
        <f t="shared" ref="B968:R968" si="953">SUM(B966:B967)</f>
        <v>53</v>
      </c>
      <c r="C968" s="364">
        <f t="shared" si="953"/>
        <v>13</v>
      </c>
      <c r="D968" s="364">
        <f t="shared" si="953"/>
        <v>40</v>
      </c>
      <c r="E968" s="364">
        <f t="shared" si="953"/>
        <v>15</v>
      </c>
      <c r="F968" s="364">
        <f t="shared" si="953"/>
        <v>1</v>
      </c>
      <c r="G968" s="364">
        <f t="shared" si="953"/>
        <v>14</v>
      </c>
      <c r="H968" s="364">
        <f t="shared" si="953"/>
        <v>9</v>
      </c>
      <c r="I968" s="364">
        <f t="shared" si="953"/>
        <v>0</v>
      </c>
      <c r="J968" s="364">
        <f t="shared" si="953"/>
        <v>9</v>
      </c>
      <c r="K968" s="364">
        <f t="shared" si="953"/>
        <v>27</v>
      </c>
      <c r="L968" s="364">
        <f t="shared" si="953"/>
        <v>12</v>
      </c>
      <c r="M968" s="364">
        <f t="shared" si="953"/>
        <v>15</v>
      </c>
      <c r="N968" s="364">
        <f t="shared" si="953"/>
        <v>0</v>
      </c>
      <c r="O968" s="364">
        <f t="shared" si="953"/>
        <v>0</v>
      </c>
      <c r="P968" s="364">
        <f t="shared" si="953"/>
        <v>0</v>
      </c>
      <c r="Q968" s="364">
        <f t="shared" si="953"/>
        <v>2</v>
      </c>
      <c r="R968" s="364">
        <f t="shared" si="953"/>
        <v>0</v>
      </c>
      <c r="S968" s="364">
        <f>SUM(S966:S967)</f>
        <v>2</v>
      </c>
      <c r="T968" s="353" t="s">
        <v>12</v>
      </c>
      <c r="U968" s="366"/>
      <c r="V968" s="141"/>
    </row>
    <row r="969" spans="2:22" ht="13.5" thickBot="1" x14ac:dyDescent="0.25">
      <c r="B969" s="364">
        <f t="shared" ref="B969:R971" si="954">B957+B960+B963+B966</f>
        <v>260</v>
      </c>
      <c r="C969" s="364">
        <f t="shared" si="954"/>
        <v>24</v>
      </c>
      <c r="D969" s="364">
        <f t="shared" si="954"/>
        <v>236</v>
      </c>
      <c r="E969" s="364">
        <f t="shared" si="954"/>
        <v>86</v>
      </c>
      <c r="F969" s="364">
        <f t="shared" si="954"/>
        <v>3</v>
      </c>
      <c r="G969" s="364">
        <f t="shared" si="954"/>
        <v>83</v>
      </c>
      <c r="H969" s="364">
        <f t="shared" si="954"/>
        <v>55</v>
      </c>
      <c r="I969" s="364">
        <f t="shared" si="954"/>
        <v>0</v>
      </c>
      <c r="J969" s="364">
        <f t="shared" si="954"/>
        <v>55</v>
      </c>
      <c r="K969" s="364">
        <f t="shared" si="954"/>
        <v>105</v>
      </c>
      <c r="L969" s="364">
        <f t="shared" si="954"/>
        <v>21</v>
      </c>
      <c r="M969" s="364">
        <f t="shared" si="954"/>
        <v>84</v>
      </c>
      <c r="N969" s="364">
        <f t="shared" si="954"/>
        <v>8</v>
      </c>
      <c r="O969" s="364">
        <f t="shared" si="954"/>
        <v>0</v>
      </c>
      <c r="P969" s="364">
        <f t="shared" si="954"/>
        <v>8</v>
      </c>
      <c r="Q969" s="364">
        <f t="shared" si="954"/>
        <v>6</v>
      </c>
      <c r="R969" s="364">
        <f t="shared" si="954"/>
        <v>0</v>
      </c>
      <c r="S969" s="364">
        <f>S957+S960+S963+S966</f>
        <v>6</v>
      </c>
      <c r="T969" s="353" t="s">
        <v>146</v>
      </c>
      <c r="U969" s="367"/>
      <c r="V969" s="141"/>
    </row>
    <row r="970" spans="2:22" ht="13.5" thickBot="1" x14ac:dyDescent="0.25">
      <c r="B970" s="364">
        <f t="shared" si="954"/>
        <v>25</v>
      </c>
      <c r="C970" s="364">
        <f t="shared" si="954"/>
        <v>2</v>
      </c>
      <c r="D970" s="364">
        <f t="shared" si="954"/>
        <v>23</v>
      </c>
      <c r="E970" s="364">
        <f t="shared" si="954"/>
        <v>1</v>
      </c>
      <c r="F970" s="364">
        <f t="shared" si="954"/>
        <v>0</v>
      </c>
      <c r="G970" s="364">
        <f t="shared" si="954"/>
        <v>1</v>
      </c>
      <c r="H970" s="364">
        <f t="shared" si="954"/>
        <v>2</v>
      </c>
      <c r="I970" s="364">
        <f t="shared" si="954"/>
        <v>0</v>
      </c>
      <c r="J970" s="364">
        <f t="shared" si="954"/>
        <v>2</v>
      </c>
      <c r="K970" s="364">
        <f t="shared" si="954"/>
        <v>19</v>
      </c>
      <c r="L970" s="364">
        <f t="shared" si="954"/>
        <v>2</v>
      </c>
      <c r="M970" s="364">
        <f t="shared" si="954"/>
        <v>17</v>
      </c>
      <c r="N970" s="364">
        <f t="shared" si="954"/>
        <v>3</v>
      </c>
      <c r="O970" s="364">
        <f t="shared" si="954"/>
        <v>0</v>
      </c>
      <c r="P970" s="364">
        <f t="shared" si="954"/>
        <v>3</v>
      </c>
      <c r="Q970" s="364">
        <f t="shared" si="954"/>
        <v>0</v>
      </c>
      <c r="R970" s="364">
        <f t="shared" si="954"/>
        <v>0</v>
      </c>
      <c r="S970" s="364">
        <f t="shared" ref="S970:S971" si="955">S958+S961+S964+S967</f>
        <v>0</v>
      </c>
      <c r="T970" s="353" t="s">
        <v>145</v>
      </c>
      <c r="U970" s="368" t="s">
        <v>188</v>
      </c>
      <c r="V970" s="141"/>
    </row>
    <row r="971" spans="2:22" ht="13.5" thickBot="1" x14ac:dyDescent="0.25">
      <c r="B971" s="364">
        <f t="shared" si="954"/>
        <v>285</v>
      </c>
      <c r="C971" s="364">
        <f t="shared" si="954"/>
        <v>26</v>
      </c>
      <c r="D971" s="364">
        <f t="shared" si="954"/>
        <v>259</v>
      </c>
      <c r="E971" s="364">
        <f t="shared" si="954"/>
        <v>87</v>
      </c>
      <c r="F971" s="364">
        <f t="shared" si="954"/>
        <v>3</v>
      </c>
      <c r="G971" s="364">
        <f t="shared" si="954"/>
        <v>84</v>
      </c>
      <c r="H971" s="364">
        <f t="shared" si="954"/>
        <v>57</v>
      </c>
      <c r="I971" s="364">
        <f t="shared" si="954"/>
        <v>0</v>
      </c>
      <c r="J971" s="364">
        <f t="shared" si="954"/>
        <v>57</v>
      </c>
      <c r="K971" s="364">
        <f t="shared" si="954"/>
        <v>124</v>
      </c>
      <c r="L971" s="364">
        <f t="shared" si="954"/>
        <v>23</v>
      </c>
      <c r="M971" s="364">
        <f t="shared" si="954"/>
        <v>101</v>
      </c>
      <c r="N971" s="364">
        <f t="shared" si="954"/>
        <v>11</v>
      </c>
      <c r="O971" s="364">
        <f t="shared" si="954"/>
        <v>0</v>
      </c>
      <c r="P971" s="364">
        <f t="shared" si="954"/>
        <v>11</v>
      </c>
      <c r="Q971" s="364">
        <f t="shared" si="954"/>
        <v>6</v>
      </c>
      <c r="R971" s="364">
        <f t="shared" si="954"/>
        <v>0</v>
      </c>
      <c r="S971" s="364">
        <f t="shared" si="955"/>
        <v>6</v>
      </c>
      <c r="T971" s="353" t="s">
        <v>12</v>
      </c>
      <c r="U971" s="363"/>
      <c r="V971" s="141"/>
    </row>
    <row r="972" spans="2:22" ht="13.5" thickBot="1" x14ac:dyDescent="0.25">
      <c r="B972" s="610"/>
      <c r="C972" s="610"/>
      <c r="D972" s="610"/>
      <c r="E972" s="610"/>
      <c r="F972" s="610"/>
      <c r="G972" s="610"/>
      <c r="H972" s="610"/>
      <c r="I972" s="610"/>
      <c r="J972" s="610"/>
      <c r="K972" s="610"/>
      <c r="L972" s="610"/>
      <c r="M972" s="610"/>
      <c r="N972" s="610"/>
      <c r="O972" s="610"/>
      <c r="P972" s="610"/>
      <c r="Q972" s="610"/>
      <c r="R972" s="610"/>
      <c r="S972" s="610"/>
      <c r="T972" s="610"/>
      <c r="U972" s="610"/>
      <c r="V972" s="141"/>
    </row>
    <row r="973" spans="2:22" ht="13.5" thickBot="1" x14ac:dyDescent="0.25">
      <c r="B973" s="607" t="s">
        <v>4</v>
      </c>
      <c r="C973" s="607"/>
      <c r="D973" s="607"/>
      <c r="E973" s="607" t="s">
        <v>53</v>
      </c>
      <c r="F973" s="607"/>
      <c r="G973" s="607"/>
      <c r="H973" s="607" t="s">
        <v>61</v>
      </c>
      <c r="I973" s="607"/>
      <c r="J973" s="607"/>
      <c r="K973" s="607" t="s">
        <v>60</v>
      </c>
      <c r="L973" s="607"/>
      <c r="M973" s="607"/>
      <c r="N973" s="607" t="s">
        <v>57</v>
      </c>
      <c r="O973" s="607"/>
      <c r="P973" s="607"/>
      <c r="Q973" s="607" t="s">
        <v>56</v>
      </c>
      <c r="R973" s="607"/>
      <c r="S973" s="607"/>
      <c r="T973" s="608" t="s">
        <v>741</v>
      </c>
      <c r="U973" s="347" t="s">
        <v>144</v>
      </c>
      <c r="V973" s="141"/>
    </row>
    <row r="974" spans="2:22" ht="13.5" thickBot="1" x14ac:dyDescent="0.25">
      <c r="B974" s="347" t="s">
        <v>227</v>
      </c>
      <c r="C974" s="347" t="s">
        <v>10</v>
      </c>
      <c r="D974" s="347" t="s">
        <v>9</v>
      </c>
      <c r="E974" s="347" t="s">
        <v>227</v>
      </c>
      <c r="F974" s="347" t="s">
        <v>10</v>
      </c>
      <c r="G974" s="347" t="s">
        <v>9</v>
      </c>
      <c r="H974" s="347" t="s">
        <v>227</v>
      </c>
      <c r="I974" s="347" t="s">
        <v>10</v>
      </c>
      <c r="J974" s="347" t="s">
        <v>9</v>
      </c>
      <c r="K974" s="347" t="s">
        <v>227</v>
      </c>
      <c r="L974" s="347" t="s">
        <v>10</v>
      </c>
      <c r="M974" s="347" t="s">
        <v>9</v>
      </c>
      <c r="N974" s="347" t="s">
        <v>227</v>
      </c>
      <c r="O974" s="347" t="s">
        <v>10</v>
      </c>
      <c r="P974" s="347" t="s">
        <v>9</v>
      </c>
      <c r="Q974" s="347" t="s">
        <v>227</v>
      </c>
      <c r="R974" s="347" t="s">
        <v>10</v>
      </c>
      <c r="S974" s="347" t="s">
        <v>9</v>
      </c>
      <c r="T974" s="609"/>
      <c r="U974" s="363" t="s">
        <v>153</v>
      </c>
      <c r="V974" s="141"/>
    </row>
    <row r="975" spans="2:22" ht="13.5" thickBot="1" x14ac:dyDescent="0.25">
      <c r="B975" s="364">
        <f>SUM(C975:D975)</f>
        <v>429</v>
      </c>
      <c r="C975" s="364">
        <f>R975+O975+L975+I975+F975</f>
        <v>42</v>
      </c>
      <c r="D975" s="364">
        <f>S975+P975+M975+J975+G975</f>
        <v>387</v>
      </c>
      <c r="E975" s="364">
        <f>SUM(F975:G975)</f>
        <v>278</v>
      </c>
      <c r="F975" s="364">
        <v>19</v>
      </c>
      <c r="G975" s="364">
        <v>259</v>
      </c>
      <c r="H975" s="364">
        <f>SUM(I975:J975)</f>
        <v>86</v>
      </c>
      <c r="I975" s="364">
        <v>16</v>
      </c>
      <c r="J975" s="364">
        <v>70</v>
      </c>
      <c r="K975" s="364">
        <f>SUM(L975:M975)</f>
        <v>54</v>
      </c>
      <c r="L975" s="364">
        <v>6</v>
      </c>
      <c r="M975" s="364">
        <v>48</v>
      </c>
      <c r="N975" s="364">
        <f>SUM(O975:P975)</f>
        <v>6</v>
      </c>
      <c r="O975" s="364">
        <v>1</v>
      </c>
      <c r="P975" s="364">
        <v>5</v>
      </c>
      <c r="Q975" s="364">
        <f>SUM(R975:S975)</f>
        <v>5</v>
      </c>
      <c r="R975" s="364">
        <v>0</v>
      </c>
      <c r="S975" s="364">
        <v>5</v>
      </c>
      <c r="T975" s="353" t="s">
        <v>146</v>
      </c>
      <c r="U975" s="365"/>
      <c r="V975" s="141"/>
    </row>
    <row r="976" spans="2:22" ht="13.5" thickBot="1" x14ac:dyDescent="0.25">
      <c r="B976" s="364">
        <f t="shared" ref="B976" si="956">SUM(C976:D976)</f>
        <v>4</v>
      </c>
      <c r="C976" s="364">
        <f t="shared" ref="C976:D976" si="957">R976+O976+L976+I976+F976</f>
        <v>0</v>
      </c>
      <c r="D976" s="364">
        <f t="shared" si="957"/>
        <v>4</v>
      </c>
      <c r="E976" s="364">
        <f t="shared" ref="E976" si="958">SUM(F976:G976)</f>
        <v>1</v>
      </c>
      <c r="F976" s="364">
        <v>0</v>
      </c>
      <c r="G976" s="364">
        <v>1</v>
      </c>
      <c r="H976" s="364">
        <f t="shared" ref="H976" si="959">SUM(I976:J976)</f>
        <v>0</v>
      </c>
      <c r="I976" s="364">
        <v>0</v>
      </c>
      <c r="J976" s="364">
        <v>0</v>
      </c>
      <c r="K976" s="364">
        <f t="shared" ref="K976" si="960">SUM(L976:M976)</f>
        <v>2</v>
      </c>
      <c r="L976" s="364">
        <v>0</v>
      </c>
      <c r="M976" s="364">
        <v>2</v>
      </c>
      <c r="N976" s="364">
        <f t="shared" ref="N976" si="961">SUM(O976:P976)</f>
        <v>1</v>
      </c>
      <c r="O976" s="364">
        <v>0</v>
      </c>
      <c r="P976" s="364">
        <v>1</v>
      </c>
      <c r="Q976" s="364">
        <f t="shared" ref="Q976" si="962">SUM(R976:S976)</f>
        <v>0</v>
      </c>
      <c r="R976" s="364">
        <v>0</v>
      </c>
      <c r="S976" s="364">
        <v>0</v>
      </c>
      <c r="T976" s="353" t="s">
        <v>145</v>
      </c>
      <c r="U976" s="371" t="s">
        <v>205</v>
      </c>
      <c r="V976" s="141"/>
    </row>
    <row r="977" spans="2:22" ht="13.5" thickBot="1" x14ac:dyDescent="0.25">
      <c r="B977" s="364">
        <f t="shared" ref="B977:R977" si="963">SUM(B975:B976)</f>
        <v>433</v>
      </c>
      <c r="C977" s="364">
        <f t="shared" si="963"/>
        <v>42</v>
      </c>
      <c r="D977" s="364">
        <f t="shared" si="963"/>
        <v>391</v>
      </c>
      <c r="E977" s="364">
        <f t="shared" si="963"/>
        <v>279</v>
      </c>
      <c r="F977" s="364">
        <f t="shared" si="963"/>
        <v>19</v>
      </c>
      <c r="G977" s="364">
        <f t="shared" si="963"/>
        <v>260</v>
      </c>
      <c r="H977" s="364">
        <f t="shared" si="963"/>
        <v>86</v>
      </c>
      <c r="I977" s="364">
        <f t="shared" si="963"/>
        <v>16</v>
      </c>
      <c r="J977" s="364">
        <f t="shared" si="963"/>
        <v>70</v>
      </c>
      <c r="K977" s="364">
        <f t="shared" si="963"/>
        <v>56</v>
      </c>
      <c r="L977" s="364">
        <f t="shared" si="963"/>
        <v>6</v>
      </c>
      <c r="M977" s="364">
        <f t="shared" si="963"/>
        <v>50</v>
      </c>
      <c r="N977" s="364">
        <f t="shared" si="963"/>
        <v>7</v>
      </c>
      <c r="O977" s="364">
        <f t="shared" si="963"/>
        <v>1</v>
      </c>
      <c r="P977" s="364">
        <f t="shared" si="963"/>
        <v>6</v>
      </c>
      <c r="Q977" s="364">
        <f t="shared" si="963"/>
        <v>5</v>
      </c>
      <c r="R977" s="364">
        <f t="shared" si="963"/>
        <v>0</v>
      </c>
      <c r="S977" s="364">
        <f>SUM(S975:S976)</f>
        <v>5</v>
      </c>
      <c r="T977" s="353" t="s">
        <v>12</v>
      </c>
      <c r="U977" s="366"/>
      <c r="V977" s="141"/>
    </row>
    <row r="978" spans="2:22" ht="13.5" thickBot="1" x14ac:dyDescent="0.25">
      <c r="B978" s="364">
        <f t="shared" ref="B978:R980" si="964">B975</f>
        <v>429</v>
      </c>
      <c r="C978" s="364">
        <f t="shared" si="964"/>
        <v>42</v>
      </c>
      <c r="D978" s="364">
        <f t="shared" si="964"/>
        <v>387</v>
      </c>
      <c r="E978" s="364">
        <f t="shared" si="964"/>
        <v>278</v>
      </c>
      <c r="F978" s="364">
        <f t="shared" si="964"/>
        <v>19</v>
      </c>
      <c r="G978" s="364">
        <f t="shared" si="964"/>
        <v>259</v>
      </c>
      <c r="H978" s="364">
        <f t="shared" si="964"/>
        <v>86</v>
      </c>
      <c r="I978" s="364">
        <f t="shared" si="964"/>
        <v>16</v>
      </c>
      <c r="J978" s="364">
        <f t="shared" si="964"/>
        <v>70</v>
      </c>
      <c r="K978" s="364">
        <f t="shared" si="964"/>
        <v>54</v>
      </c>
      <c r="L978" s="364">
        <f t="shared" si="964"/>
        <v>6</v>
      </c>
      <c r="M978" s="364">
        <f t="shared" si="964"/>
        <v>48</v>
      </c>
      <c r="N978" s="364">
        <f t="shared" si="964"/>
        <v>6</v>
      </c>
      <c r="O978" s="364">
        <f t="shared" si="964"/>
        <v>1</v>
      </c>
      <c r="P978" s="364">
        <f t="shared" si="964"/>
        <v>5</v>
      </c>
      <c r="Q978" s="364">
        <f t="shared" si="964"/>
        <v>5</v>
      </c>
      <c r="R978" s="364">
        <f t="shared" si="964"/>
        <v>0</v>
      </c>
      <c r="S978" s="364">
        <f>S975</f>
        <v>5</v>
      </c>
      <c r="T978" s="353" t="s">
        <v>146</v>
      </c>
      <c r="U978" s="367"/>
      <c r="V978" s="141"/>
    </row>
    <row r="979" spans="2:22" ht="13.5" thickBot="1" x14ac:dyDescent="0.25">
      <c r="B979" s="364">
        <f t="shared" si="964"/>
        <v>4</v>
      </c>
      <c r="C979" s="364">
        <f t="shared" si="964"/>
        <v>0</v>
      </c>
      <c r="D979" s="364">
        <f t="shared" si="964"/>
        <v>4</v>
      </c>
      <c r="E979" s="364">
        <f t="shared" si="964"/>
        <v>1</v>
      </c>
      <c r="F979" s="364">
        <f t="shared" si="964"/>
        <v>0</v>
      </c>
      <c r="G979" s="364">
        <f t="shared" si="964"/>
        <v>1</v>
      </c>
      <c r="H979" s="364">
        <f t="shared" si="964"/>
        <v>0</v>
      </c>
      <c r="I979" s="364">
        <f t="shared" si="964"/>
        <v>0</v>
      </c>
      <c r="J979" s="364">
        <f t="shared" si="964"/>
        <v>0</v>
      </c>
      <c r="K979" s="364">
        <f t="shared" si="964"/>
        <v>2</v>
      </c>
      <c r="L979" s="364">
        <f t="shared" si="964"/>
        <v>0</v>
      </c>
      <c r="M979" s="364">
        <f t="shared" si="964"/>
        <v>2</v>
      </c>
      <c r="N979" s="364">
        <f t="shared" si="964"/>
        <v>1</v>
      </c>
      <c r="O979" s="364">
        <f t="shared" si="964"/>
        <v>0</v>
      </c>
      <c r="P979" s="364">
        <f t="shared" si="964"/>
        <v>1</v>
      </c>
      <c r="Q979" s="364">
        <f t="shared" si="964"/>
        <v>0</v>
      </c>
      <c r="R979" s="364">
        <f t="shared" si="964"/>
        <v>0</v>
      </c>
      <c r="S979" s="364">
        <f t="shared" ref="S979:S980" si="965">S976</f>
        <v>0</v>
      </c>
      <c r="T979" s="353" t="s">
        <v>145</v>
      </c>
      <c r="U979" s="368" t="s">
        <v>188</v>
      </c>
      <c r="V979" s="141"/>
    </row>
    <row r="980" spans="2:22" ht="13.5" thickBot="1" x14ac:dyDescent="0.25">
      <c r="B980" s="364">
        <f t="shared" si="964"/>
        <v>433</v>
      </c>
      <c r="C980" s="364">
        <f t="shared" si="964"/>
        <v>42</v>
      </c>
      <c r="D980" s="364">
        <f t="shared" si="964"/>
        <v>391</v>
      </c>
      <c r="E980" s="364">
        <f t="shared" si="964"/>
        <v>279</v>
      </c>
      <c r="F980" s="364">
        <f t="shared" si="964"/>
        <v>19</v>
      </c>
      <c r="G980" s="364">
        <f t="shared" si="964"/>
        <v>260</v>
      </c>
      <c r="H980" s="364">
        <f t="shared" si="964"/>
        <v>86</v>
      </c>
      <c r="I980" s="364">
        <f t="shared" si="964"/>
        <v>16</v>
      </c>
      <c r="J980" s="364">
        <f t="shared" si="964"/>
        <v>70</v>
      </c>
      <c r="K980" s="364">
        <f t="shared" si="964"/>
        <v>56</v>
      </c>
      <c r="L980" s="364">
        <f t="shared" si="964"/>
        <v>6</v>
      </c>
      <c r="M980" s="364">
        <f t="shared" si="964"/>
        <v>50</v>
      </c>
      <c r="N980" s="364">
        <f t="shared" si="964"/>
        <v>7</v>
      </c>
      <c r="O980" s="364">
        <f t="shared" si="964"/>
        <v>1</v>
      </c>
      <c r="P980" s="364">
        <f t="shared" si="964"/>
        <v>6</v>
      </c>
      <c r="Q980" s="364">
        <f t="shared" si="964"/>
        <v>5</v>
      </c>
      <c r="R980" s="364">
        <f t="shared" si="964"/>
        <v>0</v>
      </c>
      <c r="S980" s="364">
        <f t="shared" si="965"/>
        <v>5</v>
      </c>
      <c r="T980" s="353" t="s">
        <v>12</v>
      </c>
      <c r="U980" s="363"/>
      <c r="V980" s="141"/>
    </row>
    <row r="981" spans="2:22" ht="13.5" thickBot="1" x14ac:dyDescent="0.25">
      <c r="B981" s="610"/>
      <c r="C981" s="610"/>
      <c r="D981" s="610"/>
      <c r="E981" s="610"/>
      <c r="F981" s="610"/>
      <c r="G981" s="610"/>
      <c r="H981" s="610"/>
      <c r="I981" s="610"/>
      <c r="J981" s="610"/>
      <c r="K981" s="610"/>
      <c r="L981" s="610"/>
      <c r="M981" s="610"/>
      <c r="N981" s="610"/>
      <c r="O981" s="610"/>
      <c r="P981" s="610"/>
      <c r="Q981" s="610"/>
      <c r="R981" s="610"/>
      <c r="S981" s="610"/>
      <c r="T981" s="610"/>
      <c r="U981" s="610"/>
      <c r="V981" s="141"/>
    </row>
    <row r="982" spans="2:22" ht="13.5" thickBot="1" x14ac:dyDescent="0.25">
      <c r="B982" s="607" t="s">
        <v>4</v>
      </c>
      <c r="C982" s="607"/>
      <c r="D982" s="607"/>
      <c r="E982" s="607" t="s">
        <v>53</v>
      </c>
      <c r="F982" s="607"/>
      <c r="G982" s="607"/>
      <c r="H982" s="607" t="s">
        <v>61</v>
      </c>
      <c r="I982" s="607"/>
      <c r="J982" s="607"/>
      <c r="K982" s="607" t="s">
        <v>60</v>
      </c>
      <c r="L982" s="607"/>
      <c r="M982" s="607"/>
      <c r="N982" s="607" t="s">
        <v>57</v>
      </c>
      <c r="O982" s="607"/>
      <c r="P982" s="607"/>
      <c r="Q982" s="607" t="s">
        <v>56</v>
      </c>
      <c r="R982" s="607"/>
      <c r="S982" s="607"/>
      <c r="T982" s="608" t="s">
        <v>741</v>
      </c>
      <c r="U982" s="347" t="s">
        <v>144</v>
      </c>
      <c r="V982" s="141"/>
    </row>
    <row r="983" spans="2:22" ht="13.5" thickBot="1" x14ac:dyDescent="0.25">
      <c r="B983" s="347" t="s">
        <v>227</v>
      </c>
      <c r="C983" s="347" t="s">
        <v>10</v>
      </c>
      <c r="D983" s="347" t="s">
        <v>9</v>
      </c>
      <c r="E983" s="347" t="s">
        <v>227</v>
      </c>
      <c r="F983" s="347" t="s">
        <v>10</v>
      </c>
      <c r="G983" s="347" t="s">
        <v>9</v>
      </c>
      <c r="H983" s="347" t="s">
        <v>227</v>
      </c>
      <c r="I983" s="347" t="s">
        <v>10</v>
      </c>
      <c r="J983" s="347" t="s">
        <v>9</v>
      </c>
      <c r="K983" s="347" t="s">
        <v>227</v>
      </c>
      <c r="L983" s="347" t="s">
        <v>10</v>
      </c>
      <c r="M983" s="347" t="s">
        <v>9</v>
      </c>
      <c r="N983" s="347" t="s">
        <v>227</v>
      </c>
      <c r="O983" s="347" t="s">
        <v>10</v>
      </c>
      <c r="P983" s="347" t="s">
        <v>9</v>
      </c>
      <c r="Q983" s="347" t="s">
        <v>227</v>
      </c>
      <c r="R983" s="347" t="s">
        <v>10</v>
      </c>
      <c r="S983" s="347" t="s">
        <v>9</v>
      </c>
      <c r="T983" s="609"/>
      <c r="U983" s="363" t="s">
        <v>155</v>
      </c>
      <c r="V983" s="141"/>
    </row>
    <row r="984" spans="2:22" ht="13.5" thickBot="1" x14ac:dyDescent="0.25">
      <c r="B984" s="364">
        <f>SUM(C984:D984)</f>
        <v>77</v>
      </c>
      <c r="C984" s="364">
        <f>R984+O984+L984+I984+F984</f>
        <v>47</v>
      </c>
      <c r="D984" s="364">
        <f>S984+P984+M984+J984+G984</f>
        <v>30</v>
      </c>
      <c r="E984" s="364">
        <f>SUM(F984:G984)</f>
        <v>13</v>
      </c>
      <c r="F984" s="364">
        <v>4</v>
      </c>
      <c r="G984" s="364">
        <v>9</v>
      </c>
      <c r="H984" s="364">
        <f>SUM(I984:J984)</f>
        <v>15</v>
      </c>
      <c r="I984" s="364">
        <v>7</v>
      </c>
      <c r="J984" s="364">
        <v>8</v>
      </c>
      <c r="K984" s="364">
        <f>SUM(L984:M984)</f>
        <v>38</v>
      </c>
      <c r="L984" s="364">
        <v>32</v>
      </c>
      <c r="M984" s="364">
        <v>6</v>
      </c>
      <c r="N984" s="364">
        <f>SUM(O984:P984)</f>
        <v>2</v>
      </c>
      <c r="O984" s="364">
        <v>2</v>
      </c>
      <c r="P984" s="364">
        <v>0</v>
      </c>
      <c r="Q984" s="364">
        <f>SUM(R984:S984)</f>
        <v>9</v>
      </c>
      <c r="R984" s="364">
        <v>2</v>
      </c>
      <c r="S984" s="364">
        <v>7</v>
      </c>
      <c r="T984" s="353" t="s">
        <v>146</v>
      </c>
      <c r="U984" s="365"/>
      <c r="V984" s="141"/>
    </row>
    <row r="985" spans="2:22" ht="13.5" thickBot="1" x14ac:dyDescent="0.25">
      <c r="B985" s="364">
        <f t="shared" ref="B985:B1039" si="966">SUM(C985:D985)</f>
        <v>55</v>
      </c>
      <c r="C985" s="364">
        <f t="shared" ref="C985:D1039" si="967">R985+O985+L985+I985+F985</f>
        <v>4</v>
      </c>
      <c r="D985" s="364">
        <f t="shared" si="967"/>
        <v>51</v>
      </c>
      <c r="E985" s="364">
        <f t="shared" ref="E985:E1039" si="968">SUM(F985:G985)</f>
        <v>11</v>
      </c>
      <c r="F985" s="364">
        <v>0</v>
      </c>
      <c r="G985" s="364">
        <v>11</v>
      </c>
      <c r="H985" s="364">
        <f t="shared" ref="H985:H1039" si="969">SUM(I985:J985)</f>
        <v>4</v>
      </c>
      <c r="I985" s="364">
        <v>1</v>
      </c>
      <c r="J985" s="364">
        <v>3</v>
      </c>
      <c r="K985" s="364">
        <f t="shared" ref="K985:K1039" si="970">SUM(L985:M985)</f>
        <v>31</v>
      </c>
      <c r="L985" s="364">
        <v>1</v>
      </c>
      <c r="M985" s="364">
        <v>30</v>
      </c>
      <c r="N985" s="364">
        <f t="shared" ref="N985:N1039" si="971">SUM(O985:P985)</f>
        <v>8</v>
      </c>
      <c r="O985" s="364">
        <v>2</v>
      </c>
      <c r="P985" s="364">
        <v>6</v>
      </c>
      <c r="Q985" s="364">
        <f t="shared" ref="Q985:Q1039" si="972">SUM(R985:S985)</f>
        <v>1</v>
      </c>
      <c r="R985" s="364">
        <v>0</v>
      </c>
      <c r="S985" s="364">
        <v>1</v>
      </c>
      <c r="T985" s="353" t="s">
        <v>145</v>
      </c>
      <c r="U985" s="365" t="s">
        <v>127</v>
      </c>
      <c r="V985" s="141"/>
    </row>
    <row r="986" spans="2:22" ht="13.5" thickBot="1" x14ac:dyDescent="0.25">
      <c r="B986" s="364">
        <f t="shared" ref="B986:R986" si="973">SUM(B984:B985)</f>
        <v>132</v>
      </c>
      <c r="C986" s="364">
        <f t="shared" si="973"/>
        <v>51</v>
      </c>
      <c r="D986" s="364">
        <f t="shared" si="973"/>
        <v>81</v>
      </c>
      <c r="E986" s="364">
        <f t="shared" si="973"/>
        <v>24</v>
      </c>
      <c r="F986" s="364">
        <f t="shared" si="973"/>
        <v>4</v>
      </c>
      <c r="G986" s="364">
        <f t="shared" si="973"/>
        <v>20</v>
      </c>
      <c r="H986" s="364">
        <f t="shared" si="973"/>
        <v>19</v>
      </c>
      <c r="I986" s="364">
        <f t="shared" si="973"/>
        <v>8</v>
      </c>
      <c r="J986" s="364">
        <f t="shared" si="973"/>
        <v>11</v>
      </c>
      <c r="K986" s="364">
        <f t="shared" si="973"/>
        <v>69</v>
      </c>
      <c r="L986" s="364">
        <f t="shared" si="973"/>
        <v>33</v>
      </c>
      <c r="M986" s="364">
        <f t="shared" si="973"/>
        <v>36</v>
      </c>
      <c r="N986" s="364">
        <f t="shared" si="973"/>
        <v>10</v>
      </c>
      <c r="O986" s="364">
        <f t="shared" si="973"/>
        <v>4</v>
      </c>
      <c r="P986" s="364">
        <f t="shared" si="973"/>
        <v>6</v>
      </c>
      <c r="Q986" s="364">
        <f t="shared" si="973"/>
        <v>10</v>
      </c>
      <c r="R986" s="364">
        <f t="shared" si="973"/>
        <v>2</v>
      </c>
      <c r="S986" s="364">
        <f>SUM(S984:S985)</f>
        <v>8</v>
      </c>
      <c r="T986" s="353" t="s">
        <v>12</v>
      </c>
      <c r="U986" s="366"/>
      <c r="V986" s="141"/>
    </row>
    <row r="987" spans="2:22" ht="13.5" thickBot="1" x14ac:dyDescent="0.25">
      <c r="B987" s="364">
        <f>SUM(C987:D987)</f>
        <v>79</v>
      </c>
      <c r="C987" s="364">
        <f>R987+O987+L987+I987+F987</f>
        <v>40</v>
      </c>
      <c r="D987" s="364">
        <f>S987+P987+M987+J987+G987</f>
        <v>39</v>
      </c>
      <c r="E987" s="364">
        <f>SUM(F987:G987)</f>
        <v>16</v>
      </c>
      <c r="F987" s="364">
        <v>8</v>
      </c>
      <c r="G987" s="364">
        <v>8</v>
      </c>
      <c r="H987" s="364">
        <f>SUM(I987:J987)</f>
        <v>17</v>
      </c>
      <c r="I987" s="364">
        <v>9</v>
      </c>
      <c r="J987" s="364">
        <v>8</v>
      </c>
      <c r="K987" s="364">
        <f>SUM(L987:M987)</f>
        <v>36</v>
      </c>
      <c r="L987" s="364">
        <v>20</v>
      </c>
      <c r="M987" s="364">
        <v>16</v>
      </c>
      <c r="N987" s="364">
        <f>SUM(O987:P987)</f>
        <v>1</v>
      </c>
      <c r="O987" s="364">
        <v>1</v>
      </c>
      <c r="P987" s="364">
        <v>0</v>
      </c>
      <c r="Q987" s="364">
        <f>SUM(R987:S987)</f>
        <v>9</v>
      </c>
      <c r="R987" s="364">
        <v>2</v>
      </c>
      <c r="S987" s="364">
        <v>7</v>
      </c>
      <c r="T987" s="353" t="s">
        <v>146</v>
      </c>
      <c r="U987" s="365"/>
      <c r="V987" s="141"/>
    </row>
    <row r="988" spans="2:22" ht="13.5" thickBot="1" x14ac:dyDescent="0.25">
      <c r="B988" s="364">
        <f t="shared" ref="B988" si="974">SUM(C988:D988)</f>
        <v>52</v>
      </c>
      <c r="C988" s="364">
        <f t="shared" ref="C988:D988" si="975">R988+O988+L988+I988+F988</f>
        <v>13</v>
      </c>
      <c r="D988" s="364">
        <f t="shared" si="975"/>
        <v>39</v>
      </c>
      <c r="E988" s="364">
        <f t="shared" ref="E988" si="976">SUM(F988:G988)</f>
        <v>4</v>
      </c>
      <c r="F988" s="364">
        <v>0</v>
      </c>
      <c r="G988" s="364">
        <v>4</v>
      </c>
      <c r="H988" s="364">
        <f t="shared" ref="H988" si="977">SUM(I988:J988)</f>
        <v>6</v>
      </c>
      <c r="I988" s="364">
        <v>0</v>
      </c>
      <c r="J988" s="364">
        <v>6</v>
      </c>
      <c r="K988" s="364">
        <f t="shared" ref="K988" si="978">SUM(L988:M988)</f>
        <v>41</v>
      </c>
      <c r="L988" s="364">
        <v>12</v>
      </c>
      <c r="M988" s="364">
        <v>29</v>
      </c>
      <c r="N988" s="364">
        <f t="shared" ref="N988" si="979">SUM(O988:P988)</f>
        <v>0</v>
      </c>
      <c r="O988" s="364">
        <v>0</v>
      </c>
      <c r="P988" s="364">
        <v>0</v>
      </c>
      <c r="Q988" s="364">
        <f t="shared" ref="Q988" si="980">SUM(R988:S988)</f>
        <v>1</v>
      </c>
      <c r="R988" s="364">
        <v>1</v>
      </c>
      <c r="S988" s="364">
        <v>0</v>
      </c>
      <c r="T988" s="353" t="s">
        <v>145</v>
      </c>
      <c r="U988" s="365" t="s">
        <v>836</v>
      </c>
      <c r="V988" s="141"/>
    </row>
    <row r="989" spans="2:22" ht="13.5" thickBot="1" x14ac:dyDescent="0.25">
      <c r="B989" s="364">
        <f t="shared" ref="B989:R989" si="981">SUM(B987:B988)</f>
        <v>131</v>
      </c>
      <c r="C989" s="364">
        <f t="shared" si="981"/>
        <v>53</v>
      </c>
      <c r="D989" s="364">
        <f t="shared" si="981"/>
        <v>78</v>
      </c>
      <c r="E989" s="364">
        <f t="shared" si="981"/>
        <v>20</v>
      </c>
      <c r="F989" s="364">
        <f t="shared" si="981"/>
        <v>8</v>
      </c>
      <c r="G989" s="364">
        <f t="shared" si="981"/>
        <v>12</v>
      </c>
      <c r="H989" s="364">
        <f t="shared" si="981"/>
        <v>23</v>
      </c>
      <c r="I989" s="364">
        <f t="shared" si="981"/>
        <v>9</v>
      </c>
      <c r="J989" s="364">
        <f t="shared" si="981"/>
        <v>14</v>
      </c>
      <c r="K989" s="364">
        <f t="shared" si="981"/>
        <v>77</v>
      </c>
      <c r="L989" s="364">
        <f t="shared" si="981"/>
        <v>32</v>
      </c>
      <c r="M989" s="364">
        <f t="shared" si="981"/>
        <v>45</v>
      </c>
      <c r="N989" s="364">
        <f t="shared" si="981"/>
        <v>1</v>
      </c>
      <c r="O989" s="364">
        <f t="shared" si="981"/>
        <v>1</v>
      </c>
      <c r="P989" s="364">
        <f t="shared" si="981"/>
        <v>0</v>
      </c>
      <c r="Q989" s="364">
        <f t="shared" si="981"/>
        <v>10</v>
      </c>
      <c r="R989" s="364">
        <f t="shared" si="981"/>
        <v>3</v>
      </c>
      <c r="S989" s="364">
        <f>SUM(S987:S988)</f>
        <v>7</v>
      </c>
      <c r="T989" s="353" t="s">
        <v>12</v>
      </c>
      <c r="U989" s="366"/>
      <c r="V989" s="141"/>
    </row>
    <row r="990" spans="2:22" ht="13.5" thickBot="1" x14ac:dyDescent="0.25">
      <c r="B990" s="364">
        <f t="shared" si="966"/>
        <v>1</v>
      </c>
      <c r="C990" s="364">
        <f t="shared" si="967"/>
        <v>1</v>
      </c>
      <c r="D990" s="364">
        <f t="shared" si="967"/>
        <v>0</v>
      </c>
      <c r="E990" s="364">
        <f t="shared" si="968"/>
        <v>0</v>
      </c>
      <c r="F990" s="364">
        <v>0</v>
      </c>
      <c r="G990" s="364">
        <v>0</v>
      </c>
      <c r="H990" s="364">
        <f t="shared" si="969"/>
        <v>0</v>
      </c>
      <c r="I990" s="364">
        <v>0</v>
      </c>
      <c r="J990" s="364">
        <v>0</v>
      </c>
      <c r="K990" s="364">
        <f t="shared" si="970"/>
        <v>0</v>
      </c>
      <c r="L990" s="364">
        <v>0</v>
      </c>
      <c r="M990" s="364">
        <v>0</v>
      </c>
      <c r="N990" s="364">
        <f t="shared" si="971"/>
        <v>0</v>
      </c>
      <c r="O990" s="364">
        <v>0</v>
      </c>
      <c r="P990" s="364">
        <v>0</v>
      </c>
      <c r="Q990" s="364">
        <f t="shared" si="972"/>
        <v>1</v>
      </c>
      <c r="R990" s="364">
        <v>1</v>
      </c>
      <c r="S990" s="364">
        <v>0</v>
      </c>
      <c r="T990" s="353" t="s">
        <v>146</v>
      </c>
      <c r="U990" s="365"/>
      <c r="V990" s="141"/>
    </row>
    <row r="991" spans="2:22" ht="13.5" thickBot="1" x14ac:dyDescent="0.25">
      <c r="B991" s="364">
        <f t="shared" si="966"/>
        <v>11</v>
      </c>
      <c r="C991" s="364">
        <f t="shared" si="967"/>
        <v>2</v>
      </c>
      <c r="D991" s="364">
        <f t="shared" si="967"/>
        <v>9</v>
      </c>
      <c r="E991" s="364">
        <f t="shared" si="968"/>
        <v>0</v>
      </c>
      <c r="F991" s="364">
        <v>0</v>
      </c>
      <c r="G991" s="364">
        <v>0</v>
      </c>
      <c r="H991" s="364">
        <f t="shared" si="969"/>
        <v>0</v>
      </c>
      <c r="I991" s="364">
        <v>0</v>
      </c>
      <c r="J991" s="364">
        <v>0</v>
      </c>
      <c r="K991" s="364">
        <f t="shared" si="970"/>
        <v>0</v>
      </c>
      <c r="L991" s="364">
        <v>0</v>
      </c>
      <c r="M991" s="364">
        <v>0</v>
      </c>
      <c r="N991" s="364">
        <f t="shared" si="971"/>
        <v>1</v>
      </c>
      <c r="O991" s="364">
        <v>1</v>
      </c>
      <c r="P991" s="364">
        <v>0</v>
      </c>
      <c r="Q991" s="364">
        <f t="shared" si="972"/>
        <v>10</v>
      </c>
      <c r="R991" s="364">
        <v>1</v>
      </c>
      <c r="S991" s="364">
        <v>9</v>
      </c>
      <c r="T991" s="353" t="s">
        <v>145</v>
      </c>
      <c r="U991" s="365" t="s">
        <v>129</v>
      </c>
      <c r="V991" s="141"/>
    </row>
    <row r="992" spans="2:22" ht="13.5" thickBot="1" x14ac:dyDescent="0.25">
      <c r="B992" s="364">
        <f t="shared" ref="B992:R992" si="982">SUM(B990:B991)</f>
        <v>12</v>
      </c>
      <c r="C992" s="364">
        <f t="shared" si="982"/>
        <v>3</v>
      </c>
      <c r="D992" s="364">
        <f t="shared" si="982"/>
        <v>9</v>
      </c>
      <c r="E992" s="364">
        <f t="shared" si="982"/>
        <v>0</v>
      </c>
      <c r="F992" s="364">
        <f t="shared" si="982"/>
        <v>0</v>
      </c>
      <c r="G992" s="364">
        <f t="shared" si="982"/>
        <v>0</v>
      </c>
      <c r="H992" s="364">
        <f t="shared" si="982"/>
        <v>0</v>
      </c>
      <c r="I992" s="364">
        <f t="shared" si="982"/>
        <v>0</v>
      </c>
      <c r="J992" s="364">
        <f t="shared" si="982"/>
        <v>0</v>
      </c>
      <c r="K992" s="364">
        <f t="shared" si="982"/>
        <v>0</v>
      </c>
      <c r="L992" s="364">
        <f t="shared" si="982"/>
        <v>0</v>
      </c>
      <c r="M992" s="364">
        <f t="shared" si="982"/>
        <v>0</v>
      </c>
      <c r="N992" s="364">
        <f t="shared" si="982"/>
        <v>1</v>
      </c>
      <c r="O992" s="364">
        <f t="shared" si="982"/>
        <v>1</v>
      </c>
      <c r="P992" s="364">
        <f t="shared" si="982"/>
        <v>0</v>
      </c>
      <c r="Q992" s="364">
        <f t="shared" si="982"/>
        <v>11</v>
      </c>
      <c r="R992" s="364">
        <f t="shared" si="982"/>
        <v>2</v>
      </c>
      <c r="S992" s="364">
        <f>SUM(S990:S991)</f>
        <v>9</v>
      </c>
      <c r="T992" s="353" t="s">
        <v>12</v>
      </c>
      <c r="U992" s="366"/>
      <c r="V992" s="141"/>
    </row>
    <row r="993" spans="2:22" ht="13.5" thickBot="1" x14ac:dyDescent="0.25">
      <c r="B993" s="364">
        <f t="shared" si="966"/>
        <v>77</v>
      </c>
      <c r="C993" s="364">
        <f t="shared" si="967"/>
        <v>75</v>
      </c>
      <c r="D993" s="364">
        <f t="shared" si="967"/>
        <v>2</v>
      </c>
      <c r="E993" s="364">
        <f t="shared" si="968"/>
        <v>4</v>
      </c>
      <c r="F993" s="364">
        <v>2</v>
      </c>
      <c r="G993" s="364">
        <v>2</v>
      </c>
      <c r="H993" s="364">
        <f t="shared" si="969"/>
        <v>0</v>
      </c>
      <c r="I993" s="364">
        <v>0</v>
      </c>
      <c r="J993" s="364">
        <v>0</v>
      </c>
      <c r="K993" s="364">
        <f t="shared" si="970"/>
        <v>52</v>
      </c>
      <c r="L993" s="364">
        <v>52</v>
      </c>
      <c r="M993" s="364">
        <v>0</v>
      </c>
      <c r="N993" s="364">
        <f t="shared" si="971"/>
        <v>18</v>
      </c>
      <c r="O993" s="364">
        <v>18</v>
      </c>
      <c r="P993" s="364">
        <v>0</v>
      </c>
      <c r="Q993" s="364">
        <f t="shared" si="972"/>
        <v>3</v>
      </c>
      <c r="R993" s="364">
        <v>3</v>
      </c>
      <c r="S993" s="364">
        <v>0</v>
      </c>
      <c r="T993" s="353" t="s">
        <v>146</v>
      </c>
      <c r="U993" s="365"/>
      <c r="V993" s="141"/>
    </row>
    <row r="994" spans="2:22" ht="13.5" thickBot="1" x14ac:dyDescent="0.25">
      <c r="B994" s="364">
        <f t="shared" si="966"/>
        <v>55</v>
      </c>
      <c r="C994" s="364">
        <f t="shared" si="967"/>
        <v>43</v>
      </c>
      <c r="D994" s="364">
        <f t="shared" si="967"/>
        <v>12</v>
      </c>
      <c r="E994" s="364">
        <f t="shared" si="968"/>
        <v>11</v>
      </c>
      <c r="F994" s="364">
        <v>5</v>
      </c>
      <c r="G994" s="364">
        <v>6</v>
      </c>
      <c r="H994" s="364">
        <f t="shared" si="969"/>
        <v>0</v>
      </c>
      <c r="I994" s="364">
        <v>0</v>
      </c>
      <c r="J994" s="364">
        <v>0</v>
      </c>
      <c r="K994" s="364">
        <f t="shared" si="970"/>
        <v>29</v>
      </c>
      <c r="L994" s="364">
        <v>26</v>
      </c>
      <c r="M994" s="364">
        <v>3</v>
      </c>
      <c r="N994" s="364">
        <f t="shared" si="971"/>
        <v>13</v>
      </c>
      <c r="O994" s="364">
        <v>10</v>
      </c>
      <c r="P994" s="364">
        <v>3</v>
      </c>
      <c r="Q994" s="364">
        <f t="shared" si="972"/>
        <v>2</v>
      </c>
      <c r="R994" s="364">
        <v>2</v>
      </c>
      <c r="S994" s="364">
        <v>0</v>
      </c>
      <c r="T994" s="353" t="s">
        <v>145</v>
      </c>
      <c r="U994" s="365" t="s">
        <v>130</v>
      </c>
      <c r="V994" s="141"/>
    </row>
    <row r="995" spans="2:22" ht="13.5" thickBot="1" x14ac:dyDescent="0.25">
      <c r="B995" s="364">
        <f t="shared" ref="B995:R995" si="983">SUM(B993:B994)</f>
        <v>132</v>
      </c>
      <c r="C995" s="364">
        <f t="shared" si="983"/>
        <v>118</v>
      </c>
      <c r="D995" s="364">
        <f t="shared" si="983"/>
        <v>14</v>
      </c>
      <c r="E995" s="364">
        <f t="shared" si="983"/>
        <v>15</v>
      </c>
      <c r="F995" s="364">
        <f t="shared" si="983"/>
        <v>7</v>
      </c>
      <c r="G995" s="364">
        <f t="shared" si="983"/>
        <v>8</v>
      </c>
      <c r="H995" s="364">
        <f t="shared" si="983"/>
        <v>0</v>
      </c>
      <c r="I995" s="364">
        <f t="shared" si="983"/>
        <v>0</v>
      </c>
      <c r="J995" s="364">
        <f t="shared" si="983"/>
        <v>0</v>
      </c>
      <c r="K995" s="364">
        <f t="shared" si="983"/>
        <v>81</v>
      </c>
      <c r="L995" s="364">
        <f t="shared" si="983"/>
        <v>78</v>
      </c>
      <c r="M995" s="364">
        <f t="shared" si="983"/>
        <v>3</v>
      </c>
      <c r="N995" s="364">
        <f t="shared" si="983"/>
        <v>31</v>
      </c>
      <c r="O995" s="364">
        <f t="shared" si="983"/>
        <v>28</v>
      </c>
      <c r="P995" s="364">
        <f t="shared" si="983"/>
        <v>3</v>
      </c>
      <c r="Q995" s="364">
        <f t="shared" si="983"/>
        <v>5</v>
      </c>
      <c r="R995" s="364">
        <f t="shared" si="983"/>
        <v>5</v>
      </c>
      <c r="S995" s="364">
        <f>SUM(S993:S994)</f>
        <v>0</v>
      </c>
      <c r="T995" s="353" t="s">
        <v>12</v>
      </c>
      <c r="U995" s="366"/>
      <c r="V995" s="141"/>
    </row>
    <row r="996" spans="2:22" ht="13.5" thickBot="1" x14ac:dyDescent="0.25">
      <c r="B996" s="364">
        <f t="shared" si="966"/>
        <v>94</v>
      </c>
      <c r="C996" s="364">
        <f t="shared" si="967"/>
        <v>51</v>
      </c>
      <c r="D996" s="364">
        <f t="shared" si="967"/>
        <v>43</v>
      </c>
      <c r="E996" s="364">
        <f t="shared" si="968"/>
        <v>64</v>
      </c>
      <c r="F996" s="364">
        <v>36</v>
      </c>
      <c r="G996" s="364">
        <v>28</v>
      </c>
      <c r="H996" s="364">
        <f t="shared" si="969"/>
        <v>11</v>
      </c>
      <c r="I996" s="364">
        <v>4</v>
      </c>
      <c r="J996" s="364">
        <v>7</v>
      </c>
      <c r="K996" s="364">
        <f t="shared" si="970"/>
        <v>12</v>
      </c>
      <c r="L996" s="364">
        <v>9</v>
      </c>
      <c r="M996" s="364">
        <v>3</v>
      </c>
      <c r="N996" s="364">
        <f t="shared" si="971"/>
        <v>6</v>
      </c>
      <c r="O996" s="364">
        <v>2</v>
      </c>
      <c r="P996" s="364">
        <v>4</v>
      </c>
      <c r="Q996" s="364">
        <f t="shared" si="972"/>
        <v>1</v>
      </c>
      <c r="R996" s="364">
        <v>0</v>
      </c>
      <c r="S996" s="364">
        <v>1</v>
      </c>
      <c r="T996" s="353" t="s">
        <v>146</v>
      </c>
      <c r="U996" s="365"/>
      <c r="V996" s="141"/>
    </row>
    <row r="997" spans="2:22" ht="13.5" thickBot="1" x14ac:dyDescent="0.25">
      <c r="B997" s="364">
        <f t="shared" si="966"/>
        <v>77</v>
      </c>
      <c r="C997" s="364">
        <f t="shared" si="967"/>
        <v>12</v>
      </c>
      <c r="D997" s="364">
        <f t="shared" si="967"/>
        <v>65</v>
      </c>
      <c r="E997" s="364">
        <f t="shared" si="968"/>
        <v>26</v>
      </c>
      <c r="F997" s="364">
        <v>0</v>
      </c>
      <c r="G997" s="364">
        <v>26</v>
      </c>
      <c r="H997" s="364">
        <f t="shared" si="969"/>
        <v>7</v>
      </c>
      <c r="I997" s="364">
        <v>2</v>
      </c>
      <c r="J997" s="364">
        <v>5</v>
      </c>
      <c r="K997" s="364">
        <f t="shared" si="970"/>
        <v>32</v>
      </c>
      <c r="L997" s="364">
        <v>7</v>
      </c>
      <c r="M997" s="364">
        <v>25</v>
      </c>
      <c r="N997" s="364">
        <f t="shared" si="971"/>
        <v>7</v>
      </c>
      <c r="O997" s="364">
        <v>2</v>
      </c>
      <c r="P997" s="364">
        <v>5</v>
      </c>
      <c r="Q997" s="364">
        <f t="shared" si="972"/>
        <v>5</v>
      </c>
      <c r="R997" s="364">
        <v>1</v>
      </c>
      <c r="S997" s="364">
        <v>4</v>
      </c>
      <c r="T997" s="353" t="s">
        <v>145</v>
      </c>
      <c r="U997" s="365" t="s">
        <v>131</v>
      </c>
      <c r="V997" s="141"/>
    </row>
    <row r="998" spans="2:22" ht="13.5" thickBot="1" x14ac:dyDescent="0.25">
      <c r="B998" s="364">
        <f t="shared" ref="B998:R998" si="984">SUM(B996:B997)</f>
        <v>171</v>
      </c>
      <c r="C998" s="364">
        <f t="shared" si="984"/>
        <v>63</v>
      </c>
      <c r="D998" s="364">
        <f t="shared" si="984"/>
        <v>108</v>
      </c>
      <c r="E998" s="364">
        <f t="shared" si="984"/>
        <v>90</v>
      </c>
      <c r="F998" s="364">
        <f t="shared" si="984"/>
        <v>36</v>
      </c>
      <c r="G998" s="364">
        <f t="shared" si="984"/>
        <v>54</v>
      </c>
      <c r="H998" s="364">
        <f t="shared" si="984"/>
        <v>18</v>
      </c>
      <c r="I998" s="364">
        <f t="shared" si="984"/>
        <v>6</v>
      </c>
      <c r="J998" s="364">
        <f t="shared" si="984"/>
        <v>12</v>
      </c>
      <c r="K998" s="364">
        <f t="shared" si="984"/>
        <v>44</v>
      </c>
      <c r="L998" s="364">
        <f t="shared" si="984"/>
        <v>16</v>
      </c>
      <c r="M998" s="364">
        <f t="shared" si="984"/>
        <v>28</v>
      </c>
      <c r="N998" s="364">
        <f t="shared" si="984"/>
        <v>13</v>
      </c>
      <c r="O998" s="364">
        <f t="shared" si="984"/>
        <v>4</v>
      </c>
      <c r="P998" s="364">
        <f t="shared" si="984"/>
        <v>9</v>
      </c>
      <c r="Q998" s="364">
        <f t="shared" si="984"/>
        <v>6</v>
      </c>
      <c r="R998" s="364">
        <f t="shared" si="984"/>
        <v>1</v>
      </c>
      <c r="S998" s="364">
        <f>SUM(S996:S997)</f>
        <v>5</v>
      </c>
      <c r="T998" s="353" t="s">
        <v>12</v>
      </c>
      <c r="U998" s="366"/>
      <c r="V998" s="141"/>
    </row>
    <row r="999" spans="2:22" ht="13.5" thickBot="1" x14ac:dyDescent="0.25">
      <c r="B999" s="364">
        <f t="shared" si="966"/>
        <v>34</v>
      </c>
      <c r="C999" s="364">
        <f t="shared" si="967"/>
        <v>17</v>
      </c>
      <c r="D999" s="364">
        <f t="shared" si="967"/>
        <v>17</v>
      </c>
      <c r="E999" s="364">
        <f t="shared" si="968"/>
        <v>0</v>
      </c>
      <c r="F999" s="364">
        <v>0</v>
      </c>
      <c r="G999" s="364">
        <v>0</v>
      </c>
      <c r="H999" s="364">
        <f t="shared" si="969"/>
        <v>0</v>
      </c>
      <c r="I999" s="364">
        <v>0</v>
      </c>
      <c r="J999" s="364">
        <v>0</v>
      </c>
      <c r="K999" s="364">
        <f t="shared" si="970"/>
        <v>30</v>
      </c>
      <c r="L999" s="364">
        <v>15</v>
      </c>
      <c r="M999" s="364">
        <v>15</v>
      </c>
      <c r="N999" s="364">
        <f t="shared" si="971"/>
        <v>1</v>
      </c>
      <c r="O999" s="364">
        <v>1</v>
      </c>
      <c r="P999" s="364">
        <v>0</v>
      </c>
      <c r="Q999" s="364">
        <f t="shared" si="972"/>
        <v>3</v>
      </c>
      <c r="R999" s="364">
        <v>1</v>
      </c>
      <c r="S999" s="364">
        <v>2</v>
      </c>
      <c r="T999" s="353" t="s">
        <v>146</v>
      </c>
      <c r="U999" s="365"/>
      <c r="V999" s="141"/>
    </row>
    <row r="1000" spans="2:22" ht="13.5" thickBot="1" x14ac:dyDescent="0.25">
      <c r="B1000" s="364">
        <f t="shared" si="966"/>
        <v>33</v>
      </c>
      <c r="C1000" s="364">
        <f t="shared" si="967"/>
        <v>5</v>
      </c>
      <c r="D1000" s="364">
        <f t="shared" si="967"/>
        <v>28</v>
      </c>
      <c r="E1000" s="364">
        <f t="shared" si="968"/>
        <v>0</v>
      </c>
      <c r="F1000" s="364">
        <v>0</v>
      </c>
      <c r="G1000" s="364">
        <v>0</v>
      </c>
      <c r="H1000" s="364">
        <f t="shared" si="969"/>
        <v>0</v>
      </c>
      <c r="I1000" s="364">
        <v>0</v>
      </c>
      <c r="J1000" s="364">
        <v>0</v>
      </c>
      <c r="K1000" s="364">
        <f t="shared" si="970"/>
        <v>24</v>
      </c>
      <c r="L1000" s="364">
        <v>5</v>
      </c>
      <c r="M1000" s="364">
        <v>19</v>
      </c>
      <c r="N1000" s="364">
        <f t="shared" si="971"/>
        <v>3</v>
      </c>
      <c r="O1000" s="364">
        <v>0</v>
      </c>
      <c r="P1000" s="364">
        <v>3</v>
      </c>
      <c r="Q1000" s="364">
        <f t="shared" si="972"/>
        <v>6</v>
      </c>
      <c r="R1000" s="364">
        <v>0</v>
      </c>
      <c r="S1000" s="364">
        <v>6</v>
      </c>
      <c r="T1000" s="353" t="s">
        <v>145</v>
      </c>
      <c r="U1000" s="365" t="s">
        <v>132</v>
      </c>
      <c r="V1000" s="141"/>
    </row>
    <row r="1001" spans="2:22" ht="13.5" thickBot="1" x14ac:dyDescent="0.25">
      <c r="B1001" s="364">
        <f t="shared" ref="B1001:R1001" si="985">SUM(B999:B1000)</f>
        <v>67</v>
      </c>
      <c r="C1001" s="364">
        <f t="shared" si="985"/>
        <v>22</v>
      </c>
      <c r="D1001" s="364">
        <f t="shared" si="985"/>
        <v>45</v>
      </c>
      <c r="E1001" s="364">
        <f t="shared" si="985"/>
        <v>0</v>
      </c>
      <c r="F1001" s="364">
        <f t="shared" si="985"/>
        <v>0</v>
      </c>
      <c r="G1001" s="364">
        <f t="shared" si="985"/>
        <v>0</v>
      </c>
      <c r="H1001" s="364">
        <f t="shared" si="985"/>
        <v>0</v>
      </c>
      <c r="I1001" s="364">
        <f t="shared" si="985"/>
        <v>0</v>
      </c>
      <c r="J1001" s="364">
        <f t="shared" si="985"/>
        <v>0</v>
      </c>
      <c r="K1001" s="364">
        <f t="shared" si="985"/>
        <v>54</v>
      </c>
      <c r="L1001" s="364">
        <f t="shared" si="985"/>
        <v>20</v>
      </c>
      <c r="M1001" s="364">
        <f t="shared" si="985"/>
        <v>34</v>
      </c>
      <c r="N1001" s="364">
        <f t="shared" si="985"/>
        <v>4</v>
      </c>
      <c r="O1001" s="364">
        <f t="shared" si="985"/>
        <v>1</v>
      </c>
      <c r="P1001" s="364">
        <f t="shared" si="985"/>
        <v>3</v>
      </c>
      <c r="Q1001" s="364">
        <f t="shared" si="985"/>
        <v>9</v>
      </c>
      <c r="R1001" s="364">
        <f t="shared" si="985"/>
        <v>1</v>
      </c>
      <c r="S1001" s="364">
        <f>SUM(S999:S1000)</f>
        <v>8</v>
      </c>
      <c r="T1001" s="353" t="s">
        <v>12</v>
      </c>
      <c r="U1001" s="366"/>
      <c r="V1001" s="141"/>
    </row>
    <row r="1002" spans="2:22" ht="13.5" thickBot="1" x14ac:dyDescent="0.25">
      <c r="B1002" s="364">
        <f t="shared" si="966"/>
        <v>80</v>
      </c>
      <c r="C1002" s="364">
        <f t="shared" si="967"/>
        <v>78</v>
      </c>
      <c r="D1002" s="364">
        <f t="shared" si="967"/>
        <v>2</v>
      </c>
      <c r="E1002" s="364">
        <f t="shared" si="968"/>
        <v>15</v>
      </c>
      <c r="F1002" s="364">
        <v>15</v>
      </c>
      <c r="G1002" s="364">
        <v>0</v>
      </c>
      <c r="H1002" s="364">
        <f t="shared" si="969"/>
        <v>0</v>
      </c>
      <c r="I1002" s="364">
        <v>0</v>
      </c>
      <c r="J1002" s="364">
        <v>0</v>
      </c>
      <c r="K1002" s="364">
        <f t="shared" si="970"/>
        <v>52</v>
      </c>
      <c r="L1002" s="364">
        <v>50</v>
      </c>
      <c r="M1002" s="364">
        <v>2</v>
      </c>
      <c r="N1002" s="364">
        <f t="shared" si="971"/>
        <v>8</v>
      </c>
      <c r="O1002" s="364">
        <v>8</v>
      </c>
      <c r="P1002" s="364">
        <v>0</v>
      </c>
      <c r="Q1002" s="364">
        <f t="shared" si="972"/>
        <v>5</v>
      </c>
      <c r="R1002" s="364">
        <v>5</v>
      </c>
      <c r="S1002" s="364">
        <v>0</v>
      </c>
      <c r="T1002" s="353" t="s">
        <v>146</v>
      </c>
      <c r="U1002" s="365"/>
      <c r="V1002" s="141"/>
    </row>
    <row r="1003" spans="2:22" ht="13.5" thickBot="1" x14ac:dyDescent="0.25">
      <c r="B1003" s="364">
        <f t="shared" si="966"/>
        <v>79</v>
      </c>
      <c r="C1003" s="364">
        <f t="shared" si="967"/>
        <v>63</v>
      </c>
      <c r="D1003" s="364">
        <f t="shared" si="967"/>
        <v>16</v>
      </c>
      <c r="E1003" s="364">
        <f t="shared" si="968"/>
        <v>30</v>
      </c>
      <c r="F1003" s="364">
        <v>15</v>
      </c>
      <c r="G1003" s="364">
        <v>15</v>
      </c>
      <c r="H1003" s="364">
        <f t="shared" si="969"/>
        <v>0</v>
      </c>
      <c r="I1003" s="364">
        <v>0</v>
      </c>
      <c r="J1003" s="364">
        <v>0</v>
      </c>
      <c r="K1003" s="364">
        <f t="shared" si="970"/>
        <v>41</v>
      </c>
      <c r="L1003" s="364">
        <v>40</v>
      </c>
      <c r="M1003" s="364">
        <v>1</v>
      </c>
      <c r="N1003" s="364">
        <f t="shared" si="971"/>
        <v>6</v>
      </c>
      <c r="O1003" s="364">
        <v>6</v>
      </c>
      <c r="P1003" s="364">
        <v>0</v>
      </c>
      <c r="Q1003" s="364">
        <f t="shared" si="972"/>
        <v>2</v>
      </c>
      <c r="R1003" s="364">
        <v>2</v>
      </c>
      <c r="S1003" s="364">
        <v>0</v>
      </c>
      <c r="T1003" s="353" t="s">
        <v>145</v>
      </c>
      <c r="U1003" s="365" t="s">
        <v>133</v>
      </c>
      <c r="V1003" s="141"/>
    </row>
    <row r="1004" spans="2:22" ht="13.5" thickBot="1" x14ac:dyDescent="0.25">
      <c r="B1004" s="364">
        <f t="shared" ref="B1004:R1004" si="986">SUM(B1002:B1003)</f>
        <v>159</v>
      </c>
      <c r="C1004" s="364">
        <f t="shared" si="986"/>
        <v>141</v>
      </c>
      <c r="D1004" s="364">
        <f t="shared" si="986"/>
        <v>18</v>
      </c>
      <c r="E1004" s="364">
        <f t="shared" si="986"/>
        <v>45</v>
      </c>
      <c r="F1004" s="364">
        <f t="shared" si="986"/>
        <v>30</v>
      </c>
      <c r="G1004" s="364">
        <f t="shared" si="986"/>
        <v>15</v>
      </c>
      <c r="H1004" s="364">
        <f t="shared" si="986"/>
        <v>0</v>
      </c>
      <c r="I1004" s="364">
        <f t="shared" si="986"/>
        <v>0</v>
      </c>
      <c r="J1004" s="364">
        <f t="shared" si="986"/>
        <v>0</v>
      </c>
      <c r="K1004" s="364">
        <f t="shared" si="986"/>
        <v>93</v>
      </c>
      <c r="L1004" s="364">
        <f t="shared" si="986"/>
        <v>90</v>
      </c>
      <c r="M1004" s="364">
        <f t="shared" si="986"/>
        <v>3</v>
      </c>
      <c r="N1004" s="364">
        <f t="shared" si="986"/>
        <v>14</v>
      </c>
      <c r="O1004" s="364">
        <f t="shared" si="986"/>
        <v>14</v>
      </c>
      <c r="P1004" s="364">
        <f t="shared" si="986"/>
        <v>0</v>
      </c>
      <c r="Q1004" s="364">
        <f t="shared" si="986"/>
        <v>7</v>
      </c>
      <c r="R1004" s="364">
        <f t="shared" si="986"/>
        <v>7</v>
      </c>
      <c r="S1004" s="364">
        <f>SUM(S1002:S1003)</f>
        <v>0</v>
      </c>
      <c r="T1004" s="353" t="s">
        <v>12</v>
      </c>
      <c r="U1004" s="366"/>
      <c r="V1004" s="141"/>
    </row>
    <row r="1005" spans="2:22" ht="13.5" thickBot="1" x14ac:dyDescent="0.25">
      <c r="B1005" s="364">
        <f t="shared" si="966"/>
        <v>16</v>
      </c>
      <c r="C1005" s="364">
        <f t="shared" si="967"/>
        <v>6</v>
      </c>
      <c r="D1005" s="364">
        <f t="shared" si="967"/>
        <v>10</v>
      </c>
      <c r="E1005" s="364">
        <f t="shared" si="968"/>
        <v>5</v>
      </c>
      <c r="F1005" s="364">
        <v>1</v>
      </c>
      <c r="G1005" s="364">
        <v>4</v>
      </c>
      <c r="H1005" s="364">
        <f t="shared" si="969"/>
        <v>0</v>
      </c>
      <c r="I1005" s="364">
        <v>0</v>
      </c>
      <c r="J1005" s="364">
        <v>0</v>
      </c>
      <c r="K1005" s="364">
        <f t="shared" si="970"/>
        <v>11</v>
      </c>
      <c r="L1005" s="364">
        <v>5</v>
      </c>
      <c r="M1005" s="364">
        <v>6</v>
      </c>
      <c r="N1005" s="364">
        <f t="shared" si="971"/>
        <v>0</v>
      </c>
      <c r="O1005" s="364">
        <v>0</v>
      </c>
      <c r="P1005" s="364">
        <v>0</v>
      </c>
      <c r="Q1005" s="364">
        <f t="shared" si="972"/>
        <v>0</v>
      </c>
      <c r="R1005" s="364">
        <v>0</v>
      </c>
      <c r="S1005" s="364">
        <v>0</v>
      </c>
      <c r="T1005" s="353" t="s">
        <v>146</v>
      </c>
      <c r="U1005" s="365"/>
      <c r="V1005" s="141"/>
    </row>
    <row r="1006" spans="2:22" ht="13.5" thickBot="1" x14ac:dyDescent="0.25">
      <c r="B1006" s="364">
        <f t="shared" si="966"/>
        <v>5</v>
      </c>
      <c r="C1006" s="364">
        <f t="shared" si="967"/>
        <v>0</v>
      </c>
      <c r="D1006" s="364">
        <f t="shared" si="967"/>
        <v>5</v>
      </c>
      <c r="E1006" s="364">
        <f t="shared" si="968"/>
        <v>2</v>
      </c>
      <c r="F1006" s="364">
        <v>0</v>
      </c>
      <c r="G1006" s="364">
        <v>2</v>
      </c>
      <c r="H1006" s="364">
        <f t="shared" si="969"/>
        <v>0</v>
      </c>
      <c r="I1006" s="364">
        <v>0</v>
      </c>
      <c r="J1006" s="364">
        <v>0</v>
      </c>
      <c r="K1006" s="364">
        <f t="shared" si="970"/>
        <v>3</v>
      </c>
      <c r="L1006" s="364">
        <v>0</v>
      </c>
      <c r="M1006" s="364">
        <v>3</v>
      </c>
      <c r="N1006" s="364">
        <f t="shared" si="971"/>
        <v>0</v>
      </c>
      <c r="O1006" s="364">
        <v>0</v>
      </c>
      <c r="P1006" s="364">
        <v>0</v>
      </c>
      <c r="Q1006" s="364">
        <f t="shared" si="972"/>
        <v>0</v>
      </c>
      <c r="R1006" s="364">
        <v>0</v>
      </c>
      <c r="S1006" s="364">
        <v>0</v>
      </c>
      <c r="T1006" s="353" t="s">
        <v>145</v>
      </c>
      <c r="U1006" s="365" t="s">
        <v>134</v>
      </c>
      <c r="V1006" s="141"/>
    </row>
    <row r="1007" spans="2:22" ht="13.5" thickBot="1" x14ac:dyDescent="0.25">
      <c r="B1007" s="364">
        <f t="shared" ref="B1007:R1007" si="987">SUM(B1005:B1006)</f>
        <v>21</v>
      </c>
      <c r="C1007" s="364">
        <f t="shared" si="987"/>
        <v>6</v>
      </c>
      <c r="D1007" s="364">
        <f t="shared" si="987"/>
        <v>15</v>
      </c>
      <c r="E1007" s="364">
        <f t="shared" si="987"/>
        <v>7</v>
      </c>
      <c r="F1007" s="364">
        <f t="shared" si="987"/>
        <v>1</v>
      </c>
      <c r="G1007" s="364">
        <f t="shared" si="987"/>
        <v>6</v>
      </c>
      <c r="H1007" s="364">
        <f t="shared" si="987"/>
        <v>0</v>
      </c>
      <c r="I1007" s="364">
        <f t="shared" si="987"/>
        <v>0</v>
      </c>
      <c r="J1007" s="364">
        <f t="shared" si="987"/>
        <v>0</v>
      </c>
      <c r="K1007" s="364">
        <f t="shared" si="987"/>
        <v>14</v>
      </c>
      <c r="L1007" s="364">
        <f t="shared" si="987"/>
        <v>5</v>
      </c>
      <c r="M1007" s="364">
        <f t="shared" si="987"/>
        <v>9</v>
      </c>
      <c r="N1007" s="364">
        <f t="shared" si="987"/>
        <v>0</v>
      </c>
      <c r="O1007" s="364">
        <f t="shared" si="987"/>
        <v>0</v>
      </c>
      <c r="P1007" s="364">
        <f t="shared" si="987"/>
        <v>0</v>
      </c>
      <c r="Q1007" s="364">
        <f t="shared" si="987"/>
        <v>0</v>
      </c>
      <c r="R1007" s="364">
        <f t="shared" si="987"/>
        <v>0</v>
      </c>
      <c r="S1007" s="364">
        <f>SUM(S1005:S1006)</f>
        <v>0</v>
      </c>
      <c r="T1007" s="353" t="s">
        <v>12</v>
      </c>
      <c r="U1007" s="366"/>
      <c r="V1007" s="141"/>
    </row>
    <row r="1008" spans="2:22" ht="13.5" thickBot="1" x14ac:dyDescent="0.25">
      <c r="B1008" s="364">
        <f t="shared" si="966"/>
        <v>16</v>
      </c>
      <c r="C1008" s="364">
        <f t="shared" si="967"/>
        <v>0</v>
      </c>
      <c r="D1008" s="364">
        <f t="shared" si="967"/>
        <v>16</v>
      </c>
      <c r="E1008" s="364">
        <f t="shared" si="968"/>
        <v>5</v>
      </c>
      <c r="F1008" s="364">
        <v>0</v>
      </c>
      <c r="G1008" s="364">
        <v>5</v>
      </c>
      <c r="H1008" s="364">
        <f t="shared" si="969"/>
        <v>8</v>
      </c>
      <c r="I1008" s="364">
        <v>0</v>
      </c>
      <c r="J1008" s="364">
        <v>8</v>
      </c>
      <c r="K1008" s="364">
        <f t="shared" si="970"/>
        <v>3</v>
      </c>
      <c r="L1008" s="364">
        <v>0</v>
      </c>
      <c r="M1008" s="364">
        <v>3</v>
      </c>
      <c r="N1008" s="364">
        <f t="shared" si="971"/>
        <v>0</v>
      </c>
      <c r="O1008" s="364">
        <v>0</v>
      </c>
      <c r="P1008" s="364">
        <v>0</v>
      </c>
      <c r="Q1008" s="364">
        <f t="shared" si="972"/>
        <v>0</v>
      </c>
      <c r="R1008" s="364">
        <v>0</v>
      </c>
      <c r="S1008" s="364">
        <v>0</v>
      </c>
      <c r="T1008" s="353" t="s">
        <v>146</v>
      </c>
      <c r="U1008" s="365"/>
      <c r="V1008" s="141"/>
    </row>
    <row r="1009" spans="2:22" ht="13.5" thickBot="1" x14ac:dyDescent="0.25">
      <c r="B1009" s="364">
        <f t="shared" si="966"/>
        <v>6</v>
      </c>
      <c r="C1009" s="364">
        <f t="shared" si="967"/>
        <v>0</v>
      </c>
      <c r="D1009" s="364">
        <f t="shared" si="967"/>
        <v>6</v>
      </c>
      <c r="E1009" s="364">
        <f t="shared" si="968"/>
        <v>1</v>
      </c>
      <c r="F1009" s="364">
        <v>0</v>
      </c>
      <c r="G1009" s="364">
        <v>1</v>
      </c>
      <c r="H1009" s="364">
        <f t="shared" si="969"/>
        <v>1</v>
      </c>
      <c r="I1009" s="364">
        <v>0</v>
      </c>
      <c r="J1009" s="364">
        <v>1</v>
      </c>
      <c r="K1009" s="364">
        <f t="shared" si="970"/>
        <v>3</v>
      </c>
      <c r="L1009" s="364">
        <v>0</v>
      </c>
      <c r="M1009" s="364">
        <v>3</v>
      </c>
      <c r="N1009" s="364">
        <f t="shared" si="971"/>
        <v>0</v>
      </c>
      <c r="O1009" s="364">
        <v>0</v>
      </c>
      <c r="P1009" s="364">
        <v>0</v>
      </c>
      <c r="Q1009" s="364">
        <f t="shared" si="972"/>
        <v>1</v>
      </c>
      <c r="R1009" s="364">
        <v>0</v>
      </c>
      <c r="S1009" s="364">
        <v>1</v>
      </c>
      <c r="T1009" s="353" t="s">
        <v>145</v>
      </c>
      <c r="U1009" s="365" t="s">
        <v>135</v>
      </c>
      <c r="V1009" s="141"/>
    </row>
    <row r="1010" spans="2:22" ht="13.5" thickBot="1" x14ac:dyDescent="0.25">
      <c r="B1010" s="364">
        <f t="shared" ref="B1010:R1010" si="988">SUM(B1008:B1009)</f>
        <v>22</v>
      </c>
      <c r="C1010" s="364">
        <f t="shared" si="988"/>
        <v>0</v>
      </c>
      <c r="D1010" s="364">
        <f t="shared" si="988"/>
        <v>22</v>
      </c>
      <c r="E1010" s="364">
        <f t="shared" si="988"/>
        <v>6</v>
      </c>
      <c r="F1010" s="364">
        <f t="shared" si="988"/>
        <v>0</v>
      </c>
      <c r="G1010" s="364">
        <f t="shared" si="988"/>
        <v>6</v>
      </c>
      <c r="H1010" s="364">
        <f t="shared" si="988"/>
        <v>9</v>
      </c>
      <c r="I1010" s="364">
        <f t="shared" si="988"/>
        <v>0</v>
      </c>
      <c r="J1010" s="364">
        <f t="shared" si="988"/>
        <v>9</v>
      </c>
      <c r="K1010" s="364">
        <f t="shared" si="988"/>
        <v>6</v>
      </c>
      <c r="L1010" s="364">
        <f t="shared" si="988"/>
        <v>0</v>
      </c>
      <c r="M1010" s="364">
        <f t="shared" si="988"/>
        <v>6</v>
      </c>
      <c r="N1010" s="364">
        <f t="shared" si="988"/>
        <v>0</v>
      </c>
      <c r="O1010" s="364">
        <f t="shared" si="988"/>
        <v>0</v>
      </c>
      <c r="P1010" s="364">
        <f t="shared" si="988"/>
        <v>0</v>
      </c>
      <c r="Q1010" s="364">
        <f t="shared" si="988"/>
        <v>1</v>
      </c>
      <c r="R1010" s="364">
        <f t="shared" si="988"/>
        <v>0</v>
      </c>
      <c r="S1010" s="364">
        <f>SUM(S1008:S1009)</f>
        <v>1</v>
      </c>
      <c r="T1010" s="353" t="s">
        <v>12</v>
      </c>
      <c r="U1010" s="366"/>
      <c r="V1010" s="141"/>
    </row>
    <row r="1011" spans="2:22" ht="13.5" thickBot="1" x14ac:dyDescent="0.25">
      <c r="B1011" s="364">
        <f t="shared" si="966"/>
        <v>5</v>
      </c>
      <c r="C1011" s="364">
        <f t="shared" si="967"/>
        <v>5</v>
      </c>
      <c r="D1011" s="364">
        <f t="shared" si="967"/>
        <v>0</v>
      </c>
      <c r="E1011" s="364">
        <f t="shared" si="968"/>
        <v>0</v>
      </c>
      <c r="F1011" s="364">
        <v>0</v>
      </c>
      <c r="G1011" s="364">
        <v>0</v>
      </c>
      <c r="H1011" s="364">
        <f t="shared" si="969"/>
        <v>0</v>
      </c>
      <c r="I1011" s="364">
        <v>0</v>
      </c>
      <c r="J1011" s="364">
        <v>0</v>
      </c>
      <c r="K1011" s="364">
        <f t="shared" si="970"/>
        <v>4</v>
      </c>
      <c r="L1011" s="364">
        <v>4</v>
      </c>
      <c r="M1011" s="364">
        <v>0</v>
      </c>
      <c r="N1011" s="364">
        <f t="shared" si="971"/>
        <v>1</v>
      </c>
      <c r="O1011" s="364">
        <v>1</v>
      </c>
      <c r="P1011" s="364">
        <v>0</v>
      </c>
      <c r="Q1011" s="364">
        <f t="shared" si="972"/>
        <v>0</v>
      </c>
      <c r="R1011" s="364">
        <v>0</v>
      </c>
      <c r="S1011" s="364">
        <v>0</v>
      </c>
      <c r="T1011" s="353" t="s">
        <v>146</v>
      </c>
      <c r="U1011" s="365"/>
      <c r="V1011" s="141"/>
    </row>
    <row r="1012" spans="2:22" ht="18" customHeight="1" thickBot="1" x14ac:dyDescent="0.25">
      <c r="B1012" s="364">
        <f t="shared" si="966"/>
        <v>8</v>
      </c>
      <c r="C1012" s="364">
        <f t="shared" si="967"/>
        <v>3</v>
      </c>
      <c r="D1012" s="364">
        <f t="shared" si="967"/>
        <v>5</v>
      </c>
      <c r="E1012" s="364">
        <f t="shared" si="968"/>
        <v>1</v>
      </c>
      <c r="F1012" s="364">
        <v>0</v>
      </c>
      <c r="G1012" s="364">
        <v>1</v>
      </c>
      <c r="H1012" s="364">
        <f t="shared" si="969"/>
        <v>0</v>
      </c>
      <c r="I1012" s="364">
        <v>0</v>
      </c>
      <c r="J1012" s="364">
        <v>0</v>
      </c>
      <c r="K1012" s="364">
        <f t="shared" si="970"/>
        <v>5</v>
      </c>
      <c r="L1012" s="364">
        <v>2</v>
      </c>
      <c r="M1012" s="364">
        <v>3</v>
      </c>
      <c r="N1012" s="364">
        <f t="shared" si="971"/>
        <v>1</v>
      </c>
      <c r="O1012" s="364">
        <v>1</v>
      </c>
      <c r="P1012" s="364">
        <v>0</v>
      </c>
      <c r="Q1012" s="364">
        <f t="shared" si="972"/>
        <v>1</v>
      </c>
      <c r="R1012" s="364">
        <v>0</v>
      </c>
      <c r="S1012" s="364">
        <v>1</v>
      </c>
      <c r="T1012" s="353" t="s">
        <v>145</v>
      </c>
      <c r="U1012" s="365" t="s">
        <v>137</v>
      </c>
      <c r="V1012" s="141"/>
    </row>
    <row r="1013" spans="2:22" ht="13.5" thickBot="1" x14ac:dyDescent="0.25">
      <c r="B1013" s="364">
        <f t="shared" ref="B1013:R1013" si="989">SUM(B1011:B1012)</f>
        <v>13</v>
      </c>
      <c r="C1013" s="364">
        <f t="shared" si="989"/>
        <v>8</v>
      </c>
      <c r="D1013" s="364">
        <f t="shared" si="989"/>
        <v>5</v>
      </c>
      <c r="E1013" s="364">
        <f t="shared" si="989"/>
        <v>1</v>
      </c>
      <c r="F1013" s="364">
        <f t="shared" si="989"/>
        <v>0</v>
      </c>
      <c r="G1013" s="364">
        <f t="shared" si="989"/>
        <v>1</v>
      </c>
      <c r="H1013" s="364">
        <f t="shared" si="989"/>
        <v>0</v>
      </c>
      <c r="I1013" s="364">
        <f t="shared" si="989"/>
        <v>0</v>
      </c>
      <c r="J1013" s="364">
        <f t="shared" si="989"/>
        <v>0</v>
      </c>
      <c r="K1013" s="364">
        <f t="shared" si="989"/>
        <v>9</v>
      </c>
      <c r="L1013" s="364">
        <f t="shared" si="989"/>
        <v>6</v>
      </c>
      <c r="M1013" s="364">
        <f t="shared" si="989"/>
        <v>3</v>
      </c>
      <c r="N1013" s="364">
        <f t="shared" si="989"/>
        <v>2</v>
      </c>
      <c r="O1013" s="364">
        <f t="shared" si="989"/>
        <v>2</v>
      </c>
      <c r="P1013" s="364">
        <f t="shared" si="989"/>
        <v>0</v>
      </c>
      <c r="Q1013" s="364">
        <f t="shared" si="989"/>
        <v>1</v>
      </c>
      <c r="R1013" s="364">
        <f t="shared" si="989"/>
        <v>0</v>
      </c>
      <c r="S1013" s="364">
        <f>SUM(S1011:S1012)</f>
        <v>1</v>
      </c>
      <c r="T1013" s="353" t="s">
        <v>12</v>
      </c>
      <c r="U1013" s="366"/>
    </row>
    <row r="1014" spans="2:22" ht="13.5" thickBot="1" x14ac:dyDescent="0.25">
      <c r="B1014" s="364">
        <f t="shared" si="966"/>
        <v>25</v>
      </c>
      <c r="C1014" s="364">
        <f t="shared" si="967"/>
        <v>14</v>
      </c>
      <c r="D1014" s="364">
        <f t="shared" si="967"/>
        <v>11</v>
      </c>
      <c r="E1014" s="364">
        <f t="shared" si="968"/>
        <v>6</v>
      </c>
      <c r="F1014" s="364">
        <v>1</v>
      </c>
      <c r="G1014" s="364">
        <v>5</v>
      </c>
      <c r="H1014" s="364">
        <f t="shared" si="969"/>
        <v>9</v>
      </c>
      <c r="I1014" s="364">
        <v>6</v>
      </c>
      <c r="J1014" s="364">
        <v>3</v>
      </c>
      <c r="K1014" s="364">
        <f t="shared" si="970"/>
        <v>10</v>
      </c>
      <c r="L1014" s="364">
        <v>7</v>
      </c>
      <c r="M1014" s="364">
        <v>3</v>
      </c>
      <c r="N1014" s="364">
        <f t="shared" si="971"/>
        <v>0</v>
      </c>
      <c r="O1014" s="364">
        <v>0</v>
      </c>
      <c r="P1014" s="364">
        <v>0</v>
      </c>
      <c r="Q1014" s="364">
        <f t="shared" si="972"/>
        <v>0</v>
      </c>
      <c r="R1014" s="364">
        <v>0</v>
      </c>
      <c r="S1014" s="364">
        <v>0</v>
      </c>
      <c r="T1014" s="353" t="s">
        <v>146</v>
      </c>
      <c r="U1014" s="365"/>
    </row>
    <row r="1015" spans="2:22" ht="13.5" thickBot="1" x14ac:dyDescent="0.25">
      <c r="B1015" s="364">
        <f t="shared" si="966"/>
        <v>137</v>
      </c>
      <c r="C1015" s="364">
        <f t="shared" si="967"/>
        <v>70</v>
      </c>
      <c r="D1015" s="364">
        <f t="shared" si="967"/>
        <v>67</v>
      </c>
      <c r="E1015" s="364">
        <f t="shared" si="968"/>
        <v>6</v>
      </c>
      <c r="F1015" s="364">
        <v>1</v>
      </c>
      <c r="G1015" s="364">
        <v>5</v>
      </c>
      <c r="H1015" s="364">
        <f t="shared" si="969"/>
        <v>33</v>
      </c>
      <c r="I1015" s="364">
        <v>8</v>
      </c>
      <c r="J1015" s="364">
        <v>25</v>
      </c>
      <c r="K1015" s="364">
        <f t="shared" si="970"/>
        <v>98</v>
      </c>
      <c r="L1015" s="364">
        <v>61</v>
      </c>
      <c r="M1015" s="364">
        <v>37</v>
      </c>
      <c r="N1015" s="364">
        <f t="shared" si="971"/>
        <v>0</v>
      </c>
      <c r="O1015" s="364">
        <v>0</v>
      </c>
      <c r="P1015" s="364">
        <v>0</v>
      </c>
      <c r="Q1015" s="364">
        <f t="shared" si="972"/>
        <v>0</v>
      </c>
      <c r="R1015" s="364">
        <v>0</v>
      </c>
      <c r="S1015" s="364">
        <v>0</v>
      </c>
      <c r="T1015" s="353" t="s">
        <v>145</v>
      </c>
      <c r="U1015" s="365" t="s">
        <v>786</v>
      </c>
    </row>
    <row r="1016" spans="2:22" ht="13.5" thickBot="1" x14ac:dyDescent="0.25">
      <c r="B1016" s="364">
        <f t="shared" ref="B1016:R1016" si="990">SUM(B1014:B1015)</f>
        <v>162</v>
      </c>
      <c r="C1016" s="364">
        <f t="shared" si="990"/>
        <v>84</v>
      </c>
      <c r="D1016" s="364">
        <f t="shared" si="990"/>
        <v>78</v>
      </c>
      <c r="E1016" s="364">
        <f t="shared" si="990"/>
        <v>12</v>
      </c>
      <c r="F1016" s="364">
        <f t="shared" si="990"/>
        <v>2</v>
      </c>
      <c r="G1016" s="364">
        <f t="shared" si="990"/>
        <v>10</v>
      </c>
      <c r="H1016" s="364">
        <f t="shared" si="990"/>
        <v>42</v>
      </c>
      <c r="I1016" s="364">
        <f t="shared" si="990"/>
        <v>14</v>
      </c>
      <c r="J1016" s="364">
        <f t="shared" si="990"/>
        <v>28</v>
      </c>
      <c r="K1016" s="364">
        <f t="shared" si="990"/>
        <v>108</v>
      </c>
      <c r="L1016" s="364">
        <f t="shared" si="990"/>
        <v>68</v>
      </c>
      <c r="M1016" s="364">
        <f t="shared" si="990"/>
        <v>40</v>
      </c>
      <c r="N1016" s="364">
        <f t="shared" si="990"/>
        <v>0</v>
      </c>
      <c r="O1016" s="364">
        <f t="shared" si="990"/>
        <v>0</v>
      </c>
      <c r="P1016" s="364">
        <f t="shared" si="990"/>
        <v>0</v>
      </c>
      <c r="Q1016" s="364">
        <f t="shared" si="990"/>
        <v>0</v>
      </c>
      <c r="R1016" s="364">
        <f t="shared" si="990"/>
        <v>0</v>
      </c>
      <c r="S1016" s="364">
        <f>SUM(S1014:S1015)</f>
        <v>0</v>
      </c>
      <c r="T1016" s="353" t="s">
        <v>12</v>
      </c>
      <c r="U1016" s="366"/>
    </row>
    <row r="1017" spans="2:22" ht="13.5" thickBot="1" x14ac:dyDescent="0.25">
      <c r="B1017" s="364">
        <f t="shared" si="966"/>
        <v>16</v>
      </c>
      <c r="C1017" s="364">
        <f t="shared" si="967"/>
        <v>7</v>
      </c>
      <c r="D1017" s="364">
        <f t="shared" si="967"/>
        <v>9</v>
      </c>
      <c r="E1017" s="364">
        <f t="shared" si="968"/>
        <v>1</v>
      </c>
      <c r="F1017" s="364">
        <v>0</v>
      </c>
      <c r="G1017" s="364">
        <v>1</v>
      </c>
      <c r="H1017" s="364">
        <f t="shared" si="969"/>
        <v>3</v>
      </c>
      <c r="I1017" s="364">
        <v>0</v>
      </c>
      <c r="J1017" s="364">
        <v>3</v>
      </c>
      <c r="K1017" s="364">
        <f t="shared" si="970"/>
        <v>11</v>
      </c>
      <c r="L1017" s="364">
        <v>6</v>
      </c>
      <c r="M1017" s="364">
        <v>5</v>
      </c>
      <c r="N1017" s="364">
        <f t="shared" si="971"/>
        <v>1</v>
      </c>
      <c r="O1017" s="364">
        <v>1</v>
      </c>
      <c r="P1017" s="364">
        <v>0</v>
      </c>
      <c r="Q1017" s="364">
        <f t="shared" si="972"/>
        <v>0</v>
      </c>
      <c r="R1017" s="364">
        <v>0</v>
      </c>
      <c r="S1017" s="364">
        <v>0</v>
      </c>
      <c r="T1017" s="353" t="s">
        <v>146</v>
      </c>
      <c r="U1017" s="365"/>
    </row>
    <row r="1018" spans="2:22" ht="13.5" thickBot="1" x14ac:dyDescent="0.25">
      <c r="B1018" s="364">
        <f t="shared" si="966"/>
        <v>12</v>
      </c>
      <c r="C1018" s="364">
        <f t="shared" si="967"/>
        <v>3</v>
      </c>
      <c r="D1018" s="364">
        <f t="shared" si="967"/>
        <v>9</v>
      </c>
      <c r="E1018" s="364">
        <f t="shared" si="968"/>
        <v>0</v>
      </c>
      <c r="F1018" s="364">
        <v>0</v>
      </c>
      <c r="G1018" s="364">
        <v>0</v>
      </c>
      <c r="H1018" s="364">
        <f t="shared" si="969"/>
        <v>10</v>
      </c>
      <c r="I1018" s="364">
        <v>3</v>
      </c>
      <c r="J1018" s="364">
        <v>7</v>
      </c>
      <c r="K1018" s="364">
        <f t="shared" si="970"/>
        <v>1</v>
      </c>
      <c r="L1018" s="364">
        <v>0</v>
      </c>
      <c r="M1018" s="364">
        <v>1</v>
      </c>
      <c r="N1018" s="364">
        <f t="shared" si="971"/>
        <v>1</v>
      </c>
      <c r="O1018" s="364">
        <v>0</v>
      </c>
      <c r="P1018" s="364">
        <v>1</v>
      </c>
      <c r="Q1018" s="364">
        <f t="shared" si="972"/>
        <v>0</v>
      </c>
      <c r="R1018" s="364">
        <v>0</v>
      </c>
      <c r="S1018" s="364">
        <v>0</v>
      </c>
      <c r="T1018" s="353" t="s">
        <v>145</v>
      </c>
      <c r="U1018" s="365" t="s">
        <v>138</v>
      </c>
    </row>
    <row r="1019" spans="2:22" ht="13.5" thickBot="1" x14ac:dyDescent="0.25">
      <c r="B1019" s="364">
        <f t="shared" ref="B1019:R1019" si="991">SUM(B1017:B1018)</f>
        <v>28</v>
      </c>
      <c r="C1019" s="364">
        <f t="shared" si="991"/>
        <v>10</v>
      </c>
      <c r="D1019" s="364">
        <f t="shared" si="991"/>
        <v>18</v>
      </c>
      <c r="E1019" s="364">
        <f t="shared" si="991"/>
        <v>1</v>
      </c>
      <c r="F1019" s="364">
        <f t="shared" si="991"/>
        <v>0</v>
      </c>
      <c r="G1019" s="364">
        <f t="shared" si="991"/>
        <v>1</v>
      </c>
      <c r="H1019" s="364">
        <f t="shared" si="991"/>
        <v>13</v>
      </c>
      <c r="I1019" s="364">
        <f t="shared" si="991"/>
        <v>3</v>
      </c>
      <c r="J1019" s="364">
        <f t="shared" si="991"/>
        <v>10</v>
      </c>
      <c r="K1019" s="364">
        <f t="shared" si="991"/>
        <v>12</v>
      </c>
      <c r="L1019" s="364">
        <f t="shared" si="991"/>
        <v>6</v>
      </c>
      <c r="M1019" s="364">
        <f t="shared" si="991"/>
        <v>6</v>
      </c>
      <c r="N1019" s="364">
        <f t="shared" si="991"/>
        <v>2</v>
      </c>
      <c r="O1019" s="364">
        <f t="shared" si="991"/>
        <v>1</v>
      </c>
      <c r="P1019" s="364">
        <f t="shared" si="991"/>
        <v>1</v>
      </c>
      <c r="Q1019" s="364">
        <f t="shared" si="991"/>
        <v>0</v>
      </c>
      <c r="R1019" s="364">
        <f t="shared" si="991"/>
        <v>0</v>
      </c>
      <c r="S1019" s="364">
        <f>SUM(S1017:S1018)</f>
        <v>0</v>
      </c>
      <c r="T1019" s="353" t="s">
        <v>12</v>
      </c>
      <c r="U1019" s="366"/>
    </row>
    <row r="1020" spans="2:22" ht="13.5" thickBot="1" x14ac:dyDescent="0.25">
      <c r="B1020" s="364">
        <f t="shared" si="966"/>
        <v>6</v>
      </c>
      <c r="C1020" s="364">
        <f t="shared" si="967"/>
        <v>0</v>
      </c>
      <c r="D1020" s="364">
        <f t="shared" si="967"/>
        <v>6</v>
      </c>
      <c r="E1020" s="364">
        <f t="shared" si="968"/>
        <v>0</v>
      </c>
      <c r="F1020" s="364">
        <v>0</v>
      </c>
      <c r="G1020" s="364">
        <v>0</v>
      </c>
      <c r="H1020" s="364">
        <f t="shared" si="969"/>
        <v>0</v>
      </c>
      <c r="I1020" s="364">
        <v>0</v>
      </c>
      <c r="J1020" s="364">
        <v>0</v>
      </c>
      <c r="K1020" s="364">
        <f t="shared" si="970"/>
        <v>6</v>
      </c>
      <c r="L1020" s="364">
        <v>0</v>
      </c>
      <c r="M1020" s="364">
        <v>6</v>
      </c>
      <c r="N1020" s="364">
        <f t="shared" si="971"/>
        <v>0</v>
      </c>
      <c r="O1020" s="364">
        <v>0</v>
      </c>
      <c r="P1020" s="364">
        <v>0</v>
      </c>
      <c r="Q1020" s="364">
        <f t="shared" si="972"/>
        <v>0</v>
      </c>
      <c r="R1020" s="364">
        <v>0</v>
      </c>
      <c r="S1020" s="364">
        <v>0</v>
      </c>
      <c r="T1020" s="353" t="s">
        <v>146</v>
      </c>
      <c r="U1020" s="365"/>
    </row>
    <row r="1021" spans="2:22" ht="13.5" thickBot="1" x14ac:dyDescent="0.25">
      <c r="B1021" s="364">
        <f t="shared" si="966"/>
        <v>1</v>
      </c>
      <c r="C1021" s="364">
        <f t="shared" si="967"/>
        <v>0</v>
      </c>
      <c r="D1021" s="364">
        <f t="shared" si="967"/>
        <v>1</v>
      </c>
      <c r="E1021" s="364">
        <f t="shared" si="968"/>
        <v>0</v>
      </c>
      <c r="F1021" s="364">
        <v>0</v>
      </c>
      <c r="G1021" s="364">
        <v>0</v>
      </c>
      <c r="H1021" s="364">
        <f t="shared" si="969"/>
        <v>0</v>
      </c>
      <c r="I1021" s="364">
        <v>0</v>
      </c>
      <c r="J1021" s="364">
        <v>0</v>
      </c>
      <c r="K1021" s="364">
        <f t="shared" si="970"/>
        <v>1</v>
      </c>
      <c r="L1021" s="364">
        <v>0</v>
      </c>
      <c r="M1021" s="364">
        <v>1</v>
      </c>
      <c r="N1021" s="364">
        <f t="shared" si="971"/>
        <v>0</v>
      </c>
      <c r="O1021" s="364">
        <v>0</v>
      </c>
      <c r="P1021" s="364">
        <v>0</v>
      </c>
      <c r="Q1021" s="364">
        <f t="shared" si="972"/>
        <v>0</v>
      </c>
      <c r="R1021" s="364">
        <v>0</v>
      </c>
      <c r="S1021" s="364">
        <v>0</v>
      </c>
      <c r="T1021" s="353" t="s">
        <v>145</v>
      </c>
      <c r="U1021" s="365" t="s">
        <v>139</v>
      </c>
    </row>
    <row r="1022" spans="2:22" ht="13.5" thickBot="1" x14ac:dyDescent="0.25">
      <c r="B1022" s="364">
        <f t="shared" ref="B1022:R1022" si="992">SUM(B1020:B1021)</f>
        <v>7</v>
      </c>
      <c r="C1022" s="364">
        <f t="shared" si="992"/>
        <v>0</v>
      </c>
      <c r="D1022" s="364">
        <f t="shared" si="992"/>
        <v>7</v>
      </c>
      <c r="E1022" s="364">
        <f t="shared" si="992"/>
        <v>0</v>
      </c>
      <c r="F1022" s="364">
        <f t="shared" si="992"/>
        <v>0</v>
      </c>
      <c r="G1022" s="364">
        <f t="shared" si="992"/>
        <v>0</v>
      </c>
      <c r="H1022" s="364">
        <f t="shared" si="992"/>
        <v>0</v>
      </c>
      <c r="I1022" s="364">
        <f t="shared" si="992"/>
        <v>0</v>
      </c>
      <c r="J1022" s="364">
        <f t="shared" si="992"/>
        <v>0</v>
      </c>
      <c r="K1022" s="364">
        <f t="shared" si="992"/>
        <v>7</v>
      </c>
      <c r="L1022" s="364">
        <f t="shared" si="992"/>
        <v>0</v>
      </c>
      <c r="M1022" s="364">
        <f t="shared" si="992"/>
        <v>7</v>
      </c>
      <c r="N1022" s="364">
        <f t="shared" si="992"/>
        <v>0</v>
      </c>
      <c r="O1022" s="364">
        <f t="shared" si="992"/>
        <v>0</v>
      </c>
      <c r="P1022" s="364">
        <f t="shared" si="992"/>
        <v>0</v>
      </c>
      <c r="Q1022" s="364">
        <f t="shared" si="992"/>
        <v>0</v>
      </c>
      <c r="R1022" s="364">
        <f t="shared" si="992"/>
        <v>0</v>
      </c>
      <c r="S1022" s="364">
        <f>SUM(S1020:S1021)</f>
        <v>0</v>
      </c>
      <c r="T1022" s="353" t="s">
        <v>12</v>
      </c>
      <c r="U1022" s="366"/>
    </row>
    <row r="1023" spans="2:22" ht="13.5" thickBot="1" x14ac:dyDescent="0.25">
      <c r="B1023" s="364">
        <f t="shared" si="966"/>
        <v>24</v>
      </c>
      <c r="C1023" s="364">
        <f t="shared" si="967"/>
        <v>7</v>
      </c>
      <c r="D1023" s="364">
        <f t="shared" si="967"/>
        <v>17</v>
      </c>
      <c r="E1023" s="364">
        <f t="shared" si="968"/>
        <v>9</v>
      </c>
      <c r="F1023" s="364">
        <v>1</v>
      </c>
      <c r="G1023" s="364">
        <v>8</v>
      </c>
      <c r="H1023" s="364">
        <f t="shared" si="969"/>
        <v>7</v>
      </c>
      <c r="I1023" s="364">
        <v>3</v>
      </c>
      <c r="J1023" s="364">
        <v>4</v>
      </c>
      <c r="K1023" s="364">
        <f t="shared" si="970"/>
        <v>8</v>
      </c>
      <c r="L1023" s="364">
        <v>3</v>
      </c>
      <c r="M1023" s="364">
        <v>5</v>
      </c>
      <c r="N1023" s="364">
        <f t="shared" si="971"/>
        <v>0</v>
      </c>
      <c r="O1023" s="364">
        <v>0</v>
      </c>
      <c r="P1023" s="364">
        <v>0</v>
      </c>
      <c r="Q1023" s="364">
        <f t="shared" si="972"/>
        <v>0</v>
      </c>
      <c r="R1023" s="364">
        <v>0</v>
      </c>
      <c r="S1023" s="364">
        <v>0</v>
      </c>
      <c r="T1023" s="353" t="s">
        <v>146</v>
      </c>
      <c r="U1023" s="365"/>
    </row>
    <row r="1024" spans="2:22" ht="13.5" thickBot="1" x14ac:dyDescent="0.25">
      <c r="B1024" s="364">
        <f t="shared" si="966"/>
        <v>21</v>
      </c>
      <c r="C1024" s="364">
        <f t="shared" si="967"/>
        <v>7</v>
      </c>
      <c r="D1024" s="364">
        <f t="shared" si="967"/>
        <v>14</v>
      </c>
      <c r="E1024" s="364">
        <f t="shared" si="968"/>
        <v>2</v>
      </c>
      <c r="F1024" s="364">
        <v>1</v>
      </c>
      <c r="G1024" s="364">
        <v>1</v>
      </c>
      <c r="H1024" s="364">
        <f t="shared" si="969"/>
        <v>1</v>
      </c>
      <c r="I1024" s="364">
        <v>0</v>
      </c>
      <c r="J1024" s="364">
        <v>1</v>
      </c>
      <c r="K1024" s="364">
        <f t="shared" si="970"/>
        <v>15</v>
      </c>
      <c r="L1024" s="364">
        <v>6</v>
      </c>
      <c r="M1024" s="364">
        <v>9</v>
      </c>
      <c r="N1024" s="364">
        <f t="shared" si="971"/>
        <v>3</v>
      </c>
      <c r="O1024" s="364">
        <v>0</v>
      </c>
      <c r="P1024" s="364">
        <v>3</v>
      </c>
      <c r="Q1024" s="364">
        <f t="shared" si="972"/>
        <v>0</v>
      </c>
      <c r="R1024" s="364">
        <v>0</v>
      </c>
      <c r="S1024" s="364">
        <v>0</v>
      </c>
      <c r="T1024" s="353" t="s">
        <v>145</v>
      </c>
      <c r="U1024" s="365" t="s">
        <v>140</v>
      </c>
    </row>
    <row r="1025" spans="2:21" ht="13.5" thickBot="1" x14ac:dyDescent="0.25">
      <c r="B1025" s="364">
        <f t="shared" ref="B1025:R1025" si="993">SUM(B1023:B1024)</f>
        <v>45</v>
      </c>
      <c r="C1025" s="364">
        <f t="shared" si="993"/>
        <v>14</v>
      </c>
      <c r="D1025" s="364">
        <f t="shared" si="993"/>
        <v>31</v>
      </c>
      <c r="E1025" s="364">
        <f t="shared" si="993"/>
        <v>11</v>
      </c>
      <c r="F1025" s="364">
        <f t="shared" si="993"/>
        <v>2</v>
      </c>
      <c r="G1025" s="364">
        <f t="shared" si="993"/>
        <v>9</v>
      </c>
      <c r="H1025" s="364">
        <f t="shared" si="993"/>
        <v>8</v>
      </c>
      <c r="I1025" s="364">
        <f t="shared" si="993"/>
        <v>3</v>
      </c>
      <c r="J1025" s="364">
        <f t="shared" si="993"/>
        <v>5</v>
      </c>
      <c r="K1025" s="364">
        <f t="shared" si="993"/>
        <v>23</v>
      </c>
      <c r="L1025" s="364">
        <f t="shared" si="993"/>
        <v>9</v>
      </c>
      <c r="M1025" s="364">
        <f t="shared" si="993"/>
        <v>14</v>
      </c>
      <c r="N1025" s="364">
        <f t="shared" si="993"/>
        <v>3</v>
      </c>
      <c r="O1025" s="364">
        <f t="shared" si="993"/>
        <v>0</v>
      </c>
      <c r="P1025" s="364">
        <f t="shared" si="993"/>
        <v>3</v>
      </c>
      <c r="Q1025" s="364">
        <f t="shared" si="993"/>
        <v>0</v>
      </c>
      <c r="R1025" s="364">
        <f t="shared" si="993"/>
        <v>0</v>
      </c>
      <c r="S1025" s="364">
        <f>SUM(S1023:S1024)</f>
        <v>0</v>
      </c>
      <c r="T1025" s="353" t="s">
        <v>12</v>
      </c>
      <c r="U1025" s="366"/>
    </row>
    <row r="1026" spans="2:21" ht="13.5" thickBot="1" x14ac:dyDescent="0.25">
      <c r="B1026" s="364">
        <f t="shared" si="966"/>
        <v>18</v>
      </c>
      <c r="C1026" s="364">
        <f t="shared" si="967"/>
        <v>1</v>
      </c>
      <c r="D1026" s="364">
        <f t="shared" si="967"/>
        <v>17</v>
      </c>
      <c r="E1026" s="364">
        <f t="shared" si="968"/>
        <v>6</v>
      </c>
      <c r="F1026" s="364">
        <v>0</v>
      </c>
      <c r="G1026" s="364">
        <v>6</v>
      </c>
      <c r="H1026" s="364">
        <f t="shared" si="969"/>
        <v>1</v>
      </c>
      <c r="I1026" s="364">
        <v>0</v>
      </c>
      <c r="J1026" s="364">
        <v>1</v>
      </c>
      <c r="K1026" s="364">
        <f t="shared" si="970"/>
        <v>8</v>
      </c>
      <c r="L1026" s="364">
        <v>1</v>
      </c>
      <c r="M1026" s="364">
        <v>7</v>
      </c>
      <c r="N1026" s="364">
        <f t="shared" si="971"/>
        <v>1</v>
      </c>
      <c r="O1026" s="364">
        <v>0</v>
      </c>
      <c r="P1026" s="364">
        <v>1</v>
      </c>
      <c r="Q1026" s="364">
        <f t="shared" si="972"/>
        <v>2</v>
      </c>
      <c r="R1026" s="364">
        <v>0</v>
      </c>
      <c r="S1026" s="364">
        <v>2</v>
      </c>
      <c r="T1026" s="353" t="s">
        <v>146</v>
      </c>
      <c r="U1026" s="365"/>
    </row>
    <row r="1027" spans="2:21" ht="13.5" thickBot="1" x14ac:dyDescent="0.25">
      <c r="B1027" s="364">
        <f t="shared" si="966"/>
        <v>9</v>
      </c>
      <c r="C1027" s="364">
        <f t="shared" si="967"/>
        <v>1</v>
      </c>
      <c r="D1027" s="364">
        <f t="shared" si="967"/>
        <v>8</v>
      </c>
      <c r="E1027" s="364">
        <f t="shared" si="968"/>
        <v>2</v>
      </c>
      <c r="F1027" s="364">
        <v>0</v>
      </c>
      <c r="G1027" s="364">
        <v>2</v>
      </c>
      <c r="H1027" s="364">
        <f t="shared" si="969"/>
        <v>0</v>
      </c>
      <c r="I1027" s="364">
        <v>0</v>
      </c>
      <c r="J1027" s="364">
        <v>0</v>
      </c>
      <c r="K1027" s="364">
        <f t="shared" si="970"/>
        <v>4</v>
      </c>
      <c r="L1027" s="364">
        <v>0</v>
      </c>
      <c r="M1027" s="364">
        <v>4</v>
      </c>
      <c r="N1027" s="364">
        <f t="shared" si="971"/>
        <v>2</v>
      </c>
      <c r="O1027" s="364">
        <v>0</v>
      </c>
      <c r="P1027" s="364">
        <v>2</v>
      </c>
      <c r="Q1027" s="364">
        <f t="shared" si="972"/>
        <v>1</v>
      </c>
      <c r="R1027" s="364">
        <v>1</v>
      </c>
      <c r="S1027" s="364">
        <v>0</v>
      </c>
      <c r="T1027" s="353" t="s">
        <v>145</v>
      </c>
      <c r="U1027" s="365" t="s">
        <v>787</v>
      </c>
    </row>
    <row r="1028" spans="2:21" ht="13.5" thickBot="1" x14ac:dyDescent="0.25">
      <c r="B1028" s="364">
        <f t="shared" ref="B1028:P1028" si="994">SUM(B1026:B1027)</f>
        <v>27</v>
      </c>
      <c r="C1028" s="364">
        <f t="shared" si="994"/>
        <v>2</v>
      </c>
      <c r="D1028" s="364">
        <f t="shared" si="994"/>
        <v>25</v>
      </c>
      <c r="E1028" s="364">
        <f t="shared" si="994"/>
        <v>8</v>
      </c>
      <c r="F1028" s="364">
        <f t="shared" si="994"/>
        <v>0</v>
      </c>
      <c r="G1028" s="364">
        <f t="shared" si="994"/>
        <v>8</v>
      </c>
      <c r="H1028" s="364">
        <f t="shared" si="994"/>
        <v>1</v>
      </c>
      <c r="I1028" s="364">
        <f t="shared" si="994"/>
        <v>0</v>
      </c>
      <c r="J1028" s="364">
        <f t="shared" si="994"/>
        <v>1</v>
      </c>
      <c r="K1028" s="364">
        <f t="shared" si="994"/>
        <v>12</v>
      </c>
      <c r="L1028" s="364">
        <f t="shared" si="994"/>
        <v>1</v>
      </c>
      <c r="M1028" s="364">
        <f t="shared" si="994"/>
        <v>11</v>
      </c>
      <c r="N1028" s="364">
        <f t="shared" si="994"/>
        <v>3</v>
      </c>
      <c r="O1028" s="364">
        <f t="shared" si="994"/>
        <v>0</v>
      </c>
      <c r="P1028" s="364">
        <f t="shared" si="994"/>
        <v>3</v>
      </c>
      <c r="Q1028" s="364">
        <f t="shared" ref="Q1028" si="995">SUM(Q1026:Q1027)</f>
        <v>3</v>
      </c>
      <c r="R1028" s="364">
        <f t="shared" ref="R1028" si="996">SUM(R1026:R1027)</f>
        <v>1</v>
      </c>
      <c r="S1028" s="364">
        <f>SUM(S1026:S1027)</f>
        <v>2</v>
      </c>
      <c r="T1028" s="353" t="s">
        <v>12</v>
      </c>
      <c r="U1028" s="366"/>
    </row>
    <row r="1029" spans="2:21" ht="13.5" thickBot="1" x14ac:dyDescent="0.25">
      <c r="B1029" s="364">
        <f t="shared" si="966"/>
        <v>18</v>
      </c>
      <c r="C1029" s="364">
        <f t="shared" si="967"/>
        <v>10</v>
      </c>
      <c r="D1029" s="364">
        <f t="shared" si="967"/>
        <v>8</v>
      </c>
      <c r="E1029" s="364">
        <f t="shared" si="968"/>
        <v>2</v>
      </c>
      <c r="F1029" s="364">
        <v>0</v>
      </c>
      <c r="G1029" s="364">
        <v>2</v>
      </c>
      <c r="H1029" s="364">
        <f t="shared" si="969"/>
        <v>1</v>
      </c>
      <c r="I1029" s="364">
        <v>0</v>
      </c>
      <c r="J1029" s="364">
        <v>1</v>
      </c>
      <c r="K1029" s="364">
        <f t="shared" si="970"/>
        <v>13</v>
      </c>
      <c r="L1029" s="364">
        <v>10</v>
      </c>
      <c r="M1029" s="364">
        <v>3</v>
      </c>
      <c r="N1029" s="364">
        <f t="shared" si="971"/>
        <v>0</v>
      </c>
      <c r="O1029" s="364">
        <v>0</v>
      </c>
      <c r="P1029" s="364">
        <v>0</v>
      </c>
      <c r="Q1029" s="364">
        <f t="shared" si="972"/>
        <v>2</v>
      </c>
      <c r="R1029" s="364">
        <v>0</v>
      </c>
      <c r="S1029" s="364">
        <v>2</v>
      </c>
      <c r="T1029" s="353" t="s">
        <v>146</v>
      </c>
      <c r="U1029" s="365"/>
    </row>
    <row r="1030" spans="2:21" ht="13.5" thickBot="1" x14ac:dyDescent="0.25">
      <c r="B1030" s="364">
        <f t="shared" si="966"/>
        <v>38</v>
      </c>
      <c r="C1030" s="364">
        <f t="shared" si="967"/>
        <v>13</v>
      </c>
      <c r="D1030" s="364">
        <f t="shared" si="967"/>
        <v>25</v>
      </c>
      <c r="E1030" s="364">
        <f t="shared" si="968"/>
        <v>0</v>
      </c>
      <c r="F1030" s="364">
        <v>0</v>
      </c>
      <c r="G1030" s="364">
        <v>0</v>
      </c>
      <c r="H1030" s="364">
        <f t="shared" si="969"/>
        <v>2</v>
      </c>
      <c r="I1030" s="364">
        <v>0</v>
      </c>
      <c r="J1030" s="364">
        <v>2</v>
      </c>
      <c r="K1030" s="364">
        <f t="shared" si="970"/>
        <v>32</v>
      </c>
      <c r="L1030" s="364">
        <v>12</v>
      </c>
      <c r="M1030" s="364">
        <v>20</v>
      </c>
      <c r="N1030" s="364">
        <f t="shared" si="971"/>
        <v>1</v>
      </c>
      <c r="O1030" s="364">
        <v>1</v>
      </c>
      <c r="P1030" s="364">
        <v>0</v>
      </c>
      <c r="Q1030" s="364">
        <f t="shared" si="972"/>
        <v>3</v>
      </c>
      <c r="R1030" s="364">
        <v>0</v>
      </c>
      <c r="S1030" s="364">
        <v>3</v>
      </c>
      <c r="T1030" s="353" t="s">
        <v>145</v>
      </c>
      <c r="U1030" s="371" t="s">
        <v>569</v>
      </c>
    </row>
    <row r="1031" spans="2:21" ht="13.5" thickBot="1" x14ac:dyDescent="0.25">
      <c r="B1031" s="364">
        <f t="shared" ref="B1031:R1031" si="997">SUM(B1029:B1030)</f>
        <v>56</v>
      </c>
      <c r="C1031" s="364">
        <f t="shared" si="997"/>
        <v>23</v>
      </c>
      <c r="D1031" s="364">
        <f t="shared" si="997"/>
        <v>33</v>
      </c>
      <c r="E1031" s="364">
        <f t="shared" si="997"/>
        <v>2</v>
      </c>
      <c r="F1031" s="364">
        <f t="shared" si="997"/>
        <v>0</v>
      </c>
      <c r="G1031" s="364">
        <f t="shared" si="997"/>
        <v>2</v>
      </c>
      <c r="H1031" s="364">
        <f t="shared" si="997"/>
        <v>3</v>
      </c>
      <c r="I1031" s="364">
        <f t="shared" si="997"/>
        <v>0</v>
      </c>
      <c r="J1031" s="364">
        <f t="shared" si="997"/>
        <v>3</v>
      </c>
      <c r="K1031" s="364">
        <f t="shared" si="997"/>
        <v>45</v>
      </c>
      <c r="L1031" s="364">
        <f t="shared" si="997"/>
        <v>22</v>
      </c>
      <c r="M1031" s="364">
        <f t="shared" si="997"/>
        <v>23</v>
      </c>
      <c r="N1031" s="364">
        <f t="shared" si="997"/>
        <v>1</v>
      </c>
      <c r="O1031" s="364">
        <f t="shared" si="997"/>
        <v>1</v>
      </c>
      <c r="P1031" s="364">
        <f t="shared" si="997"/>
        <v>0</v>
      </c>
      <c r="Q1031" s="364">
        <f t="shared" si="997"/>
        <v>5</v>
      </c>
      <c r="R1031" s="364">
        <f t="shared" si="997"/>
        <v>0</v>
      </c>
      <c r="S1031" s="364">
        <f>SUM(S1029:S1030)</f>
        <v>5</v>
      </c>
      <c r="T1031" s="353" t="s">
        <v>12</v>
      </c>
      <c r="U1031" s="366"/>
    </row>
    <row r="1032" spans="2:21" ht="13.5" thickBot="1" x14ac:dyDescent="0.25">
      <c r="B1032" s="364">
        <f t="shared" si="966"/>
        <v>18</v>
      </c>
      <c r="C1032" s="364">
        <f t="shared" si="967"/>
        <v>18</v>
      </c>
      <c r="D1032" s="364">
        <f t="shared" si="967"/>
        <v>0</v>
      </c>
      <c r="E1032" s="364">
        <f t="shared" si="968"/>
        <v>2</v>
      </c>
      <c r="F1032" s="364">
        <v>2</v>
      </c>
      <c r="G1032" s="364">
        <v>0</v>
      </c>
      <c r="H1032" s="364">
        <f t="shared" si="969"/>
        <v>1</v>
      </c>
      <c r="I1032" s="364">
        <v>1</v>
      </c>
      <c r="J1032" s="364">
        <v>0</v>
      </c>
      <c r="K1032" s="364">
        <f t="shared" si="970"/>
        <v>11</v>
      </c>
      <c r="L1032" s="364">
        <v>11</v>
      </c>
      <c r="M1032" s="364">
        <v>0</v>
      </c>
      <c r="N1032" s="364">
        <f t="shared" si="971"/>
        <v>2</v>
      </c>
      <c r="O1032" s="364">
        <v>2</v>
      </c>
      <c r="P1032" s="364">
        <v>0</v>
      </c>
      <c r="Q1032" s="364">
        <f t="shared" si="972"/>
        <v>2</v>
      </c>
      <c r="R1032" s="364">
        <v>2</v>
      </c>
      <c r="S1032" s="364">
        <v>0</v>
      </c>
      <c r="T1032" s="353" t="s">
        <v>146</v>
      </c>
      <c r="U1032" s="365"/>
    </row>
    <row r="1033" spans="2:21" ht="13.5" thickBot="1" x14ac:dyDescent="0.25">
      <c r="B1033" s="364">
        <f t="shared" si="966"/>
        <v>6</v>
      </c>
      <c r="C1033" s="364">
        <f t="shared" si="967"/>
        <v>6</v>
      </c>
      <c r="D1033" s="364">
        <f t="shared" si="967"/>
        <v>0</v>
      </c>
      <c r="E1033" s="364">
        <f t="shared" si="968"/>
        <v>1</v>
      </c>
      <c r="F1033" s="364">
        <v>1</v>
      </c>
      <c r="G1033" s="364">
        <v>0</v>
      </c>
      <c r="H1033" s="364">
        <f t="shared" si="969"/>
        <v>0</v>
      </c>
      <c r="I1033" s="364">
        <v>0</v>
      </c>
      <c r="J1033" s="364">
        <v>0</v>
      </c>
      <c r="K1033" s="364">
        <f t="shared" si="970"/>
        <v>3</v>
      </c>
      <c r="L1033" s="364">
        <v>3</v>
      </c>
      <c r="M1033" s="364">
        <v>0</v>
      </c>
      <c r="N1033" s="364">
        <f t="shared" si="971"/>
        <v>1</v>
      </c>
      <c r="O1033" s="364">
        <v>1</v>
      </c>
      <c r="P1033" s="364">
        <v>0</v>
      </c>
      <c r="Q1033" s="364">
        <f t="shared" si="972"/>
        <v>1</v>
      </c>
      <c r="R1033" s="364">
        <v>1</v>
      </c>
      <c r="S1033" s="364">
        <v>0</v>
      </c>
      <c r="T1033" s="353" t="s">
        <v>145</v>
      </c>
      <c r="U1033" s="371" t="s">
        <v>193</v>
      </c>
    </row>
    <row r="1034" spans="2:21" ht="13.5" thickBot="1" x14ac:dyDescent="0.25">
      <c r="B1034" s="364">
        <f t="shared" ref="B1034:R1034" si="998">SUM(B1032:B1033)</f>
        <v>24</v>
      </c>
      <c r="C1034" s="364">
        <f t="shared" si="998"/>
        <v>24</v>
      </c>
      <c r="D1034" s="364">
        <f t="shared" si="998"/>
        <v>0</v>
      </c>
      <c r="E1034" s="364">
        <f t="shared" si="998"/>
        <v>3</v>
      </c>
      <c r="F1034" s="364">
        <f t="shared" si="998"/>
        <v>3</v>
      </c>
      <c r="G1034" s="364">
        <f t="shared" si="998"/>
        <v>0</v>
      </c>
      <c r="H1034" s="364">
        <f t="shared" si="998"/>
        <v>1</v>
      </c>
      <c r="I1034" s="364">
        <f t="shared" si="998"/>
        <v>1</v>
      </c>
      <c r="J1034" s="364">
        <f t="shared" si="998"/>
        <v>0</v>
      </c>
      <c r="K1034" s="364">
        <f t="shared" si="998"/>
        <v>14</v>
      </c>
      <c r="L1034" s="364">
        <f t="shared" si="998"/>
        <v>14</v>
      </c>
      <c r="M1034" s="364">
        <f t="shared" si="998"/>
        <v>0</v>
      </c>
      <c r="N1034" s="364">
        <f t="shared" si="998"/>
        <v>3</v>
      </c>
      <c r="O1034" s="364">
        <f t="shared" si="998"/>
        <v>3</v>
      </c>
      <c r="P1034" s="364">
        <f t="shared" si="998"/>
        <v>0</v>
      </c>
      <c r="Q1034" s="364">
        <f t="shared" si="998"/>
        <v>3</v>
      </c>
      <c r="R1034" s="364">
        <f t="shared" si="998"/>
        <v>3</v>
      </c>
      <c r="S1034" s="364">
        <f>SUM(S1032:S1033)</f>
        <v>0</v>
      </c>
      <c r="T1034" s="353" t="s">
        <v>12</v>
      </c>
      <c r="U1034" s="366"/>
    </row>
    <row r="1035" spans="2:21" ht="13.5" thickBot="1" x14ac:dyDescent="0.25">
      <c r="B1035" s="364">
        <f t="shared" si="966"/>
        <v>5</v>
      </c>
      <c r="C1035" s="364">
        <f t="shared" si="967"/>
        <v>5</v>
      </c>
      <c r="D1035" s="364">
        <f t="shared" si="967"/>
        <v>0</v>
      </c>
      <c r="E1035" s="364">
        <f t="shared" si="968"/>
        <v>2</v>
      </c>
      <c r="F1035" s="364">
        <v>2</v>
      </c>
      <c r="G1035" s="364">
        <v>0</v>
      </c>
      <c r="H1035" s="364">
        <f t="shared" si="969"/>
        <v>0</v>
      </c>
      <c r="I1035" s="364">
        <v>0</v>
      </c>
      <c r="J1035" s="364">
        <v>0</v>
      </c>
      <c r="K1035" s="364">
        <f t="shared" si="970"/>
        <v>2</v>
      </c>
      <c r="L1035" s="364">
        <v>2</v>
      </c>
      <c r="M1035" s="364">
        <v>0</v>
      </c>
      <c r="N1035" s="364">
        <f t="shared" si="971"/>
        <v>0</v>
      </c>
      <c r="O1035" s="364">
        <v>0</v>
      </c>
      <c r="P1035" s="364">
        <v>0</v>
      </c>
      <c r="Q1035" s="364">
        <f t="shared" si="972"/>
        <v>1</v>
      </c>
      <c r="R1035" s="364">
        <v>1</v>
      </c>
      <c r="S1035" s="364">
        <v>0</v>
      </c>
      <c r="T1035" s="353" t="s">
        <v>146</v>
      </c>
      <c r="U1035" s="365"/>
    </row>
    <row r="1036" spans="2:21" ht="13.5" thickBot="1" x14ac:dyDescent="0.25">
      <c r="B1036" s="364">
        <f t="shared" si="966"/>
        <v>3</v>
      </c>
      <c r="C1036" s="364">
        <f t="shared" si="967"/>
        <v>3</v>
      </c>
      <c r="D1036" s="364">
        <f t="shared" si="967"/>
        <v>0</v>
      </c>
      <c r="E1036" s="364">
        <f t="shared" si="968"/>
        <v>0</v>
      </c>
      <c r="F1036" s="364">
        <v>0</v>
      </c>
      <c r="G1036" s="364">
        <v>0</v>
      </c>
      <c r="H1036" s="364">
        <f t="shared" si="969"/>
        <v>0</v>
      </c>
      <c r="I1036" s="364">
        <v>0</v>
      </c>
      <c r="J1036" s="364">
        <v>0</v>
      </c>
      <c r="K1036" s="364">
        <f t="shared" si="970"/>
        <v>3</v>
      </c>
      <c r="L1036" s="364">
        <v>3</v>
      </c>
      <c r="M1036" s="364">
        <v>0</v>
      </c>
      <c r="N1036" s="364">
        <f t="shared" si="971"/>
        <v>0</v>
      </c>
      <c r="O1036" s="364">
        <v>0</v>
      </c>
      <c r="P1036" s="364">
        <v>0</v>
      </c>
      <c r="Q1036" s="364">
        <f t="shared" si="972"/>
        <v>0</v>
      </c>
      <c r="R1036" s="364">
        <v>0</v>
      </c>
      <c r="S1036" s="364">
        <v>0</v>
      </c>
      <c r="T1036" s="353" t="s">
        <v>145</v>
      </c>
      <c r="U1036" s="365" t="s">
        <v>141</v>
      </c>
    </row>
    <row r="1037" spans="2:21" ht="13.5" thickBot="1" x14ac:dyDescent="0.25">
      <c r="B1037" s="364">
        <f t="shared" ref="B1037:R1037" si="999">SUM(B1035:B1036)</f>
        <v>8</v>
      </c>
      <c r="C1037" s="364">
        <f t="shared" si="999"/>
        <v>8</v>
      </c>
      <c r="D1037" s="364">
        <f t="shared" si="999"/>
        <v>0</v>
      </c>
      <c r="E1037" s="364">
        <f t="shared" si="999"/>
        <v>2</v>
      </c>
      <c r="F1037" s="364">
        <f t="shared" si="999"/>
        <v>2</v>
      </c>
      <c r="G1037" s="364">
        <f t="shared" si="999"/>
        <v>0</v>
      </c>
      <c r="H1037" s="364">
        <f t="shared" si="999"/>
        <v>0</v>
      </c>
      <c r="I1037" s="364">
        <f t="shared" si="999"/>
        <v>0</v>
      </c>
      <c r="J1037" s="364">
        <f t="shared" si="999"/>
        <v>0</v>
      </c>
      <c r="K1037" s="364">
        <f t="shared" si="999"/>
        <v>5</v>
      </c>
      <c r="L1037" s="364">
        <f t="shared" si="999"/>
        <v>5</v>
      </c>
      <c r="M1037" s="364">
        <f t="shared" si="999"/>
        <v>0</v>
      </c>
      <c r="N1037" s="364">
        <f t="shared" si="999"/>
        <v>0</v>
      </c>
      <c r="O1037" s="364">
        <f t="shared" si="999"/>
        <v>0</v>
      </c>
      <c r="P1037" s="364">
        <f t="shared" si="999"/>
        <v>0</v>
      </c>
      <c r="Q1037" s="364">
        <f t="shared" si="999"/>
        <v>1</v>
      </c>
      <c r="R1037" s="364">
        <f t="shared" si="999"/>
        <v>1</v>
      </c>
      <c r="S1037" s="364">
        <f>SUM(S1035:S1036)</f>
        <v>0</v>
      </c>
      <c r="T1037" s="353" t="s">
        <v>12</v>
      </c>
      <c r="U1037" s="366"/>
    </row>
    <row r="1038" spans="2:21" ht="13.5" thickBot="1" x14ac:dyDescent="0.25">
      <c r="B1038" s="364">
        <f t="shared" si="966"/>
        <v>15</v>
      </c>
      <c r="C1038" s="364">
        <f t="shared" si="967"/>
        <v>11</v>
      </c>
      <c r="D1038" s="364">
        <f t="shared" si="967"/>
        <v>4</v>
      </c>
      <c r="E1038" s="364">
        <f t="shared" si="968"/>
        <v>7</v>
      </c>
      <c r="F1038" s="364">
        <v>6</v>
      </c>
      <c r="G1038" s="364">
        <v>1</v>
      </c>
      <c r="H1038" s="364">
        <f t="shared" si="969"/>
        <v>2</v>
      </c>
      <c r="I1038" s="364">
        <v>2</v>
      </c>
      <c r="J1038" s="364">
        <v>0</v>
      </c>
      <c r="K1038" s="364">
        <f t="shared" si="970"/>
        <v>4</v>
      </c>
      <c r="L1038" s="364">
        <v>3</v>
      </c>
      <c r="M1038" s="364">
        <v>1</v>
      </c>
      <c r="N1038" s="364">
        <f t="shared" si="971"/>
        <v>1</v>
      </c>
      <c r="O1038" s="364">
        <v>0</v>
      </c>
      <c r="P1038" s="364">
        <v>1</v>
      </c>
      <c r="Q1038" s="364">
        <f t="shared" si="972"/>
        <v>1</v>
      </c>
      <c r="R1038" s="364">
        <v>0</v>
      </c>
      <c r="S1038" s="364">
        <v>1</v>
      </c>
      <c r="T1038" s="353" t="s">
        <v>146</v>
      </c>
      <c r="U1038" s="365"/>
    </row>
    <row r="1039" spans="2:21" ht="13.5" thickBot="1" x14ac:dyDescent="0.25">
      <c r="B1039" s="364">
        <f t="shared" si="966"/>
        <v>12</v>
      </c>
      <c r="C1039" s="364">
        <f t="shared" si="967"/>
        <v>6</v>
      </c>
      <c r="D1039" s="364">
        <f t="shared" si="967"/>
        <v>6</v>
      </c>
      <c r="E1039" s="364">
        <f t="shared" si="968"/>
        <v>0</v>
      </c>
      <c r="F1039" s="364">
        <v>0</v>
      </c>
      <c r="G1039" s="364">
        <v>0</v>
      </c>
      <c r="H1039" s="364">
        <f t="shared" si="969"/>
        <v>2</v>
      </c>
      <c r="I1039" s="364">
        <v>2</v>
      </c>
      <c r="J1039" s="364">
        <v>0</v>
      </c>
      <c r="K1039" s="364">
        <f t="shared" si="970"/>
        <v>6</v>
      </c>
      <c r="L1039" s="364">
        <v>1</v>
      </c>
      <c r="M1039" s="364">
        <v>5</v>
      </c>
      <c r="N1039" s="364">
        <f t="shared" si="971"/>
        <v>3</v>
      </c>
      <c r="O1039" s="364">
        <v>3</v>
      </c>
      <c r="P1039" s="364">
        <v>0</v>
      </c>
      <c r="Q1039" s="364">
        <f t="shared" si="972"/>
        <v>1</v>
      </c>
      <c r="R1039" s="364">
        <v>0</v>
      </c>
      <c r="S1039" s="364">
        <v>1</v>
      </c>
      <c r="T1039" s="353" t="s">
        <v>145</v>
      </c>
      <c r="U1039" s="361" t="s">
        <v>203</v>
      </c>
    </row>
    <row r="1040" spans="2:21" ht="13.5" thickBot="1" x14ac:dyDescent="0.25">
      <c r="B1040" s="364">
        <f t="shared" ref="B1040:N1040" si="1000">SUM(B1038:B1039)</f>
        <v>27</v>
      </c>
      <c r="C1040" s="364">
        <f t="shared" si="1000"/>
        <v>17</v>
      </c>
      <c r="D1040" s="364">
        <f t="shared" si="1000"/>
        <v>10</v>
      </c>
      <c r="E1040" s="364">
        <f t="shared" si="1000"/>
        <v>7</v>
      </c>
      <c r="F1040" s="364">
        <f t="shared" si="1000"/>
        <v>6</v>
      </c>
      <c r="G1040" s="364">
        <f t="shared" si="1000"/>
        <v>1</v>
      </c>
      <c r="H1040" s="364">
        <f t="shared" si="1000"/>
        <v>4</v>
      </c>
      <c r="I1040" s="364">
        <f t="shared" si="1000"/>
        <v>4</v>
      </c>
      <c r="J1040" s="364">
        <f t="shared" si="1000"/>
        <v>0</v>
      </c>
      <c r="K1040" s="364">
        <f t="shared" si="1000"/>
        <v>10</v>
      </c>
      <c r="L1040" s="364">
        <f t="shared" si="1000"/>
        <v>4</v>
      </c>
      <c r="M1040" s="364">
        <f t="shared" si="1000"/>
        <v>6</v>
      </c>
      <c r="N1040" s="364">
        <f t="shared" si="1000"/>
        <v>4</v>
      </c>
      <c r="O1040" s="364">
        <f t="shared" ref="O1040" si="1001">SUM(O1038:O1039)</f>
        <v>3</v>
      </c>
      <c r="P1040" s="364">
        <f t="shared" ref="P1040:R1040" si="1002">SUM(P1038:P1039)</f>
        <v>1</v>
      </c>
      <c r="Q1040" s="364">
        <f t="shared" si="1002"/>
        <v>2</v>
      </c>
      <c r="R1040" s="364">
        <f t="shared" si="1002"/>
        <v>0</v>
      </c>
      <c r="S1040" s="364">
        <f>SUM(S1038:S1039)</f>
        <v>2</v>
      </c>
      <c r="T1040" s="353" t="s">
        <v>12</v>
      </c>
      <c r="U1040" s="366"/>
    </row>
    <row r="1041" spans="2:21" ht="13.5" thickBot="1" x14ac:dyDescent="0.25">
      <c r="B1041" s="364">
        <f t="shared" ref="B1041:R1043" si="1003">B984+B987+B990+B993+B996+B999+B1002+B1005+B1008+B1011+B1014+B1017+B1020+B1023+B1026+B1029+B1032+B1035+B1038</f>
        <v>624</v>
      </c>
      <c r="C1041" s="364">
        <f t="shared" si="1003"/>
        <v>393</v>
      </c>
      <c r="D1041" s="364">
        <f t="shared" si="1003"/>
        <v>231</v>
      </c>
      <c r="E1041" s="364">
        <f t="shared" si="1003"/>
        <v>157</v>
      </c>
      <c r="F1041" s="364">
        <f t="shared" si="1003"/>
        <v>78</v>
      </c>
      <c r="G1041" s="364">
        <f t="shared" si="1003"/>
        <v>79</v>
      </c>
      <c r="H1041" s="364">
        <f t="shared" si="1003"/>
        <v>75</v>
      </c>
      <c r="I1041" s="364">
        <f t="shared" si="1003"/>
        <v>32</v>
      </c>
      <c r="J1041" s="364">
        <f t="shared" si="1003"/>
        <v>43</v>
      </c>
      <c r="K1041" s="364">
        <f t="shared" si="1003"/>
        <v>311</v>
      </c>
      <c r="L1041" s="364">
        <f t="shared" si="1003"/>
        <v>230</v>
      </c>
      <c r="M1041" s="364">
        <f t="shared" si="1003"/>
        <v>81</v>
      </c>
      <c r="N1041" s="364">
        <f t="shared" si="1003"/>
        <v>42</v>
      </c>
      <c r="O1041" s="364">
        <f t="shared" si="1003"/>
        <v>36</v>
      </c>
      <c r="P1041" s="364">
        <f t="shared" si="1003"/>
        <v>6</v>
      </c>
      <c r="Q1041" s="364">
        <f t="shared" si="1003"/>
        <v>39</v>
      </c>
      <c r="R1041" s="364">
        <f t="shared" si="1003"/>
        <v>17</v>
      </c>
      <c r="S1041" s="364">
        <f>S984+S987+S990+S993+S996+S999+S1002+S1005+S1008+S1011+S1014+S1017+S1020+S1023+S1026+S1029+S1032+S1035+S1038</f>
        <v>22</v>
      </c>
      <c r="T1041" s="353" t="s">
        <v>146</v>
      </c>
      <c r="U1041" s="367"/>
    </row>
    <row r="1042" spans="2:21" ht="13.5" thickBot="1" x14ac:dyDescent="0.25">
      <c r="B1042" s="364">
        <f t="shared" si="1003"/>
        <v>620</v>
      </c>
      <c r="C1042" s="364">
        <f t="shared" si="1003"/>
        <v>254</v>
      </c>
      <c r="D1042" s="364">
        <f t="shared" si="1003"/>
        <v>366</v>
      </c>
      <c r="E1042" s="364">
        <f t="shared" si="1003"/>
        <v>97</v>
      </c>
      <c r="F1042" s="364">
        <f t="shared" si="1003"/>
        <v>23</v>
      </c>
      <c r="G1042" s="364">
        <f t="shared" si="1003"/>
        <v>74</v>
      </c>
      <c r="H1042" s="364">
        <f t="shared" si="1003"/>
        <v>66</v>
      </c>
      <c r="I1042" s="364">
        <f t="shared" si="1003"/>
        <v>16</v>
      </c>
      <c r="J1042" s="364">
        <f t="shared" si="1003"/>
        <v>50</v>
      </c>
      <c r="K1042" s="364">
        <f t="shared" si="1003"/>
        <v>372</v>
      </c>
      <c r="L1042" s="364">
        <f t="shared" si="1003"/>
        <v>179</v>
      </c>
      <c r="M1042" s="364">
        <f t="shared" si="1003"/>
        <v>193</v>
      </c>
      <c r="N1042" s="364">
        <f t="shared" si="1003"/>
        <v>50</v>
      </c>
      <c r="O1042" s="364">
        <f t="shared" si="1003"/>
        <v>27</v>
      </c>
      <c r="P1042" s="364">
        <f t="shared" si="1003"/>
        <v>23</v>
      </c>
      <c r="Q1042" s="364">
        <f t="shared" si="1003"/>
        <v>35</v>
      </c>
      <c r="R1042" s="364">
        <f t="shared" si="1003"/>
        <v>9</v>
      </c>
      <c r="S1042" s="364">
        <f t="shared" ref="S1042:S1043" si="1004">S985+S988+S991+S994+S997+S1000+S1003+S1006+S1009+S1012+S1015+S1018+S1021+S1024+S1027+S1030+S1033+S1036+S1039</f>
        <v>26</v>
      </c>
      <c r="T1042" s="353" t="s">
        <v>145</v>
      </c>
      <c r="U1042" s="368" t="s">
        <v>188</v>
      </c>
    </row>
    <row r="1043" spans="2:21" ht="13.5" thickBot="1" x14ac:dyDescent="0.25">
      <c r="B1043" s="364">
        <f t="shared" si="1003"/>
        <v>1244</v>
      </c>
      <c r="C1043" s="364">
        <f t="shared" si="1003"/>
        <v>647</v>
      </c>
      <c r="D1043" s="364">
        <f t="shared" si="1003"/>
        <v>597</v>
      </c>
      <c r="E1043" s="364">
        <f t="shared" si="1003"/>
        <v>254</v>
      </c>
      <c r="F1043" s="364">
        <f t="shared" si="1003"/>
        <v>101</v>
      </c>
      <c r="G1043" s="364">
        <f t="shared" si="1003"/>
        <v>153</v>
      </c>
      <c r="H1043" s="364">
        <f t="shared" si="1003"/>
        <v>141</v>
      </c>
      <c r="I1043" s="364">
        <f t="shared" si="1003"/>
        <v>48</v>
      </c>
      <c r="J1043" s="364">
        <f t="shared" si="1003"/>
        <v>93</v>
      </c>
      <c r="K1043" s="364">
        <f t="shared" si="1003"/>
        <v>683</v>
      </c>
      <c r="L1043" s="364">
        <f t="shared" si="1003"/>
        <v>409</v>
      </c>
      <c r="M1043" s="364">
        <f t="shared" si="1003"/>
        <v>274</v>
      </c>
      <c r="N1043" s="364">
        <f t="shared" si="1003"/>
        <v>92</v>
      </c>
      <c r="O1043" s="364">
        <f t="shared" si="1003"/>
        <v>63</v>
      </c>
      <c r="P1043" s="364">
        <f t="shared" si="1003"/>
        <v>29</v>
      </c>
      <c r="Q1043" s="364">
        <f t="shared" si="1003"/>
        <v>74</v>
      </c>
      <c r="R1043" s="364">
        <f t="shared" si="1003"/>
        <v>26</v>
      </c>
      <c r="S1043" s="364">
        <f t="shared" si="1004"/>
        <v>48</v>
      </c>
      <c r="T1043" s="353" t="s">
        <v>12</v>
      </c>
      <c r="U1043" s="363"/>
    </row>
    <row r="1044" spans="2:21" x14ac:dyDescent="0.2">
      <c r="B1044" s="610"/>
      <c r="C1044" s="610"/>
      <c r="D1044" s="610"/>
      <c r="E1044" s="610"/>
      <c r="F1044" s="610"/>
      <c r="G1044" s="610"/>
      <c r="H1044" s="610"/>
      <c r="I1044" s="610"/>
      <c r="J1044" s="610"/>
      <c r="K1044" s="610"/>
      <c r="L1044" s="610"/>
      <c r="M1044" s="610"/>
      <c r="N1044" s="610"/>
      <c r="O1044" s="610"/>
      <c r="P1044" s="610"/>
      <c r="Q1044" s="610"/>
      <c r="R1044" s="610"/>
      <c r="S1044" s="610"/>
      <c r="T1044" s="610"/>
      <c r="U1044" s="610"/>
    </row>
  </sheetData>
  <mergeCells count="202">
    <mergeCell ref="B1044:U1044"/>
    <mergeCell ref="B981:U981"/>
    <mergeCell ref="B982:D982"/>
    <mergeCell ref="E982:G982"/>
    <mergeCell ref="H982:J982"/>
    <mergeCell ref="K982:M982"/>
    <mergeCell ref="N982:P982"/>
    <mergeCell ref="Q982:S982"/>
    <mergeCell ref="T982:T983"/>
    <mergeCell ref="B972:U972"/>
    <mergeCell ref="B973:D973"/>
    <mergeCell ref="E973:G973"/>
    <mergeCell ref="H973:J973"/>
    <mergeCell ref="K973:M973"/>
    <mergeCell ref="N973:P973"/>
    <mergeCell ref="Q973:S973"/>
    <mergeCell ref="T973:T974"/>
    <mergeCell ref="B954:U954"/>
    <mergeCell ref="B955:D955"/>
    <mergeCell ref="E955:G955"/>
    <mergeCell ref="H955:J955"/>
    <mergeCell ref="K955:M955"/>
    <mergeCell ref="N955:P955"/>
    <mergeCell ref="Q955:S955"/>
    <mergeCell ref="T955:T956"/>
    <mergeCell ref="B945:U945"/>
    <mergeCell ref="B946:D946"/>
    <mergeCell ref="E946:G946"/>
    <mergeCell ref="H946:J946"/>
    <mergeCell ref="K946:M946"/>
    <mergeCell ref="N946:P946"/>
    <mergeCell ref="Q946:S946"/>
    <mergeCell ref="T946:T947"/>
    <mergeCell ref="B807:U807"/>
    <mergeCell ref="B808:D808"/>
    <mergeCell ref="E808:G808"/>
    <mergeCell ref="H808:J808"/>
    <mergeCell ref="K808:M808"/>
    <mergeCell ref="N808:P808"/>
    <mergeCell ref="Q808:S808"/>
    <mergeCell ref="T808:T809"/>
    <mergeCell ref="B786:U786"/>
    <mergeCell ref="B787:D787"/>
    <mergeCell ref="E787:G787"/>
    <mergeCell ref="H787:J787"/>
    <mergeCell ref="K787:M787"/>
    <mergeCell ref="N787:P787"/>
    <mergeCell ref="Q787:S787"/>
    <mergeCell ref="T787:T788"/>
    <mergeCell ref="B759:U759"/>
    <mergeCell ref="B760:D760"/>
    <mergeCell ref="E760:G760"/>
    <mergeCell ref="H760:J760"/>
    <mergeCell ref="K760:M760"/>
    <mergeCell ref="N760:P760"/>
    <mergeCell ref="Q760:S760"/>
    <mergeCell ref="T760:T761"/>
    <mergeCell ref="B729:U729"/>
    <mergeCell ref="B730:D730"/>
    <mergeCell ref="E730:G730"/>
    <mergeCell ref="H730:J730"/>
    <mergeCell ref="K730:M730"/>
    <mergeCell ref="N730:P730"/>
    <mergeCell ref="Q730:S730"/>
    <mergeCell ref="T730:T731"/>
    <mergeCell ref="B702:U702"/>
    <mergeCell ref="B703:D703"/>
    <mergeCell ref="E703:G703"/>
    <mergeCell ref="H703:J703"/>
    <mergeCell ref="K703:M703"/>
    <mergeCell ref="N703:P703"/>
    <mergeCell ref="Q703:S703"/>
    <mergeCell ref="T703:T704"/>
    <mergeCell ref="B672:U672"/>
    <mergeCell ref="B673:D673"/>
    <mergeCell ref="E673:G673"/>
    <mergeCell ref="H673:J673"/>
    <mergeCell ref="K673:M673"/>
    <mergeCell ref="N673:P673"/>
    <mergeCell ref="Q673:S673"/>
    <mergeCell ref="T673:T674"/>
    <mergeCell ref="B636:U636"/>
    <mergeCell ref="B637:D637"/>
    <mergeCell ref="E637:G637"/>
    <mergeCell ref="H637:J637"/>
    <mergeCell ref="K637:M637"/>
    <mergeCell ref="N637:P637"/>
    <mergeCell ref="Q637:S637"/>
    <mergeCell ref="T637:T638"/>
    <mergeCell ref="B609:U609"/>
    <mergeCell ref="B610:D610"/>
    <mergeCell ref="E610:G610"/>
    <mergeCell ref="H610:J610"/>
    <mergeCell ref="K610:M610"/>
    <mergeCell ref="N610:P610"/>
    <mergeCell ref="Q610:S610"/>
    <mergeCell ref="T610:T611"/>
    <mergeCell ref="B558:U558"/>
    <mergeCell ref="B559:D559"/>
    <mergeCell ref="E559:G559"/>
    <mergeCell ref="H559:J559"/>
    <mergeCell ref="K559:M559"/>
    <mergeCell ref="N559:P559"/>
    <mergeCell ref="Q559:S559"/>
    <mergeCell ref="T559:T560"/>
    <mergeCell ref="B540:U540"/>
    <mergeCell ref="B541:D541"/>
    <mergeCell ref="E541:G541"/>
    <mergeCell ref="H541:J541"/>
    <mergeCell ref="K541:M541"/>
    <mergeCell ref="N541:P541"/>
    <mergeCell ref="Q541:S541"/>
    <mergeCell ref="T541:T542"/>
    <mergeCell ref="B531:U531"/>
    <mergeCell ref="B532:D532"/>
    <mergeCell ref="E532:G532"/>
    <mergeCell ref="H532:J532"/>
    <mergeCell ref="K532:M532"/>
    <mergeCell ref="N532:P532"/>
    <mergeCell ref="Q532:S532"/>
    <mergeCell ref="T532:T533"/>
    <mergeCell ref="B504:U504"/>
    <mergeCell ref="B505:D505"/>
    <mergeCell ref="E505:G505"/>
    <mergeCell ref="H505:J505"/>
    <mergeCell ref="K505:M505"/>
    <mergeCell ref="N505:P505"/>
    <mergeCell ref="Q505:S505"/>
    <mergeCell ref="T505:T506"/>
    <mergeCell ref="B423:U423"/>
    <mergeCell ref="B424:D424"/>
    <mergeCell ref="E424:G424"/>
    <mergeCell ref="H424:J424"/>
    <mergeCell ref="K424:M424"/>
    <mergeCell ref="N424:P424"/>
    <mergeCell ref="Q424:S424"/>
    <mergeCell ref="T424:T425"/>
    <mergeCell ref="B372:U372"/>
    <mergeCell ref="B373:D373"/>
    <mergeCell ref="E373:G373"/>
    <mergeCell ref="H373:J373"/>
    <mergeCell ref="K373:M373"/>
    <mergeCell ref="N373:P373"/>
    <mergeCell ref="Q373:S373"/>
    <mergeCell ref="T373:T374"/>
    <mergeCell ref="B273:U273"/>
    <mergeCell ref="B274:D274"/>
    <mergeCell ref="E274:G274"/>
    <mergeCell ref="H274:J274"/>
    <mergeCell ref="K274:M274"/>
    <mergeCell ref="N274:P274"/>
    <mergeCell ref="Q274:S274"/>
    <mergeCell ref="T274:T275"/>
    <mergeCell ref="B237:U237"/>
    <mergeCell ref="B238:D238"/>
    <mergeCell ref="E238:G238"/>
    <mergeCell ref="H238:J238"/>
    <mergeCell ref="K238:M238"/>
    <mergeCell ref="N238:P238"/>
    <mergeCell ref="Q238:S238"/>
    <mergeCell ref="T238:T239"/>
    <mergeCell ref="B159:U159"/>
    <mergeCell ref="B160:D160"/>
    <mergeCell ref="E160:G160"/>
    <mergeCell ref="H160:J160"/>
    <mergeCell ref="K160:M160"/>
    <mergeCell ref="N160:P160"/>
    <mergeCell ref="Q160:S160"/>
    <mergeCell ref="T160:T161"/>
    <mergeCell ref="B72:U72"/>
    <mergeCell ref="B73:D73"/>
    <mergeCell ref="E73:G73"/>
    <mergeCell ref="H73:J73"/>
    <mergeCell ref="K73:M73"/>
    <mergeCell ref="N73:P73"/>
    <mergeCell ref="Q73:S73"/>
    <mergeCell ref="T73:T74"/>
    <mergeCell ref="B21:U21"/>
    <mergeCell ref="B22:D22"/>
    <mergeCell ref="E22:G22"/>
    <mergeCell ref="H22:J22"/>
    <mergeCell ref="K22:M22"/>
    <mergeCell ref="N22:P22"/>
    <mergeCell ref="Q22:S22"/>
    <mergeCell ref="T22:T23"/>
    <mergeCell ref="B12:U12"/>
    <mergeCell ref="B13:D13"/>
    <mergeCell ref="E13:G13"/>
    <mergeCell ref="H13:J13"/>
    <mergeCell ref="K13:M13"/>
    <mergeCell ref="N13:P13"/>
    <mergeCell ref="Q13:S13"/>
    <mergeCell ref="T13:T14"/>
    <mergeCell ref="B2:U2"/>
    <mergeCell ref="B3:U3"/>
    <mergeCell ref="B4:D4"/>
    <mergeCell ref="E4:G4"/>
    <mergeCell ref="H4:J4"/>
    <mergeCell ref="K4:M4"/>
    <mergeCell ref="N4:P4"/>
    <mergeCell ref="Q4:S4"/>
    <mergeCell ref="T4:T5"/>
  </mergeCells>
  <pageMargins left="0.4" right="0.4" top="0.25" bottom="0.25" header="0.25" footer="0.25"/>
  <pageSetup paperSize="9" orientation="landscape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O87"/>
  <sheetViews>
    <sheetView rightToLeft="1" zoomScale="87" zoomScaleNormal="87" workbookViewId="0">
      <selection activeCell="H12" sqref="H12"/>
    </sheetView>
  </sheetViews>
  <sheetFormatPr defaultRowHeight="14.25" x14ac:dyDescent="0.2"/>
  <cols>
    <col min="1" max="1" width="9" style="160"/>
    <col min="2" max="2" width="5.25" style="160" customWidth="1"/>
    <col min="3" max="3" width="13.625" style="372" customWidth="1"/>
    <col min="4" max="4" width="9" style="372"/>
    <col min="5" max="5" width="12.625" style="372" customWidth="1"/>
    <col min="6" max="6" width="9" style="372"/>
    <col min="7" max="7" width="9.375" style="372" customWidth="1"/>
    <col min="8" max="11" width="9" style="372"/>
    <col min="12" max="12" width="10.25" style="372" customWidth="1"/>
    <col min="13" max="15" width="9" style="372"/>
    <col min="16" max="16384" width="9" style="160"/>
  </cols>
  <sheetData>
    <row r="1" spans="3:12" ht="31.5" customHeight="1" x14ac:dyDescent="0.2">
      <c r="C1" s="614" t="s">
        <v>856</v>
      </c>
      <c r="D1" s="614"/>
      <c r="E1" s="614"/>
      <c r="F1" s="614"/>
      <c r="G1" s="614"/>
      <c r="H1" s="614"/>
      <c r="I1" s="614"/>
      <c r="J1" s="614"/>
      <c r="K1" s="614"/>
      <c r="L1" s="614"/>
    </row>
    <row r="2" spans="3:12" ht="20.25" customHeight="1" x14ac:dyDescent="0.2">
      <c r="C2" s="615"/>
      <c r="D2" s="615"/>
      <c r="E2" s="615"/>
      <c r="F2" s="615"/>
      <c r="G2" s="615"/>
      <c r="H2" s="615"/>
      <c r="I2" s="615"/>
      <c r="J2" s="615"/>
      <c r="K2" s="615"/>
      <c r="L2" s="615"/>
    </row>
    <row r="3" spans="3:12" ht="34.5" customHeight="1" x14ac:dyDescent="0.2">
      <c r="C3" s="373" t="s">
        <v>240</v>
      </c>
      <c r="D3" s="373" t="s">
        <v>7</v>
      </c>
      <c r="E3" s="373" t="s">
        <v>61</v>
      </c>
      <c r="F3" s="373" t="s">
        <v>60</v>
      </c>
      <c r="G3" s="373" t="s">
        <v>59</v>
      </c>
      <c r="H3" s="373" t="s">
        <v>57</v>
      </c>
      <c r="I3" s="373" t="s">
        <v>243</v>
      </c>
      <c r="J3" s="373" t="s">
        <v>855</v>
      </c>
      <c r="K3" s="373" t="s">
        <v>53</v>
      </c>
      <c r="L3" s="373" t="s">
        <v>4</v>
      </c>
    </row>
    <row r="4" spans="3:12" ht="20.100000000000001" customHeight="1" x14ac:dyDescent="0.2">
      <c r="C4" s="611" t="s">
        <v>854</v>
      </c>
      <c r="D4" s="374" t="s">
        <v>9</v>
      </c>
      <c r="E4" s="375">
        <v>430</v>
      </c>
      <c r="F4" s="375">
        <v>587</v>
      </c>
      <c r="G4" s="375">
        <v>2</v>
      </c>
      <c r="H4" s="375">
        <v>828</v>
      </c>
      <c r="I4" s="375">
        <v>134</v>
      </c>
      <c r="J4" s="375">
        <v>0</v>
      </c>
      <c r="K4" s="375">
        <v>93</v>
      </c>
      <c r="L4" s="375">
        <f>SUM(E4:K4)</f>
        <v>2074</v>
      </c>
    </row>
    <row r="5" spans="3:12" ht="20.100000000000001" customHeight="1" x14ac:dyDescent="0.2">
      <c r="C5" s="612"/>
      <c r="D5" s="374" t="s">
        <v>10</v>
      </c>
      <c r="E5" s="375">
        <v>493</v>
      </c>
      <c r="F5" s="375">
        <v>328</v>
      </c>
      <c r="G5" s="375">
        <v>0</v>
      </c>
      <c r="H5" s="375">
        <v>276</v>
      </c>
      <c r="I5" s="375">
        <v>29</v>
      </c>
      <c r="J5" s="375">
        <v>0</v>
      </c>
      <c r="K5" s="375">
        <v>44</v>
      </c>
      <c r="L5" s="375">
        <f>SUM(E5:K5)</f>
        <v>1170</v>
      </c>
    </row>
    <row r="6" spans="3:12" ht="20.100000000000001" customHeight="1" x14ac:dyDescent="0.2">
      <c r="C6" s="613"/>
      <c r="D6" s="374" t="s">
        <v>845</v>
      </c>
      <c r="E6" s="375">
        <f t="shared" ref="E6:L6" si="0">SUM(E4:E5)</f>
        <v>923</v>
      </c>
      <c r="F6" s="375">
        <f t="shared" si="0"/>
        <v>915</v>
      </c>
      <c r="G6" s="375">
        <f t="shared" si="0"/>
        <v>2</v>
      </c>
      <c r="H6" s="375">
        <f t="shared" si="0"/>
        <v>1104</v>
      </c>
      <c r="I6" s="375">
        <f t="shared" si="0"/>
        <v>163</v>
      </c>
      <c r="J6" s="375">
        <f t="shared" si="0"/>
        <v>0</v>
      </c>
      <c r="K6" s="375">
        <f t="shared" si="0"/>
        <v>137</v>
      </c>
      <c r="L6" s="375">
        <f t="shared" si="0"/>
        <v>3244</v>
      </c>
    </row>
    <row r="7" spans="3:12" ht="20.100000000000001" customHeight="1" x14ac:dyDescent="0.2">
      <c r="C7" s="611" t="s">
        <v>853</v>
      </c>
      <c r="D7" s="374" t="s">
        <v>9</v>
      </c>
      <c r="E7" s="375">
        <v>126</v>
      </c>
      <c r="F7" s="375">
        <v>94</v>
      </c>
      <c r="G7" s="375">
        <v>1</v>
      </c>
      <c r="H7" s="375">
        <v>293</v>
      </c>
      <c r="I7" s="375">
        <v>62</v>
      </c>
      <c r="J7" s="375">
        <v>0</v>
      </c>
      <c r="K7" s="375">
        <v>27</v>
      </c>
      <c r="L7" s="375">
        <f>SUM(E7:K7)</f>
        <v>603</v>
      </c>
    </row>
    <row r="8" spans="3:12" ht="20.100000000000001" customHeight="1" x14ac:dyDescent="0.2">
      <c r="C8" s="612"/>
      <c r="D8" s="374" t="s">
        <v>10</v>
      </c>
      <c r="E8" s="375">
        <v>36</v>
      </c>
      <c r="F8" s="375">
        <v>80</v>
      </c>
      <c r="G8" s="375">
        <v>0</v>
      </c>
      <c r="H8" s="375">
        <v>224</v>
      </c>
      <c r="I8" s="375">
        <v>27</v>
      </c>
      <c r="J8" s="375">
        <v>0</v>
      </c>
      <c r="K8" s="375">
        <v>3</v>
      </c>
      <c r="L8" s="375">
        <f>SUM(E8:K8)</f>
        <v>370</v>
      </c>
    </row>
    <row r="9" spans="3:12" ht="20.100000000000001" customHeight="1" x14ac:dyDescent="0.2">
      <c r="C9" s="613"/>
      <c r="D9" s="374" t="s">
        <v>845</v>
      </c>
      <c r="E9" s="375">
        <f t="shared" ref="E9:L9" si="1">SUM(E7:E8)</f>
        <v>162</v>
      </c>
      <c r="F9" s="375">
        <f t="shared" si="1"/>
        <v>174</v>
      </c>
      <c r="G9" s="375">
        <f t="shared" si="1"/>
        <v>1</v>
      </c>
      <c r="H9" s="375">
        <f t="shared" si="1"/>
        <v>517</v>
      </c>
      <c r="I9" s="375">
        <f t="shared" si="1"/>
        <v>89</v>
      </c>
      <c r="J9" s="375">
        <f t="shared" si="1"/>
        <v>0</v>
      </c>
      <c r="K9" s="375">
        <f t="shared" si="1"/>
        <v>30</v>
      </c>
      <c r="L9" s="375">
        <f t="shared" si="1"/>
        <v>973</v>
      </c>
    </row>
    <row r="10" spans="3:12" ht="20.100000000000001" customHeight="1" x14ac:dyDescent="0.2">
      <c r="C10" s="611" t="s">
        <v>852</v>
      </c>
      <c r="D10" s="374" t="s">
        <v>9</v>
      </c>
      <c r="E10" s="375">
        <v>707</v>
      </c>
      <c r="F10" s="375">
        <v>2021</v>
      </c>
      <c r="G10" s="375">
        <v>3</v>
      </c>
      <c r="H10" s="375">
        <v>1806</v>
      </c>
      <c r="I10" s="375">
        <v>79</v>
      </c>
      <c r="J10" s="375">
        <v>0</v>
      </c>
      <c r="K10" s="375">
        <v>152</v>
      </c>
      <c r="L10" s="375">
        <f>SUM(E10:K10)</f>
        <v>4768</v>
      </c>
    </row>
    <row r="11" spans="3:12" ht="20.100000000000001" customHeight="1" x14ac:dyDescent="0.2">
      <c r="C11" s="612"/>
      <c r="D11" s="374" t="s">
        <v>10</v>
      </c>
      <c r="E11" s="375">
        <v>215</v>
      </c>
      <c r="F11" s="375">
        <v>288</v>
      </c>
      <c r="G11" s="375">
        <v>0</v>
      </c>
      <c r="H11" s="375">
        <v>457</v>
      </c>
      <c r="I11" s="375">
        <v>19</v>
      </c>
      <c r="J11" s="375">
        <v>0</v>
      </c>
      <c r="K11" s="375">
        <v>18</v>
      </c>
      <c r="L11" s="375">
        <f>SUM(E11:K11)</f>
        <v>997</v>
      </c>
    </row>
    <row r="12" spans="3:12" ht="20.100000000000001" customHeight="1" x14ac:dyDescent="0.2">
      <c r="C12" s="613"/>
      <c r="D12" s="374" t="s">
        <v>845</v>
      </c>
      <c r="E12" s="375">
        <f t="shared" ref="E12:L12" si="2">SUM(E10:E11)</f>
        <v>922</v>
      </c>
      <c r="F12" s="375">
        <f t="shared" si="2"/>
        <v>2309</v>
      </c>
      <c r="G12" s="375">
        <f t="shared" si="2"/>
        <v>3</v>
      </c>
      <c r="H12" s="375">
        <f t="shared" si="2"/>
        <v>2263</v>
      </c>
      <c r="I12" s="375">
        <f t="shared" si="2"/>
        <v>98</v>
      </c>
      <c r="J12" s="375">
        <f t="shared" si="2"/>
        <v>0</v>
      </c>
      <c r="K12" s="375">
        <f t="shared" si="2"/>
        <v>170</v>
      </c>
      <c r="L12" s="375">
        <f t="shared" si="2"/>
        <v>5765</v>
      </c>
    </row>
    <row r="13" spans="3:12" ht="20.100000000000001" customHeight="1" x14ac:dyDescent="0.2">
      <c r="C13" s="611" t="s">
        <v>851</v>
      </c>
      <c r="D13" s="374" t="s">
        <v>9</v>
      </c>
      <c r="E13" s="375">
        <v>530</v>
      </c>
      <c r="F13" s="375">
        <v>1605</v>
      </c>
      <c r="G13" s="375">
        <v>2</v>
      </c>
      <c r="H13" s="375">
        <v>1076</v>
      </c>
      <c r="I13" s="375">
        <v>120</v>
      </c>
      <c r="J13" s="375">
        <v>0</v>
      </c>
      <c r="K13" s="375">
        <v>114</v>
      </c>
      <c r="L13" s="375">
        <f>SUM(E13:K13)</f>
        <v>3447</v>
      </c>
    </row>
    <row r="14" spans="3:12" ht="20.100000000000001" customHeight="1" x14ac:dyDescent="0.2">
      <c r="C14" s="612"/>
      <c r="D14" s="374" t="s">
        <v>10</v>
      </c>
      <c r="E14" s="375">
        <v>140</v>
      </c>
      <c r="F14" s="375">
        <v>237</v>
      </c>
      <c r="G14" s="375">
        <v>0</v>
      </c>
      <c r="H14" s="375">
        <v>434</v>
      </c>
      <c r="I14" s="375">
        <v>33</v>
      </c>
      <c r="J14" s="375">
        <v>0</v>
      </c>
      <c r="K14" s="375">
        <v>11</v>
      </c>
      <c r="L14" s="375">
        <f>SUM(E14:K14)</f>
        <v>855</v>
      </c>
    </row>
    <row r="15" spans="3:12" ht="20.100000000000001" customHeight="1" x14ac:dyDescent="0.2">
      <c r="C15" s="613"/>
      <c r="D15" s="374" t="s">
        <v>845</v>
      </c>
      <c r="E15" s="375">
        <f t="shared" ref="E15:L15" si="3">SUM(E13:E14)</f>
        <v>670</v>
      </c>
      <c r="F15" s="375">
        <f t="shared" si="3"/>
        <v>1842</v>
      </c>
      <c r="G15" s="375">
        <f t="shared" si="3"/>
        <v>2</v>
      </c>
      <c r="H15" s="375">
        <f t="shared" si="3"/>
        <v>1510</v>
      </c>
      <c r="I15" s="375">
        <f t="shared" si="3"/>
        <v>153</v>
      </c>
      <c r="J15" s="375">
        <f t="shared" si="3"/>
        <v>0</v>
      </c>
      <c r="K15" s="375">
        <f t="shared" si="3"/>
        <v>125</v>
      </c>
      <c r="L15" s="375">
        <f t="shared" si="3"/>
        <v>4302</v>
      </c>
    </row>
    <row r="16" spans="3:12" ht="20.100000000000001" customHeight="1" x14ac:dyDescent="0.2">
      <c r="C16" s="611" t="s">
        <v>850</v>
      </c>
      <c r="D16" s="374" t="s">
        <v>9</v>
      </c>
      <c r="E16" s="375">
        <v>404</v>
      </c>
      <c r="F16" s="375">
        <v>2005</v>
      </c>
      <c r="G16" s="375">
        <v>2</v>
      </c>
      <c r="H16" s="375">
        <v>579</v>
      </c>
      <c r="I16" s="375">
        <v>66</v>
      </c>
      <c r="J16" s="375">
        <v>0</v>
      </c>
      <c r="K16" s="375">
        <v>87</v>
      </c>
      <c r="L16" s="375">
        <f>SUM(E16:K16)</f>
        <v>3143</v>
      </c>
    </row>
    <row r="17" spans="3:12" ht="20.100000000000001" customHeight="1" x14ac:dyDescent="0.2">
      <c r="C17" s="612"/>
      <c r="D17" s="374" t="s">
        <v>10</v>
      </c>
      <c r="E17" s="375">
        <v>22</v>
      </c>
      <c r="F17" s="375">
        <v>78</v>
      </c>
      <c r="G17" s="375">
        <v>0</v>
      </c>
      <c r="H17" s="375">
        <v>47</v>
      </c>
      <c r="I17" s="375">
        <v>4</v>
      </c>
      <c r="J17" s="375">
        <v>0</v>
      </c>
      <c r="K17" s="375">
        <v>2</v>
      </c>
      <c r="L17" s="375">
        <f>SUM(E17:K17)</f>
        <v>153</v>
      </c>
    </row>
    <row r="18" spans="3:12" ht="20.100000000000001" customHeight="1" x14ac:dyDescent="0.2">
      <c r="C18" s="613"/>
      <c r="D18" s="374" t="s">
        <v>845</v>
      </c>
      <c r="E18" s="375">
        <f t="shared" ref="E18:L18" si="4">SUM(E16:E17)</f>
        <v>426</v>
      </c>
      <c r="F18" s="375">
        <f t="shared" si="4"/>
        <v>2083</v>
      </c>
      <c r="G18" s="375">
        <f t="shared" si="4"/>
        <v>2</v>
      </c>
      <c r="H18" s="375">
        <f t="shared" si="4"/>
        <v>626</v>
      </c>
      <c r="I18" s="375">
        <f t="shared" si="4"/>
        <v>70</v>
      </c>
      <c r="J18" s="375">
        <f t="shared" si="4"/>
        <v>0</v>
      </c>
      <c r="K18" s="375">
        <f t="shared" si="4"/>
        <v>89</v>
      </c>
      <c r="L18" s="375">
        <f t="shared" si="4"/>
        <v>3296</v>
      </c>
    </row>
    <row r="19" spans="3:12" ht="20.100000000000001" customHeight="1" x14ac:dyDescent="0.2">
      <c r="C19" s="611" t="s">
        <v>849</v>
      </c>
      <c r="D19" s="374" t="s">
        <v>9</v>
      </c>
      <c r="E19" s="375">
        <v>189</v>
      </c>
      <c r="F19" s="375">
        <v>1743</v>
      </c>
      <c r="G19" s="375">
        <v>0</v>
      </c>
      <c r="H19" s="375">
        <v>453</v>
      </c>
      <c r="I19" s="375">
        <v>68</v>
      </c>
      <c r="J19" s="375">
        <v>184</v>
      </c>
      <c r="K19" s="375">
        <v>42</v>
      </c>
      <c r="L19" s="375">
        <f>SUM(E19:K19)</f>
        <v>2679</v>
      </c>
    </row>
    <row r="20" spans="3:12" ht="20.100000000000001" customHeight="1" x14ac:dyDescent="0.2">
      <c r="C20" s="612"/>
      <c r="D20" s="374" t="s">
        <v>10</v>
      </c>
      <c r="E20" s="375">
        <v>123</v>
      </c>
      <c r="F20" s="375">
        <v>521</v>
      </c>
      <c r="G20" s="375">
        <v>0</v>
      </c>
      <c r="H20" s="375">
        <v>331</v>
      </c>
      <c r="I20" s="375">
        <v>38</v>
      </c>
      <c r="J20" s="375">
        <v>42</v>
      </c>
      <c r="K20" s="375">
        <v>10</v>
      </c>
      <c r="L20" s="375">
        <f>SUM(E20:K20)</f>
        <v>1065</v>
      </c>
    </row>
    <row r="21" spans="3:12" ht="20.100000000000001" customHeight="1" x14ac:dyDescent="0.2">
      <c r="C21" s="613"/>
      <c r="D21" s="374" t="s">
        <v>845</v>
      </c>
      <c r="E21" s="375">
        <f t="shared" ref="E21:L21" si="5">SUM(E19:E20)</f>
        <v>312</v>
      </c>
      <c r="F21" s="375">
        <f t="shared" si="5"/>
        <v>2264</v>
      </c>
      <c r="G21" s="375">
        <f t="shared" si="5"/>
        <v>0</v>
      </c>
      <c r="H21" s="375">
        <f t="shared" si="5"/>
        <v>784</v>
      </c>
      <c r="I21" s="375">
        <f t="shared" si="5"/>
        <v>106</v>
      </c>
      <c r="J21" s="375">
        <f t="shared" si="5"/>
        <v>226</v>
      </c>
      <c r="K21" s="375">
        <f t="shared" si="5"/>
        <v>52</v>
      </c>
      <c r="L21" s="375">
        <f t="shared" si="5"/>
        <v>3744</v>
      </c>
    </row>
    <row r="22" spans="3:12" ht="20.100000000000001" customHeight="1" x14ac:dyDescent="0.2">
      <c r="C22" s="611" t="s">
        <v>848</v>
      </c>
      <c r="D22" s="374" t="s">
        <v>9</v>
      </c>
      <c r="E22" s="376">
        <v>7</v>
      </c>
      <c r="F22" s="376">
        <v>7</v>
      </c>
      <c r="G22" s="375">
        <v>0</v>
      </c>
      <c r="H22" s="376">
        <v>3</v>
      </c>
      <c r="I22" s="376">
        <v>7</v>
      </c>
      <c r="J22" s="376">
        <v>0</v>
      </c>
      <c r="K22" s="376">
        <v>0</v>
      </c>
      <c r="L22" s="375">
        <f>SUM(E22:K22)</f>
        <v>24</v>
      </c>
    </row>
    <row r="23" spans="3:12" ht="20.100000000000001" customHeight="1" x14ac:dyDescent="0.2">
      <c r="C23" s="612"/>
      <c r="D23" s="374" t="s">
        <v>10</v>
      </c>
      <c r="E23" s="376">
        <v>0</v>
      </c>
      <c r="F23" s="376">
        <v>0</v>
      </c>
      <c r="G23" s="375">
        <v>0</v>
      </c>
      <c r="H23" s="376">
        <v>10</v>
      </c>
      <c r="I23" s="376">
        <v>0</v>
      </c>
      <c r="J23" s="376">
        <v>0</v>
      </c>
      <c r="K23" s="376">
        <v>0</v>
      </c>
      <c r="L23" s="375">
        <f>SUM(E23:K23)</f>
        <v>10</v>
      </c>
    </row>
    <row r="24" spans="3:12" ht="20.100000000000001" customHeight="1" x14ac:dyDescent="0.2">
      <c r="C24" s="613"/>
      <c r="D24" s="374" t="s">
        <v>845</v>
      </c>
      <c r="E24" s="376">
        <f t="shared" ref="E24:L24" si="6">SUM(E22:E23)</f>
        <v>7</v>
      </c>
      <c r="F24" s="376">
        <f t="shared" si="6"/>
        <v>7</v>
      </c>
      <c r="G24" s="376">
        <f t="shared" si="6"/>
        <v>0</v>
      </c>
      <c r="H24" s="376">
        <f t="shared" si="6"/>
        <v>13</v>
      </c>
      <c r="I24" s="376">
        <f t="shared" si="6"/>
        <v>7</v>
      </c>
      <c r="J24" s="376">
        <f t="shared" si="6"/>
        <v>0</v>
      </c>
      <c r="K24" s="376">
        <f t="shared" si="6"/>
        <v>0</v>
      </c>
      <c r="L24" s="376">
        <f t="shared" si="6"/>
        <v>34</v>
      </c>
    </row>
    <row r="25" spans="3:12" ht="20.100000000000001" customHeight="1" x14ac:dyDescent="0.2">
      <c r="C25" s="611" t="s">
        <v>51</v>
      </c>
      <c r="D25" s="374" t="s">
        <v>9</v>
      </c>
      <c r="E25" s="375">
        <v>405</v>
      </c>
      <c r="F25" s="375">
        <v>215</v>
      </c>
      <c r="G25" s="375">
        <v>0</v>
      </c>
      <c r="H25" s="375">
        <v>169</v>
      </c>
      <c r="I25" s="375">
        <v>26</v>
      </c>
      <c r="J25" s="375">
        <v>0</v>
      </c>
      <c r="K25" s="375">
        <v>1</v>
      </c>
      <c r="L25" s="375">
        <f>SUM(E25:K25)</f>
        <v>816</v>
      </c>
    </row>
    <row r="26" spans="3:12" ht="20.100000000000001" customHeight="1" x14ac:dyDescent="0.2">
      <c r="C26" s="612"/>
      <c r="D26" s="374" t="s">
        <v>10</v>
      </c>
      <c r="E26" s="375">
        <v>82</v>
      </c>
      <c r="F26" s="375">
        <v>21</v>
      </c>
      <c r="G26" s="375">
        <v>0</v>
      </c>
      <c r="H26" s="375">
        <v>25</v>
      </c>
      <c r="I26" s="375">
        <v>0</v>
      </c>
      <c r="J26" s="375">
        <v>0</v>
      </c>
      <c r="K26" s="375">
        <v>0</v>
      </c>
      <c r="L26" s="375">
        <f>SUM(E26:K26)</f>
        <v>128</v>
      </c>
    </row>
    <row r="27" spans="3:12" ht="20.100000000000001" customHeight="1" x14ac:dyDescent="0.2">
      <c r="C27" s="613"/>
      <c r="D27" s="374" t="s">
        <v>845</v>
      </c>
      <c r="E27" s="376">
        <f t="shared" ref="E27:L27" si="7">SUM(E25:E26)</f>
        <v>487</v>
      </c>
      <c r="F27" s="376">
        <f t="shared" si="7"/>
        <v>236</v>
      </c>
      <c r="G27" s="376">
        <f t="shared" si="7"/>
        <v>0</v>
      </c>
      <c r="H27" s="376">
        <f t="shared" si="7"/>
        <v>194</v>
      </c>
      <c r="I27" s="376">
        <f t="shared" si="7"/>
        <v>26</v>
      </c>
      <c r="J27" s="376">
        <f t="shared" si="7"/>
        <v>0</v>
      </c>
      <c r="K27" s="376">
        <f t="shared" si="7"/>
        <v>1</v>
      </c>
      <c r="L27" s="376">
        <f t="shared" si="7"/>
        <v>944</v>
      </c>
    </row>
    <row r="28" spans="3:12" ht="20.100000000000001" customHeight="1" x14ac:dyDescent="0.2">
      <c r="C28" s="611" t="s">
        <v>847</v>
      </c>
      <c r="D28" s="374" t="s">
        <v>9</v>
      </c>
      <c r="E28" s="375">
        <v>7</v>
      </c>
      <c r="F28" s="375">
        <v>17</v>
      </c>
      <c r="G28" s="375">
        <v>0</v>
      </c>
      <c r="H28" s="375">
        <v>5</v>
      </c>
      <c r="I28" s="375">
        <v>4</v>
      </c>
      <c r="J28" s="375">
        <v>0</v>
      </c>
      <c r="K28" s="375">
        <v>0</v>
      </c>
      <c r="L28" s="375">
        <f>SUM(E28:K28)</f>
        <v>33</v>
      </c>
    </row>
    <row r="29" spans="3:12" ht="20.100000000000001" customHeight="1" x14ac:dyDescent="0.2">
      <c r="C29" s="612"/>
      <c r="D29" s="374" t="s">
        <v>10</v>
      </c>
      <c r="E29" s="375">
        <v>52</v>
      </c>
      <c r="F29" s="375">
        <v>13</v>
      </c>
      <c r="G29" s="375">
        <v>0</v>
      </c>
      <c r="H29" s="375">
        <v>26</v>
      </c>
      <c r="I29" s="375">
        <v>7</v>
      </c>
      <c r="J29" s="375">
        <v>0</v>
      </c>
      <c r="K29" s="375">
        <v>0</v>
      </c>
      <c r="L29" s="375">
        <f>SUM(E29:K29)</f>
        <v>98</v>
      </c>
    </row>
    <row r="30" spans="3:12" ht="20.100000000000001" customHeight="1" x14ac:dyDescent="0.2">
      <c r="C30" s="613"/>
      <c r="D30" s="374" t="s">
        <v>845</v>
      </c>
      <c r="E30" s="376">
        <f t="shared" ref="E30:L30" si="8">SUM(E28:E29)</f>
        <v>59</v>
      </c>
      <c r="F30" s="376">
        <f t="shared" si="8"/>
        <v>30</v>
      </c>
      <c r="G30" s="376">
        <f t="shared" si="8"/>
        <v>0</v>
      </c>
      <c r="H30" s="376">
        <f t="shared" si="8"/>
        <v>31</v>
      </c>
      <c r="I30" s="376">
        <f t="shared" si="8"/>
        <v>11</v>
      </c>
      <c r="J30" s="376">
        <f t="shared" si="8"/>
        <v>0</v>
      </c>
      <c r="K30" s="376">
        <f t="shared" si="8"/>
        <v>0</v>
      </c>
      <c r="L30" s="376">
        <f t="shared" si="8"/>
        <v>131</v>
      </c>
    </row>
    <row r="31" spans="3:12" ht="20.100000000000001" customHeight="1" x14ac:dyDescent="0.2">
      <c r="C31" s="611" t="s">
        <v>846</v>
      </c>
      <c r="D31" s="374" t="s">
        <v>9</v>
      </c>
      <c r="E31" s="375">
        <v>121</v>
      </c>
      <c r="F31" s="375">
        <v>116</v>
      </c>
      <c r="G31" s="375">
        <v>2</v>
      </c>
      <c r="H31" s="375">
        <v>97</v>
      </c>
      <c r="I31" s="375">
        <v>5</v>
      </c>
      <c r="J31" s="375">
        <v>0</v>
      </c>
      <c r="K31" s="375">
        <v>115</v>
      </c>
      <c r="L31" s="375">
        <f>SUM(E31:K31)</f>
        <v>456</v>
      </c>
    </row>
    <row r="32" spans="3:12" ht="20.100000000000001" customHeight="1" x14ac:dyDescent="0.2">
      <c r="C32" s="612"/>
      <c r="D32" s="374" t="s">
        <v>10</v>
      </c>
      <c r="E32" s="375">
        <v>22</v>
      </c>
      <c r="F32" s="375">
        <v>9</v>
      </c>
      <c r="G32" s="375">
        <v>0</v>
      </c>
      <c r="H32" s="375">
        <v>40</v>
      </c>
      <c r="I32" s="375">
        <v>3</v>
      </c>
      <c r="J32" s="375">
        <v>0</v>
      </c>
      <c r="K32" s="375">
        <v>13</v>
      </c>
      <c r="L32" s="375">
        <f>SUM(E32:K32)</f>
        <v>87</v>
      </c>
    </row>
    <row r="33" spans="3:12" ht="20.100000000000001" customHeight="1" x14ac:dyDescent="0.2">
      <c r="C33" s="613"/>
      <c r="D33" s="374" t="s">
        <v>845</v>
      </c>
      <c r="E33" s="376">
        <f t="shared" ref="E33:L33" si="9">SUM(E31:E32)</f>
        <v>143</v>
      </c>
      <c r="F33" s="376">
        <f t="shared" si="9"/>
        <v>125</v>
      </c>
      <c r="G33" s="376">
        <f t="shared" si="9"/>
        <v>2</v>
      </c>
      <c r="H33" s="376">
        <f t="shared" si="9"/>
        <v>137</v>
      </c>
      <c r="I33" s="376">
        <f t="shared" si="9"/>
        <v>8</v>
      </c>
      <c r="J33" s="376">
        <f t="shared" si="9"/>
        <v>0</v>
      </c>
      <c r="K33" s="376">
        <f t="shared" si="9"/>
        <v>128</v>
      </c>
      <c r="L33" s="376">
        <f t="shared" si="9"/>
        <v>543</v>
      </c>
    </row>
    <row r="34" spans="3:12" ht="20.100000000000001" customHeight="1" x14ac:dyDescent="0.2">
      <c r="C34" s="611" t="s">
        <v>575</v>
      </c>
      <c r="D34" s="374" t="s">
        <v>9</v>
      </c>
      <c r="E34" s="375">
        <f t="shared" ref="E34:L36" si="10">E4+E7+E10+E13+E16+E19+E22+E25+E28+E31</f>
        <v>2926</v>
      </c>
      <c r="F34" s="375">
        <f t="shared" si="10"/>
        <v>8410</v>
      </c>
      <c r="G34" s="375">
        <f t="shared" si="10"/>
        <v>12</v>
      </c>
      <c r="H34" s="375">
        <f t="shared" si="10"/>
        <v>5309</v>
      </c>
      <c r="I34" s="375">
        <f t="shared" si="10"/>
        <v>571</v>
      </c>
      <c r="J34" s="375">
        <f t="shared" si="10"/>
        <v>184</v>
      </c>
      <c r="K34" s="375">
        <f t="shared" si="10"/>
        <v>631</v>
      </c>
      <c r="L34" s="375">
        <f t="shared" si="10"/>
        <v>18043</v>
      </c>
    </row>
    <row r="35" spans="3:12" ht="20.100000000000001" customHeight="1" x14ac:dyDescent="0.2">
      <c r="C35" s="612"/>
      <c r="D35" s="374" t="s">
        <v>10</v>
      </c>
      <c r="E35" s="375">
        <f t="shared" si="10"/>
        <v>1185</v>
      </c>
      <c r="F35" s="375">
        <f t="shared" si="10"/>
        <v>1575</v>
      </c>
      <c r="G35" s="375">
        <f t="shared" si="10"/>
        <v>0</v>
      </c>
      <c r="H35" s="375">
        <f t="shared" si="10"/>
        <v>1870</v>
      </c>
      <c r="I35" s="375">
        <f t="shared" si="10"/>
        <v>160</v>
      </c>
      <c r="J35" s="375">
        <f t="shared" si="10"/>
        <v>42</v>
      </c>
      <c r="K35" s="375">
        <f t="shared" si="10"/>
        <v>101</v>
      </c>
      <c r="L35" s="375">
        <f t="shared" si="10"/>
        <v>4933</v>
      </c>
    </row>
    <row r="36" spans="3:12" ht="20.100000000000001" customHeight="1" x14ac:dyDescent="0.2">
      <c r="C36" s="613"/>
      <c r="D36" s="374" t="s">
        <v>845</v>
      </c>
      <c r="E36" s="375">
        <f t="shared" si="10"/>
        <v>4111</v>
      </c>
      <c r="F36" s="375">
        <f t="shared" si="10"/>
        <v>9985</v>
      </c>
      <c r="G36" s="375">
        <f t="shared" si="10"/>
        <v>12</v>
      </c>
      <c r="H36" s="375">
        <f t="shared" si="10"/>
        <v>7179</v>
      </c>
      <c r="I36" s="375">
        <f t="shared" si="10"/>
        <v>731</v>
      </c>
      <c r="J36" s="375">
        <f t="shared" si="10"/>
        <v>226</v>
      </c>
      <c r="K36" s="375">
        <f t="shared" si="10"/>
        <v>732</v>
      </c>
      <c r="L36" s="375">
        <f t="shared" si="10"/>
        <v>22976</v>
      </c>
    </row>
    <row r="37" spans="3:12" ht="20.100000000000001" customHeight="1" x14ac:dyDescent="0.2"/>
    <row r="38" spans="3:12" ht="20.100000000000001" customHeight="1" x14ac:dyDescent="0.2"/>
    <row r="39" spans="3:12" ht="20.100000000000001" customHeight="1" x14ac:dyDescent="0.2"/>
    <row r="40" spans="3:12" ht="20.100000000000001" customHeight="1" x14ac:dyDescent="0.2"/>
    <row r="41" spans="3:12" ht="20.100000000000001" customHeight="1" x14ac:dyDescent="0.2"/>
    <row r="42" spans="3:12" ht="20.100000000000001" customHeight="1" x14ac:dyDescent="0.2"/>
    <row r="43" spans="3:12" ht="20.100000000000001" customHeight="1" x14ac:dyDescent="0.2"/>
    <row r="44" spans="3:12" ht="20.100000000000001" customHeight="1" x14ac:dyDescent="0.2"/>
    <row r="45" spans="3:12" ht="20.100000000000001" customHeight="1" x14ac:dyDescent="0.2"/>
    <row r="46" spans="3:12" ht="20.100000000000001" customHeight="1" x14ac:dyDescent="0.2"/>
    <row r="47" spans="3:12" ht="20.100000000000001" customHeight="1" x14ac:dyDescent="0.2"/>
    <row r="48" spans="3:12" ht="20.100000000000001" customHeight="1" x14ac:dyDescent="0.2"/>
    <row r="49" ht="20.100000000000001" customHeight="1" x14ac:dyDescent="0.2"/>
    <row r="50" ht="20.100000000000001" customHeight="1" x14ac:dyDescent="0.2"/>
    <row r="51" ht="20.100000000000001" customHeight="1" x14ac:dyDescent="0.2"/>
    <row r="52" ht="20.100000000000001" customHeight="1" x14ac:dyDescent="0.2"/>
    <row r="53" ht="20.100000000000001" customHeight="1" x14ac:dyDescent="0.2"/>
    <row r="54" ht="20.100000000000001" customHeight="1" x14ac:dyDescent="0.2"/>
    <row r="55" ht="20.100000000000001" customHeight="1" x14ac:dyDescent="0.2"/>
    <row r="56" ht="20.100000000000001" customHeight="1" x14ac:dyDescent="0.2"/>
    <row r="57" ht="20.100000000000001" customHeight="1" x14ac:dyDescent="0.2"/>
    <row r="58" ht="20.100000000000001" customHeight="1" x14ac:dyDescent="0.2"/>
    <row r="59" ht="20.100000000000001" customHeight="1" x14ac:dyDescent="0.2"/>
    <row r="60" ht="20.100000000000001" customHeight="1" x14ac:dyDescent="0.2"/>
    <row r="61" ht="20.100000000000001" customHeight="1" x14ac:dyDescent="0.2"/>
    <row r="62" ht="20.100000000000001" customHeight="1" x14ac:dyDescent="0.2"/>
    <row r="63" ht="20.100000000000001" customHeight="1" x14ac:dyDescent="0.2"/>
    <row r="64" ht="20.100000000000001" customHeight="1" x14ac:dyDescent="0.2"/>
    <row r="65" ht="20.100000000000001" customHeight="1" x14ac:dyDescent="0.2"/>
    <row r="66" ht="20.100000000000001" customHeight="1" x14ac:dyDescent="0.2"/>
    <row r="67" ht="20.100000000000001" customHeight="1" x14ac:dyDescent="0.2"/>
    <row r="68" ht="20.100000000000001" customHeight="1" x14ac:dyDescent="0.2"/>
    <row r="69" ht="20.100000000000001" customHeight="1" x14ac:dyDescent="0.2"/>
    <row r="70" ht="20.100000000000001" customHeight="1" x14ac:dyDescent="0.2"/>
    <row r="71" ht="20.100000000000001" customHeight="1" x14ac:dyDescent="0.2"/>
    <row r="72" ht="20.100000000000001" customHeight="1" x14ac:dyDescent="0.2"/>
    <row r="73" ht="20.100000000000001" customHeight="1" x14ac:dyDescent="0.2"/>
    <row r="74" ht="20.100000000000001" customHeight="1" x14ac:dyDescent="0.2"/>
    <row r="75" ht="20.100000000000001" customHeight="1" x14ac:dyDescent="0.2"/>
    <row r="76" ht="20.100000000000001" customHeight="1" x14ac:dyDescent="0.2"/>
    <row r="77" ht="20.100000000000001" customHeight="1" x14ac:dyDescent="0.2"/>
    <row r="78" ht="20.100000000000001" customHeight="1" x14ac:dyDescent="0.2"/>
    <row r="79" ht="20.100000000000001" customHeight="1" x14ac:dyDescent="0.2"/>
    <row r="80" ht="20.100000000000001" customHeight="1" x14ac:dyDescent="0.2"/>
    <row r="81" ht="20.100000000000001" customHeight="1" x14ac:dyDescent="0.2"/>
    <row r="82" ht="20.100000000000001" customHeight="1" x14ac:dyDescent="0.2"/>
    <row r="83" ht="20.100000000000001" customHeight="1" x14ac:dyDescent="0.2"/>
    <row r="84" ht="20.100000000000001" customHeight="1" x14ac:dyDescent="0.2"/>
    <row r="85" ht="20.100000000000001" customHeight="1" x14ac:dyDescent="0.2"/>
    <row r="86" ht="20.100000000000001" customHeight="1" x14ac:dyDescent="0.2"/>
    <row r="87" ht="20.100000000000001" customHeight="1" x14ac:dyDescent="0.2"/>
  </sheetData>
  <mergeCells count="12">
    <mergeCell ref="C1:L2"/>
    <mergeCell ref="C4:C6"/>
    <mergeCell ref="C7:C9"/>
    <mergeCell ref="C10:C12"/>
    <mergeCell ref="C13:C15"/>
    <mergeCell ref="C16:C18"/>
    <mergeCell ref="C34:C36"/>
    <mergeCell ref="C19:C21"/>
    <mergeCell ref="C22:C24"/>
    <mergeCell ref="C25:C27"/>
    <mergeCell ref="C28:C30"/>
    <mergeCell ref="C31:C3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M88"/>
  <sheetViews>
    <sheetView rightToLeft="1" topLeftCell="A19" zoomScale="81" zoomScaleNormal="81" workbookViewId="0">
      <selection activeCell="H36" sqref="H36"/>
    </sheetView>
  </sheetViews>
  <sheetFormatPr defaultRowHeight="14.25" x14ac:dyDescent="0.2"/>
  <cols>
    <col min="1" max="3" width="9" style="160"/>
    <col min="4" max="4" width="11.375" style="372" bestFit="1" customWidth="1"/>
    <col min="5" max="13" width="9" style="372"/>
    <col min="14" max="16384" width="9" style="160"/>
  </cols>
  <sheetData>
    <row r="1" spans="4:13" ht="15" customHeight="1" x14ac:dyDescent="0.2">
      <c r="D1" s="617" t="s">
        <v>858</v>
      </c>
      <c r="E1" s="617"/>
      <c r="F1" s="617"/>
      <c r="G1" s="617"/>
      <c r="H1" s="617"/>
      <c r="I1" s="617"/>
      <c r="J1" s="617"/>
      <c r="K1" s="617"/>
      <c r="L1" s="617"/>
      <c r="M1" s="617"/>
    </row>
    <row r="2" spans="4:13" x14ac:dyDescent="0.2">
      <c r="D2" s="618"/>
      <c r="E2" s="618"/>
      <c r="F2" s="618"/>
      <c r="G2" s="618"/>
      <c r="H2" s="618"/>
      <c r="I2" s="618"/>
      <c r="J2" s="618"/>
      <c r="K2" s="618"/>
      <c r="L2" s="618"/>
      <c r="M2" s="618"/>
    </row>
    <row r="3" spans="4:13" ht="46.5" customHeight="1" x14ac:dyDescent="0.2">
      <c r="D3" s="373" t="s">
        <v>43</v>
      </c>
      <c r="E3" s="373" t="s">
        <v>7</v>
      </c>
      <c r="F3" s="373" t="s">
        <v>61</v>
      </c>
      <c r="G3" s="373" t="s">
        <v>60</v>
      </c>
      <c r="H3" s="373" t="s">
        <v>59</v>
      </c>
      <c r="I3" s="373" t="s">
        <v>57</v>
      </c>
      <c r="J3" s="373" t="s">
        <v>243</v>
      </c>
      <c r="K3" s="373" t="s">
        <v>855</v>
      </c>
      <c r="L3" s="373" t="s">
        <v>53</v>
      </c>
      <c r="M3" s="373" t="s">
        <v>244</v>
      </c>
    </row>
    <row r="4" spans="4:13" ht="20.100000000000001" customHeight="1" x14ac:dyDescent="0.2">
      <c r="D4" s="616" t="s">
        <v>854</v>
      </c>
      <c r="E4" s="374" t="s">
        <v>9</v>
      </c>
      <c r="F4" s="375">
        <v>367</v>
      </c>
      <c r="G4" s="375">
        <v>463</v>
      </c>
      <c r="H4" s="375">
        <v>2</v>
      </c>
      <c r="I4" s="375">
        <v>689</v>
      </c>
      <c r="J4" s="375">
        <v>115</v>
      </c>
      <c r="K4" s="375">
        <v>0</v>
      </c>
      <c r="L4" s="375">
        <v>80</v>
      </c>
      <c r="M4" s="377">
        <f>SUM(F4:L4)</f>
        <v>1716</v>
      </c>
    </row>
    <row r="5" spans="4:13" ht="20.100000000000001" customHeight="1" x14ac:dyDescent="0.2">
      <c r="D5" s="616" t="s">
        <v>44</v>
      </c>
      <c r="E5" s="374" t="s">
        <v>10</v>
      </c>
      <c r="F5" s="375">
        <v>470</v>
      </c>
      <c r="G5" s="375">
        <v>258</v>
      </c>
      <c r="H5" s="375">
        <v>0</v>
      </c>
      <c r="I5" s="375">
        <v>249</v>
      </c>
      <c r="J5" s="375">
        <v>27</v>
      </c>
      <c r="K5" s="375">
        <v>0</v>
      </c>
      <c r="L5" s="375">
        <v>42</v>
      </c>
      <c r="M5" s="377">
        <f>SUM(F5:L5)</f>
        <v>1046</v>
      </c>
    </row>
    <row r="6" spans="4:13" ht="20.100000000000001" customHeight="1" x14ac:dyDescent="0.2">
      <c r="D6" s="616"/>
      <c r="E6" s="374" t="s">
        <v>845</v>
      </c>
      <c r="F6" s="375">
        <f t="shared" ref="F6:M6" si="0">SUM(F4:F5)</f>
        <v>837</v>
      </c>
      <c r="G6" s="375">
        <f t="shared" si="0"/>
        <v>721</v>
      </c>
      <c r="H6" s="375">
        <f t="shared" si="0"/>
        <v>2</v>
      </c>
      <c r="I6" s="375">
        <f t="shared" si="0"/>
        <v>938</v>
      </c>
      <c r="J6" s="375">
        <f t="shared" si="0"/>
        <v>142</v>
      </c>
      <c r="K6" s="375">
        <f t="shared" si="0"/>
        <v>0</v>
      </c>
      <c r="L6" s="375">
        <f t="shared" si="0"/>
        <v>122</v>
      </c>
      <c r="M6" s="377">
        <f t="shared" si="0"/>
        <v>2762</v>
      </c>
    </row>
    <row r="7" spans="4:13" ht="20.100000000000001" customHeight="1" x14ac:dyDescent="0.2">
      <c r="D7" s="616" t="s">
        <v>45</v>
      </c>
      <c r="E7" s="374" t="s">
        <v>9</v>
      </c>
      <c r="F7" s="375">
        <v>108</v>
      </c>
      <c r="G7" s="375">
        <v>75</v>
      </c>
      <c r="H7" s="375">
        <v>1</v>
      </c>
      <c r="I7" s="375">
        <v>244</v>
      </c>
      <c r="J7" s="375">
        <v>53</v>
      </c>
      <c r="K7" s="375">
        <v>0</v>
      </c>
      <c r="L7" s="375">
        <v>23</v>
      </c>
      <c r="M7" s="377">
        <f>SUM(F7:L7)</f>
        <v>504</v>
      </c>
    </row>
    <row r="8" spans="4:13" ht="20.100000000000001" customHeight="1" x14ac:dyDescent="0.2">
      <c r="D8" s="616" t="s">
        <v>45</v>
      </c>
      <c r="E8" s="374" t="s">
        <v>10</v>
      </c>
      <c r="F8" s="375">
        <v>34</v>
      </c>
      <c r="G8" s="375">
        <v>63</v>
      </c>
      <c r="H8" s="375">
        <v>0</v>
      </c>
      <c r="I8" s="375">
        <v>202</v>
      </c>
      <c r="J8" s="375">
        <v>25</v>
      </c>
      <c r="K8" s="375">
        <v>0</v>
      </c>
      <c r="L8" s="375">
        <v>3</v>
      </c>
      <c r="M8" s="377">
        <f>SUM(F8:L8)</f>
        <v>327</v>
      </c>
    </row>
    <row r="9" spans="4:13" ht="20.100000000000001" customHeight="1" x14ac:dyDescent="0.2">
      <c r="D9" s="616"/>
      <c r="E9" s="374" t="s">
        <v>845</v>
      </c>
      <c r="F9" s="375">
        <f t="shared" ref="F9:M9" si="1">SUM(F7:F8)</f>
        <v>142</v>
      </c>
      <c r="G9" s="375">
        <f t="shared" si="1"/>
        <v>138</v>
      </c>
      <c r="H9" s="375">
        <f t="shared" si="1"/>
        <v>1</v>
      </c>
      <c r="I9" s="375">
        <f t="shared" si="1"/>
        <v>446</v>
      </c>
      <c r="J9" s="375">
        <f t="shared" si="1"/>
        <v>78</v>
      </c>
      <c r="K9" s="375">
        <f t="shared" si="1"/>
        <v>0</v>
      </c>
      <c r="L9" s="375">
        <f t="shared" si="1"/>
        <v>26</v>
      </c>
      <c r="M9" s="377">
        <f t="shared" si="1"/>
        <v>831</v>
      </c>
    </row>
    <row r="10" spans="4:13" ht="20.100000000000001" customHeight="1" x14ac:dyDescent="0.2">
      <c r="D10" s="616" t="s">
        <v>46</v>
      </c>
      <c r="E10" s="374" t="s">
        <v>9</v>
      </c>
      <c r="F10" s="375">
        <v>604</v>
      </c>
      <c r="G10" s="375">
        <v>1592</v>
      </c>
      <c r="H10" s="375">
        <v>1</v>
      </c>
      <c r="I10" s="375">
        <v>1502</v>
      </c>
      <c r="J10" s="375">
        <v>67</v>
      </c>
      <c r="K10" s="375">
        <v>0</v>
      </c>
      <c r="L10" s="375">
        <v>130</v>
      </c>
      <c r="M10" s="377">
        <f>SUM(F10:L10)</f>
        <v>3896</v>
      </c>
    </row>
    <row r="11" spans="4:13" ht="20.100000000000001" customHeight="1" x14ac:dyDescent="0.2">
      <c r="D11" s="616" t="s">
        <v>46</v>
      </c>
      <c r="E11" s="374" t="s">
        <v>10</v>
      </c>
      <c r="F11" s="375">
        <v>204</v>
      </c>
      <c r="G11" s="375">
        <v>227</v>
      </c>
      <c r="H11" s="375">
        <v>0</v>
      </c>
      <c r="I11" s="375">
        <v>412</v>
      </c>
      <c r="J11" s="375">
        <v>17</v>
      </c>
      <c r="K11" s="375">
        <v>0</v>
      </c>
      <c r="L11" s="375">
        <v>17</v>
      </c>
      <c r="M11" s="377">
        <f>SUM(F11:L11)</f>
        <v>877</v>
      </c>
    </row>
    <row r="12" spans="4:13" ht="20.100000000000001" customHeight="1" x14ac:dyDescent="0.2">
      <c r="D12" s="616"/>
      <c r="E12" s="374" t="s">
        <v>845</v>
      </c>
      <c r="F12" s="375">
        <f t="shared" ref="F12:M12" si="2">SUM(F10:F11)</f>
        <v>808</v>
      </c>
      <c r="G12" s="375">
        <f t="shared" si="2"/>
        <v>1819</v>
      </c>
      <c r="H12" s="375">
        <f t="shared" si="2"/>
        <v>1</v>
      </c>
      <c r="I12" s="375">
        <f t="shared" si="2"/>
        <v>1914</v>
      </c>
      <c r="J12" s="375">
        <f t="shared" si="2"/>
        <v>84</v>
      </c>
      <c r="K12" s="375">
        <f t="shared" si="2"/>
        <v>0</v>
      </c>
      <c r="L12" s="375">
        <f t="shared" si="2"/>
        <v>147</v>
      </c>
      <c r="M12" s="377">
        <f t="shared" si="2"/>
        <v>4773</v>
      </c>
    </row>
    <row r="13" spans="4:13" ht="20.100000000000001" customHeight="1" x14ac:dyDescent="0.2">
      <c r="D13" s="616" t="s">
        <v>851</v>
      </c>
      <c r="E13" s="374" t="s">
        <v>9</v>
      </c>
      <c r="F13" s="375">
        <v>453</v>
      </c>
      <c r="G13" s="375">
        <v>1264</v>
      </c>
      <c r="H13" s="375">
        <v>2</v>
      </c>
      <c r="I13" s="375">
        <v>895</v>
      </c>
      <c r="J13" s="375">
        <v>102</v>
      </c>
      <c r="K13" s="375">
        <v>0</v>
      </c>
      <c r="L13" s="375">
        <v>97</v>
      </c>
      <c r="M13" s="377">
        <f>SUM(F13:L13)</f>
        <v>2813</v>
      </c>
    </row>
    <row r="14" spans="4:13" ht="20.100000000000001" customHeight="1" x14ac:dyDescent="0.2">
      <c r="D14" s="616" t="s">
        <v>47</v>
      </c>
      <c r="E14" s="374" t="s">
        <v>10</v>
      </c>
      <c r="F14" s="375">
        <v>133</v>
      </c>
      <c r="G14" s="375">
        <v>187</v>
      </c>
      <c r="H14" s="375">
        <v>0</v>
      </c>
      <c r="I14" s="375">
        <v>392</v>
      </c>
      <c r="J14" s="375">
        <v>31</v>
      </c>
      <c r="K14" s="375">
        <v>0</v>
      </c>
      <c r="L14" s="375">
        <v>10</v>
      </c>
      <c r="M14" s="377">
        <f>SUM(F14:L14)</f>
        <v>753</v>
      </c>
    </row>
    <row r="15" spans="4:13" ht="20.100000000000001" customHeight="1" x14ac:dyDescent="0.2">
      <c r="D15" s="616"/>
      <c r="E15" s="374" t="s">
        <v>845</v>
      </c>
      <c r="F15" s="375">
        <f t="shared" ref="F15:M15" si="3">SUM(F13:F14)</f>
        <v>586</v>
      </c>
      <c r="G15" s="375">
        <f t="shared" si="3"/>
        <v>1451</v>
      </c>
      <c r="H15" s="375">
        <f t="shared" si="3"/>
        <v>2</v>
      </c>
      <c r="I15" s="375">
        <f t="shared" si="3"/>
        <v>1287</v>
      </c>
      <c r="J15" s="375">
        <f t="shared" si="3"/>
        <v>133</v>
      </c>
      <c r="K15" s="375">
        <f t="shared" si="3"/>
        <v>0</v>
      </c>
      <c r="L15" s="375">
        <f t="shared" si="3"/>
        <v>107</v>
      </c>
      <c r="M15" s="377">
        <f t="shared" si="3"/>
        <v>3566</v>
      </c>
    </row>
    <row r="16" spans="4:13" ht="20.100000000000001" customHeight="1" x14ac:dyDescent="0.2">
      <c r="D16" s="616" t="s">
        <v>48</v>
      </c>
      <c r="E16" s="374" t="s">
        <v>9</v>
      </c>
      <c r="F16" s="375">
        <v>345</v>
      </c>
      <c r="G16" s="375">
        <v>1579</v>
      </c>
      <c r="H16" s="375">
        <v>2</v>
      </c>
      <c r="I16" s="375">
        <v>482</v>
      </c>
      <c r="J16" s="375">
        <v>57</v>
      </c>
      <c r="K16" s="375">
        <v>0</v>
      </c>
      <c r="L16" s="375">
        <v>74</v>
      </c>
      <c r="M16" s="377">
        <f>SUM(F16:L16)</f>
        <v>2539</v>
      </c>
    </row>
    <row r="17" spans="4:13" ht="20.100000000000001" customHeight="1" x14ac:dyDescent="0.2">
      <c r="D17" s="616" t="s">
        <v>48</v>
      </c>
      <c r="E17" s="374" t="s">
        <v>10</v>
      </c>
      <c r="F17" s="375">
        <v>21</v>
      </c>
      <c r="G17" s="375">
        <v>61</v>
      </c>
      <c r="H17" s="375">
        <v>0</v>
      </c>
      <c r="I17" s="375">
        <v>42</v>
      </c>
      <c r="J17" s="375">
        <v>4</v>
      </c>
      <c r="K17" s="375">
        <v>0</v>
      </c>
      <c r="L17" s="375">
        <v>2</v>
      </c>
      <c r="M17" s="377">
        <f>SUM(F17:L17)</f>
        <v>130</v>
      </c>
    </row>
    <row r="18" spans="4:13" ht="20.100000000000001" customHeight="1" x14ac:dyDescent="0.2">
      <c r="D18" s="616"/>
      <c r="E18" s="374" t="s">
        <v>845</v>
      </c>
      <c r="F18" s="375">
        <f t="shared" ref="F18:M18" si="4">SUM(F16:F17)</f>
        <v>366</v>
      </c>
      <c r="G18" s="375">
        <f t="shared" si="4"/>
        <v>1640</v>
      </c>
      <c r="H18" s="375">
        <f t="shared" si="4"/>
        <v>2</v>
      </c>
      <c r="I18" s="375">
        <f t="shared" si="4"/>
        <v>524</v>
      </c>
      <c r="J18" s="375">
        <f t="shared" si="4"/>
        <v>61</v>
      </c>
      <c r="K18" s="375">
        <f t="shared" si="4"/>
        <v>0</v>
      </c>
      <c r="L18" s="375">
        <f t="shared" si="4"/>
        <v>76</v>
      </c>
      <c r="M18" s="377">
        <f t="shared" si="4"/>
        <v>2669</v>
      </c>
    </row>
    <row r="19" spans="4:13" ht="20.100000000000001" customHeight="1" x14ac:dyDescent="0.2">
      <c r="D19" s="616" t="s">
        <v>849</v>
      </c>
      <c r="E19" s="374" t="s">
        <v>9</v>
      </c>
      <c r="F19" s="375">
        <v>161</v>
      </c>
      <c r="G19" s="375">
        <v>1373</v>
      </c>
      <c r="H19" s="375">
        <v>0</v>
      </c>
      <c r="I19" s="375">
        <v>377</v>
      </c>
      <c r="J19" s="375">
        <v>58</v>
      </c>
      <c r="K19" s="375">
        <v>184</v>
      </c>
      <c r="L19" s="375">
        <v>36</v>
      </c>
      <c r="M19" s="377">
        <f>SUM(F19:L19)</f>
        <v>2189</v>
      </c>
    </row>
    <row r="20" spans="4:13" ht="20.100000000000001" customHeight="1" x14ac:dyDescent="0.2">
      <c r="D20" s="616" t="s">
        <v>49</v>
      </c>
      <c r="E20" s="374" t="s">
        <v>10</v>
      </c>
      <c r="F20" s="375">
        <v>117</v>
      </c>
      <c r="G20" s="375">
        <v>410</v>
      </c>
      <c r="H20" s="375">
        <v>0</v>
      </c>
      <c r="I20" s="375">
        <v>299</v>
      </c>
      <c r="J20" s="375">
        <v>36</v>
      </c>
      <c r="K20" s="375">
        <v>42</v>
      </c>
      <c r="L20" s="375">
        <v>10</v>
      </c>
      <c r="M20" s="377">
        <f>SUM(F20:L20)</f>
        <v>914</v>
      </c>
    </row>
    <row r="21" spans="4:13" ht="20.100000000000001" customHeight="1" x14ac:dyDescent="0.2">
      <c r="D21" s="616"/>
      <c r="E21" s="374" t="s">
        <v>845</v>
      </c>
      <c r="F21" s="375">
        <f t="shared" ref="F21:M21" si="5">SUM(F19:F20)</f>
        <v>278</v>
      </c>
      <c r="G21" s="375">
        <f t="shared" si="5"/>
        <v>1783</v>
      </c>
      <c r="H21" s="375">
        <f t="shared" si="5"/>
        <v>0</v>
      </c>
      <c r="I21" s="375">
        <f t="shared" si="5"/>
        <v>676</v>
      </c>
      <c r="J21" s="375">
        <f t="shared" si="5"/>
        <v>94</v>
      </c>
      <c r="K21" s="375">
        <f t="shared" si="5"/>
        <v>226</v>
      </c>
      <c r="L21" s="375">
        <f t="shared" si="5"/>
        <v>46</v>
      </c>
      <c r="M21" s="377">
        <f t="shared" si="5"/>
        <v>3103</v>
      </c>
    </row>
    <row r="22" spans="4:13" ht="20.100000000000001" customHeight="1" x14ac:dyDescent="0.2">
      <c r="D22" s="616" t="s">
        <v>50</v>
      </c>
      <c r="E22" s="374" t="s">
        <v>9</v>
      </c>
      <c r="F22" s="375">
        <v>6</v>
      </c>
      <c r="G22" s="375">
        <v>6</v>
      </c>
      <c r="H22" s="375">
        <v>0</v>
      </c>
      <c r="I22" s="375">
        <v>2</v>
      </c>
      <c r="J22" s="375">
        <v>6</v>
      </c>
      <c r="K22" s="375">
        <v>0</v>
      </c>
      <c r="L22" s="375">
        <v>0</v>
      </c>
      <c r="M22" s="377">
        <f>SUM(F22:L22)</f>
        <v>20</v>
      </c>
    </row>
    <row r="23" spans="4:13" ht="20.100000000000001" customHeight="1" x14ac:dyDescent="0.2">
      <c r="D23" s="616" t="s">
        <v>50</v>
      </c>
      <c r="E23" s="374" t="s">
        <v>10</v>
      </c>
      <c r="F23" s="375">
        <v>0</v>
      </c>
      <c r="G23" s="375">
        <v>0</v>
      </c>
      <c r="H23" s="375">
        <v>0</v>
      </c>
      <c r="I23" s="375">
        <v>9</v>
      </c>
      <c r="J23" s="375">
        <v>0</v>
      </c>
      <c r="K23" s="375">
        <v>0</v>
      </c>
      <c r="L23" s="375">
        <v>0</v>
      </c>
      <c r="M23" s="377">
        <f>SUM(F23:L23)</f>
        <v>9</v>
      </c>
    </row>
    <row r="24" spans="4:13" ht="20.100000000000001" customHeight="1" x14ac:dyDescent="0.2">
      <c r="D24" s="616"/>
      <c r="E24" s="374" t="s">
        <v>845</v>
      </c>
      <c r="F24" s="375">
        <f t="shared" ref="F24:M24" si="6">SUM(F22:F23)</f>
        <v>6</v>
      </c>
      <c r="G24" s="375">
        <f t="shared" si="6"/>
        <v>6</v>
      </c>
      <c r="H24" s="375">
        <f t="shared" si="6"/>
        <v>0</v>
      </c>
      <c r="I24" s="375">
        <f t="shared" si="6"/>
        <v>11</v>
      </c>
      <c r="J24" s="375">
        <f t="shared" si="6"/>
        <v>6</v>
      </c>
      <c r="K24" s="375">
        <f t="shared" si="6"/>
        <v>0</v>
      </c>
      <c r="L24" s="375">
        <f t="shared" si="6"/>
        <v>0</v>
      </c>
      <c r="M24" s="377">
        <f t="shared" si="6"/>
        <v>29</v>
      </c>
    </row>
    <row r="25" spans="4:13" ht="20.100000000000001" customHeight="1" x14ac:dyDescent="0.2">
      <c r="D25" s="616" t="s">
        <v>857</v>
      </c>
      <c r="E25" s="374" t="s">
        <v>9</v>
      </c>
      <c r="F25" s="375">
        <v>346</v>
      </c>
      <c r="G25" s="375">
        <v>169</v>
      </c>
      <c r="H25" s="375">
        <v>0</v>
      </c>
      <c r="I25" s="375">
        <v>141</v>
      </c>
      <c r="J25" s="375">
        <v>22</v>
      </c>
      <c r="K25" s="375">
        <v>0</v>
      </c>
      <c r="L25" s="375">
        <v>1</v>
      </c>
      <c r="M25" s="377">
        <f>SUM(F25:L25)</f>
        <v>679</v>
      </c>
    </row>
    <row r="26" spans="4:13" ht="20.100000000000001" customHeight="1" x14ac:dyDescent="0.2">
      <c r="D26" s="616" t="s">
        <v>51</v>
      </c>
      <c r="E26" s="374" t="s">
        <v>10</v>
      </c>
      <c r="F26" s="375">
        <v>78</v>
      </c>
      <c r="G26" s="375">
        <v>17</v>
      </c>
      <c r="H26" s="375">
        <v>0</v>
      </c>
      <c r="I26" s="375">
        <v>23</v>
      </c>
      <c r="J26" s="375">
        <v>0</v>
      </c>
      <c r="K26" s="375">
        <v>0</v>
      </c>
      <c r="L26" s="375">
        <v>0</v>
      </c>
      <c r="M26" s="377">
        <f>SUM(F26:L26)</f>
        <v>118</v>
      </c>
    </row>
    <row r="27" spans="4:13" ht="20.100000000000001" customHeight="1" x14ac:dyDescent="0.2">
      <c r="D27" s="616"/>
      <c r="E27" s="374" t="s">
        <v>845</v>
      </c>
      <c r="F27" s="375">
        <f t="shared" ref="F27:M27" si="7">SUM(F25:F26)</f>
        <v>424</v>
      </c>
      <c r="G27" s="375">
        <f t="shared" si="7"/>
        <v>186</v>
      </c>
      <c r="H27" s="375">
        <f t="shared" si="7"/>
        <v>0</v>
      </c>
      <c r="I27" s="375">
        <f t="shared" si="7"/>
        <v>164</v>
      </c>
      <c r="J27" s="375">
        <f t="shared" si="7"/>
        <v>22</v>
      </c>
      <c r="K27" s="375">
        <f t="shared" si="7"/>
        <v>0</v>
      </c>
      <c r="L27" s="375">
        <f t="shared" si="7"/>
        <v>1</v>
      </c>
      <c r="M27" s="377">
        <f t="shared" si="7"/>
        <v>797</v>
      </c>
    </row>
    <row r="28" spans="4:13" ht="20.100000000000001" customHeight="1" x14ac:dyDescent="0.2">
      <c r="D28" s="616" t="s">
        <v>52</v>
      </c>
      <c r="E28" s="374" t="s">
        <v>9</v>
      </c>
      <c r="F28" s="375">
        <v>6</v>
      </c>
      <c r="G28" s="375">
        <v>13</v>
      </c>
      <c r="H28" s="375">
        <v>0</v>
      </c>
      <c r="I28" s="375">
        <v>4</v>
      </c>
      <c r="J28" s="375">
        <v>3</v>
      </c>
      <c r="K28" s="375">
        <v>0</v>
      </c>
      <c r="L28" s="375">
        <v>0</v>
      </c>
      <c r="M28" s="377">
        <f>SUM(F28:L28)</f>
        <v>26</v>
      </c>
    </row>
    <row r="29" spans="4:13" ht="20.100000000000001" customHeight="1" x14ac:dyDescent="0.2">
      <c r="D29" s="616" t="s">
        <v>52</v>
      </c>
      <c r="E29" s="374" t="s">
        <v>10</v>
      </c>
      <c r="F29" s="375">
        <v>49</v>
      </c>
      <c r="G29" s="375">
        <v>10</v>
      </c>
      <c r="H29" s="375">
        <v>0</v>
      </c>
      <c r="I29" s="375">
        <v>23</v>
      </c>
      <c r="J29" s="375">
        <v>7</v>
      </c>
      <c r="K29" s="375">
        <v>0</v>
      </c>
      <c r="L29" s="375">
        <v>0</v>
      </c>
      <c r="M29" s="377">
        <f>SUM(F29:L29)</f>
        <v>89</v>
      </c>
    </row>
    <row r="30" spans="4:13" ht="20.100000000000001" customHeight="1" x14ac:dyDescent="0.2">
      <c r="D30" s="616"/>
      <c r="E30" s="374" t="s">
        <v>845</v>
      </c>
      <c r="F30" s="375">
        <f t="shared" ref="F30:M30" si="8">SUM(F28:F29)</f>
        <v>55</v>
      </c>
      <c r="G30" s="375">
        <f t="shared" si="8"/>
        <v>23</v>
      </c>
      <c r="H30" s="375">
        <f t="shared" si="8"/>
        <v>0</v>
      </c>
      <c r="I30" s="375">
        <f t="shared" si="8"/>
        <v>27</v>
      </c>
      <c r="J30" s="375">
        <f t="shared" si="8"/>
        <v>10</v>
      </c>
      <c r="K30" s="375">
        <f t="shared" si="8"/>
        <v>0</v>
      </c>
      <c r="L30" s="375">
        <f t="shared" si="8"/>
        <v>0</v>
      </c>
      <c r="M30" s="377">
        <f t="shared" si="8"/>
        <v>115</v>
      </c>
    </row>
    <row r="31" spans="4:13" ht="20.100000000000001" customHeight="1" x14ac:dyDescent="0.2">
      <c r="D31" s="616" t="s">
        <v>53</v>
      </c>
      <c r="E31" s="374" t="s">
        <v>9</v>
      </c>
      <c r="F31" s="375">
        <v>103</v>
      </c>
      <c r="G31" s="375">
        <v>91</v>
      </c>
      <c r="H31" s="375">
        <v>2</v>
      </c>
      <c r="I31" s="375">
        <v>81</v>
      </c>
      <c r="J31" s="375">
        <v>4</v>
      </c>
      <c r="K31" s="375">
        <v>0</v>
      </c>
      <c r="L31" s="375">
        <v>98</v>
      </c>
      <c r="M31" s="377">
        <f>SUM(F31:L31)</f>
        <v>379</v>
      </c>
    </row>
    <row r="32" spans="4:13" ht="20.100000000000001" customHeight="1" x14ac:dyDescent="0.2">
      <c r="D32" s="616" t="s">
        <v>53</v>
      </c>
      <c r="E32" s="374" t="s">
        <v>10</v>
      </c>
      <c r="F32" s="375">
        <v>21</v>
      </c>
      <c r="G32" s="375">
        <v>7</v>
      </c>
      <c r="H32" s="375">
        <v>0</v>
      </c>
      <c r="I32" s="375">
        <v>36</v>
      </c>
      <c r="J32" s="375">
        <v>3</v>
      </c>
      <c r="K32" s="375">
        <v>0</v>
      </c>
      <c r="L32" s="375">
        <v>12</v>
      </c>
      <c r="M32" s="377">
        <f>SUM(F32:L32)</f>
        <v>79</v>
      </c>
    </row>
    <row r="33" spans="4:13" ht="20.100000000000001" customHeight="1" x14ac:dyDescent="0.2">
      <c r="D33" s="616"/>
      <c r="E33" s="374" t="s">
        <v>845</v>
      </c>
      <c r="F33" s="375">
        <f t="shared" ref="F33:M33" si="9">SUM(F31:F32)</f>
        <v>124</v>
      </c>
      <c r="G33" s="375">
        <f t="shared" si="9"/>
        <v>98</v>
      </c>
      <c r="H33" s="375">
        <f t="shared" si="9"/>
        <v>2</v>
      </c>
      <c r="I33" s="375">
        <f t="shared" si="9"/>
        <v>117</v>
      </c>
      <c r="J33" s="375">
        <f t="shared" si="9"/>
        <v>7</v>
      </c>
      <c r="K33" s="375">
        <f t="shared" si="9"/>
        <v>0</v>
      </c>
      <c r="L33" s="375">
        <f t="shared" si="9"/>
        <v>110</v>
      </c>
      <c r="M33" s="377">
        <f t="shared" si="9"/>
        <v>458</v>
      </c>
    </row>
    <row r="34" spans="4:13" ht="20.100000000000001" customHeight="1" x14ac:dyDescent="0.2">
      <c r="D34" s="616" t="s">
        <v>575</v>
      </c>
      <c r="E34" s="374" t="s">
        <v>9</v>
      </c>
      <c r="F34" s="377">
        <f t="shared" ref="F34:M36" si="10">F4+F7+F10+F13+F16+F19+F22+F25+F28+F31</f>
        <v>2499</v>
      </c>
      <c r="G34" s="377">
        <f t="shared" si="10"/>
        <v>6625</v>
      </c>
      <c r="H34" s="377">
        <f t="shared" si="10"/>
        <v>10</v>
      </c>
      <c r="I34" s="377">
        <f t="shared" si="10"/>
        <v>4417</v>
      </c>
      <c r="J34" s="377">
        <f t="shared" si="10"/>
        <v>487</v>
      </c>
      <c r="K34" s="377">
        <f t="shared" si="10"/>
        <v>184</v>
      </c>
      <c r="L34" s="377">
        <f t="shared" si="10"/>
        <v>539</v>
      </c>
      <c r="M34" s="377">
        <f t="shared" si="10"/>
        <v>14761</v>
      </c>
    </row>
    <row r="35" spans="4:13" ht="20.100000000000001" customHeight="1" x14ac:dyDescent="0.2">
      <c r="D35" s="616"/>
      <c r="E35" s="374" t="s">
        <v>10</v>
      </c>
      <c r="F35" s="377">
        <f t="shared" si="10"/>
        <v>1127</v>
      </c>
      <c r="G35" s="377">
        <f t="shared" si="10"/>
        <v>1240</v>
      </c>
      <c r="H35" s="377">
        <f t="shared" si="10"/>
        <v>0</v>
      </c>
      <c r="I35" s="377">
        <f t="shared" si="10"/>
        <v>1687</v>
      </c>
      <c r="J35" s="377">
        <f t="shared" si="10"/>
        <v>150</v>
      </c>
      <c r="K35" s="377">
        <f t="shared" si="10"/>
        <v>42</v>
      </c>
      <c r="L35" s="377">
        <f t="shared" si="10"/>
        <v>96</v>
      </c>
      <c r="M35" s="377">
        <f t="shared" si="10"/>
        <v>4342</v>
      </c>
    </row>
    <row r="36" spans="4:13" ht="20.100000000000001" customHeight="1" x14ac:dyDescent="0.2">
      <c r="D36" s="616"/>
      <c r="E36" s="374" t="s">
        <v>845</v>
      </c>
      <c r="F36" s="377">
        <f t="shared" si="10"/>
        <v>3626</v>
      </c>
      <c r="G36" s="377">
        <f t="shared" si="10"/>
        <v>7865</v>
      </c>
      <c r="H36" s="377">
        <f t="shared" si="10"/>
        <v>10</v>
      </c>
      <c r="I36" s="377">
        <f t="shared" si="10"/>
        <v>6104</v>
      </c>
      <c r="J36" s="377">
        <f t="shared" si="10"/>
        <v>637</v>
      </c>
      <c r="K36" s="377">
        <f t="shared" si="10"/>
        <v>226</v>
      </c>
      <c r="L36" s="377">
        <f t="shared" si="10"/>
        <v>635</v>
      </c>
      <c r="M36" s="377">
        <f t="shared" si="10"/>
        <v>19103</v>
      </c>
    </row>
    <row r="37" spans="4:13" ht="20.100000000000001" customHeight="1" x14ac:dyDescent="0.2"/>
    <row r="38" spans="4:13" ht="20.100000000000001" customHeight="1" x14ac:dyDescent="0.2"/>
    <row r="39" spans="4:13" ht="20.100000000000001" customHeight="1" x14ac:dyDescent="0.2"/>
    <row r="40" spans="4:13" ht="20.100000000000001" customHeight="1" x14ac:dyDescent="0.2"/>
    <row r="41" spans="4:13" ht="20.100000000000001" customHeight="1" x14ac:dyDescent="0.2"/>
    <row r="42" spans="4:13" ht="20.100000000000001" customHeight="1" x14ac:dyDescent="0.2"/>
    <row r="43" spans="4:13" ht="20.100000000000001" customHeight="1" x14ac:dyDescent="0.2"/>
    <row r="44" spans="4:13" ht="20.100000000000001" customHeight="1" x14ac:dyDescent="0.2"/>
    <row r="45" spans="4:13" ht="20.100000000000001" customHeight="1" x14ac:dyDescent="0.2"/>
    <row r="46" spans="4:13" ht="20.100000000000001" customHeight="1" x14ac:dyDescent="0.2"/>
    <row r="47" spans="4:13" ht="20.100000000000001" customHeight="1" x14ac:dyDescent="0.2"/>
    <row r="48" spans="4:13" ht="20.100000000000001" customHeight="1" x14ac:dyDescent="0.2"/>
    <row r="49" ht="20.100000000000001" customHeight="1" x14ac:dyDescent="0.2"/>
    <row r="50" ht="20.100000000000001" customHeight="1" x14ac:dyDescent="0.2"/>
    <row r="51" ht="20.100000000000001" customHeight="1" x14ac:dyDescent="0.2"/>
    <row r="52" ht="20.100000000000001" customHeight="1" x14ac:dyDescent="0.2"/>
    <row r="53" ht="20.100000000000001" customHeight="1" x14ac:dyDescent="0.2"/>
    <row r="54" ht="20.100000000000001" customHeight="1" x14ac:dyDescent="0.2"/>
    <row r="55" ht="20.100000000000001" customHeight="1" x14ac:dyDescent="0.2"/>
    <row r="56" ht="20.100000000000001" customHeight="1" x14ac:dyDescent="0.2"/>
    <row r="57" ht="20.100000000000001" customHeight="1" x14ac:dyDescent="0.2"/>
    <row r="58" ht="20.100000000000001" customHeight="1" x14ac:dyDescent="0.2"/>
    <row r="59" ht="20.100000000000001" customHeight="1" x14ac:dyDescent="0.2"/>
    <row r="60" ht="20.100000000000001" customHeight="1" x14ac:dyDescent="0.2"/>
    <row r="61" ht="20.100000000000001" customHeight="1" x14ac:dyDescent="0.2"/>
    <row r="62" ht="20.100000000000001" customHeight="1" x14ac:dyDescent="0.2"/>
    <row r="63" ht="20.100000000000001" customHeight="1" x14ac:dyDescent="0.2"/>
    <row r="64" ht="20.100000000000001" customHeight="1" x14ac:dyDescent="0.2"/>
    <row r="65" ht="20.100000000000001" customHeight="1" x14ac:dyDescent="0.2"/>
    <row r="66" ht="20.100000000000001" customHeight="1" x14ac:dyDescent="0.2"/>
    <row r="67" ht="20.100000000000001" customHeight="1" x14ac:dyDescent="0.2"/>
    <row r="68" ht="20.100000000000001" customHeight="1" x14ac:dyDescent="0.2"/>
    <row r="69" ht="20.100000000000001" customHeight="1" x14ac:dyDescent="0.2"/>
    <row r="70" ht="20.100000000000001" customHeight="1" x14ac:dyDescent="0.2"/>
    <row r="71" ht="20.100000000000001" customHeight="1" x14ac:dyDescent="0.2"/>
    <row r="72" ht="20.100000000000001" customHeight="1" x14ac:dyDescent="0.2"/>
    <row r="73" ht="20.100000000000001" customHeight="1" x14ac:dyDescent="0.2"/>
    <row r="74" ht="20.100000000000001" customHeight="1" x14ac:dyDescent="0.2"/>
    <row r="75" ht="20.100000000000001" customHeight="1" x14ac:dyDescent="0.2"/>
    <row r="76" ht="20.100000000000001" customHeight="1" x14ac:dyDescent="0.2"/>
    <row r="77" ht="20.100000000000001" customHeight="1" x14ac:dyDescent="0.2"/>
    <row r="78" ht="20.100000000000001" customHeight="1" x14ac:dyDescent="0.2"/>
    <row r="79" ht="20.100000000000001" customHeight="1" x14ac:dyDescent="0.2"/>
    <row r="80" ht="20.100000000000001" customHeight="1" x14ac:dyDescent="0.2"/>
    <row r="81" ht="20.100000000000001" customHeight="1" x14ac:dyDescent="0.2"/>
    <row r="82" ht="20.100000000000001" customHeight="1" x14ac:dyDescent="0.2"/>
    <row r="83" ht="20.100000000000001" customHeight="1" x14ac:dyDescent="0.2"/>
    <row r="84" ht="20.100000000000001" customHeight="1" x14ac:dyDescent="0.2"/>
    <row r="85" ht="20.100000000000001" customHeight="1" x14ac:dyDescent="0.2"/>
    <row r="86" ht="20.100000000000001" customHeight="1" x14ac:dyDescent="0.2"/>
    <row r="87" ht="20.100000000000001" customHeight="1" x14ac:dyDescent="0.2"/>
    <row r="88" ht="20.100000000000001" customHeight="1" x14ac:dyDescent="0.2"/>
  </sheetData>
  <mergeCells count="12">
    <mergeCell ref="D1:M2"/>
    <mergeCell ref="D4:D6"/>
    <mergeCell ref="D7:D9"/>
    <mergeCell ref="D10:D12"/>
    <mergeCell ref="D13:D15"/>
    <mergeCell ref="D16:D18"/>
    <mergeCell ref="D34:D36"/>
    <mergeCell ref="D19:D21"/>
    <mergeCell ref="D22:D24"/>
    <mergeCell ref="D25:D27"/>
    <mergeCell ref="D28:D30"/>
    <mergeCell ref="D31:D3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rightToLeft="1" zoomScale="85" zoomScaleNormal="85" workbookViewId="0">
      <selection activeCell="P14" sqref="P14"/>
    </sheetView>
  </sheetViews>
  <sheetFormatPr defaultRowHeight="14.25" x14ac:dyDescent="0.2"/>
  <cols>
    <col min="1" max="2" width="9" style="160"/>
    <col min="3" max="3" width="11.375" style="372" bestFit="1" customWidth="1"/>
    <col min="4" max="12" width="9" style="372"/>
    <col min="13" max="16384" width="9" style="160"/>
  </cols>
  <sheetData>
    <row r="1" spans="1:12" ht="28.5" customHeight="1" x14ac:dyDescent="0.2">
      <c r="A1" s="161"/>
      <c r="C1" s="617" t="s">
        <v>859</v>
      </c>
      <c r="D1" s="617"/>
      <c r="E1" s="617"/>
      <c r="F1" s="617"/>
      <c r="G1" s="617"/>
      <c r="H1" s="617"/>
      <c r="I1" s="617"/>
      <c r="J1" s="617"/>
      <c r="K1" s="617"/>
      <c r="L1" s="617"/>
    </row>
    <row r="2" spans="1:12" ht="16.5" customHeight="1" x14ac:dyDescent="0.2">
      <c r="C2" s="618"/>
      <c r="D2" s="618"/>
      <c r="E2" s="618"/>
      <c r="F2" s="618"/>
      <c r="G2" s="618"/>
      <c r="H2" s="618"/>
      <c r="I2" s="618"/>
      <c r="J2" s="618"/>
      <c r="K2" s="618"/>
      <c r="L2" s="618"/>
    </row>
    <row r="3" spans="1:12" ht="50.25" customHeight="1" x14ac:dyDescent="0.2">
      <c r="C3" s="373" t="s">
        <v>43</v>
      </c>
      <c r="D3" s="373" t="s">
        <v>7</v>
      </c>
      <c r="E3" s="373" t="s">
        <v>61</v>
      </c>
      <c r="F3" s="373" t="s">
        <v>60</v>
      </c>
      <c r="G3" s="373" t="s">
        <v>59</v>
      </c>
      <c r="H3" s="373" t="s">
        <v>57</v>
      </c>
      <c r="I3" s="373" t="s">
        <v>243</v>
      </c>
      <c r="J3" s="373" t="s">
        <v>855</v>
      </c>
      <c r="K3" s="373" t="s">
        <v>53</v>
      </c>
      <c r="L3" s="373" t="s">
        <v>244</v>
      </c>
    </row>
    <row r="4" spans="1:12" ht="20.100000000000001" customHeight="1" x14ac:dyDescent="0.2">
      <c r="C4" s="616" t="s">
        <v>854</v>
      </c>
      <c r="D4" s="374" t="s">
        <v>9</v>
      </c>
      <c r="E4" s="375">
        <v>63</v>
      </c>
      <c r="F4" s="375">
        <v>124</v>
      </c>
      <c r="G4" s="375">
        <v>0</v>
      </c>
      <c r="H4" s="375">
        <v>139</v>
      </c>
      <c r="I4" s="375">
        <v>19</v>
      </c>
      <c r="J4" s="375">
        <v>0</v>
      </c>
      <c r="K4" s="375">
        <v>13</v>
      </c>
      <c r="L4" s="377">
        <f>SUM(E4:K4)</f>
        <v>358</v>
      </c>
    </row>
    <row r="5" spans="1:12" ht="20.100000000000001" customHeight="1" x14ac:dyDescent="0.2">
      <c r="C5" s="616" t="s">
        <v>44</v>
      </c>
      <c r="D5" s="374" t="s">
        <v>10</v>
      </c>
      <c r="E5" s="375">
        <v>23</v>
      </c>
      <c r="F5" s="375">
        <v>70</v>
      </c>
      <c r="G5" s="375">
        <v>0</v>
      </c>
      <c r="H5" s="375">
        <v>27</v>
      </c>
      <c r="I5" s="375">
        <v>2</v>
      </c>
      <c r="J5" s="375">
        <v>0</v>
      </c>
      <c r="K5" s="375">
        <v>2</v>
      </c>
      <c r="L5" s="377">
        <f>SUM(E5:K5)</f>
        <v>124</v>
      </c>
    </row>
    <row r="6" spans="1:12" ht="20.100000000000001" customHeight="1" x14ac:dyDescent="0.2">
      <c r="C6" s="616"/>
      <c r="D6" s="374" t="s">
        <v>845</v>
      </c>
      <c r="E6" s="375">
        <f t="shared" ref="E6:L6" si="0">SUM(E4:E5)</f>
        <v>86</v>
      </c>
      <c r="F6" s="375">
        <f t="shared" si="0"/>
        <v>194</v>
      </c>
      <c r="G6" s="375">
        <f t="shared" si="0"/>
        <v>0</v>
      </c>
      <c r="H6" s="375">
        <f t="shared" si="0"/>
        <v>166</v>
      </c>
      <c r="I6" s="375">
        <f t="shared" si="0"/>
        <v>21</v>
      </c>
      <c r="J6" s="375">
        <f t="shared" si="0"/>
        <v>0</v>
      </c>
      <c r="K6" s="375">
        <f t="shared" si="0"/>
        <v>15</v>
      </c>
      <c r="L6" s="377">
        <f t="shared" si="0"/>
        <v>482</v>
      </c>
    </row>
    <row r="7" spans="1:12" ht="20.100000000000001" customHeight="1" x14ac:dyDescent="0.2">
      <c r="C7" s="616" t="s">
        <v>45</v>
      </c>
      <c r="D7" s="374" t="s">
        <v>9</v>
      </c>
      <c r="E7" s="375">
        <v>18</v>
      </c>
      <c r="F7" s="375">
        <v>19</v>
      </c>
      <c r="G7" s="375">
        <v>0</v>
      </c>
      <c r="H7" s="375">
        <v>49</v>
      </c>
      <c r="I7" s="375">
        <v>9</v>
      </c>
      <c r="J7" s="375">
        <v>0</v>
      </c>
      <c r="K7" s="375">
        <v>4</v>
      </c>
      <c r="L7" s="377">
        <f>SUM(E7:K7)</f>
        <v>99</v>
      </c>
    </row>
    <row r="8" spans="1:12" ht="20.100000000000001" customHeight="1" x14ac:dyDescent="0.2">
      <c r="C8" s="616" t="s">
        <v>45</v>
      </c>
      <c r="D8" s="374" t="s">
        <v>10</v>
      </c>
      <c r="E8" s="375">
        <v>2</v>
      </c>
      <c r="F8" s="375">
        <v>17</v>
      </c>
      <c r="G8" s="375">
        <v>0</v>
      </c>
      <c r="H8" s="375">
        <v>22</v>
      </c>
      <c r="I8" s="375">
        <v>2</v>
      </c>
      <c r="J8" s="375">
        <v>0</v>
      </c>
      <c r="K8" s="375">
        <v>0</v>
      </c>
      <c r="L8" s="377">
        <f>SUM(E8:K8)</f>
        <v>43</v>
      </c>
    </row>
    <row r="9" spans="1:12" ht="20.100000000000001" customHeight="1" x14ac:dyDescent="0.2">
      <c r="C9" s="616"/>
      <c r="D9" s="374" t="s">
        <v>845</v>
      </c>
      <c r="E9" s="375">
        <f t="shared" ref="E9:L9" si="1">SUM(E7:E8)</f>
        <v>20</v>
      </c>
      <c r="F9" s="375">
        <f t="shared" si="1"/>
        <v>36</v>
      </c>
      <c r="G9" s="375">
        <f t="shared" si="1"/>
        <v>0</v>
      </c>
      <c r="H9" s="375">
        <f t="shared" si="1"/>
        <v>71</v>
      </c>
      <c r="I9" s="375">
        <f t="shared" si="1"/>
        <v>11</v>
      </c>
      <c r="J9" s="375">
        <f t="shared" si="1"/>
        <v>0</v>
      </c>
      <c r="K9" s="375">
        <f t="shared" si="1"/>
        <v>4</v>
      </c>
      <c r="L9" s="377">
        <f t="shared" si="1"/>
        <v>142</v>
      </c>
    </row>
    <row r="10" spans="1:12" ht="20.100000000000001" customHeight="1" x14ac:dyDescent="0.2">
      <c r="C10" s="616" t="s">
        <v>46</v>
      </c>
      <c r="D10" s="374" t="s">
        <v>9</v>
      </c>
      <c r="E10" s="375">
        <v>103</v>
      </c>
      <c r="F10" s="375">
        <v>429</v>
      </c>
      <c r="G10" s="375">
        <v>2</v>
      </c>
      <c r="H10" s="375">
        <v>304</v>
      </c>
      <c r="I10" s="375">
        <v>12</v>
      </c>
      <c r="J10" s="375">
        <v>0</v>
      </c>
      <c r="K10" s="375">
        <v>22</v>
      </c>
      <c r="L10" s="377">
        <f>SUM(E10:K10)</f>
        <v>872</v>
      </c>
    </row>
    <row r="11" spans="1:12" ht="20.100000000000001" customHeight="1" x14ac:dyDescent="0.2">
      <c r="C11" s="616" t="s">
        <v>46</v>
      </c>
      <c r="D11" s="374" t="s">
        <v>10</v>
      </c>
      <c r="E11" s="375">
        <v>11</v>
      </c>
      <c r="F11" s="375">
        <v>61</v>
      </c>
      <c r="G11" s="375">
        <v>0</v>
      </c>
      <c r="H11" s="375">
        <v>45</v>
      </c>
      <c r="I11" s="375">
        <v>2</v>
      </c>
      <c r="J11" s="375">
        <v>0</v>
      </c>
      <c r="K11" s="375">
        <v>1</v>
      </c>
      <c r="L11" s="377">
        <f>SUM(E11:K11)</f>
        <v>120</v>
      </c>
    </row>
    <row r="12" spans="1:12" ht="20.100000000000001" customHeight="1" x14ac:dyDescent="0.2">
      <c r="C12" s="616"/>
      <c r="D12" s="374" t="s">
        <v>845</v>
      </c>
      <c r="E12" s="375">
        <f t="shared" ref="E12:L12" si="2">SUM(E10:E11)</f>
        <v>114</v>
      </c>
      <c r="F12" s="375">
        <f t="shared" si="2"/>
        <v>490</v>
      </c>
      <c r="G12" s="375">
        <f t="shared" si="2"/>
        <v>2</v>
      </c>
      <c r="H12" s="375">
        <f t="shared" si="2"/>
        <v>349</v>
      </c>
      <c r="I12" s="375">
        <f t="shared" si="2"/>
        <v>14</v>
      </c>
      <c r="J12" s="375">
        <f t="shared" si="2"/>
        <v>0</v>
      </c>
      <c r="K12" s="375">
        <f t="shared" si="2"/>
        <v>23</v>
      </c>
      <c r="L12" s="377">
        <f t="shared" si="2"/>
        <v>992</v>
      </c>
    </row>
    <row r="13" spans="1:12" ht="20.100000000000001" customHeight="1" x14ac:dyDescent="0.2">
      <c r="C13" s="616" t="s">
        <v>851</v>
      </c>
      <c r="D13" s="374" t="s">
        <v>9</v>
      </c>
      <c r="E13" s="375">
        <v>77</v>
      </c>
      <c r="F13" s="375">
        <v>341</v>
      </c>
      <c r="G13" s="375">
        <v>0</v>
      </c>
      <c r="H13" s="375">
        <v>181</v>
      </c>
      <c r="I13" s="375">
        <v>18</v>
      </c>
      <c r="J13" s="375">
        <v>0</v>
      </c>
      <c r="K13" s="375">
        <v>17</v>
      </c>
      <c r="L13" s="377">
        <f>SUM(E13:K13)</f>
        <v>634</v>
      </c>
    </row>
    <row r="14" spans="1:12" ht="20.100000000000001" customHeight="1" x14ac:dyDescent="0.2">
      <c r="C14" s="616" t="s">
        <v>47</v>
      </c>
      <c r="D14" s="374" t="s">
        <v>10</v>
      </c>
      <c r="E14" s="375">
        <v>7</v>
      </c>
      <c r="F14" s="375">
        <v>50</v>
      </c>
      <c r="G14" s="375">
        <v>0</v>
      </c>
      <c r="H14" s="375">
        <v>42</v>
      </c>
      <c r="I14" s="375">
        <v>2</v>
      </c>
      <c r="J14" s="375">
        <v>0</v>
      </c>
      <c r="K14" s="375">
        <v>1</v>
      </c>
      <c r="L14" s="377">
        <f>SUM(E14:K14)</f>
        <v>102</v>
      </c>
    </row>
    <row r="15" spans="1:12" ht="20.100000000000001" customHeight="1" x14ac:dyDescent="0.2">
      <c r="C15" s="616"/>
      <c r="D15" s="374" t="s">
        <v>845</v>
      </c>
      <c r="E15" s="375">
        <f t="shared" ref="E15:L15" si="3">SUM(E13:E14)</f>
        <v>84</v>
      </c>
      <c r="F15" s="375">
        <f t="shared" si="3"/>
        <v>391</v>
      </c>
      <c r="G15" s="375">
        <f t="shared" si="3"/>
        <v>0</v>
      </c>
      <c r="H15" s="375">
        <f t="shared" si="3"/>
        <v>223</v>
      </c>
      <c r="I15" s="375">
        <f t="shared" si="3"/>
        <v>20</v>
      </c>
      <c r="J15" s="375">
        <f t="shared" si="3"/>
        <v>0</v>
      </c>
      <c r="K15" s="375">
        <f t="shared" si="3"/>
        <v>18</v>
      </c>
      <c r="L15" s="377">
        <f t="shared" si="3"/>
        <v>736</v>
      </c>
    </row>
    <row r="16" spans="1:12" ht="20.100000000000001" customHeight="1" x14ac:dyDescent="0.2">
      <c r="C16" s="616" t="s">
        <v>48</v>
      </c>
      <c r="D16" s="374" t="s">
        <v>9</v>
      </c>
      <c r="E16" s="375">
        <v>59</v>
      </c>
      <c r="F16" s="375">
        <v>426</v>
      </c>
      <c r="G16" s="375">
        <v>0</v>
      </c>
      <c r="H16" s="375">
        <v>97</v>
      </c>
      <c r="I16" s="375">
        <v>9</v>
      </c>
      <c r="J16" s="375">
        <v>0</v>
      </c>
      <c r="K16" s="375">
        <v>13</v>
      </c>
      <c r="L16" s="377">
        <f>SUM(E16:K16)</f>
        <v>604</v>
      </c>
    </row>
    <row r="17" spans="3:12" ht="20.100000000000001" customHeight="1" x14ac:dyDescent="0.2">
      <c r="C17" s="616" t="s">
        <v>48</v>
      </c>
      <c r="D17" s="374" t="s">
        <v>10</v>
      </c>
      <c r="E17" s="375">
        <v>1</v>
      </c>
      <c r="F17" s="375">
        <v>17</v>
      </c>
      <c r="G17" s="375">
        <v>0</v>
      </c>
      <c r="H17" s="375">
        <v>5</v>
      </c>
      <c r="I17" s="375">
        <v>0</v>
      </c>
      <c r="J17" s="375">
        <v>0</v>
      </c>
      <c r="K17" s="375">
        <v>0</v>
      </c>
      <c r="L17" s="377">
        <f>SUM(E17:K17)</f>
        <v>23</v>
      </c>
    </row>
    <row r="18" spans="3:12" ht="20.100000000000001" customHeight="1" x14ac:dyDescent="0.2">
      <c r="C18" s="616"/>
      <c r="D18" s="374" t="s">
        <v>845</v>
      </c>
      <c r="E18" s="375">
        <f t="shared" ref="E18:L18" si="4">SUM(E16:E17)</f>
        <v>60</v>
      </c>
      <c r="F18" s="375">
        <f t="shared" si="4"/>
        <v>443</v>
      </c>
      <c r="G18" s="375">
        <f t="shared" si="4"/>
        <v>0</v>
      </c>
      <c r="H18" s="375">
        <f t="shared" si="4"/>
        <v>102</v>
      </c>
      <c r="I18" s="375">
        <f t="shared" si="4"/>
        <v>9</v>
      </c>
      <c r="J18" s="375">
        <f t="shared" si="4"/>
        <v>0</v>
      </c>
      <c r="K18" s="375">
        <f t="shared" si="4"/>
        <v>13</v>
      </c>
      <c r="L18" s="377">
        <f t="shared" si="4"/>
        <v>627</v>
      </c>
    </row>
    <row r="19" spans="3:12" ht="20.100000000000001" customHeight="1" x14ac:dyDescent="0.2">
      <c r="C19" s="616" t="s">
        <v>849</v>
      </c>
      <c r="D19" s="374" t="s">
        <v>9</v>
      </c>
      <c r="E19" s="375">
        <v>28</v>
      </c>
      <c r="F19" s="375">
        <v>370</v>
      </c>
      <c r="G19" s="375">
        <v>0</v>
      </c>
      <c r="H19" s="375">
        <v>76</v>
      </c>
      <c r="I19" s="375">
        <v>10</v>
      </c>
      <c r="J19" s="375">
        <v>0</v>
      </c>
      <c r="K19" s="375">
        <v>6</v>
      </c>
      <c r="L19" s="377">
        <f>SUM(E19:K19)</f>
        <v>490</v>
      </c>
    </row>
    <row r="20" spans="3:12" ht="20.100000000000001" customHeight="1" x14ac:dyDescent="0.2">
      <c r="C20" s="616" t="s">
        <v>49</v>
      </c>
      <c r="D20" s="374" t="s">
        <v>10</v>
      </c>
      <c r="E20" s="375">
        <v>6</v>
      </c>
      <c r="F20" s="375">
        <v>111</v>
      </c>
      <c r="G20" s="375">
        <v>0</v>
      </c>
      <c r="H20" s="375">
        <v>32</v>
      </c>
      <c r="I20" s="375">
        <v>2</v>
      </c>
      <c r="J20" s="375">
        <v>0</v>
      </c>
      <c r="K20" s="375">
        <v>0</v>
      </c>
      <c r="L20" s="377">
        <f>SUM(E20:K20)</f>
        <v>151</v>
      </c>
    </row>
    <row r="21" spans="3:12" ht="20.100000000000001" customHeight="1" x14ac:dyDescent="0.2">
      <c r="C21" s="616"/>
      <c r="D21" s="374" t="s">
        <v>845</v>
      </c>
      <c r="E21" s="375">
        <f t="shared" ref="E21:L21" si="5">SUM(E19:E20)</f>
        <v>34</v>
      </c>
      <c r="F21" s="375">
        <f t="shared" si="5"/>
        <v>481</v>
      </c>
      <c r="G21" s="375">
        <f t="shared" si="5"/>
        <v>0</v>
      </c>
      <c r="H21" s="375">
        <f t="shared" si="5"/>
        <v>108</v>
      </c>
      <c r="I21" s="375">
        <f t="shared" si="5"/>
        <v>12</v>
      </c>
      <c r="J21" s="375">
        <f t="shared" si="5"/>
        <v>0</v>
      </c>
      <c r="K21" s="375">
        <f t="shared" si="5"/>
        <v>6</v>
      </c>
      <c r="L21" s="377">
        <f t="shared" si="5"/>
        <v>641</v>
      </c>
    </row>
    <row r="22" spans="3:12" ht="20.100000000000001" customHeight="1" x14ac:dyDescent="0.2">
      <c r="C22" s="616" t="s">
        <v>50</v>
      </c>
      <c r="D22" s="374" t="s">
        <v>9</v>
      </c>
      <c r="E22" s="376">
        <v>1</v>
      </c>
      <c r="F22" s="375">
        <v>1</v>
      </c>
      <c r="G22" s="375">
        <v>0</v>
      </c>
      <c r="H22" s="376">
        <v>1</v>
      </c>
      <c r="I22" s="376">
        <v>1</v>
      </c>
      <c r="J22" s="376">
        <v>0</v>
      </c>
      <c r="K22" s="376">
        <v>0</v>
      </c>
      <c r="L22" s="377">
        <f>SUM(E22:K22)</f>
        <v>4</v>
      </c>
    </row>
    <row r="23" spans="3:12" ht="20.100000000000001" customHeight="1" x14ac:dyDescent="0.2">
      <c r="C23" s="616" t="s">
        <v>50</v>
      </c>
      <c r="D23" s="374" t="s">
        <v>10</v>
      </c>
      <c r="E23" s="376">
        <v>0</v>
      </c>
      <c r="F23" s="376">
        <v>0</v>
      </c>
      <c r="G23" s="375">
        <v>0</v>
      </c>
      <c r="H23" s="376">
        <v>1</v>
      </c>
      <c r="I23" s="376">
        <v>0</v>
      </c>
      <c r="J23" s="376">
        <v>0</v>
      </c>
      <c r="K23" s="376">
        <v>0</v>
      </c>
      <c r="L23" s="377">
        <f>SUM(E23:K23)</f>
        <v>1</v>
      </c>
    </row>
    <row r="24" spans="3:12" ht="20.100000000000001" customHeight="1" x14ac:dyDescent="0.2">
      <c r="C24" s="616"/>
      <c r="D24" s="374" t="s">
        <v>845</v>
      </c>
      <c r="E24" s="376">
        <f t="shared" ref="E24:L24" si="6">SUM(E22:E23)</f>
        <v>1</v>
      </c>
      <c r="F24" s="376">
        <f t="shared" si="6"/>
        <v>1</v>
      </c>
      <c r="G24" s="376">
        <f t="shared" si="6"/>
        <v>0</v>
      </c>
      <c r="H24" s="376">
        <f t="shared" si="6"/>
        <v>2</v>
      </c>
      <c r="I24" s="376">
        <f t="shared" si="6"/>
        <v>1</v>
      </c>
      <c r="J24" s="376">
        <f t="shared" si="6"/>
        <v>0</v>
      </c>
      <c r="K24" s="376">
        <f t="shared" si="6"/>
        <v>0</v>
      </c>
      <c r="L24" s="377">
        <f t="shared" si="6"/>
        <v>5</v>
      </c>
    </row>
    <row r="25" spans="3:12" ht="20.100000000000001" customHeight="1" x14ac:dyDescent="0.2">
      <c r="C25" s="616" t="s">
        <v>857</v>
      </c>
      <c r="D25" s="374" t="s">
        <v>9</v>
      </c>
      <c r="E25" s="375">
        <v>59</v>
      </c>
      <c r="F25" s="375">
        <v>46</v>
      </c>
      <c r="G25" s="375">
        <v>0</v>
      </c>
      <c r="H25" s="375">
        <v>28</v>
      </c>
      <c r="I25" s="375">
        <v>4</v>
      </c>
      <c r="J25" s="375">
        <v>0</v>
      </c>
      <c r="K25" s="375">
        <v>0</v>
      </c>
      <c r="L25" s="377">
        <f>SUM(E25:K25)</f>
        <v>137</v>
      </c>
    </row>
    <row r="26" spans="3:12" ht="20.100000000000001" customHeight="1" x14ac:dyDescent="0.2">
      <c r="C26" s="616" t="s">
        <v>51</v>
      </c>
      <c r="D26" s="374" t="s">
        <v>10</v>
      </c>
      <c r="E26" s="375">
        <v>4</v>
      </c>
      <c r="F26" s="375">
        <v>4</v>
      </c>
      <c r="G26" s="375">
        <v>0</v>
      </c>
      <c r="H26" s="375">
        <v>2</v>
      </c>
      <c r="I26" s="375">
        <v>0</v>
      </c>
      <c r="J26" s="375">
        <v>0</v>
      </c>
      <c r="K26" s="375">
        <v>0</v>
      </c>
      <c r="L26" s="377">
        <f>SUM(E26:K26)</f>
        <v>10</v>
      </c>
    </row>
    <row r="27" spans="3:12" ht="20.100000000000001" customHeight="1" x14ac:dyDescent="0.2">
      <c r="C27" s="616"/>
      <c r="D27" s="374" t="s">
        <v>845</v>
      </c>
      <c r="E27" s="376">
        <f t="shared" ref="E27:L27" si="7">SUM(E25:E26)</f>
        <v>63</v>
      </c>
      <c r="F27" s="376">
        <f t="shared" si="7"/>
        <v>50</v>
      </c>
      <c r="G27" s="376">
        <f t="shared" si="7"/>
        <v>0</v>
      </c>
      <c r="H27" s="376">
        <f t="shared" si="7"/>
        <v>30</v>
      </c>
      <c r="I27" s="376">
        <f t="shared" si="7"/>
        <v>4</v>
      </c>
      <c r="J27" s="376">
        <f t="shared" si="7"/>
        <v>0</v>
      </c>
      <c r="K27" s="376">
        <f t="shared" si="7"/>
        <v>0</v>
      </c>
      <c r="L27" s="377">
        <f t="shared" si="7"/>
        <v>147</v>
      </c>
    </row>
    <row r="28" spans="3:12" ht="20.100000000000001" customHeight="1" x14ac:dyDescent="0.2">
      <c r="C28" s="616" t="s">
        <v>52</v>
      </c>
      <c r="D28" s="374" t="s">
        <v>9</v>
      </c>
      <c r="E28" s="375">
        <v>1</v>
      </c>
      <c r="F28" s="375">
        <v>4</v>
      </c>
      <c r="G28" s="375">
        <v>0</v>
      </c>
      <c r="H28" s="375">
        <v>1</v>
      </c>
      <c r="I28" s="375">
        <v>1</v>
      </c>
      <c r="J28" s="375">
        <v>0</v>
      </c>
      <c r="K28" s="375">
        <v>0</v>
      </c>
      <c r="L28" s="377">
        <f>SUM(E28:K28)</f>
        <v>7</v>
      </c>
    </row>
    <row r="29" spans="3:12" ht="20.100000000000001" customHeight="1" x14ac:dyDescent="0.2">
      <c r="C29" s="616" t="s">
        <v>52</v>
      </c>
      <c r="D29" s="374" t="s">
        <v>10</v>
      </c>
      <c r="E29" s="375">
        <v>3</v>
      </c>
      <c r="F29" s="375">
        <v>3</v>
      </c>
      <c r="G29" s="375">
        <v>0</v>
      </c>
      <c r="H29" s="375">
        <v>3</v>
      </c>
      <c r="I29" s="375">
        <v>0</v>
      </c>
      <c r="J29" s="375">
        <v>0</v>
      </c>
      <c r="K29" s="375">
        <v>0</v>
      </c>
      <c r="L29" s="377">
        <f>SUM(E29:K29)</f>
        <v>9</v>
      </c>
    </row>
    <row r="30" spans="3:12" ht="20.100000000000001" customHeight="1" x14ac:dyDescent="0.2">
      <c r="C30" s="616"/>
      <c r="D30" s="374" t="s">
        <v>845</v>
      </c>
      <c r="E30" s="376">
        <f t="shared" ref="E30:L30" si="8">SUM(E28:E29)</f>
        <v>4</v>
      </c>
      <c r="F30" s="376">
        <f t="shared" si="8"/>
        <v>7</v>
      </c>
      <c r="G30" s="376">
        <f t="shared" si="8"/>
        <v>0</v>
      </c>
      <c r="H30" s="376">
        <f t="shared" si="8"/>
        <v>4</v>
      </c>
      <c r="I30" s="376">
        <f t="shared" si="8"/>
        <v>1</v>
      </c>
      <c r="J30" s="376">
        <f t="shared" si="8"/>
        <v>0</v>
      </c>
      <c r="K30" s="376">
        <f t="shared" si="8"/>
        <v>0</v>
      </c>
      <c r="L30" s="377">
        <f t="shared" si="8"/>
        <v>16</v>
      </c>
    </row>
    <row r="31" spans="3:12" ht="20.100000000000001" customHeight="1" x14ac:dyDescent="0.2">
      <c r="C31" s="616" t="s">
        <v>53</v>
      </c>
      <c r="D31" s="374" t="s">
        <v>9</v>
      </c>
      <c r="E31" s="375">
        <v>18</v>
      </c>
      <c r="F31" s="375">
        <v>25</v>
      </c>
      <c r="G31" s="375">
        <v>0</v>
      </c>
      <c r="H31" s="375">
        <v>16</v>
      </c>
      <c r="I31" s="375">
        <v>1</v>
      </c>
      <c r="J31" s="375">
        <v>0</v>
      </c>
      <c r="K31" s="375">
        <v>17</v>
      </c>
      <c r="L31" s="377">
        <f>SUM(E31:K31)</f>
        <v>77</v>
      </c>
    </row>
    <row r="32" spans="3:12" ht="20.100000000000001" customHeight="1" x14ac:dyDescent="0.2">
      <c r="C32" s="616" t="s">
        <v>53</v>
      </c>
      <c r="D32" s="374" t="s">
        <v>10</v>
      </c>
      <c r="E32" s="375">
        <v>1</v>
      </c>
      <c r="F32" s="375">
        <v>2</v>
      </c>
      <c r="G32" s="375">
        <v>0</v>
      </c>
      <c r="H32" s="375">
        <v>4</v>
      </c>
      <c r="I32" s="375">
        <v>0</v>
      </c>
      <c r="J32" s="375">
        <v>0</v>
      </c>
      <c r="K32" s="375">
        <v>1</v>
      </c>
      <c r="L32" s="377">
        <f>SUM(E32:K32)</f>
        <v>8</v>
      </c>
    </row>
    <row r="33" spans="3:12" ht="20.100000000000001" customHeight="1" x14ac:dyDescent="0.2">
      <c r="C33" s="616"/>
      <c r="D33" s="374" t="s">
        <v>845</v>
      </c>
      <c r="E33" s="376">
        <f t="shared" ref="E33:L33" si="9">SUM(E31:E32)</f>
        <v>19</v>
      </c>
      <c r="F33" s="376">
        <f t="shared" si="9"/>
        <v>27</v>
      </c>
      <c r="G33" s="376">
        <f t="shared" si="9"/>
        <v>0</v>
      </c>
      <c r="H33" s="376">
        <f t="shared" si="9"/>
        <v>20</v>
      </c>
      <c r="I33" s="376">
        <f t="shared" si="9"/>
        <v>1</v>
      </c>
      <c r="J33" s="376">
        <f t="shared" si="9"/>
        <v>0</v>
      </c>
      <c r="K33" s="376">
        <f t="shared" si="9"/>
        <v>18</v>
      </c>
      <c r="L33" s="377">
        <f t="shared" si="9"/>
        <v>85</v>
      </c>
    </row>
    <row r="34" spans="3:12" ht="20.100000000000001" customHeight="1" x14ac:dyDescent="0.2">
      <c r="C34" s="616" t="s">
        <v>575</v>
      </c>
      <c r="D34" s="374" t="s">
        <v>9</v>
      </c>
      <c r="E34" s="377">
        <f t="shared" ref="E34:L36" si="10">E4+E7+E10+E13+E16+E19+E22+E25+E28+E31</f>
        <v>427</v>
      </c>
      <c r="F34" s="377">
        <f t="shared" si="10"/>
        <v>1785</v>
      </c>
      <c r="G34" s="377">
        <f t="shared" si="10"/>
        <v>2</v>
      </c>
      <c r="H34" s="377">
        <f t="shared" si="10"/>
        <v>892</v>
      </c>
      <c r="I34" s="377">
        <f t="shared" si="10"/>
        <v>84</v>
      </c>
      <c r="J34" s="377">
        <f t="shared" si="10"/>
        <v>0</v>
      </c>
      <c r="K34" s="377">
        <f t="shared" si="10"/>
        <v>92</v>
      </c>
      <c r="L34" s="377">
        <f t="shared" si="10"/>
        <v>3282</v>
      </c>
    </row>
    <row r="35" spans="3:12" ht="20.100000000000001" customHeight="1" x14ac:dyDescent="0.2">
      <c r="C35" s="616"/>
      <c r="D35" s="374" t="s">
        <v>10</v>
      </c>
      <c r="E35" s="377">
        <f t="shared" si="10"/>
        <v>58</v>
      </c>
      <c r="F35" s="377">
        <f t="shared" si="10"/>
        <v>335</v>
      </c>
      <c r="G35" s="377">
        <f t="shared" si="10"/>
        <v>0</v>
      </c>
      <c r="H35" s="377">
        <f t="shared" si="10"/>
        <v>183</v>
      </c>
      <c r="I35" s="377">
        <f t="shared" si="10"/>
        <v>10</v>
      </c>
      <c r="J35" s="377">
        <f t="shared" si="10"/>
        <v>0</v>
      </c>
      <c r="K35" s="377">
        <f t="shared" si="10"/>
        <v>5</v>
      </c>
      <c r="L35" s="377">
        <f t="shared" si="10"/>
        <v>591</v>
      </c>
    </row>
    <row r="36" spans="3:12" ht="20.100000000000001" customHeight="1" x14ac:dyDescent="0.2">
      <c r="C36" s="616"/>
      <c r="D36" s="374" t="s">
        <v>845</v>
      </c>
      <c r="E36" s="377">
        <f t="shared" si="10"/>
        <v>485</v>
      </c>
      <c r="F36" s="377">
        <f t="shared" si="10"/>
        <v>2120</v>
      </c>
      <c r="G36" s="377">
        <f t="shared" si="10"/>
        <v>2</v>
      </c>
      <c r="H36" s="377">
        <f t="shared" si="10"/>
        <v>1075</v>
      </c>
      <c r="I36" s="377">
        <f t="shared" si="10"/>
        <v>94</v>
      </c>
      <c r="J36" s="377">
        <f t="shared" si="10"/>
        <v>0</v>
      </c>
      <c r="K36" s="377">
        <f t="shared" si="10"/>
        <v>97</v>
      </c>
      <c r="L36" s="377">
        <f t="shared" si="10"/>
        <v>3873</v>
      </c>
    </row>
    <row r="37" spans="3:12" ht="20.100000000000001" customHeight="1" x14ac:dyDescent="0.2"/>
    <row r="38" spans="3:12" ht="20.100000000000001" customHeight="1" x14ac:dyDescent="0.2"/>
    <row r="39" spans="3:12" ht="20.100000000000001" customHeight="1" x14ac:dyDescent="0.2"/>
    <row r="40" spans="3:12" ht="20.100000000000001" customHeight="1" x14ac:dyDescent="0.2"/>
    <row r="41" spans="3:12" ht="20.100000000000001" customHeight="1" x14ac:dyDescent="0.2"/>
    <row r="42" spans="3:12" ht="20.100000000000001" customHeight="1" x14ac:dyDescent="0.2"/>
    <row r="43" spans="3:12" ht="20.100000000000001" customHeight="1" x14ac:dyDescent="0.2"/>
    <row r="44" spans="3:12" ht="20.100000000000001" customHeight="1" x14ac:dyDescent="0.2"/>
    <row r="45" spans="3:12" ht="20.100000000000001" customHeight="1" x14ac:dyDescent="0.2"/>
    <row r="46" spans="3:12" ht="20.100000000000001" customHeight="1" x14ac:dyDescent="0.2"/>
    <row r="47" spans="3:12" ht="20.100000000000001" customHeight="1" x14ac:dyDescent="0.2"/>
    <row r="48" spans="3:12" ht="20.100000000000001" customHeight="1" x14ac:dyDescent="0.2"/>
    <row r="49" ht="20.100000000000001" customHeight="1" x14ac:dyDescent="0.2"/>
    <row r="50" ht="20.100000000000001" customHeight="1" x14ac:dyDescent="0.2"/>
    <row r="51" ht="20.100000000000001" customHeight="1" x14ac:dyDescent="0.2"/>
    <row r="52" ht="20.100000000000001" customHeight="1" x14ac:dyDescent="0.2"/>
    <row r="53" ht="20.100000000000001" customHeight="1" x14ac:dyDescent="0.2"/>
    <row r="54" ht="20.100000000000001" customHeight="1" x14ac:dyDescent="0.2"/>
    <row r="55" ht="20.100000000000001" customHeight="1" x14ac:dyDescent="0.2"/>
    <row r="56" ht="20.100000000000001" customHeight="1" x14ac:dyDescent="0.2"/>
    <row r="57" ht="20.100000000000001" customHeight="1" x14ac:dyDescent="0.2"/>
    <row r="58" ht="20.100000000000001" customHeight="1" x14ac:dyDescent="0.2"/>
  </sheetData>
  <mergeCells count="12">
    <mergeCell ref="C13:C15"/>
    <mergeCell ref="C16:C18"/>
    <mergeCell ref="C34:C36"/>
    <mergeCell ref="C1:L2"/>
    <mergeCell ref="C19:C21"/>
    <mergeCell ref="C22:C24"/>
    <mergeCell ref="C25:C27"/>
    <mergeCell ref="C28:C30"/>
    <mergeCell ref="C31:C33"/>
    <mergeCell ref="C4:C6"/>
    <mergeCell ref="C7:C9"/>
    <mergeCell ref="C10:C12"/>
  </mergeCells>
  <pageMargins left="0.7" right="0.7" top="0.75" bottom="0.75" header="0.3" footer="0.3"/>
  <pageSetup paperSize="9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92"/>
  <sheetViews>
    <sheetView rightToLeft="1" zoomScale="82" zoomScaleNormal="82" workbookViewId="0">
      <selection activeCell="C2" sqref="C1:L1048576"/>
    </sheetView>
  </sheetViews>
  <sheetFormatPr defaultRowHeight="14.25" x14ac:dyDescent="0.2"/>
  <cols>
    <col min="1" max="1" width="9" style="160"/>
    <col min="2" max="2" width="9.125" style="160" customWidth="1"/>
    <col min="3" max="3" width="29.875" style="372" bestFit="1" customWidth="1"/>
    <col min="4" max="4" width="12" style="372" customWidth="1"/>
    <col min="5" max="12" width="11.625" style="372" customWidth="1"/>
    <col min="13" max="16384" width="9" style="160"/>
  </cols>
  <sheetData>
    <row r="1" spans="3:12" ht="32.25" customHeight="1" x14ac:dyDescent="0.2">
      <c r="C1" s="622" t="s">
        <v>872</v>
      </c>
      <c r="D1" s="622"/>
      <c r="E1" s="622"/>
      <c r="F1" s="622"/>
      <c r="G1" s="622"/>
      <c r="H1" s="622"/>
      <c r="I1" s="622"/>
      <c r="J1" s="622"/>
      <c r="K1" s="622"/>
      <c r="L1" s="622"/>
    </row>
    <row r="2" spans="3:12" ht="38.25" customHeight="1" x14ac:dyDescent="0.2">
      <c r="C2" s="373" t="s">
        <v>871</v>
      </c>
      <c r="D2" s="373" t="s">
        <v>7</v>
      </c>
      <c r="E2" s="373" t="s">
        <v>61</v>
      </c>
      <c r="F2" s="373" t="s">
        <v>60</v>
      </c>
      <c r="G2" s="373" t="s">
        <v>59</v>
      </c>
      <c r="H2" s="373" t="s">
        <v>57</v>
      </c>
      <c r="I2" s="373" t="s">
        <v>56</v>
      </c>
      <c r="J2" s="373" t="s">
        <v>870</v>
      </c>
      <c r="K2" s="373" t="s">
        <v>53</v>
      </c>
      <c r="L2" s="373" t="s">
        <v>4</v>
      </c>
    </row>
    <row r="3" spans="3:12" ht="20.100000000000001" customHeight="1" x14ac:dyDescent="0.2">
      <c r="C3" s="619" t="s">
        <v>14</v>
      </c>
      <c r="D3" s="374" t="s">
        <v>9</v>
      </c>
      <c r="E3" s="375">
        <v>121</v>
      </c>
      <c r="F3" s="375">
        <v>66</v>
      </c>
      <c r="G3" s="375">
        <v>1</v>
      </c>
      <c r="H3" s="375">
        <v>0</v>
      </c>
      <c r="I3" s="375">
        <v>0</v>
      </c>
      <c r="J3" s="375">
        <v>0</v>
      </c>
      <c r="K3" s="375">
        <v>26</v>
      </c>
      <c r="L3" s="375">
        <f>SUM(E3:K3)</f>
        <v>214</v>
      </c>
    </row>
    <row r="4" spans="3:12" ht="20.25" customHeight="1" x14ac:dyDescent="0.2">
      <c r="C4" s="620"/>
      <c r="D4" s="374" t="s">
        <v>10</v>
      </c>
      <c r="E4" s="375">
        <v>49</v>
      </c>
      <c r="F4" s="375">
        <v>189</v>
      </c>
      <c r="G4" s="375">
        <v>0</v>
      </c>
      <c r="H4" s="375">
        <v>0</v>
      </c>
      <c r="I4" s="375">
        <v>0</v>
      </c>
      <c r="J4" s="375">
        <v>0</v>
      </c>
      <c r="K4" s="375">
        <v>4</v>
      </c>
      <c r="L4" s="375">
        <f>SUM(E4:K4)</f>
        <v>242</v>
      </c>
    </row>
    <row r="5" spans="3:12" ht="19.5" customHeight="1" x14ac:dyDescent="0.2">
      <c r="C5" s="621"/>
      <c r="D5" s="374" t="s">
        <v>845</v>
      </c>
      <c r="E5" s="377">
        <f t="shared" ref="E5:L5" si="0">SUM(E3:E4)</f>
        <v>170</v>
      </c>
      <c r="F5" s="377">
        <f t="shared" si="0"/>
        <v>255</v>
      </c>
      <c r="G5" s="377">
        <f t="shared" si="0"/>
        <v>1</v>
      </c>
      <c r="H5" s="377">
        <f t="shared" si="0"/>
        <v>0</v>
      </c>
      <c r="I5" s="377">
        <f t="shared" si="0"/>
        <v>0</v>
      </c>
      <c r="J5" s="377">
        <f t="shared" si="0"/>
        <v>0</v>
      </c>
      <c r="K5" s="377">
        <f t="shared" si="0"/>
        <v>30</v>
      </c>
      <c r="L5" s="377">
        <f t="shared" si="0"/>
        <v>456</v>
      </c>
    </row>
    <row r="6" spans="3:12" ht="20.100000000000001" customHeight="1" x14ac:dyDescent="0.2">
      <c r="C6" s="619" t="s">
        <v>869</v>
      </c>
      <c r="D6" s="374" t="s">
        <v>9</v>
      </c>
      <c r="E6" s="375">
        <v>5</v>
      </c>
      <c r="F6" s="375">
        <v>100</v>
      </c>
      <c r="G6" s="375">
        <v>0</v>
      </c>
      <c r="H6" s="375">
        <v>33</v>
      </c>
      <c r="I6" s="375">
        <v>1</v>
      </c>
      <c r="J6" s="375">
        <v>0</v>
      </c>
      <c r="K6" s="375">
        <v>1</v>
      </c>
      <c r="L6" s="375">
        <f>SUM(E6:K6)</f>
        <v>140</v>
      </c>
    </row>
    <row r="7" spans="3:12" ht="20.100000000000001" customHeight="1" x14ac:dyDescent="0.2">
      <c r="C7" s="620"/>
      <c r="D7" s="374" t="s">
        <v>10</v>
      </c>
      <c r="E7" s="375">
        <v>2</v>
      </c>
      <c r="F7" s="375">
        <v>138</v>
      </c>
      <c r="G7" s="375">
        <v>0</v>
      </c>
      <c r="H7" s="375">
        <v>39</v>
      </c>
      <c r="I7" s="375">
        <v>0</v>
      </c>
      <c r="J7" s="375">
        <v>0</v>
      </c>
      <c r="K7" s="375">
        <v>0</v>
      </c>
      <c r="L7" s="375">
        <f>SUM(E7:K7)</f>
        <v>179</v>
      </c>
    </row>
    <row r="8" spans="3:12" ht="20.100000000000001" customHeight="1" x14ac:dyDescent="0.2">
      <c r="C8" s="621"/>
      <c r="D8" s="374" t="s">
        <v>845</v>
      </c>
      <c r="E8" s="377">
        <f t="shared" ref="E8:L8" si="1">SUM(E6:E7)</f>
        <v>7</v>
      </c>
      <c r="F8" s="377">
        <f t="shared" si="1"/>
        <v>238</v>
      </c>
      <c r="G8" s="377">
        <f t="shared" si="1"/>
        <v>0</v>
      </c>
      <c r="H8" s="377">
        <f t="shared" si="1"/>
        <v>72</v>
      </c>
      <c r="I8" s="377">
        <f t="shared" si="1"/>
        <v>1</v>
      </c>
      <c r="J8" s="377">
        <f t="shared" si="1"/>
        <v>0</v>
      </c>
      <c r="K8" s="377">
        <f t="shared" si="1"/>
        <v>1</v>
      </c>
      <c r="L8" s="377">
        <f t="shared" si="1"/>
        <v>319</v>
      </c>
    </row>
    <row r="9" spans="3:12" ht="20.100000000000001" customHeight="1" x14ac:dyDescent="0.2">
      <c r="C9" s="619" t="s">
        <v>868</v>
      </c>
      <c r="D9" s="374" t="s">
        <v>9</v>
      </c>
      <c r="E9" s="375">
        <v>0</v>
      </c>
      <c r="F9" s="375">
        <v>9</v>
      </c>
      <c r="G9" s="375">
        <v>0</v>
      </c>
      <c r="H9" s="375">
        <v>0</v>
      </c>
      <c r="I9" s="375">
        <v>0</v>
      </c>
      <c r="J9" s="375">
        <v>0</v>
      </c>
      <c r="K9" s="375">
        <v>0</v>
      </c>
      <c r="L9" s="375">
        <f>SUM(E9:K9)</f>
        <v>9</v>
      </c>
    </row>
    <row r="10" spans="3:12" ht="20.100000000000001" customHeight="1" x14ac:dyDescent="0.2">
      <c r="C10" s="620"/>
      <c r="D10" s="374" t="s">
        <v>10</v>
      </c>
      <c r="E10" s="375">
        <v>0</v>
      </c>
      <c r="F10" s="375">
        <v>7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5">
        <f>SUM(E10:K10)</f>
        <v>7</v>
      </c>
    </row>
    <row r="11" spans="3:12" ht="20.100000000000001" customHeight="1" x14ac:dyDescent="0.2">
      <c r="C11" s="621"/>
      <c r="D11" s="374" t="s">
        <v>845</v>
      </c>
      <c r="E11" s="377">
        <f t="shared" ref="E11:L11" si="2">SUM(E9:E10)</f>
        <v>0</v>
      </c>
      <c r="F11" s="377">
        <f t="shared" si="2"/>
        <v>16</v>
      </c>
      <c r="G11" s="377">
        <f t="shared" si="2"/>
        <v>0</v>
      </c>
      <c r="H11" s="377">
        <f t="shared" si="2"/>
        <v>0</v>
      </c>
      <c r="I11" s="377">
        <f t="shared" si="2"/>
        <v>0</v>
      </c>
      <c r="J11" s="377">
        <f t="shared" si="2"/>
        <v>0</v>
      </c>
      <c r="K11" s="377">
        <f t="shared" si="2"/>
        <v>0</v>
      </c>
      <c r="L11" s="377">
        <f t="shared" si="2"/>
        <v>16</v>
      </c>
    </row>
    <row r="12" spans="3:12" ht="20.100000000000001" customHeight="1" x14ac:dyDescent="0.2">
      <c r="C12" s="619" t="s">
        <v>867</v>
      </c>
      <c r="D12" s="374" t="s">
        <v>9</v>
      </c>
      <c r="E12" s="375">
        <v>3</v>
      </c>
      <c r="F12" s="375">
        <v>115</v>
      </c>
      <c r="G12" s="375">
        <v>0</v>
      </c>
      <c r="H12" s="375">
        <v>4</v>
      </c>
      <c r="I12" s="375">
        <v>0</v>
      </c>
      <c r="J12" s="375">
        <v>0</v>
      </c>
      <c r="K12" s="375">
        <v>1</v>
      </c>
      <c r="L12" s="375">
        <f>SUM(E12:K12)</f>
        <v>123</v>
      </c>
    </row>
    <row r="13" spans="3:12" ht="20.100000000000001" customHeight="1" x14ac:dyDescent="0.2">
      <c r="C13" s="620"/>
      <c r="D13" s="374" t="s">
        <v>10</v>
      </c>
      <c r="E13" s="375">
        <v>1</v>
      </c>
      <c r="F13" s="375">
        <v>137</v>
      </c>
      <c r="G13" s="375">
        <v>0</v>
      </c>
      <c r="H13" s="375">
        <v>10</v>
      </c>
      <c r="I13" s="375">
        <v>0</v>
      </c>
      <c r="J13" s="375">
        <v>0</v>
      </c>
      <c r="K13" s="375">
        <v>0</v>
      </c>
      <c r="L13" s="375">
        <f>SUM(E13:K13)</f>
        <v>148</v>
      </c>
    </row>
    <row r="14" spans="3:12" ht="20.100000000000001" customHeight="1" x14ac:dyDescent="0.2">
      <c r="C14" s="621"/>
      <c r="D14" s="374" t="s">
        <v>845</v>
      </c>
      <c r="E14" s="377">
        <f t="shared" ref="E14:L14" si="3">SUM(E12:E13)</f>
        <v>4</v>
      </c>
      <c r="F14" s="377">
        <f t="shared" si="3"/>
        <v>252</v>
      </c>
      <c r="G14" s="377">
        <f t="shared" si="3"/>
        <v>0</v>
      </c>
      <c r="H14" s="377">
        <f t="shared" si="3"/>
        <v>14</v>
      </c>
      <c r="I14" s="377">
        <f t="shared" si="3"/>
        <v>0</v>
      </c>
      <c r="J14" s="377">
        <f t="shared" si="3"/>
        <v>0</v>
      </c>
      <c r="K14" s="377">
        <f t="shared" si="3"/>
        <v>1</v>
      </c>
      <c r="L14" s="377">
        <f t="shared" si="3"/>
        <v>271</v>
      </c>
    </row>
    <row r="15" spans="3:12" ht="20.100000000000001" customHeight="1" x14ac:dyDescent="0.2">
      <c r="C15" s="619" t="s">
        <v>16</v>
      </c>
      <c r="D15" s="374" t="s">
        <v>9</v>
      </c>
      <c r="E15" s="375">
        <v>2</v>
      </c>
      <c r="F15" s="375">
        <v>3</v>
      </c>
      <c r="G15" s="375">
        <v>0</v>
      </c>
      <c r="H15" s="375">
        <v>0</v>
      </c>
      <c r="I15" s="375">
        <v>0</v>
      </c>
      <c r="J15" s="375">
        <v>0</v>
      </c>
      <c r="K15" s="375">
        <v>0</v>
      </c>
      <c r="L15" s="375">
        <f>SUM(E15:K15)</f>
        <v>5</v>
      </c>
    </row>
    <row r="16" spans="3:12" ht="20.100000000000001" customHeight="1" x14ac:dyDescent="0.2">
      <c r="C16" s="620"/>
      <c r="D16" s="374" t="s">
        <v>10</v>
      </c>
      <c r="E16" s="375">
        <v>1</v>
      </c>
      <c r="F16" s="375">
        <v>2</v>
      </c>
      <c r="G16" s="375">
        <v>0</v>
      </c>
      <c r="H16" s="375">
        <v>1</v>
      </c>
      <c r="I16" s="375">
        <v>0</v>
      </c>
      <c r="J16" s="375">
        <v>0</v>
      </c>
      <c r="K16" s="375">
        <v>0</v>
      </c>
      <c r="L16" s="375">
        <f>SUM(E16:K16)</f>
        <v>4</v>
      </c>
    </row>
    <row r="17" spans="3:12" ht="20.100000000000001" customHeight="1" x14ac:dyDescent="0.2">
      <c r="C17" s="621"/>
      <c r="D17" s="374" t="s">
        <v>845</v>
      </c>
      <c r="E17" s="377">
        <f t="shared" ref="E17:L17" si="4">SUM(E15:E16)</f>
        <v>3</v>
      </c>
      <c r="F17" s="377">
        <f t="shared" si="4"/>
        <v>5</v>
      </c>
      <c r="G17" s="377">
        <f t="shared" si="4"/>
        <v>0</v>
      </c>
      <c r="H17" s="377">
        <f t="shared" si="4"/>
        <v>1</v>
      </c>
      <c r="I17" s="377">
        <f t="shared" si="4"/>
        <v>0</v>
      </c>
      <c r="J17" s="377">
        <f t="shared" si="4"/>
        <v>0</v>
      </c>
      <c r="K17" s="377">
        <f t="shared" si="4"/>
        <v>0</v>
      </c>
      <c r="L17" s="377">
        <f t="shared" si="4"/>
        <v>9</v>
      </c>
    </row>
    <row r="18" spans="3:12" ht="20.100000000000001" customHeight="1" x14ac:dyDescent="0.2">
      <c r="C18" s="619" t="s">
        <v>21</v>
      </c>
      <c r="D18" s="374" t="s">
        <v>9</v>
      </c>
      <c r="E18" s="375">
        <v>102</v>
      </c>
      <c r="F18" s="375">
        <v>1228</v>
      </c>
      <c r="G18" s="375">
        <v>0</v>
      </c>
      <c r="H18" s="375">
        <v>697</v>
      </c>
      <c r="I18" s="375">
        <v>79</v>
      </c>
      <c r="J18" s="375">
        <v>0</v>
      </c>
      <c r="K18" s="375">
        <v>22</v>
      </c>
      <c r="L18" s="375">
        <f>SUM(E18:K18)</f>
        <v>2128</v>
      </c>
    </row>
    <row r="19" spans="3:12" ht="20.100000000000001" customHeight="1" x14ac:dyDescent="0.2">
      <c r="C19" s="620"/>
      <c r="D19" s="374" t="s">
        <v>10</v>
      </c>
      <c r="E19" s="375">
        <v>42</v>
      </c>
      <c r="F19" s="375">
        <v>236</v>
      </c>
      <c r="G19" s="375">
        <v>0</v>
      </c>
      <c r="H19" s="375">
        <v>169</v>
      </c>
      <c r="I19" s="375">
        <v>14</v>
      </c>
      <c r="J19" s="375">
        <v>0</v>
      </c>
      <c r="K19" s="375">
        <v>3</v>
      </c>
      <c r="L19" s="375">
        <f>SUM(E19:K19)</f>
        <v>464</v>
      </c>
    </row>
    <row r="20" spans="3:12" ht="20.100000000000001" customHeight="1" x14ac:dyDescent="0.2">
      <c r="C20" s="621"/>
      <c r="D20" s="374" t="s">
        <v>845</v>
      </c>
      <c r="E20" s="377">
        <f t="shared" ref="E20:L20" si="5">SUM(E18:E19)</f>
        <v>144</v>
      </c>
      <c r="F20" s="377">
        <f t="shared" si="5"/>
        <v>1464</v>
      </c>
      <c r="G20" s="377">
        <f t="shared" si="5"/>
        <v>0</v>
      </c>
      <c r="H20" s="377">
        <f t="shared" si="5"/>
        <v>866</v>
      </c>
      <c r="I20" s="377">
        <f t="shared" si="5"/>
        <v>93</v>
      </c>
      <c r="J20" s="377">
        <f t="shared" si="5"/>
        <v>0</v>
      </c>
      <c r="K20" s="377">
        <f t="shared" si="5"/>
        <v>25</v>
      </c>
      <c r="L20" s="377">
        <f t="shared" si="5"/>
        <v>2592</v>
      </c>
    </row>
    <row r="21" spans="3:12" ht="20.100000000000001" customHeight="1" x14ac:dyDescent="0.2">
      <c r="C21" s="619" t="s">
        <v>19</v>
      </c>
      <c r="D21" s="374" t="s">
        <v>9</v>
      </c>
      <c r="E21" s="375">
        <v>0</v>
      </c>
      <c r="F21" s="375">
        <v>3</v>
      </c>
      <c r="G21" s="375">
        <v>0</v>
      </c>
      <c r="H21" s="375">
        <v>5</v>
      </c>
      <c r="I21" s="375">
        <v>5</v>
      </c>
      <c r="J21" s="375">
        <v>0</v>
      </c>
      <c r="K21" s="375">
        <v>0</v>
      </c>
      <c r="L21" s="375">
        <f>SUM(E21:K21)</f>
        <v>13</v>
      </c>
    </row>
    <row r="22" spans="3:12" ht="20.100000000000001" customHeight="1" x14ac:dyDescent="0.2">
      <c r="C22" s="620"/>
      <c r="D22" s="374" t="s">
        <v>10</v>
      </c>
      <c r="E22" s="375">
        <v>0</v>
      </c>
      <c r="F22" s="375">
        <v>3</v>
      </c>
      <c r="G22" s="375">
        <v>0</v>
      </c>
      <c r="H22" s="375">
        <v>4</v>
      </c>
      <c r="I22" s="375">
        <v>1</v>
      </c>
      <c r="J22" s="375">
        <v>0</v>
      </c>
      <c r="K22" s="375">
        <v>0</v>
      </c>
      <c r="L22" s="375">
        <f>SUM(E22:K22)</f>
        <v>8</v>
      </c>
    </row>
    <row r="23" spans="3:12" ht="20.100000000000001" customHeight="1" x14ac:dyDescent="0.2">
      <c r="C23" s="621"/>
      <c r="D23" s="374" t="s">
        <v>845</v>
      </c>
      <c r="E23" s="377">
        <f t="shared" ref="E23:L23" si="6">SUM(E21:E22)</f>
        <v>0</v>
      </c>
      <c r="F23" s="377">
        <f t="shared" si="6"/>
        <v>6</v>
      </c>
      <c r="G23" s="377">
        <f t="shared" si="6"/>
        <v>0</v>
      </c>
      <c r="H23" s="377">
        <f t="shared" si="6"/>
        <v>9</v>
      </c>
      <c r="I23" s="377">
        <f t="shared" si="6"/>
        <v>6</v>
      </c>
      <c r="J23" s="377">
        <f t="shared" si="6"/>
        <v>0</v>
      </c>
      <c r="K23" s="377">
        <f t="shared" si="6"/>
        <v>0</v>
      </c>
      <c r="L23" s="377">
        <f t="shared" si="6"/>
        <v>21</v>
      </c>
    </row>
    <row r="24" spans="3:12" ht="20.100000000000001" customHeight="1" x14ac:dyDescent="0.2">
      <c r="C24" s="619" t="s">
        <v>866</v>
      </c>
      <c r="D24" s="374" t="s">
        <v>9</v>
      </c>
      <c r="E24" s="375">
        <v>0</v>
      </c>
      <c r="F24" s="375">
        <v>24</v>
      </c>
      <c r="G24" s="375">
        <v>0</v>
      </c>
      <c r="H24" s="375">
        <v>6</v>
      </c>
      <c r="I24" s="375">
        <v>2</v>
      </c>
      <c r="J24" s="375">
        <v>0</v>
      </c>
      <c r="K24" s="375">
        <v>0</v>
      </c>
      <c r="L24" s="375">
        <f>SUM(E24:K24)</f>
        <v>32</v>
      </c>
    </row>
    <row r="25" spans="3:12" ht="20.100000000000001" customHeight="1" x14ac:dyDescent="0.2">
      <c r="C25" s="620"/>
      <c r="D25" s="374" t="s">
        <v>10</v>
      </c>
      <c r="E25" s="375">
        <v>0</v>
      </c>
      <c r="F25" s="375">
        <v>6</v>
      </c>
      <c r="G25" s="375">
        <v>0</v>
      </c>
      <c r="H25" s="375">
        <v>6</v>
      </c>
      <c r="I25" s="375">
        <v>0</v>
      </c>
      <c r="J25" s="375">
        <v>0</v>
      </c>
      <c r="K25" s="375">
        <v>0</v>
      </c>
      <c r="L25" s="375">
        <f>SUM(E25:K25)</f>
        <v>12</v>
      </c>
    </row>
    <row r="26" spans="3:12" ht="20.100000000000001" customHeight="1" x14ac:dyDescent="0.2">
      <c r="C26" s="621"/>
      <c r="D26" s="374" t="s">
        <v>845</v>
      </c>
      <c r="E26" s="377">
        <f t="shared" ref="E26:L26" si="7">SUM(E24:E25)</f>
        <v>0</v>
      </c>
      <c r="F26" s="377">
        <f t="shared" si="7"/>
        <v>30</v>
      </c>
      <c r="G26" s="377">
        <f t="shared" si="7"/>
        <v>0</v>
      </c>
      <c r="H26" s="377">
        <f t="shared" si="7"/>
        <v>12</v>
      </c>
      <c r="I26" s="377">
        <f t="shared" si="7"/>
        <v>2</v>
      </c>
      <c r="J26" s="377">
        <f t="shared" si="7"/>
        <v>0</v>
      </c>
      <c r="K26" s="377">
        <f t="shared" si="7"/>
        <v>0</v>
      </c>
      <c r="L26" s="377">
        <f t="shared" si="7"/>
        <v>44</v>
      </c>
    </row>
    <row r="27" spans="3:12" ht="20.100000000000001" customHeight="1" x14ac:dyDescent="0.2">
      <c r="C27" s="619" t="s">
        <v>865</v>
      </c>
      <c r="D27" s="374" t="s">
        <v>9</v>
      </c>
      <c r="E27" s="375">
        <v>0</v>
      </c>
      <c r="F27" s="375">
        <v>4</v>
      </c>
      <c r="G27" s="375">
        <v>0</v>
      </c>
      <c r="H27" s="375">
        <v>3</v>
      </c>
      <c r="I27" s="375">
        <v>0</v>
      </c>
      <c r="J27" s="375">
        <v>0</v>
      </c>
      <c r="K27" s="375">
        <v>0</v>
      </c>
      <c r="L27" s="375">
        <f>SUM(E27:K27)</f>
        <v>7</v>
      </c>
    </row>
    <row r="28" spans="3:12" ht="20.100000000000001" customHeight="1" x14ac:dyDescent="0.2">
      <c r="C28" s="620"/>
      <c r="D28" s="374" t="s">
        <v>10</v>
      </c>
      <c r="E28" s="375">
        <v>0</v>
      </c>
      <c r="F28" s="375">
        <v>0</v>
      </c>
      <c r="G28" s="375">
        <v>0</v>
      </c>
      <c r="H28" s="375">
        <v>1</v>
      </c>
      <c r="I28" s="375">
        <v>0</v>
      </c>
      <c r="J28" s="375">
        <v>0</v>
      </c>
      <c r="K28" s="375">
        <v>0</v>
      </c>
      <c r="L28" s="375">
        <f>SUM(E28:K28)</f>
        <v>1</v>
      </c>
    </row>
    <row r="29" spans="3:12" ht="20.100000000000001" customHeight="1" x14ac:dyDescent="0.2">
      <c r="C29" s="621"/>
      <c r="D29" s="374" t="s">
        <v>845</v>
      </c>
      <c r="E29" s="377">
        <f t="shared" ref="E29:L29" si="8">SUM(E27:E28)</f>
        <v>0</v>
      </c>
      <c r="F29" s="377">
        <f t="shared" si="8"/>
        <v>4</v>
      </c>
      <c r="G29" s="377">
        <f t="shared" si="8"/>
        <v>0</v>
      </c>
      <c r="H29" s="377">
        <f t="shared" si="8"/>
        <v>4</v>
      </c>
      <c r="I29" s="377">
        <f t="shared" si="8"/>
        <v>0</v>
      </c>
      <c r="J29" s="377">
        <f t="shared" si="8"/>
        <v>0</v>
      </c>
      <c r="K29" s="377">
        <f t="shared" si="8"/>
        <v>0</v>
      </c>
      <c r="L29" s="377">
        <f t="shared" si="8"/>
        <v>8</v>
      </c>
    </row>
    <row r="30" spans="3:12" ht="20.100000000000001" customHeight="1" x14ac:dyDescent="0.2">
      <c r="C30" s="619" t="s">
        <v>18</v>
      </c>
      <c r="D30" s="374" t="s">
        <v>9</v>
      </c>
      <c r="E30" s="375">
        <v>0</v>
      </c>
      <c r="F30" s="375">
        <v>6</v>
      </c>
      <c r="G30" s="375">
        <v>0</v>
      </c>
      <c r="H30" s="375">
        <v>6</v>
      </c>
      <c r="I30" s="375">
        <v>2</v>
      </c>
      <c r="J30" s="375">
        <v>0</v>
      </c>
      <c r="K30" s="375">
        <v>0</v>
      </c>
      <c r="L30" s="375">
        <f>SUM(E30:K30)</f>
        <v>14</v>
      </c>
    </row>
    <row r="31" spans="3:12" ht="20.100000000000001" customHeight="1" x14ac:dyDescent="0.2">
      <c r="C31" s="620"/>
      <c r="D31" s="374" t="s">
        <v>10</v>
      </c>
      <c r="E31" s="375">
        <v>0</v>
      </c>
      <c r="F31" s="375">
        <v>7</v>
      </c>
      <c r="G31" s="375">
        <v>0</v>
      </c>
      <c r="H31" s="375">
        <v>2</v>
      </c>
      <c r="I31" s="375">
        <v>0</v>
      </c>
      <c r="J31" s="375">
        <v>0</v>
      </c>
      <c r="K31" s="375">
        <v>0</v>
      </c>
      <c r="L31" s="375">
        <f>SUM(E31:K31)</f>
        <v>9</v>
      </c>
    </row>
    <row r="32" spans="3:12" ht="20.100000000000001" customHeight="1" x14ac:dyDescent="0.2">
      <c r="C32" s="621"/>
      <c r="D32" s="374" t="s">
        <v>845</v>
      </c>
      <c r="E32" s="377">
        <f t="shared" ref="E32:L32" si="9">SUM(E30:E31)</f>
        <v>0</v>
      </c>
      <c r="F32" s="377">
        <f t="shared" si="9"/>
        <v>13</v>
      </c>
      <c r="G32" s="377">
        <f t="shared" si="9"/>
        <v>0</v>
      </c>
      <c r="H32" s="377">
        <f t="shared" si="9"/>
        <v>8</v>
      </c>
      <c r="I32" s="377">
        <f t="shared" si="9"/>
        <v>2</v>
      </c>
      <c r="J32" s="377">
        <f t="shared" si="9"/>
        <v>0</v>
      </c>
      <c r="K32" s="377">
        <f t="shared" si="9"/>
        <v>0</v>
      </c>
      <c r="L32" s="377">
        <f t="shared" si="9"/>
        <v>23</v>
      </c>
    </row>
    <row r="33" spans="3:12" ht="20.100000000000001" customHeight="1" x14ac:dyDescent="0.2">
      <c r="C33" s="619" t="s">
        <v>23</v>
      </c>
      <c r="D33" s="374" t="s">
        <v>9</v>
      </c>
      <c r="E33" s="375">
        <v>72</v>
      </c>
      <c r="F33" s="375">
        <v>870</v>
      </c>
      <c r="G33" s="375">
        <v>0</v>
      </c>
      <c r="H33" s="375">
        <v>260</v>
      </c>
      <c r="I33" s="375">
        <v>19</v>
      </c>
      <c r="J33" s="375">
        <v>0</v>
      </c>
      <c r="K33" s="375">
        <v>16</v>
      </c>
      <c r="L33" s="375">
        <f>SUM(E33:K33)</f>
        <v>1237</v>
      </c>
    </row>
    <row r="34" spans="3:12" ht="20.100000000000001" customHeight="1" x14ac:dyDescent="0.2">
      <c r="C34" s="620"/>
      <c r="D34" s="374" t="s">
        <v>10</v>
      </c>
      <c r="E34" s="375">
        <v>29</v>
      </c>
      <c r="F34" s="375">
        <v>111</v>
      </c>
      <c r="G34" s="375">
        <v>0</v>
      </c>
      <c r="H34" s="375">
        <v>60</v>
      </c>
      <c r="I34" s="375">
        <v>4</v>
      </c>
      <c r="J34" s="375">
        <v>0</v>
      </c>
      <c r="K34" s="375">
        <v>3</v>
      </c>
      <c r="L34" s="375">
        <f>SUM(E34:K34)</f>
        <v>207</v>
      </c>
    </row>
    <row r="35" spans="3:12" ht="20.100000000000001" customHeight="1" x14ac:dyDescent="0.2">
      <c r="C35" s="621"/>
      <c r="D35" s="374" t="s">
        <v>845</v>
      </c>
      <c r="E35" s="377">
        <f t="shared" ref="E35:L35" si="10">SUM(E33:E34)</f>
        <v>101</v>
      </c>
      <c r="F35" s="377">
        <f t="shared" si="10"/>
        <v>981</v>
      </c>
      <c r="G35" s="377">
        <f t="shared" si="10"/>
        <v>0</v>
      </c>
      <c r="H35" s="377">
        <f t="shared" si="10"/>
        <v>320</v>
      </c>
      <c r="I35" s="377">
        <f t="shared" si="10"/>
        <v>23</v>
      </c>
      <c r="J35" s="377">
        <f t="shared" si="10"/>
        <v>0</v>
      </c>
      <c r="K35" s="377">
        <f t="shared" si="10"/>
        <v>19</v>
      </c>
      <c r="L35" s="377">
        <f t="shared" si="10"/>
        <v>1444</v>
      </c>
    </row>
    <row r="36" spans="3:12" ht="20.100000000000001" customHeight="1" x14ac:dyDescent="0.2">
      <c r="C36" s="619" t="s">
        <v>15</v>
      </c>
      <c r="D36" s="374" t="s">
        <v>9</v>
      </c>
      <c r="E36" s="375">
        <v>4</v>
      </c>
      <c r="F36" s="375">
        <v>20</v>
      </c>
      <c r="G36" s="375">
        <v>0</v>
      </c>
      <c r="H36" s="375">
        <v>3</v>
      </c>
      <c r="I36" s="375">
        <v>1</v>
      </c>
      <c r="J36" s="375">
        <v>0</v>
      </c>
      <c r="K36" s="375">
        <v>1</v>
      </c>
      <c r="L36" s="375">
        <f>SUM(E36:K36)</f>
        <v>29</v>
      </c>
    </row>
    <row r="37" spans="3:12" ht="20.100000000000001" customHeight="1" x14ac:dyDescent="0.2">
      <c r="C37" s="620"/>
      <c r="D37" s="374" t="s">
        <v>10</v>
      </c>
      <c r="E37" s="375">
        <v>1</v>
      </c>
      <c r="F37" s="375">
        <v>18</v>
      </c>
      <c r="G37" s="375">
        <v>0</v>
      </c>
      <c r="H37" s="375">
        <v>1</v>
      </c>
      <c r="I37" s="375">
        <v>0</v>
      </c>
      <c r="J37" s="375">
        <v>0</v>
      </c>
      <c r="K37" s="375">
        <v>0</v>
      </c>
      <c r="L37" s="375">
        <f>SUM(E37:K37)</f>
        <v>20</v>
      </c>
    </row>
    <row r="38" spans="3:12" ht="20.100000000000001" customHeight="1" x14ac:dyDescent="0.2">
      <c r="C38" s="621"/>
      <c r="D38" s="374" t="s">
        <v>845</v>
      </c>
      <c r="E38" s="377">
        <f t="shared" ref="E38:L38" si="11">SUM(E36:E37)</f>
        <v>5</v>
      </c>
      <c r="F38" s="377">
        <f t="shared" si="11"/>
        <v>38</v>
      </c>
      <c r="G38" s="377">
        <f t="shared" si="11"/>
        <v>0</v>
      </c>
      <c r="H38" s="377">
        <f t="shared" si="11"/>
        <v>4</v>
      </c>
      <c r="I38" s="377">
        <f t="shared" si="11"/>
        <v>1</v>
      </c>
      <c r="J38" s="377">
        <f t="shared" si="11"/>
        <v>0</v>
      </c>
      <c r="K38" s="377">
        <f t="shared" si="11"/>
        <v>1</v>
      </c>
      <c r="L38" s="377">
        <f t="shared" si="11"/>
        <v>49</v>
      </c>
    </row>
    <row r="39" spans="3:12" ht="20.100000000000001" customHeight="1" x14ac:dyDescent="0.2">
      <c r="C39" s="619" t="s">
        <v>864</v>
      </c>
      <c r="D39" s="374" t="s">
        <v>9</v>
      </c>
      <c r="E39" s="375">
        <v>0</v>
      </c>
      <c r="F39" s="375">
        <v>30</v>
      </c>
      <c r="G39" s="375">
        <v>0</v>
      </c>
      <c r="H39" s="375">
        <v>4</v>
      </c>
      <c r="I39" s="375">
        <v>1</v>
      </c>
      <c r="J39" s="375">
        <v>0</v>
      </c>
      <c r="K39" s="375">
        <v>0</v>
      </c>
      <c r="L39" s="375">
        <f>SUM(E39:K39)</f>
        <v>35</v>
      </c>
    </row>
    <row r="40" spans="3:12" ht="20.100000000000001" customHeight="1" x14ac:dyDescent="0.2">
      <c r="C40" s="620"/>
      <c r="D40" s="374" t="s">
        <v>10</v>
      </c>
      <c r="E40" s="375">
        <v>0</v>
      </c>
      <c r="F40" s="375">
        <v>38</v>
      </c>
      <c r="G40" s="375">
        <v>0</v>
      </c>
      <c r="H40" s="375">
        <v>4</v>
      </c>
      <c r="I40" s="375">
        <v>1</v>
      </c>
      <c r="J40" s="375">
        <v>0</v>
      </c>
      <c r="K40" s="375">
        <v>0</v>
      </c>
      <c r="L40" s="375">
        <f>SUM(E40:K40)</f>
        <v>43</v>
      </c>
    </row>
    <row r="41" spans="3:12" ht="20.100000000000001" customHeight="1" x14ac:dyDescent="0.2">
      <c r="C41" s="621"/>
      <c r="D41" s="374" t="s">
        <v>845</v>
      </c>
      <c r="E41" s="377">
        <f t="shared" ref="E41:L41" si="12">SUM(E39:E40)</f>
        <v>0</v>
      </c>
      <c r="F41" s="377">
        <f t="shared" si="12"/>
        <v>68</v>
      </c>
      <c r="G41" s="377">
        <f t="shared" si="12"/>
        <v>0</v>
      </c>
      <c r="H41" s="377">
        <f t="shared" si="12"/>
        <v>8</v>
      </c>
      <c r="I41" s="377">
        <f t="shared" si="12"/>
        <v>2</v>
      </c>
      <c r="J41" s="377">
        <f t="shared" si="12"/>
        <v>0</v>
      </c>
      <c r="K41" s="377">
        <f t="shared" si="12"/>
        <v>0</v>
      </c>
      <c r="L41" s="377">
        <f t="shared" si="12"/>
        <v>78</v>
      </c>
    </row>
    <row r="42" spans="3:12" ht="20.100000000000001" customHeight="1" x14ac:dyDescent="0.2">
      <c r="C42" s="619" t="s">
        <v>25</v>
      </c>
      <c r="D42" s="374" t="s">
        <v>9</v>
      </c>
      <c r="E42" s="375">
        <v>4</v>
      </c>
      <c r="F42" s="375">
        <v>177</v>
      </c>
      <c r="G42" s="375">
        <v>0</v>
      </c>
      <c r="H42" s="375">
        <v>11</v>
      </c>
      <c r="I42" s="375">
        <v>1</v>
      </c>
      <c r="J42" s="375">
        <v>0</v>
      </c>
      <c r="K42" s="375">
        <v>1</v>
      </c>
      <c r="L42" s="375">
        <f>SUM(E42:K42)</f>
        <v>194</v>
      </c>
    </row>
    <row r="43" spans="3:12" ht="20.100000000000001" customHeight="1" x14ac:dyDescent="0.2">
      <c r="C43" s="620"/>
      <c r="D43" s="374" t="s">
        <v>10</v>
      </c>
      <c r="E43" s="375">
        <v>2</v>
      </c>
      <c r="F43" s="375">
        <v>28</v>
      </c>
      <c r="G43" s="375">
        <v>0</v>
      </c>
      <c r="H43" s="375">
        <v>14</v>
      </c>
      <c r="I43" s="375">
        <v>0</v>
      </c>
      <c r="J43" s="375">
        <v>0</v>
      </c>
      <c r="K43" s="375">
        <v>0</v>
      </c>
      <c r="L43" s="375">
        <f>SUM(E43:K43)</f>
        <v>44</v>
      </c>
    </row>
    <row r="44" spans="3:12" ht="20.100000000000001" customHeight="1" x14ac:dyDescent="0.2">
      <c r="C44" s="621"/>
      <c r="D44" s="374" t="s">
        <v>845</v>
      </c>
      <c r="E44" s="377">
        <f t="shared" ref="E44:L44" si="13">SUM(E42:E43)</f>
        <v>6</v>
      </c>
      <c r="F44" s="377">
        <f t="shared" si="13"/>
        <v>205</v>
      </c>
      <c r="G44" s="377">
        <f t="shared" si="13"/>
        <v>0</v>
      </c>
      <c r="H44" s="377">
        <f t="shared" si="13"/>
        <v>25</v>
      </c>
      <c r="I44" s="377">
        <f t="shared" si="13"/>
        <v>1</v>
      </c>
      <c r="J44" s="377">
        <f t="shared" si="13"/>
        <v>0</v>
      </c>
      <c r="K44" s="377">
        <f t="shared" si="13"/>
        <v>1</v>
      </c>
      <c r="L44" s="377">
        <f t="shared" si="13"/>
        <v>238</v>
      </c>
    </row>
    <row r="45" spans="3:12" ht="20.100000000000001" customHeight="1" x14ac:dyDescent="0.2">
      <c r="C45" s="619" t="s">
        <v>29</v>
      </c>
      <c r="D45" s="374" t="s">
        <v>9</v>
      </c>
      <c r="E45" s="375">
        <v>0</v>
      </c>
      <c r="F45" s="375">
        <v>29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5">
        <f>SUM(E45:K45)</f>
        <v>29</v>
      </c>
    </row>
    <row r="46" spans="3:12" ht="20.100000000000001" customHeight="1" x14ac:dyDescent="0.2">
      <c r="C46" s="620"/>
      <c r="D46" s="374" t="s">
        <v>10</v>
      </c>
      <c r="E46" s="375">
        <v>0</v>
      </c>
      <c r="F46" s="375">
        <v>1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5">
        <f>SUM(E46:K46)</f>
        <v>1</v>
      </c>
    </row>
    <row r="47" spans="3:12" ht="20.100000000000001" customHeight="1" x14ac:dyDescent="0.2">
      <c r="C47" s="621"/>
      <c r="D47" s="374" t="s">
        <v>845</v>
      </c>
      <c r="E47" s="377">
        <f t="shared" ref="E47:L47" si="14">SUM(E45:E46)</f>
        <v>0</v>
      </c>
      <c r="F47" s="377">
        <f t="shared" si="14"/>
        <v>30</v>
      </c>
      <c r="G47" s="377">
        <f t="shared" si="14"/>
        <v>0</v>
      </c>
      <c r="H47" s="377">
        <f t="shared" si="14"/>
        <v>0</v>
      </c>
      <c r="I47" s="377">
        <f t="shared" si="14"/>
        <v>0</v>
      </c>
      <c r="J47" s="377">
        <f t="shared" si="14"/>
        <v>0</v>
      </c>
      <c r="K47" s="377">
        <f t="shared" si="14"/>
        <v>0</v>
      </c>
      <c r="L47" s="377">
        <f t="shared" si="14"/>
        <v>30</v>
      </c>
    </row>
    <row r="48" spans="3:12" ht="20.100000000000001" customHeight="1" x14ac:dyDescent="0.2">
      <c r="C48" s="619" t="s">
        <v>33</v>
      </c>
      <c r="D48" s="374" t="s">
        <v>9</v>
      </c>
      <c r="E48" s="375">
        <v>1</v>
      </c>
      <c r="F48" s="375">
        <v>115</v>
      </c>
      <c r="G48" s="375">
        <v>0</v>
      </c>
      <c r="H48" s="375">
        <v>6</v>
      </c>
      <c r="I48" s="375">
        <v>1</v>
      </c>
      <c r="J48" s="375">
        <v>0</v>
      </c>
      <c r="K48" s="375">
        <v>0</v>
      </c>
      <c r="L48" s="375">
        <f>SUM(E48:K48)</f>
        <v>123</v>
      </c>
    </row>
    <row r="49" spans="3:12" ht="20.100000000000001" customHeight="1" x14ac:dyDescent="0.2">
      <c r="C49" s="620"/>
      <c r="D49" s="374" t="s">
        <v>10</v>
      </c>
      <c r="E49" s="375">
        <v>0</v>
      </c>
      <c r="F49" s="375">
        <v>16</v>
      </c>
      <c r="G49" s="375">
        <v>0</v>
      </c>
      <c r="H49" s="375">
        <v>6</v>
      </c>
      <c r="I49" s="375">
        <v>0</v>
      </c>
      <c r="J49" s="375">
        <v>0</v>
      </c>
      <c r="K49" s="375">
        <v>0</v>
      </c>
      <c r="L49" s="375">
        <f>SUM(E49:K49)</f>
        <v>22</v>
      </c>
    </row>
    <row r="50" spans="3:12" ht="20.100000000000001" customHeight="1" x14ac:dyDescent="0.2">
      <c r="C50" s="621"/>
      <c r="D50" s="374" t="s">
        <v>845</v>
      </c>
      <c r="E50" s="377">
        <f t="shared" ref="E50:L50" si="15">SUM(E48:E49)</f>
        <v>1</v>
      </c>
      <c r="F50" s="377">
        <f t="shared" si="15"/>
        <v>131</v>
      </c>
      <c r="G50" s="377">
        <f t="shared" si="15"/>
        <v>0</v>
      </c>
      <c r="H50" s="377">
        <f t="shared" si="15"/>
        <v>12</v>
      </c>
      <c r="I50" s="377">
        <f t="shared" si="15"/>
        <v>1</v>
      </c>
      <c r="J50" s="377">
        <f t="shared" si="15"/>
        <v>0</v>
      </c>
      <c r="K50" s="377">
        <f t="shared" si="15"/>
        <v>0</v>
      </c>
      <c r="L50" s="377">
        <f t="shared" si="15"/>
        <v>145</v>
      </c>
    </row>
    <row r="51" spans="3:12" ht="20.100000000000001" customHeight="1" x14ac:dyDescent="0.2">
      <c r="C51" s="619" t="s">
        <v>35</v>
      </c>
      <c r="D51" s="374" t="s">
        <v>9</v>
      </c>
      <c r="E51" s="375">
        <v>15</v>
      </c>
      <c r="F51" s="375">
        <v>60</v>
      </c>
      <c r="G51" s="375">
        <v>0</v>
      </c>
      <c r="H51" s="375">
        <v>55</v>
      </c>
      <c r="I51" s="375">
        <v>5</v>
      </c>
      <c r="J51" s="375">
        <v>32</v>
      </c>
      <c r="K51" s="375">
        <v>3</v>
      </c>
      <c r="L51" s="375">
        <f>SUM(E51:K51)</f>
        <v>170</v>
      </c>
    </row>
    <row r="52" spans="3:12" ht="20.100000000000001" customHeight="1" x14ac:dyDescent="0.2">
      <c r="C52" s="620"/>
      <c r="D52" s="374" t="s">
        <v>10</v>
      </c>
      <c r="E52" s="375">
        <v>6</v>
      </c>
      <c r="F52" s="375">
        <v>33</v>
      </c>
      <c r="G52" s="375">
        <v>0</v>
      </c>
      <c r="H52" s="375">
        <v>23</v>
      </c>
      <c r="I52" s="375">
        <v>2</v>
      </c>
      <c r="J52" s="375">
        <v>3</v>
      </c>
      <c r="K52" s="375">
        <v>1</v>
      </c>
      <c r="L52" s="375">
        <f>SUM(E52:K52)</f>
        <v>68</v>
      </c>
    </row>
    <row r="53" spans="3:12" ht="20.100000000000001" customHeight="1" x14ac:dyDescent="0.2">
      <c r="C53" s="621"/>
      <c r="D53" s="374" t="s">
        <v>845</v>
      </c>
      <c r="E53" s="377">
        <f t="shared" ref="E53:L53" si="16">SUM(E51:E52)</f>
        <v>21</v>
      </c>
      <c r="F53" s="377">
        <f t="shared" si="16"/>
        <v>93</v>
      </c>
      <c r="G53" s="377">
        <f t="shared" si="16"/>
        <v>0</v>
      </c>
      <c r="H53" s="377">
        <f t="shared" si="16"/>
        <v>78</v>
      </c>
      <c r="I53" s="377">
        <f t="shared" si="16"/>
        <v>7</v>
      </c>
      <c r="J53" s="377">
        <f t="shared" si="16"/>
        <v>35</v>
      </c>
      <c r="K53" s="377">
        <f t="shared" si="16"/>
        <v>4</v>
      </c>
      <c r="L53" s="377">
        <f t="shared" si="16"/>
        <v>238</v>
      </c>
    </row>
    <row r="54" spans="3:12" ht="20.100000000000001" customHeight="1" x14ac:dyDescent="0.2">
      <c r="C54" s="619" t="s">
        <v>863</v>
      </c>
      <c r="D54" s="374" t="s">
        <v>9</v>
      </c>
      <c r="E54" s="375">
        <v>2</v>
      </c>
      <c r="F54" s="375">
        <v>127</v>
      </c>
      <c r="G54" s="375">
        <v>0</v>
      </c>
      <c r="H54" s="375">
        <v>19</v>
      </c>
      <c r="I54" s="375">
        <v>5</v>
      </c>
      <c r="J54" s="375">
        <v>12</v>
      </c>
      <c r="K54" s="375">
        <v>0</v>
      </c>
      <c r="L54" s="375">
        <f>SUM(E54:K54)</f>
        <v>165</v>
      </c>
    </row>
    <row r="55" spans="3:12" ht="20.100000000000001" customHeight="1" x14ac:dyDescent="0.2">
      <c r="C55" s="620"/>
      <c r="D55" s="374" t="s">
        <v>10</v>
      </c>
      <c r="E55" s="375">
        <v>1</v>
      </c>
      <c r="F55" s="375">
        <v>38</v>
      </c>
      <c r="G55" s="375">
        <v>0</v>
      </c>
      <c r="H55" s="375">
        <v>6</v>
      </c>
      <c r="I55" s="375">
        <v>2</v>
      </c>
      <c r="J55" s="375">
        <v>1</v>
      </c>
      <c r="K55" s="375">
        <v>0</v>
      </c>
      <c r="L55" s="375">
        <f>SUM(E55:K55)</f>
        <v>48</v>
      </c>
    </row>
    <row r="56" spans="3:12" ht="20.100000000000001" customHeight="1" x14ac:dyDescent="0.2">
      <c r="C56" s="621"/>
      <c r="D56" s="374" t="s">
        <v>845</v>
      </c>
      <c r="E56" s="377">
        <f t="shared" ref="E56:L56" si="17">SUM(E54:E55)</f>
        <v>3</v>
      </c>
      <c r="F56" s="377">
        <f t="shared" si="17"/>
        <v>165</v>
      </c>
      <c r="G56" s="377">
        <f t="shared" si="17"/>
        <v>0</v>
      </c>
      <c r="H56" s="377">
        <f t="shared" si="17"/>
        <v>25</v>
      </c>
      <c r="I56" s="377">
        <f t="shared" si="17"/>
        <v>7</v>
      </c>
      <c r="J56" s="377">
        <f t="shared" si="17"/>
        <v>13</v>
      </c>
      <c r="K56" s="377">
        <f t="shared" si="17"/>
        <v>0</v>
      </c>
      <c r="L56" s="377">
        <f t="shared" si="17"/>
        <v>213</v>
      </c>
    </row>
    <row r="57" spans="3:12" ht="20.100000000000001" customHeight="1" x14ac:dyDescent="0.2">
      <c r="C57" s="619" t="s">
        <v>36</v>
      </c>
      <c r="D57" s="374" t="s">
        <v>9</v>
      </c>
      <c r="E57" s="375">
        <v>0</v>
      </c>
      <c r="F57" s="375">
        <v>1</v>
      </c>
      <c r="G57" s="375">
        <v>7</v>
      </c>
      <c r="H57" s="375">
        <v>4</v>
      </c>
      <c r="I57" s="375">
        <v>0</v>
      </c>
      <c r="J57" s="375">
        <v>0</v>
      </c>
      <c r="K57" s="375">
        <v>0</v>
      </c>
      <c r="L57" s="375">
        <f>SUM(E57:K57)</f>
        <v>12</v>
      </c>
    </row>
    <row r="58" spans="3:12" ht="20.100000000000001" customHeight="1" x14ac:dyDescent="0.2">
      <c r="C58" s="620"/>
      <c r="D58" s="374" t="s">
        <v>10</v>
      </c>
      <c r="E58" s="375">
        <v>0</v>
      </c>
      <c r="F58" s="375">
        <v>4</v>
      </c>
      <c r="G58" s="375">
        <v>0</v>
      </c>
      <c r="H58" s="375">
        <v>1</v>
      </c>
      <c r="I58" s="375">
        <v>1</v>
      </c>
      <c r="J58" s="375">
        <v>0</v>
      </c>
      <c r="K58" s="375">
        <v>0</v>
      </c>
      <c r="L58" s="375">
        <f>SUM(E58:K58)</f>
        <v>6</v>
      </c>
    </row>
    <row r="59" spans="3:12" ht="20.100000000000001" customHeight="1" x14ac:dyDescent="0.2">
      <c r="C59" s="621"/>
      <c r="D59" s="374" t="s">
        <v>845</v>
      </c>
      <c r="E59" s="377">
        <f t="shared" ref="E59:L59" si="18">SUM(E57:E58)</f>
        <v>0</v>
      </c>
      <c r="F59" s="377">
        <f t="shared" si="18"/>
        <v>5</v>
      </c>
      <c r="G59" s="377">
        <f t="shared" si="18"/>
        <v>7</v>
      </c>
      <c r="H59" s="377">
        <f t="shared" si="18"/>
        <v>5</v>
      </c>
      <c r="I59" s="377">
        <f t="shared" si="18"/>
        <v>1</v>
      </c>
      <c r="J59" s="377">
        <f t="shared" si="18"/>
        <v>0</v>
      </c>
      <c r="K59" s="377">
        <f t="shared" si="18"/>
        <v>0</v>
      </c>
      <c r="L59" s="377">
        <f t="shared" si="18"/>
        <v>18</v>
      </c>
    </row>
    <row r="60" spans="3:12" ht="20.100000000000001" customHeight="1" x14ac:dyDescent="0.2">
      <c r="C60" s="619" t="s">
        <v>34</v>
      </c>
      <c r="D60" s="374" t="s">
        <v>9</v>
      </c>
      <c r="E60" s="375">
        <v>1680</v>
      </c>
      <c r="F60" s="375">
        <v>402</v>
      </c>
      <c r="G60" s="375">
        <v>0</v>
      </c>
      <c r="H60" s="375">
        <v>793</v>
      </c>
      <c r="I60" s="375">
        <v>215</v>
      </c>
      <c r="J60" s="375">
        <v>2</v>
      </c>
      <c r="K60" s="375">
        <v>362</v>
      </c>
      <c r="L60" s="375">
        <f>SUM(E60:K60)</f>
        <v>3454</v>
      </c>
    </row>
    <row r="61" spans="3:12" ht="20.100000000000001" customHeight="1" x14ac:dyDescent="0.2">
      <c r="C61" s="620"/>
      <c r="D61" s="374" t="s">
        <v>10</v>
      </c>
      <c r="E61" s="375">
        <v>680</v>
      </c>
      <c r="F61" s="375">
        <v>89</v>
      </c>
      <c r="G61" s="375">
        <v>0</v>
      </c>
      <c r="H61" s="375">
        <v>275</v>
      </c>
      <c r="I61" s="375">
        <v>82</v>
      </c>
      <c r="J61" s="375">
        <v>2</v>
      </c>
      <c r="K61" s="375">
        <v>59</v>
      </c>
      <c r="L61" s="375">
        <f>SUM(E61:K61)</f>
        <v>1187</v>
      </c>
    </row>
    <row r="62" spans="3:12" ht="20.100000000000001" customHeight="1" x14ac:dyDescent="0.2">
      <c r="C62" s="621"/>
      <c r="D62" s="374" t="s">
        <v>845</v>
      </c>
      <c r="E62" s="377">
        <f t="shared" ref="E62:L62" si="19">SUM(E60:E61)</f>
        <v>2360</v>
      </c>
      <c r="F62" s="377">
        <f t="shared" si="19"/>
        <v>491</v>
      </c>
      <c r="G62" s="377">
        <f t="shared" si="19"/>
        <v>0</v>
      </c>
      <c r="H62" s="377">
        <f t="shared" si="19"/>
        <v>1068</v>
      </c>
      <c r="I62" s="377">
        <f t="shared" si="19"/>
        <v>297</v>
      </c>
      <c r="J62" s="377">
        <f t="shared" si="19"/>
        <v>4</v>
      </c>
      <c r="K62" s="377">
        <f t="shared" si="19"/>
        <v>421</v>
      </c>
      <c r="L62" s="377">
        <f t="shared" si="19"/>
        <v>4641</v>
      </c>
    </row>
    <row r="63" spans="3:12" ht="20.100000000000001" customHeight="1" x14ac:dyDescent="0.2">
      <c r="C63" s="619" t="s">
        <v>211</v>
      </c>
      <c r="D63" s="374" t="s">
        <v>9</v>
      </c>
      <c r="E63" s="375">
        <v>3</v>
      </c>
      <c r="F63" s="375">
        <v>147</v>
      </c>
      <c r="G63" s="375">
        <v>0</v>
      </c>
      <c r="H63" s="375">
        <v>137</v>
      </c>
      <c r="I63" s="375">
        <v>17</v>
      </c>
      <c r="J63" s="375">
        <v>0</v>
      </c>
      <c r="K63" s="375">
        <v>1</v>
      </c>
      <c r="L63" s="375">
        <f>SUM(E63:K63)</f>
        <v>305</v>
      </c>
    </row>
    <row r="64" spans="3:12" ht="20.100000000000001" customHeight="1" x14ac:dyDescent="0.2">
      <c r="C64" s="620"/>
      <c r="D64" s="374" t="s">
        <v>10</v>
      </c>
      <c r="E64" s="375">
        <v>1</v>
      </c>
      <c r="F64" s="375">
        <v>10</v>
      </c>
      <c r="G64" s="375">
        <v>0</v>
      </c>
      <c r="H64" s="375">
        <v>74</v>
      </c>
      <c r="I64" s="375">
        <v>5</v>
      </c>
      <c r="J64" s="375">
        <v>0</v>
      </c>
      <c r="K64" s="375">
        <v>0</v>
      </c>
      <c r="L64" s="375">
        <f>SUM(E64:K64)</f>
        <v>90</v>
      </c>
    </row>
    <row r="65" spans="3:12" ht="20.100000000000001" customHeight="1" x14ac:dyDescent="0.2">
      <c r="C65" s="621"/>
      <c r="D65" s="374" t="s">
        <v>845</v>
      </c>
      <c r="E65" s="377">
        <f t="shared" ref="E65:L65" si="20">SUM(E63:E64)</f>
        <v>4</v>
      </c>
      <c r="F65" s="377">
        <f t="shared" si="20"/>
        <v>157</v>
      </c>
      <c r="G65" s="377">
        <f t="shared" si="20"/>
        <v>0</v>
      </c>
      <c r="H65" s="377">
        <f t="shared" si="20"/>
        <v>211</v>
      </c>
      <c r="I65" s="377">
        <f t="shared" si="20"/>
        <v>22</v>
      </c>
      <c r="J65" s="377">
        <f t="shared" si="20"/>
        <v>0</v>
      </c>
      <c r="K65" s="377">
        <f t="shared" si="20"/>
        <v>1</v>
      </c>
      <c r="L65" s="377">
        <f t="shared" si="20"/>
        <v>395</v>
      </c>
    </row>
    <row r="66" spans="3:12" ht="20.100000000000001" customHeight="1" x14ac:dyDescent="0.2">
      <c r="C66" s="619" t="s">
        <v>212</v>
      </c>
      <c r="D66" s="374" t="s">
        <v>9</v>
      </c>
      <c r="E66" s="375">
        <v>4</v>
      </c>
      <c r="F66" s="375">
        <v>62</v>
      </c>
      <c r="G66" s="375">
        <v>0</v>
      </c>
      <c r="H66" s="375">
        <v>9</v>
      </c>
      <c r="I66" s="375">
        <v>0</v>
      </c>
      <c r="J66" s="375">
        <v>0</v>
      </c>
      <c r="K66" s="375">
        <v>1</v>
      </c>
      <c r="L66" s="375">
        <f>SUM(E66:K66)</f>
        <v>76</v>
      </c>
    </row>
    <row r="67" spans="3:12" ht="20.100000000000001" customHeight="1" x14ac:dyDescent="0.2">
      <c r="C67" s="620"/>
      <c r="D67" s="374" t="s">
        <v>10</v>
      </c>
      <c r="E67" s="375">
        <v>1</v>
      </c>
      <c r="F67" s="375">
        <v>8</v>
      </c>
      <c r="G67" s="375">
        <v>0</v>
      </c>
      <c r="H67" s="375">
        <v>4</v>
      </c>
      <c r="I67" s="375">
        <v>0</v>
      </c>
      <c r="J67" s="375">
        <v>0</v>
      </c>
      <c r="K67" s="375">
        <v>0</v>
      </c>
      <c r="L67" s="375">
        <f>SUM(E67:K67)</f>
        <v>13</v>
      </c>
    </row>
    <row r="68" spans="3:12" ht="20.100000000000001" customHeight="1" x14ac:dyDescent="0.2">
      <c r="C68" s="621"/>
      <c r="D68" s="374" t="s">
        <v>845</v>
      </c>
      <c r="E68" s="377">
        <f t="shared" ref="E68:L68" si="21">SUM(E66:E67)</f>
        <v>5</v>
      </c>
      <c r="F68" s="377">
        <f t="shared" si="21"/>
        <v>70</v>
      </c>
      <c r="G68" s="377">
        <f t="shared" si="21"/>
        <v>0</v>
      </c>
      <c r="H68" s="377">
        <f t="shared" si="21"/>
        <v>13</v>
      </c>
      <c r="I68" s="377">
        <f t="shared" si="21"/>
        <v>0</v>
      </c>
      <c r="J68" s="377">
        <f t="shared" si="21"/>
        <v>0</v>
      </c>
      <c r="K68" s="377">
        <f t="shared" si="21"/>
        <v>1</v>
      </c>
      <c r="L68" s="377">
        <f t="shared" si="21"/>
        <v>89</v>
      </c>
    </row>
    <row r="69" spans="3:12" ht="20.100000000000001" customHeight="1" x14ac:dyDescent="0.2">
      <c r="C69" s="619" t="s">
        <v>862</v>
      </c>
      <c r="D69" s="374" t="s">
        <v>9</v>
      </c>
      <c r="E69" s="375">
        <v>0</v>
      </c>
      <c r="F69" s="375">
        <v>63</v>
      </c>
      <c r="G69" s="375">
        <v>0</v>
      </c>
      <c r="H69" s="375">
        <v>2</v>
      </c>
      <c r="I69" s="375">
        <v>0</v>
      </c>
      <c r="J69" s="375">
        <v>0</v>
      </c>
      <c r="K69" s="375">
        <v>0</v>
      </c>
      <c r="L69" s="375">
        <f>SUM(E69:K69)</f>
        <v>65</v>
      </c>
    </row>
    <row r="70" spans="3:12" ht="20.100000000000001" customHeight="1" x14ac:dyDescent="0.2">
      <c r="C70" s="620"/>
      <c r="D70" s="374" t="s">
        <v>10</v>
      </c>
      <c r="E70" s="375">
        <v>0</v>
      </c>
      <c r="F70" s="375">
        <v>13</v>
      </c>
      <c r="G70" s="375">
        <v>0</v>
      </c>
      <c r="H70" s="375">
        <v>3</v>
      </c>
      <c r="I70" s="375">
        <v>0</v>
      </c>
      <c r="J70" s="375">
        <v>0</v>
      </c>
      <c r="K70" s="375">
        <v>0</v>
      </c>
      <c r="L70" s="375">
        <f>SUM(E70:K70)</f>
        <v>16</v>
      </c>
    </row>
    <row r="71" spans="3:12" ht="20.100000000000001" customHeight="1" x14ac:dyDescent="0.2">
      <c r="C71" s="621"/>
      <c r="D71" s="374" t="s">
        <v>845</v>
      </c>
      <c r="E71" s="377">
        <f t="shared" ref="E71:L71" si="22">SUM(E69:E70)</f>
        <v>0</v>
      </c>
      <c r="F71" s="377">
        <f t="shared" si="22"/>
        <v>76</v>
      </c>
      <c r="G71" s="377">
        <f t="shared" si="22"/>
        <v>0</v>
      </c>
      <c r="H71" s="377">
        <f t="shared" si="22"/>
        <v>5</v>
      </c>
      <c r="I71" s="377">
        <f t="shared" si="22"/>
        <v>0</v>
      </c>
      <c r="J71" s="377">
        <f t="shared" si="22"/>
        <v>0</v>
      </c>
      <c r="K71" s="377">
        <f t="shared" si="22"/>
        <v>0</v>
      </c>
      <c r="L71" s="377">
        <f t="shared" si="22"/>
        <v>81</v>
      </c>
    </row>
    <row r="72" spans="3:12" ht="20.100000000000001" customHeight="1" x14ac:dyDescent="0.2">
      <c r="C72" s="619" t="s">
        <v>861</v>
      </c>
      <c r="D72" s="374" t="s">
        <v>9</v>
      </c>
      <c r="E72" s="375">
        <v>0</v>
      </c>
      <c r="F72" s="375">
        <v>45</v>
      </c>
      <c r="G72" s="375">
        <v>0</v>
      </c>
      <c r="H72" s="375">
        <v>11</v>
      </c>
      <c r="I72" s="375">
        <v>1</v>
      </c>
      <c r="J72" s="375">
        <v>0</v>
      </c>
      <c r="K72" s="375">
        <v>0</v>
      </c>
      <c r="L72" s="375">
        <f>SUM(E72:K72)</f>
        <v>57</v>
      </c>
    </row>
    <row r="73" spans="3:12" ht="20.100000000000001" customHeight="1" x14ac:dyDescent="0.2">
      <c r="C73" s="620"/>
      <c r="D73" s="374" t="s">
        <v>10</v>
      </c>
      <c r="E73" s="375">
        <v>0</v>
      </c>
      <c r="F73" s="375">
        <v>2</v>
      </c>
      <c r="G73" s="375">
        <v>0</v>
      </c>
      <c r="H73" s="375">
        <v>3</v>
      </c>
      <c r="I73" s="375">
        <v>0</v>
      </c>
      <c r="J73" s="375">
        <v>0</v>
      </c>
      <c r="K73" s="375">
        <v>0</v>
      </c>
      <c r="L73" s="375">
        <f>SUM(E73:K73)</f>
        <v>5</v>
      </c>
    </row>
    <row r="74" spans="3:12" ht="20.100000000000001" customHeight="1" x14ac:dyDescent="0.2">
      <c r="C74" s="621"/>
      <c r="D74" s="374" t="s">
        <v>845</v>
      </c>
      <c r="E74" s="377">
        <f t="shared" ref="E74:L74" si="23">SUM(E72:E73)</f>
        <v>0</v>
      </c>
      <c r="F74" s="377">
        <f t="shared" si="23"/>
        <v>47</v>
      </c>
      <c r="G74" s="377">
        <f t="shared" si="23"/>
        <v>0</v>
      </c>
      <c r="H74" s="377">
        <f t="shared" si="23"/>
        <v>14</v>
      </c>
      <c r="I74" s="377">
        <f t="shared" si="23"/>
        <v>1</v>
      </c>
      <c r="J74" s="377">
        <f t="shared" si="23"/>
        <v>0</v>
      </c>
      <c r="K74" s="377">
        <f t="shared" si="23"/>
        <v>0</v>
      </c>
      <c r="L74" s="377">
        <f t="shared" si="23"/>
        <v>62</v>
      </c>
    </row>
    <row r="75" spans="3:12" ht="20.100000000000001" customHeight="1" x14ac:dyDescent="0.2">
      <c r="C75" s="619" t="s">
        <v>214</v>
      </c>
      <c r="D75" s="374" t="s">
        <v>9</v>
      </c>
      <c r="E75" s="375">
        <v>1</v>
      </c>
      <c r="F75" s="375">
        <v>79</v>
      </c>
      <c r="G75" s="375">
        <v>0</v>
      </c>
      <c r="H75" s="375">
        <v>10</v>
      </c>
      <c r="I75" s="375">
        <v>1</v>
      </c>
      <c r="J75" s="375">
        <v>0</v>
      </c>
      <c r="K75" s="375">
        <v>0</v>
      </c>
      <c r="L75" s="375">
        <f>SUM(E75:K75)</f>
        <v>91</v>
      </c>
    </row>
    <row r="76" spans="3:12" ht="20.100000000000001" customHeight="1" x14ac:dyDescent="0.2">
      <c r="C76" s="620"/>
      <c r="D76" s="374" t="s">
        <v>10</v>
      </c>
      <c r="E76" s="375">
        <v>0</v>
      </c>
      <c r="F76" s="375">
        <v>5</v>
      </c>
      <c r="G76" s="375">
        <v>0</v>
      </c>
      <c r="H76" s="375">
        <v>5</v>
      </c>
      <c r="I76" s="375">
        <v>0</v>
      </c>
      <c r="J76" s="375">
        <v>0</v>
      </c>
      <c r="K76" s="375">
        <v>0</v>
      </c>
      <c r="L76" s="375">
        <f>SUM(E76:K76)</f>
        <v>10</v>
      </c>
    </row>
    <row r="77" spans="3:12" ht="20.100000000000001" customHeight="1" x14ac:dyDescent="0.2">
      <c r="C77" s="621"/>
      <c r="D77" s="374" t="s">
        <v>845</v>
      </c>
      <c r="E77" s="377">
        <f t="shared" ref="E77:L77" si="24">SUM(E75:E76)</f>
        <v>1</v>
      </c>
      <c r="F77" s="377">
        <f t="shared" si="24"/>
        <v>84</v>
      </c>
      <c r="G77" s="377">
        <f t="shared" si="24"/>
        <v>0</v>
      </c>
      <c r="H77" s="377">
        <f t="shared" si="24"/>
        <v>15</v>
      </c>
      <c r="I77" s="377">
        <f t="shared" si="24"/>
        <v>1</v>
      </c>
      <c r="J77" s="377">
        <f t="shared" si="24"/>
        <v>0</v>
      </c>
      <c r="K77" s="377">
        <f t="shared" si="24"/>
        <v>0</v>
      </c>
      <c r="L77" s="377">
        <f t="shared" si="24"/>
        <v>101</v>
      </c>
    </row>
    <row r="78" spans="3:12" ht="20.100000000000001" customHeight="1" x14ac:dyDescent="0.2">
      <c r="C78" s="619" t="s">
        <v>31</v>
      </c>
      <c r="D78" s="374" t="s">
        <v>9</v>
      </c>
      <c r="E78" s="375">
        <v>39</v>
      </c>
      <c r="F78" s="375">
        <v>1402</v>
      </c>
      <c r="G78" s="375">
        <v>0</v>
      </c>
      <c r="H78" s="375">
        <v>1665</v>
      </c>
      <c r="I78" s="375">
        <v>105</v>
      </c>
      <c r="J78" s="375">
        <v>5</v>
      </c>
      <c r="K78" s="375">
        <v>8</v>
      </c>
      <c r="L78" s="375">
        <f>SUM(E78:K78)</f>
        <v>3224</v>
      </c>
    </row>
    <row r="79" spans="3:12" ht="20.100000000000001" customHeight="1" x14ac:dyDescent="0.2">
      <c r="C79" s="620"/>
      <c r="D79" s="374" t="s">
        <v>10</v>
      </c>
      <c r="E79" s="375">
        <v>16</v>
      </c>
      <c r="F79" s="375">
        <v>129</v>
      </c>
      <c r="G79" s="375">
        <v>0</v>
      </c>
      <c r="H79" s="375">
        <v>472</v>
      </c>
      <c r="I79" s="375">
        <v>18</v>
      </c>
      <c r="J79" s="375">
        <v>1</v>
      </c>
      <c r="K79" s="375">
        <v>1</v>
      </c>
      <c r="L79" s="375">
        <f>SUM(E79:K79)</f>
        <v>637</v>
      </c>
    </row>
    <row r="80" spans="3:12" ht="20.100000000000001" customHeight="1" x14ac:dyDescent="0.2">
      <c r="C80" s="621"/>
      <c r="D80" s="374" t="s">
        <v>845</v>
      </c>
      <c r="E80" s="377">
        <f t="shared" ref="E80:L80" si="25">SUM(E78:E79)</f>
        <v>55</v>
      </c>
      <c r="F80" s="377">
        <f t="shared" si="25"/>
        <v>1531</v>
      </c>
      <c r="G80" s="377">
        <f t="shared" si="25"/>
        <v>0</v>
      </c>
      <c r="H80" s="377">
        <f t="shared" si="25"/>
        <v>2137</v>
      </c>
      <c r="I80" s="377">
        <f t="shared" si="25"/>
        <v>123</v>
      </c>
      <c r="J80" s="377">
        <f t="shared" si="25"/>
        <v>6</v>
      </c>
      <c r="K80" s="377">
        <f t="shared" si="25"/>
        <v>9</v>
      </c>
      <c r="L80" s="377">
        <f t="shared" si="25"/>
        <v>3861</v>
      </c>
    </row>
    <row r="81" spans="3:12" ht="20.100000000000001" customHeight="1" x14ac:dyDescent="0.2">
      <c r="C81" s="619" t="s">
        <v>215</v>
      </c>
      <c r="D81" s="374" t="s">
        <v>9</v>
      </c>
      <c r="E81" s="375">
        <v>0</v>
      </c>
      <c r="F81" s="375">
        <v>3</v>
      </c>
      <c r="G81" s="375">
        <v>0</v>
      </c>
      <c r="H81" s="375">
        <v>6</v>
      </c>
      <c r="I81" s="375">
        <v>0</v>
      </c>
      <c r="J81" s="375">
        <v>0</v>
      </c>
      <c r="K81" s="375">
        <v>0</v>
      </c>
      <c r="L81" s="375">
        <f>SUM(E81:K81)</f>
        <v>9</v>
      </c>
    </row>
    <row r="82" spans="3:12" ht="20.100000000000001" customHeight="1" x14ac:dyDescent="0.2">
      <c r="C82" s="620"/>
      <c r="D82" s="374" t="s">
        <v>10</v>
      </c>
      <c r="E82" s="375">
        <v>0</v>
      </c>
      <c r="F82" s="375">
        <v>0</v>
      </c>
      <c r="G82" s="375">
        <v>0</v>
      </c>
      <c r="H82" s="375">
        <v>16</v>
      </c>
      <c r="I82" s="375">
        <v>0</v>
      </c>
      <c r="J82" s="375">
        <v>0</v>
      </c>
      <c r="K82" s="375">
        <v>0</v>
      </c>
      <c r="L82" s="375">
        <f>SUM(E82:K82)</f>
        <v>16</v>
      </c>
    </row>
    <row r="83" spans="3:12" ht="20.100000000000001" customHeight="1" x14ac:dyDescent="0.2">
      <c r="C83" s="621"/>
      <c r="D83" s="374" t="s">
        <v>845</v>
      </c>
      <c r="E83" s="377">
        <f t="shared" ref="E83:L83" si="26">SUM(E81:E82)</f>
        <v>0</v>
      </c>
      <c r="F83" s="377">
        <f t="shared" si="26"/>
        <v>3</v>
      </c>
      <c r="G83" s="377">
        <f t="shared" si="26"/>
        <v>0</v>
      </c>
      <c r="H83" s="377">
        <f t="shared" si="26"/>
        <v>22</v>
      </c>
      <c r="I83" s="377">
        <f t="shared" si="26"/>
        <v>0</v>
      </c>
      <c r="J83" s="377">
        <f t="shared" si="26"/>
        <v>0</v>
      </c>
      <c r="K83" s="377">
        <f t="shared" si="26"/>
        <v>0</v>
      </c>
      <c r="L83" s="377">
        <f t="shared" si="26"/>
        <v>25</v>
      </c>
    </row>
    <row r="84" spans="3:12" ht="20.100000000000001" customHeight="1" x14ac:dyDescent="0.2">
      <c r="C84" s="619" t="s">
        <v>38</v>
      </c>
      <c r="D84" s="374" t="s">
        <v>9</v>
      </c>
      <c r="E84" s="375">
        <v>648</v>
      </c>
      <c r="F84" s="375">
        <v>2423</v>
      </c>
      <c r="G84" s="375">
        <v>3</v>
      </c>
      <c r="H84" s="375">
        <v>1170</v>
      </c>
      <c r="I84" s="375">
        <v>81</v>
      </c>
      <c r="J84" s="375">
        <v>39</v>
      </c>
      <c r="K84" s="375">
        <v>140</v>
      </c>
      <c r="L84" s="375">
        <f>SUM(E84:K84)</f>
        <v>4504</v>
      </c>
    </row>
    <row r="85" spans="3:12" ht="20.100000000000001" customHeight="1" x14ac:dyDescent="0.2">
      <c r="C85" s="620"/>
      <c r="D85" s="374" t="s">
        <v>10</v>
      </c>
      <c r="E85" s="375">
        <v>264</v>
      </c>
      <c r="F85" s="375">
        <v>259</v>
      </c>
      <c r="G85" s="375">
        <v>0</v>
      </c>
      <c r="H85" s="375">
        <v>447</v>
      </c>
      <c r="I85" s="375">
        <v>23</v>
      </c>
      <c r="J85" s="375">
        <v>13</v>
      </c>
      <c r="K85" s="375">
        <v>22</v>
      </c>
      <c r="L85" s="375">
        <f>SUM(E85:K85)</f>
        <v>1028</v>
      </c>
    </row>
    <row r="86" spans="3:12" ht="20.100000000000001" customHeight="1" x14ac:dyDescent="0.2">
      <c r="C86" s="621"/>
      <c r="D86" s="374" t="s">
        <v>845</v>
      </c>
      <c r="E86" s="377">
        <f t="shared" ref="E86:L86" si="27">SUM(E84:E85)</f>
        <v>912</v>
      </c>
      <c r="F86" s="377">
        <f t="shared" si="27"/>
        <v>2682</v>
      </c>
      <c r="G86" s="377">
        <f t="shared" si="27"/>
        <v>3</v>
      </c>
      <c r="H86" s="377">
        <f t="shared" si="27"/>
        <v>1617</v>
      </c>
      <c r="I86" s="377">
        <f t="shared" si="27"/>
        <v>104</v>
      </c>
      <c r="J86" s="377">
        <f t="shared" si="27"/>
        <v>52</v>
      </c>
      <c r="K86" s="377">
        <f t="shared" si="27"/>
        <v>162</v>
      </c>
      <c r="L86" s="377">
        <f t="shared" si="27"/>
        <v>5532</v>
      </c>
    </row>
    <row r="87" spans="3:12" ht="20.100000000000001" customHeight="1" x14ac:dyDescent="0.2">
      <c r="C87" s="619" t="s">
        <v>860</v>
      </c>
      <c r="D87" s="374" t="s">
        <v>9</v>
      </c>
      <c r="E87" s="375">
        <v>220</v>
      </c>
      <c r="F87" s="375">
        <v>797</v>
      </c>
      <c r="G87" s="375">
        <v>1</v>
      </c>
      <c r="H87" s="375">
        <v>390</v>
      </c>
      <c r="I87" s="375">
        <v>29</v>
      </c>
      <c r="J87" s="375">
        <v>94</v>
      </c>
      <c r="K87" s="375">
        <v>48</v>
      </c>
      <c r="L87" s="375">
        <f>SUM(E87:K87)</f>
        <v>1579</v>
      </c>
    </row>
    <row r="88" spans="3:12" ht="20.100000000000001" customHeight="1" x14ac:dyDescent="0.2">
      <c r="C88" s="620"/>
      <c r="D88" s="374" t="s">
        <v>10</v>
      </c>
      <c r="E88" s="375">
        <v>89</v>
      </c>
      <c r="F88" s="375">
        <v>48</v>
      </c>
      <c r="G88" s="375">
        <v>0</v>
      </c>
      <c r="H88" s="375">
        <v>224</v>
      </c>
      <c r="I88" s="375">
        <v>7</v>
      </c>
      <c r="J88" s="375">
        <v>22</v>
      </c>
      <c r="K88" s="375">
        <v>8</v>
      </c>
      <c r="L88" s="375">
        <f>SUM(E88:K88)</f>
        <v>398</v>
      </c>
    </row>
    <row r="89" spans="3:12" ht="20.100000000000001" customHeight="1" x14ac:dyDescent="0.2">
      <c r="C89" s="621"/>
      <c r="D89" s="374" t="s">
        <v>845</v>
      </c>
      <c r="E89" s="377">
        <f t="shared" ref="E89:L89" si="28">SUM(E87:E88)</f>
        <v>309</v>
      </c>
      <c r="F89" s="377">
        <f t="shared" si="28"/>
        <v>845</v>
      </c>
      <c r="G89" s="377">
        <f t="shared" si="28"/>
        <v>1</v>
      </c>
      <c r="H89" s="377">
        <f t="shared" si="28"/>
        <v>614</v>
      </c>
      <c r="I89" s="377">
        <f t="shared" si="28"/>
        <v>36</v>
      </c>
      <c r="J89" s="377">
        <f t="shared" si="28"/>
        <v>116</v>
      </c>
      <c r="K89" s="377">
        <f t="shared" si="28"/>
        <v>56</v>
      </c>
      <c r="L89" s="377">
        <f t="shared" si="28"/>
        <v>1977</v>
      </c>
    </row>
    <row r="90" spans="3:12" ht="20.100000000000001" customHeight="1" x14ac:dyDescent="0.2">
      <c r="C90" s="619" t="s">
        <v>575</v>
      </c>
      <c r="D90" s="374" t="s">
        <v>9</v>
      </c>
      <c r="E90" s="375">
        <f t="shared" ref="E90:L92" si="29">E3+E6+E9+E12+E15+E18+E21+E24+E27+E30+E33+E36+E39+E42+E45+E48+E51+E54+E57+E60+E63+E66+E69+E72+E75+E78+E81+E84+E87</f>
        <v>2926</v>
      </c>
      <c r="F90" s="375">
        <f t="shared" si="29"/>
        <v>8410</v>
      </c>
      <c r="G90" s="375">
        <f t="shared" si="29"/>
        <v>12</v>
      </c>
      <c r="H90" s="375">
        <f t="shared" si="29"/>
        <v>5309</v>
      </c>
      <c r="I90" s="375">
        <f t="shared" si="29"/>
        <v>571</v>
      </c>
      <c r="J90" s="375">
        <f t="shared" si="29"/>
        <v>184</v>
      </c>
      <c r="K90" s="375">
        <f t="shared" si="29"/>
        <v>631</v>
      </c>
      <c r="L90" s="375">
        <f t="shared" si="29"/>
        <v>18043</v>
      </c>
    </row>
    <row r="91" spans="3:12" ht="20.100000000000001" customHeight="1" x14ac:dyDescent="0.2">
      <c r="C91" s="620"/>
      <c r="D91" s="374" t="s">
        <v>10</v>
      </c>
      <c r="E91" s="375">
        <f t="shared" si="29"/>
        <v>1185</v>
      </c>
      <c r="F91" s="375">
        <f t="shared" si="29"/>
        <v>1575</v>
      </c>
      <c r="G91" s="375">
        <f t="shared" si="29"/>
        <v>0</v>
      </c>
      <c r="H91" s="375">
        <f t="shared" si="29"/>
        <v>1870</v>
      </c>
      <c r="I91" s="375">
        <f t="shared" si="29"/>
        <v>160</v>
      </c>
      <c r="J91" s="375">
        <f t="shared" si="29"/>
        <v>42</v>
      </c>
      <c r="K91" s="375">
        <f t="shared" si="29"/>
        <v>101</v>
      </c>
      <c r="L91" s="375">
        <f t="shared" si="29"/>
        <v>4933</v>
      </c>
    </row>
    <row r="92" spans="3:12" ht="20.100000000000001" customHeight="1" x14ac:dyDescent="0.2">
      <c r="C92" s="621"/>
      <c r="D92" s="374" t="s">
        <v>845</v>
      </c>
      <c r="E92" s="375">
        <f t="shared" si="29"/>
        <v>4111</v>
      </c>
      <c r="F92" s="375">
        <f t="shared" si="29"/>
        <v>9985</v>
      </c>
      <c r="G92" s="375">
        <f t="shared" si="29"/>
        <v>12</v>
      </c>
      <c r="H92" s="375">
        <f t="shared" si="29"/>
        <v>7179</v>
      </c>
      <c r="I92" s="375">
        <f t="shared" si="29"/>
        <v>731</v>
      </c>
      <c r="J92" s="375">
        <f t="shared" si="29"/>
        <v>226</v>
      </c>
      <c r="K92" s="375">
        <f t="shared" si="29"/>
        <v>732</v>
      </c>
      <c r="L92" s="375">
        <f t="shared" si="29"/>
        <v>22976</v>
      </c>
    </row>
  </sheetData>
  <mergeCells count="31">
    <mergeCell ref="C39:C41"/>
    <mergeCell ref="C42:C44"/>
    <mergeCell ref="C84:C86"/>
    <mergeCell ref="C87:C89"/>
    <mergeCell ref="C78:C80"/>
    <mergeCell ref="C81:C83"/>
    <mergeCell ref="C45:C47"/>
    <mergeCell ref="C90:C92"/>
    <mergeCell ref="C75:C77"/>
    <mergeCell ref="C48:C50"/>
    <mergeCell ref="C51:C53"/>
    <mergeCell ref="C54:C56"/>
    <mergeCell ref="C57:C59"/>
    <mergeCell ref="C60:C62"/>
    <mergeCell ref="C63:C65"/>
    <mergeCell ref="C36:C38"/>
    <mergeCell ref="C1:L1"/>
    <mergeCell ref="C66:C68"/>
    <mergeCell ref="C69:C71"/>
    <mergeCell ref="C72:C74"/>
    <mergeCell ref="C3:C5"/>
    <mergeCell ref="C6:C8"/>
    <mergeCell ref="C9:C11"/>
    <mergeCell ref="C12:C14"/>
    <mergeCell ref="C15:C17"/>
    <mergeCell ref="C18:C20"/>
    <mergeCell ref="C21:C23"/>
    <mergeCell ref="C24:C26"/>
    <mergeCell ref="C27:C29"/>
    <mergeCell ref="C30:C32"/>
    <mergeCell ref="C33:C35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92"/>
  <sheetViews>
    <sheetView rightToLeft="1" zoomScale="81" zoomScaleNormal="81" workbookViewId="0">
      <selection activeCell="C21" sqref="C21:C23"/>
    </sheetView>
  </sheetViews>
  <sheetFormatPr defaultRowHeight="14.25" x14ac:dyDescent="0.2"/>
  <cols>
    <col min="1" max="2" width="9" style="160"/>
    <col min="3" max="3" width="29.875" style="372" bestFit="1" customWidth="1"/>
    <col min="4" max="4" width="9" style="372"/>
    <col min="5" max="5" width="10" style="372" bestFit="1" customWidth="1"/>
    <col min="6" max="6" width="9.25" style="372" customWidth="1"/>
    <col min="7" max="12" width="9" style="372"/>
    <col min="13" max="16384" width="9" style="160"/>
  </cols>
  <sheetData>
    <row r="1" spans="3:12" ht="35.25" customHeight="1" x14ac:dyDescent="0.2">
      <c r="C1" s="623" t="s">
        <v>873</v>
      </c>
      <c r="D1" s="623"/>
      <c r="E1" s="623"/>
      <c r="F1" s="623"/>
      <c r="G1" s="623"/>
      <c r="H1" s="623"/>
      <c r="I1" s="623"/>
      <c r="J1" s="623"/>
      <c r="K1" s="623"/>
      <c r="L1" s="623"/>
    </row>
    <row r="2" spans="3:12" ht="30.75" customHeight="1" x14ac:dyDescent="0.2">
      <c r="C2" s="373" t="s">
        <v>871</v>
      </c>
      <c r="D2" s="373" t="s">
        <v>7</v>
      </c>
      <c r="E2" s="373" t="s">
        <v>61</v>
      </c>
      <c r="F2" s="373" t="s">
        <v>60</v>
      </c>
      <c r="G2" s="373" t="s">
        <v>59</v>
      </c>
      <c r="H2" s="373" t="s">
        <v>57</v>
      </c>
      <c r="I2" s="373" t="s">
        <v>56</v>
      </c>
      <c r="J2" s="373" t="s">
        <v>870</v>
      </c>
      <c r="K2" s="373" t="s">
        <v>53</v>
      </c>
      <c r="L2" s="373" t="s">
        <v>4</v>
      </c>
    </row>
    <row r="3" spans="3:12" ht="20.100000000000001" customHeight="1" x14ac:dyDescent="0.2">
      <c r="C3" s="619" t="s">
        <v>14</v>
      </c>
      <c r="D3" s="374" t="s">
        <v>9</v>
      </c>
      <c r="E3" s="375">
        <v>103</v>
      </c>
      <c r="F3" s="375">
        <v>52</v>
      </c>
      <c r="G3" s="375">
        <v>1</v>
      </c>
      <c r="H3" s="375">
        <v>0</v>
      </c>
      <c r="I3" s="375">
        <v>0</v>
      </c>
      <c r="J3" s="375">
        <v>0</v>
      </c>
      <c r="K3" s="375">
        <v>22</v>
      </c>
      <c r="L3" s="375">
        <f>SUM(E3:K3)</f>
        <v>178</v>
      </c>
    </row>
    <row r="4" spans="3:12" ht="20.100000000000001" customHeight="1" x14ac:dyDescent="0.2">
      <c r="C4" s="620"/>
      <c r="D4" s="374" t="s">
        <v>10</v>
      </c>
      <c r="E4" s="375">
        <v>47</v>
      </c>
      <c r="F4" s="375">
        <v>149</v>
      </c>
      <c r="G4" s="375">
        <v>0</v>
      </c>
      <c r="H4" s="375">
        <v>0</v>
      </c>
      <c r="I4" s="375">
        <v>0</v>
      </c>
      <c r="J4" s="375">
        <v>0</v>
      </c>
      <c r="K4" s="375">
        <v>4</v>
      </c>
      <c r="L4" s="375">
        <f>SUM(E4:K4)</f>
        <v>200</v>
      </c>
    </row>
    <row r="5" spans="3:12" ht="20.100000000000001" customHeight="1" x14ac:dyDescent="0.2">
      <c r="C5" s="621"/>
      <c r="D5" s="374" t="s">
        <v>845</v>
      </c>
      <c r="E5" s="377">
        <f t="shared" ref="E5:L5" si="0">SUM(E3:E4)</f>
        <v>150</v>
      </c>
      <c r="F5" s="377">
        <f t="shared" si="0"/>
        <v>201</v>
      </c>
      <c r="G5" s="377">
        <f t="shared" si="0"/>
        <v>1</v>
      </c>
      <c r="H5" s="377">
        <f t="shared" si="0"/>
        <v>0</v>
      </c>
      <c r="I5" s="377">
        <f t="shared" si="0"/>
        <v>0</v>
      </c>
      <c r="J5" s="377">
        <f t="shared" si="0"/>
        <v>0</v>
      </c>
      <c r="K5" s="377">
        <f t="shared" si="0"/>
        <v>26</v>
      </c>
      <c r="L5" s="377">
        <f t="shared" si="0"/>
        <v>378</v>
      </c>
    </row>
    <row r="6" spans="3:12" ht="20.100000000000001" customHeight="1" x14ac:dyDescent="0.2">
      <c r="C6" s="619" t="s">
        <v>869</v>
      </c>
      <c r="D6" s="374" t="s">
        <v>9</v>
      </c>
      <c r="E6" s="375">
        <v>4</v>
      </c>
      <c r="F6" s="375">
        <v>79</v>
      </c>
      <c r="G6" s="375">
        <v>0</v>
      </c>
      <c r="H6" s="375">
        <v>27</v>
      </c>
      <c r="I6" s="375">
        <v>1</v>
      </c>
      <c r="J6" s="375">
        <v>0</v>
      </c>
      <c r="K6" s="375">
        <v>1</v>
      </c>
      <c r="L6" s="375">
        <f>SUM(E6:K6)</f>
        <v>112</v>
      </c>
    </row>
    <row r="7" spans="3:12" ht="20.100000000000001" customHeight="1" x14ac:dyDescent="0.2">
      <c r="C7" s="620"/>
      <c r="D7" s="374" t="s">
        <v>10</v>
      </c>
      <c r="E7" s="375">
        <v>2</v>
      </c>
      <c r="F7" s="375">
        <v>109</v>
      </c>
      <c r="G7" s="375">
        <v>0</v>
      </c>
      <c r="H7" s="375">
        <v>35</v>
      </c>
      <c r="I7" s="375">
        <v>0</v>
      </c>
      <c r="J7" s="375">
        <v>0</v>
      </c>
      <c r="K7" s="375">
        <v>0</v>
      </c>
      <c r="L7" s="375">
        <f>SUM(E7:K7)</f>
        <v>146</v>
      </c>
    </row>
    <row r="8" spans="3:12" ht="20.100000000000001" customHeight="1" x14ac:dyDescent="0.2">
      <c r="C8" s="621"/>
      <c r="D8" s="374" t="s">
        <v>845</v>
      </c>
      <c r="E8" s="377">
        <f t="shared" ref="E8:L8" si="1">SUM(E6:E7)</f>
        <v>6</v>
      </c>
      <c r="F8" s="377">
        <f t="shared" si="1"/>
        <v>188</v>
      </c>
      <c r="G8" s="377">
        <f t="shared" si="1"/>
        <v>0</v>
      </c>
      <c r="H8" s="377">
        <f t="shared" si="1"/>
        <v>62</v>
      </c>
      <c r="I8" s="377">
        <f t="shared" si="1"/>
        <v>1</v>
      </c>
      <c r="J8" s="377">
        <f t="shared" si="1"/>
        <v>0</v>
      </c>
      <c r="K8" s="377">
        <f t="shared" si="1"/>
        <v>1</v>
      </c>
      <c r="L8" s="377">
        <f t="shared" si="1"/>
        <v>258</v>
      </c>
    </row>
    <row r="9" spans="3:12" ht="20.100000000000001" customHeight="1" x14ac:dyDescent="0.2">
      <c r="C9" s="619" t="s">
        <v>868</v>
      </c>
      <c r="D9" s="374" t="s">
        <v>9</v>
      </c>
      <c r="E9" s="375">
        <v>0</v>
      </c>
      <c r="F9" s="375">
        <v>7</v>
      </c>
      <c r="G9" s="375">
        <v>0</v>
      </c>
      <c r="H9" s="375">
        <v>0</v>
      </c>
      <c r="I9" s="375">
        <v>0</v>
      </c>
      <c r="J9" s="375">
        <v>0</v>
      </c>
      <c r="K9" s="375">
        <v>0</v>
      </c>
      <c r="L9" s="375">
        <f>SUM(E9:K9)</f>
        <v>7</v>
      </c>
    </row>
    <row r="10" spans="3:12" ht="20.100000000000001" customHeight="1" x14ac:dyDescent="0.2">
      <c r="C10" s="620"/>
      <c r="D10" s="374" t="s">
        <v>10</v>
      </c>
      <c r="E10" s="375">
        <v>0</v>
      </c>
      <c r="F10" s="375">
        <v>6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5">
        <f>SUM(E10:K10)</f>
        <v>6</v>
      </c>
    </row>
    <row r="11" spans="3:12" ht="20.100000000000001" customHeight="1" x14ac:dyDescent="0.2">
      <c r="C11" s="621"/>
      <c r="D11" s="374" t="s">
        <v>845</v>
      </c>
      <c r="E11" s="377">
        <f t="shared" ref="E11:L11" si="2">SUM(E9:E10)</f>
        <v>0</v>
      </c>
      <c r="F11" s="377">
        <f t="shared" si="2"/>
        <v>13</v>
      </c>
      <c r="G11" s="377">
        <f t="shared" si="2"/>
        <v>0</v>
      </c>
      <c r="H11" s="377">
        <f t="shared" si="2"/>
        <v>0</v>
      </c>
      <c r="I11" s="377">
        <f t="shared" si="2"/>
        <v>0</v>
      </c>
      <c r="J11" s="377">
        <f t="shared" si="2"/>
        <v>0</v>
      </c>
      <c r="K11" s="377">
        <f t="shared" si="2"/>
        <v>0</v>
      </c>
      <c r="L11" s="377">
        <f t="shared" si="2"/>
        <v>13</v>
      </c>
    </row>
    <row r="12" spans="3:12" ht="20.100000000000001" customHeight="1" x14ac:dyDescent="0.2">
      <c r="C12" s="619" t="s">
        <v>867</v>
      </c>
      <c r="D12" s="374" t="s">
        <v>9</v>
      </c>
      <c r="E12" s="375">
        <v>3</v>
      </c>
      <c r="F12" s="375">
        <v>91</v>
      </c>
      <c r="G12" s="375">
        <v>0</v>
      </c>
      <c r="H12" s="375">
        <v>3</v>
      </c>
      <c r="I12" s="375">
        <v>0</v>
      </c>
      <c r="J12" s="375">
        <v>0</v>
      </c>
      <c r="K12" s="375">
        <v>1</v>
      </c>
      <c r="L12" s="375">
        <f>SUM(E12:K12)</f>
        <v>98</v>
      </c>
    </row>
    <row r="13" spans="3:12" ht="20.100000000000001" customHeight="1" x14ac:dyDescent="0.2">
      <c r="C13" s="620"/>
      <c r="D13" s="374" t="s">
        <v>10</v>
      </c>
      <c r="E13" s="375">
        <v>1</v>
      </c>
      <c r="F13" s="375">
        <v>108</v>
      </c>
      <c r="G13" s="375">
        <v>0</v>
      </c>
      <c r="H13" s="375">
        <v>9</v>
      </c>
      <c r="I13" s="375">
        <v>0</v>
      </c>
      <c r="J13" s="375">
        <v>0</v>
      </c>
      <c r="K13" s="375">
        <v>0</v>
      </c>
      <c r="L13" s="375">
        <f>SUM(E13:K13)</f>
        <v>118</v>
      </c>
    </row>
    <row r="14" spans="3:12" ht="20.100000000000001" customHeight="1" x14ac:dyDescent="0.2">
      <c r="C14" s="621"/>
      <c r="D14" s="374" t="s">
        <v>845</v>
      </c>
      <c r="E14" s="377">
        <f t="shared" ref="E14:L14" si="3">SUM(E12:E13)</f>
        <v>4</v>
      </c>
      <c r="F14" s="377">
        <f t="shared" si="3"/>
        <v>199</v>
      </c>
      <c r="G14" s="377">
        <f t="shared" si="3"/>
        <v>0</v>
      </c>
      <c r="H14" s="377">
        <f t="shared" si="3"/>
        <v>12</v>
      </c>
      <c r="I14" s="377">
        <f t="shared" si="3"/>
        <v>0</v>
      </c>
      <c r="J14" s="377">
        <f t="shared" si="3"/>
        <v>0</v>
      </c>
      <c r="K14" s="377">
        <f t="shared" si="3"/>
        <v>1</v>
      </c>
      <c r="L14" s="377">
        <f t="shared" si="3"/>
        <v>216</v>
      </c>
    </row>
    <row r="15" spans="3:12" ht="20.100000000000001" customHeight="1" x14ac:dyDescent="0.2">
      <c r="C15" s="619" t="s">
        <v>16</v>
      </c>
      <c r="D15" s="374" t="s">
        <v>9</v>
      </c>
      <c r="E15" s="375">
        <v>2</v>
      </c>
      <c r="F15" s="375">
        <v>2</v>
      </c>
      <c r="G15" s="375">
        <v>0</v>
      </c>
      <c r="H15" s="375">
        <v>0</v>
      </c>
      <c r="I15" s="375">
        <v>0</v>
      </c>
      <c r="J15" s="375">
        <v>0</v>
      </c>
      <c r="K15" s="375">
        <v>0</v>
      </c>
      <c r="L15" s="375">
        <f>SUM(E15:K15)</f>
        <v>4</v>
      </c>
    </row>
    <row r="16" spans="3:12" ht="20.100000000000001" customHeight="1" x14ac:dyDescent="0.2">
      <c r="C16" s="620"/>
      <c r="D16" s="374" t="s">
        <v>10</v>
      </c>
      <c r="E16" s="375">
        <v>1</v>
      </c>
      <c r="F16" s="375">
        <v>2</v>
      </c>
      <c r="G16" s="375">
        <v>0</v>
      </c>
      <c r="H16" s="375">
        <v>1</v>
      </c>
      <c r="I16" s="375">
        <v>0</v>
      </c>
      <c r="J16" s="375">
        <v>0</v>
      </c>
      <c r="K16" s="375">
        <v>0</v>
      </c>
      <c r="L16" s="375">
        <f>SUM(E16:K16)</f>
        <v>4</v>
      </c>
    </row>
    <row r="17" spans="3:12" ht="20.100000000000001" customHeight="1" x14ac:dyDescent="0.2">
      <c r="C17" s="621"/>
      <c r="D17" s="374" t="s">
        <v>845</v>
      </c>
      <c r="E17" s="377">
        <f t="shared" ref="E17:L17" si="4">SUM(E15:E16)</f>
        <v>3</v>
      </c>
      <c r="F17" s="377">
        <f t="shared" si="4"/>
        <v>4</v>
      </c>
      <c r="G17" s="377">
        <f t="shared" si="4"/>
        <v>0</v>
      </c>
      <c r="H17" s="377">
        <f t="shared" si="4"/>
        <v>1</v>
      </c>
      <c r="I17" s="377">
        <f t="shared" si="4"/>
        <v>0</v>
      </c>
      <c r="J17" s="377">
        <f t="shared" si="4"/>
        <v>0</v>
      </c>
      <c r="K17" s="377">
        <f t="shared" si="4"/>
        <v>0</v>
      </c>
      <c r="L17" s="377">
        <f t="shared" si="4"/>
        <v>8</v>
      </c>
    </row>
    <row r="18" spans="3:12" ht="20.100000000000001" customHeight="1" x14ac:dyDescent="0.2">
      <c r="C18" s="619" t="s">
        <v>21</v>
      </c>
      <c r="D18" s="374" t="s">
        <v>9</v>
      </c>
      <c r="E18" s="375">
        <v>87</v>
      </c>
      <c r="F18" s="375">
        <v>966</v>
      </c>
      <c r="G18" s="375">
        <v>0</v>
      </c>
      <c r="H18" s="375">
        <v>580</v>
      </c>
      <c r="I18" s="375">
        <v>68</v>
      </c>
      <c r="J18" s="375">
        <v>0</v>
      </c>
      <c r="K18" s="375">
        <v>19</v>
      </c>
      <c r="L18" s="375">
        <f>SUM(E18:K18)</f>
        <v>1720</v>
      </c>
    </row>
    <row r="19" spans="3:12" ht="20.100000000000001" customHeight="1" x14ac:dyDescent="0.2">
      <c r="C19" s="620"/>
      <c r="D19" s="374" t="s">
        <v>10</v>
      </c>
      <c r="E19" s="375">
        <v>40</v>
      </c>
      <c r="F19" s="375">
        <v>186</v>
      </c>
      <c r="G19" s="375">
        <v>0</v>
      </c>
      <c r="H19" s="375">
        <v>152</v>
      </c>
      <c r="I19" s="375">
        <v>13</v>
      </c>
      <c r="J19" s="375">
        <v>0</v>
      </c>
      <c r="K19" s="375">
        <v>3</v>
      </c>
      <c r="L19" s="375">
        <f>SUM(E19:K19)</f>
        <v>394</v>
      </c>
    </row>
    <row r="20" spans="3:12" ht="20.100000000000001" customHeight="1" x14ac:dyDescent="0.2">
      <c r="C20" s="621"/>
      <c r="D20" s="374" t="s">
        <v>845</v>
      </c>
      <c r="E20" s="377">
        <f t="shared" ref="E20:L20" si="5">SUM(E18:E19)</f>
        <v>127</v>
      </c>
      <c r="F20" s="377">
        <f t="shared" si="5"/>
        <v>1152</v>
      </c>
      <c r="G20" s="377">
        <f t="shared" si="5"/>
        <v>0</v>
      </c>
      <c r="H20" s="377">
        <f t="shared" si="5"/>
        <v>732</v>
      </c>
      <c r="I20" s="377">
        <f t="shared" si="5"/>
        <v>81</v>
      </c>
      <c r="J20" s="377">
        <f t="shared" si="5"/>
        <v>0</v>
      </c>
      <c r="K20" s="377">
        <f t="shared" si="5"/>
        <v>22</v>
      </c>
      <c r="L20" s="377">
        <f t="shared" si="5"/>
        <v>2114</v>
      </c>
    </row>
    <row r="21" spans="3:12" ht="20.100000000000001" customHeight="1" x14ac:dyDescent="0.2">
      <c r="C21" s="619" t="s">
        <v>19</v>
      </c>
      <c r="D21" s="374" t="s">
        <v>9</v>
      </c>
      <c r="E21" s="375">
        <v>0</v>
      </c>
      <c r="F21" s="375">
        <v>3</v>
      </c>
      <c r="G21" s="375">
        <v>0</v>
      </c>
      <c r="H21" s="375">
        <v>4</v>
      </c>
      <c r="I21" s="375">
        <v>4</v>
      </c>
      <c r="J21" s="375">
        <v>0</v>
      </c>
      <c r="K21" s="375">
        <v>0</v>
      </c>
      <c r="L21" s="375">
        <f>SUM(E21:K21)</f>
        <v>11</v>
      </c>
    </row>
    <row r="22" spans="3:12" ht="20.100000000000001" customHeight="1" x14ac:dyDescent="0.2">
      <c r="C22" s="620"/>
      <c r="D22" s="374" t="s">
        <v>10</v>
      </c>
      <c r="E22" s="375">
        <v>0</v>
      </c>
      <c r="F22" s="375">
        <v>2</v>
      </c>
      <c r="G22" s="375">
        <v>0</v>
      </c>
      <c r="H22" s="375">
        <v>3</v>
      </c>
      <c r="I22" s="375">
        <v>1</v>
      </c>
      <c r="J22" s="375">
        <v>0</v>
      </c>
      <c r="K22" s="375">
        <v>0</v>
      </c>
      <c r="L22" s="375">
        <f>SUM(E22:K22)</f>
        <v>6</v>
      </c>
    </row>
    <row r="23" spans="3:12" ht="20.100000000000001" customHeight="1" x14ac:dyDescent="0.2">
      <c r="C23" s="621"/>
      <c r="D23" s="374" t="s">
        <v>845</v>
      </c>
      <c r="E23" s="377">
        <f t="shared" ref="E23:L23" si="6">SUM(E21:E22)</f>
        <v>0</v>
      </c>
      <c r="F23" s="377">
        <f t="shared" si="6"/>
        <v>5</v>
      </c>
      <c r="G23" s="377">
        <f t="shared" si="6"/>
        <v>0</v>
      </c>
      <c r="H23" s="377">
        <f t="shared" si="6"/>
        <v>7</v>
      </c>
      <c r="I23" s="377">
        <f t="shared" si="6"/>
        <v>5</v>
      </c>
      <c r="J23" s="377">
        <f t="shared" si="6"/>
        <v>0</v>
      </c>
      <c r="K23" s="377">
        <f t="shared" si="6"/>
        <v>0</v>
      </c>
      <c r="L23" s="377">
        <f t="shared" si="6"/>
        <v>17</v>
      </c>
    </row>
    <row r="24" spans="3:12" ht="20.100000000000001" customHeight="1" x14ac:dyDescent="0.2">
      <c r="C24" s="619" t="s">
        <v>866</v>
      </c>
      <c r="D24" s="374" t="s">
        <v>9</v>
      </c>
      <c r="E24" s="375">
        <v>0</v>
      </c>
      <c r="F24" s="375">
        <v>19</v>
      </c>
      <c r="G24" s="375">
        <v>0</v>
      </c>
      <c r="H24" s="375">
        <v>5</v>
      </c>
      <c r="I24" s="375">
        <v>2</v>
      </c>
      <c r="J24" s="375">
        <v>0</v>
      </c>
      <c r="K24" s="375">
        <v>0</v>
      </c>
      <c r="L24" s="375">
        <f>SUM(E24:K24)</f>
        <v>26</v>
      </c>
    </row>
    <row r="25" spans="3:12" ht="20.100000000000001" customHeight="1" x14ac:dyDescent="0.2">
      <c r="C25" s="620"/>
      <c r="D25" s="374" t="s">
        <v>10</v>
      </c>
      <c r="E25" s="375">
        <v>0</v>
      </c>
      <c r="F25" s="375">
        <v>5</v>
      </c>
      <c r="G25" s="375">
        <v>0</v>
      </c>
      <c r="H25" s="375">
        <v>5</v>
      </c>
      <c r="I25" s="375">
        <v>0</v>
      </c>
      <c r="J25" s="375">
        <v>0</v>
      </c>
      <c r="K25" s="375">
        <v>0</v>
      </c>
      <c r="L25" s="375">
        <f>SUM(E25:K25)</f>
        <v>10</v>
      </c>
    </row>
    <row r="26" spans="3:12" ht="20.100000000000001" customHeight="1" x14ac:dyDescent="0.2">
      <c r="C26" s="621"/>
      <c r="D26" s="374" t="s">
        <v>845</v>
      </c>
      <c r="E26" s="377">
        <f t="shared" ref="E26:L26" si="7">SUM(E24:E25)</f>
        <v>0</v>
      </c>
      <c r="F26" s="377">
        <f t="shared" si="7"/>
        <v>24</v>
      </c>
      <c r="G26" s="377">
        <f t="shared" si="7"/>
        <v>0</v>
      </c>
      <c r="H26" s="377">
        <f t="shared" si="7"/>
        <v>10</v>
      </c>
      <c r="I26" s="377">
        <f t="shared" si="7"/>
        <v>2</v>
      </c>
      <c r="J26" s="377">
        <f t="shared" si="7"/>
        <v>0</v>
      </c>
      <c r="K26" s="377">
        <f t="shared" si="7"/>
        <v>0</v>
      </c>
      <c r="L26" s="377">
        <f t="shared" si="7"/>
        <v>36</v>
      </c>
    </row>
    <row r="27" spans="3:12" ht="20.100000000000001" customHeight="1" x14ac:dyDescent="0.2">
      <c r="C27" s="619" t="s">
        <v>865</v>
      </c>
      <c r="D27" s="374" t="s">
        <v>9</v>
      </c>
      <c r="E27" s="375">
        <v>0</v>
      </c>
      <c r="F27" s="375">
        <v>3</v>
      </c>
      <c r="G27" s="375">
        <v>0</v>
      </c>
      <c r="H27" s="375">
        <v>2</v>
      </c>
      <c r="I27" s="375">
        <v>0</v>
      </c>
      <c r="J27" s="375">
        <v>0</v>
      </c>
      <c r="K27" s="375">
        <v>0</v>
      </c>
      <c r="L27" s="375">
        <f>SUM(E27:K27)</f>
        <v>5</v>
      </c>
    </row>
    <row r="28" spans="3:12" ht="20.100000000000001" customHeight="1" x14ac:dyDescent="0.2">
      <c r="C28" s="620"/>
      <c r="D28" s="374" t="s">
        <v>10</v>
      </c>
      <c r="E28" s="375">
        <v>0</v>
      </c>
      <c r="F28" s="375">
        <v>0</v>
      </c>
      <c r="G28" s="375">
        <v>0</v>
      </c>
      <c r="H28" s="375">
        <v>1</v>
      </c>
      <c r="I28" s="375">
        <v>0</v>
      </c>
      <c r="J28" s="375">
        <v>0</v>
      </c>
      <c r="K28" s="375">
        <v>0</v>
      </c>
      <c r="L28" s="375">
        <f>SUM(E28:K28)</f>
        <v>1</v>
      </c>
    </row>
    <row r="29" spans="3:12" ht="20.100000000000001" customHeight="1" x14ac:dyDescent="0.2">
      <c r="C29" s="621"/>
      <c r="D29" s="374" t="s">
        <v>845</v>
      </c>
      <c r="E29" s="377">
        <f t="shared" ref="E29:L29" si="8">SUM(E27:E28)</f>
        <v>0</v>
      </c>
      <c r="F29" s="377">
        <f t="shared" si="8"/>
        <v>3</v>
      </c>
      <c r="G29" s="377">
        <f t="shared" si="8"/>
        <v>0</v>
      </c>
      <c r="H29" s="377">
        <f t="shared" si="8"/>
        <v>3</v>
      </c>
      <c r="I29" s="377">
        <f t="shared" si="8"/>
        <v>0</v>
      </c>
      <c r="J29" s="377">
        <f t="shared" si="8"/>
        <v>0</v>
      </c>
      <c r="K29" s="377">
        <f t="shared" si="8"/>
        <v>0</v>
      </c>
      <c r="L29" s="377">
        <f t="shared" si="8"/>
        <v>6</v>
      </c>
    </row>
    <row r="30" spans="3:12" ht="20.100000000000001" customHeight="1" x14ac:dyDescent="0.2">
      <c r="C30" s="619" t="s">
        <v>18</v>
      </c>
      <c r="D30" s="374" t="s">
        <v>9</v>
      </c>
      <c r="E30" s="375">
        <v>0</v>
      </c>
      <c r="F30" s="375">
        <v>5</v>
      </c>
      <c r="G30" s="375">
        <v>0</v>
      </c>
      <c r="H30" s="375">
        <v>5</v>
      </c>
      <c r="I30" s="375">
        <v>2</v>
      </c>
      <c r="J30" s="375">
        <v>0</v>
      </c>
      <c r="K30" s="375">
        <v>0</v>
      </c>
      <c r="L30" s="375">
        <f>SUM(E30:K30)</f>
        <v>12</v>
      </c>
    </row>
    <row r="31" spans="3:12" ht="20.100000000000001" customHeight="1" x14ac:dyDescent="0.2">
      <c r="C31" s="620"/>
      <c r="D31" s="374" t="s">
        <v>10</v>
      </c>
      <c r="E31" s="375">
        <v>0</v>
      </c>
      <c r="F31" s="375">
        <v>6</v>
      </c>
      <c r="G31" s="375">
        <v>0</v>
      </c>
      <c r="H31" s="375">
        <v>2</v>
      </c>
      <c r="I31" s="375">
        <v>0</v>
      </c>
      <c r="J31" s="375">
        <v>0</v>
      </c>
      <c r="K31" s="375">
        <v>0</v>
      </c>
      <c r="L31" s="375">
        <f>SUM(E31:K31)</f>
        <v>8</v>
      </c>
    </row>
    <row r="32" spans="3:12" ht="20.100000000000001" customHeight="1" x14ac:dyDescent="0.2">
      <c r="C32" s="621"/>
      <c r="D32" s="374" t="s">
        <v>845</v>
      </c>
      <c r="E32" s="377">
        <f t="shared" ref="E32:L32" si="9">SUM(E30:E31)</f>
        <v>0</v>
      </c>
      <c r="F32" s="377">
        <f t="shared" si="9"/>
        <v>11</v>
      </c>
      <c r="G32" s="377">
        <f t="shared" si="9"/>
        <v>0</v>
      </c>
      <c r="H32" s="377">
        <f t="shared" si="9"/>
        <v>7</v>
      </c>
      <c r="I32" s="377">
        <f t="shared" si="9"/>
        <v>2</v>
      </c>
      <c r="J32" s="377">
        <f t="shared" si="9"/>
        <v>0</v>
      </c>
      <c r="K32" s="377">
        <f t="shared" si="9"/>
        <v>0</v>
      </c>
      <c r="L32" s="377">
        <f t="shared" si="9"/>
        <v>20</v>
      </c>
    </row>
    <row r="33" spans="3:12" ht="20.100000000000001" customHeight="1" x14ac:dyDescent="0.2">
      <c r="C33" s="619" t="s">
        <v>23</v>
      </c>
      <c r="D33" s="374" t="s">
        <v>9</v>
      </c>
      <c r="E33" s="375">
        <v>62</v>
      </c>
      <c r="F33" s="375">
        <v>685</v>
      </c>
      <c r="G33" s="375">
        <v>0</v>
      </c>
      <c r="H33" s="375">
        <v>216</v>
      </c>
      <c r="I33" s="375">
        <v>16</v>
      </c>
      <c r="J33" s="375">
        <v>0</v>
      </c>
      <c r="K33" s="375">
        <v>14</v>
      </c>
      <c r="L33" s="375">
        <f>SUM(E33:K33)</f>
        <v>993</v>
      </c>
    </row>
    <row r="34" spans="3:12" ht="20.100000000000001" customHeight="1" x14ac:dyDescent="0.2">
      <c r="C34" s="620"/>
      <c r="D34" s="374" t="s">
        <v>10</v>
      </c>
      <c r="E34" s="375">
        <v>28</v>
      </c>
      <c r="F34" s="375">
        <v>86</v>
      </c>
      <c r="G34" s="375">
        <v>0</v>
      </c>
      <c r="H34" s="375">
        <v>54</v>
      </c>
      <c r="I34" s="375">
        <v>4</v>
      </c>
      <c r="J34" s="375">
        <v>0</v>
      </c>
      <c r="K34" s="375">
        <v>3</v>
      </c>
      <c r="L34" s="375">
        <f>SUM(E34:K34)</f>
        <v>175</v>
      </c>
    </row>
    <row r="35" spans="3:12" ht="20.100000000000001" customHeight="1" x14ac:dyDescent="0.2">
      <c r="C35" s="621"/>
      <c r="D35" s="374" t="s">
        <v>845</v>
      </c>
      <c r="E35" s="377">
        <f t="shared" ref="E35:L35" si="10">SUM(E33:E34)</f>
        <v>90</v>
      </c>
      <c r="F35" s="377">
        <f t="shared" si="10"/>
        <v>771</v>
      </c>
      <c r="G35" s="377">
        <f t="shared" si="10"/>
        <v>0</v>
      </c>
      <c r="H35" s="377">
        <f t="shared" si="10"/>
        <v>270</v>
      </c>
      <c r="I35" s="377">
        <f t="shared" si="10"/>
        <v>20</v>
      </c>
      <c r="J35" s="377">
        <f t="shared" si="10"/>
        <v>0</v>
      </c>
      <c r="K35" s="377">
        <f t="shared" si="10"/>
        <v>17</v>
      </c>
      <c r="L35" s="377">
        <f t="shared" si="10"/>
        <v>1168</v>
      </c>
    </row>
    <row r="36" spans="3:12" ht="20.100000000000001" customHeight="1" x14ac:dyDescent="0.2">
      <c r="C36" s="619" t="s">
        <v>15</v>
      </c>
      <c r="D36" s="374" t="s">
        <v>9</v>
      </c>
      <c r="E36" s="375">
        <v>3</v>
      </c>
      <c r="F36" s="375">
        <v>16</v>
      </c>
      <c r="G36" s="375">
        <v>0</v>
      </c>
      <c r="H36" s="375">
        <v>2</v>
      </c>
      <c r="I36" s="375">
        <v>1</v>
      </c>
      <c r="J36" s="375">
        <v>0</v>
      </c>
      <c r="K36" s="375">
        <v>1</v>
      </c>
      <c r="L36" s="375">
        <f>SUM(E36:K36)</f>
        <v>23</v>
      </c>
    </row>
    <row r="37" spans="3:12" ht="20.100000000000001" customHeight="1" x14ac:dyDescent="0.2">
      <c r="C37" s="620"/>
      <c r="D37" s="374" t="s">
        <v>10</v>
      </c>
      <c r="E37" s="375">
        <v>1</v>
      </c>
      <c r="F37" s="375">
        <v>14</v>
      </c>
      <c r="G37" s="375">
        <v>0</v>
      </c>
      <c r="H37" s="375">
        <v>1</v>
      </c>
      <c r="I37" s="375">
        <v>0</v>
      </c>
      <c r="J37" s="375">
        <v>0</v>
      </c>
      <c r="K37" s="375">
        <v>0</v>
      </c>
      <c r="L37" s="375">
        <f>SUM(E37:K37)</f>
        <v>16</v>
      </c>
    </row>
    <row r="38" spans="3:12" ht="20.100000000000001" customHeight="1" x14ac:dyDescent="0.2">
      <c r="C38" s="621"/>
      <c r="D38" s="374" t="s">
        <v>845</v>
      </c>
      <c r="E38" s="377">
        <f t="shared" ref="E38:L38" si="11">SUM(E36:E37)</f>
        <v>4</v>
      </c>
      <c r="F38" s="377">
        <f t="shared" si="11"/>
        <v>30</v>
      </c>
      <c r="G38" s="377">
        <f t="shared" si="11"/>
        <v>0</v>
      </c>
      <c r="H38" s="377">
        <f t="shared" si="11"/>
        <v>3</v>
      </c>
      <c r="I38" s="377">
        <f t="shared" si="11"/>
        <v>1</v>
      </c>
      <c r="J38" s="377">
        <f t="shared" si="11"/>
        <v>0</v>
      </c>
      <c r="K38" s="377">
        <f t="shared" si="11"/>
        <v>1</v>
      </c>
      <c r="L38" s="377">
        <f t="shared" si="11"/>
        <v>39</v>
      </c>
    </row>
    <row r="39" spans="3:12" ht="20.100000000000001" customHeight="1" x14ac:dyDescent="0.2">
      <c r="C39" s="619" t="s">
        <v>864</v>
      </c>
      <c r="D39" s="374" t="s">
        <v>9</v>
      </c>
      <c r="E39" s="375">
        <v>0</v>
      </c>
      <c r="F39" s="375">
        <v>24</v>
      </c>
      <c r="G39" s="375">
        <v>0</v>
      </c>
      <c r="H39" s="375">
        <v>3</v>
      </c>
      <c r="I39" s="375">
        <v>1</v>
      </c>
      <c r="J39" s="375">
        <v>0</v>
      </c>
      <c r="K39" s="375">
        <v>0</v>
      </c>
      <c r="L39" s="375">
        <f>SUM(E39:K39)</f>
        <v>28</v>
      </c>
    </row>
    <row r="40" spans="3:12" ht="20.100000000000001" customHeight="1" x14ac:dyDescent="0.2">
      <c r="C40" s="620"/>
      <c r="D40" s="374" t="s">
        <v>10</v>
      </c>
      <c r="E40" s="375">
        <v>0</v>
      </c>
      <c r="F40" s="375">
        <v>30</v>
      </c>
      <c r="G40" s="375">
        <v>0</v>
      </c>
      <c r="H40" s="375">
        <v>3</v>
      </c>
      <c r="I40" s="375">
        <v>1</v>
      </c>
      <c r="J40" s="375">
        <v>0</v>
      </c>
      <c r="K40" s="375">
        <v>0</v>
      </c>
      <c r="L40" s="375">
        <f>SUM(E40:K40)</f>
        <v>34</v>
      </c>
    </row>
    <row r="41" spans="3:12" ht="20.100000000000001" customHeight="1" x14ac:dyDescent="0.2">
      <c r="C41" s="621"/>
      <c r="D41" s="374" t="s">
        <v>845</v>
      </c>
      <c r="E41" s="377">
        <f t="shared" ref="E41:L41" si="12">SUM(E39:E40)</f>
        <v>0</v>
      </c>
      <c r="F41" s="377">
        <f t="shared" si="12"/>
        <v>54</v>
      </c>
      <c r="G41" s="377">
        <f t="shared" si="12"/>
        <v>0</v>
      </c>
      <c r="H41" s="377">
        <f t="shared" si="12"/>
        <v>6</v>
      </c>
      <c r="I41" s="377">
        <f t="shared" si="12"/>
        <v>2</v>
      </c>
      <c r="J41" s="377">
        <f t="shared" si="12"/>
        <v>0</v>
      </c>
      <c r="K41" s="377">
        <f t="shared" si="12"/>
        <v>0</v>
      </c>
      <c r="L41" s="377">
        <f t="shared" si="12"/>
        <v>62</v>
      </c>
    </row>
    <row r="42" spans="3:12" ht="20.100000000000001" customHeight="1" x14ac:dyDescent="0.2">
      <c r="C42" s="619" t="s">
        <v>25</v>
      </c>
      <c r="D42" s="374" t="s">
        <v>9</v>
      </c>
      <c r="E42" s="375">
        <v>3</v>
      </c>
      <c r="F42" s="375">
        <v>140</v>
      </c>
      <c r="G42" s="375">
        <v>0</v>
      </c>
      <c r="H42" s="375">
        <v>9</v>
      </c>
      <c r="I42" s="375">
        <v>1</v>
      </c>
      <c r="J42" s="375">
        <v>0</v>
      </c>
      <c r="K42" s="375">
        <v>1</v>
      </c>
      <c r="L42" s="375">
        <f>SUM(E42:K42)</f>
        <v>154</v>
      </c>
    </row>
    <row r="43" spans="3:12" ht="20.100000000000001" customHeight="1" x14ac:dyDescent="0.2">
      <c r="C43" s="620"/>
      <c r="D43" s="374" t="s">
        <v>10</v>
      </c>
      <c r="E43" s="375">
        <v>2</v>
      </c>
      <c r="F43" s="375">
        <v>22</v>
      </c>
      <c r="G43" s="375">
        <v>0</v>
      </c>
      <c r="H43" s="375">
        <v>13</v>
      </c>
      <c r="I43" s="375">
        <v>0</v>
      </c>
      <c r="J43" s="375">
        <v>0</v>
      </c>
      <c r="K43" s="375">
        <v>0</v>
      </c>
      <c r="L43" s="375">
        <f>SUM(E43:K43)</f>
        <v>37</v>
      </c>
    </row>
    <row r="44" spans="3:12" ht="20.100000000000001" customHeight="1" x14ac:dyDescent="0.2">
      <c r="C44" s="621"/>
      <c r="D44" s="374" t="s">
        <v>845</v>
      </c>
      <c r="E44" s="377">
        <f t="shared" ref="E44:L44" si="13">SUM(E42:E43)</f>
        <v>5</v>
      </c>
      <c r="F44" s="377">
        <f t="shared" si="13"/>
        <v>162</v>
      </c>
      <c r="G44" s="377">
        <f t="shared" si="13"/>
        <v>0</v>
      </c>
      <c r="H44" s="377">
        <f t="shared" si="13"/>
        <v>22</v>
      </c>
      <c r="I44" s="377">
        <f t="shared" si="13"/>
        <v>1</v>
      </c>
      <c r="J44" s="377">
        <f t="shared" si="13"/>
        <v>0</v>
      </c>
      <c r="K44" s="377">
        <f t="shared" si="13"/>
        <v>1</v>
      </c>
      <c r="L44" s="377">
        <f t="shared" si="13"/>
        <v>191</v>
      </c>
    </row>
    <row r="45" spans="3:12" ht="20.100000000000001" customHeight="1" x14ac:dyDescent="0.2">
      <c r="C45" s="619" t="s">
        <v>29</v>
      </c>
      <c r="D45" s="374" t="s">
        <v>9</v>
      </c>
      <c r="E45" s="375">
        <v>0</v>
      </c>
      <c r="F45" s="375">
        <v>23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5">
        <f>SUM(E45:K45)</f>
        <v>23</v>
      </c>
    </row>
    <row r="46" spans="3:12" ht="20.100000000000001" customHeight="1" x14ac:dyDescent="0.2">
      <c r="C46" s="620"/>
      <c r="D46" s="374" t="s">
        <v>10</v>
      </c>
      <c r="E46" s="375">
        <v>0</v>
      </c>
      <c r="F46" s="375">
        <v>1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5">
        <f>SUM(E46:K46)</f>
        <v>1</v>
      </c>
    </row>
    <row r="47" spans="3:12" ht="20.100000000000001" customHeight="1" x14ac:dyDescent="0.2">
      <c r="C47" s="621"/>
      <c r="D47" s="374" t="s">
        <v>845</v>
      </c>
      <c r="E47" s="377">
        <f t="shared" ref="E47:L47" si="14">SUM(E45:E46)</f>
        <v>0</v>
      </c>
      <c r="F47" s="377">
        <f t="shared" si="14"/>
        <v>24</v>
      </c>
      <c r="G47" s="377">
        <f t="shared" si="14"/>
        <v>0</v>
      </c>
      <c r="H47" s="377">
        <f t="shared" si="14"/>
        <v>0</v>
      </c>
      <c r="I47" s="377">
        <f t="shared" si="14"/>
        <v>0</v>
      </c>
      <c r="J47" s="377">
        <f t="shared" si="14"/>
        <v>0</v>
      </c>
      <c r="K47" s="377">
        <f t="shared" si="14"/>
        <v>0</v>
      </c>
      <c r="L47" s="377">
        <f t="shared" si="14"/>
        <v>24</v>
      </c>
    </row>
    <row r="48" spans="3:12" ht="20.100000000000001" customHeight="1" x14ac:dyDescent="0.2">
      <c r="C48" s="619" t="s">
        <v>33</v>
      </c>
      <c r="D48" s="374" t="s">
        <v>9</v>
      </c>
      <c r="E48" s="375">
        <v>1</v>
      </c>
      <c r="F48" s="375">
        <v>91</v>
      </c>
      <c r="G48" s="375">
        <v>0</v>
      </c>
      <c r="H48" s="375">
        <v>5</v>
      </c>
      <c r="I48" s="375">
        <v>1</v>
      </c>
      <c r="J48" s="375">
        <v>0</v>
      </c>
      <c r="K48" s="375">
        <v>0</v>
      </c>
      <c r="L48" s="375">
        <f>SUM(E48:K48)</f>
        <v>98</v>
      </c>
    </row>
    <row r="49" spans="3:12" ht="20.100000000000001" customHeight="1" x14ac:dyDescent="0.2">
      <c r="C49" s="620"/>
      <c r="D49" s="374" t="s">
        <v>10</v>
      </c>
      <c r="E49" s="375">
        <v>0</v>
      </c>
      <c r="F49" s="375">
        <v>13</v>
      </c>
      <c r="G49" s="375">
        <v>0</v>
      </c>
      <c r="H49" s="375">
        <v>5</v>
      </c>
      <c r="I49" s="375">
        <v>0</v>
      </c>
      <c r="J49" s="375">
        <v>0</v>
      </c>
      <c r="K49" s="375">
        <v>0</v>
      </c>
      <c r="L49" s="375">
        <f>SUM(E49:K49)</f>
        <v>18</v>
      </c>
    </row>
    <row r="50" spans="3:12" ht="20.100000000000001" customHeight="1" x14ac:dyDescent="0.2">
      <c r="C50" s="621"/>
      <c r="D50" s="374" t="s">
        <v>845</v>
      </c>
      <c r="E50" s="377">
        <f t="shared" ref="E50:L50" si="15">SUM(E48:E49)</f>
        <v>1</v>
      </c>
      <c r="F50" s="377">
        <f t="shared" si="15"/>
        <v>104</v>
      </c>
      <c r="G50" s="377">
        <f t="shared" si="15"/>
        <v>0</v>
      </c>
      <c r="H50" s="377">
        <f t="shared" si="15"/>
        <v>10</v>
      </c>
      <c r="I50" s="377">
        <f t="shared" si="15"/>
        <v>1</v>
      </c>
      <c r="J50" s="377">
        <f t="shared" si="15"/>
        <v>0</v>
      </c>
      <c r="K50" s="377">
        <f t="shared" si="15"/>
        <v>0</v>
      </c>
      <c r="L50" s="377">
        <f t="shared" si="15"/>
        <v>116</v>
      </c>
    </row>
    <row r="51" spans="3:12" ht="20.100000000000001" customHeight="1" x14ac:dyDescent="0.2">
      <c r="C51" s="619" t="s">
        <v>35</v>
      </c>
      <c r="D51" s="374" t="s">
        <v>9</v>
      </c>
      <c r="E51" s="375">
        <v>13</v>
      </c>
      <c r="F51" s="375">
        <v>47</v>
      </c>
      <c r="G51" s="375">
        <v>0</v>
      </c>
      <c r="H51" s="375">
        <v>46</v>
      </c>
      <c r="I51" s="375">
        <v>4</v>
      </c>
      <c r="J51" s="375">
        <v>32</v>
      </c>
      <c r="K51" s="375">
        <v>2</v>
      </c>
      <c r="L51" s="375">
        <f>SUM(E51:K51)</f>
        <v>144</v>
      </c>
    </row>
    <row r="52" spans="3:12" ht="20.100000000000001" customHeight="1" x14ac:dyDescent="0.2">
      <c r="C52" s="620"/>
      <c r="D52" s="374" t="s">
        <v>10</v>
      </c>
      <c r="E52" s="375">
        <v>6</v>
      </c>
      <c r="F52" s="375">
        <v>26</v>
      </c>
      <c r="G52" s="375">
        <v>0</v>
      </c>
      <c r="H52" s="375">
        <v>21</v>
      </c>
      <c r="I52" s="375">
        <v>2</v>
      </c>
      <c r="J52" s="375">
        <v>3</v>
      </c>
      <c r="K52" s="375">
        <v>1</v>
      </c>
      <c r="L52" s="375">
        <f>SUM(E52:K52)</f>
        <v>59</v>
      </c>
    </row>
    <row r="53" spans="3:12" ht="20.100000000000001" customHeight="1" x14ac:dyDescent="0.2">
      <c r="C53" s="621"/>
      <c r="D53" s="374" t="s">
        <v>845</v>
      </c>
      <c r="E53" s="377">
        <f t="shared" ref="E53:L53" si="16">SUM(E51:E52)</f>
        <v>19</v>
      </c>
      <c r="F53" s="377">
        <f t="shared" si="16"/>
        <v>73</v>
      </c>
      <c r="G53" s="377">
        <f t="shared" si="16"/>
        <v>0</v>
      </c>
      <c r="H53" s="377">
        <f t="shared" si="16"/>
        <v>67</v>
      </c>
      <c r="I53" s="377">
        <f t="shared" si="16"/>
        <v>6</v>
      </c>
      <c r="J53" s="377">
        <f t="shared" si="16"/>
        <v>35</v>
      </c>
      <c r="K53" s="377">
        <f t="shared" si="16"/>
        <v>3</v>
      </c>
      <c r="L53" s="377">
        <f t="shared" si="16"/>
        <v>203</v>
      </c>
    </row>
    <row r="54" spans="3:12" ht="20.100000000000001" customHeight="1" x14ac:dyDescent="0.2">
      <c r="C54" s="619" t="s">
        <v>863</v>
      </c>
      <c r="D54" s="374" t="s">
        <v>9</v>
      </c>
      <c r="E54" s="375">
        <v>2</v>
      </c>
      <c r="F54" s="375">
        <v>100</v>
      </c>
      <c r="G54" s="375">
        <v>0</v>
      </c>
      <c r="H54" s="375">
        <v>16</v>
      </c>
      <c r="I54" s="375">
        <v>4</v>
      </c>
      <c r="J54" s="375">
        <v>12</v>
      </c>
      <c r="K54" s="375">
        <v>0</v>
      </c>
      <c r="L54" s="375">
        <f>SUM(E54:K54)</f>
        <v>134</v>
      </c>
    </row>
    <row r="55" spans="3:12" ht="20.100000000000001" customHeight="1" x14ac:dyDescent="0.2">
      <c r="C55" s="620"/>
      <c r="D55" s="374" t="s">
        <v>10</v>
      </c>
      <c r="E55" s="375">
        <v>1</v>
      </c>
      <c r="F55" s="375">
        <v>30</v>
      </c>
      <c r="G55" s="375">
        <v>0</v>
      </c>
      <c r="H55" s="375">
        <v>5</v>
      </c>
      <c r="I55" s="375">
        <v>2</v>
      </c>
      <c r="J55" s="375">
        <v>1</v>
      </c>
      <c r="K55" s="375">
        <v>0</v>
      </c>
      <c r="L55" s="375">
        <f>SUM(E55:K55)</f>
        <v>39</v>
      </c>
    </row>
    <row r="56" spans="3:12" ht="20.100000000000001" customHeight="1" x14ac:dyDescent="0.2">
      <c r="C56" s="621"/>
      <c r="D56" s="374" t="s">
        <v>845</v>
      </c>
      <c r="E56" s="377">
        <f t="shared" ref="E56:L56" si="17">SUM(E54:E55)</f>
        <v>3</v>
      </c>
      <c r="F56" s="377">
        <f t="shared" si="17"/>
        <v>130</v>
      </c>
      <c r="G56" s="377">
        <f t="shared" si="17"/>
        <v>0</v>
      </c>
      <c r="H56" s="377">
        <f t="shared" si="17"/>
        <v>21</v>
      </c>
      <c r="I56" s="377">
        <f t="shared" si="17"/>
        <v>6</v>
      </c>
      <c r="J56" s="377">
        <f t="shared" si="17"/>
        <v>13</v>
      </c>
      <c r="K56" s="377">
        <f t="shared" si="17"/>
        <v>0</v>
      </c>
      <c r="L56" s="377">
        <f t="shared" si="17"/>
        <v>173</v>
      </c>
    </row>
    <row r="57" spans="3:12" ht="20.100000000000001" customHeight="1" x14ac:dyDescent="0.2">
      <c r="C57" s="619" t="s">
        <v>36</v>
      </c>
      <c r="D57" s="374" t="s">
        <v>9</v>
      </c>
      <c r="E57" s="375">
        <v>0</v>
      </c>
      <c r="F57" s="375">
        <v>1</v>
      </c>
      <c r="G57" s="375">
        <v>6</v>
      </c>
      <c r="H57" s="375">
        <v>3</v>
      </c>
      <c r="I57" s="375">
        <v>0</v>
      </c>
      <c r="J57" s="375">
        <v>0</v>
      </c>
      <c r="K57" s="375">
        <v>0</v>
      </c>
      <c r="L57" s="375">
        <f>SUM(E57:K57)</f>
        <v>10</v>
      </c>
    </row>
    <row r="58" spans="3:12" ht="20.100000000000001" customHeight="1" x14ac:dyDescent="0.2">
      <c r="C58" s="620"/>
      <c r="D58" s="374" t="s">
        <v>10</v>
      </c>
      <c r="E58" s="375">
        <v>0</v>
      </c>
      <c r="F58" s="375">
        <v>3</v>
      </c>
      <c r="G58" s="375">
        <v>0</v>
      </c>
      <c r="H58" s="375">
        <v>1</v>
      </c>
      <c r="I58" s="375">
        <v>1</v>
      </c>
      <c r="J58" s="375">
        <v>0</v>
      </c>
      <c r="K58" s="375">
        <v>0</v>
      </c>
      <c r="L58" s="375">
        <f>SUM(E58:K58)</f>
        <v>5</v>
      </c>
    </row>
    <row r="59" spans="3:12" ht="20.100000000000001" customHeight="1" x14ac:dyDescent="0.2">
      <c r="C59" s="621"/>
      <c r="D59" s="374" t="s">
        <v>845</v>
      </c>
      <c r="E59" s="377">
        <f t="shared" ref="E59:L59" si="18">SUM(E57:E58)</f>
        <v>0</v>
      </c>
      <c r="F59" s="377">
        <f t="shared" si="18"/>
        <v>4</v>
      </c>
      <c r="G59" s="377">
        <f t="shared" si="18"/>
        <v>6</v>
      </c>
      <c r="H59" s="377">
        <f t="shared" si="18"/>
        <v>4</v>
      </c>
      <c r="I59" s="377">
        <f t="shared" si="18"/>
        <v>1</v>
      </c>
      <c r="J59" s="377">
        <f t="shared" si="18"/>
        <v>0</v>
      </c>
      <c r="K59" s="377">
        <f t="shared" si="18"/>
        <v>0</v>
      </c>
      <c r="L59" s="377">
        <f t="shared" si="18"/>
        <v>15</v>
      </c>
    </row>
    <row r="60" spans="3:12" ht="20.100000000000001" customHeight="1" x14ac:dyDescent="0.2">
      <c r="C60" s="619" t="s">
        <v>34</v>
      </c>
      <c r="D60" s="374" t="s">
        <v>9</v>
      </c>
      <c r="E60" s="375">
        <v>1435</v>
      </c>
      <c r="F60" s="375">
        <v>317</v>
      </c>
      <c r="G60" s="375">
        <v>0</v>
      </c>
      <c r="H60" s="375">
        <v>661</v>
      </c>
      <c r="I60" s="375">
        <v>183</v>
      </c>
      <c r="J60" s="375">
        <v>2</v>
      </c>
      <c r="K60" s="375">
        <v>308</v>
      </c>
      <c r="L60" s="375">
        <f>SUM(E60:K60)</f>
        <v>2906</v>
      </c>
    </row>
    <row r="61" spans="3:12" ht="20.100000000000001" customHeight="1" x14ac:dyDescent="0.2">
      <c r="C61" s="620"/>
      <c r="D61" s="374" t="s">
        <v>10</v>
      </c>
      <c r="E61" s="375">
        <v>647</v>
      </c>
      <c r="F61" s="375">
        <v>70</v>
      </c>
      <c r="G61" s="375">
        <v>0</v>
      </c>
      <c r="H61" s="375">
        <v>250</v>
      </c>
      <c r="I61" s="375">
        <v>76</v>
      </c>
      <c r="J61" s="375">
        <v>2</v>
      </c>
      <c r="K61" s="375">
        <v>55</v>
      </c>
      <c r="L61" s="375">
        <f>SUM(E61:K61)</f>
        <v>1100</v>
      </c>
    </row>
    <row r="62" spans="3:12" ht="20.100000000000001" customHeight="1" x14ac:dyDescent="0.2">
      <c r="C62" s="621"/>
      <c r="D62" s="374" t="s">
        <v>845</v>
      </c>
      <c r="E62" s="377">
        <f t="shared" ref="E62:L62" si="19">SUM(E60:E61)</f>
        <v>2082</v>
      </c>
      <c r="F62" s="377">
        <f t="shared" si="19"/>
        <v>387</v>
      </c>
      <c r="G62" s="377">
        <f t="shared" si="19"/>
        <v>0</v>
      </c>
      <c r="H62" s="377">
        <f t="shared" si="19"/>
        <v>911</v>
      </c>
      <c r="I62" s="377">
        <f t="shared" si="19"/>
        <v>259</v>
      </c>
      <c r="J62" s="377">
        <f t="shared" si="19"/>
        <v>4</v>
      </c>
      <c r="K62" s="377">
        <f t="shared" si="19"/>
        <v>363</v>
      </c>
      <c r="L62" s="377">
        <f t="shared" si="19"/>
        <v>4006</v>
      </c>
    </row>
    <row r="63" spans="3:12" ht="20.100000000000001" customHeight="1" x14ac:dyDescent="0.2">
      <c r="C63" s="619" t="s">
        <v>211</v>
      </c>
      <c r="D63" s="374" t="s">
        <v>9</v>
      </c>
      <c r="E63" s="375">
        <v>3</v>
      </c>
      <c r="F63" s="375">
        <v>116</v>
      </c>
      <c r="G63" s="375">
        <v>0</v>
      </c>
      <c r="H63" s="375">
        <v>114</v>
      </c>
      <c r="I63" s="375">
        <v>14</v>
      </c>
      <c r="J63" s="375">
        <v>0</v>
      </c>
      <c r="K63" s="375">
        <v>1</v>
      </c>
      <c r="L63" s="375">
        <f>SUM(E63:K63)</f>
        <v>248</v>
      </c>
    </row>
    <row r="64" spans="3:12" ht="20.100000000000001" customHeight="1" x14ac:dyDescent="0.2">
      <c r="C64" s="620"/>
      <c r="D64" s="374" t="s">
        <v>10</v>
      </c>
      <c r="E64" s="375">
        <v>1</v>
      </c>
      <c r="F64" s="375">
        <v>8</v>
      </c>
      <c r="G64" s="375">
        <v>0</v>
      </c>
      <c r="H64" s="375">
        <v>67</v>
      </c>
      <c r="I64" s="375">
        <v>5</v>
      </c>
      <c r="J64" s="375">
        <v>0</v>
      </c>
      <c r="K64" s="375">
        <v>0</v>
      </c>
      <c r="L64" s="375">
        <f>SUM(E64:K64)</f>
        <v>81</v>
      </c>
    </row>
    <row r="65" spans="3:12" ht="20.100000000000001" customHeight="1" x14ac:dyDescent="0.2">
      <c r="C65" s="621"/>
      <c r="D65" s="374" t="s">
        <v>845</v>
      </c>
      <c r="E65" s="377">
        <f t="shared" ref="E65:L65" si="20">SUM(E63:E64)</f>
        <v>4</v>
      </c>
      <c r="F65" s="377">
        <f t="shared" si="20"/>
        <v>124</v>
      </c>
      <c r="G65" s="377">
        <f t="shared" si="20"/>
        <v>0</v>
      </c>
      <c r="H65" s="377">
        <f t="shared" si="20"/>
        <v>181</v>
      </c>
      <c r="I65" s="377">
        <f t="shared" si="20"/>
        <v>19</v>
      </c>
      <c r="J65" s="377">
        <f t="shared" si="20"/>
        <v>0</v>
      </c>
      <c r="K65" s="377">
        <f t="shared" si="20"/>
        <v>1</v>
      </c>
      <c r="L65" s="377">
        <f t="shared" si="20"/>
        <v>329</v>
      </c>
    </row>
    <row r="66" spans="3:12" ht="20.100000000000001" customHeight="1" x14ac:dyDescent="0.2">
      <c r="C66" s="619" t="s">
        <v>212</v>
      </c>
      <c r="D66" s="374" t="s">
        <v>9</v>
      </c>
      <c r="E66" s="375">
        <v>3</v>
      </c>
      <c r="F66" s="375">
        <v>49</v>
      </c>
      <c r="G66" s="375">
        <v>0</v>
      </c>
      <c r="H66" s="375">
        <v>7</v>
      </c>
      <c r="I66" s="375">
        <v>0</v>
      </c>
      <c r="J66" s="375">
        <v>0</v>
      </c>
      <c r="K66" s="375">
        <v>1</v>
      </c>
      <c r="L66" s="375">
        <f>SUM(E66:K66)</f>
        <v>60</v>
      </c>
    </row>
    <row r="67" spans="3:12" ht="20.100000000000001" customHeight="1" x14ac:dyDescent="0.2">
      <c r="C67" s="620"/>
      <c r="D67" s="374" t="s">
        <v>10</v>
      </c>
      <c r="E67" s="375">
        <v>1</v>
      </c>
      <c r="F67" s="375">
        <v>6</v>
      </c>
      <c r="G67" s="375">
        <v>0</v>
      </c>
      <c r="H67" s="375">
        <v>3</v>
      </c>
      <c r="I67" s="375">
        <v>0</v>
      </c>
      <c r="J67" s="375">
        <v>0</v>
      </c>
      <c r="K67" s="375">
        <v>0</v>
      </c>
      <c r="L67" s="375">
        <f>SUM(E67:K67)</f>
        <v>10</v>
      </c>
    </row>
    <row r="68" spans="3:12" ht="20.100000000000001" customHeight="1" x14ac:dyDescent="0.2">
      <c r="C68" s="621"/>
      <c r="D68" s="374" t="s">
        <v>845</v>
      </c>
      <c r="E68" s="377">
        <f t="shared" ref="E68:L68" si="21">SUM(E66:E67)</f>
        <v>4</v>
      </c>
      <c r="F68" s="377">
        <f t="shared" si="21"/>
        <v>55</v>
      </c>
      <c r="G68" s="377">
        <f t="shared" si="21"/>
        <v>0</v>
      </c>
      <c r="H68" s="377">
        <f t="shared" si="21"/>
        <v>10</v>
      </c>
      <c r="I68" s="377">
        <f t="shared" si="21"/>
        <v>0</v>
      </c>
      <c r="J68" s="377">
        <f t="shared" si="21"/>
        <v>0</v>
      </c>
      <c r="K68" s="377">
        <f t="shared" si="21"/>
        <v>1</v>
      </c>
      <c r="L68" s="377">
        <f t="shared" si="21"/>
        <v>70</v>
      </c>
    </row>
    <row r="69" spans="3:12" ht="20.100000000000001" customHeight="1" x14ac:dyDescent="0.2">
      <c r="C69" s="619" t="s">
        <v>862</v>
      </c>
      <c r="D69" s="374" t="s">
        <v>9</v>
      </c>
      <c r="E69" s="375">
        <v>0</v>
      </c>
      <c r="F69" s="375">
        <v>50</v>
      </c>
      <c r="G69" s="375">
        <v>0</v>
      </c>
      <c r="H69" s="375">
        <v>1</v>
      </c>
      <c r="I69" s="375">
        <v>0</v>
      </c>
      <c r="J69" s="375">
        <v>0</v>
      </c>
      <c r="K69" s="375">
        <v>0</v>
      </c>
      <c r="L69" s="375">
        <f>SUM(E69:K69)</f>
        <v>51</v>
      </c>
    </row>
    <row r="70" spans="3:12" ht="20.100000000000001" customHeight="1" x14ac:dyDescent="0.2">
      <c r="C70" s="620"/>
      <c r="D70" s="374" t="s">
        <v>10</v>
      </c>
      <c r="E70" s="375">
        <v>0</v>
      </c>
      <c r="F70" s="375">
        <v>10</v>
      </c>
      <c r="G70" s="375">
        <v>0</v>
      </c>
      <c r="H70" s="375">
        <v>3</v>
      </c>
      <c r="I70" s="375">
        <v>0</v>
      </c>
      <c r="J70" s="375">
        <v>0</v>
      </c>
      <c r="K70" s="375">
        <v>0</v>
      </c>
      <c r="L70" s="375">
        <f>SUM(E70:K70)</f>
        <v>13</v>
      </c>
    </row>
    <row r="71" spans="3:12" ht="20.100000000000001" customHeight="1" x14ac:dyDescent="0.2">
      <c r="C71" s="621"/>
      <c r="D71" s="374" t="s">
        <v>845</v>
      </c>
      <c r="E71" s="377">
        <f t="shared" ref="E71:L71" si="22">SUM(E69:E70)</f>
        <v>0</v>
      </c>
      <c r="F71" s="377">
        <f t="shared" si="22"/>
        <v>60</v>
      </c>
      <c r="G71" s="377">
        <f t="shared" si="22"/>
        <v>0</v>
      </c>
      <c r="H71" s="377">
        <f t="shared" si="22"/>
        <v>4</v>
      </c>
      <c r="I71" s="377">
        <f t="shared" si="22"/>
        <v>0</v>
      </c>
      <c r="J71" s="377">
        <f t="shared" si="22"/>
        <v>0</v>
      </c>
      <c r="K71" s="377">
        <f t="shared" si="22"/>
        <v>0</v>
      </c>
      <c r="L71" s="377">
        <f t="shared" si="22"/>
        <v>64</v>
      </c>
    </row>
    <row r="72" spans="3:12" ht="20.100000000000001" customHeight="1" x14ac:dyDescent="0.2">
      <c r="C72" s="619" t="s">
        <v>861</v>
      </c>
      <c r="D72" s="374" t="s">
        <v>9</v>
      </c>
      <c r="E72" s="375">
        <v>0</v>
      </c>
      <c r="F72" s="375">
        <v>36</v>
      </c>
      <c r="G72" s="375">
        <v>0</v>
      </c>
      <c r="H72" s="375">
        <v>9</v>
      </c>
      <c r="I72" s="375">
        <v>1</v>
      </c>
      <c r="J72" s="375">
        <v>0</v>
      </c>
      <c r="K72" s="375">
        <v>0</v>
      </c>
      <c r="L72" s="375">
        <f>SUM(E72:K72)</f>
        <v>46</v>
      </c>
    </row>
    <row r="73" spans="3:12" ht="20.100000000000001" customHeight="1" x14ac:dyDescent="0.2">
      <c r="C73" s="620"/>
      <c r="D73" s="374" t="s">
        <v>10</v>
      </c>
      <c r="E73" s="375">
        <v>0</v>
      </c>
      <c r="F73" s="375">
        <v>2</v>
      </c>
      <c r="G73" s="375">
        <v>0</v>
      </c>
      <c r="H73" s="375">
        <v>3</v>
      </c>
      <c r="I73" s="375">
        <v>0</v>
      </c>
      <c r="J73" s="375">
        <v>0</v>
      </c>
      <c r="K73" s="375">
        <v>0</v>
      </c>
      <c r="L73" s="375">
        <f>SUM(E73:K73)</f>
        <v>5</v>
      </c>
    </row>
    <row r="74" spans="3:12" ht="20.100000000000001" customHeight="1" x14ac:dyDescent="0.2">
      <c r="C74" s="621"/>
      <c r="D74" s="374" t="s">
        <v>845</v>
      </c>
      <c r="E74" s="377">
        <f t="shared" ref="E74:L74" si="23">SUM(E72:E73)</f>
        <v>0</v>
      </c>
      <c r="F74" s="377">
        <f t="shared" si="23"/>
        <v>38</v>
      </c>
      <c r="G74" s="377">
        <f t="shared" si="23"/>
        <v>0</v>
      </c>
      <c r="H74" s="377">
        <f t="shared" si="23"/>
        <v>12</v>
      </c>
      <c r="I74" s="377">
        <f t="shared" si="23"/>
        <v>1</v>
      </c>
      <c r="J74" s="377">
        <f t="shared" si="23"/>
        <v>0</v>
      </c>
      <c r="K74" s="377">
        <f t="shared" si="23"/>
        <v>0</v>
      </c>
      <c r="L74" s="377">
        <f t="shared" si="23"/>
        <v>51</v>
      </c>
    </row>
    <row r="75" spans="3:12" ht="20.100000000000001" customHeight="1" x14ac:dyDescent="0.2">
      <c r="C75" s="619" t="s">
        <v>214</v>
      </c>
      <c r="D75" s="374" t="s">
        <v>9</v>
      </c>
      <c r="E75" s="375">
        <v>1</v>
      </c>
      <c r="F75" s="375">
        <v>62</v>
      </c>
      <c r="G75" s="375">
        <v>0</v>
      </c>
      <c r="H75" s="375">
        <v>8</v>
      </c>
      <c r="I75" s="375">
        <v>1</v>
      </c>
      <c r="J75" s="375">
        <v>0</v>
      </c>
      <c r="K75" s="375">
        <v>0</v>
      </c>
      <c r="L75" s="375">
        <f>SUM(E75:K75)</f>
        <v>72</v>
      </c>
    </row>
    <row r="76" spans="3:12" ht="20.100000000000001" customHeight="1" x14ac:dyDescent="0.2">
      <c r="C76" s="620"/>
      <c r="D76" s="374" t="s">
        <v>10</v>
      </c>
      <c r="E76" s="375">
        <v>0</v>
      </c>
      <c r="F76" s="375">
        <v>4</v>
      </c>
      <c r="G76" s="375">
        <v>0</v>
      </c>
      <c r="H76" s="375">
        <v>4</v>
      </c>
      <c r="I76" s="375">
        <v>0</v>
      </c>
      <c r="J76" s="375">
        <v>0</v>
      </c>
      <c r="K76" s="375">
        <v>0</v>
      </c>
      <c r="L76" s="375">
        <f>SUM(E76:K76)</f>
        <v>8</v>
      </c>
    </row>
    <row r="77" spans="3:12" ht="20.100000000000001" customHeight="1" x14ac:dyDescent="0.2">
      <c r="C77" s="621"/>
      <c r="D77" s="374" t="s">
        <v>845</v>
      </c>
      <c r="E77" s="377">
        <f t="shared" ref="E77:L77" si="24">SUM(E75:E76)</f>
        <v>1</v>
      </c>
      <c r="F77" s="377">
        <f t="shared" si="24"/>
        <v>66</v>
      </c>
      <c r="G77" s="377">
        <f t="shared" si="24"/>
        <v>0</v>
      </c>
      <c r="H77" s="377">
        <f t="shared" si="24"/>
        <v>12</v>
      </c>
      <c r="I77" s="377">
        <f t="shared" si="24"/>
        <v>1</v>
      </c>
      <c r="J77" s="377">
        <f t="shared" si="24"/>
        <v>0</v>
      </c>
      <c r="K77" s="377">
        <f t="shared" si="24"/>
        <v>0</v>
      </c>
      <c r="L77" s="377">
        <f t="shared" si="24"/>
        <v>80</v>
      </c>
    </row>
    <row r="78" spans="3:12" ht="20.100000000000001" customHeight="1" x14ac:dyDescent="0.2">
      <c r="C78" s="619" t="s">
        <v>31</v>
      </c>
      <c r="D78" s="374" t="s">
        <v>9</v>
      </c>
      <c r="E78" s="375">
        <v>33</v>
      </c>
      <c r="F78" s="375">
        <v>1104</v>
      </c>
      <c r="G78" s="375">
        <v>0</v>
      </c>
      <c r="H78" s="375">
        <v>1387</v>
      </c>
      <c r="I78" s="375">
        <v>89</v>
      </c>
      <c r="J78" s="375">
        <v>5</v>
      </c>
      <c r="K78" s="375">
        <v>7</v>
      </c>
      <c r="L78" s="375">
        <f>SUM(E78:K78)</f>
        <v>2625</v>
      </c>
    </row>
    <row r="79" spans="3:12" ht="20.100000000000001" customHeight="1" x14ac:dyDescent="0.2">
      <c r="C79" s="620"/>
      <c r="D79" s="374" t="s">
        <v>10</v>
      </c>
      <c r="E79" s="375">
        <v>15</v>
      </c>
      <c r="F79" s="375">
        <v>101</v>
      </c>
      <c r="G79" s="375">
        <v>0</v>
      </c>
      <c r="H79" s="375">
        <v>427</v>
      </c>
      <c r="I79" s="375">
        <v>17</v>
      </c>
      <c r="J79" s="375">
        <v>1</v>
      </c>
      <c r="K79" s="375">
        <v>1</v>
      </c>
      <c r="L79" s="375">
        <f>SUM(E79:K79)</f>
        <v>562</v>
      </c>
    </row>
    <row r="80" spans="3:12" ht="20.100000000000001" customHeight="1" x14ac:dyDescent="0.2">
      <c r="C80" s="621"/>
      <c r="D80" s="374" t="s">
        <v>845</v>
      </c>
      <c r="E80" s="377">
        <f t="shared" ref="E80:L80" si="25">SUM(E78:E79)</f>
        <v>48</v>
      </c>
      <c r="F80" s="377">
        <f t="shared" si="25"/>
        <v>1205</v>
      </c>
      <c r="G80" s="377">
        <f t="shared" si="25"/>
        <v>0</v>
      </c>
      <c r="H80" s="377">
        <f t="shared" si="25"/>
        <v>1814</v>
      </c>
      <c r="I80" s="377">
        <f t="shared" si="25"/>
        <v>106</v>
      </c>
      <c r="J80" s="377">
        <f t="shared" si="25"/>
        <v>6</v>
      </c>
      <c r="K80" s="377">
        <f t="shared" si="25"/>
        <v>8</v>
      </c>
      <c r="L80" s="377">
        <f t="shared" si="25"/>
        <v>3187</v>
      </c>
    </row>
    <row r="81" spans="3:12" ht="20.100000000000001" customHeight="1" x14ac:dyDescent="0.2">
      <c r="C81" s="619" t="s">
        <v>215</v>
      </c>
      <c r="D81" s="374" t="s">
        <v>9</v>
      </c>
      <c r="E81" s="375">
        <v>0</v>
      </c>
      <c r="F81" s="375">
        <v>2</v>
      </c>
      <c r="G81" s="375">
        <v>0</v>
      </c>
      <c r="H81" s="375">
        <v>5</v>
      </c>
      <c r="I81" s="375">
        <v>0</v>
      </c>
      <c r="J81" s="375">
        <v>0</v>
      </c>
      <c r="K81" s="375">
        <v>0</v>
      </c>
      <c r="L81" s="375">
        <f>SUM(E81:K81)</f>
        <v>7</v>
      </c>
    </row>
    <row r="82" spans="3:12" ht="20.100000000000001" customHeight="1" x14ac:dyDescent="0.2">
      <c r="C82" s="620"/>
      <c r="D82" s="374" t="s">
        <v>10</v>
      </c>
      <c r="E82" s="375">
        <v>0</v>
      </c>
      <c r="F82" s="375">
        <v>0</v>
      </c>
      <c r="G82" s="375">
        <v>0</v>
      </c>
      <c r="H82" s="375">
        <v>14</v>
      </c>
      <c r="I82" s="375">
        <v>0</v>
      </c>
      <c r="J82" s="375">
        <v>0</v>
      </c>
      <c r="K82" s="375">
        <v>0</v>
      </c>
      <c r="L82" s="375">
        <f>SUM(E82:K82)</f>
        <v>14</v>
      </c>
    </row>
    <row r="83" spans="3:12" ht="20.100000000000001" customHeight="1" x14ac:dyDescent="0.2">
      <c r="C83" s="621"/>
      <c r="D83" s="374" t="s">
        <v>845</v>
      </c>
      <c r="E83" s="377">
        <f t="shared" ref="E83:L83" si="26">SUM(E81:E82)</f>
        <v>0</v>
      </c>
      <c r="F83" s="377">
        <f t="shared" si="26"/>
        <v>2</v>
      </c>
      <c r="G83" s="377">
        <f t="shared" si="26"/>
        <v>0</v>
      </c>
      <c r="H83" s="377">
        <f t="shared" si="26"/>
        <v>19</v>
      </c>
      <c r="I83" s="377">
        <f t="shared" si="26"/>
        <v>0</v>
      </c>
      <c r="J83" s="377">
        <f t="shared" si="26"/>
        <v>0</v>
      </c>
      <c r="K83" s="377">
        <f t="shared" si="26"/>
        <v>0</v>
      </c>
      <c r="L83" s="377">
        <f t="shared" si="26"/>
        <v>21</v>
      </c>
    </row>
    <row r="84" spans="3:12" ht="20.100000000000001" customHeight="1" x14ac:dyDescent="0.2">
      <c r="C84" s="619" t="s">
        <v>38</v>
      </c>
      <c r="D84" s="374" t="s">
        <v>9</v>
      </c>
      <c r="E84" s="375">
        <v>553</v>
      </c>
      <c r="F84" s="375">
        <v>1908</v>
      </c>
      <c r="G84" s="375">
        <v>2</v>
      </c>
      <c r="H84" s="375">
        <v>974</v>
      </c>
      <c r="I84" s="375">
        <v>69</v>
      </c>
      <c r="J84" s="375">
        <v>39</v>
      </c>
      <c r="K84" s="375">
        <v>120</v>
      </c>
      <c r="L84" s="375">
        <f>SUM(E84:K84)</f>
        <v>3665</v>
      </c>
    </row>
    <row r="85" spans="3:12" ht="20.100000000000001" customHeight="1" x14ac:dyDescent="0.2">
      <c r="C85" s="620"/>
      <c r="D85" s="374" t="s">
        <v>10</v>
      </c>
      <c r="E85" s="375">
        <v>250</v>
      </c>
      <c r="F85" s="375">
        <v>203</v>
      </c>
      <c r="G85" s="375">
        <v>0</v>
      </c>
      <c r="H85" s="375">
        <v>403</v>
      </c>
      <c r="I85" s="375">
        <v>22</v>
      </c>
      <c r="J85" s="375">
        <v>13</v>
      </c>
      <c r="K85" s="375">
        <v>21</v>
      </c>
      <c r="L85" s="375">
        <f>SUM(E85:K85)</f>
        <v>912</v>
      </c>
    </row>
    <row r="86" spans="3:12" ht="20.100000000000001" customHeight="1" x14ac:dyDescent="0.2">
      <c r="C86" s="621"/>
      <c r="D86" s="374" t="s">
        <v>845</v>
      </c>
      <c r="E86" s="377">
        <f t="shared" ref="E86:L86" si="27">SUM(E84:E85)</f>
        <v>803</v>
      </c>
      <c r="F86" s="377">
        <f t="shared" si="27"/>
        <v>2111</v>
      </c>
      <c r="G86" s="377">
        <f t="shared" si="27"/>
        <v>2</v>
      </c>
      <c r="H86" s="377">
        <f t="shared" si="27"/>
        <v>1377</v>
      </c>
      <c r="I86" s="377">
        <f t="shared" si="27"/>
        <v>91</v>
      </c>
      <c r="J86" s="377">
        <f t="shared" si="27"/>
        <v>52</v>
      </c>
      <c r="K86" s="377">
        <f t="shared" si="27"/>
        <v>141</v>
      </c>
      <c r="L86" s="377">
        <f t="shared" si="27"/>
        <v>4577</v>
      </c>
    </row>
    <row r="87" spans="3:12" ht="20.100000000000001" customHeight="1" x14ac:dyDescent="0.2">
      <c r="C87" s="619" t="s">
        <v>860</v>
      </c>
      <c r="D87" s="374" t="s">
        <v>9</v>
      </c>
      <c r="E87" s="375">
        <v>188</v>
      </c>
      <c r="F87" s="375">
        <v>627</v>
      </c>
      <c r="G87" s="375">
        <v>1</v>
      </c>
      <c r="H87" s="375">
        <v>325</v>
      </c>
      <c r="I87" s="375">
        <v>25</v>
      </c>
      <c r="J87" s="375">
        <v>94</v>
      </c>
      <c r="K87" s="375">
        <v>41</v>
      </c>
      <c r="L87" s="375">
        <f>SUM(E87:K87)</f>
        <v>1301</v>
      </c>
    </row>
    <row r="88" spans="3:12" ht="20.100000000000001" customHeight="1" x14ac:dyDescent="0.2">
      <c r="C88" s="620"/>
      <c r="D88" s="374" t="s">
        <v>10</v>
      </c>
      <c r="E88" s="375">
        <v>84</v>
      </c>
      <c r="F88" s="375">
        <v>38</v>
      </c>
      <c r="G88" s="375">
        <v>0</v>
      </c>
      <c r="H88" s="375">
        <v>202</v>
      </c>
      <c r="I88" s="375">
        <v>6</v>
      </c>
      <c r="J88" s="375">
        <v>22</v>
      </c>
      <c r="K88" s="375">
        <v>8</v>
      </c>
      <c r="L88" s="375">
        <f>SUM(E88:K88)</f>
        <v>360</v>
      </c>
    </row>
    <row r="89" spans="3:12" ht="20.100000000000001" customHeight="1" x14ac:dyDescent="0.2">
      <c r="C89" s="621"/>
      <c r="D89" s="374" t="s">
        <v>845</v>
      </c>
      <c r="E89" s="377">
        <f t="shared" ref="E89:L89" si="28">SUM(E87:E88)</f>
        <v>272</v>
      </c>
      <c r="F89" s="377">
        <f t="shared" si="28"/>
        <v>665</v>
      </c>
      <c r="G89" s="377">
        <f t="shared" si="28"/>
        <v>1</v>
      </c>
      <c r="H89" s="377">
        <f t="shared" si="28"/>
        <v>527</v>
      </c>
      <c r="I89" s="377">
        <f t="shared" si="28"/>
        <v>31</v>
      </c>
      <c r="J89" s="377">
        <f t="shared" si="28"/>
        <v>116</v>
      </c>
      <c r="K89" s="377">
        <f t="shared" si="28"/>
        <v>49</v>
      </c>
      <c r="L89" s="377">
        <f t="shared" si="28"/>
        <v>1661</v>
      </c>
    </row>
    <row r="90" spans="3:12" ht="20.100000000000001" customHeight="1" x14ac:dyDescent="0.2">
      <c r="C90" s="619" t="s">
        <v>575</v>
      </c>
      <c r="D90" s="374" t="s">
        <v>9</v>
      </c>
      <c r="E90" s="375">
        <f t="shared" ref="E90:L92" si="29">E3+E6+E9+E12+E15+E18+E21+E24+E27+E30+E33+E36+E39+E42+E45+E48+E51+E54+E57+E60+E63+E66+E69+E72+E75+E78+E81+E84+E87</f>
        <v>2499</v>
      </c>
      <c r="F90" s="375">
        <f t="shared" si="29"/>
        <v>6625</v>
      </c>
      <c r="G90" s="375">
        <f t="shared" si="29"/>
        <v>10</v>
      </c>
      <c r="H90" s="375">
        <f t="shared" si="29"/>
        <v>4417</v>
      </c>
      <c r="I90" s="375">
        <f t="shared" si="29"/>
        <v>487</v>
      </c>
      <c r="J90" s="375">
        <f t="shared" si="29"/>
        <v>184</v>
      </c>
      <c r="K90" s="375">
        <f t="shared" si="29"/>
        <v>539</v>
      </c>
      <c r="L90" s="375">
        <f t="shared" si="29"/>
        <v>14761</v>
      </c>
    </row>
    <row r="91" spans="3:12" ht="20.100000000000001" customHeight="1" x14ac:dyDescent="0.2">
      <c r="C91" s="620"/>
      <c r="D91" s="374" t="s">
        <v>10</v>
      </c>
      <c r="E91" s="375">
        <f t="shared" si="29"/>
        <v>1127</v>
      </c>
      <c r="F91" s="375">
        <f t="shared" si="29"/>
        <v>1240</v>
      </c>
      <c r="G91" s="375">
        <f t="shared" si="29"/>
        <v>0</v>
      </c>
      <c r="H91" s="375">
        <f t="shared" si="29"/>
        <v>1687</v>
      </c>
      <c r="I91" s="375">
        <f t="shared" si="29"/>
        <v>150</v>
      </c>
      <c r="J91" s="375">
        <f t="shared" si="29"/>
        <v>42</v>
      </c>
      <c r="K91" s="375">
        <f t="shared" si="29"/>
        <v>96</v>
      </c>
      <c r="L91" s="375">
        <f t="shared" si="29"/>
        <v>4342</v>
      </c>
    </row>
    <row r="92" spans="3:12" ht="20.100000000000001" customHeight="1" x14ac:dyDescent="0.2">
      <c r="C92" s="621"/>
      <c r="D92" s="374" t="s">
        <v>845</v>
      </c>
      <c r="E92" s="375">
        <f t="shared" si="29"/>
        <v>3626</v>
      </c>
      <c r="F92" s="375">
        <f t="shared" si="29"/>
        <v>7865</v>
      </c>
      <c r="G92" s="375">
        <f t="shared" si="29"/>
        <v>10</v>
      </c>
      <c r="H92" s="375">
        <f t="shared" si="29"/>
        <v>6104</v>
      </c>
      <c r="I92" s="375">
        <f t="shared" si="29"/>
        <v>637</v>
      </c>
      <c r="J92" s="375">
        <f t="shared" si="29"/>
        <v>226</v>
      </c>
      <c r="K92" s="375">
        <f t="shared" si="29"/>
        <v>635</v>
      </c>
      <c r="L92" s="375">
        <f t="shared" si="29"/>
        <v>19103</v>
      </c>
    </row>
  </sheetData>
  <mergeCells count="31">
    <mergeCell ref="C54:C56"/>
    <mergeCell ref="C75:C77"/>
    <mergeCell ref="C78:C80"/>
    <mergeCell ref="C81:C83"/>
    <mergeCell ref="C84:C86"/>
    <mergeCell ref="C87:C89"/>
    <mergeCell ref="C90:C92"/>
    <mergeCell ref="C57:C59"/>
    <mergeCell ref="C60:C62"/>
    <mergeCell ref="C63:C65"/>
    <mergeCell ref="C66:C68"/>
    <mergeCell ref="C69:C71"/>
    <mergeCell ref="C72:C74"/>
    <mergeCell ref="C21:C23"/>
    <mergeCell ref="C18:C20"/>
    <mergeCell ref="C36:C38"/>
    <mergeCell ref="C30:C32"/>
    <mergeCell ref="C1:L1"/>
    <mergeCell ref="C15:C17"/>
    <mergeCell ref="C12:C14"/>
    <mergeCell ref="C9:C11"/>
    <mergeCell ref="C6:C8"/>
    <mergeCell ref="C3:C5"/>
    <mergeCell ref="C33:C35"/>
    <mergeCell ref="C27:C29"/>
    <mergeCell ref="C24:C26"/>
    <mergeCell ref="C39:C41"/>
    <mergeCell ref="C42:C44"/>
    <mergeCell ref="C45:C47"/>
    <mergeCell ref="C48:C50"/>
    <mergeCell ref="C51:C5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92"/>
  <sheetViews>
    <sheetView rightToLeft="1" topLeftCell="A52" workbookViewId="0">
      <selection activeCell="C2" sqref="C1:L1048576"/>
    </sheetView>
  </sheetViews>
  <sheetFormatPr defaultRowHeight="14.25" x14ac:dyDescent="0.2"/>
  <cols>
    <col min="1" max="1" width="9" style="160"/>
    <col min="2" max="2" width="8.375" style="160" customWidth="1"/>
    <col min="3" max="3" width="29.75" style="372" bestFit="1" customWidth="1"/>
    <col min="4" max="4" width="9.375" style="372" customWidth="1"/>
    <col min="5" max="5" width="10" style="372" bestFit="1" customWidth="1"/>
    <col min="6" max="6" width="9.625" style="372" customWidth="1"/>
    <col min="7" max="11" width="9" style="372"/>
    <col min="12" max="12" width="9.375" style="372" customWidth="1"/>
    <col min="13" max="16384" width="9" style="160"/>
  </cols>
  <sheetData>
    <row r="1" spans="3:12" ht="34.5" customHeight="1" x14ac:dyDescent="0.2">
      <c r="C1" s="624" t="s">
        <v>874</v>
      </c>
      <c r="D1" s="624"/>
      <c r="E1" s="624"/>
      <c r="F1" s="624"/>
      <c r="G1" s="624"/>
      <c r="H1" s="624"/>
      <c r="I1" s="624"/>
      <c r="J1" s="624"/>
      <c r="K1" s="624"/>
      <c r="L1" s="624"/>
    </row>
    <row r="2" spans="3:12" ht="40.5" customHeight="1" x14ac:dyDescent="0.2">
      <c r="C2" s="373" t="s">
        <v>871</v>
      </c>
      <c r="D2" s="373" t="s">
        <v>7</v>
      </c>
      <c r="E2" s="373" t="s">
        <v>61</v>
      </c>
      <c r="F2" s="373" t="s">
        <v>60</v>
      </c>
      <c r="G2" s="373" t="s">
        <v>59</v>
      </c>
      <c r="H2" s="373" t="s">
        <v>57</v>
      </c>
      <c r="I2" s="373" t="s">
        <v>56</v>
      </c>
      <c r="J2" s="373" t="s">
        <v>870</v>
      </c>
      <c r="K2" s="373" t="s">
        <v>53</v>
      </c>
      <c r="L2" s="373" t="s">
        <v>4</v>
      </c>
    </row>
    <row r="3" spans="3:12" ht="15" x14ac:dyDescent="0.2">
      <c r="C3" s="619" t="s">
        <v>14</v>
      </c>
      <c r="D3" s="374" t="s">
        <v>9</v>
      </c>
      <c r="E3" s="375">
        <v>18</v>
      </c>
      <c r="F3" s="375">
        <v>14</v>
      </c>
      <c r="G3" s="375">
        <v>0</v>
      </c>
      <c r="H3" s="375">
        <v>0</v>
      </c>
      <c r="I3" s="375">
        <v>0</v>
      </c>
      <c r="J3" s="375">
        <v>0</v>
      </c>
      <c r="K3" s="375">
        <v>4</v>
      </c>
      <c r="L3" s="375">
        <f>SUM(E3:K3)</f>
        <v>36</v>
      </c>
    </row>
    <row r="4" spans="3:12" ht="15" x14ac:dyDescent="0.2">
      <c r="C4" s="620"/>
      <c r="D4" s="374" t="s">
        <v>10</v>
      </c>
      <c r="E4" s="375">
        <v>2</v>
      </c>
      <c r="F4" s="375">
        <v>40</v>
      </c>
      <c r="G4" s="375">
        <v>0</v>
      </c>
      <c r="H4" s="375">
        <v>0</v>
      </c>
      <c r="I4" s="375">
        <v>0</v>
      </c>
      <c r="J4" s="375">
        <v>0</v>
      </c>
      <c r="K4" s="375">
        <v>0</v>
      </c>
      <c r="L4" s="375">
        <f>SUM(E4:K4)</f>
        <v>42</v>
      </c>
    </row>
    <row r="5" spans="3:12" ht="15" x14ac:dyDescent="0.2">
      <c r="C5" s="621"/>
      <c r="D5" s="374" t="s">
        <v>845</v>
      </c>
      <c r="E5" s="377">
        <f t="shared" ref="E5:L5" si="0">SUM(E3:E4)</f>
        <v>20</v>
      </c>
      <c r="F5" s="377">
        <f t="shared" si="0"/>
        <v>54</v>
      </c>
      <c r="G5" s="377">
        <f t="shared" si="0"/>
        <v>0</v>
      </c>
      <c r="H5" s="377">
        <f t="shared" si="0"/>
        <v>0</v>
      </c>
      <c r="I5" s="377">
        <f t="shared" si="0"/>
        <v>0</v>
      </c>
      <c r="J5" s="377">
        <f t="shared" si="0"/>
        <v>0</v>
      </c>
      <c r="K5" s="377">
        <f t="shared" si="0"/>
        <v>4</v>
      </c>
      <c r="L5" s="377">
        <f t="shared" si="0"/>
        <v>78</v>
      </c>
    </row>
    <row r="6" spans="3:12" ht="15" x14ac:dyDescent="0.2">
      <c r="C6" s="619" t="s">
        <v>869</v>
      </c>
      <c r="D6" s="374" t="s">
        <v>9</v>
      </c>
      <c r="E6" s="375">
        <v>1</v>
      </c>
      <c r="F6" s="375">
        <v>21</v>
      </c>
      <c r="G6" s="375">
        <v>0</v>
      </c>
      <c r="H6" s="375">
        <v>6</v>
      </c>
      <c r="I6" s="375">
        <v>0</v>
      </c>
      <c r="J6" s="375">
        <v>0</v>
      </c>
      <c r="K6" s="375">
        <v>0</v>
      </c>
      <c r="L6" s="375">
        <f>SUM(E6:K6)</f>
        <v>28</v>
      </c>
    </row>
    <row r="7" spans="3:12" ht="15" x14ac:dyDescent="0.2">
      <c r="C7" s="620"/>
      <c r="D7" s="374" t="s">
        <v>10</v>
      </c>
      <c r="E7" s="375">
        <v>0</v>
      </c>
      <c r="F7" s="375">
        <v>29</v>
      </c>
      <c r="G7" s="375">
        <v>0</v>
      </c>
      <c r="H7" s="375">
        <v>4</v>
      </c>
      <c r="I7" s="375">
        <v>0</v>
      </c>
      <c r="J7" s="375">
        <v>0</v>
      </c>
      <c r="K7" s="375">
        <v>0</v>
      </c>
      <c r="L7" s="375">
        <f>SUM(E7:K7)</f>
        <v>33</v>
      </c>
    </row>
    <row r="8" spans="3:12" ht="15" x14ac:dyDescent="0.2">
      <c r="C8" s="621"/>
      <c r="D8" s="374" t="s">
        <v>845</v>
      </c>
      <c r="E8" s="377">
        <f t="shared" ref="E8:L8" si="1">SUM(E6:E7)</f>
        <v>1</v>
      </c>
      <c r="F8" s="377">
        <f t="shared" si="1"/>
        <v>50</v>
      </c>
      <c r="G8" s="377">
        <f t="shared" si="1"/>
        <v>0</v>
      </c>
      <c r="H8" s="377">
        <f t="shared" si="1"/>
        <v>10</v>
      </c>
      <c r="I8" s="377">
        <f t="shared" si="1"/>
        <v>0</v>
      </c>
      <c r="J8" s="377">
        <f t="shared" si="1"/>
        <v>0</v>
      </c>
      <c r="K8" s="377">
        <f t="shared" si="1"/>
        <v>0</v>
      </c>
      <c r="L8" s="377">
        <f t="shared" si="1"/>
        <v>61</v>
      </c>
    </row>
    <row r="9" spans="3:12" ht="15" x14ac:dyDescent="0.2">
      <c r="C9" s="619" t="s">
        <v>868</v>
      </c>
      <c r="D9" s="374" t="s">
        <v>9</v>
      </c>
      <c r="E9" s="375">
        <v>0</v>
      </c>
      <c r="F9" s="375">
        <v>2</v>
      </c>
      <c r="G9" s="375">
        <v>0</v>
      </c>
      <c r="H9" s="375">
        <v>0</v>
      </c>
      <c r="I9" s="375">
        <v>0</v>
      </c>
      <c r="J9" s="375">
        <v>0</v>
      </c>
      <c r="K9" s="375">
        <v>0</v>
      </c>
      <c r="L9" s="375">
        <f>SUM(E9:K9)</f>
        <v>2</v>
      </c>
    </row>
    <row r="10" spans="3:12" ht="15" x14ac:dyDescent="0.2">
      <c r="C10" s="620"/>
      <c r="D10" s="374" t="s">
        <v>10</v>
      </c>
      <c r="E10" s="375">
        <v>0</v>
      </c>
      <c r="F10" s="375">
        <v>1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5">
        <f>SUM(E10:K10)</f>
        <v>1</v>
      </c>
    </row>
    <row r="11" spans="3:12" ht="15" x14ac:dyDescent="0.2">
      <c r="C11" s="621"/>
      <c r="D11" s="374" t="s">
        <v>845</v>
      </c>
      <c r="E11" s="377">
        <f t="shared" ref="E11:L11" si="2">SUM(E9:E10)</f>
        <v>0</v>
      </c>
      <c r="F11" s="377">
        <f t="shared" si="2"/>
        <v>3</v>
      </c>
      <c r="G11" s="377">
        <f t="shared" si="2"/>
        <v>0</v>
      </c>
      <c r="H11" s="377">
        <f t="shared" si="2"/>
        <v>0</v>
      </c>
      <c r="I11" s="377">
        <f t="shared" si="2"/>
        <v>0</v>
      </c>
      <c r="J11" s="377">
        <f t="shared" si="2"/>
        <v>0</v>
      </c>
      <c r="K11" s="377">
        <f t="shared" si="2"/>
        <v>0</v>
      </c>
      <c r="L11" s="377">
        <f t="shared" si="2"/>
        <v>3</v>
      </c>
    </row>
    <row r="12" spans="3:12" ht="15" x14ac:dyDescent="0.2">
      <c r="C12" s="619" t="s">
        <v>867</v>
      </c>
      <c r="D12" s="374" t="s">
        <v>9</v>
      </c>
      <c r="E12" s="375">
        <v>0</v>
      </c>
      <c r="F12" s="375">
        <v>24</v>
      </c>
      <c r="G12" s="375">
        <v>0</v>
      </c>
      <c r="H12" s="375">
        <v>1</v>
      </c>
      <c r="I12" s="375">
        <v>0</v>
      </c>
      <c r="J12" s="375">
        <v>0</v>
      </c>
      <c r="K12" s="375">
        <v>0</v>
      </c>
      <c r="L12" s="375">
        <f>SUM(E12:K12)</f>
        <v>25</v>
      </c>
    </row>
    <row r="13" spans="3:12" ht="15" x14ac:dyDescent="0.2">
      <c r="C13" s="620"/>
      <c r="D13" s="374" t="s">
        <v>10</v>
      </c>
      <c r="E13" s="375">
        <v>0</v>
      </c>
      <c r="F13" s="375">
        <v>29</v>
      </c>
      <c r="G13" s="375">
        <v>0</v>
      </c>
      <c r="H13" s="375">
        <v>1</v>
      </c>
      <c r="I13" s="375">
        <v>0</v>
      </c>
      <c r="J13" s="375">
        <v>0</v>
      </c>
      <c r="K13" s="375">
        <v>0</v>
      </c>
      <c r="L13" s="375">
        <f>SUM(E13:K13)</f>
        <v>30</v>
      </c>
    </row>
    <row r="14" spans="3:12" ht="15" x14ac:dyDescent="0.2">
      <c r="C14" s="621"/>
      <c r="D14" s="374" t="s">
        <v>845</v>
      </c>
      <c r="E14" s="377">
        <f t="shared" ref="E14:L14" si="3">SUM(E12:E13)</f>
        <v>0</v>
      </c>
      <c r="F14" s="377">
        <f t="shared" si="3"/>
        <v>53</v>
      </c>
      <c r="G14" s="377">
        <f t="shared" si="3"/>
        <v>0</v>
      </c>
      <c r="H14" s="377">
        <f t="shared" si="3"/>
        <v>2</v>
      </c>
      <c r="I14" s="377">
        <f t="shared" si="3"/>
        <v>0</v>
      </c>
      <c r="J14" s="377">
        <f t="shared" si="3"/>
        <v>0</v>
      </c>
      <c r="K14" s="377">
        <f t="shared" si="3"/>
        <v>0</v>
      </c>
      <c r="L14" s="377">
        <f t="shared" si="3"/>
        <v>55</v>
      </c>
    </row>
    <row r="15" spans="3:12" ht="15" x14ac:dyDescent="0.2">
      <c r="C15" s="619" t="s">
        <v>16</v>
      </c>
      <c r="D15" s="374" t="s">
        <v>9</v>
      </c>
      <c r="E15" s="375">
        <v>0</v>
      </c>
      <c r="F15" s="375">
        <v>1</v>
      </c>
      <c r="G15" s="375">
        <v>0</v>
      </c>
      <c r="H15" s="375">
        <v>0</v>
      </c>
      <c r="I15" s="375">
        <v>0</v>
      </c>
      <c r="J15" s="375">
        <v>0</v>
      </c>
      <c r="K15" s="375">
        <v>0</v>
      </c>
      <c r="L15" s="375">
        <f>SUM(E15:K15)</f>
        <v>1</v>
      </c>
    </row>
    <row r="16" spans="3:12" ht="15" x14ac:dyDescent="0.2">
      <c r="C16" s="620"/>
      <c r="D16" s="374" t="s">
        <v>10</v>
      </c>
      <c r="E16" s="375">
        <v>0</v>
      </c>
      <c r="F16" s="375">
        <v>0</v>
      </c>
      <c r="G16" s="375">
        <v>0</v>
      </c>
      <c r="H16" s="375">
        <v>0</v>
      </c>
      <c r="I16" s="375">
        <v>0</v>
      </c>
      <c r="J16" s="375">
        <v>0</v>
      </c>
      <c r="K16" s="375">
        <v>0</v>
      </c>
      <c r="L16" s="375">
        <f>SUM(E16:K16)</f>
        <v>0</v>
      </c>
    </row>
    <row r="17" spans="3:12" ht="15" x14ac:dyDescent="0.2">
      <c r="C17" s="621"/>
      <c r="D17" s="374" t="s">
        <v>845</v>
      </c>
      <c r="E17" s="377">
        <f t="shared" ref="E17:L17" si="4">SUM(E15:E16)</f>
        <v>0</v>
      </c>
      <c r="F17" s="377">
        <f t="shared" si="4"/>
        <v>1</v>
      </c>
      <c r="G17" s="377">
        <f t="shared" si="4"/>
        <v>0</v>
      </c>
      <c r="H17" s="377">
        <f t="shared" si="4"/>
        <v>0</v>
      </c>
      <c r="I17" s="377">
        <f t="shared" si="4"/>
        <v>0</v>
      </c>
      <c r="J17" s="377">
        <f t="shared" si="4"/>
        <v>0</v>
      </c>
      <c r="K17" s="377">
        <f t="shared" si="4"/>
        <v>0</v>
      </c>
      <c r="L17" s="377">
        <f t="shared" si="4"/>
        <v>1</v>
      </c>
    </row>
    <row r="18" spans="3:12" ht="15" x14ac:dyDescent="0.2">
      <c r="C18" s="619" t="s">
        <v>21</v>
      </c>
      <c r="D18" s="374" t="s">
        <v>9</v>
      </c>
      <c r="E18" s="375">
        <v>15</v>
      </c>
      <c r="F18" s="375">
        <v>262</v>
      </c>
      <c r="G18" s="375">
        <v>0</v>
      </c>
      <c r="H18" s="375">
        <v>117</v>
      </c>
      <c r="I18" s="375">
        <v>11</v>
      </c>
      <c r="J18" s="375">
        <v>0</v>
      </c>
      <c r="K18" s="375">
        <v>3</v>
      </c>
      <c r="L18" s="375">
        <f>SUM(E18:K18)</f>
        <v>408</v>
      </c>
    </row>
    <row r="19" spans="3:12" ht="15" x14ac:dyDescent="0.2">
      <c r="C19" s="620"/>
      <c r="D19" s="374" t="s">
        <v>10</v>
      </c>
      <c r="E19" s="375">
        <v>2</v>
      </c>
      <c r="F19" s="375">
        <v>50</v>
      </c>
      <c r="G19" s="375">
        <v>0</v>
      </c>
      <c r="H19" s="375">
        <v>17</v>
      </c>
      <c r="I19" s="375">
        <v>1</v>
      </c>
      <c r="J19" s="375">
        <v>0</v>
      </c>
      <c r="K19" s="375">
        <v>0</v>
      </c>
      <c r="L19" s="375">
        <f>SUM(E19:K19)</f>
        <v>70</v>
      </c>
    </row>
    <row r="20" spans="3:12" ht="15" x14ac:dyDescent="0.2">
      <c r="C20" s="621"/>
      <c r="D20" s="374" t="s">
        <v>845</v>
      </c>
      <c r="E20" s="377">
        <f t="shared" ref="E20:L20" si="5">SUM(E18:E19)</f>
        <v>17</v>
      </c>
      <c r="F20" s="377">
        <f t="shared" si="5"/>
        <v>312</v>
      </c>
      <c r="G20" s="377">
        <f t="shared" si="5"/>
        <v>0</v>
      </c>
      <c r="H20" s="377">
        <f t="shared" si="5"/>
        <v>134</v>
      </c>
      <c r="I20" s="377">
        <f t="shared" si="5"/>
        <v>12</v>
      </c>
      <c r="J20" s="377">
        <f t="shared" si="5"/>
        <v>0</v>
      </c>
      <c r="K20" s="377">
        <f t="shared" si="5"/>
        <v>3</v>
      </c>
      <c r="L20" s="377">
        <f t="shared" si="5"/>
        <v>478</v>
      </c>
    </row>
    <row r="21" spans="3:12" ht="15" x14ac:dyDescent="0.2">
      <c r="C21" s="619" t="s">
        <v>19</v>
      </c>
      <c r="D21" s="374" t="s">
        <v>9</v>
      </c>
      <c r="E21" s="375">
        <v>0</v>
      </c>
      <c r="F21" s="375">
        <v>0</v>
      </c>
      <c r="G21" s="375">
        <v>0</v>
      </c>
      <c r="H21" s="375">
        <v>1</v>
      </c>
      <c r="I21" s="375">
        <v>1</v>
      </c>
      <c r="J21" s="375">
        <v>0</v>
      </c>
      <c r="K21" s="375">
        <v>0</v>
      </c>
      <c r="L21" s="375">
        <f>SUM(E21:K21)</f>
        <v>2</v>
      </c>
    </row>
    <row r="22" spans="3:12" ht="15" x14ac:dyDescent="0.2">
      <c r="C22" s="620"/>
      <c r="D22" s="374" t="s">
        <v>10</v>
      </c>
      <c r="E22" s="375">
        <v>0</v>
      </c>
      <c r="F22" s="375">
        <v>1</v>
      </c>
      <c r="G22" s="375">
        <v>0</v>
      </c>
      <c r="H22" s="375">
        <v>1</v>
      </c>
      <c r="I22" s="375">
        <v>0</v>
      </c>
      <c r="J22" s="375">
        <v>0</v>
      </c>
      <c r="K22" s="375">
        <v>0</v>
      </c>
      <c r="L22" s="375">
        <f>SUM(E22:K22)</f>
        <v>2</v>
      </c>
    </row>
    <row r="23" spans="3:12" ht="15" x14ac:dyDescent="0.2">
      <c r="C23" s="621"/>
      <c r="D23" s="374" t="s">
        <v>845</v>
      </c>
      <c r="E23" s="377">
        <f t="shared" ref="E23:L23" si="6">SUM(E21:E22)</f>
        <v>0</v>
      </c>
      <c r="F23" s="377">
        <f t="shared" si="6"/>
        <v>1</v>
      </c>
      <c r="G23" s="377">
        <f t="shared" si="6"/>
        <v>0</v>
      </c>
      <c r="H23" s="377">
        <f t="shared" si="6"/>
        <v>2</v>
      </c>
      <c r="I23" s="377">
        <f t="shared" si="6"/>
        <v>1</v>
      </c>
      <c r="J23" s="377">
        <f t="shared" si="6"/>
        <v>0</v>
      </c>
      <c r="K23" s="377">
        <f t="shared" si="6"/>
        <v>0</v>
      </c>
      <c r="L23" s="377">
        <f t="shared" si="6"/>
        <v>4</v>
      </c>
    </row>
    <row r="24" spans="3:12" ht="15" x14ac:dyDescent="0.2">
      <c r="C24" s="619" t="s">
        <v>866</v>
      </c>
      <c r="D24" s="374" t="s">
        <v>9</v>
      </c>
      <c r="E24" s="375">
        <v>0</v>
      </c>
      <c r="F24" s="375">
        <v>5</v>
      </c>
      <c r="G24" s="375">
        <v>0</v>
      </c>
      <c r="H24" s="375">
        <v>1</v>
      </c>
      <c r="I24" s="375">
        <v>0</v>
      </c>
      <c r="J24" s="375">
        <v>0</v>
      </c>
      <c r="K24" s="375">
        <v>0</v>
      </c>
      <c r="L24" s="375">
        <f>SUM(E24:K24)</f>
        <v>6</v>
      </c>
    </row>
    <row r="25" spans="3:12" ht="15" x14ac:dyDescent="0.2">
      <c r="C25" s="620"/>
      <c r="D25" s="374" t="s">
        <v>10</v>
      </c>
      <c r="E25" s="375">
        <v>0</v>
      </c>
      <c r="F25" s="375">
        <v>1</v>
      </c>
      <c r="G25" s="375">
        <v>0</v>
      </c>
      <c r="H25" s="375">
        <v>1</v>
      </c>
      <c r="I25" s="375">
        <v>0</v>
      </c>
      <c r="J25" s="375">
        <v>0</v>
      </c>
      <c r="K25" s="375">
        <v>0</v>
      </c>
      <c r="L25" s="375">
        <f>SUM(E25:K25)</f>
        <v>2</v>
      </c>
    </row>
    <row r="26" spans="3:12" ht="15" x14ac:dyDescent="0.2">
      <c r="C26" s="621"/>
      <c r="D26" s="374" t="s">
        <v>845</v>
      </c>
      <c r="E26" s="377">
        <f t="shared" ref="E26:L26" si="7">SUM(E24:E25)</f>
        <v>0</v>
      </c>
      <c r="F26" s="377">
        <f t="shared" si="7"/>
        <v>6</v>
      </c>
      <c r="G26" s="377">
        <f t="shared" si="7"/>
        <v>0</v>
      </c>
      <c r="H26" s="377">
        <f t="shared" si="7"/>
        <v>2</v>
      </c>
      <c r="I26" s="377">
        <f t="shared" si="7"/>
        <v>0</v>
      </c>
      <c r="J26" s="377">
        <f t="shared" si="7"/>
        <v>0</v>
      </c>
      <c r="K26" s="377">
        <f t="shared" si="7"/>
        <v>0</v>
      </c>
      <c r="L26" s="377">
        <f t="shared" si="7"/>
        <v>8</v>
      </c>
    </row>
    <row r="27" spans="3:12" ht="15" x14ac:dyDescent="0.2">
      <c r="C27" s="619" t="s">
        <v>865</v>
      </c>
      <c r="D27" s="374" t="s">
        <v>9</v>
      </c>
      <c r="E27" s="375">
        <v>0</v>
      </c>
      <c r="F27" s="375">
        <v>1</v>
      </c>
      <c r="G27" s="375">
        <v>0</v>
      </c>
      <c r="H27" s="375">
        <v>1</v>
      </c>
      <c r="I27" s="375">
        <v>0</v>
      </c>
      <c r="J27" s="375">
        <v>0</v>
      </c>
      <c r="K27" s="375">
        <v>0</v>
      </c>
      <c r="L27" s="375">
        <f>SUM(E27:K27)</f>
        <v>2</v>
      </c>
    </row>
    <row r="28" spans="3:12" ht="15" x14ac:dyDescent="0.2">
      <c r="C28" s="620"/>
      <c r="D28" s="374" t="s">
        <v>10</v>
      </c>
      <c r="E28" s="375">
        <v>0</v>
      </c>
      <c r="F28" s="375">
        <v>0</v>
      </c>
      <c r="G28" s="375">
        <v>0</v>
      </c>
      <c r="H28" s="375">
        <v>0</v>
      </c>
      <c r="I28" s="375">
        <v>0</v>
      </c>
      <c r="J28" s="375">
        <v>0</v>
      </c>
      <c r="K28" s="375">
        <v>0</v>
      </c>
      <c r="L28" s="375">
        <f>SUM(E28:K28)</f>
        <v>0</v>
      </c>
    </row>
    <row r="29" spans="3:12" ht="15" x14ac:dyDescent="0.2">
      <c r="C29" s="621"/>
      <c r="D29" s="374" t="s">
        <v>845</v>
      </c>
      <c r="E29" s="377">
        <f t="shared" ref="E29:L29" si="8">SUM(E27:E28)</f>
        <v>0</v>
      </c>
      <c r="F29" s="377">
        <f t="shared" si="8"/>
        <v>1</v>
      </c>
      <c r="G29" s="377">
        <f t="shared" si="8"/>
        <v>0</v>
      </c>
      <c r="H29" s="377">
        <f t="shared" si="8"/>
        <v>1</v>
      </c>
      <c r="I29" s="377">
        <f t="shared" si="8"/>
        <v>0</v>
      </c>
      <c r="J29" s="377">
        <f t="shared" si="8"/>
        <v>0</v>
      </c>
      <c r="K29" s="377">
        <f t="shared" si="8"/>
        <v>0</v>
      </c>
      <c r="L29" s="377">
        <f t="shared" si="8"/>
        <v>2</v>
      </c>
    </row>
    <row r="30" spans="3:12" ht="15" x14ac:dyDescent="0.2">
      <c r="C30" s="619" t="s">
        <v>18</v>
      </c>
      <c r="D30" s="374" t="s">
        <v>9</v>
      </c>
      <c r="E30" s="375">
        <v>0</v>
      </c>
      <c r="F30" s="375">
        <v>1</v>
      </c>
      <c r="G30" s="375">
        <v>0</v>
      </c>
      <c r="H30" s="375">
        <v>1</v>
      </c>
      <c r="I30" s="375">
        <v>0</v>
      </c>
      <c r="J30" s="375">
        <v>0</v>
      </c>
      <c r="K30" s="375">
        <v>0</v>
      </c>
      <c r="L30" s="375">
        <f>SUM(E30:K30)</f>
        <v>2</v>
      </c>
    </row>
    <row r="31" spans="3:12" ht="15" x14ac:dyDescent="0.2">
      <c r="C31" s="620"/>
      <c r="D31" s="374" t="s">
        <v>10</v>
      </c>
      <c r="E31" s="375">
        <v>0</v>
      </c>
      <c r="F31" s="375">
        <v>1</v>
      </c>
      <c r="G31" s="375">
        <v>0</v>
      </c>
      <c r="H31" s="375">
        <v>0</v>
      </c>
      <c r="I31" s="375">
        <v>0</v>
      </c>
      <c r="J31" s="375">
        <v>0</v>
      </c>
      <c r="K31" s="375">
        <v>0</v>
      </c>
      <c r="L31" s="375">
        <f>SUM(E31:K31)</f>
        <v>1</v>
      </c>
    </row>
    <row r="32" spans="3:12" ht="15" x14ac:dyDescent="0.2">
      <c r="C32" s="621"/>
      <c r="D32" s="374" t="s">
        <v>845</v>
      </c>
      <c r="E32" s="377">
        <f t="shared" ref="E32:L32" si="9">SUM(E30:E31)</f>
        <v>0</v>
      </c>
      <c r="F32" s="377">
        <f t="shared" si="9"/>
        <v>2</v>
      </c>
      <c r="G32" s="377">
        <f t="shared" si="9"/>
        <v>0</v>
      </c>
      <c r="H32" s="377">
        <f t="shared" si="9"/>
        <v>1</v>
      </c>
      <c r="I32" s="377">
        <f t="shared" si="9"/>
        <v>0</v>
      </c>
      <c r="J32" s="377">
        <f t="shared" si="9"/>
        <v>0</v>
      </c>
      <c r="K32" s="377">
        <f t="shared" si="9"/>
        <v>0</v>
      </c>
      <c r="L32" s="377">
        <f t="shared" si="9"/>
        <v>3</v>
      </c>
    </row>
    <row r="33" spans="3:12" ht="15" x14ac:dyDescent="0.2">
      <c r="C33" s="619" t="s">
        <v>23</v>
      </c>
      <c r="D33" s="374" t="s">
        <v>9</v>
      </c>
      <c r="E33" s="375">
        <v>10</v>
      </c>
      <c r="F33" s="375">
        <v>185</v>
      </c>
      <c r="G33" s="375">
        <v>0</v>
      </c>
      <c r="H33" s="375">
        <v>44</v>
      </c>
      <c r="I33" s="375">
        <v>3</v>
      </c>
      <c r="J33" s="375">
        <v>0</v>
      </c>
      <c r="K33" s="375">
        <v>2</v>
      </c>
      <c r="L33" s="375">
        <f>SUM(E33:K33)</f>
        <v>244</v>
      </c>
    </row>
    <row r="34" spans="3:12" ht="15" x14ac:dyDescent="0.2">
      <c r="C34" s="620"/>
      <c r="D34" s="374" t="s">
        <v>10</v>
      </c>
      <c r="E34" s="375">
        <v>1</v>
      </c>
      <c r="F34" s="375">
        <v>25</v>
      </c>
      <c r="G34" s="375">
        <v>0</v>
      </c>
      <c r="H34" s="375">
        <v>6</v>
      </c>
      <c r="I34" s="375">
        <v>0</v>
      </c>
      <c r="J34" s="375">
        <v>0</v>
      </c>
      <c r="K34" s="375">
        <v>0</v>
      </c>
      <c r="L34" s="375">
        <f>SUM(E34:K34)</f>
        <v>32</v>
      </c>
    </row>
    <row r="35" spans="3:12" ht="15" x14ac:dyDescent="0.2">
      <c r="C35" s="621"/>
      <c r="D35" s="374" t="s">
        <v>845</v>
      </c>
      <c r="E35" s="377">
        <f t="shared" ref="E35:L35" si="10">SUM(E33:E34)</f>
        <v>11</v>
      </c>
      <c r="F35" s="377">
        <f t="shared" si="10"/>
        <v>210</v>
      </c>
      <c r="G35" s="377">
        <f t="shared" si="10"/>
        <v>0</v>
      </c>
      <c r="H35" s="377">
        <f t="shared" si="10"/>
        <v>50</v>
      </c>
      <c r="I35" s="377">
        <f t="shared" si="10"/>
        <v>3</v>
      </c>
      <c r="J35" s="377">
        <f t="shared" si="10"/>
        <v>0</v>
      </c>
      <c r="K35" s="377">
        <f t="shared" si="10"/>
        <v>2</v>
      </c>
      <c r="L35" s="377">
        <f t="shared" si="10"/>
        <v>276</v>
      </c>
    </row>
    <row r="36" spans="3:12" ht="15" x14ac:dyDescent="0.2">
      <c r="C36" s="619" t="s">
        <v>15</v>
      </c>
      <c r="D36" s="374" t="s">
        <v>9</v>
      </c>
      <c r="E36" s="375">
        <v>1</v>
      </c>
      <c r="F36" s="375">
        <v>4</v>
      </c>
      <c r="G36" s="375">
        <v>0</v>
      </c>
      <c r="H36" s="375">
        <v>1</v>
      </c>
      <c r="I36" s="375">
        <v>0</v>
      </c>
      <c r="J36" s="375">
        <v>0</v>
      </c>
      <c r="K36" s="375">
        <v>0</v>
      </c>
      <c r="L36" s="375">
        <f>SUM(E36:K36)</f>
        <v>6</v>
      </c>
    </row>
    <row r="37" spans="3:12" ht="15" x14ac:dyDescent="0.2">
      <c r="C37" s="620"/>
      <c r="D37" s="374" t="s">
        <v>10</v>
      </c>
      <c r="E37" s="375">
        <v>0</v>
      </c>
      <c r="F37" s="375">
        <v>4</v>
      </c>
      <c r="G37" s="375">
        <v>0</v>
      </c>
      <c r="H37" s="375">
        <v>0</v>
      </c>
      <c r="I37" s="375">
        <v>0</v>
      </c>
      <c r="J37" s="375">
        <v>0</v>
      </c>
      <c r="K37" s="375">
        <v>0</v>
      </c>
      <c r="L37" s="375">
        <f>SUM(E37:K37)</f>
        <v>4</v>
      </c>
    </row>
    <row r="38" spans="3:12" ht="15" x14ac:dyDescent="0.2">
      <c r="C38" s="621"/>
      <c r="D38" s="374" t="s">
        <v>845</v>
      </c>
      <c r="E38" s="377">
        <f t="shared" ref="E38:L38" si="11">SUM(E36:E37)</f>
        <v>1</v>
      </c>
      <c r="F38" s="377">
        <f t="shared" si="11"/>
        <v>8</v>
      </c>
      <c r="G38" s="377">
        <f t="shared" si="11"/>
        <v>0</v>
      </c>
      <c r="H38" s="377">
        <f t="shared" si="11"/>
        <v>1</v>
      </c>
      <c r="I38" s="377">
        <f t="shared" si="11"/>
        <v>0</v>
      </c>
      <c r="J38" s="377">
        <f t="shared" si="11"/>
        <v>0</v>
      </c>
      <c r="K38" s="377">
        <f t="shared" si="11"/>
        <v>0</v>
      </c>
      <c r="L38" s="377">
        <f t="shared" si="11"/>
        <v>10</v>
      </c>
    </row>
    <row r="39" spans="3:12" ht="15" x14ac:dyDescent="0.2">
      <c r="C39" s="619" t="s">
        <v>864</v>
      </c>
      <c r="D39" s="374" t="s">
        <v>9</v>
      </c>
      <c r="E39" s="375">
        <v>0</v>
      </c>
      <c r="F39" s="375">
        <v>6</v>
      </c>
      <c r="G39" s="375">
        <v>0</v>
      </c>
      <c r="H39" s="375">
        <v>1</v>
      </c>
      <c r="I39" s="375">
        <v>0</v>
      </c>
      <c r="J39" s="375">
        <v>0</v>
      </c>
      <c r="K39" s="375">
        <v>0</v>
      </c>
      <c r="L39" s="375">
        <f>SUM(E39:K39)</f>
        <v>7</v>
      </c>
    </row>
    <row r="40" spans="3:12" ht="15" x14ac:dyDescent="0.2">
      <c r="C40" s="620"/>
      <c r="D40" s="374" t="s">
        <v>10</v>
      </c>
      <c r="E40" s="375">
        <v>0</v>
      </c>
      <c r="F40" s="375">
        <v>8</v>
      </c>
      <c r="G40" s="375">
        <v>0</v>
      </c>
      <c r="H40" s="375">
        <v>1</v>
      </c>
      <c r="I40" s="375">
        <v>0</v>
      </c>
      <c r="J40" s="375">
        <v>0</v>
      </c>
      <c r="K40" s="375">
        <v>0</v>
      </c>
      <c r="L40" s="375">
        <f>SUM(E40:K40)</f>
        <v>9</v>
      </c>
    </row>
    <row r="41" spans="3:12" ht="15" x14ac:dyDescent="0.2">
      <c r="C41" s="621"/>
      <c r="D41" s="374" t="s">
        <v>845</v>
      </c>
      <c r="E41" s="377">
        <f t="shared" ref="E41:L41" si="12">SUM(E39:E40)</f>
        <v>0</v>
      </c>
      <c r="F41" s="377">
        <f t="shared" si="12"/>
        <v>14</v>
      </c>
      <c r="G41" s="377">
        <f t="shared" si="12"/>
        <v>0</v>
      </c>
      <c r="H41" s="377">
        <f t="shared" si="12"/>
        <v>2</v>
      </c>
      <c r="I41" s="377">
        <f t="shared" si="12"/>
        <v>0</v>
      </c>
      <c r="J41" s="377">
        <f t="shared" si="12"/>
        <v>0</v>
      </c>
      <c r="K41" s="377">
        <f t="shared" si="12"/>
        <v>0</v>
      </c>
      <c r="L41" s="377">
        <f t="shared" si="12"/>
        <v>16</v>
      </c>
    </row>
    <row r="42" spans="3:12" ht="15" x14ac:dyDescent="0.2">
      <c r="C42" s="619" t="s">
        <v>25</v>
      </c>
      <c r="D42" s="374" t="s">
        <v>9</v>
      </c>
      <c r="E42" s="375">
        <v>1</v>
      </c>
      <c r="F42" s="375">
        <v>37</v>
      </c>
      <c r="G42" s="375">
        <v>0</v>
      </c>
      <c r="H42" s="375">
        <v>2</v>
      </c>
      <c r="I42" s="375">
        <v>0</v>
      </c>
      <c r="J42" s="375">
        <v>0</v>
      </c>
      <c r="K42" s="375">
        <v>0</v>
      </c>
      <c r="L42" s="375">
        <f>SUM(E42:K42)</f>
        <v>40</v>
      </c>
    </row>
    <row r="43" spans="3:12" ht="15" x14ac:dyDescent="0.2">
      <c r="C43" s="620"/>
      <c r="D43" s="374" t="s">
        <v>10</v>
      </c>
      <c r="E43" s="375">
        <v>0</v>
      </c>
      <c r="F43" s="375">
        <v>6</v>
      </c>
      <c r="G43" s="375">
        <v>0</v>
      </c>
      <c r="H43" s="375">
        <v>1</v>
      </c>
      <c r="I43" s="375">
        <v>0</v>
      </c>
      <c r="J43" s="375">
        <v>0</v>
      </c>
      <c r="K43" s="375">
        <v>0</v>
      </c>
      <c r="L43" s="375">
        <f>SUM(E43:K43)</f>
        <v>7</v>
      </c>
    </row>
    <row r="44" spans="3:12" ht="15" x14ac:dyDescent="0.2">
      <c r="C44" s="621"/>
      <c r="D44" s="374" t="s">
        <v>845</v>
      </c>
      <c r="E44" s="377">
        <f t="shared" ref="E44:L44" si="13">SUM(E42:E43)</f>
        <v>1</v>
      </c>
      <c r="F44" s="377">
        <f t="shared" si="13"/>
        <v>43</v>
      </c>
      <c r="G44" s="377">
        <f t="shared" si="13"/>
        <v>0</v>
      </c>
      <c r="H44" s="377">
        <f t="shared" si="13"/>
        <v>3</v>
      </c>
      <c r="I44" s="377">
        <f t="shared" si="13"/>
        <v>0</v>
      </c>
      <c r="J44" s="377">
        <f t="shared" si="13"/>
        <v>0</v>
      </c>
      <c r="K44" s="377">
        <f t="shared" si="13"/>
        <v>0</v>
      </c>
      <c r="L44" s="377">
        <f t="shared" si="13"/>
        <v>47</v>
      </c>
    </row>
    <row r="45" spans="3:12" ht="15" x14ac:dyDescent="0.2">
      <c r="C45" s="619" t="s">
        <v>29</v>
      </c>
      <c r="D45" s="374" t="s">
        <v>9</v>
      </c>
      <c r="E45" s="375">
        <v>0</v>
      </c>
      <c r="F45" s="375">
        <v>6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5">
        <f>SUM(E45:K45)</f>
        <v>6</v>
      </c>
    </row>
    <row r="46" spans="3:12" ht="15" x14ac:dyDescent="0.2">
      <c r="C46" s="620"/>
      <c r="D46" s="374" t="s">
        <v>10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5">
        <f>SUM(E46:K46)</f>
        <v>0</v>
      </c>
    </row>
    <row r="47" spans="3:12" ht="15" x14ac:dyDescent="0.2">
      <c r="C47" s="621"/>
      <c r="D47" s="374" t="s">
        <v>845</v>
      </c>
      <c r="E47" s="377">
        <f t="shared" ref="E47:L47" si="14">SUM(E45:E46)</f>
        <v>0</v>
      </c>
      <c r="F47" s="377">
        <f t="shared" si="14"/>
        <v>6</v>
      </c>
      <c r="G47" s="377">
        <f t="shared" si="14"/>
        <v>0</v>
      </c>
      <c r="H47" s="377">
        <f t="shared" si="14"/>
        <v>0</v>
      </c>
      <c r="I47" s="377">
        <f t="shared" si="14"/>
        <v>0</v>
      </c>
      <c r="J47" s="377">
        <f t="shared" si="14"/>
        <v>0</v>
      </c>
      <c r="K47" s="377">
        <f t="shared" si="14"/>
        <v>0</v>
      </c>
      <c r="L47" s="377">
        <f t="shared" si="14"/>
        <v>6</v>
      </c>
    </row>
    <row r="48" spans="3:12" ht="15" x14ac:dyDescent="0.2">
      <c r="C48" s="619" t="s">
        <v>33</v>
      </c>
      <c r="D48" s="374" t="s">
        <v>9</v>
      </c>
      <c r="E48" s="375">
        <v>0</v>
      </c>
      <c r="F48" s="375">
        <v>24</v>
      </c>
      <c r="G48" s="375">
        <v>0</v>
      </c>
      <c r="H48" s="375">
        <v>1</v>
      </c>
      <c r="I48" s="375">
        <v>0</v>
      </c>
      <c r="J48" s="375">
        <v>0</v>
      </c>
      <c r="K48" s="375">
        <v>0</v>
      </c>
      <c r="L48" s="375">
        <f>SUM(E48:K48)</f>
        <v>25</v>
      </c>
    </row>
    <row r="49" spans="3:12" ht="15" x14ac:dyDescent="0.2">
      <c r="C49" s="620"/>
      <c r="D49" s="374" t="s">
        <v>10</v>
      </c>
      <c r="E49" s="375">
        <v>0</v>
      </c>
      <c r="F49" s="375">
        <v>3</v>
      </c>
      <c r="G49" s="375">
        <v>0</v>
      </c>
      <c r="H49" s="375">
        <v>1</v>
      </c>
      <c r="I49" s="375">
        <v>0</v>
      </c>
      <c r="J49" s="375">
        <v>0</v>
      </c>
      <c r="K49" s="375">
        <v>0</v>
      </c>
      <c r="L49" s="375">
        <f>SUM(E49:K49)</f>
        <v>4</v>
      </c>
    </row>
    <row r="50" spans="3:12" ht="15" x14ac:dyDescent="0.2">
      <c r="C50" s="621"/>
      <c r="D50" s="374" t="s">
        <v>845</v>
      </c>
      <c r="E50" s="377">
        <f t="shared" ref="E50:L50" si="15">SUM(E48:E49)</f>
        <v>0</v>
      </c>
      <c r="F50" s="377">
        <f t="shared" si="15"/>
        <v>27</v>
      </c>
      <c r="G50" s="377">
        <f t="shared" si="15"/>
        <v>0</v>
      </c>
      <c r="H50" s="377">
        <f t="shared" si="15"/>
        <v>2</v>
      </c>
      <c r="I50" s="377">
        <f t="shared" si="15"/>
        <v>0</v>
      </c>
      <c r="J50" s="377">
        <f t="shared" si="15"/>
        <v>0</v>
      </c>
      <c r="K50" s="377">
        <f t="shared" si="15"/>
        <v>0</v>
      </c>
      <c r="L50" s="377">
        <f t="shared" si="15"/>
        <v>29</v>
      </c>
    </row>
    <row r="51" spans="3:12" ht="15" x14ac:dyDescent="0.2">
      <c r="C51" s="619" t="s">
        <v>35</v>
      </c>
      <c r="D51" s="374" t="s">
        <v>9</v>
      </c>
      <c r="E51" s="375">
        <v>2</v>
      </c>
      <c r="F51" s="375">
        <v>13</v>
      </c>
      <c r="G51" s="375">
        <v>0</v>
      </c>
      <c r="H51" s="375">
        <v>9</v>
      </c>
      <c r="I51" s="375">
        <v>1</v>
      </c>
      <c r="J51" s="375">
        <v>0</v>
      </c>
      <c r="K51" s="375">
        <v>1</v>
      </c>
      <c r="L51" s="375">
        <f>SUM(E51:K51)</f>
        <v>26</v>
      </c>
    </row>
    <row r="52" spans="3:12" ht="15" x14ac:dyDescent="0.2">
      <c r="C52" s="620"/>
      <c r="D52" s="374" t="s">
        <v>10</v>
      </c>
      <c r="E52" s="375">
        <v>0</v>
      </c>
      <c r="F52" s="375">
        <v>7</v>
      </c>
      <c r="G52" s="375">
        <v>0</v>
      </c>
      <c r="H52" s="375">
        <v>2</v>
      </c>
      <c r="I52" s="375">
        <v>0</v>
      </c>
      <c r="J52" s="375">
        <v>0</v>
      </c>
      <c r="K52" s="375">
        <v>0</v>
      </c>
      <c r="L52" s="375">
        <f>SUM(E52:K52)</f>
        <v>9</v>
      </c>
    </row>
    <row r="53" spans="3:12" ht="15" x14ac:dyDescent="0.2">
      <c r="C53" s="621"/>
      <c r="D53" s="374" t="s">
        <v>845</v>
      </c>
      <c r="E53" s="377">
        <f t="shared" ref="E53:L53" si="16">SUM(E51:E52)</f>
        <v>2</v>
      </c>
      <c r="F53" s="377">
        <f t="shared" si="16"/>
        <v>20</v>
      </c>
      <c r="G53" s="377">
        <f t="shared" si="16"/>
        <v>0</v>
      </c>
      <c r="H53" s="377">
        <f t="shared" si="16"/>
        <v>11</v>
      </c>
      <c r="I53" s="377">
        <f t="shared" si="16"/>
        <v>1</v>
      </c>
      <c r="J53" s="377">
        <f t="shared" si="16"/>
        <v>0</v>
      </c>
      <c r="K53" s="377">
        <f t="shared" si="16"/>
        <v>1</v>
      </c>
      <c r="L53" s="377">
        <f t="shared" si="16"/>
        <v>35</v>
      </c>
    </row>
    <row r="54" spans="3:12" ht="15" x14ac:dyDescent="0.2">
      <c r="C54" s="619" t="s">
        <v>863</v>
      </c>
      <c r="D54" s="374" t="s">
        <v>9</v>
      </c>
      <c r="E54" s="375">
        <v>0</v>
      </c>
      <c r="F54" s="375">
        <v>27</v>
      </c>
      <c r="G54" s="375">
        <v>0</v>
      </c>
      <c r="H54" s="375">
        <v>3</v>
      </c>
      <c r="I54" s="375">
        <v>1</v>
      </c>
      <c r="J54" s="375">
        <v>0</v>
      </c>
      <c r="K54" s="375">
        <v>0</v>
      </c>
      <c r="L54" s="375">
        <f>SUM(E54:K54)</f>
        <v>31</v>
      </c>
    </row>
    <row r="55" spans="3:12" ht="15" x14ac:dyDescent="0.2">
      <c r="C55" s="620"/>
      <c r="D55" s="374" t="s">
        <v>10</v>
      </c>
      <c r="E55" s="375">
        <v>0</v>
      </c>
      <c r="F55" s="375">
        <v>8</v>
      </c>
      <c r="G55" s="375">
        <v>0</v>
      </c>
      <c r="H55" s="375">
        <v>1</v>
      </c>
      <c r="I55" s="375">
        <v>0</v>
      </c>
      <c r="J55" s="375">
        <v>0</v>
      </c>
      <c r="K55" s="375">
        <v>0</v>
      </c>
      <c r="L55" s="375">
        <f>SUM(E55:K55)</f>
        <v>9</v>
      </c>
    </row>
    <row r="56" spans="3:12" ht="15" x14ac:dyDescent="0.2">
      <c r="C56" s="621"/>
      <c r="D56" s="374" t="s">
        <v>845</v>
      </c>
      <c r="E56" s="377">
        <f t="shared" ref="E56:L56" si="17">SUM(E54:E55)</f>
        <v>0</v>
      </c>
      <c r="F56" s="377">
        <f t="shared" si="17"/>
        <v>35</v>
      </c>
      <c r="G56" s="377">
        <f t="shared" si="17"/>
        <v>0</v>
      </c>
      <c r="H56" s="377">
        <f t="shared" si="17"/>
        <v>4</v>
      </c>
      <c r="I56" s="377">
        <f t="shared" si="17"/>
        <v>1</v>
      </c>
      <c r="J56" s="377">
        <f t="shared" si="17"/>
        <v>0</v>
      </c>
      <c r="K56" s="377">
        <f t="shared" si="17"/>
        <v>0</v>
      </c>
      <c r="L56" s="377">
        <f t="shared" si="17"/>
        <v>40</v>
      </c>
    </row>
    <row r="57" spans="3:12" ht="15" x14ac:dyDescent="0.2">
      <c r="C57" s="619" t="s">
        <v>36</v>
      </c>
      <c r="D57" s="374" t="s">
        <v>9</v>
      </c>
      <c r="E57" s="375">
        <v>0</v>
      </c>
      <c r="F57" s="375">
        <v>0</v>
      </c>
      <c r="G57" s="375">
        <v>1</v>
      </c>
      <c r="H57" s="375">
        <v>1</v>
      </c>
      <c r="I57" s="375">
        <v>0</v>
      </c>
      <c r="J57" s="375">
        <v>0</v>
      </c>
      <c r="K57" s="375">
        <v>0</v>
      </c>
      <c r="L57" s="375">
        <f>SUM(E57:K57)</f>
        <v>2</v>
      </c>
    </row>
    <row r="58" spans="3:12" ht="15" x14ac:dyDescent="0.2">
      <c r="C58" s="620"/>
      <c r="D58" s="374" t="s">
        <v>10</v>
      </c>
      <c r="E58" s="375">
        <v>0</v>
      </c>
      <c r="F58" s="375">
        <v>1</v>
      </c>
      <c r="G58" s="375">
        <v>0</v>
      </c>
      <c r="H58" s="375">
        <v>0</v>
      </c>
      <c r="I58" s="375">
        <v>0</v>
      </c>
      <c r="J58" s="375">
        <v>0</v>
      </c>
      <c r="K58" s="375">
        <v>0</v>
      </c>
      <c r="L58" s="375">
        <f>SUM(E58:K58)</f>
        <v>1</v>
      </c>
    </row>
    <row r="59" spans="3:12" ht="15" x14ac:dyDescent="0.2">
      <c r="C59" s="621"/>
      <c r="D59" s="374" t="s">
        <v>845</v>
      </c>
      <c r="E59" s="377">
        <f t="shared" ref="E59:L59" si="18">SUM(E57:E58)</f>
        <v>0</v>
      </c>
      <c r="F59" s="377">
        <f t="shared" si="18"/>
        <v>1</v>
      </c>
      <c r="G59" s="377">
        <f t="shared" si="18"/>
        <v>1</v>
      </c>
      <c r="H59" s="377">
        <f t="shared" si="18"/>
        <v>1</v>
      </c>
      <c r="I59" s="377">
        <f t="shared" si="18"/>
        <v>0</v>
      </c>
      <c r="J59" s="377">
        <f t="shared" si="18"/>
        <v>0</v>
      </c>
      <c r="K59" s="377">
        <f t="shared" si="18"/>
        <v>0</v>
      </c>
      <c r="L59" s="377">
        <f t="shared" si="18"/>
        <v>3</v>
      </c>
    </row>
    <row r="60" spans="3:12" ht="15" x14ac:dyDescent="0.2">
      <c r="C60" s="619" t="s">
        <v>34</v>
      </c>
      <c r="D60" s="374" t="s">
        <v>9</v>
      </c>
      <c r="E60" s="375">
        <v>245</v>
      </c>
      <c r="F60" s="375">
        <v>85</v>
      </c>
      <c r="G60" s="375">
        <v>0</v>
      </c>
      <c r="H60" s="375">
        <v>132</v>
      </c>
      <c r="I60" s="375">
        <v>32</v>
      </c>
      <c r="J60" s="375">
        <v>0</v>
      </c>
      <c r="K60" s="375">
        <v>54</v>
      </c>
      <c r="L60" s="375">
        <f>SUM(E60:K60)</f>
        <v>548</v>
      </c>
    </row>
    <row r="61" spans="3:12" ht="15" x14ac:dyDescent="0.2">
      <c r="C61" s="620"/>
      <c r="D61" s="374" t="s">
        <v>10</v>
      </c>
      <c r="E61" s="375">
        <v>33</v>
      </c>
      <c r="F61" s="375">
        <v>19</v>
      </c>
      <c r="G61" s="375">
        <v>0</v>
      </c>
      <c r="H61" s="375">
        <v>25</v>
      </c>
      <c r="I61" s="375">
        <v>6</v>
      </c>
      <c r="J61" s="375">
        <v>0</v>
      </c>
      <c r="K61" s="375">
        <v>4</v>
      </c>
      <c r="L61" s="375">
        <f>SUM(E61:K61)</f>
        <v>87</v>
      </c>
    </row>
    <row r="62" spans="3:12" ht="15" x14ac:dyDescent="0.2">
      <c r="C62" s="621"/>
      <c r="D62" s="374" t="s">
        <v>845</v>
      </c>
      <c r="E62" s="377">
        <f t="shared" ref="E62:L62" si="19">SUM(E60:E61)</f>
        <v>278</v>
      </c>
      <c r="F62" s="377">
        <f t="shared" si="19"/>
        <v>104</v>
      </c>
      <c r="G62" s="377">
        <f t="shared" si="19"/>
        <v>0</v>
      </c>
      <c r="H62" s="377">
        <f t="shared" si="19"/>
        <v>157</v>
      </c>
      <c r="I62" s="377">
        <f t="shared" si="19"/>
        <v>38</v>
      </c>
      <c r="J62" s="377">
        <f t="shared" si="19"/>
        <v>0</v>
      </c>
      <c r="K62" s="377">
        <f t="shared" si="19"/>
        <v>58</v>
      </c>
      <c r="L62" s="377">
        <f t="shared" si="19"/>
        <v>635</v>
      </c>
    </row>
    <row r="63" spans="3:12" ht="15" x14ac:dyDescent="0.2">
      <c r="C63" s="619" t="s">
        <v>211</v>
      </c>
      <c r="D63" s="374" t="s">
        <v>9</v>
      </c>
      <c r="E63" s="375">
        <v>0</v>
      </c>
      <c r="F63" s="375">
        <v>31</v>
      </c>
      <c r="G63" s="375">
        <v>0</v>
      </c>
      <c r="H63" s="375">
        <v>23</v>
      </c>
      <c r="I63" s="375">
        <v>3</v>
      </c>
      <c r="J63" s="375">
        <v>0</v>
      </c>
      <c r="K63" s="375">
        <v>0</v>
      </c>
      <c r="L63" s="375">
        <f>SUM(E63:K63)</f>
        <v>57</v>
      </c>
    </row>
    <row r="64" spans="3:12" ht="15" x14ac:dyDescent="0.2">
      <c r="C64" s="620"/>
      <c r="D64" s="374" t="s">
        <v>10</v>
      </c>
      <c r="E64" s="375">
        <v>0</v>
      </c>
      <c r="F64" s="375">
        <v>2</v>
      </c>
      <c r="G64" s="375">
        <v>0</v>
      </c>
      <c r="H64" s="375">
        <v>7</v>
      </c>
      <c r="I64" s="375">
        <v>0</v>
      </c>
      <c r="J64" s="375">
        <v>0</v>
      </c>
      <c r="K64" s="375">
        <v>0</v>
      </c>
      <c r="L64" s="375">
        <f>SUM(E64:K64)</f>
        <v>9</v>
      </c>
    </row>
    <row r="65" spans="3:12" ht="15" x14ac:dyDescent="0.2">
      <c r="C65" s="621"/>
      <c r="D65" s="374" t="s">
        <v>845</v>
      </c>
      <c r="E65" s="377">
        <f t="shared" ref="E65:L65" si="20">SUM(E63:E64)</f>
        <v>0</v>
      </c>
      <c r="F65" s="377">
        <f t="shared" si="20"/>
        <v>33</v>
      </c>
      <c r="G65" s="377">
        <f t="shared" si="20"/>
        <v>0</v>
      </c>
      <c r="H65" s="377">
        <f t="shared" si="20"/>
        <v>30</v>
      </c>
      <c r="I65" s="377">
        <f t="shared" si="20"/>
        <v>3</v>
      </c>
      <c r="J65" s="377">
        <f t="shared" si="20"/>
        <v>0</v>
      </c>
      <c r="K65" s="377">
        <f t="shared" si="20"/>
        <v>0</v>
      </c>
      <c r="L65" s="377">
        <f t="shared" si="20"/>
        <v>66</v>
      </c>
    </row>
    <row r="66" spans="3:12" ht="15" x14ac:dyDescent="0.2">
      <c r="C66" s="619" t="s">
        <v>212</v>
      </c>
      <c r="D66" s="374" t="s">
        <v>9</v>
      </c>
      <c r="E66" s="375">
        <v>1</v>
      </c>
      <c r="F66" s="375">
        <v>13</v>
      </c>
      <c r="G66" s="375">
        <v>0</v>
      </c>
      <c r="H66" s="375">
        <v>2</v>
      </c>
      <c r="I66" s="375">
        <v>0</v>
      </c>
      <c r="J66" s="375">
        <v>0</v>
      </c>
      <c r="K66" s="375">
        <v>0</v>
      </c>
      <c r="L66" s="375">
        <f>SUM(E66:K66)</f>
        <v>16</v>
      </c>
    </row>
    <row r="67" spans="3:12" ht="15" x14ac:dyDescent="0.2">
      <c r="C67" s="620"/>
      <c r="D67" s="374" t="s">
        <v>10</v>
      </c>
      <c r="E67" s="375">
        <v>0</v>
      </c>
      <c r="F67" s="375">
        <v>2</v>
      </c>
      <c r="G67" s="375">
        <v>0</v>
      </c>
      <c r="H67" s="375">
        <v>1</v>
      </c>
      <c r="I67" s="375">
        <v>0</v>
      </c>
      <c r="J67" s="375">
        <v>0</v>
      </c>
      <c r="K67" s="375">
        <v>0</v>
      </c>
      <c r="L67" s="375">
        <f>SUM(E67:K67)</f>
        <v>3</v>
      </c>
    </row>
    <row r="68" spans="3:12" ht="15" x14ac:dyDescent="0.2">
      <c r="C68" s="621"/>
      <c r="D68" s="374" t="s">
        <v>845</v>
      </c>
      <c r="E68" s="377">
        <f t="shared" ref="E68:L68" si="21">SUM(E66:E67)</f>
        <v>1</v>
      </c>
      <c r="F68" s="377">
        <f t="shared" si="21"/>
        <v>15</v>
      </c>
      <c r="G68" s="377">
        <f t="shared" si="21"/>
        <v>0</v>
      </c>
      <c r="H68" s="377">
        <f t="shared" si="21"/>
        <v>3</v>
      </c>
      <c r="I68" s="377">
        <f t="shared" si="21"/>
        <v>0</v>
      </c>
      <c r="J68" s="377">
        <f t="shared" si="21"/>
        <v>0</v>
      </c>
      <c r="K68" s="377">
        <f t="shared" si="21"/>
        <v>0</v>
      </c>
      <c r="L68" s="377">
        <f t="shared" si="21"/>
        <v>19</v>
      </c>
    </row>
    <row r="69" spans="3:12" ht="15" x14ac:dyDescent="0.2">
      <c r="C69" s="619" t="s">
        <v>862</v>
      </c>
      <c r="D69" s="374" t="s">
        <v>9</v>
      </c>
      <c r="E69" s="375">
        <v>0</v>
      </c>
      <c r="F69" s="375">
        <v>13</v>
      </c>
      <c r="G69" s="375">
        <v>0</v>
      </c>
      <c r="H69" s="375">
        <v>1</v>
      </c>
      <c r="I69" s="375">
        <v>0</v>
      </c>
      <c r="J69" s="375">
        <v>0</v>
      </c>
      <c r="K69" s="375">
        <v>0</v>
      </c>
      <c r="L69" s="375">
        <f>SUM(E69:K69)</f>
        <v>14</v>
      </c>
    </row>
    <row r="70" spans="3:12" ht="15" x14ac:dyDescent="0.2">
      <c r="C70" s="620"/>
      <c r="D70" s="374" t="s">
        <v>10</v>
      </c>
      <c r="E70" s="375">
        <v>0</v>
      </c>
      <c r="F70" s="375">
        <v>3</v>
      </c>
      <c r="G70" s="375">
        <v>0</v>
      </c>
      <c r="H70" s="375">
        <v>0</v>
      </c>
      <c r="I70" s="375">
        <v>0</v>
      </c>
      <c r="J70" s="375">
        <v>0</v>
      </c>
      <c r="K70" s="375">
        <v>0</v>
      </c>
      <c r="L70" s="375">
        <f>SUM(E70:K70)</f>
        <v>3</v>
      </c>
    </row>
    <row r="71" spans="3:12" ht="15" x14ac:dyDescent="0.2">
      <c r="C71" s="621"/>
      <c r="D71" s="374" t="s">
        <v>845</v>
      </c>
      <c r="E71" s="377">
        <f t="shared" ref="E71:L71" si="22">SUM(E69:E70)</f>
        <v>0</v>
      </c>
      <c r="F71" s="377">
        <f t="shared" si="22"/>
        <v>16</v>
      </c>
      <c r="G71" s="377">
        <f t="shared" si="22"/>
        <v>0</v>
      </c>
      <c r="H71" s="377">
        <f t="shared" si="22"/>
        <v>1</v>
      </c>
      <c r="I71" s="377">
        <f t="shared" si="22"/>
        <v>0</v>
      </c>
      <c r="J71" s="377">
        <f t="shared" si="22"/>
        <v>0</v>
      </c>
      <c r="K71" s="377">
        <f t="shared" si="22"/>
        <v>0</v>
      </c>
      <c r="L71" s="377">
        <f t="shared" si="22"/>
        <v>17</v>
      </c>
    </row>
    <row r="72" spans="3:12" ht="15" x14ac:dyDescent="0.2">
      <c r="C72" s="619" t="s">
        <v>861</v>
      </c>
      <c r="D72" s="374" t="s">
        <v>9</v>
      </c>
      <c r="E72" s="375">
        <v>0</v>
      </c>
      <c r="F72" s="375">
        <v>9</v>
      </c>
      <c r="G72" s="375">
        <v>0</v>
      </c>
      <c r="H72" s="375">
        <v>2</v>
      </c>
      <c r="I72" s="375">
        <v>0</v>
      </c>
      <c r="J72" s="375">
        <v>0</v>
      </c>
      <c r="K72" s="375">
        <v>0</v>
      </c>
      <c r="L72" s="375">
        <f>SUM(E72:K72)</f>
        <v>11</v>
      </c>
    </row>
    <row r="73" spans="3:12" ht="15" x14ac:dyDescent="0.2">
      <c r="C73" s="620"/>
      <c r="D73" s="374" t="s">
        <v>10</v>
      </c>
      <c r="E73" s="375">
        <v>0</v>
      </c>
      <c r="F73" s="375">
        <v>0</v>
      </c>
      <c r="G73" s="375">
        <v>0</v>
      </c>
      <c r="H73" s="375">
        <v>0</v>
      </c>
      <c r="I73" s="375">
        <v>0</v>
      </c>
      <c r="J73" s="375">
        <v>0</v>
      </c>
      <c r="K73" s="375">
        <v>0</v>
      </c>
      <c r="L73" s="375">
        <f>SUM(E73:K73)</f>
        <v>0</v>
      </c>
    </row>
    <row r="74" spans="3:12" ht="15" x14ac:dyDescent="0.2">
      <c r="C74" s="621"/>
      <c r="D74" s="374" t="s">
        <v>845</v>
      </c>
      <c r="E74" s="377">
        <f t="shared" ref="E74:L74" si="23">SUM(E72:E73)</f>
        <v>0</v>
      </c>
      <c r="F74" s="377">
        <f t="shared" si="23"/>
        <v>9</v>
      </c>
      <c r="G74" s="377">
        <f t="shared" si="23"/>
        <v>0</v>
      </c>
      <c r="H74" s="377">
        <f t="shared" si="23"/>
        <v>2</v>
      </c>
      <c r="I74" s="377">
        <f t="shared" si="23"/>
        <v>0</v>
      </c>
      <c r="J74" s="377">
        <f t="shared" si="23"/>
        <v>0</v>
      </c>
      <c r="K74" s="377">
        <f t="shared" si="23"/>
        <v>0</v>
      </c>
      <c r="L74" s="377">
        <f t="shared" si="23"/>
        <v>11</v>
      </c>
    </row>
    <row r="75" spans="3:12" ht="15" x14ac:dyDescent="0.2">
      <c r="C75" s="619" t="s">
        <v>214</v>
      </c>
      <c r="D75" s="374" t="s">
        <v>9</v>
      </c>
      <c r="E75" s="375">
        <v>0</v>
      </c>
      <c r="F75" s="375">
        <v>17</v>
      </c>
      <c r="G75" s="375">
        <v>0</v>
      </c>
      <c r="H75" s="375">
        <v>2</v>
      </c>
      <c r="I75" s="375">
        <v>0</v>
      </c>
      <c r="J75" s="375">
        <v>0</v>
      </c>
      <c r="K75" s="375">
        <v>0</v>
      </c>
      <c r="L75" s="375">
        <f>SUM(E75:K75)</f>
        <v>19</v>
      </c>
    </row>
    <row r="76" spans="3:12" ht="15" x14ac:dyDescent="0.2">
      <c r="C76" s="620"/>
      <c r="D76" s="374" t="s">
        <v>10</v>
      </c>
      <c r="E76" s="375">
        <v>0</v>
      </c>
      <c r="F76" s="375">
        <v>1</v>
      </c>
      <c r="G76" s="375">
        <v>0</v>
      </c>
      <c r="H76" s="375">
        <v>1</v>
      </c>
      <c r="I76" s="375">
        <v>0</v>
      </c>
      <c r="J76" s="375">
        <v>0</v>
      </c>
      <c r="K76" s="375">
        <v>0</v>
      </c>
      <c r="L76" s="375">
        <f>SUM(E76:K76)</f>
        <v>2</v>
      </c>
    </row>
    <row r="77" spans="3:12" ht="15" x14ac:dyDescent="0.2">
      <c r="C77" s="621"/>
      <c r="D77" s="374" t="s">
        <v>845</v>
      </c>
      <c r="E77" s="377">
        <f t="shared" ref="E77:L77" si="24">SUM(E75:E76)</f>
        <v>0</v>
      </c>
      <c r="F77" s="377">
        <f t="shared" si="24"/>
        <v>18</v>
      </c>
      <c r="G77" s="377">
        <f t="shared" si="24"/>
        <v>0</v>
      </c>
      <c r="H77" s="377">
        <f t="shared" si="24"/>
        <v>3</v>
      </c>
      <c r="I77" s="377">
        <f t="shared" si="24"/>
        <v>0</v>
      </c>
      <c r="J77" s="377">
        <f t="shared" si="24"/>
        <v>0</v>
      </c>
      <c r="K77" s="377">
        <f t="shared" si="24"/>
        <v>0</v>
      </c>
      <c r="L77" s="377">
        <f t="shared" si="24"/>
        <v>21</v>
      </c>
    </row>
    <row r="78" spans="3:12" ht="15" x14ac:dyDescent="0.2">
      <c r="C78" s="619" t="s">
        <v>31</v>
      </c>
      <c r="D78" s="374" t="s">
        <v>9</v>
      </c>
      <c r="E78" s="375">
        <v>6</v>
      </c>
      <c r="F78" s="375">
        <v>298</v>
      </c>
      <c r="G78" s="375">
        <v>0</v>
      </c>
      <c r="H78" s="375">
        <v>278</v>
      </c>
      <c r="I78" s="375">
        <v>16</v>
      </c>
      <c r="J78" s="375">
        <v>0</v>
      </c>
      <c r="K78" s="375">
        <v>1</v>
      </c>
      <c r="L78" s="375">
        <f>SUM(E78:K78)</f>
        <v>599</v>
      </c>
    </row>
    <row r="79" spans="3:12" ht="15" x14ac:dyDescent="0.2">
      <c r="C79" s="620"/>
      <c r="D79" s="374" t="s">
        <v>10</v>
      </c>
      <c r="E79" s="375">
        <v>1</v>
      </c>
      <c r="F79" s="375">
        <v>28</v>
      </c>
      <c r="G79" s="375">
        <v>0</v>
      </c>
      <c r="H79" s="375">
        <v>45</v>
      </c>
      <c r="I79" s="375">
        <v>1</v>
      </c>
      <c r="J79" s="375">
        <v>0</v>
      </c>
      <c r="K79" s="375">
        <v>0</v>
      </c>
      <c r="L79" s="375">
        <f>SUM(E79:K79)</f>
        <v>75</v>
      </c>
    </row>
    <row r="80" spans="3:12" ht="15" x14ac:dyDescent="0.2">
      <c r="C80" s="621"/>
      <c r="D80" s="374" t="s">
        <v>845</v>
      </c>
      <c r="E80" s="377">
        <f t="shared" ref="E80:L80" si="25">SUM(E78:E79)</f>
        <v>7</v>
      </c>
      <c r="F80" s="377">
        <f t="shared" si="25"/>
        <v>326</v>
      </c>
      <c r="G80" s="377">
        <f t="shared" si="25"/>
        <v>0</v>
      </c>
      <c r="H80" s="377">
        <f t="shared" si="25"/>
        <v>323</v>
      </c>
      <c r="I80" s="377">
        <f t="shared" si="25"/>
        <v>17</v>
      </c>
      <c r="J80" s="377">
        <f t="shared" si="25"/>
        <v>0</v>
      </c>
      <c r="K80" s="377">
        <f t="shared" si="25"/>
        <v>1</v>
      </c>
      <c r="L80" s="377">
        <f t="shared" si="25"/>
        <v>674</v>
      </c>
    </row>
    <row r="81" spans="3:12" ht="15" x14ac:dyDescent="0.2">
      <c r="C81" s="619" t="s">
        <v>215</v>
      </c>
      <c r="D81" s="374" t="s">
        <v>9</v>
      </c>
      <c r="E81" s="375">
        <v>0</v>
      </c>
      <c r="F81" s="375">
        <v>1</v>
      </c>
      <c r="G81" s="375">
        <v>0</v>
      </c>
      <c r="H81" s="375">
        <v>1</v>
      </c>
      <c r="I81" s="375">
        <v>0</v>
      </c>
      <c r="J81" s="375">
        <v>0</v>
      </c>
      <c r="K81" s="375">
        <v>0</v>
      </c>
      <c r="L81" s="375">
        <f>SUM(E81:K81)</f>
        <v>2</v>
      </c>
    </row>
    <row r="82" spans="3:12" ht="15" x14ac:dyDescent="0.2">
      <c r="C82" s="620"/>
      <c r="D82" s="374" t="s">
        <v>10</v>
      </c>
      <c r="E82" s="375">
        <v>0</v>
      </c>
      <c r="F82" s="375">
        <v>0</v>
      </c>
      <c r="G82" s="375">
        <v>0</v>
      </c>
      <c r="H82" s="375">
        <v>2</v>
      </c>
      <c r="I82" s="375">
        <v>0</v>
      </c>
      <c r="J82" s="375">
        <v>0</v>
      </c>
      <c r="K82" s="375">
        <v>0</v>
      </c>
      <c r="L82" s="375">
        <f>SUM(E82:K82)</f>
        <v>2</v>
      </c>
    </row>
    <row r="83" spans="3:12" ht="15" x14ac:dyDescent="0.2">
      <c r="C83" s="621"/>
      <c r="D83" s="374" t="s">
        <v>845</v>
      </c>
      <c r="E83" s="377">
        <f t="shared" ref="E83:L83" si="26">SUM(E81:E82)</f>
        <v>0</v>
      </c>
      <c r="F83" s="377">
        <f t="shared" si="26"/>
        <v>1</v>
      </c>
      <c r="G83" s="377">
        <f t="shared" si="26"/>
        <v>0</v>
      </c>
      <c r="H83" s="377">
        <f t="shared" si="26"/>
        <v>3</v>
      </c>
      <c r="I83" s="377">
        <f t="shared" si="26"/>
        <v>0</v>
      </c>
      <c r="J83" s="377">
        <f t="shared" si="26"/>
        <v>0</v>
      </c>
      <c r="K83" s="377">
        <f t="shared" si="26"/>
        <v>0</v>
      </c>
      <c r="L83" s="377">
        <f t="shared" si="26"/>
        <v>4</v>
      </c>
    </row>
    <row r="84" spans="3:12" ht="15" x14ac:dyDescent="0.2">
      <c r="C84" s="619" t="s">
        <v>38</v>
      </c>
      <c r="D84" s="374" t="s">
        <v>9</v>
      </c>
      <c r="E84" s="375">
        <v>95</v>
      </c>
      <c r="F84" s="375">
        <v>515</v>
      </c>
      <c r="G84" s="375">
        <v>1</v>
      </c>
      <c r="H84" s="375">
        <v>196</v>
      </c>
      <c r="I84" s="375">
        <v>12</v>
      </c>
      <c r="J84" s="375">
        <v>0</v>
      </c>
      <c r="K84" s="375">
        <v>20</v>
      </c>
      <c r="L84" s="375">
        <f>SUM(E84:K84)</f>
        <v>839</v>
      </c>
    </row>
    <row r="85" spans="3:12" ht="15" x14ac:dyDescent="0.2">
      <c r="C85" s="620"/>
      <c r="D85" s="374" t="s">
        <v>10</v>
      </c>
      <c r="E85" s="375">
        <v>14</v>
      </c>
      <c r="F85" s="375">
        <v>56</v>
      </c>
      <c r="G85" s="375">
        <v>0</v>
      </c>
      <c r="H85" s="375">
        <v>44</v>
      </c>
      <c r="I85" s="375">
        <v>1</v>
      </c>
      <c r="J85" s="375">
        <v>0</v>
      </c>
      <c r="K85" s="375">
        <v>1</v>
      </c>
      <c r="L85" s="375">
        <f>SUM(E85:K85)</f>
        <v>116</v>
      </c>
    </row>
    <row r="86" spans="3:12" ht="15" x14ac:dyDescent="0.2">
      <c r="C86" s="621"/>
      <c r="D86" s="374" t="s">
        <v>845</v>
      </c>
      <c r="E86" s="377">
        <f t="shared" ref="E86:L86" si="27">SUM(E84:E85)</f>
        <v>109</v>
      </c>
      <c r="F86" s="377">
        <f t="shared" si="27"/>
        <v>571</v>
      </c>
      <c r="G86" s="377">
        <f t="shared" si="27"/>
        <v>1</v>
      </c>
      <c r="H86" s="377">
        <f t="shared" si="27"/>
        <v>240</v>
      </c>
      <c r="I86" s="377">
        <f t="shared" si="27"/>
        <v>13</v>
      </c>
      <c r="J86" s="377">
        <f t="shared" si="27"/>
        <v>0</v>
      </c>
      <c r="K86" s="377">
        <f t="shared" si="27"/>
        <v>21</v>
      </c>
      <c r="L86" s="377">
        <f t="shared" si="27"/>
        <v>955</v>
      </c>
    </row>
    <row r="87" spans="3:12" ht="15" x14ac:dyDescent="0.2">
      <c r="C87" s="619" t="s">
        <v>860</v>
      </c>
      <c r="D87" s="374" t="s">
        <v>9</v>
      </c>
      <c r="E87" s="375">
        <v>32</v>
      </c>
      <c r="F87" s="375">
        <v>170</v>
      </c>
      <c r="G87" s="375">
        <v>0</v>
      </c>
      <c r="H87" s="375">
        <v>65</v>
      </c>
      <c r="I87" s="375">
        <v>4</v>
      </c>
      <c r="J87" s="375">
        <v>0</v>
      </c>
      <c r="K87" s="375">
        <v>7</v>
      </c>
      <c r="L87" s="375">
        <f>SUM(E87:K87)</f>
        <v>278</v>
      </c>
    </row>
    <row r="88" spans="3:12" ht="15" x14ac:dyDescent="0.2">
      <c r="C88" s="620"/>
      <c r="D88" s="374" t="s">
        <v>10</v>
      </c>
      <c r="E88" s="375">
        <v>5</v>
      </c>
      <c r="F88" s="375">
        <v>10</v>
      </c>
      <c r="G88" s="375">
        <v>0</v>
      </c>
      <c r="H88" s="375">
        <v>22</v>
      </c>
      <c r="I88" s="375">
        <v>1</v>
      </c>
      <c r="J88" s="375">
        <v>0</v>
      </c>
      <c r="K88" s="375">
        <v>0</v>
      </c>
      <c r="L88" s="375">
        <f>SUM(E88:K88)</f>
        <v>38</v>
      </c>
    </row>
    <row r="89" spans="3:12" ht="15" x14ac:dyDescent="0.2">
      <c r="C89" s="621"/>
      <c r="D89" s="374" t="s">
        <v>845</v>
      </c>
      <c r="E89" s="377">
        <f t="shared" ref="E89:L89" si="28">SUM(E87:E88)</f>
        <v>37</v>
      </c>
      <c r="F89" s="377">
        <f t="shared" si="28"/>
        <v>180</v>
      </c>
      <c r="G89" s="377">
        <f t="shared" si="28"/>
        <v>0</v>
      </c>
      <c r="H89" s="377">
        <f t="shared" si="28"/>
        <v>87</v>
      </c>
      <c r="I89" s="377">
        <f t="shared" si="28"/>
        <v>5</v>
      </c>
      <c r="J89" s="377">
        <f t="shared" si="28"/>
        <v>0</v>
      </c>
      <c r="K89" s="377">
        <f t="shared" si="28"/>
        <v>7</v>
      </c>
      <c r="L89" s="377">
        <f t="shared" si="28"/>
        <v>316</v>
      </c>
    </row>
    <row r="90" spans="3:12" ht="15" x14ac:dyDescent="0.2">
      <c r="C90" s="619" t="s">
        <v>575</v>
      </c>
      <c r="D90" s="374" t="s">
        <v>9</v>
      </c>
      <c r="E90" s="375">
        <f t="shared" ref="E90:L92" si="29">E3+E6+E9+E12+E15+E18+E21+E24+E27+E30+E33+E36+E39+E42+E45+E48+E51+E54+E57+E60+E63+E66+E69+E72+E75+E78+E81+E84+E87</f>
        <v>427</v>
      </c>
      <c r="F90" s="375">
        <f t="shared" si="29"/>
        <v>1785</v>
      </c>
      <c r="G90" s="375">
        <f t="shared" si="29"/>
        <v>2</v>
      </c>
      <c r="H90" s="375">
        <f t="shared" si="29"/>
        <v>892</v>
      </c>
      <c r="I90" s="375">
        <f t="shared" si="29"/>
        <v>84</v>
      </c>
      <c r="J90" s="375">
        <f t="shared" si="29"/>
        <v>0</v>
      </c>
      <c r="K90" s="375">
        <f t="shared" si="29"/>
        <v>92</v>
      </c>
      <c r="L90" s="375">
        <f t="shared" si="29"/>
        <v>3282</v>
      </c>
    </row>
    <row r="91" spans="3:12" ht="15" x14ac:dyDescent="0.2">
      <c r="C91" s="620"/>
      <c r="D91" s="374" t="s">
        <v>10</v>
      </c>
      <c r="E91" s="375">
        <f t="shared" si="29"/>
        <v>58</v>
      </c>
      <c r="F91" s="375">
        <f t="shared" si="29"/>
        <v>335</v>
      </c>
      <c r="G91" s="375">
        <f t="shared" si="29"/>
        <v>0</v>
      </c>
      <c r="H91" s="375">
        <f t="shared" si="29"/>
        <v>183</v>
      </c>
      <c r="I91" s="375">
        <f t="shared" si="29"/>
        <v>10</v>
      </c>
      <c r="J91" s="375">
        <f t="shared" si="29"/>
        <v>0</v>
      </c>
      <c r="K91" s="375">
        <f t="shared" si="29"/>
        <v>5</v>
      </c>
      <c r="L91" s="375">
        <f t="shared" si="29"/>
        <v>591</v>
      </c>
    </row>
    <row r="92" spans="3:12" ht="15" x14ac:dyDescent="0.2">
      <c r="C92" s="621"/>
      <c r="D92" s="374" t="s">
        <v>845</v>
      </c>
      <c r="E92" s="375">
        <f t="shared" si="29"/>
        <v>485</v>
      </c>
      <c r="F92" s="375">
        <f t="shared" si="29"/>
        <v>2120</v>
      </c>
      <c r="G92" s="375">
        <f t="shared" si="29"/>
        <v>2</v>
      </c>
      <c r="H92" s="375">
        <f t="shared" si="29"/>
        <v>1075</v>
      </c>
      <c r="I92" s="375">
        <f t="shared" si="29"/>
        <v>94</v>
      </c>
      <c r="J92" s="375">
        <f t="shared" si="29"/>
        <v>0</v>
      </c>
      <c r="K92" s="375">
        <f t="shared" si="29"/>
        <v>97</v>
      </c>
      <c r="L92" s="375">
        <f t="shared" si="29"/>
        <v>3873</v>
      </c>
    </row>
  </sheetData>
  <mergeCells count="31">
    <mergeCell ref="C3:C5"/>
    <mergeCell ref="C6:C8"/>
    <mergeCell ref="C27:C29"/>
    <mergeCell ref="C15:C17"/>
    <mergeCell ref="C18:C20"/>
    <mergeCell ref="C21:C23"/>
    <mergeCell ref="C24:C26"/>
    <mergeCell ref="C9:C11"/>
    <mergeCell ref="C12:C14"/>
    <mergeCell ref="C57:C59"/>
    <mergeCell ref="C30:C32"/>
    <mergeCell ref="C33:C35"/>
    <mergeCell ref="C36:C38"/>
    <mergeCell ref="C39:C41"/>
    <mergeCell ref="C42:C44"/>
    <mergeCell ref="C90:C92"/>
    <mergeCell ref="C1:L1"/>
    <mergeCell ref="C75:C77"/>
    <mergeCell ref="C78:C80"/>
    <mergeCell ref="C81:C83"/>
    <mergeCell ref="C84:C86"/>
    <mergeCell ref="C87:C89"/>
    <mergeCell ref="C60:C62"/>
    <mergeCell ref="C63:C65"/>
    <mergeCell ref="C66:C68"/>
    <mergeCell ref="C69:C71"/>
    <mergeCell ref="C72:C74"/>
    <mergeCell ref="C45:C47"/>
    <mergeCell ref="C48:C50"/>
    <mergeCell ref="C51:C53"/>
    <mergeCell ref="C54:C56"/>
  </mergeCells>
  <pageMargins left="0.7" right="0.7" top="0.75" bottom="0.75" header="0.3" footer="0.3"/>
  <pageSetup paperSize="9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93"/>
  <sheetViews>
    <sheetView rightToLeft="1" topLeftCell="A55" zoomScale="90" zoomScaleNormal="90" workbookViewId="0">
      <selection activeCell="I16" sqref="I16"/>
    </sheetView>
  </sheetViews>
  <sheetFormatPr defaultRowHeight="22.5" customHeight="1" x14ac:dyDescent="0.2"/>
  <cols>
    <col min="1" max="1" width="9" style="160"/>
    <col min="2" max="2" width="29.75" style="372" bestFit="1" customWidth="1"/>
    <col min="3" max="13" width="9" style="372"/>
    <col min="14" max="14" width="10.875" style="372" customWidth="1"/>
    <col min="15" max="16384" width="9" style="160"/>
  </cols>
  <sheetData>
    <row r="1" spans="2:14" ht="22.5" customHeight="1" x14ac:dyDescent="0.2">
      <c r="B1" s="625" t="s">
        <v>856</v>
      </c>
      <c r="C1" s="625"/>
      <c r="D1" s="625"/>
      <c r="E1" s="625"/>
      <c r="F1" s="625"/>
      <c r="G1" s="625"/>
      <c r="H1" s="625"/>
      <c r="I1" s="625"/>
      <c r="J1" s="625"/>
      <c r="K1" s="625"/>
      <c r="L1" s="625"/>
      <c r="M1" s="625"/>
      <c r="N1" s="625"/>
    </row>
    <row r="2" spans="2:14" ht="22.5" customHeight="1" x14ac:dyDescent="0.2">
      <c r="B2" s="625"/>
      <c r="C2" s="625"/>
      <c r="D2" s="625"/>
      <c r="E2" s="625"/>
      <c r="F2" s="625"/>
      <c r="G2" s="625"/>
      <c r="H2" s="625"/>
      <c r="I2" s="625"/>
      <c r="J2" s="625"/>
      <c r="K2" s="625"/>
      <c r="L2" s="625"/>
      <c r="M2" s="625"/>
      <c r="N2" s="625"/>
    </row>
    <row r="3" spans="2:14" s="162" customFormat="1" ht="39.75" customHeight="1" x14ac:dyDescent="0.2">
      <c r="B3" s="378" t="s">
        <v>8</v>
      </c>
      <c r="C3" s="379" t="s">
        <v>7</v>
      </c>
      <c r="D3" s="380" t="s">
        <v>854</v>
      </c>
      <c r="E3" s="380" t="s">
        <v>853</v>
      </c>
      <c r="F3" s="380" t="s">
        <v>852</v>
      </c>
      <c r="G3" s="380" t="s">
        <v>851</v>
      </c>
      <c r="H3" s="380" t="s">
        <v>850</v>
      </c>
      <c r="I3" s="380" t="s">
        <v>49</v>
      </c>
      <c r="J3" s="380" t="s">
        <v>50</v>
      </c>
      <c r="K3" s="380" t="s">
        <v>857</v>
      </c>
      <c r="L3" s="380" t="s">
        <v>847</v>
      </c>
      <c r="M3" s="380" t="s">
        <v>53</v>
      </c>
      <c r="N3" s="381" t="s">
        <v>4</v>
      </c>
    </row>
    <row r="4" spans="2:14" ht="22.5" customHeight="1" x14ac:dyDescent="0.2">
      <c r="B4" s="619" t="s">
        <v>14</v>
      </c>
      <c r="C4" s="374" t="s">
        <v>9</v>
      </c>
      <c r="D4" s="377">
        <v>25</v>
      </c>
      <c r="E4" s="377">
        <v>7</v>
      </c>
      <c r="F4" s="377">
        <v>57</v>
      </c>
      <c r="G4" s="377">
        <v>41</v>
      </c>
      <c r="H4" s="377">
        <v>37</v>
      </c>
      <c r="I4" s="377">
        <v>32</v>
      </c>
      <c r="J4" s="377">
        <v>0</v>
      </c>
      <c r="K4" s="377">
        <v>10</v>
      </c>
      <c r="L4" s="377">
        <v>0</v>
      </c>
      <c r="M4" s="377">
        <v>5</v>
      </c>
      <c r="N4" s="382">
        <f>SUM(D4:M4)</f>
        <v>214</v>
      </c>
    </row>
    <row r="5" spans="2:14" ht="22.5" customHeight="1" x14ac:dyDescent="0.2">
      <c r="B5" s="620"/>
      <c r="C5" s="374" t="s">
        <v>10</v>
      </c>
      <c r="D5" s="377">
        <v>58</v>
      </c>
      <c r="E5" s="377">
        <v>18</v>
      </c>
      <c r="F5" s="377">
        <v>49</v>
      </c>
      <c r="G5" s="377">
        <v>42</v>
      </c>
      <c r="H5" s="377">
        <v>8</v>
      </c>
      <c r="I5" s="377">
        <v>52</v>
      </c>
      <c r="J5" s="377">
        <v>0</v>
      </c>
      <c r="K5" s="377">
        <v>6</v>
      </c>
      <c r="L5" s="377">
        <v>5</v>
      </c>
      <c r="M5" s="377">
        <v>4</v>
      </c>
      <c r="N5" s="382">
        <f>SUM(D5:M5)</f>
        <v>242</v>
      </c>
    </row>
    <row r="6" spans="2:14" ht="22.5" customHeight="1" x14ac:dyDescent="0.2">
      <c r="B6" s="621"/>
      <c r="C6" s="374" t="s">
        <v>845</v>
      </c>
      <c r="D6" s="377">
        <f t="shared" ref="D6:N6" si="0">SUM(D4:D5)</f>
        <v>83</v>
      </c>
      <c r="E6" s="377">
        <f t="shared" si="0"/>
        <v>25</v>
      </c>
      <c r="F6" s="377">
        <f t="shared" si="0"/>
        <v>106</v>
      </c>
      <c r="G6" s="377">
        <f t="shared" si="0"/>
        <v>83</v>
      </c>
      <c r="H6" s="377">
        <f t="shared" si="0"/>
        <v>45</v>
      </c>
      <c r="I6" s="377">
        <f t="shared" si="0"/>
        <v>84</v>
      </c>
      <c r="J6" s="377">
        <f t="shared" si="0"/>
        <v>0</v>
      </c>
      <c r="K6" s="377">
        <f t="shared" si="0"/>
        <v>16</v>
      </c>
      <c r="L6" s="377">
        <f t="shared" si="0"/>
        <v>5</v>
      </c>
      <c r="M6" s="377">
        <f t="shared" si="0"/>
        <v>9</v>
      </c>
      <c r="N6" s="377">
        <f t="shared" si="0"/>
        <v>456</v>
      </c>
    </row>
    <row r="7" spans="2:14" ht="22.5" customHeight="1" x14ac:dyDescent="0.2">
      <c r="B7" s="619" t="s">
        <v>869</v>
      </c>
      <c r="C7" s="374" t="s">
        <v>9</v>
      </c>
      <c r="D7" s="377">
        <v>16</v>
      </c>
      <c r="E7" s="377">
        <v>5</v>
      </c>
      <c r="F7" s="377">
        <v>37</v>
      </c>
      <c r="G7" s="377">
        <v>27</v>
      </c>
      <c r="H7" s="377">
        <v>24</v>
      </c>
      <c r="I7" s="377">
        <v>21</v>
      </c>
      <c r="J7" s="377">
        <v>0</v>
      </c>
      <c r="K7" s="377">
        <v>6</v>
      </c>
      <c r="L7" s="377">
        <v>0</v>
      </c>
      <c r="M7" s="377">
        <v>4</v>
      </c>
      <c r="N7" s="382">
        <f>SUM(D7:M7)</f>
        <v>140</v>
      </c>
    </row>
    <row r="8" spans="2:14" ht="22.5" customHeight="1" x14ac:dyDescent="0.2">
      <c r="B8" s="620"/>
      <c r="C8" s="374" t="s">
        <v>10</v>
      </c>
      <c r="D8" s="377">
        <v>42</v>
      </c>
      <c r="E8" s="377">
        <v>13</v>
      </c>
      <c r="F8" s="377">
        <v>36</v>
      </c>
      <c r="G8" s="377">
        <v>31</v>
      </c>
      <c r="H8" s="377">
        <v>6</v>
      </c>
      <c r="I8" s="377">
        <v>39</v>
      </c>
      <c r="J8" s="377">
        <v>0</v>
      </c>
      <c r="K8" s="377">
        <v>5</v>
      </c>
      <c r="L8" s="377">
        <v>4</v>
      </c>
      <c r="M8" s="377">
        <v>3</v>
      </c>
      <c r="N8" s="382">
        <f>SUM(D8:M8)</f>
        <v>179</v>
      </c>
    </row>
    <row r="9" spans="2:14" ht="22.5" customHeight="1" x14ac:dyDescent="0.2">
      <c r="B9" s="621"/>
      <c r="C9" s="374" t="s">
        <v>845</v>
      </c>
      <c r="D9" s="377">
        <f t="shared" ref="D9:N9" si="1">SUM(D7:D8)</f>
        <v>58</v>
      </c>
      <c r="E9" s="377">
        <f t="shared" si="1"/>
        <v>18</v>
      </c>
      <c r="F9" s="377">
        <f t="shared" si="1"/>
        <v>73</v>
      </c>
      <c r="G9" s="377">
        <f t="shared" si="1"/>
        <v>58</v>
      </c>
      <c r="H9" s="377">
        <f t="shared" si="1"/>
        <v>30</v>
      </c>
      <c r="I9" s="377">
        <f t="shared" si="1"/>
        <v>60</v>
      </c>
      <c r="J9" s="377">
        <f t="shared" si="1"/>
        <v>0</v>
      </c>
      <c r="K9" s="377">
        <f t="shared" si="1"/>
        <v>11</v>
      </c>
      <c r="L9" s="377">
        <f t="shared" si="1"/>
        <v>4</v>
      </c>
      <c r="M9" s="377">
        <f t="shared" si="1"/>
        <v>7</v>
      </c>
      <c r="N9" s="377">
        <f t="shared" si="1"/>
        <v>319</v>
      </c>
    </row>
    <row r="10" spans="2:14" ht="22.5" customHeight="1" x14ac:dyDescent="0.2">
      <c r="B10" s="619" t="s">
        <v>868</v>
      </c>
      <c r="C10" s="374" t="s">
        <v>9</v>
      </c>
      <c r="D10" s="377">
        <v>1</v>
      </c>
      <c r="E10" s="377">
        <v>0</v>
      </c>
      <c r="F10" s="377">
        <v>2</v>
      </c>
      <c r="G10" s="377">
        <v>2</v>
      </c>
      <c r="H10" s="377">
        <v>2</v>
      </c>
      <c r="I10" s="377">
        <v>2</v>
      </c>
      <c r="J10" s="377">
        <v>0</v>
      </c>
      <c r="K10" s="377">
        <v>0</v>
      </c>
      <c r="L10" s="377">
        <v>0</v>
      </c>
      <c r="M10" s="377">
        <v>0</v>
      </c>
      <c r="N10" s="382">
        <f>SUM(D10:M10)</f>
        <v>9</v>
      </c>
    </row>
    <row r="11" spans="2:14" ht="22.5" customHeight="1" x14ac:dyDescent="0.2">
      <c r="B11" s="620"/>
      <c r="C11" s="374" t="s">
        <v>10</v>
      </c>
      <c r="D11" s="377">
        <v>2</v>
      </c>
      <c r="E11" s="377">
        <v>1</v>
      </c>
      <c r="F11" s="377">
        <v>1</v>
      </c>
      <c r="G11" s="377">
        <v>1</v>
      </c>
      <c r="H11" s="377">
        <v>0</v>
      </c>
      <c r="I11" s="377">
        <v>2</v>
      </c>
      <c r="J11" s="377">
        <v>0</v>
      </c>
      <c r="K11" s="377">
        <v>0</v>
      </c>
      <c r="L11" s="377">
        <v>0</v>
      </c>
      <c r="M11" s="377">
        <v>0</v>
      </c>
      <c r="N11" s="382">
        <f>SUM(D11:M11)</f>
        <v>7</v>
      </c>
    </row>
    <row r="12" spans="2:14" ht="22.5" customHeight="1" x14ac:dyDescent="0.2">
      <c r="B12" s="621"/>
      <c r="C12" s="374" t="s">
        <v>845</v>
      </c>
      <c r="D12" s="377">
        <f t="shared" ref="D12:N12" si="2">SUM(D10:D11)</f>
        <v>3</v>
      </c>
      <c r="E12" s="377">
        <f t="shared" si="2"/>
        <v>1</v>
      </c>
      <c r="F12" s="377">
        <f t="shared" si="2"/>
        <v>3</v>
      </c>
      <c r="G12" s="377">
        <f t="shared" si="2"/>
        <v>3</v>
      </c>
      <c r="H12" s="377">
        <f t="shared" si="2"/>
        <v>2</v>
      </c>
      <c r="I12" s="377">
        <f t="shared" si="2"/>
        <v>4</v>
      </c>
      <c r="J12" s="377">
        <f t="shared" si="2"/>
        <v>0</v>
      </c>
      <c r="K12" s="377">
        <f t="shared" si="2"/>
        <v>0</v>
      </c>
      <c r="L12" s="377">
        <f t="shared" si="2"/>
        <v>0</v>
      </c>
      <c r="M12" s="377">
        <f t="shared" si="2"/>
        <v>0</v>
      </c>
      <c r="N12" s="377">
        <f t="shared" si="2"/>
        <v>16</v>
      </c>
    </row>
    <row r="13" spans="2:14" ht="22.5" customHeight="1" x14ac:dyDescent="0.2">
      <c r="B13" s="619" t="s">
        <v>867</v>
      </c>
      <c r="C13" s="374" t="s">
        <v>9</v>
      </c>
      <c r="D13" s="377">
        <v>14</v>
      </c>
      <c r="E13" s="377">
        <v>5</v>
      </c>
      <c r="F13" s="377">
        <v>33</v>
      </c>
      <c r="G13" s="377">
        <v>23</v>
      </c>
      <c r="H13" s="377">
        <v>21</v>
      </c>
      <c r="I13" s="377">
        <v>18</v>
      </c>
      <c r="J13" s="377">
        <v>0</v>
      </c>
      <c r="K13" s="377">
        <v>6</v>
      </c>
      <c r="L13" s="377">
        <v>0</v>
      </c>
      <c r="M13" s="377">
        <v>3</v>
      </c>
      <c r="N13" s="382">
        <f>SUM(D13:M13)</f>
        <v>123</v>
      </c>
    </row>
    <row r="14" spans="2:14" ht="22.5" customHeight="1" x14ac:dyDescent="0.2">
      <c r="B14" s="620"/>
      <c r="C14" s="374" t="s">
        <v>10</v>
      </c>
      <c r="D14" s="377">
        <v>35</v>
      </c>
      <c r="E14" s="377">
        <v>10</v>
      </c>
      <c r="F14" s="377">
        <v>30</v>
      </c>
      <c r="G14" s="377">
        <v>26</v>
      </c>
      <c r="H14" s="377">
        <v>5</v>
      </c>
      <c r="I14" s="377">
        <v>32</v>
      </c>
      <c r="J14" s="377">
        <v>0</v>
      </c>
      <c r="K14" s="377">
        <v>4</v>
      </c>
      <c r="L14" s="377">
        <v>3</v>
      </c>
      <c r="M14" s="377">
        <v>3</v>
      </c>
      <c r="N14" s="382">
        <f>SUM(D14:M14)</f>
        <v>148</v>
      </c>
    </row>
    <row r="15" spans="2:14" ht="22.5" customHeight="1" x14ac:dyDescent="0.2">
      <c r="B15" s="621"/>
      <c r="C15" s="374" t="s">
        <v>845</v>
      </c>
      <c r="D15" s="377">
        <f t="shared" ref="D15:N15" si="3">SUM(D13:D14)</f>
        <v>49</v>
      </c>
      <c r="E15" s="377">
        <f t="shared" si="3"/>
        <v>15</v>
      </c>
      <c r="F15" s="377">
        <f t="shared" si="3"/>
        <v>63</v>
      </c>
      <c r="G15" s="377">
        <f t="shared" si="3"/>
        <v>49</v>
      </c>
      <c r="H15" s="377">
        <f t="shared" si="3"/>
        <v>26</v>
      </c>
      <c r="I15" s="377">
        <f t="shared" si="3"/>
        <v>50</v>
      </c>
      <c r="J15" s="377">
        <f t="shared" si="3"/>
        <v>0</v>
      </c>
      <c r="K15" s="377">
        <f t="shared" si="3"/>
        <v>10</v>
      </c>
      <c r="L15" s="377">
        <f t="shared" si="3"/>
        <v>3</v>
      </c>
      <c r="M15" s="377">
        <f t="shared" si="3"/>
        <v>6</v>
      </c>
      <c r="N15" s="377">
        <f t="shared" si="3"/>
        <v>271</v>
      </c>
    </row>
    <row r="16" spans="2:14" ht="22.5" customHeight="1" x14ac:dyDescent="0.2">
      <c r="B16" s="619" t="s">
        <v>16</v>
      </c>
      <c r="C16" s="374" t="s">
        <v>9</v>
      </c>
      <c r="D16" s="377">
        <v>1</v>
      </c>
      <c r="E16" s="377">
        <v>0</v>
      </c>
      <c r="F16" s="377">
        <v>1</v>
      </c>
      <c r="G16" s="377">
        <v>1</v>
      </c>
      <c r="H16" s="377">
        <v>1</v>
      </c>
      <c r="I16" s="377">
        <v>1</v>
      </c>
      <c r="J16" s="377">
        <v>0</v>
      </c>
      <c r="K16" s="377">
        <v>0</v>
      </c>
      <c r="L16" s="377">
        <v>0</v>
      </c>
      <c r="M16" s="377">
        <v>0</v>
      </c>
      <c r="N16" s="382">
        <f>SUM(D16:M16)</f>
        <v>5</v>
      </c>
    </row>
    <row r="17" spans="2:14" ht="22.5" customHeight="1" x14ac:dyDescent="0.2">
      <c r="B17" s="620"/>
      <c r="C17" s="374" t="s">
        <v>10</v>
      </c>
      <c r="D17" s="377">
        <v>1</v>
      </c>
      <c r="E17" s="377">
        <v>0</v>
      </c>
      <c r="F17" s="377">
        <v>1</v>
      </c>
      <c r="G17" s="377">
        <v>1</v>
      </c>
      <c r="H17" s="377">
        <v>0</v>
      </c>
      <c r="I17" s="377">
        <v>1</v>
      </c>
      <c r="J17" s="377">
        <v>0</v>
      </c>
      <c r="K17" s="377">
        <v>0</v>
      </c>
      <c r="L17" s="377">
        <v>0</v>
      </c>
      <c r="M17" s="377">
        <v>0</v>
      </c>
      <c r="N17" s="382">
        <f>SUM(D17:M17)</f>
        <v>4</v>
      </c>
    </row>
    <row r="18" spans="2:14" ht="22.5" customHeight="1" x14ac:dyDescent="0.2">
      <c r="B18" s="621"/>
      <c r="C18" s="374" t="s">
        <v>845</v>
      </c>
      <c r="D18" s="377">
        <f t="shared" ref="D18:N18" si="4">SUM(D16:D17)</f>
        <v>2</v>
      </c>
      <c r="E18" s="377">
        <f t="shared" si="4"/>
        <v>0</v>
      </c>
      <c r="F18" s="377">
        <f t="shared" si="4"/>
        <v>2</v>
      </c>
      <c r="G18" s="377">
        <f t="shared" si="4"/>
        <v>2</v>
      </c>
      <c r="H18" s="377">
        <f t="shared" si="4"/>
        <v>1</v>
      </c>
      <c r="I18" s="377">
        <f t="shared" si="4"/>
        <v>2</v>
      </c>
      <c r="J18" s="377">
        <f t="shared" si="4"/>
        <v>0</v>
      </c>
      <c r="K18" s="377">
        <f t="shared" si="4"/>
        <v>0</v>
      </c>
      <c r="L18" s="377">
        <f t="shared" si="4"/>
        <v>0</v>
      </c>
      <c r="M18" s="377">
        <f t="shared" si="4"/>
        <v>0</v>
      </c>
      <c r="N18" s="377">
        <f t="shared" si="4"/>
        <v>9</v>
      </c>
    </row>
    <row r="19" spans="2:14" ht="22.5" customHeight="1" x14ac:dyDescent="0.2">
      <c r="B19" s="619" t="s">
        <v>21</v>
      </c>
      <c r="C19" s="374" t="s">
        <v>9</v>
      </c>
      <c r="D19" s="377">
        <v>244</v>
      </c>
      <c r="E19" s="377">
        <v>71</v>
      </c>
      <c r="F19" s="377">
        <v>562</v>
      </c>
      <c r="G19" s="377">
        <v>407</v>
      </c>
      <c r="H19" s="377">
        <v>371</v>
      </c>
      <c r="I19" s="377">
        <v>316</v>
      </c>
      <c r="J19" s="377">
        <v>3</v>
      </c>
      <c r="K19" s="377">
        <v>96</v>
      </c>
      <c r="L19" s="377">
        <v>4</v>
      </c>
      <c r="M19" s="377">
        <v>54</v>
      </c>
      <c r="N19" s="382">
        <f>SUM(D19:M19)</f>
        <v>2128</v>
      </c>
    </row>
    <row r="20" spans="2:14" ht="22.5" customHeight="1" x14ac:dyDescent="0.2">
      <c r="B20" s="620"/>
      <c r="C20" s="374" t="s">
        <v>10</v>
      </c>
      <c r="D20" s="377">
        <v>111</v>
      </c>
      <c r="E20" s="377">
        <v>35</v>
      </c>
      <c r="F20" s="377">
        <v>94</v>
      </c>
      <c r="G20" s="377">
        <v>80</v>
      </c>
      <c r="H20" s="377">
        <v>14</v>
      </c>
      <c r="I20" s="377">
        <v>100</v>
      </c>
      <c r="J20" s="377">
        <v>1</v>
      </c>
      <c r="K20" s="377">
        <v>12</v>
      </c>
      <c r="L20" s="377">
        <v>9</v>
      </c>
      <c r="M20" s="377">
        <v>8</v>
      </c>
      <c r="N20" s="382">
        <f>SUM(D20:M20)</f>
        <v>464</v>
      </c>
    </row>
    <row r="21" spans="2:14" ht="22.5" customHeight="1" x14ac:dyDescent="0.2">
      <c r="B21" s="621"/>
      <c r="C21" s="374" t="s">
        <v>845</v>
      </c>
      <c r="D21" s="377">
        <f t="shared" ref="D21:N21" si="5">SUM(D19:D20)</f>
        <v>355</v>
      </c>
      <c r="E21" s="377">
        <f t="shared" si="5"/>
        <v>106</v>
      </c>
      <c r="F21" s="377">
        <f t="shared" si="5"/>
        <v>656</v>
      </c>
      <c r="G21" s="377">
        <f t="shared" si="5"/>
        <v>487</v>
      </c>
      <c r="H21" s="377">
        <f t="shared" si="5"/>
        <v>385</v>
      </c>
      <c r="I21" s="377">
        <f t="shared" si="5"/>
        <v>416</v>
      </c>
      <c r="J21" s="377">
        <f t="shared" si="5"/>
        <v>4</v>
      </c>
      <c r="K21" s="377">
        <f t="shared" si="5"/>
        <v>108</v>
      </c>
      <c r="L21" s="377">
        <f t="shared" si="5"/>
        <v>13</v>
      </c>
      <c r="M21" s="377">
        <f t="shared" si="5"/>
        <v>62</v>
      </c>
      <c r="N21" s="377">
        <f t="shared" si="5"/>
        <v>2592</v>
      </c>
    </row>
    <row r="22" spans="2:14" ht="22.5" customHeight="1" x14ac:dyDescent="0.2">
      <c r="B22" s="619" t="s">
        <v>19</v>
      </c>
      <c r="C22" s="374" t="s">
        <v>9</v>
      </c>
      <c r="D22" s="377">
        <v>1</v>
      </c>
      <c r="E22" s="377">
        <v>0</v>
      </c>
      <c r="F22" s="377">
        <v>3</v>
      </c>
      <c r="G22" s="377">
        <v>2</v>
      </c>
      <c r="H22" s="377">
        <v>2</v>
      </c>
      <c r="I22" s="377">
        <v>2</v>
      </c>
      <c r="J22" s="377">
        <v>2</v>
      </c>
      <c r="K22" s="377">
        <v>1</v>
      </c>
      <c r="L22" s="377">
        <v>0</v>
      </c>
      <c r="M22" s="377">
        <v>0</v>
      </c>
      <c r="N22" s="382">
        <f>SUM(D22:M22)</f>
        <v>13</v>
      </c>
    </row>
    <row r="23" spans="2:14" ht="22.5" customHeight="1" x14ac:dyDescent="0.2">
      <c r="B23" s="620"/>
      <c r="C23" s="374" t="s">
        <v>10</v>
      </c>
      <c r="D23" s="377">
        <v>2</v>
      </c>
      <c r="E23" s="377">
        <v>1</v>
      </c>
      <c r="F23" s="377">
        <v>2</v>
      </c>
      <c r="G23" s="377">
        <v>1</v>
      </c>
      <c r="H23" s="377">
        <v>0</v>
      </c>
      <c r="I23" s="377">
        <v>2</v>
      </c>
      <c r="J23" s="377">
        <v>0</v>
      </c>
      <c r="K23" s="377">
        <v>0</v>
      </c>
      <c r="L23" s="377">
        <v>0</v>
      </c>
      <c r="M23" s="377">
        <v>0</v>
      </c>
      <c r="N23" s="382">
        <f>SUM(D23:M23)</f>
        <v>8</v>
      </c>
    </row>
    <row r="24" spans="2:14" ht="22.5" customHeight="1" x14ac:dyDescent="0.2">
      <c r="B24" s="621"/>
      <c r="C24" s="374" t="s">
        <v>845</v>
      </c>
      <c r="D24" s="377">
        <f t="shared" ref="D24:N24" si="6">SUM(D22:D23)</f>
        <v>3</v>
      </c>
      <c r="E24" s="377">
        <f t="shared" si="6"/>
        <v>1</v>
      </c>
      <c r="F24" s="377">
        <f t="shared" si="6"/>
        <v>5</v>
      </c>
      <c r="G24" s="377">
        <f t="shared" si="6"/>
        <v>3</v>
      </c>
      <c r="H24" s="377">
        <f t="shared" si="6"/>
        <v>2</v>
      </c>
      <c r="I24" s="377">
        <f t="shared" si="6"/>
        <v>4</v>
      </c>
      <c r="J24" s="377">
        <f t="shared" si="6"/>
        <v>2</v>
      </c>
      <c r="K24" s="377">
        <f t="shared" si="6"/>
        <v>1</v>
      </c>
      <c r="L24" s="377">
        <f t="shared" si="6"/>
        <v>0</v>
      </c>
      <c r="M24" s="377">
        <f t="shared" si="6"/>
        <v>0</v>
      </c>
      <c r="N24" s="377">
        <f t="shared" si="6"/>
        <v>21</v>
      </c>
    </row>
    <row r="25" spans="2:14" ht="22.5" customHeight="1" x14ac:dyDescent="0.2">
      <c r="B25" s="619" t="s">
        <v>866</v>
      </c>
      <c r="C25" s="374" t="s">
        <v>9</v>
      </c>
      <c r="D25" s="377">
        <v>4</v>
      </c>
      <c r="E25" s="377">
        <v>1</v>
      </c>
      <c r="F25" s="377">
        <v>8</v>
      </c>
      <c r="G25" s="377">
        <v>6</v>
      </c>
      <c r="H25" s="377">
        <v>6</v>
      </c>
      <c r="I25" s="377">
        <v>5</v>
      </c>
      <c r="J25" s="377">
        <v>0</v>
      </c>
      <c r="K25" s="377">
        <v>1</v>
      </c>
      <c r="L25" s="377">
        <v>0</v>
      </c>
      <c r="M25" s="377">
        <v>1</v>
      </c>
      <c r="N25" s="382">
        <f>SUM(D25:M25)</f>
        <v>32</v>
      </c>
    </row>
    <row r="26" spans="2:14" ht="22.5" customHeight="1" x14ac:dyDescent="0.2">
      <c r="B26" s="620"/>
      <c r="C26" s="374" t="s">
        <v>10</v>
      </c>
      <c r="D26" s="377">
        <v>4</v>
      </c>
      <c r="E26" s="377">
        <v>1</v>
      </c>
      <c r="F26" s="377">
        <v>2</v>
      </c>
      <c r="G26" s="377">
        <v>2</v>
      </c>
      <c r="H26" s="377">
        <v>0</v>
      </c>
      <c r="I26" s="377">
        <v>3</v>
      </c>
      <c r="J26" s="377">
        <v>0</v>
      </c>
      <c r="K26" s="377">
        <v>0</v>
      </c>
      <c r="L26" s="377">
        <v>0</v>
      </c>
      <c r="M26" s="377">
        <v>0</v>
      </c>
      <c r="N26" s="382">
        <f>SUM(D26:M26)</f>
        <v>12</v>
      </c>
    </row>
    <row r="27" spans="2:14" ht="22.5" customHeight="1" x14ac:dyDescent="0.2">
      <c r="B27" s="621"/>
      <c r="C27" s="374" t="s">
        <v>845</v>
      </c>
      <c r="D27" s="377">
        <f t="shared" ref="D27:N27" si="7">SUM(D25:D26)</f>
        <v>8</v>
      </c>
      <c r="E27" s="377">
        <f t="shared" si="7"/>
        <v>2</v>
      </c>
      <c r="F27" s="377">
        <f t="shared" si="7"/>
        <v>10</v>
      </c>
      <c r="G27" s="377">
        <f t="shared" si="7"/>
        <v>8</v>
      </c>
      <c r="H27" s="377">
        <f t="shared" si="7"/>
        <v>6</v>
      </c>
      <c r="I27" s="377">
        <f t="shared" si="7"/>
        <v>8</v>
      </c>
      <c r="J27" s="377">
        <f t="shared" si="7"/>
        <v>0</v>
      </c>
      <c r="K27" s="377">
        <f t="shared" si="7"/>
        <v>1</v>
      </c>
      <c r="L27" s="377">
        <f t="shared" si="7"/>
        <v>0</v>
      </c>
      <c r="M27" s="377">
        <f t="shared" si="7"/>
        <v>1</v>
      </c>
      <c r="N27" s="377">
        <f t="shared" si="7"/>
        <v>44</v>
      </c>
    </row>
    <row r="28" spans="2:14" ht="22.5" customHeight="1" x14ac:dyDescent="0.2">
      <c r="B28" s="619" t="s">
        <v>865</v>
      </c>
      <c r="C28" s="374" t="s">
        <v>9</v>
      </c>
      <c r="D28" s="377">
        <v>1</v>
      </c>
      <c r="E28" s="377">
        <v>0</v>
      </c>
      <c r="F28" s="377">
        <v>2</v>
      </c>
      <c r="G28" s="377">
        <v>1</v>
      </c>
      <c r="H28" s="377">
        <v>1</v>
      </c>
      <c r="I28" s="377">
        <v>1</v>
      </c>
      <c r="J28" s="377">
        <v>0</v>
      </c>
      <c r="K28" s="377">
        <v>0</v>
      </c>
      <c r="L28" s="377">
        <v>1</v>
      </c>
      <c r="M28" s="377">
        <v>0</v>
      </c>
      <c r="N28" s="382">
        <f>SUM(D28:M28)</f>
        <v>7</v>
      </c>
    </row>
    <row r="29" spans="2:14" ht="22.5" customHeight="1" x14ac:dyDescent="0.2">
      <c r="B29" s="620"/>
      <c r="C29" s="374" t="s">
        <v>10</v>
      </c>
      <c r="D29" s="377">
        <v>0</v>
      </c>
      <c r="E29" s="377">
        <v>0</v>
      </c>
      <c r="F29" s="377">
        <v>0</v>
      </c>
      <c r="G29" s="377">
        <v>0</v>
      </c>
      <c r="H29" s="377">
        <v>0</v>
      </c>
      <c r="I29" s="377">
        <v>0</v>
      </c>
      <c r="J29" s="377">
        <v>1</v>
      </c>
      <c r="K29" s="377">
        <v>0</v>
      </c>
      <c r="L29" s="377">
        <v>0</v>
      </c>
      <c r="M29" s="377">
        <v>0</v>
      </c>
      <c r="N29" s="382">
        <f>SUM(D29:M29)</f>
        <v>1</v>
      </c>
    </row>
    <row r="30" spans="2:14" ht="22.5" customHeight="1" x14ac:dyDescent="0.2">
      <c r="B30" s="621"/>
      <c r="C30" s="374" t="s">
        <v>845</v>
      </c>
      <c r="D30" s="377">
        <f t="shared" ref="D30:N30" si="8">SUM(D28:D29)</f>
        <v>1</v>
      </c>
      <c r="E30" s="377">
        <f t="shared" si="8"/>
        <v>0</v>
      </c>
      <c r="F30" s="377">
        <f t="shared" si="8"/>
        <v>2</v>
      </c>
      <c r="G30" s="377">
        <f t="shared" si="8"/>
        <v>1</v>
      </c>
      <c r="H30" s="377">
        <f t="shared" si="8"/>
        <v>1</v>
      </c>
      <c r="I30" s="377">
        <f t="shared" si="8"/>
        <v>1</v>
      </c>
      <c r="J30" s="377">
        <f t="shared" si="8"/>
        <v>1</v>
      </c>
      <c r="K30" s="377">
        <f t="shared" si="8"/>
        <v>0</v>
      </c>
      <c r="L30" s="377">
        <f t="shared" si="8"/>
        <v>1</v>
      </c>
      <c r="M30" s="377">
        <f t="shared" si="8"/>
        <v>0</v>
      </c>
      <c r="N30" s="377">
        <f t="shared" si="8"/>
        <v>8</v>
      </c>
    </row>
    <row r="31" spans="2:14" ht="22.5" customHeight="1" x14ac:dyDescent="0.2">
      <c r="B31" s="619" t="s">
        <v>18</v>
      </c>
      <c r="C31" s="374" t="s">
        <v>9</v>
      </c>
      <c r="D31" s="377">
        <v>2</v>
      </c>
      <c r="E31" s="377">
        <v>0</v>
      </c>
      <c r="F31" s="377">
        <v>4</v>
      </c>
      <c r="G31" s="377">
        <v>3</v>
      </c>
      <c r="H31" s="377">
        <v>2</v>
      </c>
      <c r="I31" s="377">
        <v>2</v>
      </c>
      <c r="J31" s="377">
        <v>0</v>
      </c>
      <c r="K31" s="377">
        <v>1</v>
      </c>
      <c r="L31" s="377">
        <v>0</v>
      </c>
      <c r="M31" s="377">
        <v>0</v>
      </c>
      <c r="N31" s="382">
        <f>SUM(D31:M31)</f>
        <v>14</v>
      </c>
    </row>
    <row r="32" spans="2:14" ht="22.5" customHeight="1" x14ac:dyDescent="0.2">
      <c r="B32" s="620"/>
      <c r="C32" s="374" t="s">
        <v>10</v>
      </c>
      <c r="D32" s="377">
        <v>2</v>
      </c>
      <c r="E32" s="377">
        <v>1</v>
      </c>
      <c r="F32" s="377">
        <v>2</v>
      </c>
      <c r="G32" s="377">
        <v>2</v>
      </c>
      <c r="H32" s="377">
        <v>0</v>
      </c>
      <c r="I32" s="377">
        <v>2</v>
      </c>
      <c r="J32" s="377">
        <v>0</v>
      </c>
      <c r="K32" s="377">
        <v>0</v>
      </c>
      <c r="L32" s="377">
        <v>0</v>
      </c>
      <c r="M32" s="377">
        <v>0</v>
      </c>
      <c r="N32" s="382">
        <f>SUM(D32:M32)</f>
        <v>9</v>
      </c>
    </row>
    <row r="33" spans="2:14" ht="22.5" customHeight="1" x14ac:dyDescent="0.2">
      <c r="B33" s="621"/>
      <c r="C33" s="374" t="s">
        <v>845</v>
      </c>
      <c r="D33" s="377">
        <f t="shared" ref="D33:N33" si="9">SUM(D31:D32)</f>
        <v>4</v>
      </c>
      <c r="E33" s="377">
        <f t="shared" si="9"/>
        <v>1</v>
      </c>
      <c r="F33" s="377">
        <f t="shared" si="9"/>
        <v>6</v>
      </c>
      <c r="G33" s="377">
        <f t="shared" si="9"/>
        <v>5</v>
      </c>
      <c r="H33" s="377">
        <f t="shared" si="9"/>
        <v>2</v>
      </c>
      <c r="I33" s="377">
        <f t="shared" si="9"/>
        <v>4</v>
      </c>
      <c r="J33" s="377">
        <f t="shared" si="9"/>
        <v>0</v>
      </c>
      <c r="K33" s="377">
        <f t="shared" si="9"/>
        <v>1</v>
      </c>
      <c r="L33" s="377">
        <f t="shared" si="9"/>
        <v>0</v>
      </c>
      <c r="M33" s="377">
        <f t="shared" si="9"/>
        <v>0</v>
      </c>
      <c r="N33" s="377">
        <f t="shared" si="9"/>
        <v>23</v>
      </c>
    </row>
    <row r="34" spans="2:14" ht="22.5" customHeight="1" x14ac:dyDescent="0.2">
      <c r="B34" s="619" t="s">
        <v>23</v>
      </c>
      <c r="C34" s="374" t="s">
        <v>9</v>
      </c>
      <c r="D34" s="377">
        <v>142</v>
      </c>
      <c r="E34" s="377">
        <v>41</v>
      </c>
      <c r="F34" s="377">
        <v>327</v>
      </c>
      <c r="G34" s="377">
        <v>236</v>
      </c>
      <c r="H34" s="377">
        <v>215</v>
      </c>
      <c r="I34" s="377">
        <v>184</v>
      </c>
      <c r="J34" s="377">
        <v>2</v>
      </c>
      <c r="K34" s="377">
        <v>56</v>
      </c>
      <c r="L34" s="377">
        <v>2</v>
      </c>
      <c r="M34" s="377">
        <v>32</v>
      </c>
      <c r="N34" s="382">
        <f>SUM(D34:M34)</f>
        <v>1237</v>
      </c>
    </row>
    <row r="35" spans="2:14" ht="22.5" customHeight="1" x14ac:dyDescent="0.2">
      <c r="B35" s="620"/>
      <c r="C35" s="374" t="s">
        <v>10</v>
      </c>
      <c r="D35" s="377">
        <v>49</v>
      </c>
      <c r="E35" s="377">
        <v>16</v>
      </c>
      <c r="F35" s="377">
        <v>42</v>
      </c>
      <c r="G35" s="377">
        <v>36</v>
      </c>
      <c r="H35" s="377">
        <v>6</v>
      </c>
      <c r="I35" s="377">
        <v>45</v>
      </c>
      <c r="J35" s="377">
        <v>0</v>
      </c>
      <c r="K35" s="377">
        <v>5</v>
      </c>
      <c r="L35" s="377">
        <v>4</v>
      </c>
      <c r="M35" s="377">
        <v>4</v>
      </c>
      <c r="N35" s="382">
        <f>SUM(D35:M35)</f>
        <v>207</v>
      </c>
    </row>
    <row r="36" spans="2:14" ht="22.5" customHeight="1" x14ac:dyDescent="0.2">
      <c r="B36" s="621"/>
      <c r="C36" s="374" t="s">
        <v>845</v>
      </c>
      <c r="D36" s="377">
        <f t="shared" ref="D36:N36" si="10">SUM(D34:D35)</f>
        <v>191</v>
      </c>
      <c r="E36" s="377">
        <f t="shared" si="10"/>
        <v>57</v>
      </c>
      <c r="F36" s="377">
        <f t="shared" si="10"/>
        <v>369</v>
      </c>
      <c r="G36" s="377">
        <f t="shared" si="10"/>
        <v>272</v>
      </c>
      <c r="H36" s="377">
        <f t="shared" si="10"/>
        <v>221</v>
      </c>
      <c r="I36" s="377">
        <f t="shared" si="10"/>
        <v>229</v>
      </c>
      <c r="J36" s="377">
        <f t="shared" si="10"/>
        <v>2</v>
      </c>
      <c r="K36" s="377">
        <f t="shared" si="10"/>
        <v>61</v>
      </c>
      <c r="L36" s="377">
        <f t="shared" si="10"/>
        <v>6</v>
      </c>
      <c r="M36" s="377">
        <f t="shared" si="10"/>
        <v>36</v>
      </c>
      <c r="N36" s="377">
        <f t="shared" si="10"/>
        <v>1444</v>
      </c>
    </row>
    <row r="37" spans="2:14" ht="22.5" customHeight="1" x14ac:dyDescent="0.2">
      <c r="B37" s="619" t="s">
        <v>15</v>
      </c>
      <c r="C37" s="374" t="s">
        <v>9</v>
      </c>
      <c r="D37" s="377">
        <v>3</v>
      </c>
      <c r="E37" s="377">
        <v>1</v>
      </c>
      <c r="F37" s="377">
        <v>8</v>
      </c>
      <c r="G37" s="377">
        <v>6</v>
      </c>
      <c r="H37" s="377">
        <v>5</v>
      </c>
      <c r="I37" s="377">
        <v>4</v>
      </c>
      <c r="J37" s="377">
        <v>0</v>
      </c>
      <c r="K37" s="377">
        <v>1</v>
      </c>
      <c r="L37" s="377">
        <v>0</v>
      </c>
      <c r="M37" s="377">
        <v>1</v>
      </c>
      <c r="N37" s="382">
        <f>SUM(D37:M37)</f>
        <v>29</v>
      </c>
    </row>
    <row r="38" spans="2:14" ht="22.5" customHeight="1" x14ac:dyDescent="0.2">
      <c r="B38" s="620"/>
      <c r="C38" s="374" t="s">
        <v>10</v>
      </c>
      <c r="D38" s="377">
        <v>5</v>
      </c>
      <c r="E38" s="377">
        <v>2</v>
      </c>
      <c r="F38" s="377">
        <v>4</v>
      </c>
      <c r="G38" s="377">
        <v>3</v>
      </c>
      <c r="H38" s="377">
        <v>1</v>
      </c>
      <c r="I38" s="377">
        <v>4</v>
      </c>
      <c r="J38" s="377">
        <v>0</v>
      </c>
      <c r="K38" s="377">
        <v>1</v>
      </c>
      <c r="L38" s="377">
        <v>0</v>
      </c>
      <c r="M38" s="377">
        <v>0</v>
      </c>
      <c r="N38" s="382">
        <f>SUM(D38:M38)</f>
        <v>20</v>
      </c>
    </row>
    <row r="39" spans="2:14" ht="22.5" customHeight="1" x14ac:dyDescent="0.2">
      <c r="B39" s="621"/>
      <c r="C39" s="374" t="s">
        <v>845</v>
      </c>
      <c r="D39" s="377">
        <f t="shared" ref="D39:N39" si="11">SUM(D37:D38)</f>
        <v>8</v>
      </c>
      <c r="E39" s="377">
        <f t="shared" si="11"/>
        <v>3</v>
      </c>
      <c r="F39" s="377">
        <f t="shared" si="11"/>
        <v>12</v>
      </c>
      <c r="G39" s="377">
        <f t="shared" si="11"/>
        <v>9</v>
      </c>
      <c r="H39" s="377">
        <f t="shared" si="11"/>
        <v>6</v>
      </c>
      <c r="I39" s="377">
        <f t="shared" si="11"/>
        <v>8</v>
      </c>
      <c r="J39" s="377">
        <f t="shared" si="11"/>
        <v>0</v>
      </c>
      <c r="K39" s="377">
        <f t="shared" si="11"/>
        <v>2</v>
      </c>
      <c r="L39" s="377">
        <f t="shared" si="11"/>
        <v>0</v>
      </c>
      <c r="M39" s="377">
        <f t="shared" si="11"/>
        <v>1</v>
      </c>
      <c r="N39" s="377">
        <f t="shared" si="11"/>
        <v>49</v>
      </c>
    </row>
    <row r="40" spans="2:14" ht="22.5" customHeight="1" x14ac:dyDescent="0.2">
      <c r="B40" s="619" t="s">
        <v>864</v>
      </c>
      <c r="C40" s="374" t="s">
        <v>9</v>
      </c>
      <c r="D40" s="377">
        <v>4</v>
      </c>
      <c r="E40" s="377">
        <v>1</v>
      </c>
      <c r="F40" s="377">
        <v>9</v>
      </c>
      <c r="G40" s="377">
        <v>7</v>
      </c>
      <c r="H40" s="377">
        <v>6</v>
      </c>
      <c r="I40" s="377">
        <v>5</v>
      </c>
      <c r="J40" s="377">
        <v>0</v>
      </c>
      <c r="K40" s="377">
        <v>2</v>
      </c>
      <c r="L40" s="377">
        <v>0</v>
      </c>
      <c r="M40" s="377">
        <v>1</v>
      </c>
      <c r="N40" s="382">
        <f>SUM(D40:M40)</f>
        <v>35</v>
      </c>
    </row>
    <row r="41" spans="2:14" ht="22.5" customHeight="1" x14ac:dyDescent="0.2">
      <c r="B41" s="620"/>
      <c r="C41" s="374" t="s">
        <v>10</v>
      </c>
      <c r="D41" s="377">
        <v>10</v>
      </c>
      <c r="E41" s="377">
        <v>3</v>
      </c>
      <c r="F41" s="377">
        <v>9</v>
      </c>
      <c r="G41" s="377">
        <v>7</v>
      </c>
      <c r="H41" s="377">
        <v>1</v>
      </c>
      <c r="I41" s="377">
        <v>10</v>
      </c>
      <c r="J41" s="377">
        <v>0</v>
      </c>
      <c r="K41" s="377">
        <v>1</v>
      </c>
      <c r="L41" s="377">
        <v>1</v>
      </c>
      <c r="M41" s="377">
        <v>1</v>
      </c>
      <c r="N41" s="382">
        <f>SUM(D41:M41)</f>
        <v>43</v>
      </c>
    </row>
    <row r="42" spans="2:14" ht="22.5" customHeight="1" x14ac:dyDescent="0.2">
      <c r="B42" s="621"/>
      <c r="C42" s="374" t="s">
        <v>845</v>
      </c>
      <c r="D42" s="377">
        <f t="shared" ref="D42:N42" si="12">SUM(D40:D41)</f>
        <v>14</v>
      </c>
      <c r="E42" s="377">
        <f t="shared" si="12"/>
        <v>4</v>
      </c>
      <c r="F42" s="377">
        <f t="shared" si="12"/>
        <v>18</v>
      </c>
      <c r="G42" s="377">
        <f t="shared" si="12"/>
        <v>14</v>
      </c>
      <c r="H42" s="377">
        <f t="shared" si="12"/>
        <v>7</v>
      </c>
      <c r="I42" s="377">
        <f t="shared" si="12"/>
        <v>15</v>
      </c>
      <c r="J42" s="377">
        <f t="shared" si="12"/>
        <v>0</v>
      </c>
      <c r="K42" s="377">
        <f t="shared" si="12"/>
        <v>3</v>
      </c>
      <c r="L42" s="377">
        <f t="shared" si="12"/>
        <v>1</v>
      </c>
      <c r="M42" s="377">
        <f t="shared" si="12"/>
        <v>2</v>
      </c>
      <c r="N42" s="377">
        <f t="shared" si="12"/>
        <v>78</v>
      </c>
    </row>
    <row r="43" spans="2:14" ht="22.5" customHeight="1" x14ac:dyDescent="0.2">
      <c r="B43" s="619" t="s">
        <v>25</v>
      </c>
      <c r="C43" s="374" t="s">
        <v>9</v>
      </c>
      <c r="D43" s="377">
        <v>22</v>
      </c>
      <c r="E43" s="377">
        <v>6</v>
      </c>
      <c r="F43" s="377">
        <v>51</v>
      </c>
      <c r="G43" s="377">
        <v>37</v>
      </c>
      <c r="H43" s="377">
        <v>34</v>
      </c>
      <c r="I43" s="377">
        <v>29</v>
      </c>
      <c r="J43" s="377">
        <v>0</v>
      </c>
      <c r="K43" s="377">
        <v>9</v>
      </c>
      <c r="L43" s="377">
        <v>0</v>
      </c>
      <c r="M43" s="377">
        <v>6</v>
      </c>
      <c r="N43" s="382">
        <f>SUM(D43:M43)</f>
        <v>194</v>
      </c>
    </row>
    <row r="44" spans="2:14" ht="22.5" customHeight="1" x14ac:dyDescent="0.2">
      <c r="B44" s="620"/>
      <c r="C44" s="374" t="s">
        <v>10</v>
      </c>
      <c r="D44" s="377">
        <v>10</v>
      </c>
      <c r="E44" s="377">
        <v>3</v>
      </c>
      <c r="F44" s="377">
        <v>9</v>
      </c>
      <c r="G44" s="377">
        <v>8</v>
      </c>
      <c r="H44" s="377">
        <v>1</v>
      </c>
      <c r="I44" s="377">
        <v>9</v>
      </c>
      <c r="J44" s="377">
        <v>0</v>
      </c>
      <c r="K44" s="377">
        <v>2</v>
      </c>
      <c r="L44" s="377">
        <v>1</v>
      </c>
      <c r="M44" s="377">
        <v>1</v>
      </c>
      <c r="N44" s="382">
        <f>SUM(D44:M44)</f>
        <v>44</v>
      </c>
    </row>
    <row r="45" spans="2:14" ht="22.5" customHeight="1" x14ac:dyDescent="0.2">
      <c r="B45" s="621"/>
      <c r="C45" s="374" t="s">
        <v>845</v>
      </c>
      <c r="D45" s="377">
        <f t="shared" ref="D45:N45" si="13">SUM(D43:D44)</f>
        <v>32</v>
      </c>
      <c r="E45" s="377">
        <f t="shared" si="13"/>
        <v>9</v>
      </c>
      <c r="F45" s="377">
        <f t="shared" si="13"/>
        <v>60</v>
      </c>
      <c r="G45" s="377">
        <f t="shared" si="13"/>
        <v>45</v>
      </c>
      <c r="H45" s="377">
        <f t="shared" si="13"/>
        <v>35</v>
      </c>
      <c r="I45" s="377">
        <f t="shared" si="13"/>
        <v>38</v>
      </c>
      <c r="J45" s="377">
        <f t="shared" si="13"/>
        <v>0</v>
      </c>
      <c r="K45" s="377">
        <f t="shared" si="13"/>
        <v>11</v>
      </c>
      <c r="L45" s="377">
        <f t="shared" si="13"/>
        <v>1</v>
      </c>
      <c r="M45" s="377">
        <f t="shared" si="13"/>
        <v>7</v>
      </c>
      <c r="N45" s="377">
        <f t="shared" si="13"/>
        <v>238</v>
      </c>
    </row>
    <row r="46" spans="2:14" ht="22.5" customHeight="1" x14ac:dyDescent="0.2">
      <c r="B46" s="619" t="s">
        <v>29</v>
      </c>
      <c r="C46" s="374" t="s">
        <v>9</v>
      </c>
      <c r="D46" s="377">
        <v>3</v>
      </c>
      <c r="E46" s="377">
        <v>1</v>
      </c>
      <c r="F46" s="377">
        <v>8</v>
      </c>
      <c r="G46" s="377">
        <v>6</v>
      </c>
      <c r="H46" s="377">
        <v>5</v>
      </c>
      <c r="I46" s="377">
        <v>4</v>
      </c>
      <c r="J46" s="377">
        <v>0</v>
      </c>
      <c r="K46" s="377">
        <v>1</v>
      </c>
      <c r="L46" s="377">
        <v>0</v>
      </c>
      <c r="M46" s="377">
        <v>1</v>
      </c>
      <c r="N46" s="382">
        <f>SUM(D46:M46)</f>
        <v>29</v>
      </c>
    </row>
    <row r="47" spans="2:14" ht="22.5" customHeight="1" x14ac:dyDescent="0.2">
      <c r="B47" s="620"/>
      <c r="C47" s="374" t="s">
        <v>10</v>
      </c>
      <c r="D47" s="377">
        <v>0</v>
      </c>
      <c r="E47" s="377">
        <v>0</v>
      </c>
      <c r="F47" s="377">
        <v>0</v>
      </c>
      <c r="G47" s="377">
        <v>0</v>
      </c>
      <c r="H47" s="377">
        <v>1</v>
      </c>
      <c r="I47" s="377">
        <v>0</v>
      </c>
      <c r="J47" s="377">
        <v>0</v>
      </c>
      <c r="K47" s="377">
        <v>0</v>
      </c>
      <c r="L47" s="377">
        <v>0</v>
      </c>
      <c r="M47" s="377">
        <v>0</v>
      </c>
      <c r="N47" s="382">
        <f>SUM(D47:M47)</f>
        <v>1</v>
      </c>
    </row>
    <row r="48" spans="2:14" ht="22.5" customHeight="1" x14ac:dyDescent="0.2">
      <c r="B48" s="621"/>
      <c r="C48" s="374" t="s">
        <v>845</v>
      </c>
      <c r="D48" s="377">
        <f t="shared" ref="D48:N48" si="14">SUM(D46:D47)</f>
        <v>3</v>
      </c>
      <c r="E48" s="377">
        <f t="shared" si="14"/>
        <v>1</v>
      </c>
      <c r="F48" s="377">
        <f t="shared" si="14"/>
        <v>8</v>
      </c>
      <c r="G48" s="377">
        <f t="shared" si="14"/>
        <v>6</v>
      </c>
      <c r="H48" s="377">
        <f t="shared" si="14"/>
        <v>6</v>
      </c>
      <c r="I48" s="377">
        <f t="shared" si="14"/>
        <v>4</v>
      </c>
      <c r="J48" s="377">
        <f t="shared" si="14"/>
        <v>0</v>
      </c>
      <c r="K48" s="377">
        <f t="shared" si="14"/>
        <v>1</v>
      </c>
      <c r="L48" s="377">
        <f t="shared" si="14"/>
        <v>0</v>
      </c>
      <c r="M48" s="377">
        <f t="shared" si="14"/>
        <v>1</v>
      </c>
      <c r="N48" s="377">
        <f t="shared" si="14"/>
        <v>30</v>
      </c>
    </row>
    <row r="49" spans="2:14" ht="22.5" customHeight="1" x14ac:dyDescent="0.2">
      <c r="B49" s="619" t="s">
        <v>33</v>
      </c>
      <c r="C49" s="374" t="s">
        <v>9</v>
      </c>
      <c r="D49" s="377">
        <v>14</v>
      </c>
      <c r="E49" s="377">
        <v>4</v>
      </c>
      <c r="F49" s="377">
        <v>33</v>
      </c>
      <c r="G49" s="377">
        <v>23</v>
      </c>
      <c r="H49" s="377">
        <v>21</v>
      </c>
      <c r="I49" s="377">
        <v>18</v>
      </c>
      <c r="J49" s="377">
        <v>0</v>
      </c>
      <c r="K49" s="377">
        <v>6</v>
      </c>
      <c r="L49" s="377">
        <v>1</v>
      </c>
      <c r="M49" s="377">
        <v>3</v>
      </c>
      <c r="N49" s="382">
        <f>SUM(D49:M49)</f>
        <v>123</v>
      </c>
    </row>
    <row r="50" spans="2:14" ht="22.5" customHeight="1" x14ac:dyDescent="0.2">
      <c r="B50" s="620"/>
      <c r="C50" s="374" t="s">
        <v>10</v>
      </c>
      <c r="D50" s="377">
        <v>5</v>
      </c>
      <c r="E50" s="377">
        <v>2</v>
      </c>
      <c r="F50" s="377">
        <v>4</v>
      </c>
      <c r="G50" s="377">
        <v>4</v>
      </c>
      <c r="H50" s="377">
        <v>1</v>
      </c>
      <c r="I50" s="377">
        <v>5</v>
      </c>
      <c r="J50" s="377">
        <v>0</v>
      </c>
      <c r="K50" s="377">
        <v>1</v>
      </c>
      <c r="L50" s="377">
        <v>0</v>
      </c>
      <c r="M50" s="377">
        <v>0</v>
      </c>
      <c r="N50" s="382">
        <f>SUM(D50:M50)</f>
        <v>22</v>
      </c>
    </row>
    <row r="51" spans="2:14" ht="22.5" customHeight="1" x14ac:dyDescent="0.2">
      <c r="B51" s="621"/>
      <c r="C51" s="374" t="s">
        <v>845</v>
      </c>
      <c r="D51" s="377">
        <f t="shared" ref="D51:N51" si="15">SUM(D49:D50)</f>
        <v>19</v>
      </c>
      <c r="E51" s="377">
        <f t="shared" si="15"/>
        <v>6</v>
      </c>
      <c r="F51" s="377">
        <f t="shared" si="15"/>
        <v>37</v>
      </c>
      <c r="G51" s="377">
        <f t="shared" si="15"/>
        <v>27</v>
      </c>
      <c r="H51" s="377">
        <f t="shared" si="15"/>
        <v>22</v>
      </c>
      <c r="I51" s="377">
        <f t="shared" si="15"/>
        <v>23</v>
      </c>
      <c r="J51" s="377">
        <f t="shared" si="15"/>
        <v>0</v>
      </c>
      <c r="K51" s="377">
        <f t="shared" si="15"/>
        <v>7</v>
      </c>
      <c r="L51" s="377">
        <f t="shared" si="15"/>
        <v>1</v>
      </c>
      <c r="M51" s="377">
        <f t="shared" si="15"/>
        <v>3</v>
      </c>
      <c r="N51" s="377">
        <f t="shared" si="15"/>
        <v>145</v>
      </c>
    </row>
    <row r="52" spans="2:14" ht="22.5" customHeight="1" x14ac:dyDescent="0.2">
      <c r="B52" s="619" t="s">
        <v>35</v>
      </c>
      <c r="C52" s="374" t="s">
        <v>9</v>
      </c>
      <c r="D52" s="377">
        <v>20</v>
      </c>
      <c r="E52" s="377">
        <v>6</v>
      </c>
      <c r="F52" s="377">
        <v>45</v>
      </c>
      <c r="G52" s="377">
        <v>32</v>
      </c>
      <c r="H52" s="377">
        <v>30</v>
      </c>
      <c r="I52" s="377">
        <v>25</v>
      </c>
      <c r="J52" s="377">
        <v>0</v>
      </c>
      <c r="K52" s="377">
        <v>8</v>
      </c>
      <c r="L52" s="377">
        <v>0</v>
      </c>
      <c r="M52" s="377">
        <v>4</v>
      </c>
      <c r="N52" s="382">
        <f>SUM(D52:M52)</f>
        <v>170</v>
      </c>
    </row>
    <row r="53" spans="2:14" ht="22.5" customHeight="1" x14ac:dyDescent="0.2">
      <c r="B53" s="620"/>
      <c r="C53" s="374" t="s">
        <v>10</v>
      </c>
      <c r="D53" s="377">
        <v>16</v>
      </c>
      <c r="E53" s="377">
        <v>5</v>
      </c>
      <c r="F53" s="377">
        <v>14</v>
      </c>
      <c r="G53" s="377">
        <v>12</v>
      </c>
      <c r="H53" s="377">
        <v>2</v>
      </c>
      <c r="I53" s="377">
        <v>15</v>
      </c>
      <c r="J53" s="377">
        <v>0</v>
      </c>
      <c r="K53" s="377">
        <v>2</v>
      </c>
      <c r="L53" s="377">
        <v>1</v>
      </c>
      <c r="M53" s="377">
        <v>1</v>
      </c>
      <c r="N53" s="382">
        <f>SUM(D53:M53)</f>
        <v>68</v>
      </c>
    </row>
    <row r="54" spans="2:14" ht="22.5" customHeight="1" x14ac:dyDescent="0.2">
      <c r="B54" s="621"/>
      <c r="C54" s="374" t="s">
        <v>845</v>
      </c>
      <c r="D54" s="377">
        <f t="shared" ref="D54:N54" si="16">SUM(D52:D53)</f>
        <v>36</v>
      </c>
      <c r="E54" s="377">
        <f t="shared" si="16"/>
        <v>11</v>
      </c>
      <c r="F54" s="377">
        <f t="shared" si="16"/>
        <v>59</v>
      </c>
      <c r="G54" s="377">
        <f t="shared" si="16"/>
        <v>44</v>
      </c>
      <c r="H54" s="377">
        <f t="shared" si="16"/>
        <v>32</v>
      </c>
      <c r="I54" s="377">
        <f t="shared" si="16"/>
        <v>40</v>
      </c>
      <c r="J54" s="377">
        <f t="shared" si="16"/>
        <v>0</v>
      </c>
      <c r="K54" s="377">
        <f t="shared" si="16"/>
        <v>10</v>
      </c>
      <c r="L54" s="377">
        <f t="shared" si="16"/>
        <v>1</v>
      </c>
      <c r="M54" s="377">
        <f t="shared" si="16"/>
        <v>5</v>
      </c>
      <c r="N54" s="377">
        <f t="shared" si="16"/>
        <v>238</v>
      </c>
    </row>
    <row r="55" spans="2:14" ht="22.5" customHeight="1" x14ac:dyDescent="0.2">
      <c r="B55" s="619" t="s">
        <v>863</v>
      </c>
      <c r="C55" s="374" t="s">
        <v>9</v>
      </c>
      <c r="D55" s="377">
        <v>19</v>
      </c>
      <c r="E55" s="377">
        <v>6</v>
      </c>
      <c r="F55" s="377">
        <v>44</v>
      </c>
      <c r="G55" s="377">
        <v>32</v>
      </c>
      <c r="H55" s="377">
        <v>29</v>
      </c>
      <c r="I55" s="377">
        <v>24</v>
      </c>
      <c r="J55" s="377">
        <v>0</v>
      </c>
      <c r="K55" s="377">
        <v>7</v>
      </c>
      <c r="L55" s="377">
        <v>0</v>
      </c>
      <c r="M55" s="377">
        <v>4</v>
      </c>
      <c r="N55" s="382">
        <f>SUM(D55:M55)</f>
        <v>165</v>
      </c>
    </row>
    <row r="56" spans="2:14" ht="22.5" customHeight="1" x14ac:dyDescent="0.2">
      <c r="B56" s="620"/>
      <c r="C56" s="374" t="s">
        <v>10</v>
      </c>
      <c r="D56" s="377">
        <v>11</v>
      </c>
      <c r="E56" s="377">
        <v>4</v>
      </c>
      <c r="F56" s="377">
        <v>10</v>
      </c>
      <c r="G56" s="377">
        <v>8</v>
      </c>
      <c r="H56" s="377">
        <v>1</v>
      </c>
      <c r="I56" s="377">
        <v>10</v>
      </c>
      <c r="J56" s="377">
        <v>0</v>
      </c>
      <c r="K56" s="377">
        <v>2</v>
      </c>
      <c r="L56" s="377">
        <v>1</v>
      </c>
      <c r="M56" s="377">
        <v>1</v>
      </c>
      <c r="N56" s="382">
        <f>SUM(D56:M56)</f>
        <v>48</v>
      </c>
    </row>
    <row r="57" spans="2:14" ht="22.5" customHeight="1" x14ac:dyDescent="0.2">
      <c r="B57" s="621"/>
      <c r="C57" s="374" t="s">
        <v>845</v>
      </c>
      <c r="D57" s="377">
        <f t="shared" ref="D57:N57" si="17">SUM(D55:D56)</f>
        <v>30</v>
      </c>
      <c r="E57" s="377">
        <f t="shared" si="17"/>
        <v>10</v>
      </c>
      <c r="F57" s="377">
        <f t="shared" si="17"/>
        <v>54</v>
      </c>
      <c r="G57" s="377">
        <f t="shared" si="17"/>
        <v>40</v>
      </c>
      <c r="H57" s="377">
        <f t="shared" si="17"/>
        <v>30</v>
      </c>
      <c r="I57" s="377">
        <f t="shared" si="17"/>
        <v>34</v>
      </c>
      <c r="J57" s="377">
        <f t="shared" si="17"/>
        <v>0</v>
      </c>
      <c r="K57" s="377">
        <f t="shared" si="17"/>
        <v>9</v>
      </c>
      <c r="L57" s="377">
        <f t="shared" si="17"/>
        <v>1</v>
      </c>
      <c r="M57" s="377">
        <f t="shared" si="17"/>
        <v>5</v>
      </c>
      <c r="N57" s="377">
        <f t="shared" si="17"/>
        <v>213</v>
      </c>
    </row>
    <row r="58" spans="2:14" ht="22.5" customHeight="1" x14ac:dyDescent="0.2">
      <c r="B58" s="619" t="s">
        <v>36</v>
      </c>
      <c r="C58" s="374" t="s">
        <v>9</v>
      </c>
      <c r="D58" s="377">
        <v>1</v>
      </c>
      <c r="E58" s="377">
        <v>0</v>
      </c>
      <c r="F58" s="377">
        <v>1</v>
      </c>
      <c r="G58" s="377">
        <v>1</v>
      </c>
      <c r="H58" s="377">
        <v>1</v>
      </c>
      <c r="I58" s="377">
        <v>1</v>
      </c>
      <c r="J58" s="377">
        <v>0</v>
      </c>
      <c r="K58" s="377">
        <v>0</v>
      </c>
      <c r="L58" s="377">
        <v>0</v>
      </c>
      <c r="M58" s="377">
        <v>0</v>
      </c>
      <c r="N58" s="382">
        <f>SUM(D58:M58)</f>
        <v>5</v>
      </c>
    </row>
    <row r="59" spans="2:14" ht="22.5" customHeight="1" x14ac:dyDescent="0.2">
      <c r="B59" s="620"/>
      <c r="C59" s="374" t="s">
        <v>10</v>
      </c>
      <c r="D59" s="377">
        <v>1</v>
      </c>
      <c r="E59" s="377">
        <v>0</v>
      </c>
      <c r="F59" s="377">
        <v>1</v>
      </c>
      <c r="G59" s="377">
        <v>1</v>
      </c>
      <c r="H59" s="377">
        <v>0</v>
      </c>
      <c r="I59" s="377">
        <v>1</v>
      </c>
      <c r="J59" s="377">
        <v>0</v>
      </c>
      <c r="K59" s="377">
        <v>0</v>
      </c>
      <c r="L59" s="377">
        <v>2</v>
      </c>
      <c r="M59" s="377">
        <v>0</v>
      </c>
      <c r="N59" s="382">
        <f>SUM(D59:M59)</f>
        <v>6</v>
      </c>
    </row>
    <row r="60" spans="2:14" ht="22.5" customHeight="1" x14ac:dyDescent="0.2">
      <c r="B60" s="621"/>
      <c r="C60" s="374" t="s">
        <v>845</v>
      </c>
      <c r="D60" s="377">
        <f t="shared" ref="D60:N60" si="18">SUM(D58:D59)</f>
        <v>2</v>
      </c>
      <c r="E60" s="377">
        <f t="shared" si="18"/>
        <v>0</v>
      </c>
      <c r="F60" s="377">
        <f t="shared" si="18"/>
        <v>2</v>
      </c>
      <c r="G60" s="377">
        <f t="shared" si="18"/>
        <v>2</v>
      </c>
      <c r="H60" s="377">
        <f t="shared" si="18"/>
        <v>1</v>
      </c>
      <c r="I60" s="377">
        <f t="shared" si="18"/>
        <v>2</v>
      </c>
      <c r="J60" s="377">
        <f t="shared" si="18"/>
        <v>0</v>
      </c>
      <c r="K60" s="377">
        <f t="shared" si="18"/>
        <v>0</v>
      </c>
      <c r="L60" s="377">
        <f t="shared" si="18"/>
        <v>2</v>
      </c>
      <c r="M60" s="377">
        <f t="shared" si="18"/>
        <v>0</v>
      </c>
      <c r="N60" s="377">
        <f t="shared" si="18"/>
        <v>11</v>
      </c>
    </row>
    <row r="61" spans="2:14" ht="22.5" customHeight="1" x14ac:dyDescent="0.2">
      <c r="B61" s="619" t="s">
        <v>34</v>
      </c>
      <c r="C61" s="374" t="s">
        <v>9</v>
      </c>
      <c r="D61" s="377">
        <v>397</v>
      </c>
      <c r="E61" s="377">
        <v>116</v>
      </c>
      <c r="F61" s="377">
        <v>915</v>
      </c>
      <c r="G61" s="377">
        <v>661</v>
      </c>
      <c r="H61" s="377">
        <v>603</v>
      </c>
      <c r="I61" s="377">
        <v>514</v>
      </c>
      <c r="J61" s="377">
        <v>5</v>
      </c>
      <c r="K61" s="377">
        <v>157</v>
      </c>
      <c r="L61" s="377">
        <v>6</v>
      </c>
      <c r="M61" s="377">
        <v>87</v>
      </c>
      <c r="N61" s="382">
        <f>SUM(D61:M61)</f>
        <v>3461</v>
      </c>
    </row>
    <row r="62" spans="2:14" ht="22.5" customHeight="1" x14ac:dyDescent="0.2">
      <c r="B62" s="620"/>
      <c r="C62" s="374" t="s">
        <v>10</v>
      </c>
      <c r="D62" s="377">
        <v>282</v>
      </c>
      <c r="E62" s="377">
        <v>89</v>
      </c>
      <c r="F62" s="377">
        <v>240</v>
      </c>
      <c r="G62" s="377">
        <v>206</v>
      </c>
      <c r="H62" s="377">
        <v>37</v>
      </c>
      <c r="I62" s="377">
        <v>256</v>
      </c>
      <c r="J62" s="377">
        <v>2</v>
      </c>
      <c r="K62" s="377">
        <v>31</v>
      </c>
      <c r="L62" s="377">
        <v>24</v>
      </c>
      <c r="M62" s="377">
        <v>20</v>
      </c>
      <c r="N62" s="382">
        <f>SUM(D62:M62)</f>
        <v>1187</v>
      </c>
    </row>
    <row r="63" spans="2:14" ht="22.5" customHeight="1" x14ac:dyDescent="0.2">
      <c r="B63" s="621"/>
      <c r="C63" s="374" t="s">
        <v>845</v>
      </c>
      <c r="D63" s="377">
        <f t="shared" ref="D63:N63" si="19">SUM(D61:D62)</f>
        <v>679</v>
      </c>
      <c r="E63" s="377">
        <f t="shared" si="19"/>
        <v>205</v>
      </c>
      <c r="F63" s="377">
        <f t="shared" si="19"/>
        <v>1155</v>
      </c>
      <c r="G63" s="377">
        <f t="shared" si="19"/>
        <v>867</v>
      </c>
      <c r="H63" s="377">
        <f t="shared" si="19"/>
        <v>640</v>
      </c>
      <c r="I63" s="377">
        <f t="shared" si="19"/>
        <v>770</v>
      </c>
      <c r="J63" s="377">
        <f t="shared" si="19"/>
        <v>7</v>
      </c>
      <c r="K63" s="377">
        <f t="shared" si="19"/>
        <v>188</v>
      </c>
      <c r="L63" s="377">
        <f t="shared" si="19"/>
        <v>30</v>
      </c>
      <c r="M63" s="377">
        <f t="shared" si="19"/>
        <v>107</v>
      </c>
      <c r="N63" s="377">
        <f t="shared" si="19"/>
        <v>4648</v>
      </c>
    </row>
    <row r="64" spans="2:14" ht="22.5" customHeight="1" x14ac:dyDescent="0.2">
      <c r="B64" s="619" t="s">
        <v>211</v>
      </c>
      <c r="C64" s="374" t="s">
        <v>9</v>
      </c>
      <c r="D64" s="377">
        <v>35</v>
      </c>
      <c r="E64" s="377">
        <v>10</v>
      </c>
      <c r="F64" s="377">
        <v>81</v>
      </c>
      <c r="G64" s="377">
        <v>58</v>
      </c>
      <c r="H64" s="377">
        <v>53</v>
      </c>
      <c r="I64" s="377">
        <v>45</v>
      </c>
      <c r="J64" s="377">
        <v>0</v>
      </c>
      <c r="K64" s="377">
        <v>14</v>
      </c>
      <c r="L64" s="377">
        <v>1</v>
      </c>
      <c r="M64" s="377">
        <v>8</v>
      </c>
      <c r="N64" s="382">
        <f>SUM(D64:M64)</f>
        <v>305</v>
      </c>
    </row>
    <row r="65" spans="2:14" ht="22.5" customHeight="1" x14ac:dyDescent="0.2">
      <c r="B65" s="620"/>
      <c r="C65" s="374" t="s">
        <v>10</v>
      </c>
      <c r="D65" s="377">
        <v>21</v>
      </c>
      <c r="E65" s="377">
        <v>7</v>
      </c>
      <c r="F65" s="377">
        <v>18</v>
      </c>
      <c r="G65" s="377">
        <v>16</v>
      </c>
      <c r="H65" s="377">
        <v>3</v>
      </c>
      <c r="I65" s="377">
        <v>19</v>
      </c>
      <c r="J65" s="377">
        <v>0</v>
      </c>
      <c r="K65" s="377">
        <v>2</v>
      </c>
      <c r="L65" s="377">
        <v>2</v>
      </c>
      <c r="M65" s="377">
        <v>2</v>
      </c>
      <c r="N65" s="382">
        <f>SUM(D65:M65)</f>
        <v>90</v>
      </c>
    </row>
    <row r="66" spans="2:14" ht="22.5" customHeight="1" x14ac:dyDescent="0.2">
      <c r="B66" s="621"/>
      <c r="C66" s="374" t="s">
        <v>845</v>
      </c>
      <c r="D66" s="377">
        <f t="shared" ref="D66:N66" si="20">SUM(D64:D65)</f>
        <v>56</v>
      </c>
      <c r="E66" s="377">
        <f t="shared" si="20"/>
        <v>17</v>
      </c>
      <c r="F66" s="377">
        <f t="shared" si="20"/>
        <v>99</v>
      </c>
      <c r="G66" s="377">
        <f t="shared" si="20"/>
        <v>74</v>
      </c>
      <c r="H66" s="377">
        <f t="shared" si="20"/>
        <v>56</v>
      </c>
      <c r="I66" s="377">
        <f t="shared" si="20"/>
        <v>64</v>
      </c>
      <c r="J66" s="377">
        <f t="shared" si="20"/>
        <v>0</v>
      </c>
      <c r="K66" s="377">
        <f t="shared" si="20"/>
        <v>16</v>
      </c>
      <c r="L66" s="377">
        <f t="shared" si="20"/>
        <v>3</v>
      </c>
      <c r="M66" s="377">
        <f t="shared" si="20"/>
        <v>10</v>
      </c>
      <c r="N66" s="377">
        <f t="shared" si="20"/>
        <v>395</v>
      </c>
    </row>
    <row r="67" spans="2:14" ht="22.5" customHeight="1" x14ac:dyDescent="0.2">
      <c r="B67" s="619" t="s">
        <v>212</v>
      </c>
      <c r="C67" s="374" t="s">
        <v>9</v>
      </c>
      <c r="D67" s="377">
        <v>9</v>
      </c>
      <c r="E67" s="377">
        <v>3</v>
      </c>
      <c r="F67" s="377">
        <v>20</v>
      </c>
      <c r="G67" s="377">
        <v>15</v>
      </c>
      <c r="H67" s="377">
        <v>13</v>
      </c>
      <c r="I67" s="377">
        <v>11</v>
      </c>
      <c r="J67" s="377">
        <v>0</v>
      </c>
      <c r="K67" s="377">
        <v>3</v>
      </c>
      <c r="L67" s="377">
        <v>0</v>
      </c>
      <c r="M67" s="377">
        <v>2</v>
      </c>
      <c r="N67" s="382">
        <f>SUM(D67:M67)</f>
        <v>76</v>
      </c>
    </row>
    <row r="68" spans="2:14" ht="22.5" customHeight="1" x14ac:dyDescent="0.2">
      <c r="B68" s="620"/>
      <c r="C68" s="374" t="s">
        <v>10</v>
      </c>
      <c r="D68" s="377">
        <v>3</v>
      </c>
      <c r="E68" s="377">
        <v>1</v>
      </c>
      <c r="F68" s="377">
        <v>3</v>
      </c>
      <c r="G68" s="377">
        <v>2</v>
      </c>
      <c r="H68" s="377">
        <v>1</v>
      </c>
      <c r="I68" s="377">
        <v>3</v>
      </c>
      <c r="J68" s="377">
        <v>0</v>
      </c>
      <c r="K68" s="377">
        <v>0</v>
      </c>
      <c r="L68" s="377">
        <v>0</v>
      </c>
      <c r="M68" s="377">
        <v>0</v>
      </c>
      <c r="N68" s="382">
        <f>SUM(D68:M68)</f>
        <v>13</v>
      </c>
    </row>
    <row r="69" spans="2:14" ht="22.5" customHeight="1" x14ac:dyDescent="0.2">
      <c r="B69" s="621"/>
      <c r="C69" s="374" t="s">
        <v>845</v>
      </c>
      <c r="D69" s="377">
        <f t="shared" ref="D69:N69" si="21">SUM(D67:D68)</f>
        <v>12</v>
      </c>
      <c r="E69" s="377">
        <f t="shared" si="21"/>
        <v>4</v>
      </c>
      <c r="F69" s="377">
        <f t="shared" si="21"/>
        <v>23</v>
      </c>
      <c r="G69" s="377">
        <f t="shared" si="21"/>
        <v>17</v>
      </c>
      <c r="H69" s="377">
        <f t="shared" si="21"/>
        <v>14</v>
      </c>
      <c r="I69" s="377">
        <f t="shared" si="21"/>
        <v>14</v>
      </c>
      <c r="J69" s="377">
        <f t="shared" si="21"/>
        <v>0</v>
      </c>
      <c r="K69" s="377">
        <f t="shared" si="21"/>
        <v>3</v>
      </c>
      <c r="L69" s="377">
        <f t="shared" si="21"/>
        <v>0</v>
      </c>
      <c r="M69" s="377">
        <f t="shared" si="21"/>
        <v>2</v>
      </c>
      <c r="N69" s="377">
        <f t="shared" si="21"/>
        <v>89</v>
      </c>
    </row>
    <row r="70" spans="2:14" ht="22.5" customHeight="1" x14ac:dyDescent="0.2">
      <c r="B70" s="619" t="s">
        <v>862</v>
      </c>
      <c r="C70" s="374" t="s">
        <v>9</v>
      </c>
      <c r="D70" s="377">
        <v>7</v>
      </c>
      <c r="E70" s="377">
        <v>2</v>
      </c>
      <c r="F70" s="377">
        <v>17</v>
      </c>
      <c r="G70" s="377">
        <v>12</v>
      </c>
      <c r="H70" s="377">
        <v>11</v>
      </c>
      <c r="I70" s="377">
        <v>10</v>
      </c>
      <c r="J70" s="377">
        <v>0</v>
      </c>
      <c r="K70" s="377">
        <v>3</v>
      </c>
      <c r="L70" s="377">
        <v>1</v>
      </c>
      <c r="M70" s="377">
        <v>2</v>
      </c>
      <c r="N70" s="382">
        <f>SUM(D70:M70)</f>
        <v>65</v>
      </c>
    </row>
    <row r="71" spans="2:14" ht="22.5" customHeight="1" x14ac:dyDescent="0.2">
      <c r="B71" s="620"/>
      <c r="C71" s="374" t="s">
        <v>10</v>
      </c>
      <c r="D71" s="377">
        <v>4</v>
      </c>
      <c r="E71" s="377">
        <v>1</v>
      </c>
      <c r="F71" s="377">
        <v>3</v>
      </c>
      <c r="G71" s="377">
        <v>3</v>
      </c>
      <c r="H71" s="377">
        <v>1</v>
      </c>
      <c r="I71" s="377">
        <v>3</v>
      </c>
      <c r="J71" s="377">
        <v>0</v>
      </c>
      <c r="K71" s="377">
        <v>0</v>
      </c>
      <c r="L71" s="377">
        <v>0</v>
      </c>
      <c r="M71" s="377">
        <v>1</v>
      </c>
      <c r="N71" s="382">
        <f>SUM(D71:M71)</f>
        <v>16</v>
      </c>
    </row>
    <row r="72" spans="2:14" ht="22.5" customHeight="1" x14ac:dyDescent="0.2">
      <c r="B72" s="621"/>
      <c r="C72" s="374" t="s">
        <v>845</v>
      </c>
      <c r="D72" s="377">
        <f t="shared" ref="D72:N72" si="22">SUM(D70:D71)</f>
        <v>11</v>
      </c>
      <c r="E72" s="377">
        <f t="shared" si="22"/>
        <v>3</v>
      </c>
      <c r="F72" s="377">
        <f t="shared" si="22"/>
        <v>20</v>
      </c>
      <c r="G72" s="377">
        <f t="shared" si="22"/>
        <v>15</v>
      </c>
      <c r="H72" s="377">
        <f t="shared" si="22"/>
        <v>12</v>
      </c>
      <c r="I72" s="377">
        <f t="shared" si="22"/>
        <v>13</v>
      </c>
      <c r="J72" s="377">
        <f t="shared" si="22"/>
        <v>0</v>
      </c>
      <c r="K72" s="377">
        <f t="shared" si="22"/>
        <v>3</v>
      </c>
      <c r="L72" s="377">
        <f t="shared" si="22"/>
        <v>1</v>
      </c>
      <c r="M72" s="377">
        <f t="shared" si="22"/>
        <v>3</v>
      </c>
      <c r="N72" s="377">
        <f t="shared" si="22"/>
        <v>81</v>
      </c>
    </row>
    <row r="73" spans="2:14" ht="22.5" customHeight="1" x14ac:dyDescent="0.2">
      <c r="B73" s="619" t="s">
        <v>861</v>
      </c>
      <c r="C73" s="374" t="s">
        <v>9</v>
      </c>
      <c r="D73" s="377">
        <v>7</v>
      </c>
      <c r="E73" s="377">
        <v>2</v>
      </c>
      <c r="F73" s="377">
        <v>15</v>
      </c>
      <c r="G73" s="377">
        <v>11</v>
      </c>
      <c r="H73" s="377">
        <v>10</v>
      </c>
      <c r="I73" s="377">
        <v>8</v>
      </c>
      <c r="J73" s="377">
        <v>0</v>
      </c>
      <c r="K73" s="377">
        <v>3</v>
      </c>
      <c r="L73" s="377">
        <v>0</v>
      </c>
      <c r="M73" s="377">
        <v>1</v>
      </c>
      <c r="N73" s="382">
        <f>SUM(D73:M73)</f>
        <v>57</v>
      </c>
    </row>
    <row r="74" spans="2:14" ht="22.5" customHeight="1" x14ac:dyDescent="0.2">
      <c r="B74" s="620"/>
      <c r="C74" s="374" t="s">
        <v>10</v>
      </c>
      <c r="D74" s="377">
        <v>1</v>
      </c>
      <c r="E74" s="377">
        <v>0</v>
      </c>
      <c r="F74" s="377">
        <v>1</v>
      </c>
      <c r="G74" s="377">
        <v>1</v>
      </c>
      <c r="H74" s="377">
        <v>0</v>
      </c>
      <c r="I74" s="377">
        <v>1</v>
      </c>
      <c r="J74" s="377">
        <v>1</v>
      </c>
      <c r="K74" s="377">
        <v>0</v>
      </c>
      <c r="L74" s="377">
        <v>0</v>
      </c>
      <c r="M74" s="377">
        <v>0</v>
      </c>
      <c r="N74" s="382">
        <f>SUM(D74:M74)</f>
        <v>5</v>
      </c>
    </row>
    <row r="75" spans="2:14" ht="22.5" customHeight="1" x14ac:dyDescent="0.2">
      <c r="B75" s="621"/>
      <c r="C75" s="374" t="s">
        <v>845</v>
      </c>
      <c r="D75" s="377">
        <f t="shared" ref="D75:N75" si="23">SUM(D73:D74)</f>
        <v>8</v>
      </c>
      <c r="E75" s="377">
        <f t="shared" si="23"/>
        <v>2</v>
      </c>
      <c r="F75" s="377">
        <f t="shared" si="23"/>
        <v>16</v>
      </c>
      <c r="G75" s="377">
        <f t="shared" si="23"/>
        <v>12</v>
      </c>
      <c r="H75" s="377">
        <f t="shared" si="23"/>
        <v>10</v>
      </c>
      <c r="I75" s="377">
        <f t="shared" si="23"/>
        <v>9</v>
      </c>
      <c r="J75" s="377">
        <f t="shared" si="23"/>
        <v>1</v>
      </c>
      <c r="K75" s="377">
        <f t="shared" si="23"/>
        <v>3</v>
      </c>
      <c r="L75" s="377">
        <f t="shared" si="23"/>
        <v>0</v>
      </c>
      <c r="M75" s="377">
        <f t="shared" si="23"/>
        <v>1</v>
      </c>
      <c r="N75" s="377">
        <f t="shared" si="23"/>
        <v>62</v>
      </c>
    </row>
    <row r="76" spans="2:14" ht="22.5" customHeight="1" x14ac:dyDescent="0.2">
      <c r="B76" s="619" t="s">
        <v>214</v>
      </c>
      <c r="C76" s="374" t="s">
        <v>9</v>
      </c>
      <c r="D76" s="377">
        <v>10</v>
      </c>
      <c r="E76" s="377">
        <v>3</v>
      </c>
      <c r="F76" s="377">
        <v>24</v>
      </c>
      <c r="G76" s="377">
        <v>17</v>
      </c>
      <c r="H76" s="377">
        <v>16</v>
      </c>
      <c r="I76" s="377">
        <v>15</v>
      </c>
      <c r="J76" s="377">
        <v>0</v>
      </c>
      <c r="K76" s="377">
        <v>4</v>
      </c>
      <c r="L76" s="377">
        <v>0</v>
      </c>
      <c r="M76" s="377">
        <v>2</v>
      </c>
      <c r="N76" s="382">
        <f>SUM(D76:M76)</f>
        <v>91</v>
      </c>
    </row>
    <row r="77" spans="2:14" ht="22.5" customHeight="1" x14ac:dyDescent="0.2">
      <c r="B77" s="620"/>
      <c r="C77" s="374" t="s">
        <v>10</v>
      </c>
      <c r="D77" s="377">
        <v>2</v>
      </c>
      <c r="E77" s="377">
        <v>1</v>
      </c>
      <c r="F77" s="377">
        <v>2</v>
      </c>
      <c r="G77" s="377">
        <v>2</v>
      </c>
      <c r="H77" s="377">
        <v>0</v>
      </c>
      <c r="I77" s="377">
        <v>2</v>
      </c>
      <c r="J77" s="377">
        <v>1</v>
      </c>
      <c r="K77" s="377">
        <v>0</v>
      </c>
      <c r="L77" s="377">
        <v>0</v>
      </c>
      <c r="M77" s="377">
        <v>0</v>
      </c>
      <c r="N77" s="382">
        <f>SUM(D77:M77)</f>
        <v>10</v>
      </c>
    </row>
    <row r="78" spans="2:14" ht="22.5" customHeight="1" x14ac:dyDescent="0.2">
      <c r="B78" s="621"/>
      <c r="C78" s="374" t="s">
        <v>845</v>
      </c>
      <c r="D78" s="377">
        <f t="shared" ref="D78:N78" si="24">SUM(D76:D77)</f>
        <v>12</v>
      </c>
      <c r="E78" s="377">
        <f t="shared" si="24"/>
        <v>4</v>
      </c>
      <c r="F78" s="377">
        <f t="shared" si="24"/>
        <v>26</v>
      </c>
      <c r="G78" s="377">
        <f t="shared" si="24"/>
        <v>19</v>
      </c>
      <c r="H78" s="377">
        <f t="shared" si="24"/>
        <v>16</v>
      </c>
      <c r="I78" s="377">
        <f t="shared" si="24"/>
        <v>17</v>
      </c>
      <c r="J78" s="377">
        <f t="shared" si="24"/>
        <v>1</v>
      </c>
      <c r="K78" s="377">
        <f t="shared" si="24"/>
        <v>4</v>
      </c>
      <c r="L78" s="377">
        <f t="shared" si="24"/>
        <v>0</v>
      </c>
      <c r="M78" s="377">
        <f t="shared" si="24"/>
        <v>2</v>
      </c>
      <c r="N78" s="377">
        <f t="shared" si="24"/>
        <v>101</v>
      </c>
    </row>
    <row r="79" spans="2:14" ht="22.5" customHeight="1" x14ac:dyDescent="0.2">
      <c r="B79" s="619" t="s">
        <v>31</v>
      </c>
      <c r="C79" s="374" t="s">
        <v>9</v>
      </c>
      <c r="D79" s="377">
        <v>371</v>
      </c>
      <c r="E79" s="377">
        <v>108</v>
      </c>
      <c r="F79" s="377">
        <v>852</v>
      </c>
      <c r="G79" s="377">
        <v>616</v>
      </c>
      <c r="H79" s="377">
        <v>562</v>
      </c>
      <c r="I79" s="377">
        <v>478</v>
      </c>
      <c r="J79" s="377">
        <v>4</v>
      </c>
      <c r="K79" s="377">
        <v>146</v>
      </c>
      <c r="L79" s="377">
        <v>6</v>
      </c>
      <c r="M79" s="377">
        <v>81</v>
      </c>
      <c r="N79" s="382">
        <f>SUM(D79:M79)</f>
        <v>3224</v>
      </c>
    </row>
    <row r="80" spans="2:14" ht="22.5" customHeight="1" x14ac:dyDescent="0.2">
      <c r="B80" s="620"/>
      <c r="C80" s="374" t="s">
        <v>10</v>
      </c>
      <c r="D80" s="377">
        <v>151</v>
      </c>
      <c r="E80" s="377">
        <v>48</v>
      </c>
      <c r="F80" s="377">
        <v>129</v>
      </c>
      <c r="G80" s="377">
        <v>110</v>
      </c>
      <c r="H80" s="377">
        <v>20</v>
      </c>
      <c r="I80" s="377">
        <v>138</v>
      </c>
      <c r="J80" s="377">
        <v>1</v>
      </c>
      <c r="K80" s="377">
        <v>17</v>
      </c>
      <c r="L80" s="377">
        <v>13</v>
      </c>
      <c r="M80" s="377">
        <v>10</v>
      </c>
      <c r="N80" s="382">
        <f>SUM(D80:M80)</f>
        <v>637</v>
      </c>
    </row>
    <row r="81" spans="2:14" ht="22.5" customHeight="1" x14ac:dyDescent="0.2">
      <c r="B81" s="621"/>
      <c r="C81" s="374" t="s">
        <v>845</v>
      </c>
      <c r="D81" s="377">
        <f t="shared" ref="D81:N81" si="25">SUM(D79:D80)</f>
        <v>522</v>
      </c>
      <c r="E81" s="377">
        <f t="shared" si="25"/>
        <v>156</v>
      </c>
      <c r="F81" s="377">
        <f t="shared" si="25"/>
        <v>981</v>
      </c>
      <c r="G81" s="377">
        <f t="shared" si="25"/>
        <v>726</v>
      </c>
      <c r="H81" s="377">
        <f t="shared" si="25"/>
        <v>582</v>
      </c>
      <c r="I81" s="377">
        <f t="shared" si="25"/>
        <v>616</v>
      </c>
      <c r="J81" s="377">
        <f t="shared" si="25"/>
        <v>5</v>
      </c>
      <c r="K81" s="377">
        <f t="shared" si="25"/>
        <v>163</v>
      </c>
      <c r="L81" s="377">
        <f t="shared" si="25"/>
        <v>19</v>
      </c>
      <c r="M81" s="377">
        <f t="shared" si="25"/>
        <v>91</v>
      </c>
      <c r="N81" s="377">
        <f t="shared" si="25"/>
        <v>3861</v>
      </c>
    </row>
    <row r="82" spans="2:14" ht="22.5" customHeight="1" x14ac:dyDescent="0.2">
      <c r="B82" s="619" t="s">
        <v>215</v>
      </c>
      <c r="C82" s="374" t="s">
        <v>9</v>
      </c>
      <c r="D82" s="377">
        <v>1</v>
      </c>
      <c r="E82" s="377">
        <v>0</v>
      </c>
      <c r="F82" s="377">
        <v>2</v>
      </c>
      <c r="G82" s="377">
        <v>2</v>
      </c>
      <c r="H82" s="377">
        <v>2</v>
      </c>
      <c r="I82" s="377">
        <v>2</v>
      </c>
      <c r="J82" s="377">
        <v>0</v>
      </c>
      <c r="K82" s="377">
        <v>0</v>
      </c>
      <c r="L82" s="377">
        <v>0</v>
      </c>
      <c r="M82" s="377">
        <v>0</v>
      </c>
      <c r="N82" s="382">
        <f>SUM(D82:M82)</f>
        <v>9</v>
      </c>
    </row>
    <row r="83" spans="2:14" ht="22.5" customHeight="1" x14ac:dyDescent="0.2">
      <c r="B83" s="620"/>
      <c r="C83" s="374" t="s">
        <v>10</v>
      </c>
      <c r="D83" s="377">
        <v>4</v>
      </c>
      <c r="E83" s="377">
        <v>1</v>
      </c>
      <c r="F83" s="377">
        <v>3</v>
      </c>
      <c r="G83" s="377">
        <v>3</v>
      </c>
      <c r="H83" s="377">
        <v>0</v>
      </c>
      <c r="I83" s="377">
        <v>3</v>
      </c>
      <c r="J83" s="377">
        <v>0</v>
      </c>
      <c r="K83" s="377">
        <v>0</v>
      </c>
      <c r="L83" s="377">
        <v>0</v>
      </c>
      <c r="M83" s="377">
        <v>2</v>
      </c>
      <c r="N83" s="382">
        <f>SUM(D83:M83)</f>
        <v>16</v>
      </c>
    </row>
    <row r="84" spans="2:14" ht="22.5" customHeight="1" x14ac:dyDescent="0.2">
      <c r="B84" s="621"/>
      <c r="C84" s="374" t="s">
        <v>845</v>
      </c>
      <c r="D84" s="377">
        <f t="shared" ref="D84:N84" si="26">SUM(D82:D83)</f>
        <v>5</v>
      </c>
      <c r="E84" s="377">
        <f t="shared" si="26"/>
        <v>1</v>
      </c>
      <c r="F84" s="377">
        <f t="shared" si="26"/>
        <v>5</v>
      </c>
      <c r="G84" s="377">
        <f t="shared" si="26"/>
        <v>5</v>
      </c>
      <c r="H84" s="377">
        <f t="shared" si="26"/>
        <v>2</v>
      </c>
      <c r="I84" s="377">
        <f t="shared" si="26"/>
        <v>5</v>
      </c>
      <c r="J84" s="377">
        <f t="shared" si="26"/>
        <v>0</v>
      </c>
      <c r="K84" s="377">
        <f t="shared" si="26"/>
        <v>0</v>
      </c>
      <c r="L84" s="377">
        <f t="shared" si="26"/>
        <v>0</v>
      </c>
      <c r="M84" s="377">
        <f t="shared" si="26"/>
        <v>2</v>
      </c>
      <c r="N84" s="377">
        <f t="shared" si="26"/>
        <v>25</v>
      </c>
    </row>
    <row r="85" spans="2:14" ht="22.5" customHeight="1" x14ac:dyDescent="0.2">
      <c r="B85" s="619" t="s">
        <v>38</v>
      </c>
      <c r="C85" s="374" t="s">
        <v>9</v>
      </c>
      <c r="D85" s="377">
        <v>518</v>
      </c>
      <c r="E85" s="377">
        <v>151</v>
      </c>
      <c r="F85" s="377">
        <v>1190</v>
      </c>
      <c r="G85" s="377">
        <v>860</v>
      </c>
      <c r="H85" s="377">
        <v>785</v>
      </c>
      <c r="I85" s="377">
        <v>668</v>
      </c>
      <c r="J85" s="377">
        <v>6</v>
      </c>
      <c r="K85" s="377">
        <v>204</v>
      </c>
      <c r="L85" s="377">
        <v>8</v>
      </c>
      <c r="M85" s="377">
        <v>114</v>
      </c>
      <c r="N85" s="382">
        <f>SUM(D85:M85)</f>
        <v>4504</v>
      </c>
    </row>
    <row r="86" spans="2:14" ht="22.5" customHeight="1" x14ac:dyDescent="0.2">
      <c r="B86" s="620"/>
      <c r="C86" s="374" t="s">
        <v>10</v>
      </c>
      <c r="D86" s="377">
        <v>244</v>
      </c>
      <c r="E86" s="377">
        <v>77</v>
      </c>
      <c r="F86" s="377">
        <v>208</v>
      </c>
      <c r="G86" s="377">
        <v>178</v>
      </c>
      <c r="H86" s="377">
        <v>32</v>
      </c>
      <c r="I86" s="377">
        <v>222</v>
      </c>
      <c r="J86" s="377">
        <v>2</v>
      </c>
      <c r="K86" s="377">
        <v>27</v>
      </c>
      <c r="L86" s="377">
        <v>20</v>
      </c>
      <c r="M86" s="377">
        <v>18</v>
      </c>
      <c r="N86" s="382">
        <f>SUM(D86:M86)</f>
        <v>1028</v>
      </c>
    </row>
    <row r="87" spans="2:14" ht="22.5" customHeight="1" x14ac:dyDescent="0.2">
      <c r="B87" s="621"/>
      <c r="C87" s="374" t="s">
        <v>845</v>
      </c>
      <c r="D87" s="377">
        <f t="shared" ref="D87:N87" si="27">SUM(D85:D86)</f>
        <v>762</v>
      </c>
      <c r="E87" s="377">
        <f t="shared" si="27"/>
        <v>228</v>
      </c>
      <c r="F87" s="377">
        <f t="shared" si="27"/>
        <v>1398</v>
      </c>
      <c r="G87" s="377">
        <f t="shared" si="27"/>
        <v>1038</v>
      </c>
      <c r="H87" s="377">
        <f t="shared" si="27"/>
        <v>817</v>
      </c>
      <c r="I87" s="377">
        <f t="shared" si="27"/>
        <v>890</v>
      </c>
      <c r="J87" s="377">
        <f t="shared" si="27"/>
        <v>8</v>
      </c>
      <c r="K87" s="377">
        <f t="shared" si="27"/>
        <v>231</v>
      </c>
      <c r="L87" s="377">
        <f t="shared" si="27"/>
        <v>28</v>
      </c>
      <c r="M87" s="377">
        <f t="shared" si="27"/>
        <v>132</v>
      </c>
      <c r="N87" s="377">
        <f t="shared" si="27"/>
        <v>5532</v>
      </c>
    </row>
    <row r="88" spans="2:14" ht="22.5" customHeight="1" x14ac:dyDescent="0.2">
      <c r="B88" s="619" t="s">
        <v>860</v>
      </c>
      <c r="C88" s="374" t="s">
        <v>9</v>
      </c>
      <c r="D88" s="377">
        <v>182</v>
      </c>
      <c r="E88" s="377">
        <v>53</v>
      </c>
      <c r="F88" s="377">
        <v>417</v>
      </c>
      <c r="G88" s="377">
        <v>302</v>
      </c>
      <c r="H88" s="377">
        <v>275</v>
      </c>
      <c r="I88" s="377">
        <v>234</v>
      </c>
      <c r="J88" s="377">
        <v>2</v>
      </c>
      <c r="K88" s="377">
        <v>71</v>
      </c>
      <c r="L88" s="377">
        <v>3</v>
      </c>
      <c r="M88" s="377">
        <v>40</v>
      </c>
      <c r="N88" s="382">
        <f>SUM(D88:M88)</f>
        <v>1579</v>
      </c>
    </row>
    <row r="89" spans="2:14" ht="22.5" customHeight="1" x14ac:dyDescent="0.2">
      <c r="B89" s="620"/>
      <c r="C89" s="374" t="s">
        <v>10</v>
      </c>
      <c r="D89" s="377">
        <v>94</v>
      </c>
      <c r="E89" s="377">
        <v>30</v>
      </c>
      <c r="F89" s="377">
        <v>80</v>
      </c>
      <c r="G89" s="377">
        <v>69</v>
      </c>
      <c r="H89" s="377">
        <v>12</v>
      </c>
      <c r="I89" s="377">
        <v>86</v>
      </c>
      <c r="J89" s="377">
        <v>1</v>
      </c>
      <c r="K89" s="377">
        <v>10</v>
      </c>
      <c r="L89" s="377">
        <v>8</v>
      </c>
      <c r="M89" s="377">
        <v>8</v>
      </c>
      <c r="N89" s="382">
        <f>SUM(D89:M89)</f>
        <v>398</v>
      </c>
    </row>
    <row r="90" spans="2:14" ht="22.5" customHeight="1" x14ac:dyDescent="0.2">
      <c r="B90" s="621"/>
      <c r="C90" s="374" t="s">
        <v>845</v>
      </c>
      <c r="D90" s="377">
        <f t="shared" ref="D90:N90" si="28">SUM(D88:D89)</f>
        <v>276</v>
      </c>
      <c r="E90" s="377">
        <f t="shared" si="28"/>
        <v>83</v>
      </c>
      <c r="F90" s="377">
        <f t="shared" si="28"/>
        <v>497</v>
      </c>
      <c r="G90" s="377">
        <f t="shared" si="28"/>
        <v>371</v>
      </c>
      <c r="H90" s="377">
        <f t="shared" si="28"/>
        <v>287</v>
      </c>
      <c r="I90" s="377">
        <f t="shared" si="28"/>
        <v>320</v>
      </c>
      <c r="J90" s="377">
        <f t="shared" si="28"/>
        <v>3</v>
      </c>
      <c r="K90" s="377">
        <f t="shared" si="28"/>
        <v>81</v>
      </c>
      <c r="L90" s="377">
        <f t="shared" si="28"/>
        <v>11</v>
      </c>
      <c r="M90" s="377">
        <f t="shared" si="28"/>
        <v>48</v>
      </c>
      <c r="N90" s="377">
        <f t="shared" si="28"/>
        <v>1977</v>
      </c>
    </row>
    <row r="91" spans="2:14" ht="22.5" customHeight="1" x14ac:dyDescent="0.2">
      <c r="B91" s="616" t="s">
        <v>575</v>
      </c>
      <c r="C91" s="383" t="s">
        <v>9</v>
      </c>
      <c r="D91" s="382">
        <f t="shared" ref="D91:N91" si="29">D4+D7+D10+D13+D16+D19+D22+D25+D28+D31+D34+D37+D40+D43+D46+D49+D52+D55+D58+D61+D64+D67+D70+D73+D76+D79+D82+D85+D88</f>
        <v>2074</v>
      </c>
      <c r="E91" s="382">
        <f t="shared" si="29"/>
        <v>603</v>
      </c>
      <c r="F91" s="382">
        <f t="shared" si="29"/>
        <v>4768</v>
      </c>
      <c r="G91" s="382">
        <f t="shared" si="29"/>
        <v>3447</v>
      </c>
      <c r="H91" s="382">
        <f t="shared" si="29"/>
        <v>3143</v>
      </c>
      <c r="I91" s="382">
        <f t="shared" si="29"/>
        <v>2679</v>
      </c>
      <c r="J91" s="382">
        <f t="shared" si="29"/>
        <v>24</v>
      </c>
      <c r="K91" s="382">
        <f t="shared" si="29"/>
        <v>816</v>
      </c>
      <c r="L91" s="382">
        <f t="shared" si="29"/>
        <v>33</v>
      </c>
      <c r="M91" s="382">
        <f t="shared" si="29"/>
        <v>456</v>
      </c>
      <c r="N91" s="382">
        <f t="shared" si="29"/>
        <v>18043</v>
      </c>
    </row>
    <row r="92" spans="2:14" ht="22.5" customHeight="1" x14ac:dyDescent="0.2">
      <c r="B92" s="616"/>
      <c r="C92" s="383" t="s">
        <v>10</v>
      </c>
      <c r="D92" s="382">
        <f t="shared" ref="D92:N92" si="30">D5+D8+D11+D14+D17+D20+D23+D26+D29+D32+D35+D38+D41+D44+D47+D50+D53+D56+D59+D62+D65+D68+D71+D74+D77+D80+D83+D86+D89</f>
        <v>1170</v>
      </c>
      <c r="E92" s="382">
        <f t="shared" si="30"/>
        <v>370</v>
      </c>
      <c r="F92" s="382">
        <f t="shared" si="30"/>
        <v>997</v>
      </c>
      <c r="G92" s="382">
        <f t="shared" si="30"/>
        <v>855</v>
      </c>
      <c r="H92" s="382">
        <f t="shared" si="30"/>
        <v>153</v>
      </c>
      <c r="I92" s="382">
        <f t="shared" si="30"/>
        <v>1065</v>
      </c>
      <c r="J92" s="382">
        <f t="shared" si="30"/>
        <v>10</v>
      </c>
      <c r="K92" s="382">
        <f t="shared" si="30"/>
        <v>128</v>
      </c>
      <c r="L92" s="382">
        <f t="shared" si="30"/>
        <v>98</v>
      </c>
      <c r="M92" s="382">
        <f t="shared" si="30"/>
        <v>87</v>
      </c>
      <c r="N92" s="382">
        <f t="shared" si="30"/>
        <v>4933</v>
      </c>
    </row>
    <row r="93" spans="2:14" ht="22.5" customHeight="1" x14ac:dyDescent="0.2">
      <c r="B93" s="616"/>
      <c r="C93" s="383" t="s">
        <v>845</v>
      </c>
      <c r="D93" s="382">
        <f t="shared" ref="D93:N93" si="31">D6+D9+D12+D15+D18+D21+D24+D27+D30+D33+D36+D39+D42+D45+D48+D51+D54+D57+D60+D63+D66+D69+D72+D75+D78+D81+D84+D87+D90</f>
        <v>3244</v>
      </c>
      <c r="E93" s="382">
        <f t="shared" si="31"/>
        <v>973</v>
      </c>
      <c r="F93" s="382">
        <f t="shared" si="31"/>
        <v>5765</v>
      </c>
      <c r="G93" s="382">
        <f t="shared" si="31"/>
        <v>4302</v>
      </c>
      <c r="H93" s="382">
        <f t="shared" si="31"/>
        <v>3296</v>
      </c>
      <c r="I93" s="382">
        <f t="shared" si="31"/>
        <v>3744</v>
      </c>
      <c r="J93" s="382">
        <f t="shared" si="31"/>
        <v>34</v>
      </c>
      <c r="K93" s="382">
        <f t="shared" si="31"/>
        <v>944</v>
      </c>
      <c r="L93" s="382">
        <f t="shared" si="31"/>
        <v>131</v>
      </c>
      <c r="M93" s="382">
        <f t="shared" si="31"/>
        <v>543</v>
      </c>
      <c r="N93" s="382">
        <f t="shared" si="31"/>
        <v>22976</v>
      </c>
    </row>
  </sheetData>
  <mergeCells count="31">
    <mergeCell ref="B1:N2"/>
    <mergeCell ref="B4:B6"/>
    <mergeCell ref="B7:B9"/>
    <mergeCell ref="B10:B12"/>
    <mergeCell ref="B13:B15"/>
    <mergeCell ref="B31:B33"/>
    <mergeCell ref="B34:B36"/>
    <mergeCell ref="B37:B39"/>
    <mergeCell ref="B40:B42"/>
    <mergeCell ref="B43:B45"/>
    <mergeCell ref="B16:B18"/>
    <mergeCell ref="B19:B21"/>
    <mergeCell ref="B22:B24"/>
    <mergeCell ref="B25:B27"/>
    <mergeCell ref="B28:B30"/>
    <mergeCell ref="B61:B63"/>
    <mergeCell ref="B64:B66"/>
    <mergeCell ref="B67:B69"/>
    <mergeCell ref="B70:B72"/>
    <mergeCell ref="B73:B75"/>
    <mergeCell ref="B46:B48"/>
    <mergeCell ref="B49:B51"/>
    <mergeCell ref="B52:B54"/>
    <mergeCell ref="B55:B57"/>
    <mergeCell ref="B58:B60"/>
    <mergeCell ref="B76:B78"/>
    <mergeCell ref="B91:B93"/>
    <mergeCell ref="B79:B81"/>
    <mergeCell ref="B82:B84"/>
    <mergeCell ref="B85:B87"/>
    <mergeCell ref="B88:B90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93"/>
  <sheetViews>
    <sheetView rightToLeft="1" zoomScale="86" zoomScaleNormal="86" workbookViewId="0">
      <selection activeCell="B3" sqref="B1:N1048576"/>
    </sheetView>
  </sheetViews>
  <sheetFormatPr defaultRowHeight="18.75" customHeight="1" x14ac:dyDescent="0.2"/>
  <cols>
    <col min="1" max="1" width="9" style="160"/>
    <col min="2" max="2" width="30" style="372" bestFit="1" customWidth="1"/>
    <col min="3" max="14" width="9" style="372"/>
    <col min="15" max="16384" width="9" style="160"/>
  </cols>
  <sheetData>
    <row r="1" spans="2:14" ht="18.75" customHeight="1" x14ac:dyDescent="0.2">
      <c r="B1" s="617" t="s">
        <v>875</v>
      </c>
      <c r="C1" s="617"/>
      <c r="D1" s="617"/>
      <c r="E1" s="617"/>
      <c r="F1" s="617"/>
      <c r="G1" s="617"/>
      <c r="H1" s="617"/>
      <c r="I1" s="617"/>
      <c r="J1" s="617"/>
      <c r="K1" s="617"/>
      <c r="L1" s="617"/>
      <c r="M1" s="617"/>
      <c r="N1" s="617"/>
    </row>
    <row r="2" spans="2:14" ht="18.75" customHeight="1" x14ac:dyDescent="0.2">
      <c r="B2" s="618"/>
      <c r="C2" s="618"/>
      <c r="D2" s="618"/>
      <c r="E2" s="618"/>
      <c r="F2" s="618"/>
      <c r="G2" s="618"/>
      <c r="H2" s="618"/>
      <c r="I2" s="618"/>
      <c r="J2" s="618"/>
      <c r="K2" s="618"/>
      <c r="L2" s="618"/>
      <c r="M2" s="618"/>
      <c r="N2" s="618"/>
    </row>
    <row r="3" spans="2:14" ht="30" x14ac:dyDescent="0.2">
      <c r="B3" s="378" t="s">
        <v>8</v>
      </c>
      <c r="C3" s="379" t="s">
        <v>7</v>
      </c>
      <c r="D3" s="380" t="s">
        <v>854</v>
      </c>
      <c r="E3" s="380" t="s">
        <v>853</v>
      </c>
      <c r="F3" s="380" t="s">
        <v>852</v>
      </c>
      <c r="G3" s="380" t="s">
        <v>851</v>
      </c>
      <c r="H3" s="380" t="s">
        <v>850</v>
      </c>
      <c r="I3" s="380" t="s">
        <v>49</v>
      </c>
      <c r="J3" s="380" t="s">
        <v>50</v>
      </c>
      <c r="K3" s="380" t="s">
        <v>857</v>
      </c>
      <c r="L3" s="380" t="s">
        <v>847</v>
      </c>
      <c r="M3" s="380" t="s">
        <v>53</v>
      </c>
      <c r="N3" s="381" t="s">
        <v>4</v>
      </c>
    </row>
    <row r="4" spans="2:14" s="163" customFormat="1" ht="18.75" customHeight="1" x14ac:dyDescent="0.2">
      <c r="B4" s="619" t="s">
        <v>14</v>
      </c>
      <c r="C4" s="374" t="s">
        <v>9</v>
      </c>
      <c r="D4" s="377">
        <v>21</v>
      </c>
      <c r="E4" s="377">
        <v>6</v>
      </c>
      <c r="F4" s="377">
        <v>47</v>
      </c>
      <c r="G4" s="377">
        <v>34</v>
      </c>
      <c r="H4" s="377">
        <v>31</v>
      </c>
      <c r="I4" s="377">
        <v>26</v>
      </c>
      <c r="J4" s="377">
        <v>0</v>
      </c>
      <c r="K4" s="377">
        <v>8</v>
      </c>
      <c r="L4" s="377">
        <v>0</v>
      </c>
      <c r="M4" s="377">
        <v>5</v>
      </c>
      <c r="N4" s="382">
        <f>SUM(D4:M4)</f>
        <v>178</v>
      </c>
    </row>
    <row r="5" spans="2:14" ht="18.75" customHeight="1" x14ac:dyDescent="0.2">
      <c r="B5" s="620"/>
      <c r="C5" s="374" t="s">
        <v>10</v>
      </c>
      <c r="D5" s="377">
        <v>49</v>
      </c>
      <c r="E5" s="377">
        <v>15</v>
      </c>
      <c r="F5" s="377">
        <v>40</v>
      </c>
      <c r="G5" s="377">
        <v>35</v>
      </c>
      <c r="H5" s="377">
        <v>6</v>
      </c>
      <c r="I5" s="377">
        <v>42</v>
      </c>
      <c r="J5" s="377">
        <v>0</v>
      </c>
      <c r="K5" s="377">
        <v>5</v>
      </c>
      <c r="L5" s="377">
        <v>4</v>
      </c>
      <c r="M5" s="377">
        <v>4</v>
      </c>
      <c r="N5" s="382">
        <f>SUM(D5:M5)</f>
        <v>200</v>
      </c>
    </row>
    <row r="6" spans="2:14" ht="18.75" customHeight="1" x14ac:dyDescent="0.2">
      <c r="B6" s="621"/>
      <c r="C6" s="374" t="s">
        <v>845</v>
      </c>
      <c r="D6" s="377">
        <f t="shared" ref="D6:N6" si="0">SUM(D4:D5)</f>
        <v>70</v>
      </c>
      <c r="E6" s="377">
        <f t="shared" si="0"/>
        <v>21</v>
      </c>
      <c r="F6" s="377">
        <f t="shared" si="0"/>
        <v>87</v>
      </c>
      <c r="G6" s="377">
        <f t="shared" si="0"/>
        <v>69</v>
      </c>
      <c r="H6" s="377">
        <f t="shared" si="0"/>
        <v>37</v>
      </c>
      <c r="I6" s="377">
        <f t="shared" si="0"/>
        <v>68</v>
      </c>
      <c r="J6" s="377">
        <f t="shared" si="0"/>
        <v>0</v>
      </c>
      <c r="K6" s="377">
        <f t="shared" si="0"/>
        <v>13</v>
      </c>
      <c r="L6" s="377">
        <f t="shared" si="0"/>
        <v>4</v>
      </c>
      <c r="M6" s="377">
        <f t="shared" si="0"/>
        <v>9</v>
      </c>
      <c r="N6" s="377">
        <f t="shared" si="0"/>
        <v>378</v>
      </c>
    </row>
    <row r="7" spans="2:14" ht="18.75" customHeight="1" x14ac:dyDescent="0.2">
      <c r="B7" s="619" t="s">
        <v>869</v>
      </c>
      <c r="C7" s="374" t="s">
        <v>9</v>
      </c>
      <c r="D7" s="377">
        <v>13</v>
      </c>
      <c r="E7" s="377">
        <v>4</v>
      </c>
      <c r="F7" s="377">
        <v>30</v>
      </c>
      <c r="G7" s="377">
        <v>21</v>
      </c>
      <c r="H7" s="377">
        <v>19</v>
      </c>
      <c r="I7" s="377">
        <v>17</v>
      </c>
      <c r="J7" s="377">
        <v>0</v>
      </c>
      <c r="K7" s="377">
        <v>5</v>
      </c>
      <c r="L7" s="377">
        <v>0</v>
      </c>
      <c r="M7" s="377">
        <v>3</v>
      </c>
      <c r="N7" s="382">
        <f>SUM(D7:M7)</f>
        <v>112</v>
      </c>
    </row>
    <row r="8" spans="2:14" ht="18.75" customHeight="1" x14ac:dyDescent="0.2">
      <c r="B8" s="620"/>
      <c r="C8" s="374" t="s">
        <v>10</v>
      </c>
      <c r="D8" s="377">
        <v>35</v>
      </c>
      <c r="E8" s="377">
        <v>12</v>
      </c>
      <c r="F8" s="377">
        <v>29</v>
      </c>
      <c r="G8" s="377">
        <v>25</v>
      </c>
      <c r="H8" s="377">
        <v>4</v>
      </c>
      <c r="I8" s="377">
        <v>31</v>
      </c>
      <c r="J8" s="377">
        <v>0</v>
      </c>
      <c r="K8" s="377">
        <v>4</v>
      </c>
      <c r="L8" s="377">
        <v>3</v>
      </c>
      <c r="M8" s="377">
        <v>3</v>
      </c>
      <c r="N8" s="382">
        <f>SUM(D8:M8)</f>
        <v>146</v>
      </c>
    </row>
    <row r="9" spans="2:14" ht="18.75" customHeight="1" x14ac:dyDescent="0.2">
      <c r="B9" s="621"/>
      <c r="C9" s="374" t="s">
        <v>845</v>
      </c>
      <c r="D9" s="377">
        <f t="shared" ref="D9:N9" si="1">SUM(D7:D8)</f>
        <v>48</v>
      </c>
      <c r="E9" s="377">
        <f t="shared" si="1"/>
        <v>16</v>
      </c>
      <c r="F9" s="377">
        <f t="shared" si="1"/>
        <v>59</v>
      </c>
      <c r="G9" s="377">
        <f t="shared" si="1"/>
        <v>46</v>
      </c>
      <c r="H9" s="377">
        <f t="shared" si="1"/>
        <v>23</v>
      </c>
      <c r="I9" s="377">
        <f t="shared" si="1"/>
        <v>48</v>
      </c>
      <c r="J9" s="377">
        <f t="shared" si="1"/>
        <v>0</v>
      </c>
      <c r="K9" s="377">
        <f t="shared" si="1"/>
        <v>9</v>
      </c>
      <c r="L9" s="377">
        <f t="shared" si="1"/>
        <v>3</v>
      </c>
      <c r="M9" s="377">
        <f t="shared" si="1"/>
        <v>6</v>
      </c>
      <c r="N9" s="377">
        <f t="shared" si="1"/>
        <v>258</v>
      </c>
    </row>
    <row r="10" spans="2:14" ht="18.75" customHeight="1" x14ac:dyDescent="0.2">
      <c r="B10" s="619" t="s">
        <v>868</v>
      </c>
      <c r="C10" s="374" t="s">
        <v>9</v>
      </c>
      <c r="D10" s="377">
        <v>1</v>
      </c>
      <c r="E10" s="377">
        <v>0</v>
      </c>
      <c r="F10" s="377">
        <v>2</v>
      </c>
      <c r="G10" s="377">
        <v>2</v>
      </c>
      <c r="H10" s="377">
        <v>1</v>
      </c>
      <c r="I10" s="377">
        <v>1</v>
      </c>
      <c r="J10" s="377">
        <v>0</v>
      </c>
      <c r="K10" s="377">
        <v>0</v>
      </c>
      <c r="L10" s="377">
        <v>0</v>
      </c>
      <c r="M10" s="377">
        <v>0</v>
      </c>
      <c r="N10" s="382">
        <f>SUM(D10:M10)</f>
        <v>7</v>
      </c>
    </row>
    <row r="11" spans="2:14" ht="18.75" customHeight="1" x14ac:dyDescent="0.2">
      <c r="B11" s="620"/>
      <c r="C11" s="374" t="s">
        <v>10</v>
      </c>
      <c r="D11" s="377">
        <v>2</v>
      </c>
      <c r="E11" s="377">
        <v>1</v>
      </c>
      <c r="F11" s="377">
        <v>1</v>
      </c>
      <c r="G11" s="377">
        <v>1</v>
      </c>
      <c r="H11" s="377">
        <v>0</v>
      </c>
      <c r="I11" s="377">
        <v>1</v>
      </c>
      <c r="J11" s="377">
        <v>0</v>
      </c>
      <c r="K11" s="377">
        <v>0</v>
      </c>
      <c r="L11" s="377">
        <v>0</v>
      </c>
      <c r="M11" s="377">
        <v>0</v>
      </c>
      <c r="N11" s="382">
        <f>SUM(D11:M11)</f>
        <v>6</v>
      </c>
    </row>
    <row r="12" spans="2:14" ht="18.75" customHeight="1" x14ac:dyDescent="0.2">
      <c r="B12" s="621"/>
      <c r="C12" s="374" t="s">
        <v>845</v>
      </c>
      <c r="D12" s="377">
        <f t="shared" ref="D12:N12" si="2">SUM(D10:D11)</f>
        <v>3</v>
      </c>
      <c r="E12" s="377">
        <f t="shared" si="2"/>
        <v>1</v>
      </c>
      <c r="F12" s="377">
        <f t="shared" si="2"/>
        <v>3</v>
      </c>
      <c r="G12" s="377">
        <f t="shared" si="2"/>
        <v>3</v>
      </c>
      <c r="H12" s="377">
        <f t="shared" si="2"/>
        <v>1</v>
      </c>
      <c r="I12" s="377">
        <f t="shared" si="2"/>
        <v>2</v>
      </c>
      <c r="J12" s="377">
        <f t="shared" si="2"/>
        <v>0</v>
      </c>
      <c r="K12" s="377">
        <f t="shared" si="2"/>
        <v>0</v>
      </c>
      <c r="L12" s="377">
        <f t="shared" si="2"/>
        <v>0</v>
      </c>
      <c r="M12" s="377">
        <f t="shared" si="2"/>
        <v>0</v>
      </c>
      <c r="N12" s="377">
        <f t="shared" si="2"/>
        <v>13</v>
      </c>
    </row>
    <row r="13" spans="2:14" ht="18.75" customHeight="1" x14ac:dyDescent="0.2">
      <c r="B13" s="619" t="s">
        <v>867</v>
      </c>
      <c r="C13" s="374" t="s">
        <v>9</v>
      </c>
      <c r="D13" s="377">
        <v>11</v>
      </c>
      <c r="E13" s="377">
        <v>3</v>
      </c>
      <c r="F13" s="377">
        <v>26</v>
      </c>
      <c r="G13" s="377">
        <v>19</v>
      </c>
      <c r="H13" s="377">
        <v>17</v>
      </c>
      <c r="I13" s="377">
        <v>14</v>
      </c>
      <c r="J13" s="377">
        <v>0</v>
      </c>
      <c r="K13" s="377">
        <v>5</v>
      </c>
      <c r="L13" s="377">
        <v>0</v>
      </c>
      <c r="M13" s="377">
        <v>3</v>
      </c>
      <c r="N13" s="382">
        <f>SUM(D13:M13)</f>
        <v>98</v>
      </c>
    </row>
    <row r="14" spans="2:14" ht="18.75" customHeight="1" x14ac:dyDescent="0.2">
      <c r="B14" s="620"/>
      <c r="C14" s="374" t="s">
        <v>10</v>
      </c>
      <c r="D14" s="377">
        <v>28</v>
      </c>
      <c r="E14" s="377">
        <v>9</v>
      </c>
      <c r="F14" s="377">
        <v>24</v>
      </c>
      <c r="G14" s="377">
        <v>20</v>
      </c>
      <c r="H14" s="377">
        <v>4</v>
      </c>
      <c r="I14" s="377">
        <v>25</v>
      </c>
      <c r="J14" s="377">
        <v>0</v>
      </c>
      <c r="K14" s="377">
        <v>4</v>
      </c>
      <c r="L14" s="377">
        <v>2</v>
      </c>
      <c r="M14" s="377">
        <v>2</v>
      </c>
      <c r="N14" s="382">
        <f>SUM(D14:M14)</f>
        <v>118</v>
      </c>
    </row>
    <row r="15" spans="2:14" ht="18.75" customHeight="1" x14ac:dyDescent="0.2">
      <c r="B15" s="621"/>
      <c r="C15" s="374" t="s">
        <v>845</v>
      </c>
      <c r="D15" s="377">
        <f t="shared" ref="D15:N15" si="3">SUM(D13:D14)</f>
        <v>39</v>
      </c>
      <c r="E15" s="377">
        <f t="shared" si="3"/>
        <v>12</v>
      </c>
      <c r="F15" s="377">
        <f t="shared" si="3"/>
        <v>50</v>
      </c>
      <c r="G15" s="377">
        <f t="shared" si="3"/>
        <v>39</v>
      </c>
      <c r="H15" s="377">
        <f t="shared" si="3"/>
        <v>21</v>
      </c>
      <c r="I15" s="377">
        <f t="shared" si="3"/>
        <v>39</v>
      </c>
      <c r="J15" s="377">
        <f t="shared" si="3"/>
        <v>0</v>
      </c>
      <c r="K15" s="377">
        <f t="shared" si="3"/>
        <v>9</v>
      </c>
      <c r="L15" s="377">
        <f t="shared" si="3"/>
        <v>2</v>
      </c>
      <c r="M15" s="377">
        <f t="shared" si="3"/>
        <v>5</v>
      </c>
      <c r="N15" s="377">
        <f t="shared" si="3"/>
        <v>216</v>
      </c>
    </row>
    <row r="16" spans="2:14" ht="18.75" customHeight="1" x14ac:dyDescent="0.2">
      <c r="B16" s="619" t="s">
        <v>16</v>
      </c>
      <c r="C16" s="374" t="s">
        <v>9</v>
      </c>
      <c r="D16" s="377">
        <v>0</v>
      </c>
      <c r="E16" s="377">
        <v>0</v>
      </c>
      <c r="F16" s="377">
        <v>1</v>
      </c>
      <c r="G16" s="377">
        <v>1</v>
      </c>
      <c r="H16" s="377">
        <v>1</v>
      </c>
      <c r="I16" s="377">
        <v>1</v>
      </c>
      <c r="J16" s="377">
        <v>0</v>
      </c>
      <c r="K16" s="377">
        <v>0</v>
      </c>
      <c r="L16" s="377">
        <v>0</v>
      </c>
      <c r="M16" s="377">
        <v>0</v>
      </c>
      <c r="N16" s="382">
        <f>SUM(D16:M16)</f>
        <v>4</v>
      </c>
    </row>
    <row r="17" spans="2:14" ht="18.75" customHeight="1" x14ac:dyDescent="0.2">
      <c r="B17" s="620"/>
      <c r="C17" s="374" t="s">
        <v>10</v>
      </c>
      <c r="D17" s="377">
        <v>1</v>
      </c>
      <c r="E17" s="377">
        <v>0</v>
      </c>
      <c r="F17" s="377">
        <v>1</v>
      </c>
      <c r="G17" s="377">
        <v>1</v>
      </c>
      <c r="H17" s="377">
        <v>0</v>
      </c>
      <c r="I17" s="377">
        <v>1</v>
      </c>
      <c r="J17" s="377">
        <v>0</v>
      </c>
      <c r="K17" s="377">
        <v>0</v>
      </c>
      <c r="L17" s="377">
        <v>0</v>
      </c>
      <c r="M17" s="377">
        <v>0</v>
      </c>
      <c r="N17" s="382">
        <f>SUM(D17:M17)</f>
        <v>4</v>
      </c>
    </row>
    <row r="18" spans="2:14" ht="18.75" customHeight="1" x14ac:dyDescent="0.2">
      <c r="B18" s="621"/>
      <c r="C18" s="374" t="s">
        <v>845</v>
      </c>
      <c r="D18" s="377">
        <f t="shared" ref="D18:N18" si="4">SUM(D16:D17)</f>
        <v>1</v>
      </c>
      <c r="E18" s="377">
        <f t="shared" si="4"/>
        <v>0</v>
      </c>
      <c r="F18" s="377">
        <f t="shared" si="4"/>
        <v>2</v>
      </c>
      <c r="G18" s="377">
        <f t="shared" si="4"/>
        <v>2</v>
      </c>
      <c r="H18" s="377">
        <f t="shared" si="4"/>
        <v>1</v>
      </c>
      <c r="I18" s="377">
        <f t="shared" si="4"/>
        <v>2</v>
      </c>
      <c r="J18" s="377">
        <f t="shared" si="4"/>
        <v>0</v>
      </c>
      <c r="K18" s="377">
        <f t="shared" si="4"/>
        <v>0</v>
      </c>
      <c r="L18" s="377">
        <f t="shared" si="4"/>
        <v>0</v>
      </c>
      <c r="M18" s="377">
        <f t="shared" si="4"/>
        <v>0</v>
      </c>
      <c r="N18" s="377">
        <f t="shared" si="4"/>
        <v>8</v>
      </c>
    </row>
    <row r="19" spans="2:14" ht="18.75" customHeight="1" x14ac:dyDescent="0.2">
      <c r="B19" s="619" t="s">
        <v>21</v>
      </c>
      <c r="C19" s="374" t="s">
        <v>9</v>
      </c>
      <c r="D19" s="377">
        <v>200</v>
      </c>
      <c r="E19" s="377">
        <v>59</v>
      </c>
      <c r="F19" s="377">
        <v>454</v>
      </c>
      <c r="G19" s="377">
        <v>328</v>
      </c>
      <c r="H19" s="377">
        <v>296</v>
      </c>
      <c r="I19" s="377">
        <v>253</v>
      </c>
      <c r="J19" s="377">
        <v>3</v>
      </c>
      <c r="K19" s="377">
        <v>79</v>
      </c>
      <c r="L19" s="377">
        <v>4</v>
      </c>
      <c r="M19" s="377">
        <v>44</v>
      </c>
      <c r="N19" s="382">
        <f>SUM(D19:M19)</f>
        <v>1720</v>
      </c>
    </row>
    <row r="20" spans="2:14" ht="18.75" customHeight="1" x14ac:dyDescent="0.2">
      <c r="B20" s="620"/>
      <c r="C20" s="374" t="s">
        <v>10</v>
      </c>
      <c r="D20" s="377">
        <v>95</v>
      </c>
      <c r="E20" s="377">
        <v>29</v>
      </c>
      <c r="F20" s="377">
        <v>80</v>
      </c>
      <c r="G20" s="377">
        <v>68</v>
      </c>
      <c r="H20" s="377">
        <v>12</v>
      </c>
      <c r="I20" s="377">
        <v>81</v>
      </c>
      <c r="J20" s="377">
        <v>1</v>
      </c>
      <c r="K20" s="377">
        <v>12</v>
      </c>
      <c r="L20" s="377">
        <v>9</v>
      </c>
      <c r="M20" s="377">
        <v>7</v>
      </c>
      <c r="N20" s="382">
        <f>SUM(D20:M20)</f>
        <v>394</v>
      </c>
    </row>
    <row r="21" spans="2:14" ht="18.75" customHeight="1" x14ac:dyDescent="0.2">
      <c r="B21" s="621"/>
      <c r="C21" s="374" t="s">
        <v>845</v>
      </c>
      <c r="D21" s="377">
        <f t="shared" ref="D21:N21" si="5">SUM(D19:D20)</f>
        <v>295</v>
      </c>
      <c r="E21" s="377">
        <f t="shared" si="5"/>
        <v>88</v>
      </c>
      <c r="F21" s="377">
        <f t="shared" si="5"/>
        <v>534</v>
      </c>
      <c r="G21" s="377">
        <f t="shared" si="5"/>
        <v>396</v>
      </c>
      <c r="H21" s="377">
        <f t="shared" si="5"/>
        <v>308</v>
      </c>
      <c r="I21" s="377">
        <f t="shared" si="5"/>
        <v>334</v>
      </c>
      <c r="J21" s="377">
        <f t="shared" si="5"/>
        <v>4</v>
      </c>
      <c r="K21" s="377">
        <f t="shared" si="5"/>
        <v>91</v>
      </c>
      <c r="L21" s="377">
        <f t="shared" si="5"/>
        <v>13</v>
      </c>
      <c r="M21" s="377">
        <f t="shared" si="5"/>
        <v>51</v>
      </c>
      <c r="N21" s="377">
        <f t="shared" si="5"/>
        <v>2114</v>
      </c>
    </row>
    <row r="22" spans="2:14" ht="18.75" customHeight="1" x14ac:dyDescent="0.2">
      <c r="B22" s="619" t="s">
        <v>19</v>
      </c>
      <c r="C22" s="374" t="s">
        <v>9</v>
      </c>
      <c r="D22" s="377">
        <v>1</v>
      </c>
      <c r="E22" s="377">
        <v>0</v>
      </c>
      <c r="F22" s="377">
        <v>3</v>
      </c>
      <c r="G22" s="377">
        <v>2</v>
      </c>
      <c r="H22" s="377">
        <v>2</v>
      </c>
      <c r="I22" s="377">
        <v>2</v>
      </c>
      <c r="J22" s="377">
        <v>0</v>
      </c>
      <c r="K22" s="377">
        <v>1</v>
      </c>
      <c r="L22" s="377">
        <v>0</v>
      </c>
      <c r="M22" s="377">
        <v>0</v>
      </c>
      <c r="N22" s="382">
        <f>SUM(D22:M22)</f>
        <v>11</v>
      </c>
    </row>
    <row r="23" spans="2:14" ht="18.75" customHeight="1" x14ac:dyDescent="0.2">
      <c r="B23" s="620"/>
      <c r="C23" s="374" t="s">
        <v>10</v>
      </c>
      <c r="D23" s="377">
        <v>2</v>
      </c>
      <c r="E23" s="377">
        <v>0</v>
      </c>
      <c r="F23" s="377">
        <v>1</v>
      </c>
      <c r="G23" s="377">
        <v>1</v>
      </c>
      <c r="H23" s="377">
        <v>0</v>
      </c>
      <c r="I23" s="377">
        <v>2</v>
      </c>
      <c r="J23" s="377">
        <v>0</v>
      </c>
      <c r="K23" s="377">
        <v>0</v>
      </c>
      <c r="L23" s="377">
        <v>0</v>
      </c>
      <c r="M23" s="377">
        <v>0</v>
      </c>
      <c r="N23" s="382">
        <f>SUM(D23:M23)</f>
        <v>6</v>
      </c>
    </row>
    <row r="24" spans="2:14" ht="18.75" customHeight="1" x14ac:dyDescent="0.2">
      <c r="B24" s="621"/>
      <c r="C24" s="374" t="s">
        <v>845</v>
      </c>
      <c r="D24" s="377">
        <f t="shared" ref="D24:N24" si="6">SUM(D22:D23)</f>
        <v>3</v>
      </c>
      <c r="E24" s="377">
        <f t="shared" si="6"/>
        <v>0</v>
      </c>
      <c r="F24" s="377">
        <f t="shared" si="6"/>
        <v>4</v>
      </c>
      <c r="G24" s="377">
        <f t="shared" si="6"/>
        <v>3</v>
      </c>
      <c r="H24" s="377">
        <f t="shared" si="6"/>
        <v>2</v>
      </c>
      <c r="I24" s="377">
        <f t="shared" si="6"/>
        <v>4</v>
      </c>
      <c r="J24" s="377">
        <f t="shared" si="6"/>
        <v>0</v>
      </c>
      <c r="K24" s="377">
        <f t="shared" si="6"/>
        <v>1</v>
      </c>
      <c r="L24" s="377">
        <f t="shared" si="6"/>
        <v>0</v>
      </c>
      <c r="M24" s="377">
        <f t="shared" si="6"/>
        <v>0</v>
      </c>
      <c r="N24" s="377">
        <f t="shared" si="6"/>
        <v>17</v>
      </c>
    </row>
    <row r="25" spans="2:14" ht="18.75" customHeight="1" x14ac:dyDescent="0.2">
      <c r="B25" s="619" t="s">
        <v>866</v>
      </c>
      <c r="C25" s="374" t="s">
        <v>9</v>
      </c>
      <c r="D25" s="377">
        <v>3</v>
      </c>
      <c r="E25" s="377">
        <v>1</v>
      </c>
      <c r="F25" s="377">
        <v>7</v>
      </c>
      <c r="G25" s="377">
        <v>5</v>
      </c>
      <c r="H25" s="377">
        <v>4</v>
      </c>
      <c r="I25" s="377">
        <v>4</v>
      </c>
      <c r="J25" s="377">
        <v>0</v>
      </c>
      <c r="K25" s="377">
        <v>1</v>
      </c>
      <c r="L25" s="377">
        <v>0</v>
      </c>
      <c r="M25" s="377">
        <v>1</v>
      </c>
      <c r="N25" s="382">
        <f>SUM(D25:M25)</f>
        <v>26</v>
      </c>
    </row>
    <row r="26" spans="2:14" ht="18.75" customHeight="1" x14ac:dyDescent="0.2">
      <c r="B26" s="620"/>
      <c r="C26" s="374" t="s">
        <v>10</v>
      </c>
      <c r="D26" s="377">
        <v>3</v>
      </c>
      <c r="E26" s="377">
        <v>1</v>
      </c>
      <c r="F26" s="377">
        <v>2</v>
      </c>
      <c r="G26" s="377">
        <v>2</v>
      </c>
      <c r="H26" s="377">
        <v>0</v>
      </c>
      <c r="I26" s="377">
        <v>2</v>
      </c>
      <c r="J26" s="377">
        <v>0</v>
      </c>
      <c r="K26" s="377">
        <v>0</v>
      </c>
      <c r="L26" s="377">
        <v>0</v>
      </c>
      <c r="M26" s="377">
        <v>0</v>
      </c>
      <c r="N26" s="382">
        <f>SUM(D26:M26)</f>
        <v>10</v>
      </c>
    </row>
    <row r="27" spans="2:14" ht="18.75" customHeight="1" x14ac:dyDescent="0.2">
      <c r="B27" s="621"/>
      <c r="C27" s="374" t="s">
        <v>845</v>
      </c>
      <c r="D27" s="377">
        <f t="shared" ref="D27:N27" si="7">SUM(D25:D26)</f>
        <v>6</v>
      </c>
      <c r="E27" s="377">
        <f t="shared" si="7"/>
        <v>2</v>
      </c>
      <c r="F27" s="377">
        <f t="shared" si="7"/>
        <v>9</v>
      </c>
      <c r="G27" s="377">
        <f t="shared" si="7"/>
        <v>7</v>
      </c>
      <c r="H27" s="377">
        <f t="shared" si="7"/>
        <v>4</v>
      </c>
      <c r="I27" s="377">
        <f t="shared" si="7"/>
        <v>6</v>
      </c>
      <c r="J27" s="377">
        <f t="shared" si="7"/>
        <v>0</v>
      </c>
      <c r="K27" s="377">
        <f t="shared" si="7"/>
        <v>1</v>
      </c>
      <c r="L27" s="377">
        <f t="shared" si="7"/>
        <v>0</v>
      </c>
      <c r="M27" s="377">
        <f t="shared" si="7"/>
        <v>1</v>
      </c>
      <c r="N27" s="377">
        <f t="shared" si="7"/>
        <v>36</v>
      </c>
    </row>
    <row r="28" spans="2:14" ht="18.75" customHeight="1" x14ac:dyDescent="0.2">
      <c r="B28" s="619" t="s">
        <v>865</v>
      </c>
      <c r="C28" s="374" t="s">
        <v>9</v>
      </c>
      <c r="D28" s="377">
        <v>1</v>
      </c>
      <c r="E28" s="377">
        <v>0</v>
      </c>
      <c r="F28" s="377">
        <v>1</v>
      </c>
      <c r="G28" s="377">
        <v>1</v>
      </c>
      <c r="H28" s="377">
        <v>1</v>
      </c>
      <c r="I28" s="377">
        <v>1</v>
      </c>
      <c r="J28" s="377">
        <v>0</v>
      </c>
      <c r="K28" s="377">
        <v>0</v>
      </c>
      <c r="L28" s="377">
        <v>0</v>
      </c>
      <c r="M28" s="377">
        <v>0</v>
      </c>
      <c r="N28" s="382">
        <f>SUM(D28:M28)</f>
        <v>5</v>
      </c>
    </row>
    <row r="29" spans="2:14" ht="18.75" customHeight="1" x14ac:dyDescent="0.2">
      <c r="B29" s="620"/>
      <c r="C29" s="374" t="s">
        <v>10</v>
      </c>
      <c r="D29" s="377">
        <v>0</v>
      </c>
      <c r="E29" s="377">
        <v>0</v>
      </c>
      <c r="F29" s="377">
        <v>0</v>
      </c>
      <c r="G29" s="377">
        <v>0</v>
      </c>
      <c r="H29" s="377">
        <v>0</v>
      </c>
      <c r="I29" s="377">
        <v>0</v>
      </c>
      <c r="J29" s="377">
        <v>1</v>
      </c>
      <c r="K29" s="377">
        <v>0</v>
      </c>
      <c r="L29" s="377">
        <v>0</v>
      </c>
      <c r="M29" s="377">
        <v>0</v>
      </c>
      <c r="N29" s="382">
        <f>SUM(D29:M29)</f>
        <v>1</v>
      </c>
    </row>
    <row r="30" spans="2:14" ht="18.75" customHeight="1" x14ac:dyDescent="0.2">
      <c r="B30" s="621"/>
      <c r="C30" s="374" t="s">
        <v>845</v>
      </c>
      <c r="D30" s="377">
        <f t="shared" ref="D30:N30" si="8">SUM(D28:D29)</f>
        <v>1</v>
      </c>
      <c r="E30" s="377">
        <f t="shared" si="8"/>
        <v>0</v>
      </c>
      <c r="F30" s="377">
        <f t="shared" si="8"/>
        <v>1</v>
      </c>
      <c r="G30" s="377">
        <f t="shared" si="8"/>
        <v>1</v>
      </c>
      <c r="H30" s="377">
        <f t="shared" si="8"/>
        <v>1</v>
      </c>
      <c r="I30" s="377">
        <f t="shared" si="8"/>
        <v>1</v>
      </c>
      <c r="J30" s="377">
        <f t="shared" si="8"/>
        <v>1</v>
      </c>
      <c r="K30" s="377">
        <f t="shared" si="8"/>
        <v>0</v>
      </c>
      <c r="L30" s="377">
        <f t="shared" si="8"/>
        <v>0</v>
      </c>
      <c r="M30" s="377">
        <f t="shared" si="8"/>
        <v>0</v>
      </c>
      <c r="N30" s="377">
        <f t="shared" si="8"/>
        <v>6</v>
      </c>
    </row>
    <row r="31" spans="2:14" ht="18.75" customHeight="1" x14ac:dyDescent="0.2">
      <c r="B31" s="619" t="s">
        <v>18</v>
      </c>
      <c r="C31" s="374" t="s">
        <v>9</v>
      </c>
      <c r="D31" s="377">
        <v>2</v>
      </c>
      <c r="E31" s="377">
        <v>0</v>
      </c>
      <c r="F31" s="377">
        <v>3</v>
      </c>
      <c r="G31" s="377">
        <v>2</v>
      </c>
      <c r="H31" s="377">
        <v>2</v>
      </c>
      <c r="I31" s="377">
        <v>2</v>
      </c>
      <c r="J31" s="377">
        <v>0</v>
      </c>
      <c r="K31" s="377">
        <v>1</v>
      </c>
      <c r="L31" s="377">
        <v>0</v>
      </c>
      <c r="M31" s="377">
        <v>0</v>
      </c>
      <c r="N31" s="382">
        <f>SUM(D31:M31)</f>
        <v>12</v>
      </c>
    </row>
    <row r="32" spans="2:14" ht="18.75" customHeight="1" x14ac:dyDescent="0.2">
      <c r="B32" s="620"/>
      <c r="C32" s="374" t="s">
        <v>10</v>
      </c>
      <c r="D32" s="377">
        <v>2</v>
      </c>
      <c r="E32" s="377">
        <v>1</v>
      </c>
      <c r="F32" s="377">
        <v>2</v>
      </c>
      <c r="G32" s="377">
        <v>1</v>
      </c>
      <c r="H32" s="377">
        <v>0</v>
      </c>
      <c r="I32" s="377">
        <v>2</v>
      </c>
      <c r="J32" s="377">
        <v>0</v>
      </c>
      <c r="K32" s="377">
        <v>0</v>
      </c>
      <c r="L32" s="377">
        <v>0</v>
      </c>
      <c r="M32" s="377">
        <v>0</v>
      </c>
      <c r="N32" s="382">
        <f>SUM(D32:M32)</f>
        <v>8</v>
      </c>
    </row>
    <row r="33" spans="2:14" ht="18.75" customHeight="1" x14ac:dyDescent="0.2">
      <c r="B33" s="621"/>
      <c r="C33" s="374" t="s">
        <v>845</v>
      </c>
      <c r="D33" s="377">
        <f t="shared" ref="D33:N33" si="9">SUM(D31:D32)</f>
        <v>4</v>
      </c>
      <c r="E33" s="377">
        <f t="shared" si="9"/>
        <v>1</v>
      </c>
      <c r="F33" s="377">
        <f t="shared" si="9"/>
        <v>5</v>
      </c>
      <c r="G33" s="377">
        <f t="shared" si="9"/>
        <v>3</v>
      </c>
      <c r="H33" s="377">
        <f t="shared" si="9"/>
        <v>2</v>
      </c>
      <c r="I33" s="377">
        <f t="shared" si="9"/>
        <v>4</v>
      </c>
      <c r="J33" s="377">
        <f t="shared" si="9"/>
        <v>0</v>
      </c>
      <c r="K33" s="377">
        <f t="shared" si="9"/>
        <v>1</v>
      </c>
      <c r="L33" s="377">
        <f t="shared" si="9"/>
        <v>0</v>
      </c>
      <c r="M33" s="377">
        <f t="shared" si="9"/>
        <v>0</v>
      </c>
      <c r="N33" s="377">
        <f t="shared" si="9"/>
        <v>20</v>
      </c>
    </row>
    <row r="34" spans="2:14" ht="18.75" customHeight="1" x14ac:dyDescent="0.2">
      <c r="B34" s="619" t="s">
        <v>23</v>
      </c>
      <c r="C34" s="374" t="s">
        <v>9</v>
      </c>
      <c r="D34" s="377">
        <v>115</v>
      </c>
      <c r="E34" s="377">
        <v>35</v>
      </c>
      <c r="F34" s="377">
        <v>262</v>
      </c>
      <c r="G34" s="377">
        <v>189</v>
      </c>
      <c r="H34" s="377">
        <v>171</v>
      </c>
      <c r="I34" s="377">
        <v>147</v>
      </c>
      <c r="J34" s="377">
        <v>1</v>
      </c>
      <c r="K34" s="377">
        <v>46</v>
      </c>
      <c r="L34" s="377">
        <v>2</v>
      </c>
      <c r="M34" s="377">
        <v>25</v>
      </c>
      <c r="N34" s="382">
        <f>SUM(D34:M34)</f>
        <v>993</v>
      </c>
    </row>
    <row r="35" spans="2:14" ht="18.75" customHeight="1" x14ac:dyDescent="0.2">
      <c r="B35" s="620"/>
      <c r="C35" s="374" t="s">
        <v>10</v>
      </c>
      <c r="D35" s="377">
        <v>42</v>
      </c>
      <c r="E35" s="377">
        <v>13</v>
      </c>
      <c r="F35" s="377">
        <v>35</v>
      </c>
      <c r="G35" s="377">
        <v>30</v>
      </c>
      <c r="H35" s="377">
        <v>6</v>
      </c>
      <c r="I35" s="377">
        <v>37</v>
      </c>
      <c r="J35" s="377">
        <v>0</v>
      </c>
      <c r="K35" s="377">
        <v>5</v>
      </c>
      <c r="L35" s="377">
        <v>4</v>
      </c>
      <c r="M35" s="377">
        <v>3</v>
      </c>
      <c r="N35" s="382">
        <f>SUM(D35:M35)</f>
        <v>175</v>
      </c>
    </row>
    <row r="36" spans="2:14" ht="18.75" customHeight="1" x14ac:dyDescent="0.2">
      <c r="B36" s="621"/>
      <c r="C36" s="374" t="s">
        <v>845</v>
      </c>
      <c r="D36" s="377">
        <f t="shared" ref="D36:N36" si="10">SUM(D34:D35)</f>
        <v>157</v>
      </c>
      <c r="E36" s="377">
        <f t="shared" si="10"/>
        <v>48</v>
      </c>
      <c r="F36" s="377">
        <f t="shared" si="10"/>
        <v>297</v>
      </c>
      <c r="G36" s="377">
        <f t="shared" si="10"/>
        <v>219</v>
      </c>
      <c r="H36" s="377">
        <f t="shared" si="10"/>
        <v>177</v>
      </c>
      <c r="I36" s="377">
        <f t="shared" si="10"/>
        <v>184</v>
      </c>
      <c r="J36" s="377">
        <f t="shared" si="10"/>
        <v>1</v>
      </c>
      <c r="K36" s="377">
        <f t="shared" si="10"/>
        <v>51</v>
      </c>
      <c r="L36" s="377">
        <f t="shared" si="10"/>
        <v>6</v>
      </c>
      <c r="M36" s="377">
        <f t="shared" si="10"/>
        <v>28</v>
      </c>
      <c r="N36" s="377">
        <f t="shared" si="10"/>
        <v>1168</v>
      </c>
    </row>
    <row r="37" spans="2:14" ht="18.75" customHeight="1" x14ac:dyDescent="0.2">
      <c r="B37" s="619" t="s">
        <v>15</v>
      </c>
      <c r="C37" s="374" t="s">
        <v>9</v>
      </c>
      <c r="D37" s="377">
        <v>3</v>
      </c>
      <c r="E37" s="377">
        <v>1</v>
      </c>
      <c r="F37" s="377">
        <v>6</v>
      </c>
      <c r="G37" s="377">
        <v>4</v>
      </c>
      <c r="H37" s="377">
        <v>4</v>
      </c>
      <c r="I37" s="377">
        <v>3</v>
      </c>
      <c r="J37" s="377">
        <v>0</v>
      </c>
      <c r="K37" s="377">
        <v>1</v>
      </c>
      <c r="L37" s="377">
        <v>0</v>
      </c>
      <c r="M37" s="377">
        <v>1</v>
      </c>
      <c r="N37" s="382">
        <f>SUM(D37:M37)</f>
        <v>23</v>
      </c>
    </row>
    <row r="38" spans="2:14" ht="18.75" customHeight="1" x14ac:dyDescent="0.2">
      <c r="B38" s="620"/>
      <c r="C38" s="374" t="s">
        <v>10</v>
      </c>
      <c r="D38" s="377">
        <v>5</v>
      </c>
      <c r="E38" s="377">
        <v>2</v>
      </c>
      <c r="F38" s="377">
        <v>3</v>
      </c>
      <c r="G38" s="377">
        <v>3</v>
      </c>
      <c r="H38" s="377">
        <v>0</v>
      </c>
      <c r="I38" s="377">
        <v>3</v>
      </c>
      <c r="J38" s="377">
        <v>0</v>
      </c>
      <c r="K38" s="377">
        <v>0</v>
      </c>
      <c r="L38" s="377">
        <v>0</v>
      </c>
      <c r="M38" s="377">
        <v>0</v>
      </c>
      <c r="N38" s="382">
        <f>SUM(D38:M38)</f>
        <v>16</v>
      </c>
    </row>
    <row r="39" spans="2:14" ht="18.75" customHeight="1" x14ac:dyDescent="0.2">
      <c r="B39" s="621"/>
      <c r="C39" s="374" t="s">
        <v>845</v>
      </c>
      <c r="D39" s="377">
        <f t="shared" ref="D39:N39" si="11">SUM(D37:D38)</f>
        <v>8</v>
      </c>
      <c r="E39" s="377">
        <f t="shared" si="11"/>
        <v>3</v>
      </c>
      <c r="F39" s="377">
        <f t="shared" si="11"/>
        <v>9</v>
      </c>
      <c r="G39" s="377">
        <f t="shared" si="11"/>
        <v>7</v>
      </c>
      <c r="H39" s="377">
        <f t="shared" si="11"/>
        <v>4</v>
      </c>
      <c r="I39" s="377">
        <f t="shared" si="11"/>
        <v>6</v>
      </c>
      <c r="J39" s="377">
        <f t="shared" si="11"/>
        <v>0</v>
      </c>
      <c r="K39" s="377">
        <f t="shared" si="11"/>
        <v>1</v>
      </c>
      <c r="L39" s="377">
        <f t="shared" si="11"/>
        <v>0</v>
      </c>
      <c r="M39" s="377">
        <f t="shared" si="11"/>
        <v>1</v>
      </c>
      <c r="N39" s="377">
        <f t="shared" si="11"/>
        <v>39</v>
      </c>
    </row>
    <row r="40" spans="2:14" ht="18.75" customHeight="1" x14ac:dyDescent="0.2">
      <c r="B40" s="619" t="s">
        <v>864</v>
      </c>
      <c r="C40" s="374" t="s">
        <v>9</v>
      </c>
      <c r="D40" s="377">
        <v>3</v>
      </c>
      <c r="E40" s="377">
        <v>1</v>
      </c>
      <c r="F40" s="377">
        <v>8</v>
      </c>
      <c r="G40" s="377">
        <v>5</v>
      </c>
      <c r="H40" s="377">
        <v>5</v>
      </c>
      <c r="I40" s="377">
        <v>4</v>
      </c>
      <c r="J40" s="377">
        <v>0</v>
      </c>
      <c r="K40" s="377">
        <v>1</v>
      </c>
      <c r="L40" s="377">
        <v>0</v>
      </c>
      <c r="M40" s="377">
        <v>1</v>
      </c>
      <c r="N40" s="382">
        <f>SUM(D40:M40)</f>
        <v>28</v>
      </c>
    </row>
    <row r="41" spans="2:14" ht="18.75" customHeight="1" x14ac:dyDescent="0.2">
      <c r="B41" s="620"/>
      <c r="C41" s="374" t="s">
        <v>10</v>
      </c>
      <c r="D41" s="377">
        <v>7</v>
      </c>
      <c r="E41" s="377">
        <v>3</v>
      </c>
      <c r="F41" s="377">
        <v>7</v>
      </c>
      <c r="G41" s="377">
        <v>6</v>
      </c>
      <c r="H41" s="377">
        <v>1</v>
      </c>
      <c r="I41" s="377">
        <v>7</v>
      </c>
      <c r="J41" s="377">
        <v>0</v>
      </c>
      <c r="K41" s="377">
        <v>1</v>
      </c>
      <c r="L41" s="377">
        <v>1</v>
      </c>
      <c r="M41" s="377">
        <v>1</v>
      </c>
      <c r="N41" s="382">
        <f>SUM(D41:M41)</f>
        <v>34</v>
      </c>
    </row>
    <row r="42" spans="2:14" ht="18.75" customHeight="1" x14ac:dyDescent="0.2">
      <c r="B42" s="621"/>
      <c r="C42" s="374" t="s">
        <v>845</v>
      </c>
      <c r="D42" s="377">
        <f t="shared" ref="D42:N42" si="12">SUM(D40:D41)</f>
        <v>10</v>
      </c>
      <c r="E42" s="377">
        <f t="shared" si="12"/>
        <v>4</v>
      </c>
      <c r="F42" s="377">
        <f t="shared" si="12"/>
        <v>15</v>
      </c>
      <c r="G42" s="377">
        <f t="shared" si="12"/>
        <v>11</v>
      </c>
      <c r="H42" s="377">
        <f t="shared" si="12"/>
        <v>6</v>
      </c>
      <c r="I42" s="377">
        <f t="shared" si="12"/>
        <v>11</v>
      </c>
      <c r="J42" s="377">
        <f t="shared" si="12"/>
        <v>0</v>
      </c>
      <c r="K42" s="377">
        <f t="shared" si="12"/>
        <v>2</v>
      </c>
      <c r="L42" s="377">
        <f t="shared" si="12"/>
        <v>1</v>
      </c>
      <c r="M42" s="377">
        <f t="shared" si="12"/>
        <v>2</v>
      </c>
      <c r="N42" s="377">
        <f t="shared" si="12"/>
        <v>62</v>
      </c>
    </row>
    <row r="43" spans="2:14" ht="18.75" customHeight="1" x14ac:dyDescent="0.2">
      <c r="B43" s="619" t="s">
        <v>25</v>
      </c>
      <c r="C43" s="374" t="s">
        <v>9</v>
      </c>
      <c r="D43" s="377">
        <v>18</v>
      </c>
      <c r="E43" s="377">
        <v>6</v>
      </c>
      <c r="F43" s="377">
        <v>41</v>
      </c>
      <c r="G43" s="377">
        <v>29</v>
      </c>
      <c r="H43" s="377">
        <v>26</v>
      </c>
      <c r="I43" s="377">
        <v>23</v>
      </c>
      <c r="J43" s="377">
        <v>0</v>
      </c>
      <c r="K43" s="377">
        <v>7</v>
      </c>
      <c r="L43" s="377">
        <v>0</v>
      </c>
      <c r="M43" s="377">
        <v>4</v>
      </c>
      <c r="N43" s="382">
        <f>SUM(D43:M43)</f>
        <v>154</v>
      </c>
    </row>
    <row r="44" spans="2:14" ht="18.75" customHeight="1" x14ac:dyDescent="0.2">
      <c r="B44" s="620"/>
      <c r="C44" s="374" t="s">
        <v>10</v>
      </c>
      <c r="D44" s="377">
        <v>9</v>
      </c>
      <c r="E44" s="377">
        <v>3</v>
      </c>
      <c r="F44" s="377">
        <v>7</v>
      </c>
      <c r="G44" s="377">
        <v>6</v>
      </c>
      <c r="H44" s="377">
        <v>1</v>
      </c>
      <c r="I44" s="377">
        <v>8</v>
      </c>
      <c r="J44" s="377">
        <v>0</v>
      </c>
      <c r="K44" s="377">
        <v>1</v>
      </c>
      <c r="L44" s="377">
        <v>1</v>
      </c>
      <c r="M44" s="377">
        <v>1</v>
      </c>
      <c r="N44" s="382">
        <f>SUM(D44:M44)</f>
        <v>37</v>
      </c>
    </row>
    <row r="45" spans="2:14" ht="18.75" customHeight="1" x14ac:dyDescent="0.2">
      <c r="B45" s="621"/>
      <c r="C45" s="374" t="s">
        <v>845</v>
      </c>
      <c r="D45" s="377">
        <f t="shared" ref="D45:N45" si="13">SUM(D43:D44)</f>
        <v>27</v>
      </c>
      <c r="E45" s="377">
        <f t="shared" si="13"/>
        <v>9</v>
      </c>
      <c r="F45" s="377">
        <f t="shared" si="13"/>
        <v>48</v>
      </c>
      <c r="G45" s="377">
        <f t="shared" si="13"/>
        <v>35</v>
      </c>
      <c r="H45" s="377">
        <f t="shared" si="13"/>
        <v>27</v>
      </c>
      <c r="I45" s="377">
        <f t="shared" si="13"/>
        <v>31</v>
      </c>
      <c r="J45" s="377">
        <f t="shared" si="13"/>
        <v>0</v>
      </c>
      <c r="K45" s="377">
        <f t="shared" si="13"/>
        <v>8</v>
      </c>
      <c r="L45" s="377">
        <f t="shared" si="13"/>
        <v>1</v>
      </c>
      <c r="M45" s="377">
        <f t="shared" si="13"/>
        <v>5</v>
      </c>
      <c r="N45" s="377">
        <f t="shared" si="13"/>
        <v>191</v>
      </c>
    </row>
    <row r="46" spans="2:14" ht="18.75" customHeight="1" x14ac:dyDescent="0.2">
      <c r="B46" s="619" t="s">
        <v>29</v>
      </c>
      <c r="C46" s="374" t="s">
        <v>9</v>
      </c>
      <c r="D46" s="377">
        <v>3</v>
      </c>
      <c r="E46" s="377">
        <v>1</v>
      </c>
      <c r="F46" s="377">
        <v>6</v>
      </c>
      <c r="G46" s="377">
        <v>4</v>
      </c>
      <c r="H46" s="377">
        <v>4</v>
      </c>
      <c r="I46" s="377">
        <v>3</v>
      </c>
      <c r="J46" s="377">
        <v>0</v>
      </c>
      <c r="K46" s="377">
        <v>1</v>
      </c>
      <c r="L46" s="377">
        <v>0</v>
      </c>
      <c r="M46" s="377">
        <v>1</v>
      </c>
      <c r="N46" s="382">
        <f>SUM(D46:M46)</f>
        <v>23</v>
      </c>
    </row>
    <row r="47" spans="2:14" ht="18.75" customHeight="1" x14ac:dyDescent="0.2">
      <c r="B47" s="620"/>
      <c r="C47" s="374" t="s">
        <v>10</v>
      </c>
      <c r="D47" s="377">
        <v>0</v>
      </c>
      <c r="E47" s="377">
        <v>0</v>
      </c>
      <c r="F47" s="377">
        <v>0</v>
      </c>
      <c r="G47" s="377">
        <v>0</v>
      </c>
      <c r="H47" s="377">
        <v>1</v>
      </c>
      <c r="I47" s="377">
        <v>0</v>
      </c>
      <c r="J47" s="377">
        <v>0</v>
      </c>
      <c r="K47" s="377">
        <v>0</v>
      </c>
      <c r="L47" s="377">
        <v>0</v>
      </c>
      <c r="M47" s="377">
        <v>0</v>
      </c>
      <c r="N47" s="382">
        <f>SUM(D47:M47)</f>
        <v>1</v>
      </c>
    </row>
    <row r="48" spans="2:14" ht="18.75" customHeight="1" x14ac:dyDescent="0.2">
      <c r="B48" s="621"/>
      <c r="C48" s="374" t="s">
        <v>845</v>
      </c>
      <c r="D48" s="377">
        <f t="shared" ref="D48:N48" si="14">SUM(D46:D47)</f>
        <v>3</v>
      </c>
      <c r="E48" s="377">
        <f t="shared" si="14"/>
        <v>1</v>
      </c>
      <c r="F48" s="377">
        <f t="shared" si="14"/>
        <v>6</v>
      </c>
      <c r="G48" s="377">
        <f t="shared" si="14"/>
        <v>4</v>
      </c>
      <c r="H48" s="377">
        <f t="shared" si="14"/>
        <v>5</v>
      </c>
      <c r="I48" s="377">
        <f t="shared" si="14"/>
        <v>3</v>
      </c>
      <c r="J48" s="377">
        <f t="shared" si="14"/>
        <v>0</v>
      </c>
      <c r="K48" s="377">
        <f t="shared" si="14"/>
        <v>1</v>
      </c>
      <c r="L48" s="377">
        <f t="shared" si="14"/>
        <v>0</v>
      </c>
      <c r="M48" s="377">
        <f t="shared" si="14"/>
        <v>1</v>
      </c>
      <c r="N48" s="377">
        <f t="shared" si="14"/>
        <v>24</v>
      </c>
    </row>
    <row r="49" spans="2:14" ht="18.75" customHeight="1" x14ac:dyDescent="0.2">
      <c r="B49" s="619" t="s">
        <v>33</v>
      </c>
      <c r="C49" s="374" t="s">
        <v>9</v>
      </c>
      <c r="D49" s="377">
        <v>11</v>
      </c>
      <c r="E49" s="377">
        <v>3</v>
      </c>
      <c r="F49" s="377">
        <v>26</v>
      </c>
      <c r="G49" s="377">
        <v>19</v>
      </c>
      <c r="H49" s="377">
        <v>16</v>
      </c>
      <c r="I49" s="377">
        <v>15</v>
      </c>
      <c r="J49" s="377">
        <v>0</v>
      </c>
      <c r="K49" s="377">
        <v>5</v>
      </c>
      <c r="L49" s="377">
        <v>0</v>
      </c>
      <c r="M49" s="377">
        <v>3</v>
      </c>
      <c r="N49" s="382">
        <f>SUM(D49:M49)</f>
        <v>98</v>
      </c>
    </row>
    <row r="50" spans="2:14" ht="18.75" customHeight="1" x14ac:dyDescent="0.2">
      <c r="B50" s="620"/>
      <c r="C50" s="374" t="s">
        <v>10</v>
      </c>
      <c r="D50" s="377">
        <v>4</v>
      </c>
      <c r="E50" s="377">
        <v>1</v>
      </c>
      <c r="F50" s="377">
        <v>4</v>
      </c>
      <c r="G50" s="377">
        <v>4</v>
      </c>
      <c r="H50" s="377">
        <v>1</v>
      </c>
      <c r="I50" s="377">
        <v>4</v>
      </c>
      <c r="J50" s="377">
        <v>0</v>
      </c>
      <c r="K50" s="377">
        <v>0</v>
      </c>
      <c r="L50" s="377">
        <v>0</v>
      </c>
      <c r="M50" s="377">
        <v>0</v>
      </c>
      <c r="N50" s="382">
        <f>SUM(D50:M50)</f>
        <v>18</v>
      </c>
    </row>
    <row r="51" spans="2:14" ht="18.75" customHeight="1" x14ac:dyDescent="0.2">
      <c r="B51" s="621"/>
      <c r="C51" s="374" t="s">
        <v>845</v>
      </c>
      <c r="D51" s="377">
        <f t="shared" ref="D51:N51" si="15">SUM(D49:D50)</f>
        <v>15</v>
      </c>
      <c r="E51" s="377">
        <f t="shared" si="15"/>
        <v>4</v>
      </c>
      <c r="F51" s="377">
        <f t="shared" si="15"/>
        <v>30</v>
      </c>
      <c r="G51" s="377">
        <f t="shared" si="15"/>
        <v>23</v>
      </c>
      <c r="H51" s="377">
        <f t="shared" si="15"/>
        <v>17</v>
      </c>
      <c r="I51" s="377">
        <f t="shared" si="15"/>
        <v>19</v>
      </c>
      <c r="J51" s="377">
        <f t="shared" si="15"/>
        <v>0</v>
      </c>
      <c r="K51" s="377">
        <f t="shared" si="15"/>
        <v>5</v>
      </c>
      <c r="L51" s="377">
        <f t="shared" si="15"/>
        <v>0</v>
      </c>
      <c r="M51" s="377">
        <f t="shared" si="15"/>
        <v>3</v>
      </c>
      <c r="N51" s="377">
        <f t="shared" si="15"/>
        <v>116</v>
      </c>
    </row>
    <row r="52" spans="2:14" ht="18.75" customHeight="1" x14ac:dyDescent="0.2">
      <c r="B52" s="619" t="s">
        <v>35</v>
      </c>
      <c r="C52" s="374" t="s">
        <v>9</v>
      </c>
      <c r="D52" s="377">
        <v>17</v>
      </c>
      <c r="E52" s="377">
        <v>5</v>
      </c>
      <c r="F52" s="377">
        <v>38</v>
      </c>
      <c r="G52" s="377">
        <v>27</v>
      </c>
      <c r="H52" s="377">
        <v>25</v>
      </c>
      <c r="I52" s="377">
        <v>21</v>
      </c>
      <c r="J52" s="377">
        <v>0</v>
      </c>
      <c r="K52" s="377">
        <v>7</v>
      </c>
      <c r="L52" s="377">
        <v>0</v>
      </c>
      <c r="M52" s="377">
        <v>4</v>
      </c>
      <c r="N52" s="382">
        <f>SUM(D52:M52)</f>
        <v>144</v>
      </c>
    </row>
    <row r="53" spans="2:14" ht="18.75" customHeight="1" x14ac:dyDescent="0.2">
      <c r="B53" s="620"/>
      <c r="C53" s="374" t="s">
        <v>10</v>
      </c>
      <c r="D53" s="377">
        <v>14</v>
      </c>
      <c r="E53" s="377">
        <v>4</v>
      </c>
      <c r="F53" s="377">
        <v>12</v>
      </c>
      <c r="G53" s="377">
        <v>11</v>
      </c>
      <c r="H53" s="377">
        <v>2</v>
      </c>
      <c r="I53" s="377">
        <v>12</v>
      </c>
      <c r="J53" s="377">
        <v>0</v>
      </c>
      <c r="K53" s="377">
        <v>2</v>
      </c>
      <c r="L53" s="377">
        <v>1</v>
      </c>
      <c r="M53" s="377">
        <v>1</v>
      </c>
      <c r="N53" s="382">
        <f>SUM(D53:M53)</f>
        <v>59</v>
      </c>
    </row>
    <row r="54" spans="2:14" ht="18.75" customHeight="1" x14ac:dyDescent="0.2">
      <c r="B54" s="621"/>
      <c r="C54" s="374" t="s">
        <v>845</v>
      </c>
      <c r="D54" s="377">
        <f t="shared" ref="D54:N54" si="16">SUM(D52:D53)</f>
        <v>31</v>
      </c>
      <c r="E54" s="377">
        <f t="shared" si="16"/>
        <v>9</v>
      </c>
      <c r="F54" s="377">
        <f t="shared" si="16"/>
        <v>50</v>
      </c>
      <c r="G54" s="377">
        <f t="shared" si="16"/>
        <v>38</v>
      </c>
      <c r="H54" s="377">
        <f t="shared" si="16"/>
        <v>27</v>
      </c>
      <c r="I54" s="377">
        <f t="shared" si="16"/>
        <v>33</v>
      </c>
      <c r="J54" s="377">
        <f t="shared" si="16"/>
        <v>0</v>
      </c>
      <c r="K54" s="377">
        <f t="shared" si="16"/>
        <v>9</v>
      </c>
      <c r="L54" s="377">
        <f t="shared" si="16"/>
        <v>1</v>
      </c>
      <c r="M54" s="377">
        <f t="shared" si="16"/>
        <v>5</v>
      </c>
      <c r="N54" s="377">
        <f t="shared" si="16"/>
        <v>203</v>
      </c>
    </row>
    <row r="55" spans="2:14" ht="18.75" customHeight="1" x14ac:dyDescent="0.2">
      <c r="B55" s="619" t="s">
        <v>863</v>
      </c>
      <c r="C55" s="374" t="s">
        <v>9</v>
      </c>
      <c r="D55" s="377">
        <v>16</v>
      </c>
      <c r="E55" s="377">
        <v>5</v>
      </c>
      <c r="F55" s="377">
        <v>35</v>
      </c>
      <c r="G55" s="377">
        <v>26</v>
      </c>
      <c r="H55" s="377">
        <v>23</v>
      </c>
      <c r="I55" s="377">
        <v>20</v>
      </c>
      <c r="J55" s="377">
        <v>0</v>
      </c>
      <c r="K55" s="377">
        <v>6</v>
      </c>
      <c r="L55" s="377">
        <v>0</v>
      </c>
      <c r="M55" s="377">
        <v>3</v>
      </c>
      <c r="N55" s="382">
        <f>SUM(D55:M55)</f>
        <v>134</v>
      </c>
    </row>
    <row r="56" spans="2:14" ht="18.75" customHeight="1" x14ac:dyDescent="0.2">
      <c r="B56" s="620"/>
      <c r="C56" s="374" t="s">
        <v>10</v>
      </c>
      <c r="D56" s="377">
        <v>9</v>
      </c>
      <c r="E56" s="377">
        <v>3</v>
      </c>
      <c r="F56" s="377">
        <v>8</v>
      </c>
      <c r="G56" s="377">
        <v>7</v>
      </c>
      <c r="H56" s="377">
        <v>1</v>
      </c>
      <c r="I56" s="377">
        <v>8</v>
      </c>
      <c r="J56" s="377">
        <v>0</v>
      </c>
      <c r="K56" s="377">
        <v>1</v>
      </c>
      <c r="L56" s="377">
        <v>1</v>
      </c>
      <c r="M56" s="377">
        <v>1</v>
      </c>
      <c r="N56" s="382">
        <f>SUM(D56:M56)</f>
        <v>39</v>
      </c>
    </row>
    <row r="57" spans="2:14" ht="18.75" customHeight="1" x14ac:dyDescent="0.2">
      <c r="B57" s="621"/>
      <c r="C57" s="374" t="s">
        <v>845</v>
      </c>
      <c r="D57" s="377">
        <f t="shared" ref="D57:N57" si="17">SUM(D55:D56)</f>
        <v>25</v>
      </c>
      <c r="E57" s="377">
        <f t="shared" si="17"/>
        <v>8</v>
      </c>
      <c r="F57" s="377">
        <f t="shared" si="17"/>
        <v>43</v>
      </c>
      <c r="G57" s="377">
        <f t="shared" si="17"/>
        <v>33</v>
      </c>
      <c r="H57" s="377">
        <f t="shared" si="17"/>
        <v>24</v>
      </c>
      <c r="I57" s="377">
        <f t="shared" si="17"/>
        <v>28</v>
      </c>
      <c r="J57" s="377">
        <f t="shared" si="17"/>
        <v>0</v>
      </c>
      <c r="K57" s="377">
        <f t="shared" si="17"/>
        <v>7</v>
      </c>
      <c r="L57" s="377">
        <f t="shared" si="17"/>
        <v>1</v>
      </c>
      <c r="M57" s="377">
        <f t="shared" si="17"/>
        <v>4</v>
      </c>
      <c r="N57" s="377">
        <f t="shared" si="17"/>
        <v>173</v>
      </c>
    </row>
    <row r="58" spans="2:14" ht="18.75" customHeight="1" x14ac:dyDescent="0.2">
      <c r="B58" s="619" t="s">
        <v>36</v>
      </c>
      <c r="C58" s="374" t="s">
        <v>9</v>
      </c>
      <c r="D58" s="377">
        <v>0</v>
      </c>
      <c r="E58" s="377">
        <v>0</v>
      </c>
      <c r="F58" s="377">
        <v>1</v>
      </c>
      <c r="G58" s="377">
        <v>1</v>
      </c>
      <c r="H58" s="377">
        <v>1</v>
      </c>
      <c r="I58" s="377">
        <v>1</v>
      </c>
      <c r="J58" s="377">
        <v>0</v>
      </c>
      <c r="K58" s="377">
        <v>0</v>
      </c>
      <c r="L58" s="377">
        <v>0</v>
      </c>
      <c r="M58" s="377">
        <v>0</v>
      </c>
      <c r="N58" s="382">
        <f>SUM(D58:M58)</f>
        <v>4</v>
      </c>
    </row>
    <row r="59" spans="2:14" ht="18.75" customHeight="1" x14ac:dyDescent="0.2">
      <c r="B59" s="620"/>
      <c r="C59" s="374" t="s">
        <v>10</v>
      </c>
      <c r="D59" s="377">
        <v>1</v>
      </c>
      <c r="E59" s="377">
        <v>0</v>
      </c>
      <c r="F59" s="377">
        <v>1</v>
      </c>
      <c r="G59" s="377">
        <v>1</v>
      </c>
      <c r="H59" s="377">
        <v>0</v>
      </c>
      <c r="I59" s="377">
        <v>1</v>
      </c>
      <c r="J59" s="377">
        <v>0</v>
      </c>
      <c r="K59" s="377">
        <v>0</v>
      </c>
      <c r="L59" s="377">
        <v>1</v>
      </c>
      <c r="M59" s="377">
        <v>0</v>
      </c>
      <c r="N59" s="382">
        <f>SUM(D59:M59)</f>
        <v>5</v>
      </c>
    </row>
    <row r="60" spans="2:14" ht="18.75" customHeight="1" x14ac:dyDescent="0.2">
      <c r="B60" s="621"/>
      <c r="C60" s="374" t="s">
        <v>845</v>
      </c>
      <c r="D60" s="377">
        <f t="shared" ref="D60:N60" si="18">SUM(D58:D59)</f>
        <v>1</v>
      </c>
      <c r="E60" s="377">
        <f t="shared" si="18"/>
        <v>0</v>
      </c>
      <c r="F60" s="377">
        <f t="shared" si="18"/>
        <v>2</v>
      </c>
      <c r="G60" s="377">
        <f t="shared" si="18"/>
        <v>2</v>
      </c>
      <c r="H60" s="377">
        <f t="shared" si="18"/>
        <v>1</v>
      </c>
      <c r="I60" s="377">
        <f t="shared" si="18"/>
        <v>2</v>
      </c>
      <c r="J60" s="377">
        <f t="shared" si="18"/>
        <v>0</v>
      </c>
      <c r="K60" s="377">
        <f t="shared" si="18"/>
        <v>0</v>
      </c>
      <c r="L60" s="377">
        <f t="shared" si="18"/>
        <v>1</v>
      </c>
      <c r="M60" s="377">
        <f t="shared" si="18"/>
        <v>0</v>
      </c>
      <c r="N60" s="377">
        <f t="shared" si="18"/>
        <v>9</v>
      </c>
    </row>
    <row r="61" spans="2:14" ht="18.75" customHeight="1" x14ac:dyDescent="0.2">
      <c r="B61" s="619" t="s">
        <v>34</v>
      </c>
      <c r="C61" s="374" t="s">
        <v>9</v>
      </c>
      <c r="D61" s="377">
        <v>339</v>
      </c>
      <c r="E61" s="377">
        <v>99</v>
      </c>
      <c r="F61" s="377">
        <v>769</v>
      </c>
      <c r="G61" s="377">
        <v>555</v>
      </c>
      <c r="H61" s="377">
        <v>501</v>
      </c>
      <c r="I61" s="377">
        <v>431</v>
      </c>
      <c r="J61" s="377">
        <v>4</v>
      </c>
      <c r="K61" s="377">
        <v>134</v>
      </c>
      <c r="L61" s="377">
        <v>5</v>
      </c>
      <c r="M61" s="377">
        <v>75</v>
      </c>
      <c r="N61" s="382">
        <f>SUM(D61:M61)</f>
        <v>2912</v>
      </c>
    </row>
    <row r="62" spans="2:14" ht="18.75" customHeight="1" x14ac:dyDescent="0.2">
      <c r="B62" s="620"/>
      <c r="C62" s="374" t="s">
        <v>10</v>
      </c>
      <c r="D62" s="377">
        <v>265</v>
      </c>
      <c r="E62" s="377">
        <v>82</v>
      </c>
      <c r="F62" s="377">
        <v>222</v>
      </c>
      <c r="G62" s="377">
        <v>191</v>
      </c>
      <c r="H62" s="377">
        <v>33</v>
      </c>
      <c r="I62" s="377">
        <v>232</v>
      </c>
      <c r="J62" s="377">
        <v>2</v>
      </c>
      <c r="K62" s="377">
        <v>31</v>
      </c>
      <c r="L62" s="377">
        <v>22</v>
      </c>
      <c r="M62" s="377">
        <v>20</v>
      </c>
      <c r="N62" s="382">
        <f>SUM(D62:M62)</f>
        <v>1100</v>
      </c>
    </row>
    <row r="63" spans="2:14" ht="18.75" customHeight="1" x14ac:dyDescent="0.2">
      <c r="B63" s="621"/>
      <c r="C63" s="374" t="s">
        <v>845</v>
      </c>
      <c r="D63" s="377">
        <f t="shared" ref="D63:N63" si="19">SUM(D61:D62)</f>
        <v>604</v>
      </c>
      <c r="E63" s="377">
        <f t="shared" si="19"/>
        <v>181</v>
      </c>
      <c r="F63" s="377">
        <f t="shared" si="19"/>
        <v>991</v>
      </c>
      <c r="G63" s="377">
        <f t="shared" si="19"/>
        <v>746</v>
      </c>
      <c r="H63" s="377">
        <f t="shared" si="19"/>
        <v>534</v>
      </c>
      <c r="I63" s="377">
        <f t="shared" si="19"/>
        <v>663</v>
      </c>
      <c r="J63" s="377">
        <f t="shared" si="19"/>
        <v>6</v>
      </c>
      <c r="K63" s="377">
        <f t="shared" si="19"/>
        <v>165</v>
      </c>
      <c r="L63" s="377">
        <f t="shared" si="19"/>
        <v>27</v>
      </c>
      <c r="M63" s="377">
        <f t="shared" si="19"/>
        <v>95</v>
      </c>
      <c r="N63" s="377">
        <f t="shared" si="19"/>
        <v>4012</v>
      </c>
    </row>
    <row r="64" spans="2:14" ht="18.75" customHeight="1" x14ac:dyDescent="0.2">
      <c r="B64" s="619" t="s">
        <v>211</v>
      </c>
      <c r="C64" s="374" t="s">
        <v>9</v>
      </c>
      <c r="D64" s="377">
        <v>29</v>
      </c>
      <c r="E64" s="377">
        <v>8</v>
      </c>
      <c r="F64" s="377">
        <v>65</v>
      </c>
      <c r="G64" s="377">
        <v>48</v>
      </c>
      <c r="H64" s="377">
        <v>43</v>
      </c>
      <c r="I64" s="377">
        <v>37</v>
      </c>
      <c r="J64" s="377">
        <v>0</v>
      </c>
      <c r="K64" s="377">
        <v>11</v>
      </c>
      <c r="L64" s="377">
        <v>1</v>
      </c>
      <c r="M64" s="377">
        <v>6</v>
      </c>
      <c r="N64" s="382">
        <f>SUM(D64:M64)</f>
        <v>248</v>
      </c>
    </row>
    <row r="65" spans="2:14" ht="18.75" customHeight="1" x14ac:dyDescent="0.2">
      <c r="B65" s="620"/>
      <c r="C65" s="374" t="s">
        <v>10</v>
      </c>
      <c r="D65" s="377">
        <v>20</v>
      </c>
      <c r="E65" s="377">
        <v>6</v>
      </c>
      <c r="F65" s="377">
        <v>16</v>
      </c>
      <c r="G65" s="377">
        <v>15</v>
      </c>
      <c r="H65" s="377">
        <v>2</v>
      </c>
      <c r="I65" s="377">
        <v>17</v>
      </c>
      <c r="J65" s="377">
        <v>0</v>
      </c>
      <c r="K65" s="377">
        <v>2</v>
      </c>
      <c r="L65" s="377">
        <v>2</v>
      </c>
      <c r="M65" s="377">
        <v>1</v>
      </c>
      <c r="N65" s="382">
        <f>SUM(D65:M65)</f>
        <v>81</v>
      </c>
    </row>
    <row r="66" spans="2:14" ht="18.75" customHeight="1" x14ac:dyDescent="0.2">
      <c r="B66" s="621"/>
      <c r="C66" s="374" t="s">
        <v>845</v>
      </c>
      <c r="D66" s="377">
        <f t="shared" ref="D66:N66" si="20">SUM(D64:D65)</f>
        <v>49</v>
      </c>
      <c r="E66" s="377">
        <f t="shared" si="20"/>
        <v>14</v>
      </c>
      <c r="F66" s="377">
        <f t="shared" si="20"/>
        <v>81</v>
      </c>
      <c r="G66" s="377">
        <f t="shared" si="20"/>
        <v>63</v>
      </c>
      <c r="H66" s="377">
        <f t="shared" si="20"/>
        <v>45</v>
      </c>
      <c r="I66" s="377">
        <f t="shared" si="20"/>
        <v>54</v>
      </c>
      <c r="J66" s="377">
        <f t="shared" si="20"/>
        <v>0</v>
      </c>
      <c r="K66" s="377">
        <f t="shared" si="20"/>
        <v>13</v>
      </c>
      <c r="L66" s="377">
        <f t="shared" si="20"/>
        <v>3</v>
      </c>
      <c r="M66" s="377">
        <f t="shared" si="20"/>
        <v>7</v>
      </c>
      <c r="N66" s="377">
        <f t="shared" si="20"/>
        <v>329</v>
      </c>
    </row>
    <row r="67" spans="2:14" ht="18.75" customHeight="1" x14ac:dyDescent="0.2">
      <c r="B67" s="619" t="s">
        <v>212</v>
      </c>
      <c r="C67" s="374" t="s">
        <v>9</v>
      </c>
      <c r="D67" s="377">
        <v>7</v>
      </c>
      <c r="E67" s="377">
        <v>2</v>
      </c>
      <c r="F67" s="377">
        <v>16</v>
      </c>
      <c r="G67" s="377">
        <v>11</v>
      </c>
      <c r="H67" s="377">
        <v>10</v>
      </c>
      <c r="I67" s="377">
        <v>9</v>
      </c>
      <c r="J67" s="377">
        <v>0</v>
      </c>
      <c r="K67" s="377">
        <v>3</v>
      </c>
      <c r="L67" s="377">
        <v>0</v>
      </c>
      <c r="M67" s="377">
        <v>2</v>
      </c>
      <c r="N67" s="382">
        <f>SUM(D67:M67)</f>
        <v>60</v>
      </c>
    </row>
    <row r="68" spans="2:14" ht="18.75" customHeight="1" x14ac:dyDescent="0.2">
      <c r="B68" s="620"/>
      <c r="C68" s="374" t="s">
        <v>10</v>
      </c>
      <c r="D68" s="377">
        <v>2</v>
      </c>
      <c r="E68" s="377">
        <v>1</v>
      </c>
      <c r="F68" s="377">
        <v>2</v>
      </c>
      <c r="G68" s="377">
        <v>2</v>
      </c>
      <c r="H68" s="377">
        <v>1</v>
      </c>
      <c r="I68" s="377">
        <v>2</v>
      </c>
      <c r="J68" s="377">
        <v>0</v>
      </c>
      <c r="K68" s="377">
        <v>0</v>
      </c>
      <c r="L68" s="377">
        <v>0</v>
      </c>
      <c r="M68" s="377">
        <v>0</v>
      </c>
      <c r="N68" s="382">
        <f>SUM(D68:M68)</f>
        <v>10</v>
      </c>
    </row>
    <row r="69" spans="2:14" ht="18.75" customHeight="1" x14ac:dyDescent="0.2">
      <c r="B69" s="621"/>
      <c r="C69" s="374" t="s">
        <v>845</v>
      </c>
      <c r="D69" s="377">
        <f t="shared" ref="D69:N69" si="21">SUM(D67:D68)</f>
        <v>9</v>
      </c>
      <c r="E69" s="377">
        <f t="shared" si="21"/>
        <v>3</v>
      </c>
      <c r="F69" s="377">
        <f t="shared" si="21"/>
        <v>18</v>
      </c>
      <c r="G69" s="377">
        <f t="shared" si="21"/>
        <v>13</v>
      </c>
      <c r="H69" s="377">
        <f t="shared" si="21"/>
        <v>11</v>
      </c>
      <c r="I69" s="377">
        <f t="shared" si="21"/>
        <v>11</v>
      </c>
      <c r="J69" s="377">
        <f t="shared" si="21"/>
        <v>0</v>
      </c>
      <c r="K69" s="377">
        <f t="shared" si="21"/>
        <v>3</v>
      </c>
      <c r="L69" s="377">
        <f t="shared" si="21"/>
        <v>0</v>
      </c>
      <c r="M69" s="377">
        <f t="shared" si="21"/>
        <v>2</v>
      </c>
      <c r="N69" s="377">
        <f t="shared" si="21"/>
        <v>70</v>
      </c>
    </row>
    <row r="70" spans="2:14" ht="18.75" customHeight="1" x14ac:dyDescent="0.2">
      <c r="B70" s="619" t="s">
        <v>862</v>
      </c>
      <c r="C70" s="374" t="s">
        <v>9</v>
      </c>
      <c r="D70" s="377">
        <v>6</v>
      </c>
      <c r="E70" s="377">
        <v>2</v>
      </c>
      <c r="F70" s="377">
        <v>13</v>
      </c>
      <c r="G70" s="377">
        <v>10</v>
      </c>
      <c r="H70" s="377">
        <v>9</v>
      </c>
      <c r="I70" s="377">
        <v>8</v>
      </c>
      <c r="J70" s="377">
        <v>0</v>
      </c>
      <c r="K70" s="377">
        <v>2</v>
      </c>
      <c r="L70" s="377">
        <v>0</v>
      </c>
      <c r="M70" s="377">
        <v>1</v>
      </c>
      <c r="N70" s="382">
        <f>SUM(D70:M70)</f>
        <v>51</v>
      </c>
    </row>
    <row r="71" spans="2:14" ht="18.75" customHeight="1" x14ac:dyDescent="0.2">
      <c r="B71" s="620"/>
      <c r="C71" s="374" t="s">
        <v>10</v>
      </c>
      <c r="D71" s="377">
        <v>3</v>
      </c>
      <c r="E71" s="377">
        <v>1</v>
      </c>
      <c r="F71" s="377">
        <v>3</v>
      </c>
      <c r="G71" s="377">
        <v>2</v>
      </c>
      <c r="H71" s="377">
        <v>0</v>
      </c>
      <c r="I71" s="377">
        <v>3</v>
      </c>
      <c r="J71" s="377">
        <v>0</v>
      </c>
      <c r="K71" s="377">
        <v>0</v>
      </c>
      <c r="L71" s="377">
        <v>0</v>
      </c>
      <c r="M71" s="377">
        <v>1</v>
      </c>
      <c r="N71" s="382">
        <f>SUM(D71:M71)</f>
        <v>13</v>
      </c>
    </row>
    <row r="72" spans="2:14" ht="18.75" customHeight="1" x14ac:dyDescent="0.2">
      <c r="B72" s="621"/>
      <c r="C72" s="374" t="s">
        <v>845</v>
      </c>
      <c r="D72" s="377">
        <f t="shared" ref="D72:N72" si="22">SUM(D70:D71)</f>
        <v>9</v>
      </c>
      <c r="E72" s="377">
        <f t="shared" si="22"/>
        <v>3</v>
      </c>
      <c r="F72" s="377">
        <f t="shared" si="22"/>
        <v>16</v>
      </c>
      <c r="G72" s="377">
        <f t="shared" si="22"/>
        <v>12</v>
      </c>
      <c r="H72" s="377">
        <f t="shared" si="22"/>
        <v>9</v>
      </c>
      <c r="I72" s="377">
        <f t="shared" si="22"/>
        <v>11</v>
      </c>
      <c r="J72" s="377">
        <f t="shared" si="22"/>
        <v>0</v>
      </c>
      <c r="K72" s="377">
        <f t="shared" si="22"/>
        <v>2</v>
      </c>
      <c r="L72" s="377">
        <f t="shared" si="22"/>
        <v>0</v>
      </c>
      <c r="M72" s="377">
        <f t="shared" si="22"/>
        <v>2</v>
      </c>
      <c r="N72" s="377">
        <f t="shared" si="22"/>
        <v>64</v>
      </c>
    </row>
    <row r="73" spans="2:14" ht="18.75" customHeight="1" x14ac:dyDescent="0.2">
      <c r="B73" s="619" t="s">
        <v>861</v>
      </c>
      <c r="C73" s="374" t="s">
        <v>9</v>
      </c>
      <c r="D73" s="377">
        <v>5</v>
      </c>
      <c r="E73" s="377">
        <v>2</v>
      </c>
      <c r="F73" s="377">
        <v>12</v>
      </c>
      <c r="G73" s="377">
        <v>9</v>
      </c>
      <c r="H73" s="377">
        <v>8</v>
      </c>
      <c r="I73" s="377">
        <v>7</v>
      </c>
      <c r="J73" s="377">
        <v>0</v>
      </c>
      <c r="K73" s="377">
        <v>2</v>
      </c>
      <c r="L73" s="377">
        <v>0</v>
      </c>
      <c r="M73" s="377">
        <v>1</v>
      </c>
      <c r="N73" s="382">
        <f>SUM(D73:M73)</f>
        <v>46</v>
      </c>
    </row>
    <row r="74" spans="2:14" ht="18.75" customHeight="1" x14ac:dyDescent="0.2">
      <c r="B74" s="620"/>
      <c r="C74" s="374" t="s">
        <v>10</v>
      </c>
      <c r="D74" s="377">
        <v>1</v>
      </c>
      <c r="E74" s="377">
        <v>0</v>
      </c>
      <c r="F74" s="377">
        <v>1</v>
      </c>
      <c r="G74" s="377">
        <v>1</v>
      </c>
      <c r="H74" s="377">
        <v>0</v>
      </c>
      <c r="I74" s="377">
        <v>1</v>
      </c>
      <c r="J74" s="377">
        <v>1</v>
      </c>
      <c r="K74" s="377">
        <v>0</v>
      </c>
      <c r="L74" s="377">
        <v>0</v>
      </c>
      <c r="M74" s="377">
        <v>0</v>
      </c>
      <c r="N74" s="382">
        <f>SUM(D74:M74)</f>
        <v>5</v>
      </c>
    </row>
    <row r="75" spans="2:14" ht="18.75" customHeight="1" x14ac:dyDescent="0.2">
      <c r="B75" s="621"/>
      <c r="C75" s="374" t="s">
        <v>845</v>
      </c>
      <c r="D75" s="377">
        <f t="shared" ref="D75:N75" si="23">SUM(D73:D74)</f>
        <v>6</v>
      </c>
      <c r="E75" s="377">
        <f t="shared" si="23"/>
        <v>2</v>
      </c>
      <c r="F75" s="377">
        <f t="shared" si="23"/>
        <v>13</v>
      </c>
      <c r="G75" s="377">
        <f t="shared" si="23"/>
        <v>10</v>
      </c>
      <c r="H75" s="377">
        <f t="shared" si="23"/>
        <v>8</v>
      </c>
      <c r="I75" s="377">
        <f t="shared" si="23"/>
        <v>8</v>
      </c>
      <c r="J75" s="377">
        <f t="shared" si="23"/>
        <v>1</v>
      </c>
      <c r="K75" s="377">
        <f t="shared" si="23"/>
        <v>2</v>
      </c>
      <c r="L75" s="377">
        <f t="shared" si="23"/>
        <v>0</v>
      </c>
      <c r="M75" s="377">
        <f t="shared" si="23"/>
        <v>1</v>
      </c>
      <c r="N75" s="377">
        <f t="shared" si="23"/>
        <v>51</v>
      </c>
    </row>
    <row r="76" spans="2:14" ht="18.75" customHeight="1" x14ac:dyDescent="0.2">
      <c r="B76" s="619" t="s">
        <v>214</v>
      </c>
      <c r="C76" s="374" t="s">
        <v>9</v>
      </c>
      <c r="D76" s="377">
        <v>8</v>
      </c>
      <c r="E76" s="377">
        <v>2</v>
      </c>
      <c r="F76" s="377">
        <v>19</v>
      </c>
      <c r="G76" s="377">
        <v>14</v>
      </c>
      <c r="H76" s="377">
        <v>12</v>
      </c>
      <c r="I76" s="377">
        <v>12</v>
      </c>
      <c r="J76" s="377">
        <v>0</v>
      </c>
      <c r="K76" s="377">
        <v>3</v>
      </c>
      <c r="L76" s="377">
        <v>0</v>
      </c>
      <c r="M76" s="377">
        <v>2</v>
      </c>
      <c r="N76" s="382">
        <f>SUM(D76:M76)</f>
        <v>72</v>
      </c>
    </row>
    <row r="77" spans="2:14" ht="18.75" customHeight="1" x14ac:dyDescent="0.2">
      <c r="B77" s="620"/>
      <c r="C77" s="374" t="s">
        <v>10</v>
      </c>
      <c r="D77" s="377">
        <v>2</v>
      </c>
      <c r="E77" s="377">
        <v>1</v>
      </c>
      <c r="F77" s="377">
        <v>2</v>
      </c>
      <c r="G77" s="377">
        <v>1</v>
      </c>
      <c r="H77" s="377">
        <v>0</v>
      </c>
      <c r="I77" s="377">
        <v>2</v>
      </c>
      <c r="J77" s="377">
        <v>0</v>
      </c>
      <c r="K77" s="377">
        <v>0</v>
      </c>
      <c r="L77" s="377">
        <v>0</v>
      </c>
      <c r="M77" s="377">
        <v>0</v>
      </c>
      <c r="N77" s="382">
        <f>SUM(D77:M77)</f>
        <v>8</v>
      </c>
    </row>
    <row r="78" spans="2:14" ht="18.75" customHeight="1" x14ac:dyDescent="0.2">
      <c r="B78" s="621"/>
      <c r="C78" s="374" t="s">
        <v>845</v>
      </c>
      <c r="D78" s="377">
        <f t="shared" ref="D78:N78" si="24">SUM(D76:D77)</f>
        <v>10</v>
      </c>
      <c r="E78" s="377">
        <f t="shared" si="24"/>
        <v>3</v>
      </c>
      <c r="F78" s="377">
        <f t="shared" si="24"/>
        <v>21</v>
      </c>
      <c r="G78" s="377">
        <f t="shared" si="24"/>
        <v>15</v>
      </c>
      <c r="H78" s="377">
        <f t="shared" si="24"/>
        <v>12</v>
      </c>
      <c r="I78" s="377">
        <f t="shared" si="24"/>
        <v>14</v>
      </c>
      <c r="J78" s="377">
        <f t="shared" si="24"/>
        <v>0</v>
      </c>
      <c r="K78" s="377">
        <f t="shared" si="24"/>
        <v>3</v>
      </c>
      <c r="L78" s="377">
        <f t="shared" si="24"/>
        <v>0</v>
      </c>
      <c r="M78" s="377">
        <f t="shared" si="24"/>
        <v>2</v>
      </c>
      <c r="N78" s="377">
        <f t="shared" si="24"/>
        <v>80</v>
      </c>
    </row>
    <row r="79" spans="2:14" ht="18.75" customHeight="1" x14ac:dyDescent="0.2">
      <c r="B79" s="619" t="s">
        <v>31</v>
      </c>
      <c r="C79" s="374" t="s">
        <v>9</v>
      </c>
      <c r="D79" s="377">
        <v>305</v>
      </c>
      <c r="E79" s="377">
        <v>90</v>
      </c>
      <c r="F79" s="377">
        <v>693</v>
      </c>
      <c r="G79" s="377">
        <v>500</v>
      </c>
      <c r="H79" s="377">
        <v>452</v>
      </c>
      <c r="I79" s="377">
        <v>388</v>
      </c>
      <c r="J79" s="377">
        <v>4</v>
      </c>
      <c r="K79" s="377">
        <v>121</v>
      </c>
      <c r="L79" s="377">
        <v>5</v>
      </c>
      <c r="M79" s="377">
        <v>67</v>
      </c>
      <c r="N79" s="382">
        <f>SUM(D79:M79)</f>
        <v>2625</v>
      </c>
    </row>
    <row r="80" spans="2:14" ht="18.75" customHeight="1" x14ac:dyDescent="0.2">
      <c r="B80" s="620"/>
      <c r="C80" s="374" t="s">
        <v>10</v>
      </c>
      <c r="D80" s="377">
        <v>135</v>
      </c>
      <c r="E80" s="377">
        <v>42</v>
      </c>
      <c r="F80" s="377">
        <v>114</v>
      </c>
      <c r="G80" s="377">
        <v>97</v>
      </c>
      <c r="H80" s="377">
        <v>17</v>
      </c>
      <c r="I80" s="377">
        <v>119</v>
      </c>
      <c r="J80" s="377">
        <v>1</v>
      </c>
      <c r="K80" s="377">
        <v>15</v>
      </c>
      <c r="L80" s="377">
        <v>12</v>
      </c>
      <c r="M80" s="377">
        <v>10</v>
      </c>
      <c r="N80" s="382">
        <f>SUM(D80:M80)</f>
        <v>562</v>
      </c>
    </row>
    <row r="81" spans="2:14" ht="18.75" customHeight="1" x14ac:dyDescent="0.2">
      <c r="B81" s="621"/>
      <c r="C81" s="374" t="s">
        <v>845</v>
      </c>
      <c r="D81" s="377">
        <f t="shared" ref="D81:N81" si="25">SUM(D79:D80)</f>
        <v>440</v>
      </c>
      <c r="E81" s="377">
        <f t="shared" si="25"/>
        <v>132</v>
      </c>
      <c r="F81" s="377">
        <f t="shared" si="25"/>
        <v>807</v>
      </c>
      <c r="G81" s="377">
        <f t="shared" si="25"/>
        <v>597</v>
      </c>
      <c r="H81" s="377">
        <f t="shared" si="25"/>
        <v>469</v>
      </c>
      <c r="I81" s="377">
        <f t="shared" si="25"/>
        <v>507</v>
      </c>
      <c r="J81" s="377">
        <f t="shared" si="25"/>
        <v>5</v>
      </c>
      <c r="K81" s="377">
        <f t="shared" si="25"/>
        <v>136</v>
      </c>
      <c r="L81" s="377">
        <f t="shared" si="25"/>
        <v>17</v>
      </c>
      <c r="M81" s="377">
        <f t="shared" si="25"/>
        <v>77</v>
      </c>
      <c r="N81" s="377">
        <f t="shared" si="25"/>
        <v>3187</v>
      </c>
    </row>
    <row r="82" spans="2:14" ht="18.75" customHeight="1" x14ac:dyDescent="0.2">
      <c r="B82" s="619" t="s">
        <v>215</v>
      </c>
      <c r="C82" s="374" t="s">
        <v>9</v>
      </c>
      <c r="D82" s="377">
        <v>1</v>
      </c>
      <c r="E82" s="377">
        <v>0</v>
      </c>
      <c r="F82" s="377">
        <v>2</v>
      </c>
      <c r="G82" s="377">
        <v>1</v>
      </c>
      <c r="H82" s="377">
        <v>1</v>
      </c>
      <c r="I82" s="377">
        <v>2</v>
      </c>
      <c r="J82" s="377">
        <v>0</v>
      </c>
      <c r="K82" s="377">
        <v>0</v>
      </c>
      <c r="L82" s="377">
        <v>0</v>
      </c>
      <c r="M82" s="377">
        <v>0</v>
      </c>
      <c r="N82" s="382">
        <f>SUM(D82:M82)</f>
        <v>7</v>
      </c>
    </row>
    <row r="83" spans="2:14" ht="18.75" customHeight="1" x14ac:dyDescent="0.2">
      <c r="B83" s="620"/>
      <c r="C83" s="374" t="s">
        <v>10</v>
      </c>
      <c r="D83" s="377">
        <v>3</v>
      </c>
      <c r="E83" s="377">
        <v>1</v>
      </c>
      <c r="F83" s="377">
        <v>3</v>
      </c>
      <c r="G83" s="377">
        <v>2</v>
      </c>
      <c r="H83" s="377">
        <v>0</v>
      </c>
      <c r="I83" s="377">
        <v>3</v>
      </c>
      <c r="J83" s="377">
        <v>0</v>
      </c>
      <c r="K83" s="377">
        <v>0</v>
      </c>
      <c r="L83" s="377">
        <v>0</v>
      </c>
      <c r="M83" s="377">
        <v>2</v>
      </c>
      <c r="N83" s="382">
        <f>SUM(D83:M83)</f>
        <v>14</v>
      </c>
    </row>
    <row r="84" spans="2:14" ht="18.75" customHeight="1" x14ac:dyDescent="0.2">
      <c r="B84" s="621"/>
      <c r="C84" s="374" t="s">
        <v>845</v>
      </c>
      <c r="D84" s="377">
        <f t="shared" ref="D84:N84" si="26">SUM(D82:D83)</f>
        <v>4</v>
      </c>
      <c r="E84" s="377">
        <f t="shared" si="26"/>
        <v>1</v>
      </c>
      <c r="F84" s="377">
        <f t="shared" si="26"/>
        <v>5</v>
      </c>
      <c r="G84" s="377">
        <f t="shared" si="26"/>
        <v>3</v>
      </c>
      <c r="H84" s="377">
        <f t="shared" si="26"/>
        <v>1</v>
      </c>
      <c r="I84" s="377">
        <f t="shared" si="26"/>
        <v>5</v>
      </c>
      <c r="J84" s="377">
        <f t="shared" si="26"/>
        <v>0</v>
      </c>
      <c r="K84" s="377">
        <f t="shared" si="26"/>
        <v>0</v>
      </c>
      <c r="L84" s="377">
        <f t="shared" si="26"/>
        <v>0</v>
      </c>
      <c r="M84" s="377">
        <f t="shared" si="26"/>
        <v>2</v>
      </c>
      <c r="N84" s="377">
        <f t="shared" si="26"/>
        <v>21</v>
      </c>
    </row>
    <row r="85" spans="2:14" ht="18.75" customHeight="1" x14ac:dyDescent="0.2">
      <c r="B85" s="619" t="s">
        <v>38</v>
      </c>
      <c r="C85" s="374" t="s">
        <v>9</v>
      </c>
      <c r="D85" s="377">
        <v>425</v>
      </c>
      <c r="E85" s="377">
        <v>125</v>
      </c>
      <c r="F85" s="377">
        <v>967</v>
      </c>
      <c r="G85" s="377">
        <v>698</v>
      </c>
      <c r="H85" s="377">
        <v>630</v>
      </c>
      <c r="I85" s="377">
        <v>544</v>
      </c>
      <c r="J85" s="377">
        <v>6</v>
      </c>
      <c r="K85" s="377">
        <v>169</v>
      </c>
      <c r="L85" s="377">
        <v>7</v>
      </c>
      <c r="M85" s="377">
        <v>94</v>
      </c>
      <c r="N85" s="382">
        <f>SUM(D85:M85)</f>
        <v>3665</v>
      </c>
    </row>
    <row r="86" spans="2:14" ht="18.75" customHeight="1" x14ac:dyDescent="0.2">
      <c r="B86" s="620"/>
      <c r="C86" s="374" t="s">
        <v>10</v>
      </c>
      <c r="D86" s="377">
        <v>220</v>
      </c>
      <c r="E86" s="377">
        <v>69</v>
      </c>
      <c r="F86" s="377">
        <v>184</v>
      </c>
      <c r="G86" s="377">
        <v>158</v>
      </c>
      <c r="H86" s="377">
        <v>27</v>
      </c>
      <c r="I86" s="377">
        <v>192</v>
      </c>
      <c r="J86" s="377">
        <v>2</v>
      </c>
      <c r="K86" s="377">
        <v>25</v>
      </c>
      <c r="L86" s="377">
        <v>19</v>
      </c>
      <c r="M86" s="377">
        <v>16</v>
      </c>
      <c r="N86" s="382">
        <f>SUM(D86:M86)</f>
        <v>912</v>
      </c>
    </row>
    <row r="87" spans="2:14" ht="18.75" customHeight="1" x14ac:dyDescent="0.2">
      <c r="B87" s="621"/>
      <c r="C87" s="374" t="s">
        <v>845</v>
      </c>
      <c r="D87" s="377">
        <f t="shared" ref="D87:N87" si="27">SUM(D85:D86)</f>
        <v>645</v>
      </c>
      <c r="E87" s="377">
        <f t="shared" si="27"/>
        <v>194</v>
      </c>
      <c r="F87" s="377">
        <f t="shared" si="27"/>
        <v>1151</v>
      </c>
      <c r="G87" s="377">
        <f t="shared" si="27"/>
        <v>856</v>
      </c>
      <c r="H87" s="377">
        <f t="shared" si="27"/>
        <v>657</v>
      </c>
      <c r="I87" s="377">
        <f t="shared" si="27"/>
        <v>736</v>
      </c>
      <c r="J87" s="377">
        <f t="shared" si="27"/>
        <v>8</v>
      </c>
      <c r="K87" s="377">
        <f t="shared" si="27"/>
        <v>194</v>
      </c>
      <c r="L87" s="377">
        <f t="shared" si="27"/>
        <v>26</v>
      </c>
      <c r="M87" s="377">
        <f t="shared" si="27"/>
        <v>110</v>
      </c>
      <c r="N87" s="377">
        <f t="shared" si="27"/>
        <v>4577</v>
      </c>
    </row>
    <row r="88" spans="2:14" ht="18.75" customHeight="1" x14ac:dyDescent="0.2">
      <c r="B88" s="619" t="s">
        <v>860</v>
      </c>
      <c r="C88" s="374" t="s">
        <v>9</v>
      </c>
      <c r="D88" s="377">
        <v>152</v>
      </c>
      <c r="E88" s="377">
        <v>44</v>
      </c>
      <c r="F88" s="377">
        <v>343</v>
      </c>
      <c r="G88" s="377">
        <v>248</v>
      </c>
      <c r="H88" s="377">
        <v>224</v>
      </c>
      <c r="I88" s="377">
        <v>193</v>
      </c>
      <c r="J88" s="377">
        <v>2</v>
      </c>
      <c r="K88" s="377">
        <v>60</v>
      </c>
      <c r="L88" s="377">
        <v>2</v>
      </c>
      <c r="M88" s="377">
        <v>33</v>
      </c>
      <c r="N88" s="382">
        <f>SUM(D88:M88)</f>
        <v>1301</v>
      </c>
    </row>
    <row r="89" spans="2:14" ht="18.75" customHeight="1" x14ac:dyDescent="0.2">
      <c r="B89" s="620"/>
      <c r="C89" s="374" t="s">
        <v>10</v>
      </c>
      <c r="D89" s="377">
        <v>87</v>
      </c>
      <c r="E89" s="377">
        <v>27</v>
      </c>
      <c r="F89" s="377">
        <v>73</v>
      </c>
      <c r="G89" s="377">
        <v>62</v>
      </c>
      <c r="H89" s="377">
        <v>11</v>
      </c>
      <c r="I89" s="377">
        <v>76</v>
      </c>
      <c r="J89" s="377">
        <v>1</v>
      </c>
      <c r="K89" s="377">
        <v>10</v>
      </c>
      <c r="L89" s="377">
        <v>7</v>
      </c>
      <c r="M89" s="377">
        <v>6</v>
      </c>
      <c r="N89" s="382">
        <f>SUM(D89:M89)</f>
        <v>360</v>
      </c>
    </row>
    <row r="90" spans="2:14" ht="18.75" customHeight="1" x14ac:dyDescent="0.2">
      <c r="B90" s="621"/>
      <c r="C90" s="374" t="s">
        <v>845</v>
      </c>
      <c r="D90" s="377">
        <f t="shared" ref="D90:N90" si="28">SUM(D88:D89)</f>
        <v>239</v>
      </c>
      <c r="E90" s="377">
        <f t="shared" si="28"/>
        <v>71</v>
      </c>
      <c r="F90" s="377">
        <f t="shared" si="28"/>
        <v>416</v>
      </c>
      <c r="G90" s="377">
        <f t="shared" si="28"/>
        <v>310</v>
      </c>
      <c r="H90" s="377">
        <f t="shared" si="28"/>
        <v>235</v>
      </c>
      <c r="I90" s="377">
        <f t="shared" si="28"/>
        <v>269</v>
      </c>
      <c r="J90" s="377">
        <f t="shared" si="28"/>
        <v>3</v>
      </c>
      <c r="K90" s="377">
        <f t="shared" si="28"/>
        <v>70</v>
      </c>
      <c r="L90" s="377">
        <f t="shared" si="28"/>
        <v>9</v>
      </c>
      <c r="M90" s="377">
        <f t="shared" si="28"/>
        <v>39</v>
      </c>
      <c r="N90" s="377">
        <f t="shared" si="28"/>
        <v>1661</v>
      </c>
    </row>
    <row r="91" spans="2:14" ht="18.75" customHeight="1" x14ac:dyDescent="0.2">
      <c r="B91" s="616" t="s">
        <v>575</v>
      </c>
      <c r="C91" s="383" t="s">
        <v>9</v>
      </c>
      <c r="D91" s="382">
        <f t="shared" ref="D91:N91" si="29">D4+D7+D10+D13+D16+D19+D22+D25+D28+D31+D34+D37+D40+D43+D46+D49+D52+D55+D58+D61+D64+D67+D70+D73+D76+D79+D82+D85+D88</f>
        <v>1716</v>
      </c>
      <c r="E91" s="382">
        <f t="shared" si="29"/>
        <v>504</v>
      </c>
      <c r="F91" s="382">
        <f t="shared" si="29"/>
        <v>3896</v>
      </c>
      <c r="G91" s="382">
        <f t="shared" si="29"/>
        <v>2813</v>
      </c>
      <c r="H91" s="382">
        <f t="shared" si="29"/>
        <v>2539</v>
      </c>
      <c r="I91" s="382">
        <f t="shared" si="29"/>
        <v>2189</v>
      </c>
      <c r="J91" s="382">
        <f t="shared" si="29"/>
        <v>20</v>
      </c>
      <c r="K91" s="382">
        <f t="shared" si="29"/>
        <v>679</v>
      </c>
      <c r="L91" s="382">
        <f t="shared" si="29"/>
        <v>26</v>
      </c>
      <c r="M91" s="382">
        <f t="shared" si="29"/>
        <v>379</v>
      </c>
      <c r="N91" s="382">
        <f t="shared" si="29"/>
        <v>14761</v>
      </c>
    </row>
    <row r="92" spans="2:14" ht="18.75" customHeight="1" x14ac:dyDescent="0.2">
      <c r="B92" s="616"/>
      <c r="C92" s="383" t="s">
        <v>10</v>
      </c>
      <c r="D92" s="382">
        <f t="shared" ref="D92:N92" si="30">D5+D8+D11+D14+D17+D20+D23+D26+D29+D32+D35+D38+D41+D44+D47+D50+D53+D56+D59+D62+D65+D68+D71+D74+D77+D80+D83+D86+D89</f>
        <v>1046</v>
      </c>
      <c r="E92" s="382">
        <f t="shared" si="30"/>
        <v>327</v>
      </c>
      <c r="F92" s="382">
        <f t="shared" si="30"/>
        <v>877</v>
      </c>
      <c r="G92" s="382">
        <f t="shared" si="30"/>
        <v>753</v>
      </c>
      <c r="H92" s="382">
        <f t="shared" si="30"/>
        <v>130</v>
      </c>
      <c r="I92" s="382">
        <f t="shared" si="30"/>
        <v>914</v>
      </c>
      <c r="J92" s="382">
        <f t="shared" si="30"/>
        <v>9</v>
      </c>
      <c r="K92" s="382">
        <f t="shared" si="30"/>
        <v>118</v>
      </c>
      <c r="L92" s="382">
        <f t="shared" si="30"/>
        <v>89</v>
      </c>
      <c r="M92" s="382">
        <f t="shared" si="30"/>
        <v>79</v>
      </c>
      <c r="N92" s="382">
        <f t="shared" si="30"/>
        <v>4342</v>
      </c>
    </row>
    <row r="93" spans="2:14" ht="18.75" customHeight="1" x14ac:dyDescent="0.2">
      <c r="B93" s="616"/>
      <c r="C93" s="383" t="s">
        <v>845</v>
      </c>
      <c r="D93" s="382">
        <f t="shared" ref="D93:N93" si="31">D6+D9+D12+D15+D18+D21+D24+D27+D30+D33+D36+D39+D42+D45+D48+D51+D54+D57+D60+D63+D66+D69+D72+D75+D78+D81+D84+D87+D90</f>
        <v>2762</v>
      </c>
      <c r="E93" s="382">
        <f t="shared" si="31"/>
        <v>831</v>
      </c>
      <c r="F93" s="382">
        <f t="shared" si="31"/>
        <v>4773</v>
      </c>
      <c r="G93" s="382">
        <f t="shared" si="31"/>
        <v>3566</v>
      </c>
      <c r="H93" s="382">
        <f t="shared" si="31"/>
        <v>2669</v>
      </c>
      <c r="I93" s="382">
        <f t="shared" si="31"/>
        <v>3103</v>
      </c>
      <c r="J93" s="382">
        <f t="shared" si="31"/>
        <v>29</v>
      </c>
      <c r="K93" s="382">
        <f t="shared" si="31"/>
        <v>797</v>
      </c>
      <c r="L93" s="382">
        <f t="shared" si="31"/>
        <v>115</v>
      </c>
      <c r="M93" s="382">
        <f t="shared" si="31"/>
        <v>458</v>
      </c>
      <c r="N93" s="382">
        <f t="shared" si="31"/>
        <v>19103</v>
      </c>
    </row>
  </sheetData>
  <mergeCells count="31">
    <mergeCell ref="B1:N2"/>
    <mergeCell ref="B4:B6"/>
    <mergeCell ref="B7:B9"/>
    <mergeCell ref="B10:B12"/>
    <mergeCell ref="B13:B15"/>
    <mergeCell ref="B31:B33"/>
    <mergeCell ref="B34:B36"/>
    <mergeCell ref="B37:B39"/>
    <mergeCell ref="B40:B42"/>
    <mergeCell ref="B43:B45"/>
    <mergeCell ref="B16:B18"/>
    <mergeCell ref="B19:B21"/>
    <mergeCell ref="B22:B24"/>
    <mergeCell ref="B25:B27"/>
    <mergeCell ref="B28:B30"/>
    <mergeCell ref="B46:B48"/>
    <mergeCell ref="B49:B51"/>
    <mergeCell ref="B52:B54"/>
    <mergeCell ref="B55:B57"/>
    <mergeCell ref="B58:B60"/>
    <mergeCell ref="B91:B93"/>
    <mergeCell ref="B61:B63"/>
    <mergeCell ref="B64:B66"/>
    <mergeCell ref="B67:B69"/>
    <mergeCell ref="B70:B72"/>
    <mergeCell ref="B73:B75"/>
    <mergeCell ref="B76:B78"/>
    <mergeCell ref="B79:B81"/>
    <mergeCell ref="B82:B84"/>
    <mergeCell ref="B85:B87"/>
    <mergeCell ref="B88:B90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O92"/>
  <sheetViews>
    <sheetView rightToLeft="1" zoomScale="85" zoomScaleNormal="85" workbookViewId="0">
      <selection activeCell="C2" sqref="C1:O1048576"/>
    </sheetView>
  </sheetViews>
  <sheetFormatPr defaultRowHeight="14.25" x14ac:dyDescent="0.2"/>
  <cols>
    <col min="1" max="2" width="9" style="160"/>
    <col min="3" max="3" width="29.875" style="372" bestFit="1" customWidth="1"/>
    <col min="4" max="15" width="9" style="372"/>
    <col min="16" max="16384" width="9" style="160"/>
  </cols>
  <sheetData>
    <row r="1" spans="3:15" ht="44.25" customHeight="1" x14ac:dyDescent="0.2">
      <c r="C1" s="626" t="s">
        <v>876</v>
      </c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626"/>
      <c r="O1" s="626"/>
    </row>
    <row r="2" spans="3:15" ht="54" customHeight="1" x14ac:dyDescent="0.2">
      <c r="C2" s="378" t="s">
        <v>8</v>
      </c>
      <c r="D2" s="379" t="s">
        <v>7</v>
      </c>
      <c r="E2" s="380" t="s">
        <v>854</v>
      </c>
      <c r="F2" s="380" t="s">
        <v>853</v>
      </c>
      <c r="G2" s="380" t="s">
        <v>852</v>
      </c>
      <c r="H2" s="380" t="s">
        <v>851</v>
      </c>
      <c r="I2" s="380" t="s">
        <v>850</v>
      </c>
      <c r="J2" s="380" t="s">
        <v>49</v>
      </c>
      <c r="K2" s="380" t="s">
        <v>50</v>
      </c>
      <c r="L2" s="380" t="s">
        <v>857</v>
      </c>
      <c r="M2" s="380" t="s">
        <v>847</v>
      </c>
      <c r="N2" s="380" t="s">
        <v>53</v>
      </c>
      <c r="O2" s="381" t="s">
        <v>4</v>
      </c>
    </row>
    <row r="3" spans="3:15" s="163" customFormat="1" ht="24.75" customHeight="1" x14ac:dyDescent="0.2">
      <c r="C3" s="619" t="s">
        <v>14</v>
      </c>
      <c r="D3" s="374" t="s">
        <v>9</v>
      </c>
      <c r="E3" s="377">
        <v>4</v>
      </c>
      <c r="F3" s="377">
        <v>1</v>
      </c>
      <c r="G3" s="377">
        <v>10</v>
      </c>
      <c r="H3" s="377">
        <v>7</v>
      </c>
      <c r="I3" s="377">
        <v>6</v>
      </c>
      <c r="J3" s="377">
        <v>6</v>
      </c>
      <c r="K3" s="377">
        <v>0</v>
      </c>
      <c r="L3" s="377">
        <v>2</v>
      </c>
      <c r="M3" s="377">
        <v>0</v>
      </c>
      <c r="N3" s="377">
        <v>0</v>
      </c>
      <c r="O3" s="382">
        <f>SUM(E3:N3)</f>
        <v>36</v>
      </c>
    </row>
    <row r="4" spans="3:15" ht="24.75" customHeight="1" x14ac:dyDescent="0.2">
      <c r="C4" s="620"/>
      <c r="D4" s="374" t="s">
        <v>10</v>
      </c>
      <c r="E4" s="377">
        <v>9</v>
      </c>
      <c r="F4" s="377">
        <v>3</v>
      </c>
      <c r="G4" s="377">
        <v>9</v>
      </c>
      <c r="H4" s="377">
        <v>7</v>
      </c>
      <c r="I4" s="377">
        <v>2</v>
      </c>
      <c r="J4" s="377">
        <v>10</v>
      </c>
      <c r="K4" s="377">
        <v>0</v>
      </c>
      <c r="L4" s="377">
        <v>1</v>
      </c>
      <c r="M4" s="377">
        <v>1</v>
      </c>
      <c r="N4" s="377">
        <v>0</v>
      </c>
      <c r="O4" s="382">
        <f>SUM(E4:N4)</f>
        <v>42</v>
      </c>
    </row>
    <row r="5" spans="3:15" ht="24.75" customHeight="1" x14ac:dyDescent="0.2">
      <c r="C5" s="621"/>
      <c r="D5" s="374" t="s">
        <v>845</v>
      </c>
      <c r="E5" s="377">
        <f t="shared" ref="E5:O5" si="0">SUM(E3:E4)</f>
        <v>13</v>
      </c>
      <c r="F5" s="377">
        <f t="shared" si="0"/>
        <v>4</v>
      </c>
      <c r="G5" s="377">
        <f t="shared" si="0"/>
        <v>19</v>
      </c>
      <c r="H5" s="377">
        <f t="shared" si="0"/>
        <v>14</v>
      </c>
      <c r="I5" s="377">
        <f t="shared" si="0"/>
        <v>8</v>
      </c>
      <c r="J5" s="377">
        <f t="shared" si="0"/>
        <v>16</v>
      </c>
      <c r="K5" s="377">
        <f t="shared" si="0"/>
        <v>0</v>
      </c>
      <c r="L5" s="377">
        <f t="shared" si="0"/>
        <v>3</v>
      </c>
      <c r="M5" s="377">
        <f t="shared" si="0"/>
        <v>1</v>
      </c>
      <c r="N5" s="377">
        <f t="shared" si="0"/>
        <v>0</v>
      </c>
      <c r="O5" s="377">
        <f t="shared" si="0"/>
        <v>78</v>
      </c>
    </row>
    <row r="6" spans="3:15" ht="24.75" customHeight="1" x14ac:dyDescent="0.2">
      <c r="C6" s="619" t="s">
        <v>869</v>
      </c>
      <c r="D6" s="374" t="s">
        <v>9</v>
      </c>
      <c r="E6" s="377">
        <v>3</v>
      </c>
      <c r="F6" s="377">
        <v>1</v>
      </c>
      <c r="G6" s="377">
        <v>7</v>
      </c>
      <c r="H6" s="377">
        <v>6</v>
      </c>
      <c r="I6" s="377">
        <v>5</v>
      </c>
      <c r="J6" s="377">
        <v>4</v>
      </c>
      <c r="K6" s="377">
        <v>0</v>
      </c>
      <c r="L6" s="377">
        <v>1</v>
      </c>
      <c r="M6" s="377">
        <v>0</v>
      </c>
      <c r="N6" s="377">
        <v>1</v>
      </c>
      <c r="O6" s="382">
        <f>SUM(E6:N6)</f>
        <v>28</v>
      </c>
    </row>
    <row r="7" spans="3:15" ht="24.75" customHeight="1" x14ac:dyDescent="0.2">
      <c r="C7" s="620"/>
      <c r="D7" s="374" t="s">
        <v>10</v>
      </c>
      <c r="E7" s="377">
        <v>7</v>
      </c>
      <c r="F7" s="377">
        <v>1</v>
      </c>
      <c r="G7" s="377">
        <v>7</v>
      </c>
      <c r="H7" s="377">
        <v>6</v>
      </c>
      <c r="I7" s="377">
        <v>2</v>
      </c>
      <c r="J7" s="377">
        <v>8</v>
      </c>
      <c r="K7" s="377">
        <v>0</v>
      </c>
      <c r="L7" s="377">
        <v>1</v>
      </c>
      <c r="M7" s="377">
        <v>1</v>
      </c>
      <c r="N7" s="377">
        <v>0</v>
      </c>
      <c r="O7" s="382">
        <f>SUM(E7:N7)</f>
        <v>33</v>
      </c>
    </row>
    <row r="8" spans="3:15" ht="24.75" customHeight="1" x14ac:dyDescent="0.2">
      <c r="C8" s="621"/>
      <c r="D8" s="374" t="s">
        <v>845</v>
      </c>
      <c r="E8" s="377">
        <f t="shared" ref="E8:O8" si="1">SUM(E6:E7)</f>
        <v>10</v>
      </c>
      <c r="F8" s="377">
        <f t="shared" si="1"/>
        <v>2</v>
      </c>
      <c r="G8" s="377">
        <f t="shared" si="1"/>
        <v>14</v>
      </c>
      <c r="H8" s="377">
        <f t="shared" si="1"/>
        <v>12</v>
      </c>
      <c r="I8" s="377">
        <f t="shared" si="1"/>
        <v>7</v>
      </c>
      <c r="J8" s="377">
        <f t="shared" si="1"/>
        <v>12</v>
      </c>
      <c r="K8" s="377">
        <f t="shared" si="1"/>
        <v>0</v>
      </c>
      <c r="L8" s="377">
        <f t="shared" si="1"/>
        <v>2</v>
      </c>
      <c r="M8" s="377">
        <f t="shared" si="1"/>
        <v>1</v>
      </c>
      <c r="N8" s="377">
        <f t="shared" si="1"/>
        <v>1</v>
      </c>
      <c r="O8" s="377">
        <f t="shared" si="1"/>
        <v>61</v>
      </c>
    </row>
    <row r="9" spans="3:15" ht="24.75" customHeight="1" x14ac:dyDescent="0.2">
      <c r="C9" s="619" t="s">
        <v>868</v>
      </c>
      <c r="D9" s="374" t="s">
        <v>9</v>
      </c>
      <c r="E9" s="377">
        <v>0</v>
      </c>
      <c r="F9" s="377">
        <v>0</v>
      </c>
      <c r="G9" s="377">
        <v>0</v>
      </c>
      <c r="H9" s="377">
        <v>0</v>
      </c>
      <c r="I9" s="377">
        <v>1</v>
      </c>
      <c r="J9" s="377">
        <v>1</v>
      </c>
      <c r="K9" s="377">
        <v>0</v>
      </c>
      <c r="L9" s="377">
        <v>0</v>
      </c>
      <c r="M9" s="377">
        <v>0</v>
      </c>
      <c r="N9" s="377">
        <v>0</v>
      </c>
      <c r="O9" s="382">
        <f>SUM(E9:N9)</f>
        <v>2</v>
      </c>
    </row>
    <row r="10" spans="3:15" ht="24.75" customHeight="1" x14ac:dyDescent="0.2">
      <c r="C10" s="620"/>
      <c r="D10" s="374" t="s">
        <v>10</v>
      </c>
      <c r="E10" s="377">
        <v>0</v>
      </c>
      <c r="F10" s="377">
        <v>0</v>
      </c>
      <c r="G10" s="377">
        <v>0</v>
      </c>
      <c r="H10" s="377">
        <v>0</v>
      </c>
      <c r="I10" s="377">
        <v>0</v>
      </c>
      <c r="J10" s="377">
        <v>1</v>
      </c>
      <c r="K10" s="377">
        <v>0</v>
      </c>
      <c r="L10" s="377">
        <v>0</v>
      </c>
      <c r="M10" s="377">
        <v>0</v>
      </c>
      <c r="N10" s="377">
        <v>0</v>
      </c>
      <c r="O10" s="382">
        <f>SUM(E10:N10)</f>
        <v>1</v>
      </c>
    </row>
    <row r="11" spans="3:15" ht="24.75" customHeight="1" x14ac:dyDescent="0.2">
      <c r="C11" s="621"/>
      <c r="D11" s="374" t="s">
        <v>845</v>
      </c>
      <c r="E11" s="377">
        <f t="shared" ref="E11:O11" si="2">SUM(E9:E10)</f>
        <v>0</v>
      </c>
      <c r="F11" s="377">
        <f t="shared" si="2"/>
        <v>0</v>
      </c>
      <c r="G11" s="377">
        <f t="shared" si="2"/>
        <v>0</v>
      </c>
      <c r="H11" s="377">
        <f t="shared" si="2"/>
        <v>0</v>
      </c>
      <c r="I11" s="377">
        <f t="shared" si="2"/>
        <v>1</v>
      </c>
      <c r="J11" s="377">
        <f t="shared" si="2"/>
        <v>2</v>
      </c>
      <c r="K11" s="377">
        <f t="shared" si="2"/>
        <v>0</v>
      </c>
      <c r="L11" s="377">
        <f t="shared" si="2"/>
        <v>0</v>
      </c>
      <c r="M11" s="377">
        <f t="shared" si="2"/>
        <v>0</v>
      </c>
      <c r="N11" s="377">
        <f t="shared" si="2"/>
        <v>0</v>
      </c>
      <c r="O11" s="377">
        <f t="shared" si="2"/>
        <v>3</v>
      </c>
    </row>
    <row r="12" spans="3:15" ht="24.75" customHeight="1" x14ac:dyDescent="0.2">
      <c r="C12" s="619" t="s">
        <v>867</v>
      </c>
      <c r="D12" s="374" t="s">
        <v>9</v>
      </c>
      <c r="E12" s="377">
        <v>3</v>
      </c>
      <c r="F12" s="377">
        <v>2</v>
      </c>
      <c r="G12" s="377">
        <v>7</v>
      </c>
      <c r="H12" s="377">
        <v>4</v>
      </c>
      <c r="I12" s="377">
        <v>4</v>
      </c>
      <c r="J12" s="377">
        <v>4</v>
      </c>
      <c r="K12" s="377">
        <v>0</v>
      </c>
      <c r="L12" s="377">
        <v>1</v>
      </c>
      <c r="M12" s="377">
        <v>0</v>
      </c>
      <c r="N12" s="377">
        <v>0</v>
      </c>
      <c r="O12" s="382">
        <f>SUM(E12:N12)</f>
        <v>25</v>
      </c>
    </row>
    <row r="13" spans="3:15" ht="24.75" customHeight="1" x14ac:dyDescent="0.2">
      <c r="C13" s="620"/>
      <c r="D13" s="374" t="s">
        <v>10</v>
      </c>
      <c r="E13" s="377">
        <v>7</v>
      </c>
      <c r="F13" s="377">
        <v>1</v>
      </c>
      <c r="G13" s="377">
        <v>6</v>
      </c>
      <c r="H13" s="377">
        <v>6</v>
      </c>
      <c r="I13" s="377">
        <v>1</v>
      </c>
      <c r="J13" s="377">
        <v>7</v>
      </c>
      <c r="K13" s="377">
        <v>0</v>
      </c>
      <c r="L13" s="377">
        <v>0</v>
      </c>
      <c r="M13" s="377">
        <v>1</v>
      </c>
      <c r="N13" s="377">
        <v>1</v>
      </c>
      <c r="O13" s="382">
        <f>SUM(E13:N13)</f>
        <v>30</v>
      </c>
    </row>
    <row r="14" spans="3:15" ht="24.75" customHeight="1" x14ac:dyDescent="0.2">
      <c r="C14" s="621"/>
      <c r="D14" s="374" t="s">
        <v>845</v>
      </c>
      <c r="E14" s="377">
        <f t="shared" ref="E14:O14" si="3">SUM(E12:E13)</f>
        <v>10</v>
      </c>
      <c r="F14" s="377">
        <f t="shared" si="3"/>
        <v>3</v>
      </c>
      <c r="G14" s="377">
        <f t="shared" si="3"/>
        <v>13</v>
      </c>
      <c r="H14" s="377">
        <f t="shared" si="3"/>
        <v>10</v>
      </c>
      <c r="I14" s="377">
        <f t="shared" si="3"/>
        <v>5</v>
      </c>
      <c r="J14" s="377">
        <f t="shared" si="3"/>
        <v>11</v>
      </c>
      <c r="K14" s="377">
        <f t="shared" si="3"/>
        <v>0</v>
      </c>
      <c r="L14" s="377">
        <f t="shared" si="3"/>
        <v>1</v>
      </c>
      <c r="M14" s="377">
        <f t="shared" si="3"/>
        <v>1</v>
      </c>
      <c r="N14" s="377">
        <f t="shared" si="3"/>
        <v>1</v>
      </c>
      <c r="O14" s="377">
        <f t="shared" si="3"/>
        <v>55</v>
      </c>
    </row>
    <row r="15" spans="3:15" ht="24.75" customHeight="1" x14ac:dyDescent="0.2">
      <c r="C15" s="619" t="s">
        <v>16</v>
      </c>
      <c r="D15" s="374" t="s">
        <v>9</v>
      </c>
      <c r="E15" s="377">
        <v>1</v>
      </c>
      <c r="F15" s="377">
        <v>0</v>
      </c>
      <c r="G15" s="377">
        <v>0</v>
      </c>
      <c r="H15" s="377">
        <v>0</v>
      </c>
      <c r="I15" s="377">
        <v>0</v>
      </c>
      <c r="J15" s="377">
        <v>0</v>
      </c>
      <c r="K15" s="377">
        <v>0</v>
      </c>
      <c r="L15" s="377">
        <v>0</v>
      </c>
      <c r="M15" s="377">
        <v>0</v>
      </c>
      <c r="N15" s="377">
        <v>0</v>
      </c>
      <c r="O15" s="382">
        <f>SUM(E15:N15)</f>
        <v>1</v>
      </c>
    </row>
    <row r="16" spans="3:15" ht="24.75" customHeight="1" x14ac:dyDescent="0.2">
      <c r="C16" s="620"/>
      <c r="D16" s="374" t="s">
        <v>10</v>
      </c>
      <c r="E16" s="377">
        <v>0</v>
      </c>
      <c r="F16" s="377">
        <v>0</v>
      </c>
      <c r="G16" s="377">
        <v>0</v>
      </c>
      <c r="H16" s="377">
        <v>0</v>
      </c>
      <c r="I16" s="377">
        <v>0</v>
      </c>
      <c r="J16" s="377">
        <v>0</v>
      </c>
      <c r="K16" s="377">
        <v>0</v>
      </c>
      <c r="L16" s="377">
        <v>0</v>
      </c>
      <c r="M16" s="377">
        <v>0</v>
      </c>
      <c r="N16" s="377">
        <v>0</v>
      </c>
      <c r="O16" s="382">
        <f>SUM(E16:N16)</f>
        <v>0</v>
      </c>
    </row>
    <row r="17" spans="3:15" ht="24.75" customHeight="1" x14ac:dyDescent="0.2">
      <c r="C17" s="621"/>
      <c r="D17" s="374" t="s">
        <v>845</v>
      </c>
      <c r="E17" s="377">
        <f t="shared" ref="E17:O17" si="4">SUM(E15:E16)</f>
        <v>1</v>
      </c>
      <c r="F17" s="377">
        <f t="shared" si="4"/>
        <v>0</v>
      </c>
      <c r="G17" s="377">
        <f t="shared" si="4"/>
        <v>0</v>
      </c>
      <c r="H17" s="377">
        <f t="shared" si="4"/>
        <v>0</v>
      </c>
      <c r="I17" s="377">
        <f t="shared" si="4"/>
        <v>0</v>
      </c>
      <c r="J17" s="377">
        <f t="shared" si="4"/>
        <v>0</v>
      </c>
      <c r="K17" s="377">
        <f t="shared" si="4"/>
        <v>0</v>
      </c>
      <c r="L17" s="377">
        <f t="shared" si="4"/>
        <v>0</v>
      </c>
      <c r="M17" s="377">
        <f t="shared" si="4"/>
        <v>0</v>
      </c>
      <c r="N17" s="377">
        <f t="shared" si="4"/>
        <v>0</v>
      </c>
      <c r="O17" s="377">
        <f t="shared" si="4"/>
        <v>1</v>
      </c>
    </row>
    <row r="18" spans="3:15" ht="24.75" customHeight="1" x14ac:dyDescent="0.2">
      <c r="C18" s="619" t="s">
        <v>21</v>
      </c>
      <c r="D18" s="374" t="s">
        <v>9</v>
      </c>
      <c r="E18" s="377">
        <v>44</v>
      </c>
      <c r="F18" s="377">
        <v>12</v>
      </c>
      <c r="G18" s="377">
        <v>108</v>
      </c>
      <c r="H18" s="377">
        <v>79</v>
      </c>
      <c r="I18" s="377">
        <v>75</v>
      </c>
      <c r="J18" s="377">
        <v>63</v>
      </c>
      <c r="K18" s="377">
        <v>0</v>
      </c>
      <c r="L18" s="377">
        <v>17</v>
      </c>
      <c r="M18" s="377">
        <v>0</v>
      </c>
      <c r="N18" s="377">
        <v>10</v>
      </c>
      <c r="O18" s="382">
        <f>SUM(E18:N18)</f>
        <v>408</v>
      </c>
    </row>
    <row r="19" spans="3:15" ht="24.75" customHeight="1" x14ac:dyDescent="0.2">
      <c r="C19" s="620"/>
      <c r="D19" s="374" t="s">
        <v>10</v>
      </c>
      <c r="E19" s="377">
        <v>16</v>
      </c>
      <c r="F19" s="377">
        <v>6</v>
      </c>
      <c r="G19" s="377">
        <v>14</v>
      </c>
      <c r="H19" s="377">
        <v>12</v>
      </c>
      <c r="I19" s="377">
        <v>2</v>
      </c>
      <c r="J19" s="377">
        <v>19</v>
      </c>
      <c r="K19" s="377">
        <v>0</v>
      </c>
      <c r="L19" s="377">
        <v>0</v>
      </c>
      <c r="M19" s="377">
        <v>0</v>
      </c>
      <c r="N19" s="377">
        <v>1</v>
      </c>
      <c r="O19" s="382">
        <f>SUM(E19:N19)</f>
        <v>70</v>
      </c>
    </row>
    <row r="20" spans="3:15" ht="24.75" customHeight="1" x14ac:dyDescent="0.2">
      <c r="C20" s="621"/>
      <c r="D20" s="374" t="s">
        <v>845</v>
      </c>
      <c r="E20" s="377">
        <f t="shared" ref="E20:O20" si="5">SUM(E18:E19)</f>
        <v>60</v>
      </c>
      <c r="F20" s="377">
        <f t="shared" si="5"/>
        <v>18</v>
      </c>
      <c r="G20" s="377">
        <f t="shared" si="5"/>
        <v>122</v>
      </c>
      <c r="H20" s="377">
        <f t="shared" si="5"/>
        <v>91</v>
      </c>
      <c r="I20" s="377">
        <f t="shared" si="5"/>
        <v>77</v>
      </c>
      <c r="J20" s="377">
        <f t="shared" si="5"/>
        <v>82</v>
      </c>
      <c r="K20" s="377">
        <f t="shared" si="5"/>
        <v>0</v>
      </c>
      <c r="L20" s="377">
        <f t="shared" si="5"/>
        <v>17</v>
      </c>
      <c r="M20" s="377">
        <f t="shared" si="5"/>
        <v>0</v>
      </c>
      <c r="N20" s="377">
        <f t="shared" si="5"/>
        <v>11</v>
      </c>
      <c r="O20" s="377">
        <f t="shared" si="5"/>
        <v>478</v>
      </c>
    </row>
    <row r="21" spans="3:15" ht="24.75" customHeight="1" x14ac:dyDescent="0.2">
      <c r="C21" s="619" t="s">
        <v>19</v>
      </c>
      <c r="D21" s="374" t="s">
        <v>9</v>
      </c>
      <c r="E21" s="377">
        <v>0</v>
      </c>
      <c r="F21" s="377">
        <v>0</v>
      </c>
      <c r="G21" s="377">
        <v>0</v>
      </c>
      <c r="H21" s="377">
        <v>0</v>
      </c>
      <c r="I21" s="377">
        <v>0</v>
      </c>
      <c r="J21" s="377">
        <v>0</v>
      </c>
      <c r="K21" s="377">
        <v>2</v>
      </c>
      <c r="L21" s="377">
        <v>0</v>
      </c>
      <c r="M21" s="377">
        <v>0</v>
      </c>
      <c r="N21" s="377">
        <v>0</v>
      </c>
      <c r="O21" s="382">
        <f>SUM(E21:N21)</f>
        <v>2</v>
      </c>
    </row>
    <row r="22" spans="3:15" ht="24.75" customHeight="1" x14ac:dyDescent="0.2">
      <c r="C22" s="620"/>
      <c r="D22" s="374" t="s">
        <v>10</v>
      </c>
      <c r="E22" s="377">
        <v>0</v>
      </c>
      <c r="F22" s="377">
        <v>1</v>
      </c>
      <c r="G22" s="377">
        <v>1</v>
      </c>
      <c r="H22" s="377">
        <v>0</v>
      </c>
      <c r="I22" s="377">
        <v>0</v>
      </c>
      <c r="J22" s="377">
        <v>0</v>
      </c>
      <c r="K22" s="377">
        <v>0</v>
      </c>
      <c r="L22" s="377">
        <v>0</v>
      </c>
      <c r="M22" s="377">
        <v>0</v>
      </c>
      <c r="N22" s="377">
        <v>0</v>
      </c>
      <c r="O22" s="382">
        <f>SUM(E22:N22)</f>
        <v>2</v>
      </c>
    </row>
    <row r="23" spans="3:15" ht="24.75" customHeight="1" x14ac:dyDescent="0.2">
      <c r="C23" s="621"/>
      <c r="D23" s="374" t="s">
        <v>845</v>
      </c>
      <c r="E23" s="377">
        <f t="shared" ref="E23:O23" si="6">SUM(E21:E22)</f>
        <v>0</v>
      </c>
      <c r="F23" s="377">
        <f t="shared" si="6"/>
        <v>1</v>
      </c>
      <c r="G23" s="377">
        <f t="shared" si="6"/>
        <v>1</v>
      </c>
      <c r="H23" s="377">
        <f t="shared" si="6"/>
        <v>0</v>
      </c>
      <c r="I23" s="377">
        <f t="shared" si="6"/>
        <v>0</v>
      </c>
      <c r="J23" s="377">
        <f t="shared" si="6"/>
        <v>0</v>
      </c>
      <c r="K23" s="377">
        <f t="shared" si="6"/>
        <v>2</v>
      </c>
      <c r="L23" s="377">
        <f t="shared" si="6"/>
        <v>0</v>
      </c>
      <c r="M23" s="377">
        <f t="shared" si="6"/>
        <v>0</v>
      </c>
      <c r="N23" s="377">
        <f t="shared" si="6"/>
        <v>0</v>
      </c>
      <c r="O23" s="377">
        <f t="shared" si="6"/>
        <v>4</v>
      </c>
    </row>
    <row r="24" spans="3:15" ht="24.75" customHeight="1" x14ac:dyDescent="0.2">
      <c r="C24" s="619" t="s">
        <v>866</v>
      </c>
      <c r="D24" s="374" t="s">
        <v>9</v>
      </c>
      <c r="E24" s="377">
        <v>1</v>
      </c>
      <c r="F24" s="377">
        <v>0</v>
      </c>
      <c r="G24" s="377">
        <v>1</v>
      </c>
      <c r="H24" s="377">
        <v>1</v>
      </c>
      <c r="I24" s="377">
        <v>2</v>
      </c>
      <c r="J24" s="377">
        <v>1</v>
      </c>
      <c r="K24" s="377">
        <v>0</v>
      </c>
      <c r="L24" s="377">
        <v>0</v>
      </c>
      <c r="M24" s="377">
        <v>0</v>
      </c>
      <c r="N24" s="377">
        <v>0</v>
      </c>
      <c r="O24" s="382">
        <f>SUM(E24:N24)</f>
        <v>6</v>
      </c>
    </row>
    <row r="25" spans="3:15" ht="24.75" customHeight="1" x14ac:dyDescent="0.2">
      <c r="C25" s="620"/>
      <c r="D25" s="374" t="s">
        <v>10</v>
      </c>
      <c r="E25" s="377">
        <v>1</v>
      </c>
      <c r="F25" s="377">
        <v>0</v>
      </c>
      <c r="G25" s="377">
        <v>0</v>
      </c>
      <c r="H25" s="377">
        <v>0</v>
      </c>
      <c r="I25" s="377">
        <v>0</v>
      </c>
      <c r="J25" s="377">
        <v>1</v>
      </c>
      <c r="K25" s="377">
        <v>0</v>
      </c>
      <c r="L25" s="377">
        <v>0</v>
      </c>
      <c r="M25" s="377">
        <v>0</v>
      </c>
      <c r="N25" s="377">
        <v>0</v>
      </c>
      <c r="O25" s="382">
        <f>SUM(E25:N25)</f>
        <v>2</v>
      </c>
    </row>
    <row r="26" spans="3:15" ht="24.75" customHeight="1" x14ac:dyDescent="0.2">
      <c r="C26" s="621"/>
      <c r="D26" s="374" t="s">
        <v>845</v>
      </c>
      <c r="E26" s="377">
        <f t="shared" ref="E26:O26" si="7">SUM(E24:E25)</f>
        <v>2</v>
      </c>
      <c r="F26" s="377">
        <f t="shared" si="7"/>
        <v>0</v>
      </c>
      <c r="G26" s="377">
        <f t="shared" si="7"/>
        <v>1</v>
      </c>
      <c r="H26" s="377">
        <f t="shared" si="7"/>
        <v>1</v>
      </c>
      <c r="I26" s="377">
        <f t="shared" si="7"/>
        <v>2</v>
      </c>
      <c r="J26" s="377">
        <f t="shared" si="7"/>
        <v>2</v>
      </c>
      <c r="K26" s="377">
        <f t="shared" si="7"/>
        <v>0</v>
      </c>
      <c r="L26" s="377">
        <f t="shared" si="7"/>
        <v>0</v>
      </c>
      <c r="M26" s="377">
        <f t="shared" si="7"/>
        <v>0</v>
      </c>
      <c r="N26" s="377">
        <f t="shared" si="7"/>
        <v>0</v>
      </c>
      <c r="O26" s="377">
        <f t="shared" si="7"/>
        <v>8</v>
      </c>
    </row>
    <row r="27" spans="3:15" ht="24.75" customHeight="1" x14ac:dyDescent="0.2">
      <c r="C27" s="619" t="s">
        <v>865</v>
      </c>
      <c r="D27" s="374" t="s">
        <v>9</v>
      </c>
      <c r="E27" s="377">
        <v>0</v>
      </c>
      <c r="F27" s="377">
        <v>0</v>
      </c>
      <c r="G27" s="377">
        <v>1</v>
      </c>
      <c r="H27" s="377">
        <v>0</v>
      </c>
      <c r="I27" s="377">
        <v>0</v>
      </c>
      <c r="J27" s="377">
        <v>0</v>
      </c>
      <c r="K27" s="377">
        <v>0</v>
      </c>
      <c r="L27" s="377">
        <v>0</v>
      </c>
      <c r="M27" s="377">
        <v>1</v>
      </c>
      <c r="N27" s="377">
        <v>0</v>
      </c>
      <c r="O27" s="382">
        <f>SUM(E27:N27)</f>
        <v>2</v>
      </c>
    </row>
    <row r="28" spans="3:15" ht="24.75" customHeight="1" x14ac:dyDescent="0.2">
      <c r="C28" s="620"/>
      <c r="D28" s="374" t="s">
        <v>10</v>
      </c>
      <c r="E28" s="377">
        <v>0</v>
      </c>
      <c r="F28" s="377">
        <v>0</v>
      </c>
      <c r="G28" s="377">
        <v>0</v>
      </c>
      <c r="H28" s="377">
        <v>0</v>
      </c>
      <c r="I28" s="377">
        <v>0</v>
      </c>
      <c r="J28" s="377">
        <v>0</v>
      </c>
      <c r="K28" s="377">
        <v>0</v>
      </c>
      <c r="L28" s="377">
        <v>0</v>
      </c>
      <c r="M28" s="377">
        <v>0</v>
      </c>
      <c r="N28" s="377">
        <v>0</v>
      </c>
      <c r="O28" s="382">
        <f>SUM(E28:N28)</f>
        <v>0</v>
      </c>
    </row>
    <row r="29" spans="3:15" ht="24.75" customHeight="1" x14ac:dyDescent="0.2">
      <c r="C29" s="621"/>
      <c r="D29" s="374" t="s">
        <v>845</v>
      </c>
      <c r="E29" s="377">
        <f t="shared" ref="E29:O29" si="8">SUM(E27:E28)</f>
        <v>0</v>
      </c>
      <c r="F29" s="377">
        <f t="shared" si="8"/>
        <v>0</v>
      </c>
      <c r="G29" s="377">
        <f t="shared" si="8"/>
        <v>1</v>
      </c>
      <c r="H29" s="377">
        <f t="shared" si="8"/>
        <v>0</v>
      </c>
      <c r="I29" s="377">
        <f t="shared" si="8"/>
        <v>0</v>
      </c>
      <c r="J29" s="377">
        <f t="shared" si="8"/>
        <v>0</v>
      </c>
      <c r="K29" s="377">
        <f t="shared" si="8"/>
        <v>0</v>
      </c>
      <c r="L29" s="377">
        <f t="shared" si="8"/>
        <v>0</v>
      </c>
      <c r="M29" s="377">
        <f t="shared" si="8"/>
        <v>1</v>
      </c>
      <c r="N29" s="377">
        <f t="shared" si="8"/>
        <v>0</v>
      </c>
      <c r="O29" s="377">
        <f t="shared" si="8"/>
        <v>2</v>
      </c>
    </row>
    <row r="30" spans="3:15" ht="24.75" customHeight="1" x14ac:dyDescent="0.2">
      <c r="C30" s="619" t="s">
        <v>18</v>
      </c>
      <c r="D30" s="374" t="s">
        <v>9</v>
      </c>
      <c r="E30" s="377">
        <v>0</v>
      </c>
      <c r="F30" s="377">
        <v>0</v>
      </c>
      <c r="G30" s="377">
        <v>1</v>
      </c>
      <c r="H30" s="377">
        <v>1</v>
      </c>
      <c r="I30" s="377">
        <v>0</v>
      </c>
      <c r="J30" s="377">
        <v>0</v>
      </c>
      <c r="K30" s="377">
        <v>0</v>
      </c>
      <c r="L30" s="377">
        <v>0</v>
      </c>
      <c r="M30" s="377">
        <v>0</v>
      </c>
      <c r="N30" s="377">
        <v>0</v>
      </c>
      <c r="O30" s="382">
        <f>SUM(E30:N30)</f>
        <v>2</v>
      </c>
    </row>
    <row r="31" spans="3:15" ht="24.75" customHeight="1" x14ac:dyDescent="0.2">
      <c r="C31" s="620"/>
      <c r="D31" s="374" t="s">
        <v>10</v>
      </c>
      <c r="E31" s="377">
        <v>0</v>
      </c>
      <c r="F31" s="377">
        <v>0</v>
      </c>
      <c r="G31" s="377">
        <v>0</v>
      </c>
      <c r="H31" s="377">
        <v>1</v>
      </c>
      <c r="I31" s="377">
        <v>0</v>
      </c>
      <c r="J31" s="377">
        <v>0</v>
      </c>
      <c r="K31" s="377">
        <v>0</v>
      </c>
      <c r="L31" s="377">
        <v>0</v>
      </c>
      <c r="M31" s="377">
        <v>0</v>
      </c>
      <c r="N31" s="377">
        <v>0</v>
      </c>
      <c r="O31" s="382">
        <f>SUM(E31:N31)</f>
        <v>1</v>
      </c>
    </row>
    <row r="32" spans="3:15" ht="24.75" customHeight="1" x14ac:dyDescent="0.2">
      <c r="C32" s="621"/>
      <c r="D32" s="374" t="s">
        <v>845</v>
      </c>
      <c r="E32" s="377">
        <f t="shared" ref="E32:O32" si="9">SUM(E30:E31)</f>
        <v>0</v>
      </c>
      <c r="F32" s="377">
        <f t="shared" si="9"/>
        <v>0</v>
      </c>
      <c r="G32" s="377">
        <f t="shared" si="9"/>
        <v>1</v>
      </c>
      <c r="H32" s="377">
        <f t="shared" si="9"/>
        <v>2</v>
      </c>
      <c r="I32" s="377">
        <f t="shared" si="9"/>
        <v>0</v>
      </c>
      <c r="J32" s="377">
        <f t="shared" si="9"/>
        <v>0</v>
      </c>
      <c r="K32" s="377">
        <f t="shared" si="9"/>
        <v>0</v>
      </c>
      <c r="L32" s="377">
        <f t="shared" si="9"/>
        <v>0</v>
      </c>
      <c r="M32" s="377">
        <f t="shared" si="9"/>
        <v>0</v>
      </c>
      <c r="N32" s="377">
        <f t="shared" si="9"/>
        <v>0</v>
      </c>
      <c r="O32" s="377">
        <f t="shared" si="9"/>
        <v>3</v>
      </c>
    </row>
    <row r="33" spans="3:15" ht="24.75" customHeight="1" x14ac:dyDescent="0.2">
      <c r="C33" s="619" t="s">
        <v>23</v>
      </c>
      <c r="D33" s="374" t="s">
        <v>9</v>
      </c>
      <c r="E33" s="377">
        <v>27</v>
      </c>
      <c r="F33" s="377">
        <v>6</v>
      </c>
      <c r="G33" s="377">
        <v>65</v>
      </c>
      <c r="H33" s="377">
        <v>47</v>
      </c>
      <c r="I33" s="377">
        <v>44</v>
      </c>
      <c r="J33" s="377">
        <v>37</v>
      </c>
      <c r="K33" s="377">
        <v>1</v>
      </c>
      <c r="L33" s="377">
        <v>10</v>
      </c>
      <c r="M33" s="377">
        <v>0</v>
      </c>
      <c r="N33" s="377">
        <v>7</v>
      </c>
      <c r="O33" s="382">
        <f>SUM(E33:N33)</f>
        <v>244</v>
      </c>
    </row>
    <row r="34" spans="3:15" ht="24.75" customHeight="1" x14ac:dyDescent="0.2">
      <c r="C34" s="620"/>
      <c r="D34" s="374" t="s">
        <v>10</v>
      </c>
      <c r="E34" s="377">
        <v>7</v>
      </c>
      <c r="F34" s="377">
        <v>3</v>
      </c>
      <c r="G34" s="377">
        <v>7</v>
      </c>
      <c r="H34" s="377">
        <v>6</v>
      </c>
      <c r="I34" s="377">
        <v>0</v>
      </c>
      <c r="J34" s="377">
        <v>8</v>
      </c>
      <c r="K34" s="377">
        <v>0</v>
      </c>
      <c r="L34" s="377">
        <v>0</v>
      </c>
      <c r="M34" s="377">
        <v>0</v>
      </c>
      <c r="N34" s="377">
        <v>1</v>
      </c>
      <c r="O34" s="382">
        <f>SUM(E34:N34)</f>
        <v>32</v>
      </c>
    </row>
    <row r="35" spans="3:15" ht="24.75" customHeight="1" x14ac:dyDescent="0.2">
      <c r="C35" s="621"/>
      <c r="D35" s="374" t="s">
        <v>845</v>
      </c>
      <c r="E35" s="377">
        <f t="shared" ref="E35:O35" si="10">SUM(E33:E34)</f>
        <v>34</v>
      </c>
      <c r="F35" s="377">
        <f t="shared" si="10"/>
        <v>9</v>
      </c>
      <c r="G35" s="377">
        <f t="shared" si="10"/>
        <v>72</v>
      </c>
      <c r="H35" s="377">
        <f t="shared" si="10"/>
        <v>53</v>
      </c>
      <c r="I35" s="377">
        <f t="shared" si="10"/>
        <v>44</v>
      </c>
      <c r="J35" s="377">
        <f t="shared" si="10"/>
        <v>45</v>
      </c>
      <c r="K35" s="377">
        <f t="shared" si="10"/>
        <v>1</v>
      </c>
      <c r="L35" s="377">
        <f t="shared" si="10"/>
        <v>10</v>
      </c>
      <c r="M35" s="377">
        <f t="shared" si="10"/>
        <v>0</v>
      </c>
      <c r="N35" s="377">
        <f t="shared" si="10"/>
        <v>8</v>
      </c>
      <c r="O35" s="377">
        <f t="shared" si="10"/>
        <v>276</v>
      </c>
    </row>
    <row r="36" spans="3:15" ht="24.75" customHeight="1" x14ac:dyDescent="0.2">
      <c r="C36" s="619" t="s">
        <v>15</v>
      </c>
      <c r="D36" s="374" t="s">
        <v>9</v>
      </c>
      <c r="E36" s="377">
        <v>0</v>
      </c>
      <c r="F36" s="377">
        <v>0</v>
      </c>
      <c r="G36" s="377">
        <v>2</v>
      </c>
      <c r="H36" s="377">
        <v>2</v>
      </c>
      <c r="I36" s="377">
        <v>1</v>
      </c>
      <c r="J36" s="377">
        <v>1</v>
      </c>
      <c r="K36" s="377">
        <v>0</v>
      </c>
      <c r="L36" s="377">
        <v>0</v>
      </c>
      <c r="M36" s="377">
        <v>0</v>
      </c>
      <c r="N36" s="377">
        <v>0</v>
      </c>
      <c r="O36" s="382">
        <f>SUM(E36:N36)</f>
        <v>6</v>
      </c>
    </row>
    <row r="37" spans="3:15" ht="24.75" customHeight="1" x14ac:dyDescent="0.2">
      <c r="C37" s="620"/>
      <c r="D37" s="374" t="s">
        <v>10</v>
      </c>
      <c r="E37" s="377">
        <v>0</v>
      </c>
      <c r="F37" s="377">
        <v>0</v>
      </c>
      <c r="G37" s="377">
        <v>1</v>
      </c>
      <c r="H37" s="377">
        <v>0</v>
      </c>
      <c r="I37" s="377">
        <v>1</v>
      </c>
      <c r="J37" s="377">
        <v>1</v>
      </c>
      <c r="K37" s="377">
        <v>0</v>
      </c>
      <c r="L37" s="377">
        <v>1</v>
      </c>
      <c r="M37" s="377">
        <v>0</v>
      </c>
      <c r="N37" s="377">
        <v>0</v>
      </c>
      <c r="O37" s="382">
        <f>SUM(E37:N37)</f>
        <v>4</v>
      </c>
    </row>
    <row r="38" spans="3:15" ht="24.75" customHeight="1" x14ac:dyDescent="0.2">
      <c r="C38" s="621"/>
      <c r="D38" s="374" t="s">
        <v>845</v>
      </c>
      <c r="E38" s="377">
        <f t="shared" ref="E38:O38" si="11">SUM(E36:E37)</f>
        <v>0</v>
      </c>
      <c r="F38" s="377">
        <f t="shared" si="11"/>
        <v>0</v>
      </c>
      <c r="G38" s="377">
        <f t="shared" si="11"/>
        <v>3</v>
      </c>
      <c r="H38" s="377">
        <f t="shared" si="11"/>
        <v>2</v>
      </c>
      <c r="I38" s="377">
        <f t="shared" si="11"/>
        <v>2</v>
      </c>
      <c r="J38" s="377">
        <f t="shared" si="11"/>
        <v>2</v>
      </c>
      <c r="K38" s="377">
        <f t="shared" si="11"/>
        <v>0</v>
      </c>
      <c r="L38" s="377">
        <f t="shared" si="11"/>
        <v>1</v>
      </c>
      <c r="M38" s="377">
        <f t="shared" si="11"/>
        <v>0</v>
      </c>
      <c r="N38" s="377">
        <f t="shared" si="11"/>
        <v>0</v>
      </c>
      <c r="O38" s="377">
        <f t="shared" si="11"/>
        <v>10</v>
      </c>
    </row>
    <row r="39" spans="3:15" ht="24.75" customHeight="1" x14ac:dyDescent="0.2">
      <c r="C39" s="619" t="s">
        <v>864</v>
      </c>
      <c r="D39" s="374" t="s">
        <v>9</v>
      </c>
      <c r="E39" s="377">
        <v>1</v>
      </c>
      <c r="F39" s="377">
        <v>0</v>
      </c>
      <c r="G39" s="377">
        <v>1</v>
      </c>
      <c r="H39" s="377">
        <v>2</v>
      </c>
      <c r="I39" s="377">
        <v>1</v>
      </c>
      <c r="J39" s="377">
        <v>1</v>
      </c>
      <c r="K39" s="377">
        <v>0</v>
      </c>
      <c r="L39" s="377">
        <v>1</v>
      </c>
      <c r="M39" s="377">
        <v>0</v>
      </c>
      <c r="N39" s="377">
        <v>0</v>
      </c>
      <c r="O39" s="382">
        <f>SUM(E39:N39)</f>
        <v>7</v>
      </c>
    </row>
    <row r="40" spans="3:15" ht="24.75" customHeight="1" x14ac:dyDescent="0.2">
      <c r="C40" s="620"/>
      <c r="D40" s="374" t="s">
        <v>10</v>
      </c>
      <c r="E40" s="377">
        <v>3</v>
      </c>
      <c r="F40" s="377">
        <v>0</v>
      </c>
      <c r="G40" s="377">
        <v>2</v>
      </c>
      <c r="H40" s="377">
        <v>1</v>
      </c>
      <c r="I40" s="377">
        <v>0</v>
      </c>
      <c r="J40" s="377">
        <v>3</v>
      </c>
      <c r="K40" s="377">
        <v>0</v>
      </c>
      <c r="L40" s="377">
        <v>0</v>
      </c>
      <c r="M40" s="377">
        <v>0</v>
      </c>
      <c r="N40" s="377">
        <v>0</v>
      </c>
      <c r="O40" s="382">
        <f>SUM(E40:N40)</f>
        <v>9</v>
      </c>
    </row>
    <row r="41" spans="3:15" ht="24.75" customHeight="1" x14ac:dyDescent="0.2">
      <c r="C41" s="621"/>
      <c r="D41" s="374" t="s">
        <v>845</v>
      </c>
      <c r="E41" s="377">
        <f t="shared" ref="E41:O41" si="12">SUM(E39:E40)</f>
        <v>4</v>
      </c>
      <c r="F41" s="377">
        <f t="shared" si="12"/>
        <v>0</v>
      </c>
      <c r="G41" s="377">
        <f t="shared" si="12"/>
        <v>3</v>
      </c>
      <c r="H41" s="377">
        <f t="shared" si="12"/>
        <v>3</v>
      </c>
      <c r="I41" s="377">
        <f t="shared" si="12"/>
        <v>1</v>
      </c>
      <c r="J41" s="377">
        <f t="shared" si="12"/>
        <v>4</v>
      </c>
      <c r="K41" s="377">
        <f t="shared" si="12"/>
        <v>0</v>
      </c>
      <c r="L41" s="377">
        <f t="shared" si="12"/>
        <v>1</v>
      </c>
      <c r="M41" s="377">
        <f t="shared" si="12"/>
        <v>0</v>
      </c>
      <c r="N41" s="377">
        <f t="shared" si="12"/>
        <v>0</v>
      </c>
      <c r="O41" s="377">
        <f t="shared" si="12"/>
        <v>16</v>
      </c>
    </row>
    <row r="42" spans="3:15" ht="24.75" customHeight="1" x14ac:dyDescent="0.2">
      <c r="C42" s="619" t="s">
        <v>25</v>
      </c>
      <c r="D42" s="374" t="s">
        <v>9</v>
      </c>
      <c r="E42" s="377">
        <v>4</v>
      </c>
      <c r="F42" s="377">
        <v>0</v>
      </c>
      <c r="G42" s="377">
        <v>10</v>
      </c>
      <c r="H42" s="377">
        <v>8</v>
      </c>
      <c r="I42" s="377">
        <v>8</v>
      </c>
      <c r="J42" s="377">
        <v>6</v>
      </c>
      <c r="K42" s="377">
        <v>0</v>
      </c>
      <c r="L42" s="377">
        <v>2</v>
      </c>
      <c r="M42" s="377">
        <v>0</v>
      </c>
      <c r="N42" s="377">
        <v>2</v>
      </c>
      <c r="O42" s="382">
        <f>SUM(E42:N42)</f>
        <v>40</v>
      </c>
    </row>
    <row r="43" spans="3:15" ht="24.75" customHeight="1" x14ac:dyDescent="0.2">
      <c r="C43" s="620"/>
      <c r="D43" s="374" t="s">
        <v>10</v>
      </c>
      <c r="E43" s="377">
        <v>1</v>
      </c>
      <c r="F43" s="377">
        <v>0</v>
      </c>
      <c r="G43" s="377">
        <v>2</v>
      </c>
      <c r="H43" s="377">
        <v>2</v>
      </c>
      <c r="I43" s="377">
        <v>0</v>
      </c>
      <c r="J43" s="377">
        <v>1</v>
      </c>
      <c r="K43" s="377">
        <v>0</v>
      </c>
      <c r="L43" s="377">
        <v>1</v>
      </c>
      <c r="M43" s="377">
        <v>0</v>
      </c>
      <c r="N43" s="377">
        <v>0</v>
      </c>
      <c r="O43" s="382">
        <f>SUM(E43:N43)</f>
        <v>7</v>
      </c>
    </row>
    <row r="44" spans="3:15" ht="24.75" customHeight="1" x14ac:dyDescent="0.2">
      <c r="C44" s="621"/>
      <c r="D44" s="374" t="s">
        <v>845</v>
      </c>
      <c r="E44" s="377">
        <f t="shared" ref="E44:O44" si="13">SUM(E42:E43)</f>
        <v>5</v>
      </c>
      <c r="F44" s="377">
        <f t="shared" si="13"/>
        <v>0</v>
      </c>
      <c r="G44" s="377">
        <f t="shared" si="13"/>
        <v>12</v>
      </c>
      <c r="H44" s="377">
        <f t="shared" si="13"/>
        <v>10</v>
      </c>
      <c r="I44" s="377">
        <f t="shared" si="13"/>
        <v>8</v>
      </c>
      <c r="J44" s="377">
        <f t="shared" si="13"/>
        <v>7</v>
      </c>
      <c r="K44" s="377">
        <f t="shared" si="13"/>
        <v>0</v>
      </c>
      <c r="L44" s="377">
        <f t="shared" si="13"/>
        <v>3</v>
      </c>
      <c r="M44" s="377">
        <f t="shared" si="13"/>
        <v>0</v>
      </c>
      <c r="N44" s="377">
        <f t="shared" si="13"/>
        <v>2</v>
      </c>
      <c r="O44" s="377">
        <f t="shared" si="13"/>
        <v>47</v>
      </c>
    </row>
    <row r="45" spans="3:15" ht="24.75" customHeight="1" x14ac:dyDescent="0.2">
      <c r="C45" s="619" t="s">
        <v>29</v>
      </c>
      <c r="D45" s="374" t="s">
        <v>9</v>
      </c>
      <c r="E45" s="377">
        <v>0</v>
      </c>
      <c r="F45" s="377">
        <v>0</v>
      </c>
      <c r="G45" s="377">
        <v>2</v>
      </c>
      <c r="H45" s="377">
        <v>2</v>
      </c>
      <c r="I45" s="377">
        <v>1</v>
      </c>
      <c r="J45" s="377">
        <v>1</v>
      </c>
      <c r="K45" s="377">
        <v>0</v>
      </c>
      <c r="L45" s="377">
        <v>0</v>
      </c>
      <c r="M45" s="377">
        <v>0</v>
      </c>
      <c r="N45" s="377">
        <v>0</v>
      </c>
      <c r="O45" s="382">
        <f>SUM(E45:N45)</f>
        <v>6</v>
      </c>
    </row>
    <row r="46" spans="3:15" ht="24.75" customHeight="1" x14ac:dyDescent="0.2">
      <c r="C46" s="620"/>
      <c r="D46" s="374" t="s">
        <v>10</v>
      </c>
      <c r="E46" s="377">
        <v>0</v>
      </c>
      <c r="F46" s="377">
        <v>0</v>
      </c>
      <c r="G46" s="377">
        <v>0</v>
      </c>
      <c r="H46" s="377">
        <v>0</v>
      </c>
      <c r="I46" s="377">
        <v>0</v>
      </c>
      <c r="J46" s="377">
        <v>0</v>
      </c>
      <c r="K46" s="377">
        <v>0</v>
      </c>
      <c r="L46" s="377">
        <v>0</v>
      </c>
      <c r="M46" s="377">
        <v>0</v>
      </c>
      <c r="N46" s="377">
        <v>0</v>
      </c>
      <c r="O46" s="382">
        <f>SUM(E46:N46)</f>
        <v>0</v>
      </c>
    </row>
    <row r="47" spans="3:15" ht="24.75" customHeight="1" x14ac:dyDescent="0.2">
      <c r="C47" s="621"/>
      <c r="D47" s="374" t="s">
        <v>845</v>
      </c>
      <c r="E47" s="377">
        <f t="shared" ref="E47:O47" si="14">SUM(E45:E46)</f>
        <v>0</v>
      </c>
      <c r="F47" s="377">
        <f t="shared" si="14"/>
        <v>0</v>
      </c>
      <c r="G47" s="377">
        <f t="shared" si="14"/>
        <v>2</v>
      </c>
      <c r="H47" s="377">
        <f t="shared" si="14"/>
        <v>2</v>
      </c>
      <c r="I47" s="377">
        <f t="shared" si="14"/>
        <v>1</v>
      </c>
      <c r="J47" s="377">
        <f t="shared" si="14"/>
        <v>1</v>
      </c>
      <c r="K47" s="377">
        <f t="shared" si="14"/>
        <v>0</v>
      </c>
      <c r="L47" s="377">
        <f t="shared" si="14"/>
        <v>0</v>
      </c>
      <c r="M47" s="377">
        <f t="shared" si="14"/>
        <v>0</v>
      </c>
      <c r="N47" s="377">
        <f t="shared" si="14"/>
        <v>0</v>
      </c>
      <c r="O47" s="377">
        <f t="shared" si="14"/>
        <v>6</v>
      </c>
    </row>
    <row r="48" spans="3:15" ht="24.75" customHeight="1" x14ac:dyDescent="0.2">
      <c r="C48" s="619" t="s">
        <v>33</v>
      </c>
      <c r="D48" s="374" t="s">
        <v>9</v>
      </c>
      <c r="E48" s="377">
        <v>3</v>
      </c>
      <c r="F48" s="377">
        <v>1</v>
      </c>
      <c r="G48" s="377">
        <v>7</v>
      </c>
      <c r="H48" s="377">
        <v>4</v>
      </c>
      <c r="I48" s="377">
        <v>5</v>
      </c>
      <c r="J48" s="377">
        <v>3</v>
      </c>
      <c r="K48" s="377">
        <v>0</v>
      </c>
      <c r="L48" s="377">
        <v>1</v>
      </c>
      <c r="M48" s="377">
        <v>1</v>
      </c>
      <c r="N48" s="377">
        <v>0</v>
      </c>
      <c r="O48" s="382">
        <f>SUM(E48:N48)</f>
        <v>25</v>
      </c>
    </row>
    <row r="49" spans="3:15" ht="24.75" customHeight="1" x14ac:dyDescent="0.2">
      <c r="C49" s="620"/>
      <c r="D49" s="374" t="s">
        <v>10</v>
      </c>
      <c r="E49" s="377">
        <v>1</v>
      </c>
      <c r="F49" s="377">
        <v>1</v>
      </c>
      <c r="G49" s="377">
        <v>0</v>
      </c>
      <c r="H49" s="377">
        <v>0</v>
      </c>
      <c r="I49" s="377">
        <v>0</v>
      </c>
      <c r="J49" s="377">
        <v>1</v>
      </c>
      <c r="K49" s="377">
        <v>0</v>
      </c>
      <c r="L49" s="377">
        <v>1</v>
      </c>
      <c r="M49" s="377">
        <v>0</v>
      </c>
      <c r="N49" s="377">
        <v>0</v>
      </c>
      <c r="O49" s="382">
        <f>SUM(E49:N49)</f>
        <v>4</v>
      </c>
    </row>
    <row r="50" spans="3:15" ht="24.75" customHeight="1" x14ac:dyDescent="0.2">
      <c r="C50" s="621"/>
      <c r="D50" s="374" t="s">
        <v>845</v>
      </c>
      <c r="E50" s="377">
        <f t="shared" ref="E50:O50" si="15">SUM(E48:E49)</f>
        <v>4</v>
      </c>
      <c r="F50" s="377">
        <f t="shared" si="15"/>
        <v>2</v>
      </c>
      <c r="G50" s="377">
        <f t="shared" si="15"/>
        <v>7</v>
      </c>
      <c r="H50" s="377">
        <f t="shared" si="15"/>
        <v>4</v>
      </c>
      <c r="I50" s="377">
        <f t="shared" si="15"/>
        <v>5</v>
      </c>
      <c r="J50" s="377">
        <f t="shared" si="15"/>
        <v>4</v>
      </c>
      <c r="K50" s="377">
        <f t="shared" si="15"/>
        <v>0</v>
      </c>
      <c r="L50" s="377">
        <f t="shared" si="15"/>
        <v>2</v>
      </c>
      <c r="M50" s="377">
        <f t="shared" si="15"/>
        <v>1</v>
      </c>
      <c r="N50" s="377">
        <f t="shared" si="15"/>
        <v>0</v>
      </c>
      <c r="O50" s="377">
        <f t="shared" si="15"/>
        <v>29</v>
      </c>
    </row>
    <row r="51" spans="3:15" ht="24.75" customHeight="1" x14ac:dyDescent="0.2">
      <c r="C51" s="619" t="s">
        <v>35</v>
      </c>
      <c r="D51" s="374" t="s">
        <v>9</v>
      </c>
      <c r="E51" s="377">
        <v>3</v>
      </c>
      <c r="F51" s="377">
        <v>1</v>
      </c>
      <c r="G51" s="377">
        <v>7</v>
      </c>
      <c r="H51" s="377">
        <v>5</v>
      </c>
      <c r="I51" s="377">
        <v>5</v>
      </c>
      <c r="J51" s="377">
        <v>4</v>
      </c>
      <c r="K51" s="377">
        <v>0</v>
      </c>
      <c r="L51" s="377">
        <v>1</v>
      </c>
      <c r="M51" s="377">
        <v>0</v>
      </c>
      <c r="N51" s="377">
        <v>0</v>
      </c>
      <c r="O51" s="382">
        <f>SUM(E51:N51)</f>
        <v>26</v>
      </c>
    </row>
    <row r="52" spans="3:15" ht="24.75" customHeight="1" x14ac:dyDescent="0.2">
      <c r="C52" s="620"/>
      <c r="D52" s="374" t="s">
        <v>10</v>
      </c>
      <c r="E52" s="377">
        <v>2</v>
      </c>
      <c r="F52" s="377">
        <v>1</v>
      </c>
      <c r="G52" s="377">
        <v>2</v>
      </c>
      <c r="H52" s="377">
        <v>1</v>
      </c>
      <c r="I52" s="377">
        <v>0</v>
      </c>
      <c r="J52" s="377">
        <v>3</v>
      </c>
      <c r="K52" s="377">
        <v>0</v>
      </c>
      <c r="L52" s="377">
        <v>0</v>
      </c>
      <c r="M52" s="377">
        <v>0</v>
      </c>
      <c r="N52" s="377">
        <v>0</v>
      </c>
      <c r="O52" s="382">
        <f>SUM(E52:N52)</f>
        <v>9</v>
      </c>
    </row>
    <row r="53" spans="3:15" ht="24.75" customHeight="1" x14ac:dyDescent="0.2">
      <c r="C53" s="621"/>
      <c r="D53" s="374" t="s">
        <v>845</v>
      </c>
      <c r="E53" s="377">
        <f t="shared" ref="E53:O53" si="16">SUM(E51:E52)</f>
        <v>5</v>
      </c>
      <c r="F53" s="377">
        <f t="shared" si="16"/>
        <v>2</v>
      </c>
      <c r="G53" s="377">
        <f t="shared" si="16"/>
        <v>9</v>
      </c>
      <c r="H53" s="377">
        <f t="shared" si="16"/>
        <v>6</v>
      </c>
      <c r="I53" s="377">
        <f t="shared" si="16"/>
        <v>5</v>
      </c>
      <c r="J53" s="377">
        <f t="shared" si="16"/>
        <v>7</v>
      </c>
      <c r="K53" s="377">
        <f t="shared" si="16"/>
        <v>0</v>
      </c>
      <c r="L53" s="377">
        <f t="shared" si="16"/>
        <v>1</v>
      </c>
      <c r="M53" s="377">
        <f t="shared" si="16"/>
        <v>0</v>
      </c>
      <c r="N53" s="377">
        <f t="shared" si="16"/>
        <v>0</v>
      </c>
      <c r="O53" s="377">
        <f t="shared" si="16"/>
        <v>35</v>
      </c>
    </row>
    <row r="54" spans="3:15" ht="24.75" customHeight="1" x14ac:dyDescent="0.2">
      <c r="C54" s="619" t="s">
        <v>863</v>
      </c>
      <c r="D54" s="374" t="s">
        <v>9</v>
      </c>
      <c r="E54" s="377">
        <v>3</v>
      </c>
      <c r="F54" s="377">
        <v>1</v>
      </c>
      <c r="G54" s="377">
        <v>9</v>
      </c>
      <c r="H54" s="377">
        <v>6</v>
      </c>
      <c r="I54" s="377">
        <v>6</v>
      </c>
      <c r="J54" s="377">
        <v>4</v>
      </c>
      <c r="K54" s="377">
        <v>0</v>
      </c>
      <c r="L54" s="377">
        <v>1</v>
      </c>
      <c r="M54" s="377">
        <v>0</v>
      </c>
      <c r="N54" s="377">
        <v>1</v>
      </c>
      <c r="O54" s="382">
        <f>SUM(E54:N54)</f>
        <v>31</v>
      </c>
    </row>
    <row r="55" spans="3:15" ht="24.75" customHeight="1" x14ac:dyDescent="0.2">
      <c r="C55" s="620"/>
      <c r="D55" s="374" t="s">
        <v>10</v>
      </c>
      <c r="E55" s="377">
        <v>2</v>
      </c>
      <c r="F55" s="377">
        <v>1</v>
      </c>
      <c r="G55" s="377">
        <v>2</v>
      </c>
      <c r="H55" s="377">
        <v>1</v>
      </c>
      <c r="I55" s="377">
        <v>0</v>
      </c>
      <c r="J55" s="377">
        <v>2</v>
      </c>
      <c r="K55" s="377">
        <v>0</v>
      </c>
      <c r="L55" s="377">
        <v>1</v>
      </c>
      <c r="M55" s="377">
        <v>0</v>
      </c>
      <c r="N55" s="377">
        <v>0</v>
      </c>
      <c r="O55" s="382">
        <f>SUM(E55:N55)</f>
        <v>9</v>
      </c>
    </row>
    <row r="56" spans="3:15" ht="24.75" customHeight="1" x14ac:dyDescent="0.2">
      <c r="C56" s="621"/>
      <c r="D56" s="374" t="s">
        <v>845</v>
      </c>
      <c r="E56" s="377">
        <f t="shared" ref="E56:O56" si="17">SUM(E54:E55)</f>
        <v>5</v>
      </c>
      <c r="F56" s="377">
        <f t="shared" si="17"/>
        <v>2</v>
      </c>
      <c r="G56" s="377">
        <f t="shared" si="17"/>
        <v>11</v>
      </c>
      <c r="H56" s="377">
        <f t="shared" si="17"/>
        <v>7</v>
      </c>
      <c r="I56" s="377">
        <f t="shared" si="17"/>
        <v>6</v>
      </c>
      <c r="J56" s="377">
        <f t="shared" si="17"/>
        <v>6</v>
      </c>
      <c r="K56" s="377">
        <f t="shared" si="17"/>
        <v>0</v>
      </c>
      <c r="L56" s="377">
        <f t="shared" si="17"/>
        <v>2</v>
      </c>
      <c r="M56" s="377">
        <f t="shared" si="17"/>
        <v>0</v>
      </c>
      <c r="N56" s="377">
        <f t="shared" si="17"/>
        <v>1</v>
      </c>
      <c r="O56" s="377">
        <f t="shared" si="17"/>
        <v>40</v>
      </c>
    </row>
    <row r="57" spans="3:15" ht="24.75" customHeight="1" x14ac:dyDescent="0.2">
      <c r="C57" s="619" t="s">
        <v>36</v>
      </c>
      <c r="D57" s="374" t="s">
        <v>9</v>
      </c>
      <c r="E57" s="377">
        <v>1</v>
      </c>
      <c r="F57" s="377">
        <v>0</v>
      </c>
      <c r="G57" s="377">
        <v>0</v>
      </c>
      <c r="H57" s="377">
        <v>0</v>
      </c>
      <c r="I57" s="377">
        <v>0</v>
      </c>
      <c r="J57" s="377">
        <v>0</v>
      </c>
      <c r="K57" s="377">
        <v>0</v>
      </c>
      <c r="L57" s="377">
        <v>0</v>
      </c>
      <c r="M57" s="377">
        <v>0</v>
      </c>
      <c r="N57" s="377">
        <v>0</v>
      </c>
      <c r="O57" s="382">
        <f>SUM(E57:N57)</f>
        <v>1</v>
      </c>
    </row>
    <row r="58" spans="3:15" ht="24.75" customHeight="1" x14ac:dyDescent="0.2">
      <c r="C58" s="620"/>
      <c r="D58" s="374" t="s">
        <v>10</v>
      </c>
      <c r="E58" s="377">
        <v>0</v>
      </c>
      <c r="F58" s="377">
        <v>0</v>
      </c>
      <c r="G58" s="377">
        <v>0</v>
      </c>
      <c r="H58" s="377">
        <v>0</v>
      </c>
      <c r="I58" s="377">
        <v>0</v>
      </c>
      <c r="J58" s="377">
        <v>0</v>
      </c>
      <c r="K58" s="377">
        <v>0</v>
      </c>
      <c r="L58" s="377">
        <v>0</v>
      </c>
      <c r="M58" s="377">
        <v>1</v>
      </c>
      <c r="N58" s="377">
        <v>0</v>
      </c>
      <c r="O58" s="382">
        <f>SUM(E58:N58)</f>
        <v>1</v>
      </c>
    </row>
    <row r="59" spans="3:15" ht="24.75" customHeight="1" x14ac:dyDescent="0.2">
      <c r="C59" s="621"/>
      <c r="D59" s="374" t="s">
        <v>845</v>
      </c>
      <c r="E59" s="377">
        <f t="shared" ref="E59:O59" si="18">SUM(E57:E58)</f>
        <v>1</v>
      </c>
      <c r="F59" s="377">
        <f t="shared" si="18"/>
        <v>0</v>
      </c>
      <c r="G59" s="377">
        <f t="shared" si="18"/>
        <v>0</v>
      </c>
      <c r="H59" s="377">
        <f t="shared" si="18"/>
        <v>0</v>
      </c>
      <c r="I59" s="377">
        <f t="shared" si="18"/>
        <v>0</v>
      </c>
      <c r="J59" s="377">
        <f t="shared" si="18"/>
        <v>0</v>
      </c>
      <c r="K59" s="377">
        <f t="shared" si="18"/>
        <v>0</v>
      </c>
      <c r="L59" s="377">
        <f t="shared" si="18"/>
        <v>0</v>
      </c>
      <c r="M59" s="377">
        <f t="shared" si="18"/>
        <v>1</v>
      </c>
      <c r="N59" s="377">
        <f t="shared" si="18"/>
        <v>0</v>
      </c>
      <c r="O59" s="377">
        <f t="shared" si="18"/>
        <v>2</v>
      </c>
    </row>
    <row r="60" spans="3:15" ht="24.75" customHeight="1" x14ac:dyDescent="0.2">
      <c r="C60" s="619" t="s">
        <v>34</v>
      </c>
      <c r="D60" s="374" t="s">
        <v>9</v>
      </c>
      <c r="E60" s="377">
        <v>58</v>
      </c>
      <c r="F60" s="377">
        <v>17</v>
      </c>
      <c r="G60" s="377">
        <v>146</v>
      </c>
      <c r="H60" s="377">
        <v>106</v>
      </c>
      <c r="I60" s="377">
        <v>102</v>
      </c>
      <c r="J60" s="377">
        <v>83</v>
      </c>
      <c r="K60" s="377">
        <v>1</v>
      </c>
      <c r="L60" s="377">
        <v>23</v>
      </c>
      <c r="M60" s="377">
        <v>1</v>
      </c>
      <c r="N60" s="377">
        <v>12</v>
      </c>
      <c r="O60" s="382">
        <f>SUM(E60:N60)</f>
        <v>549</v>
      </c>
    </row>
    <row r="61" spans="3:15" ht="24.75" customHeight="1" x14ac:dyDescent="0.2">
      <c r="C61" s="620"/>
      <c r="D61" s="374" t="s">
        <v>10</v>
      </c>
      <c r="E61" s="377">
        <v>17</v>
      </c>
      <c r="F61" s="377">
        <v>7</v>
      </c>
      <c r="G61" s="377">
        <v>18</v>
      </c>
      <c r="H61" s="377">
        <v>15</v>
      </c>
      <c r="I61" s="377">
        <v>4</v>
      </c>
      <c r="J61" s="377">
        <v>24</v>
      </c>
      <c r="K61" s="377">
        <v>0</v>
      </c>
      <c r="L61" s="377">
        <v>0</v>
      </c>
      <c r="M61" s="377">
        <v>2</v>
      </c>
      <c r="N61" s="377">
        <v>0</v>
      </c>
      <c r="O61" s="382">
        <f>SUM(E61:N61)</f>
        <v>87</v>
      </c>
    </row>
    <row r="62" spans="3:15" ht="24.75" customHeight="1" x14ac:dyDescent="0.2">
      <c r="C62" s="621"/>
      <c r="D62" s="374" t="s">
        <v>845</v>
      </c>
      <c r="E62" s="377">
        <f t="shared" ref="E62:O62" si="19">SUM(E60:E61)</f>
        <v>75</v>
      </c>
      <c r="F62" s="377">
        <f t="shared" si="19"/>
        <v>24</v>
      </c>
      <c r="G62" s="377">
        <f t="shared" si="19"/>
        <v>164</v>
      </c>
      <c r="H62" s="377">
        <f t="shared" si="19"/>
        <v>121</v>
      </c>
      <c r="I62" s="377">
        <f t="shared" si="19"/>
        <v>106</v>
      </c>
      <c r="J62" s="377">
        <f t="shared" si="19"/>
        <v>107</v>
      </c>
      <c r="K62" s="377">
        <f t="shared" si="19"/>
        <v>1</v>
      </c>
      <c r="L62" s="377">
        <f t="shared" si="19"/>
        <v>23</v>
      </c>
      <c r="M62" s="377">
        <f t="shared" si="19"/>
        <v>3</v>
      </c>
      <c r="N62" s="377">
        <f t="shared" si="19"/>
        <v>12</v>
      </c>
      <c r="O62" s="377">
        <f t="shared" si="19"/>
        <v>636</v>
      </c>
    </row>
    <row r="63" spans="3:15" ht="24.75" customHeight="1" x14ac:dyDescent="0.2">
      <c r="C63" s="619" t="s">
        <v>211</v>
      </c>
      <c r="D63" s="374" t="s">
        <v>9</v>
      </c>
      <c r="E63" s="377">
        <v>6</v>
      </c>
      <c r="F63" s="377">
        <v>2</v>
      </c>
      <c r="G63" s="377">
        <v>16</v>
      </c>
      <c r="H63" s="377">
        <v>10</v>
      </c>
      <c r="I63" s="377">
        <v>10</v>
      </c>
      <c r="J63" s="377">
        <v>8</v>
      </c>
      <c r="K63" s="377">
        <v>0</v>
      </c>
      <c r="L63" s="377">
        <v>3</v>
      </c>
      <c r="M63" s="377">
        <v>0</v>
      </c>
      <c r="N63" s="377">
        <v>2</v>
      </c>
      <c r="O63" s="382">
        <f>SUM(E63:N63)</f>
        <v>57</v>
      </c>
    </row>
    <row r="64" spans="3:15" ht="24.75" customHeight="1" x14ac:dyDescent="0.2">
      <c r="C64" s="620"/>
      <c r="D64" s="374" t="s">
        <v>10</v>
      </c>
      <c r="E64" s="377">
        <v>1</v>
      </c>
      <c r="F64" s="377">
        <v>1</v>
      </c>
      <c r="G64" s="377">
        <v>2</v>
      </c>
      <c r="H64" s="377">
        <v>1</v>
      </c>
      <c r="I64" s="377">
        <v>1</v>
      </c>
      <c r="J64" s="377">
        <v>2</v>
      </c>
      <c r="K64" s="377">
        <v>0</v>
      </c>
      <c r="L64" s="377">
        <v>0</v>
      </c>
      <c r="M64" s="377">
        <v>0</v>
      </c>
      <c r="N64" s="377">
        <v>1</v>
      </c>
      <c r="O64" s="382">
        <f>SUM(E64:N64)</f>
        <v>9</v>
      </c>
    </row>
    <row r="65" spans="3:15" ht="24.75" customHeight="1" x14ac:dyDescent="0.2">
      <c r="C65" s="621"/>
      <c r="D65" s="374" t="s">
        <v>845</v>
      </c>
      <c r="E65" s="377">
        <f t="shared" ref="E65:O65" si="20">SUM(E63:E64)</f>
        <v>7</v>
      </c>
      <c r="F65" s="377">
        <f t="shared" si="20"/>
        <v>3</v>
      </c>
      <c r="G65" s="377">
        <f t="shared" si="20"/>
        <v>18</v>
      </c>
      <c r="H65" s="377">
        <f t="shared" si="20"/>
        <v>11</v>
      </c>
      <c r="I65" s="377">
        <f t="shared" si="20"/>
        <v>11</v>
      </c>
      <c r="J65" s="377">
        <f t="shared" si="20"/>
        <v>10</v>
      </c>
      <c r="K65" s="377">
        <f t="shared" si="20"/>
        <v>0</v>
      </c>
      <c r="L65" s="377">
        <f t="shared" si="20"/>
        <v>3</v>
      </c>
      <c r="M65" s="377">
        <f t="shared" si="20"/>
        <v>0</v>
      </c>
      <c r="N65" s="377">
        <f t="shared" si="20"/>
        <v>3</v>
      </c>
      <c r="O65" s="377">
        <f t="shared" si="20"/>
        <v>66</v>
      </c>
    </row>
    <row r="66" spans="3:15" ht="24.75" customHeight="1" x14ac:dyDescent="0.2">
      <c r="C66" s="619" t="s">
        <v>212</v>
      </c>
      <c r="D66" s="374" t="s">
        <v>9</v>
      </c>
      <c r="E66" s="377">
        <v>2</v>
      </c>
      <c r="F66" s="377">
        <v>1</v>
      </c>
      <c r="G66" s="377">
        <v>4</v>
      </c>
      <c r="H66" s="377">
        <v>4</v>
      </c>
      <c r="I66" s="377">
        <v>3</v>
      </c>
      <c r="J66" s="377">
        <v>2</v>
      </c>
      <c r="K66" s="377">
        <v>0</v>
      </c>
      <c r="L66" s="377">
        <v>0</v>
      </c>
      <c r="M66" s="377">
        <v>0</v>
      </c>
      <c r="N66" s="377">
        <v>0</v>
      </c>
      <c r="O66" s="382">
        <f>SUM(E66:N66)</f>
        <v>16</v>
      </c>
    </row>
    <row r="67" spans="3:15" ht="24.75" customHeight="1" x14ac:dyDescent="0.2">
      <c r="C67" s="620"/>
      <c r="D67" s="374" t="s">
        <v>10</v>
      </c>
      <c r="E67" s="377">
        <v>1</v>
      </c>
      <c r="F67" s="377">
        <v>0</v>
      </c>
      <c r="G67" s="377">
        <v>1</v>
      </c>
      <c r="H67" s="377">
        <v>0</v>
      </c>
      <c r="I67" s="377">
        <v>0</v>
      </c>
      <c r="J67" s="377">
        <v>1</v>
      </c>
      <c r="K67" s="377">
        <v>0</v>
      </c>
      <c r="L67" s="377">
        <v>0</v>
      </c>
      <c r="M67" s="377">
        <v>0</v>
      </c>
      <c r="N67" s="377">
        <v>0</v>
      </c>
      <c r="O67" s="382">
        <f>SUM(E67:N67)</f>
        <v>3</v>
      </c>
    </row>
    <row r="68" spans="3:15" ht="24.75" customHeight="1" x14ac:dyDescent="0.2">
      <c r="C68" s="621"/>
      <c r="D68" s="374" t="s">
        <v>845</v>
      </c>
      <c r="E68" s="377">
        <f t="shared" ref="E68:O68" si="21">SUM(E66:E67)</f>
        <v>3</v>
      </c>
      <c r="F68" s="377">
        <f t="shared" si="21"/>
        <v>1</v>
      </c>
      <c r="G68" s="377">
        <f t="shared" si="21"/>
        <v>5</v>
      </c>
      <c r="H68" s="377">
        <f t="shared" si="21"/>
        <v>4</v>
      </c>
      <c r="I68" s="377">
        <f t="shared" si="21"/>
        <v>3</v>
      </c>
      <c r="J68" s="377">
        <f t="shared" si="21"/>
        <v>3</v>
      </c>
      <c r="K68" s="377">
        <f t="shared" si="21"/>
        <v>0</v>
      </c>
      <c r="L68" s="377">
        <f t="shared" si="21"/>
        <v>0</v>
      </c>
      <c r="M68" s="377">
        <f t="shared" si="21"/>
        <v>0</v>
      </c>
      <c r="N68" s="377">
        <f t="shared" si="21"/>
        <v>0</v>
      </c>
      <c r="O68" s="377">
        <f t="shared" si="21"/>
        <v>19</v>
      </c>
    </row>
    <row r="69" spans="3:15" ht="24.75" customHeight="1" x14ac:dyDescent="0.2">
      <c r="C69" s="619" t="s">
        <v>862</v>
      </c>
      <c r="D69" s="374" t="s">
        <v>9</v>
      </c>
      <c r="E69" s="377">
        <v>1</v>
      </c>
      <c r="F69" s="377">
        <v>0</v>
      </c>
      <c r="G69" s="377">
        <v>4</v>
      </c>
      <c r="H69" s="377">
        <v>2</v>
      </c>
      <c r="I69" s="377">
        <v>2</v>
      </c>
      <c r="J69" s="377">
        <v>2</v>
      </c>
      <c r="K69" s="377">
        <v>0</v>
      </c>
      <c r="L69" s="377">
        <v>1</v>
      </c>
      <c r="M69" s="377">
        <v>1</v>
      </c>
      <c r="N69" s="377">
        <v>1</v>
      </c>
      <c r="O69" s="382">
        <f>SUM(E69:N69)</f>
        <v>14</v>
      </c>
    </row>
    <row r="70" spans="3:15" ht="24.75" customHeight="1" x14ac:dyDescent="0.2">
      <c r="C70" s="620"/>
      <c r="D70" s="374" t="s">
        <v>10</v>
      </c>
      <c r="E70" s="377">
        <v>1</v>
      </c>
      <c r="F70" s="377">
        <v>0</v>
      </c>
      <c r="G70" s="377">
        <v>0</v>
      </c>
      <c r="H70" s="377">
        <v>1</v>
      </c>
      <c r="I70" s="377">
        <v>1</v>
      </c>
      <c r="J70" s="377">
        <v>0</v>
      </c>
      <c r="K70" s="377">
        <v>0</v>
      </c>
      <c r="L70" s="377">
        <v>0</v>
      </c>
      <c r="M70" s="377">
        <v>0</v>
      </c>
      <c r="N70" s="377">
        <v>0</v>
      </c>
      <c r="O70" s="382">
        <f>SUM(E70:N70)</f>
        <v>3</v>
      </c>
    </row>
    <row r="71" spans="3:15" ht="24.75" customHeight="1" x14ac:dyDescent="0.2">
      <c r="C71" s="621"/>
      <c r="D71" s="374" t="s">
        <v>845</v>
      </c>
      <c r="E71" s="377">
        <f t="shared" ref="E71:O71" si="22">SUM(E69:E70)</f>
        <v>2</v>
      </c>
      <c r="F71" s="377">
        <f t="shared" si="22"/>
        <v>0</v>
      </c>
      <c r="G71" s="377">
        <f t="shared" si="22"/>
        <v>4</v>
      </c>
      <c r="H71" s="377">
        <f t="shared" si="22"/>
        <v>3</v>
      </c>
      <c r="I71" s="377">
        <f t="shared" si="22"/>
        <v>3</v>
      </c>
      <c r="J71" s="377">
        <f t="shared" si="22"/>
        <v>2</v>
      </c>
      <c r="K71" s="377">
        <f t="shared" si="22"/>
        <v>0</v>
      </c>
      <c r="L71" s="377">
        <f t="shared" si="22"/>
        <v>1</v>
      </c>
      <c r="M71" s="377">
        <f t="shared" si="22"/>
        <v>1</v>
      </c>
      <c r="N71" s="377">
        <f t="shared" si="22"/>
        <v>1</v>
      </c>
      <c r="O71" s="377">
        <f t="shared" si="22"/>
        <v>17</v>
      </c>
    </row>
    <row r="72" spans="3:15" ht="24.75" customHeight="1" x14ac:dyDescent="0.2">
      <c r="C72" s="619" t="s">
        <v>861</v>
      </c>
      <c r="D72" s="374" t="s">
        <v>9</v>
      </c>
      <c r="E72" s="377">
        <v>2</v>
      </c>
      <c r="F72" s="377">
        <v>0</v>
      </c>
      <c r="G72" s="377">
        <v>3</v>
      </c>
      <c r="H72" s="377">
        <v>2</v>
      </c>
      <c r="I72" s="377">
        <v>2</v>
      </c>
      <c r="J72" s="377">
        <v>1</v>
      </c>
      <c r="K72" s="377">
        <v>0</v>
      </c>
      <c r="L72" s="377">
        <v>1</v>
      </c>
      <c r="M72" s="377">
        <v>0</v>
      </c>
      <c r="N72" s="377">
        <v>0</v>
      </c>
      <c r="O72" s="382">
        <f>SUM(E72:N72)</f>
        <v>11</v>
      </c>
    </row>
    <row r="73" spans="3:15" ht="24.75" customHeight="1" x14ac:dyDescent="0.2">
      <c r="C73" s="620"/>
      <c r="D73" s="374" t="s">
        <v>10</v>
      </c>
      <c r="E73" s="377">
        <v>0</v>
      </c>
      <c r="F73" s="377">
        <v>0</v>
      </c>
      <c r="G73" s="377">
        <v>0</v>
      </c>
      <c r="H73" s="377">
        <v>0</v>
      </c>
      <c r="I73" s="377">
        <v>0</v>
      </c>
      <c r="J73" s="377">
        <v>0</v>
      </c>
      <c r="K73" s="377">
        <v>0</v>
      </c>
      <c r="L73" s="377">
        <v>0</v>
      </c>
      <c r="M73" s="377">
        <v>0</v>
      </c>
      <c r="N73" s="377">
        <v>0</v>
      </c>
      <c r="O73" s="382">
        <f>SUM(E73:N73)</f>
        <v>0</v>
      </c>
    </row>
    <row r="74" spans="3:15" ht="24.75" customHeight="1" x14ac:dyDescent="0.2">
      <c r="C74" s="621"/>
      <c r="D74" s="374" t="s">
        <v>845</v>
      </c>
      <c r="E74" s="377">
        <f t="shared" ref="E74:O74" si="23">SUM(E72:E73)</f>
        <v>2</v>
      </c>
      <c r="F74" s="377">
        <f t="shared" si="23"/>
        <v>0</v>
      </c>
      <c r="G74" s="377">
        <f t="shared" si="23"/>
        <v>3</v>
      </c>
      <c r="H74" s="377">
        <f t="shared" si="23"/>
        <v>2</v>
      </c>
      <c r="I74" s="377">
        <f t="shared" si="23"/>
        <v>2</v>
      </c>
      <c r="J74" s="377">
        <f t="shared" si="23"/>
        <v>1</v>
      </c>
      <c r="K74" s="377">
        <f t="shared" si="23"/>
        <v>0</v>
      </c>
      <c r="L74" s="377">
        <f t="shared" si="23"/>
        <v>1</v>
      </c>
      <c r="M74" s="377">
        <f t="shared" si="23"/>
        <v>0</v>
      </c>
      <c r="N74" s="377">
        <f t="shared" si="23"/>
        <v>0</v>
      </c>
      <c r="O74" s="377">
        <f t="shared" si="23"/>
        <v>11</v>
      </c>
    </row>
    <row r="75" spans="3:15" ht="24.75" customHeight="1" x14ac:dyDescent="0.2">
      <c r="C75" s="619" t="s">
        <v>214</v>
      </c>
      <c r="D75" s="374" t="s">
        <v>9</v>
      </c>
      <c r="E75" s="377">
        <v>2</v>
      </c>
      <c r="F75" s="377">
        <v>1</v>
      </c>
      <c r="G75" s="377">
        <v>5</v>
      </c>
      <c r="H75" s="377">
        <v>3</v>
      </c>
      <c r="I75" s="377">
        <v>4</v>
      </c>
      <c r="J75" s="377">
        <v>3</v>
      </c>
      <c r="K75" s="377">
        <v>0</v>
      </c>
      <c r="L75" s="377">
        <v>1</v>
      </c>
      <c r="M75" s="377">
        <v>0</v>
      </c>
      <c r="N75" s="377">
        <v>0</v>
      </c>
      <c r="O75" s="382">
        <f>SUM(E75:N75)</f>
        <v>19</v>
      </c>
    </row>
    <row r="76" spans="3:15" ht="24.75" customHeight="1" x14ac:dyDescent="0.2">
      <c r="C76" s="620"/>
      <c r="D76" s="374" t="s">
        <v>10</v>
      </c>
      <c r="E76" s="377">
        <v>0</v>
      </c>
      <c r="F76" s="377">
        <v>0</v>
      </c>
      <c r="G76" s="377">
        <v>0</v>
      </c>
      <c r="H76" s="377">
        <v>1</v>
      </c>
      <c r="I76" s="377">
        <v>0</v>
      </c>
      <c r="J76" s="377">
        <v>0</v>
      </c>
      <c r="K76" s="377">
        <v>1</v>
      </c>
      <c r="L76" s="377">
        <v>0</v>
      </c>
      <c r="M76" s="377">
        <v>0</v>
      </c>
      <c r="N76" s="377">
        <v>0</v>
      </c>
      <c r="O76" s="382">
        <f>SUM(E76:N76)</f>
        <v>2</v>
      </c>
    </row>
    <row r="77" spans="3:15" ht="24.75" customHeight="1" x14ac:dyDescent="0.2">
      <c r="C77" s="621"/>
      <c r="D77" s="374" t="s">
        <v>845</v>
      </c>
      <c r="E77" s="377">
        <f t="shared" ref="E77:O77" si="24">SUM(E75:E76)</f>
        <v>2</v>
      </c>
      <c r="F77" s="377">
        <f t="shared" si="24"/>
        <v>1</v>
      </c>
      <c r="G77" s="377">
        <f t="shared" si="24"/>
        <v>5</v>
      </c>
      <c r="H77" s="377">
        <f t="shared" si="24"/>
        <v>4</v>
      </c>
      <c r="I77" s="377">
        <f t="shared" si="24"/>
        <v>4</v>
      </c>
      <c r="J77" s="377">
        <f t="shared" si="24"/>
        <v>3</v>
      </c>
      <c r="K77" s="377">
        <f t="shared" si="24"/>
        <v>1</v>
      </c>
      <c r="L77" s="377">
        <f t="shared" si="24"/>
        <v>1</v>
      </c>
      <c r="M77" s="377">
        <f t="shared" si="24"/>
        <v>0</v>
      </c>
      <c r="N77" s="377">
        <f t="shared" si="24"/>
        <v>0</v>
      </c>
      <c r="O77" s="377">
        <f t="shared" si="24"/>
        <v>21</v>
      </c>
    </row>
    <row r="78" spans="3:15" ht="24.75" customHeight="1" x14ac:dyDescent="0.2">
      <c r="C78" s="619" t="s">
        <v>31</v>
      </c>
      <c r="D78" s="374" t="s">
        <v>9</v>
      </c>
      <c r="E78" s="377">
        <v>66</v>
      </c>
      <c r="F78" s="377">
        <v>18</v>
      </c>
      <c r="G78" s="377">
        <v>159</v>
      </c>
      <c r="H78" s="377">
        <v>116</v>
      </c>
      <c r="I78" s="377">
        <v>110</v>
      </c>
      <c r="J78" s="377">
        <v>90</v>
      </c>
      <c r="K78" s="377">
        <v>0</v>
      </c>
      <c r="L78" s="377">
        <v>25</v>
      </c>
      <c r="M78" s="377">
        <v>1</v>
      </c>
      <c r="N78" s="377">
        <v>14</v>
      </c>
      <c r="O78" s="382">
        <f>SUM(E78:N78)</f>
        <v>599</v>
      </c>
    </row>
    <row r="79" spans="3:15" ht="24.75" customHeight="1" x14ac:dyDescent="0.2">
      <c r="C79" s="620"/>
      <c r="D79" s="374" t="s">
        <v>10</v>
      </c>
      <c r="E79" s="377">
        <v>16</v>
      </c>
      <c r="F79" s="377">
        <v>6</v>
      </c>
      <c r="G79" s="377">
        <v>15</v>
      </c>
      <c r="H79" s="377">
        <v>13</v>
      </c>
      <c r="I79" s="377">
        <v>3</v>
      </c>
      <c r="J79" s="377">
        <v>19</v>
      </c>
      <c r="K79" s="377">
        <v>0</v>
      </c>
      <c r="L79" s="377">
        <v>2</v>
      </c>
      <c r="M79" s="377">
        <v>1</v>
      </c>
      <c r="N79" s="377">
        <v>0</v>
      </c>
      <c r="O79" s="382">
        <f>SUM(E79:N79)</f>
        <v>75</v>
      </c>
    </row>
    <row r="80" spans="3:15" ht="24.75" customHeight="1" x14ac:dyDescent="0.2">
      <c r="C80" s="621"/>
      <c r="D80" s="374" t="s">
        <v>845</v>
      </c>
      <c r="E80" s="377">
        <f t="shared" ref="E80:O80" si="25">SUM(E78:E79)</f>
        <v>82</v>
      </c>
      <c r="F80" s="377">
        <f t="shared" si="25"/>
        <v>24</v>
      </c>
      <c r="G80" s="377">
        <f t="shared" si="25"/>
        <v>174</v>
      </c>
      <c r="H80" s="377">
        <f t="shared" si="25"/>
        <v>129</v>
      </c>
      <c r="I80" s="377">
        <f t="shared" si="25"/>
        <v>113</v>
      </c>
      <c r="J80" s="377">
        <f t="shared" si="25"/>
        <v>109</v>
      </c>
      <c r="K80" s="377">
        <f t="shared" si="25"/>
        <v>0</v>
      </c>
      <c r="L80" s="377">
        <f t="shared" si="25"/>
        <v>27</v>
      </c>
      <c r="M80" s="377">
        <f t="shared" si="25"/>
        <v>2</v>
      </c>
      <c r="N80" s="377">
        <f t="shared" si="25"/>
        <v>14</v>
      </c>
      <c r="O80" s="377">
        <f t="shared" si="25"/>
        <v>674</v>
      </c>
    </row>
    <row r="81" spans="3:15" ht="24.75" customHeight="1" x14ac:dyDescent="0.2">
      <c r="C81" s="619" t="s">
        <v>215</v>
      </c>
      <c r="D81" s="374" t="s">
        <v>9</v>
      </c>
      <c r="E81" s="377">
        <v>0</v>
      </c>
      <c r="F81" s="377">
        <v>0</v>
      </c>
      <c r="G81" s="377">
        <v>0</v>
      </c>
      <c r="H81" s="377">
        <v>1</v>
      </c>
      <c r="I81" s="377">
        <v>1</v>
      </c>
      <c r="J81" s="377">
        <v>0</v>
      </c>
      <c r="K81" s="377">
        <v>0</v>
      </c>
      <c r="L81" s="377">
        <v>0</v>
      </c>
      <c r="M81" s="377">
        <v>0</v>
      </c>
      <c r="N81" s="377">
        <v>0</v>
      </c>
      <c r="O81" s="382">
        <f>SUM(E81:N81)</f>
        <v>2</v>
      </c>
    </row>
    <row r="82" spans="3:15" ht="24.75" customHeight="1" x14ac:dyDescent="0.2">
      <c r="C82" s="620"/>
      <c r="D82" s="374" t="s">
        <v>10</v>
      </c>
      <c r="E82" s="377">
        <v>1</v>
      </c>
      <c r="F82" s="377">
        <v>0</v>
      </c>
      <c r="G82" s="377">
        <v>0</v>
      </c>
      <c r="H82" s="377">
        <v>1</v>
      </c>
      <c r="I82" s="377">
        <v>0</v>
      </c>
      <c r="J82" s="377">
        <v>0</v>
      </c>
      <c r="K82" s="377">
        <v>0</v>
      </c>
      <c r="L82" s="377">
        <v>0</v>
      </c>
      <c r="M82" s="377">
        <v>0</v>
      </c>
      <c r="N82" s="377">
        <v>0</v>
      </c>
      <c r="O82" s="382">
        <f>SUM(E82:N82)</f>
        <v>2</v>
      </c>
    </row>
    <row r="83" spans="3:15" ht="24.75" customHeight="1" x14ac:dyDescent="0.2">
      <c r="C83" s="621"/>
      <c r="D83" s="374" t="s">
        <v>845</v>
      </c>
      <c r="E83" s="377">
        <f t="shared" ref="E83:O83" si="26">SUM(E81:E82)</f>
        <v>1</v>
      </c>
      <c r="F83" s="377">
        <f t="shared" si="26"/>
        <v>0</v>
      </c>
      <c r="G83" s="377">
        <f t="shared" si="26"/>
        <v>0</v>
      </c>
      <c r="H83" s="377">
        <f t="shared" si="26"/>
        <v>2</v>
      </c>
      <c r="I83" s="377">
        <f t="shared" si="26"/>
        <v>1</v>
      </c>
      <c r="J83" s="377">
        <f t="shared" si="26"/>
        <v>0</v>
      </c>
      <c r="K83" s="377">
        <f t="shared" si="26"/>
        <v>0</v>
      </c>
      <c r="L83" s="377">
        <f t="shared" si="26"/>
        <v>0</v>
      </c>
      <c r="M83" s="377">
        <f t="shared" si="26"/>
        <v>0</v>
      </c>
      <c r="N83" s="377">
        <f t="shared" si="26"/>
        <v>0</v>
      </c>
      <c r="O83" s="377">
        <f t="shared" si="26"/>
        <v>4</v>
      </c>
    </row>
    <row r="84" spans="3:15" ht="24.75" customHeight="1" x14ac:dyDescent="0.2">
      <c r="C84" s="619" t="s">
        <v>38</v>
      </c>
      <c r="D84" s="374" t="s">
        <v>9</v>
      </c>
      <c r="E84" s="377">
        <v>93</v>
      </c>
      <c r="F84" s="377">
        <v>26</v>
      </c>
      <c r="G84" s="377">
        <v>223</v>
      </c>
      <c r="H84" s="377">
        <v>162</v>
      </c>
      <c r="I84" s="377">
        <v>155</v>
      </c>
      <c r="J84" s="377">
        <v>124</v>
      </c>
      <c r="K84" s="377">
        <v>0</v>
      </c>
      <c r="L84" s="377">
        <v>35</v>
      </c>
      <c r="M84" s="377">
        <v>1</v>
      </c>
      <c r="N84" s="377">
        <v>20</v>
      </c>
      <c r="O84" s="382">
        <f>SUM(E84:N84)</f>
        <v>839</v>
      </c>
    </row>
    <row r="85" spans="3:15" ht="24.75" customHeight="1" x14ac:dyDescent="0.2">
      <c r="C85" s="620"/>
      <c r="D85" s="374" t="s">
        <v>10</v>
      </c>
      <c r="E85" s="377">
        <v>24</v>
      </c>
      <c r="F85" s="377">
        <v>8</v>
      </c>
      <c r="G85" s="377">
        <v>24</v>
      </c>
      <c r="H85" s="377">
        <v>20</v>
      </c>
      <c r="I85" s="377">
        <v>5</v>
      </c>
      <c r="J85" s="377">
        <v>30</v>
      </c>
      <c r="K85" s="377">
        <v>0</v>
      </c>
      <c r="L85" s="377">
        <v>2</v>
      </c>
      <c r="M85" s="377">
        <v>1</v>
      </c>
      <c r="N85" s="377">
        <v>2</v>
      </c>
      <c r="O85" s="382">
        <f>SUM(E85:N85)</f>
        <v>116</v>
      </c>
    </row>
    <row r="86" spans="3:15" ht="24.75" customHeight="1" x14ac:dyDescent="0.2">
      <c r="C86" s="621"/>
      <c r="D86" s="374" t="s">
        <v>845</v>
      </c>
      <c r="E86" s="377">
        <f t="shared" ref="E86:O86" si="27">SUM(E84:E85)</f>
        <v>117</v>
      </c>
      <c r="F86" s="377">
        <f t="shared" si="27"/>
        <v>34</v>
      </c>
      <c r="G86" s="377">
        <f t="shared" si="27"/>
        <v>247</v>
      </c>
      <c r="H86" s="377">
        <f t="shared" si="27"/>
        <v>182</v>
      </c>
      <c r="I86" s="377">
        <f t="shared" si="27"/>
        <v>160</v>
      </c>
      <c r="J86" s="377">
        <f t="shared" si="27"/>
        <v>154</v>
      </c>
      <c r="K86" s="377">
        <f t="shared" si="27"/>
        <v>0</v>
      </c>
      <c r="L86" s="377">
        <f t="shared" si="27"/>
        <v>37</v>
      </c>
      <c r="M86" s="377">
        <f t="shared" si="27"/>
        <v>2</v>
      </c>
      <c r="N86" s="377">
        <f t="shared" si="27"/>
        <v>22</v>
      </c>
      <c r="O86" s="377">
        <f t="shared" si="27"/>
        <v>955</v>
      </c>
    </row>
    <row r="87" spans="3:15" ht="24.75" customHeight="1" x14ac:dyDescent="0.2">
      <c r="C87" s="619" t="s">
        <v>860</v>
      </c>
      <c r="D87" s="374" t="s">
        <v>9</v>
      </c>
      <c r="E87" s="377">
        <v>30</v>
      </c>
      <c r="F87" s="377">
        <v>9</v>
      </c>
      <c r="G87" s="377">
        <v>74</v>
      </c>
      <c r="H87" s="377">
        <v>54</v>
      </c>
      <c r="I87" s="377">
        <v>51</v>
      </c>
      <c r="J87" s="377">
        <v>41</v>
      </c>
      <c r="K87" s="377">
        <v>0</v>
      </c>
      <c r="L87" s="377">
        <v>11</v>
      </c>
      <c r="M87" s="377">
        <v>1</v>
      </c>
      <c r="N87" s="377">
        <v>7</v>
      </c>
      <c r="O87" s="382">
        <f>SUM(E87:N87)</f>
        <v>278</v>
      </c>
    </row>
    <row r="88" spans="3:15" ht="24.75" customHeight="1" x14ac:dyDescent="0.2">
      <c r="C88" s="620"/>
      <c r="D88" s="374" t="s">
        <v>10</v>
      </c>
      <c r="E88" s="377">
        <v>7</v>
      </c>
      <c r="F88" s="377">
        <v>3</v>
      </c>
      <c r="G88" s="377">
        <v>7</v>
      </c>
      <c r="H88" s="377">
        <v>7</v>
      </c>
      <c r="I88" s="377">
        <v>1</v>
      </c>
      <c r="J88" s="377">
        <v>10</v>
      </c>
      <c r="K88" s="377">
        <v>0</v>
      </c>
      <c r="L88" s="377">
        <v>0</v>
      </c>
      <c r="M88" s="377">
        <v>1</v>
      </c>
      <c r="N88" s="377">
        <v>2</v>
      </c>
      <c r="O88" s="382">
        <f>SUM(E88:N88)</f>
        <v>38</v>
      </c>
    </row>
    <row r="89" spans="3:15" ht="24.75" customHeight="1" x14ac:dyDescent="0.2">
      <c r="C89" s="621"/>
      <c r="D89" s="374" t="s">
        <v>845</v>
      </c>
      <c r="E89" s="377">
        <f t="shared" ref="E89:O89" si="28">SUM(E87:E88)</f>
        <v>37</v>
      </c>
      <c r="F89" s="377">
        <f t="shared" si="28"/>
        <v>12</v>
      </c>
      <c r="G89" s="377">
        <f t="shared" si="28"/>
        <v>81</v>
      </c>
      <c r="H89" s="377">
        <f t="shared" si="28"/>
        <v>61</v>
      </c>
      <c r="I89" s="377">
        <f t="shared" si="28"/>
        <v>52</v>
      </c>
      <c r="J89" s="377">
        <f t="shared" si="28"/>
        <v>51</v>
      </c>
      <c r="K89" s="377">
        <f t="shared" si="28"/>
        <v>0</v>
      </c>
      <c r="L89" s="377">
        <f t="shared" si="28"/>
        <v>11</v>
      </c>
      <c r="M89" s="377">
        <f t="shared" si="28"/>
        <v>2</v>
      </c>
      <c r="N89" s="377">
        <f t="shared" si="28"/>
        <v>9</v>
      </c>
      <c r="O89" s="377">
        <f t="shared" si="28"/>
        <v>316</v>
      </c>
    </row>
    <row r="90" spans="3:15" ht="24.75" customHeight="1" x14ac:dyDescent="0.2">
      <c r="C90" s="616" t="s">
        <v>575</v>
      </c>
      <c r="D90" s="383" t="s">
        <v>9</v>
      </c>
      <c r="E90" s="382">
        <f t="shared" ref="E90:O90" si="29">E3+E6+E9+E12+E15+E18+E21+E24+E27+E30+E33+E36+E39+E42+E45+E48+E51+E54+E57+E60+E63+E66+E69+E72+E75+E78+E81+E84+E87</f>
        <v>358</v>
      </c>
      <c r="F90" s="382">
        <f t="shared" si="29"/>
        <v>99</v>
      </c>
      <c r="G90" s="382">
        <f t="shared" si="29"/>
        <v>872</v>
      </c>
      <c r="H90" s="382">
        <f t="shared" si="29"/>
        <v>634</v>
      </c>
      <c r="I90" s="382">
        <f t="shared" si="29"/>
        <v>604</v>
      </c>
      <c r="J90" s="382">
        <f t="shared" si="29"/>
        <v>490</v>
      </c>
      <c r="K90" s="382">
        <f t="shared" si="29"/>
        <v>4</v>
      </c>
      <c r="L90" s="382">
        <f t="shared" si="29"/>
        <v>137</v>
      </c>
      <c r="M90" s="382">
        <f t="shared" si="29"/>
        <v>7</v>
      </c>
      <c r="N90" s="382">
        <f t="shared" si="29"/>
        <v>77</v>
      </c>
      <c r="O90" s="382">
        <f t="shared" si="29"/>
        <v>3282</v>
      </c>
    </row>
    <row r="91" spans="3:15" ht="24.75" customHeight="1" x14ac:dyDescent="0.2">
      <c r="C91" s="616"/>
      <c r="D91" s="383" t="s">
        <v>10</v>
      </c>
      <c r="E91" s="382">
        <f t="shared" ref="E91:O91" si="30">E4+E7+E10+E13+E16+E19+E22+E25+E28+E31+E34+E37+E40+E43+E46+E49+E52+E55+E58+E61+E64+E67+E70+E73+E76+E79+E82+E85+E88</f>
        <v>124</v>
      </c>
      <c r="F91" s="382">
        <f t="shared" si="30"/>
        <v>43</v>
      </c>
      <c r="G91" s="382">
        <f t="shared" si="30"/>
        <v>120</v>
      </c>
      <c r="H91" s="382">
        <f t="shared" si="30"/>
        <v>102</v>
      </c>
      <c r="I91" s="382">
        <f t="shared" si="30"/>
        <v>23</v>
      </c>
      <c r="J91" s="382">
        <f t="shared" si="30"/>
        <v>151</v>
      </c>
      <c r="K91" s="382">
        <f t="shared" si="30"/>
        <v>1</v>
      </c>
      <c r="L91" s="382">
        <f t="shared" si="30"/>
        <v>10</v>
      </c>
      <c r="M91" s="382">
        <f t="shared" si="30"/>
        <v>9</v>
      </c>
      <c r="N91" s="382">
        <f t="shared" si="30"/>
        <v>8</v>
      </c>
      <c r="O91" s="382">
        <f t="shared" si="30"/>
        <v>591</v>
      </c>
    </row>
    <row r="92" spans="3:15" ht="24.75" customHeight="1" x14ac:dyDescent="0.2">
      <c r="C92" s="616"/>
      <c r="D92" s="383" t="s">
        <v>845</v>
      </c>
      <c r="E92" s="382">
        <f t="shared" ref="E92:O92" si="31">E5+E8+E11+E14+E17+E20+E23+E26+E29+E32+E35+E38+E41+E44+E47+E50+E53+E56+E59+E62+E65+E68+E71+E74+E77+E80+E83+E86+E89</f>
        <v>482</v>
      </c>
      <c r="F92" s="382">
        <f t="shared" si="31"/>
        <v>142</v>
      </c>
      <c r="G92" s="382">
        <f t="shared" si="31"/>
        <v>992</v>
      </c>
      <c r="H92" s="382">
        <f t="shared" si="31"/>
        <v>736</v>
      </c>
      <c r="I92" s="382">
        <f t="shared" si="31"/>
        <v>627</v>
      </c>
      <c r="J92" s="382">
        <f t="shared" si="31"/>
        <v>641</v>
      </c>
      <c r="K92" s="382">
        <f t="shared" si="31"/>
        <v>5</v>
      </c>
      <c r="L92" s="382">
        <f t="shared" si="31"/>
        <v>147</v>
      </c>
      <c r="M92" s="382">
        <f t="shared" si="31"/>
        <v>16</v>
      </c>
      <c r="N92" s="382">
        <f t="shared" si="31"/>
        <v>85</v>
      </c>
      <c r="O92" s="382">
        <f t="shared" si="31"/>
        <v>3873</v>
      </c>
    </row>
  </sheetData>
  <mergeCells count="31">
    <mergeCell ref="C30:C32"/>
    <mergeCell ref="C33:C35"/>
    <mergeCell ref="C36:C38"/>
    <mergeCell ref="C39:C41"/>
    <mergeCell ref="C42:C44"/>
    <mergeCell ref="C1:O1"/>
    <mergeCell ref="C3:C5"/>
    <mergeCell ref="C27:C29"/>
    <mergeCell ref="C24:C26"/>
    <mergeCell ref="C21:C23"/>
    <mergeCell ref="C18:C20"/>
    <mergeCell ref="C15:C17"/>
    <mergeCell ref="C12:C14"/>
    <mergeCell ref="C9:C11"/>
    <mergeCell ref="C6:C8"/>
    <mergeCell ref="C60:C62"/>
    <mergeCell ref="C63:C65"/>
    <mergeCell ref="C66:C68"/>
    <mergeCell ref="C69:C71"/>
    <mergeCell ref="C72:C74"/>
    <mergeCell ref="C45:C47"/>
    <mergeCell ref="C48:C50"/>
    <mergeCell ref="C51:C53"/>
    <mergeCell ref="C54:C56"/>
    <mergeCell ref="C57:C59"/>
    <mergeCell ref="C90:C92"/>
    <mergeCell ref="C75:C77"/>
    <mergeCell ref="C78:C80"/>
    <mergeCell ref="C81:C83"/>
    <mergeCell ref="C84:C86"/>
    <mergeCell ref="C87:C89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M83"/>
  <sheetViews>
    <sheetView rightToLeft="1" zoomScaleNormal="100" zoomScaleSheetLayoutView="62" workbookViewId="0">
      <selection activeCell="E6" sqref="E6"/>
    </sheetView>
  </sheetViews>
  <sheetFormatPr defaultRowHeight="14.25" x14ac:dyDescent="0.2"/>
  <cols>
    <col min="1" max="2" width="9" style="160"/>
    <col min="3" max="3" width="21" style="372" customWidth="1"/>
    <col min="4" max="4" width="9" style="372"/>
    <col min="5" max="5" width="10" style="372" bestFit="1" customWidth="1"/>
    <col min="6" max="13" width="9" style="372"/>
    <col min="14" max="16384" width="9" style="160"/>
  </cols>
  <sheetData>
    <row r="1" spans="3:13" ht="54" customHeight="1" x14ac:dyDescent="0.2">
      <c r="C1" s="627" t="s">
        <v>877</v>
      </c>
      <c r="D1" s="622"/>
      <c r="E1" s="622"/>
      <c r="F1" s="622"/>
      <c r="G1" s="622"/>
      <c r="H1" s="622"/>
      <c r="I1" s="622"/>
      <c r="J1" s="622"/>
      <c r="K1" s="622"/>
      <c r="L1" s="622"/>
    </row>
    <row r="2" spans="3:13" s="164" customFormat="1" ht="31.5" customHeight="1" x14ac:dyDescent="0.25">
      <c r="C2" s="373" t="s">
        <v>240</v>
      </c>
      <c r="D2" s="373" t="s">
        <v>7</v>
      </c>
      <c r="E2" s="373" t="s">
        <v>61</v>
      </c>
      <c r="F2" s="373" t="s">
        <v>60</v>
      </c>
      <c r="G2" s="373" t="s">
        <v>59</v>
      </c>
      <c r="H2" s="373" t="s">
        <v>57</v>
      </c>
      <c r="I2" s="373" t="s">
        <v>243</v>
      </c>
      <c r="J2" s="373" t="s">
        <v>855</v>
      </c>
      <c r="K2" s="373" t="s">
        <v>53</v>
      </c>
      <c r="L2" s="373" t="s">
        <v>4</v>
      </c>
      <c r="M2" s="384"/>
    </row>
    <row r="3" spans="3:13" s="164" customFormat="1" ht="20.100000000000001" customHeight="1" x14ac:dyDescent="0.25">
      <c r="C3" s="611" t="s">
        <v>854</v>
      </c>
      <c r="D3" s="374" t="s">
        <v>9</v>
      </c>
      <c r="E3" s="375">
        <v>1285</v>
      </c>
      <c r="F3" s="375">
        <v>1567</v>
      </c>
      <c r="G3" s="375">
        <v>4</v>
      </c>
      <c r="H3" s="375">
        <v>1327</v>
      </c>
      <c r="I3" s="375">
        <v>533</v>
      </c>
      <c r="J3" s="375">
        <v>0</v>
      </c>
      <c r="K3" s="375">
        <v>517</v>
      </c>
      <c r="L3" s="375">
        <f>SUM(E3:K3)</f>
        <v>5233</v>
      </c>
      <c r="M3" s="384"/>
    </row>
    <row r="4" spans="3:13" s="164" customFormat="1" ht="20.100000000000001" customHeight="1" x14ac:dyDescent="0.25">
      <c r="C4" s="612"/>
      <c r="D4" s="374" t="s">
        <v>10</v>
      </c>
      <c r="E4" s="375">
        <v>1472</v>
      </c>
      <c r="F4" s="375">
        <v>878</v>
      </c>
      <c r="G4" s="375">
        <v>0</v>
      </c>
      <c r="H4" s="375">
        <v>442</v>
      </c>
      <c r="I4" s="375">
        <v>115</v>
      </c>
      <c r="J4" s="375">
        <v>1</v>
      </c>
      <c r="K4" s="375">
        <v>232</v>
      </c>
      <c r="L4" s="375">
        <f t="shared" ref="L4:L31" si="0">SUM(E4:K4)</f>
        <v>3140</v>
      </c>
      <c r="M4" s="384"/>
    </row>
    <row r="5" spans="3:13" s="164" customFormat="1" ht="20.100000000000001" customHeight="1" x14ac:dyDescent="0.25">
      <c r="C5" s="613"/>
      <c r="D5" s="374" t="s">
        <v>845</v>
      </c>
      <c r="E5" s="375">
        <f t="shared" ref="E5" si="1">SUM(E3:E4)</f>
        <v>2757</v>
      </c>
      <c r="F5" s="375">
        <f>SUM(F3:F4)</f>
        <v>2445</v>
      </c>
      <c r="G5" s="375">
        <f t="shared" ref="G5:L5" si="2">SUM(G3:G4)</f>
        <v>4</v>
      </c>
      <c r="H5" s="375">
        <f t="shared" si="2"/>
        <v>1769</v>
      </c>
      <c r="I5" s="375">
        <f t="shared" si="2"/>
        <v>648</v>
      </c>
      <c r="J5" s="375">
        <f t="shared" si="2"/>
        <v>1</v>
      </c>
      <c r="K5" s="375">
        <f t="shared" si="2"/>
        <v>749</v>
      </c>
      <c r="L5" s="375">
        <f t="shared" si="2"/>
        <v>8373</v>
      </c>
      <c r="M5" s="384"/>
    </row>
    <row r="6" spans="3:13" s="164" customFormat="1" ht="20.100000000000001" customHeight="1" x14ac:dyDescent="0.25">
      <c r="C6" s="611" t="s">
        <v>853</v>
      </c>
      <c r="D6" s="374" t="s">
        <v>9</v>
      </c>
      <c r="E6" s="375">
        <v>378</v>
      </c>
      <c r="F6" s="375">
        <v>251</v>
      </c>
      <c r="G6" s="375">
        <v>1</v>
      </c>
      <c r="H6" s="375">
        <v>469</v>
      </c>
      <c r="I6" s="375">
        <v>247</v>
      </c>
      <c r="J6" s="375">
        <v>1</v>
      </c>
      <c r="K6" s="375">
        <v>152</v>
      </c>
      <c r="L6" s="375">
        <f t="shared" si="0"/>
        <v>1499</v>
      </c>
      <c r="M6" s="384"/>
    </row>
    <row r="7" spans="3:13" s="164" customFormat="1" ht="20.100000000000001" customHeight="1" x14ac:dyDescent="0.25">
      <c r="C7" s="612"/>
      <c r="D7" s="374" t="s">
        <v>10</v>
      </c>
      <c r="E7" s="375">
        <v>107</v>
      </c>
      <c r="F7" s="375">
        <v>213</v>
      </c>
      <c r="G7" s="375">
        <v>0</v>
      </c>
      <c r="H7" s="375">
        <v>358</v>
      </c>
      <c r="I7" s="375">
        <v>106</v>
      </c>
      <c r="J7" s="375">
        <v>1</v>
      </c>
      <c r="K7" s="375">
        <v>17</v>
      </c>
      <c r="L7" s="375">
        <f t="shared" si="0"/>
        <v>802</v>
      </c>
      <c r="M7" s="384"/>
    </row>
    <row r="8" spans="3:13" s="164" customFormat="1" ht="20.100000000000001" customHeight="1" x14ac:dyDescent="0.25">
      <c r="C8" s="613"/>
      <c r="D8" s="374" t="s">
        <v>845</v>
      </c>
      <c r="E8" s="375">
        <f t="shared" ref="E8" si="3">SUM(E6:E7)</f>
        <v>485</v>
      </c>
      <c r="F8" s="375">
        <f>SUM(F6:F7)</f>
        <v>464</v>
      </c>
      <c r="G8" s="375">
        <f t="shared" ref="G8:L8" si="4">SUM(G6:G7)</f>
        <v>1</v>
      </c>
      <c r="H8" s="375">
        <f t="shared" si="4"/>
        <v>827</v>
      </c>
      <c r="I8" s="375">
        <f t="shared" si="4"/>
        <v>353</v>
      </c>
      <c r="J8" s="375">
        <f t="shared" si="4"/>
        <v>2</v>
      </c>
      <c r="K8" s="375">
        <f t="shared" si="4"/>
        <v>169</v>
      </c>
      <c r="L8" s="375">
        <f t="shared" si="4"/>
        <v>2301</v>
      </c>
      <c r="M8" s="384"/>
    </row>
    <row r="9" spans="3:13" s="164" customFormat="1" ht="20.100000000000001" customHeight="1" x14ac:dyDescent="0.25">
      <c r="C9" s="611" t="s">
        <v>878</v>
      </c>
      <c r="D9" s="374" t="s">
        <v>9</v>
      </c>
      <c r="E9" s="375">
        <v>2113</v>
      </c>
      <c r="F9" s="375">
        <v>5398</v>
      </c>
      <c r="G9" s="375">
        <v>7</v>
      </c>
      <c r="H9" s="375">
        <v>2893</v>
      </c>
      <c r="I9" s="375">
        <v>312</v>
      </c>
      <c r="J9" s="375">
        <v>0</v>
      </c>
      <c r="K9" s="375">
        <v>850</v>
      </c>
      <c r="L9" s="375">
        <f t="shared" si="0"/>
        <v>11573</v>
      </c>
      <c r="M9" s="384"/>
    </row>
    <row r="10" spans="3:13" s="164" customFormat="1" ht="20.100000000000001" customHeight="1" x14ac:dyDescent="0.25">
      <c r="C10" s="612"/>
      <c r="D10" s="374" t="s">
        <v>10</v>
      </c>
      <c r="E10" s="375">
        <v>644</v>
      </c>
      <c r="F10" s="375">
        <v>769</v>
      </c>
      <c r="G10" s="375">
        <v>0</v>
      </c>
      <c r="H10" s="375">
        <v>732</v>
      </c>
      <c r="I10" s="375">
        <v>76</v>
      </c>
      <c r="J10" s="375">
        <v>0</v>
      </c>
      <c r="K10" s="375">
        <v>102</v>
      </c>
      <c r="L10" s="375">
        <f t="shared" si="0"/>
        <v>2323</v>
      </c>
      <c r="M10" s="384"/>
    </row>
    <row r="11" spans="3:13" s="164" customFormat="1" ht="20.100000000000001" customHeight="1" x14ac:dyDescent="0.25">
      <c r="C11" s="613"/>
      <c r="D11" s="374" t="s">
        <v>845</v>
      </c>
      <c r="E11" s="375">
        <f t="shared" ref="E11" si="5">SUM(E9:E10)</f>
        <v>2757</v>
      </c>
      <c r="F11" s="375">
        <f>SUM(F9:F10)</f>
        <v>6167</v>
      </c>
      <c r="G11" s="375">
        <f t="shared" ref="G11:L11" si="6">SUM(G9:G10)</f>
        <v>7</v>
      </c>
      <c r="H11" s="375">
        <f t="shared" si="6"/>
        <v>3625</v>
      </c>
      <c r="I11" s="375">
        <f t="shared" si="6"/>
        <v>388</v>
      </c>
      <c r="J11" s="375">
        <f t="shared" si="6"/>
        <v>0</v>
      </c>
      <c r="K11" s="375">
        <f t="shared" si="6"/>
        <v>952</v>
      </c>
      <c r="L11" s="375">
        <f t="shared" si="6"/>
        <v>13896</v>
      </c>
      <c r="M11" s="384"/>
    </row>
    <row r="12" spans="3:13" s="164" customFormat="1" ht="20.100000000000001" customHeight="1" x14ac:dyDescent="0.25">
      <c r="C12" s="611" t="s">
        <v>851</v>
      </c>
      <c r="D12" s="374" t="s">
        <v>9</v>
      </c>
      <c r="E12" s="375">
        <v>1585</v>
      </c>
      <c r="F12" s="375">
        <v>4287</v>
      </c>
      <c r="G12" s="375">
        <v>6</v>
      </c>
      <c r="H12" s="375">
        <v>1723</v>
      </c>
      <c r="I12" s="375">
        <v>475</v>
      </c>
      <c r="J12" s="375">
        <v>0</v>
      </c>
      <c r="K12" s="375">
        <v>637</v>
      </c>
      <c r="L12" s="375">
        <f t="shared" si="0"/>
        <v>8713</v>
      </c>
      <c r="M12" s="384"/>
    </row>
    <row r="13" spans="3:13" s="164" customFormat="1" ht="20.100000000000001" customHeight="1" x14ac:dyDescent="0.25">
      <c r="C13" s="612"/>
      <c r="D13" s="374" t="s">
        <v>10</v>
      </c>
      <c r="E13" s="375">
        <v>420</v>
      </c>
      <c r="F13" s="375">
        <v>634</v>
      </c>
      <c r="G13" s="375">
        <v>0</v>
      </c>
      <c r="H13" s="375">
        <v>695</v>
      </c>
      <c r="I13" s="375">
        <v>134</v>
      </c>
      <c r="J13" s="375">
        <v>1</v>
      </c>
      <c r="K13" s="375">
        <v>66</v>
      </c>
      <c r="L13" s="375">
        <f t="shared" si="0"/>
        <v>1950</v>
      </c>
      <c r="M13" s="384"/>
    </row>
    <row r="14" spans="3:13" s="164" customFormat="1" ht="20.100000000000001" customHeight="1" x14ac:dyDescent="0.25">
      <c r="C14" s="613"/>
      <c r="D14" s="374" t="s">
        <v>845</v>
      </c>
      <c r="E14" s="375">
        <f t="shared" ref="E14" si="7">SUM(E12:E13)</f>
        <v>2005</v>
      </c>
      <c r="F14" s="375">
        <f>SUM(F12:F13)</f>
        <v>4921</v>
      </c>
      <c r="G14" s="375">
        <f t="shared" ref="G14:L14" si="8">SUM(G12:G13)</f>
        <v>6</v>
      </c>
      <c r="H14" s="375">
        <f t="shared" si="8"/>
        <v>2418</v>
      </c>
      <c r="I14" s="375">
        <f t="shared" si="8"/>
        <v>609</v>
      </c>
      <c r="J14" s="375">
        <f t="shared" si="8"/>
        <v>1</v>
      </c>
      <c r="K14" s="375">
        <f t="shared" si="8"/>
        <v>703</v>
      </c>
      <c r="L14" s="375">
        <f t="shared" si="8"/>
        <v>10663</v>
      </c>
      <c r="M14" s="384"/>
    </row>
    <row r="15" spans="3:13" s="164" customFormat="1" ht="20.100000000000001" customHeight="1" x14ac:dyDescent="0.25">
      <c r="C15" s="611" t="s">
        <v>850</v>
      </c>
      <c r="D15" s="374" t="s">
        <v>9</v>
      </c>
      <c r="E15" s="375">
        <v>1207</v>
      </c>
      <c r="F15" s="375">
        <v>5356</v>
      </c>
      <c r="G15" s="375">
        <v>4</v>
      </c>
      <c r="H15" s="375">
        <v>927</v>
      </c>
      <c r="I15" s="375">
        <v>264</v>
      </c>
      <c r="J15" s="375">
        <v>0</v>
      </c>
      <c r="K15" s="375">
        <v>485</v>
      </c>
      <c r="L15" s="375">
        <f t="shared" si="0"/>
        <v>8243</v>
      </c>
      <c r="M15" s="384"/>
    </row>
    <row r="16" spans="3:13" s="164" customFormat="1" ht="20.100000000000001" customHeight="1" x14ac:dyDescent="0.25">
      <c r="C16" s="612"/>
      <c r="D16" s="374" t="s">
        <v>10</v>
      </c>
      <c r="E16" s="375">
        <v>65</v>
      </c>
      <c r="F16" s="375">
        <v>206</v>
      </c>
      <c r="G16" s="375">
        <v>0</v>
      </c>
      <c r="H16" s="375">
        <v>75</v>
      </c>
      <c r="I16" s="375">
        <v>16</v>
      </c>
      <c r="J16" s="375">
        <v>0</v>
      </c>
      <c r="K16" s="375">
        <v>10</v>
      </c>
      <c r="L16" s="375">
        <f t="shared" si="0"/>
        <v>372</v>
      </c>
      <c r="M16" s="384"/>
    </row>
    <row r="17" spans="3:13" s="164" customFormat="1" ht="20.100000000000001" customHeight="1" x14ac:dyDescent="0.25">
      <c r="C17" s="613"/>
      <c r="D17" s="374" t="s">
        <v>845</v>
      </c>
      <c r="E17" s="375">
        <f t="shared" ref="E17" si="9">SUM(E15:E16)</f>
        <v>1272</v>
      </c>
      <c r="F17" s="375">
        <f>SUM(F15:F16)</f>
        <v>5562</v>
      </c>
      <c r="G17" s="375">
        <f t="shared" ref="G17:L17" si="10">SUM(G15:G16)</f>
        <v>4</v>
      </c>
      <c r="H17" s="375">
        <f t="shared" si="10"/>
        <v>1002</v>
      </c>
      <c r="I17" s="375">
        <f t="shared" si="10"/>
        <v>280</v>
      </c>
      <c r="J17" s="375">
        <f t="shared" si="10"/>
        <v>0</v>
      </c>
      <c r="K17" s="375">
        <f t="shared" si="10"/>
        <v>495</v>
      </c>
      <c r="L17" s="375">
        <f t="shared" si="10"/>
        <v>8615</v>
      </c>
      <c r="M17" s="384"/>
    </row>
    <row r="18" spans="3:13" s="164" customFormat="1" ht="20.100000000000001" customHeight="1" x14ac:dyDescent="0.25">
      <c r="C18" s="611" t="s">
        <v>849</v>
      </c>
      <c r="D18" s="374" t="s">
        <v>9</v>
      </c>
      <c r="E18" s="375">
        <v>565</v>
      </c>
      <c r="F18" s="375">
        <v>4658</v>
      </c>
      <c r="G18" s="375">
        <v>1</v>
      </c>
      <c r="H18" s="375">
        <v>725</v>
      </c>
      <c r="I18" s="375">
        <v>268</v>
      </c>
      <c r="J18" s="375">
        <v>992</v>
      </c>
      <c r="K18" s="375">
        <v>228</v>
      </c>
      <c r="L18" s="375">
        <f t="shared" si="0"/>
        <v>7437</v>
      </c>
      <c r="M18" s="384"/>
    </row>
    <row r="19" spans="3:13" s="164" customFormat="1" ht="20.100000000000001" customHeight="1" x14ac:dyDescent="0.25">
      <c r="C19" s="612"/>
      <c r="D19" s="374" t="s">
        <v>10</v>
      </c>
      <c r="E19" s="375">
        <v>367</v>
      </c>
      <c r="F19" s="375">
        <v>1391</v>
      </c>
      <c r="G19" s="375">
        <v>0</v>
      </c>
      <c r="H19" s="375">
        <v>531</v>
      </c>
      <c r="I19" s="375">
        <v>149</v>
      </c>
      <c r="J19" s="375">
        <v>221</v>
      </c>
      <c r="K19" s="375">
        <v>59</v>
      </c>
      <c r="L19" s="375">
        <f t="shared" si="0"/>
        <v>2718</v>
      </c>
      <c r="M19" s="384"/>
    </row>
    <row r="20" spans="3:13" s="164" customFormat="1" ht="20.100000000000001" customHeight="1" x14ac:dyDescent="0.25">
      <c r="C20" s="613"/>
      <c r="D20" s="374" t="s">
        <v>845</v>
      </c>
      <c r="E20" s="375">
        <f t="shared" ref="E20" si="11">SUM(E18:E19)</f>
        <v>932</v>
      </c>
      <c r="F20" s="375">
        <f>SUM(F18:F19)</f>
        <v>6049</v>
      </c>
      <c r="G20" s="375">
        <f t="shared" ref="G20:L20" si="12">SUM(G18:G19)</f>
        <v>1</v>
      </c>
      <c r="H20" s="375">
        <f t="shared" si="12"/>
        <v>1256</v>
      </c>
      <c r="I20" s="375">
        <f t="shared" si="12"/>
        <v>417</v>
      </c>
      <c r="J20" s="375">
        <f t="shared" si="12"/>
        <v>1213</v>
      </c>
      <c r="K20" s="375">
        <f t="shared" si="12"/>
        <v>287</v>
      </c>
      <c r="L20" s="375">
        <f t="shared" si="12"/>
        <v>10155</v>
      </c>
      <c r="M20" s="384"/>
    </row>
    <row r="21" spans="3:13" s="164" customFormat="1" ht="20.100000000000001" customHeight="1" x14ac:dyDescent="0.25">
      <c r="C21" s="611" t="s">
        <v>848</v>
      </c>
      <c r="D21" s="374" t="s">
        <v>9</v>
      </c>
      <c r="E21" s="376">
        <v>21</v>
      </c>
      <c r="F21" s="376">
        <v>3</v>
      </c>
      <c r="G21" s="375">
        <v>0</v>
      </c>
      <c r="H21" s="376">
        <v>7</v>
      </c>
      <c r="I21" s="376">
        <v>21</v>
      </c>
      <c r="J21" s="376">
        <v>0</v>
      </c>
      <c r="K21" s="376">
        <v>0</v>
      </c>
      <c r="L21" s="375">
        <f t="shared" si="0"/>
        <v>52</v>
      </c>
      <c r="M21" s="384"/>
    </row>
    <row r="22" spans="3:13" s="164" customFormat="1" ht="20.100000000000001" customHeight="1" x14ac:dyDescent="0.25">
      <c r="C22" s="612"/>
      <c r="D22" s="374" t="s">
        <v>10</v>
      </c>
      <c r="E22" s="376">
        <v>0</v>
      </c>
      <c r="F22" s="376">
        <v>0</v>
      </c>
      <c r="G22" s="375">
        <v>0</v>
      </c>
      <c r="H22" s="376">
        <v>0</v>
      </c>
      <c r="I22" s="376">
        <v>0</v>
      </c>
      <c r="J22" s="376">
        <v>0</v>
      </c>
      <c r="K22" s="376">
        <v>0</v>
      </c>
      <c r="L22" s="375">
        <f t="shared" si="0"/>
        <v>0</v>
      </c>
      <c r="M22" s="384"/>
    </row>
    <row r="23" spans="3:13" s="164" customFormat="1" ht="20.100000000000001" customHeight="1" x14ac:dyDescent="0.25">
      <c r="C23" s="613"/>
      <c r="D23" s="374" t="s">
        <v>845</v>
      </c>
      <c r="E23" s="376">
        <f t="shared" ref="E23" si="13">SUM(E21:E22)</f>
        <v>21</v>
      </c>
      <c r="F23" s="376">
        <f>SUM(F21:F22)</f>
        <v>3</v>
      </c>
      <c r="G23" s="376">
        <f t="shared" ref="G23:L23" si="14">SUM(G21:G22)</f>
        <v>0</v>
      </c>
      <c r="H23" s="376">
        <f t="shared" si="14"/>
        <v>7</v>
      </c>
      <c r="I23" s="376">
        <f t="shared" si="14"/>
        <v>21</v>
      </c>
      <c r="J23" s="376">
        <f t="shared" si="14"/>
        <v>0</v>
      </c>
      <c r="K23" s="376">
        <f t="shared" si="14"/>
        <v>0</v>
      </c>
      <c r="L23" s="375">
        <f t="shared" si="14"/>
        <v>52</v>
      </c>
      <c r="M23" s="384"/>
    </row>
    <row r="24" spans="3:13" s="164" customFormat="1" ht="20.100000000000001" customHeight="1" x14ac:dyDescent="0.25">
      <c r="C24" s="611" t="s">
        <v>51</v>
      </c>
      <c r="D24" s="374" t="s">
        <v>9</v>
      </c>
      <c r="E24" s="375">
        <v>1070</v>
      </c>
      <c r="F24" s="375">
        <v>583</v>
      </c>
      <c r="G24" s="375">
        <v>0</v>
      </c>
      <c r="H24" s="375">
        <v>318</v>
      </c>
      <c r="I24" s="375">
        <v>119</v>
      </c>
      <c r="J24" s="375">
        <v>0</v>
      </c>
      <c r="K24" s="375">
        <v>6</v>
      </c>
      <c r="L24" s="375">
        <f t="shared" si="0"/>
        <v>2096</v>
      </c>
      <c r="M24" s="384"/>
    </row>
    <row r="25" spans="3:13" s="164" customFormat="1" ht="20.100000000000001" customHeight="1" x14ac:dyDescent="0.25">
      <c r="C25" s="612"/>
      <c r="D25" s="374" t="s">
        <v>10</v>
      </c>
      <c r="E25" s="375">
        <v>103</v>
      </c>
      <c r="F25" s="375">
        <v>52</v>
      </c>
      <c r="G25" s="375">
        <v>0</v>
      </c>
      <c r="H25" s="375">
        <v>63</v>
      </c>
      <c r="I25" s="375">
        <v>13</v>
      </c>
      <c r="J25" s="375">
        <v>0</v>
      </c>
      <c r="K25" s="375">
        <v>1</v>
      </c>
      <c r="L25" s="375">
        <f t="shared" si="0"/>
        <v>232</v>
      </c>
      <c r="M25" s="384"/>
    </row>
    <row r="26" spans="3:13" s="164" customFormat="1" ht="20.100000000000001" customHeight="1" x14ac:dyDescent="0.25">
      <c r="C26" s="613"/>
      <c r="D26" s="374" t="s">
        <v>845</v>
      </c>
      <c r="E26" s="376">
        <f t="shared" ref="E26" si="15">SUM(E24:E25)</f>
        <v>1173</v>
      </c>
      <c r="F26" s="376">
        <f>SUM(F24:F25)</f>
        <v>635</v>
      </c>
      <c r="G26" s="376">
        <f t="shared" ref="G26:L26" si="16">SUM(G24:G25)</f>
        <v>0</v>
      </c>
      <c r="H26" s="376">
        <f t="shared" si="16"/>
        <v>381</v>
      </c>
      <c r="I26" s="376">
        <f t="shared" si="16"/>
        <v>132</v>
      </c>
      <c r="J26" s="376">
        <f t="shared" si="16"/>
        <v>0</v>
      </c>
      <c r="K26" s="376">
        <f t="shared" si="16"/>
        <v>7</v>
      </c>
      <c r="L26" s="375">
        <f t="shared" si="16"/>
        <v>2328</v>
      </c>
      <c r="M26" s="384"/>
    </row>
    <row r="27" spans="3:13" s="164" customFormat="1" ht="20.100000000000001" customHeight="1" x14ac:dyDescent="0.25">
      <c r="C27" s="611" t="s">
        <v>847</v>
      </c>
      <c r="D27" s="374" t="s">
        <v>9</v>
      </c>
      <c r="E27" s="375">
        <v>25</v>
      </c>
      <c r="F27" s="375">
        <v>45</v>
      </c>
      <c r="G27" s="375">
        <v>0</v>
      </c>
      <c r="H27" s="375">
        <v>6</v>
      </c>
      <c r="I27" s="375">
        <v>7</v>
      </c>
      <c r="J27" s="375">
        <v>0</v>
      </c>
      <c r="K27" s="375">
        <v>1</v>
      </c>
      <c r="L27" s="375">
        <f t="shared" si="0"/>
        <v>84</v>
      </c>
      <c r="M27" s="384"/>
    </row>
    <row r="28" spans="3:13" s="164" customFormat="1" ht="20.100000000000001" customHeight="1" x14ac:dyDescent="0.25">
      <c r="C28" s="612"/>
      <c r="D28" s="374" t="s">
        <v>10</v>
      </c>
      <c r="E28" s="375">
        <v>103</v>
      </c>
      <c r="F28" s="375">
        <v>38</v>
      </c>
      <c r="G28" s="375">
        <v>0</v>
      </c>
      <c r="H28" s="375">
        <v>33</v>
      </c>
      <c r="I28" s="375">
        <v>16</v>
      </c>
      <c r="J28" s="375">
        <v>0</v>
      </c>
      <c r="K28" s="375">
        <v>5</v>
      </c>
      <c r="L28" s="375">
        <f t="shared" si="0"/>
        <v>195</v>
      </c>
      <c r="M28" s="384"/>
    </row>
    <row r="29" spans="3:13" s="164" customFormat="1" ht="20.100000000000001" customHeight="1" x14ac:dyDescent="0.25">
      <c r="C29" s="613"/>
      <c r="D29" s="374" t="s">
        <v>845</v>
      </c>
      <c r="E29" s="376">
        <f t="shared" ref="E29" si="17">SUM(E27:E28)</f>
        <v>128</v>
      </c>
      <c r="F29" s="376">
        <f>SUM(F27:F28)</f>
        <v>83</v>
      </c>
      <c r="G29" s="376">
        <f t="shared" ref="G29:L29" si="18">SUM(G27:G28)</f>
        <v>0</v>
      </c>
      <c r="H29" s="376">
        <f t="shared" si="18"/>
        <v>39</v>
      </c>
      <c r="I29" s="376">
        <f t="shared" si="18"/>
        <v>23</v>
      </c>
      <c r="J29" s="376">
        <f t="shared" si="18"/>
        <v>0</v>
      </c>
      <c r="K29" s="376">
        <f t="shared" si="18"/>
        <v>6</v>
      </c>
      <c r="L29" s="375">
        <f t="shared" si="18"/>
        <v>279</v>
      </c>
      <c r="M29" s="384"/>
    </row>
    <row r="30" spans="3:13" s="164" customFormat="1" ht="20.100000000000001" customHeight="1" x14ac:dyDescent="0.25">
      <c r="C30" s="611" t="s">
        <v>846</v>
      </c>
      <c r="D30" s="374" t="s">
        <v>9</v>
      </c>
      <c r="E30" s="375">
        <v>501</v>
      </c>
      <c r="F30" s="375">
        <v>319</v>
      </c>
      <c r="G30" s="375">
        <v>5</v>
      </c>
      <c r="H30" s="375">
        <v>110</v>
      </c>
      <c r="I30" s="375">
        <v>23</v>
      </c>
      <c r="J30" s="375">
        <v>11</v>
      </c>
      <c r="K30" s="375">
        <v>645</v>
      </c>
      <c r="L30" s="375">
        <f t="shared" si="0"/>
        <v>1614</v>
      </c>
      <c r="M30" s="384"/>
    </row>
    <row r="31" spans="3:13" s="164" customFormat="1" ht="20.100000000000001" customHeight="1" x14ac:dyDescent="0.25">
      <c r="C31" s="612"/>
      <c r="D31" s="374" t="s">
        <v>10</v>
      </c>
      <c r="E31" s="375">
        <v>261</v>
      </c>
      <c r="F31" s="375">
        <v>26</v>
      </c>
      <c r="G31" s="375">
        <v>0</v>
      </c>
      <c r="H31" s="375">
        <v>66</v>
      </c>
      <c r="I31" s="375">
        <v>11</v>
      </c>
      <c r="J31" s="375">
        <v>2</v>
      </c>
      <c r="K31" s="375">
        <v>68</v>
      </c>
      <c r="L31" s="375">
        <f t="shared" si="0"/>
        <v>434</v>
      </c>
      <c r="M31" s="384"/>
    </row>
    <row r="32" spans="3:13" s="164" customFormat="1" ht="20.100000000000001" customHeight="1" x14ac:dyDescent="0.25">
      <c r="C32" s="613"/>
      <c r="D32" s="374" t="s">
        <v>845</v>
      </c>
      <c r="E32" s="376">
        <f t="shared" ref="E32" si="19">SUM(E30:E31)</f>
        <v>762</v>
      </c>
      <c r="F32" s="376">
        <f>SUM(F30:F31)</f>
        <v>345</v>
      </c>
      <c r="G32" s="376">
        <f t="shared" ref="G32:L32" si="20">SUM(G30:G31)</f>
        <v>5</v>
      </c>
      <c r="H32" s="376">
        <f t="shared" si="20"/>
        <v>176</v>
      </c>
      <c r="I32" s="376">
        <f t="shared" si="20"/>
        <v>34</v>
      </c>
      <c r="J32" s="376">
        <f t="shared" si="20"/>
        <v>13</v>
      </c>
      <c r="K32" s="376">
        <f t="shared" si="20"/>
        <v>713</v>
      </c>
      <c r="L32" s="375">
        <f t="shared" si="20"/>
        <v>2048</v>
      </c>
      <c r="M32" s="384"/>
    </row>
    <row r="33" spans="3:13" s="164" customFormat="1" ht="20.100000000000001" customHeight="1" x14ac:dyDescent="0.25">
      <c r="C33" s="611" t="s">
        <v>575</v>
      </c>
      <c r="D33" s="374" t="s">
        <v>9</v>
      </c>
      <c r="E33" s="375">
        <f>E3+E6+E9+E12+E15+E18+E21+E24+E27+E30</f>
        <v>8750</v>
      </c>
      <c r="F33" s="375">
        <f t="shared" ref="F33:L33" si="21">F3+F6+F9+F12+F15+F18+F21+F24+F27+F30</f>
        <v>22467</v>
      </c>
      <c r="G33" s="375">
        <f t="shared" si="21"/>
        <v>28</v>
      </c>
      <c r="H33" s="375">
        <f t="shared" si="21"/>
        <v>8505</v>
      </c>
      <c r="I33" s="375">
        <f t="shared" si="21"/>
        <v>2269</v>
      </c>
      <c r="J33" s="375">
        <f t="shared" si="21"/>
        <v>1004</v>
      </c>
      <c r="K33" s="375">
        <f t="shared" si="21"/>
        <v>3521</v>
      </c>
      <c r="L33" s="375">
        <f t="shared" si="21"/>
        <v>46544</v>
      </c>
      <c r="M33" s="384"/>
    </row>
    <row r="34" spans="3:13" s="164" customFormat="1" ht="20.100000000000001" customHeight="1" x14ac:dyDescent="0.25">
      <c r="C34" s="612"/>
      <c r="D34" s="374" t="s">
        <v>10</v>
      </c>
      <c r="E34" s="375">
        <f t="shared" ref="E34:L35" si="22">E4+E7+E10+E13+E16+E19+E22+E25+E28+E31</f>
        <v>3542</v>
      </c>
      <c r="F34" s="375">
        <f t="shared" si="22"/>
        <v>4207</v>
      </c>
      <c r="G34" s="375">
        <f t="shared" si="22"/>
        <v>0</v>
      </c>
      <c r="H34" s="375">
        <f t="shared" si="22"/>
        <v>2995</v>
      </c>
      <c r="I34" s="375">
        <f t="shared" si="22"/>
        <v>636</v>
      </c>
      <c r="J34" s="375">
        <f t="shared" si="22"/>
        <v>226</v>
      </c>
      <c r="K34" s="375">
        <f t="shared" si="22"/>
        <v>560</v>
      </c>
      <c r="L34" s="375">
        <f t="shared" si="22"/>
        <v>12166</v>
      </c>
      <c r="M34" s="384"/>
    </row>
    <row r="35" spans="3:13" s="164" customFormat="1" ht="20.100000000000001" customHeight="1" x14ac:dyDescent="0.25">
      <c r="C35" s="613"/>
      <c r="D35" s="374" t="s">
        <v>845</v>
      </c>
      <c r="E35" s="375">
        <f t="shared" si="22"/>
        <v>12292</v>
      </c>
      <c r="F35" s="375">
        <f t="shared" si="22"/>
        <v>26674</v>
      </c>
      <c r="G35" s="375">
        <f t="shared" si="22"/>
        <v>28</v>
      </c>
      <c r="H35" s="375">
        <f t="shared" si="22"/>
        <v>11500</v>
      </c>
      <c r="I35" s="375">
        <f t="shared" si="22"/>
        <v>2905</v>
      </c>
      <c r="J35" s="375">
        <f t="shared" si="22"/>
        <v>1230</v>
      </c>
      <c r="K35" s="375">
        <f t="shared" si="22"/>
        <v>4081</v>
      </c>
      <c r="L35" s="375">
        <f t="shared" si="22"/>
        <v>58710</v>
      </c>
      <c r="M35" s="384"/>
    </row>
    <row r="36" spans="3:13" s="164" customFormat="1" ht="20.100000000000001" customHeight="1" x14ac:dyDescent="0.25">
      <c r="C36" s="384"/>
      <c r="D36" s="384"/>
      <c r="E36" s="384"/>
      <c r="F36" s="384"/>
      <c r="G36" s="384"/>
      <c r="H36" s="384"/>
      <c r="I36" s="384"/>
      <c r="J36" s="384"/>
      <c r="K36" s="384"/>
      <c r="L36" s="384"/>
      <c r="M36" s="384"/>
    </row>
    <row r="37" spans="3:13" s="164" customFormat="1" ht="20.100000000000001" customHeight="1" x14ac:dyDescent="0.25">
      <c r="C37" s="384"/>
      <c r="D37" s="384"/>
      <c r="E37" s="384"/>
      <c r="F37" s="384"/>
      <c r="G37" s="384"/>
      <c r="H37" s="384"/>
      <c r="I37" s="384"/>
      <c r="J37" s="384"/>
      <c r="K37" s="384"/>
      <c r="L37" s="384"/>
      <c r="M37" s="384"/>
    </row>
    <row r="38" spans="3:13" s="164" customFormat="1" ht="20.100000000000001" customHeight="1" x14ac:dyDescent="0.25">
      <c r="C38" s="384"/>
      <c r="D38" s="384"/>
      <c r="E38" s="384"/>
      <c r="F38" s="384"/>
      <c r="G38" s="384"/>
      <c r="H38" s="384"/>
      <c r="I38" s="384"/>
      <c r="J38" s="384"/>
      <c r="K38" s="384"/>
      <c r="L38" s="384"/>
      <c r="M38" s="384"/>
    </row>
    <row r="39" spans="3:13" s="164" customFormat="1" ht="20.100000000000001" customHeight="1" x14ac:dyDescent="0.25">
      <c r="C39" s="384"/>
      <c r="D39" s="384"/>
      <c r="E39" s="384"/>
      <c r="F39" s="384"/>
      <c r="G39" s="384"/>
      <c r="H39" s="384"/>
      <c r="I39" s="384"/>
      <c r="J39" s="384"/>
      <c r="K39" s="384"/>
      <c r="L39" s="384"/>
      <c r="M39" s="384"/>
    </row>
    <row r="40" spans="3:13" s="164" customFormat="1" ht="20.100000000000001" customHeight="1" x14ac:dyDescent="0.25">
      <c r="C40" s="384"/>
      <c r="D40" s="384"/>
      <c r="E40" s="384"/>
      <c r="F40" s="384"/>
      <c r="G40" s="384"/>
      <c r="H40" s="384"/>
      <c r="I40" s="384"/>
      <c r="J40" s="384"/>
      <c r="K40" s="384"/>
      <c r="L40" s="384"/>
      <c r="M40" s="384"/>
    </row>
    <row r="41" spans="3:13" s="164" customFormat="1" ht="20.100000000000001" customHeight="1" x14ac:dyDescent="0.25">
      <c r="C41" s="384"/>
      <c r="D41" s="384"/>
      <c r="E41" s="384"/>
      <c r="F41" s="384"/>
      <c r="G41" s="384"/>
      <c r="H41" s="384"/>
      <c r="I41" s="384"/>
      <c r="J41" s="384"/>
      <c r="K41" s="384"/>
      <c r="L41" s="384"/>
      <c r="M41" s="384"/>
    </row>
    <row r="42" spans="3:13" s="164" customFormat="1" ht="20.100000000000001" customHeight="1" x14ac:dyDescent="0.25">
      <c r="C42" s="384"/>
      <c r="D42" s="384"/>
      <c r="E42" s="384"/>
      <c r="F42" s="384"/>
      <c r="G42" s="384"/>
      <c r="H42" s="384"/>
      <c r="I42" s="384"/>
      <c r="J42" s="384"/>
      <c r="K42" s="384"/>
      <c r="L42" s="384"/>
      <c r="M42" s="384"/>
    </row>
    <row r="43" spans="3:13" s="164" customFormat="1" ht="20.100000000000001" customHeight="1" x14ac:dyDescent="0.25">
      <c r="C43" s="384"/>
      <c r="D43" s="384"/>
      <c r="E43" s="384"/>
      <c r="F43" s="384"/>
      <c r="G43" s="384"/>
      <c r="H43" s="384"/>
      <c r="I43" s="384"/>
      <c r="J43" s="384"/>
      <c r="K43" s="384"/>
      <c r="L43" s="384"/>
      <c r="M43" s="384"/>
    </row>
    <row r="44" spans="3:13" s="164" customFormat="1" ht="20.100000000000001" customHeight="1" x14ac:dyDescent="0.25">
      <c r="C44" s="384"/>
      <c r="D44" s="384"/>
      <c r="E44" s="384"/>
      <c r="F44" s="384"/>
      <c r="G44" s="384"/>
      <c r="H44" s="384"/>
      <c r="I44" s="384"/>
      <c r="J44" s="384"/>
      <c r="K44" s="384"/>
      <c r="L44" s="384"/>
      <c r="M44" s="384"/>
    </row>
    <row r="45" spans="3:13" s="164" customFormat="1" ht="20.100000000000001" customHeight="1" x14ac:dyDescent="0.25">
      <c r="C45" s="384"/>
      <c r="D45" s="384"/>
      <c r="E45" s="384"/>
      <c r="F45" s="384"/>
      <c r="G45" s="384"/>
      <c r="H45" s="384"/>
      <c r="I45" s="384"/>
      <c r="J45" s="384"/>
      <c r="K45" s="384"/>
      <c r="L45" s="384"/>
      <c r="M45" s="384"/>
    </row>
    <row r="46" spans="3:13" s="164" customFormat="1" ht="20.100000000000001" customHeight="1" x14ac:dyDescent="0.25">
      <c r="C46" s="384"/>
      <c r="D46" s="384"/>
      <c r="E46" s="384"/>
      <c r="F46" s="384"/>
      <c r="G46" s="384"/>
      <c r="H46" s="384"/>
      <c r="I46" s="384"/>
      <c r="J46" s="384"/>
      <c r="K46" s="384"/>
      <c r="L46" s="384"/>
      <c r="M46" s="384"/>
    </row>
    <row r="47" spans="3:13" s="164" customFormat="1" ht="20.100000000000001" customHeight="1" x14ac:dyDescent="0.25">
      <c r="C47" s="384"/>
      <c r="D47" s="384"/>
      <c r="E47" s="384"/>
      <c r="F47" s="384"/>
      <c r="G47" s="384"/>
      <c r="H47" s="384"/>
      <c r="I47" s="384"/>
      <c r="J47" s="384"/>
      <c r="K47" s="384"/>
      <c r="L47" s="384"/>
      <c r="M47" s="384"/>
    </row>
    <row r="48" spans="3:13" s="164" customFormat="1" ht="20.100000000000001" customHeight="1" x14ac:dyDescent="0.25">
      <c r="C48" s="384"/>
      <c r="D48" s="384"/>
      <c r="E48" s="384"/>
      <c r="F48" s="384"/>
      <c r="G48" s="384"/>
      <c r="H48" s="384"/>
      <c r="I48" s="384"/>
      <c r="J48" s="384"/>
      <c r="K48" s="384"/>
      <c r="L48" s="384"/>
      <c r="M48" s="384"/>
    </row>
    <row r="49" spans="3:13" s="164" customFormat="1" ht="20.100000000000001" customHeight="1" x14ac:dyDescent="0.25">
      <c r="C49" s="384"/>
      <c r="D49" s="384"/>
      <c r="E49" s="384"/>
      <c r="F49" s="384"/>
      <c r="G49" s="384"/>
      <c r="H49" s="384"/>
      <c r="I49" s="384"/>
      <c r="J49" s="384"/>
      <c r="K49" s="384"/>
      <c r="L49" s="384"/>
      <c r="M49" s="384"/>
    </row>
    <row r="50" spans="3:13" s="164" customFormat="1" ht="20.100000000000001" customHeight="1" x14ac:dyDescent="0.25">
      <c r="C50" s="384"/>
      <c r="D50" s="384"/>
      <c r="E50" s="384"/>
      <c r="F50" s="384"/>
      <c r="G50" s="384"/>
      <c r="H50" s="384"/>
      <c r="I50" s="384"/>
      <c r="J50" s="384"/>
      <c r="K50" s="384"/>
      <c r="L50" s="384"/>
      <c r="M50" s="384"/>
    </row>
    <row r="51" spans="3:13" s="164" customFormat="1" ht="20.100000000000001" customHeight="1" x14ac:dyDescent="0.25">
      <c r="C51" s="384"/>
      <c r="D51" s="384"/>
      <c r="E51" s="384"/>
      <c r="F51" s="384"/>
      <c r="G51" s="384"/>
      <c r="H51" s="384"/>
      <c r="I51" s="384"/>
      <c r="J51" s="384"/>
      <c r="K51" s="384"/>
      <c r="L51" s="384"/>
      <c r="M51" s="384"/>
    </row>
    <row r="52" spans="3:13" s="164" customFormat="1" ht="20.100000000000001" customHeight="1" x14ac:dyDescent="0.25">
      <c r="C52" s="384"/>
      <c r="D52" s="384"/>
      <c r="E52" s="384"/>
      <c r="F52" s="384"/>
      <c r="G52" s="384"/>
      <c r="H52" s="384"/>
      <c r="I52" s="384"/>
      <c r="J52" s="384"/>
      <c r="K52" s="384"/>
      <c r="L52" s="384"/>
      <c r="M52" s="384"/>
    </row>
    <row r="53" spans="3:13" s="164" customFormat="1" ht="20.100000000000001" customHeight="1" x14ac:dyDescent="0.25">
      <c r="C53" s="384"/>
      <c r="D53" s="384"/>
      <c r="E53" s="384"/>
      <c r="F53" s="384"/>
      <c r="G53" s="384"/>
      <c r="H53" s="384"/>
      <c r="I53" s="384"/>
      <c r="J53" s="384"/>
      <c r="K53" s="384"/>
      <c r="L53" s="384"/>
      <c r="M53" s="384"/>
    </row>
    <row r="54" spans="3:13" s="164" customFormat="1" ht="20.100000000000001" customHeight="1" x14ac:dyDescent="0.25">
      <c r="C54" s="384"/>
      <c r="D54" s="384"/>
      <c r="E54" s="384"/>
      <c r="F54" s="384"/>
      <c r="G54" s="384"/>
      <c r="H54" s="384"/>
      <c r="I54" s="384"/>
      <c r="J54" s="384"/>
      <c r="K54" s="384"/>
      <c r="L54" s="384"/>
      <c r="M54" s="384"/>
    </row>
    <row r="55" spans="3:13" s="164" customFormat="1" ht="20.100000000000001" customHeight="1" x14ac:dyDescent="0.25">
      <c r="C55" s="384"/>
      <c r="D55" s="384"/>
      <c r="E55" s="384"/>
      <c r="F55" s="384"/>
      <c r="G55" s="384"/>
      <c r="H55" s="384"/>
      <c r="I55" s="384"/>
      <c r="J55" s="384"/>
      <c r="K55" s="384"/>
      <c r="L55" s="384"/>
      <c r="M55" s="384"/>
    </row>
    <row r="56" spans="3:13" s="164" customFormat="1" ht="20.100000000000001" customHeight="1" x14ac:dyDescent="0.25">
      <c r="C56" s="384"/>
      <c r="D56" s="384"/>
      <c r="E56" s="384"/>
      <c r="F56" s="384"/>
      <c r="G56" s="384"/>
      <c r="H56" s="384"/>
      <c r="I56" s="384"/>
      <c r="J56" s="384"/>
      <c r="K56" s="384"/>
      <c r="L56" s="384"/>
      <c r="M56" s="384"/>
    </row>
    <row r="57" spans="3:13" s="164" customFormat="1" ht="20.100000000000001" customHeight="1" x14ac:dyDescent="0.25">
      <c r="C57" s="384"/>
      <c r="D57" s="384"/>
      <c r="E57" s="384"/>
      <c r="F57" s="384"/>
      <c r="G57" s="384"/>
      <c r="H57" s="384"/>
      <c r="I57" s="384"/>
      <c r="J57" s="384"/>
      <c r="K57" s="384"/>
      <c r="L57" s="384"/>
      <c r="M57" s="384"/>
    </row>
    <row r="58" spans="3:13" s="164" customFormat="1" ht="20.100000000000001" customHeight="1" x14ac:dyDescent="0.25">
      <c r="C58" s="384"/>
      <c r="D58" s="384"/>
      <c r="E58" s="384"/>
      <c r="F58" s="384"/>
      <c r="G58" s="384"/>
      <c r="H58" s="384"/>
      <c r="I58" s="384"/>
      <c r="J58" s="384"/>
      <c r="K58" s="384"/>
      <c r="L58" s="384"/>
      <c r="M58" s="384"/>
    </row>
    <row r="59" spans="3:13" s="164" customFormat="1" ht="20.100000000000001" customHeight="1" x14ac:dyDescent="0.25">
      <c r="C59" s="384"/>
      <c r="D59" s="384"/>
      <c r="E59" s="384"/>
      <c r="F59" s="384"/>
      <c r="G59" s="384"/>
      <c r="H59" s="384"/>
      <c r="I59" s="384"/>
      <c r="J59" s="384"/>
      <c r="K59" s="384"/>
      <c r="L59" s="384"/>
      <c r="M59" s="384"/>
    </row>
    <row r="60" spans="3:13" s="164" customFormat="1" ht="20.100000000000001" customHeight="1" x14ac:dyDescent="0.25">
      <c r="C60" s="384"/>
      <c r="D60" s="384"/>
      <c r="E60" s="384"/>
      <c r="F60" s="384"/>
      <c r="G60" s="384"/>
      <c r="H60" s="384"/>
      <c r="I60" s="384"/>
      <c r="J60" s="384"/>
      <c r="K60" s="384"/>
      <c r="L60" s="384"/>
      <c r="M60" s="384"/>
    </row>
    <row r="61" spans="3:13" s="164" customFormat="1" ht="20.100000000000001" customHeight="1" x14ac:dyDescent="0.25">
      <c r="C61" s="384"/>
      <c r="D61" s="384"/>
      <c r="E61" s="384"/>
      <c r="F61" s="384"/>
      <c r="G61" s="384"/>
      <c r="H61" s="384"/>
      <c r="I61" s="384"/>
      <c r="J61" s="384"/>
      <c r="K61" s="384"/>
      <c r="L61" s="384"/>
      <c r="M61" s="384"/>
    </row>
    <row r="62" spans="3:13" s="164" customFormat="1" ht="20.100000000000001" customHeight="1" x14ac:dyDescent="0.25">
      <c r="C62" s="384"/>
      <c r="D62" s="384"/>
      <c r="E62" s="384"/>
      <c r="F62" s="384"/>
      <c r="G62" s="384"/>
      <c r="H62" s="384"/>
      <c r="I62" s="384"/>
      <c r="J62" s="384"/>
      <c r="K62" s="384"/>
      <c r="L62" s="384"/>
      <c r="M62" s="384"/>
    </row>
    <row r="63" spans="3:13" s="164" customFormat="1" ht="20.100000000000001" customHeight="1" x14ac:dyDescent="0.25">
      <c r="C63" s="384"/>
      <c r="D63" s="384"/>
      <c r="E63" s="384"/>
      <c r="F63" s="384"/>
      <c r="G63" s="384"/>
      <c r="H63" s="384"/>
      <c r="I63" s="384"/>
      <c r="J63" s="384"/>
      <c r="K63" s="384"/>
      <c r="L63" s="384"/>
      <c r="M63" s="384"/>
    </row>
    <row r="64" spans="3:13" s="164" customFormat="1" ht="20.100000000000001" customHeight="1" x14ac:dyDescent="0.25">
      <c r="C64" s="384"/>
      <c r="D64" s="384"/>
      <c r="E64" s="384"/>
      <c r="F64" s="384"/>
      <c r="G64" s="384"/>
      <c r="H64" s="384"/>
      <c r="I64" s="384"/>
      <c r="J64" s="384"/>
      <c r="K64" s="384"/>
      <c r="L64" s="384"/>
      <c r="M64" s="384"/>
    </row>
    <row r="65" spans="3:13" s="164" customFormat="1" ht="20.100000000000001" customHeight="1" x14ac:dyDescent="0.25">
      <c r="C65" s="384"/>
      <c r="D65" s="384"/>
      <c r="E65" s="384"/>
      <c r="F65" s="384"/>
      <c r="G65" s="384"/>
      <c r="H65" s="384"/>
      <c r="I65" s="384"/>
      <c r="J65" s="384"/>
      <c r="K65" s="384"/>
      <c r="L65" s="384"/>
      <c r="M65" s="384"/>
    </row>
    <row r="66" spans="3:13" s="164" customFormat="1" ht="20.100000000000001" customHeight="1" x14ac:dyDescent="0.25">
      <c r="C66" s="384"/>
      <c r="D66" s="384"/>
      <c r="E66" s="384"/>
      <c r="F66" s="384"/>
      <c r="G66" s="384"/>
      <c r="H66" s="384"/>
      <c r="I66" s="384"/>
      <c r="J66" s="384"/>
      <c r="K66" s="384"/>
      <c r="L66" s="384"/>
      <c r="M66" s="384"/>
    </row>
    <row r="67" spans="3:13" s="164" customFormat="1" ht="20.100000000000001" customHeight="1" x14ac:dyDescent="0.25">
      <c r="C67" s="384"/>
      <c r="D67" s="384"/>
      <c r="E67" s="384"/>
      <c r="F67" s="384"/>
      <c r="G67" s="384"/>
      <c r="H67" s="384"/>
      <c r="I67" s="384"/>
      <c r="J67" s="384"/>
      <c r="K67" s="384"/>
      <c r="L67" s="384"/>
      <c r="M67" s="384"/>
    </row>
    <row r="68" spans="3:13" s="164" customFormat="1" ht="20.100000000000001" customHeight="1" x14ac:dyDescent="0.25">
      <c r="C68" s="384"/>
      <c r="D68" s="384"/>
      <c r="E68" s="384"/>
      <c r="F68" s="384"/>
      <c r="G68" s="384"/>
      <c r="H68" s="384"/>
      <c r="I68" s="384"/>
      <c r="J68" s="384"/>
      <c r="K68" s="384"/>
      <c r="L68" s="384"/>
      <c r="M68" s="384"/>
    </row>
    <row r="69" spans="3:13" s="164" customFormat="1" ht="20.100000000000001" customHeight="1" x14ac:dyDescent="0.25">
      <c r="C69" s="384"/>
      <c r="D69" s="384"/>
      <c r="E69" s="384"/>
      <c r="F69" s="384"/>
      <c r="G69" s="384"/>
      <c r="H69" s="384"/>
      <c r="I69" s="384"/>
      <c r="J69" s="384"/>
      <c r="K69" s="384"/>
      <c r="L69" s="384"/>
      <c r="M69" s="384"/>
    </row>
    <row r="70" spans="3:13" s="164" customFormat="1" ht="20.100000000000001" customHeight="1" x14ac:dyDescent="0.25">
      <c r="C70" s="384"/>
      <c r="D70" s="384"/>
      <c r="E70" s="384"/>
      <c r="F70" s="384"/>
      <c r="G70" s="384"/>
      <c r="H70" s="384"/>
      <c r="I70" s="384"/>
      <c r="J70" s="384"/>
      <c r="K70" s="384"/>
      <c r="L70" s="384"/>
      <c r="M70" s="384"/>
    </row>
    <row r="71" spans="3:13" s="164" customFormat="1" ht="20.100000000000001" customHeight="1" x14ac:dyDescent="0.25">
      <c r="C71" s="384"/>
      <c r="D71" s="384"/>
      <c r="E71" s="384"/>
      <c r="F71" s="384"/>
      <c r="G71" s="384"/>
      <c r="H71" s="384"/>
      <c r="I71" s="384"/>
      <c r="J71" s="384"/>
      <c r="K71" s="384"/>
      <c r="L71" s="384"/>
      <c r="M71" s="384"/>
    </row>
    <row r="72" spans="3:13" s="164" customFormat="1" ht="20.100000000000001" customHeight="1" x14ac:dyDescent="0.25">
      <c r="C72" s="384"/>
      <c r="D72" s="384"/>
      <c r="E72" s="384"/>
      <c r="F72" s="384"/>
      <c r="G72" s="384"/>
      <c r="H72" s="384"/>
      <c r="I72" s="384"/>
      <c r="J72" s="384"/>
      <c r="K72" s="384"/>
      <c r="L72" s="384"/>
      <c r="M72" s="384"/>
    </row>
    <row r="73" spans="3:13" s="164" customFormat="1" ht="20.100000000000001" customHeight="1" x14ac:dyDescent="0.25">
      <c r="C73" s="384"/>
      <c r="D73" s="384"/>
      <c r="E73" s="384"/>
      <c r="F73" s="384"/>
      <c r="G73" s="384"/>
      <c r="H73" s="384"/>
      <c r="I73" s="384"/>
      <c r="J73" s="384"/>
      <c r="K73" s="384"/>
      <c r="L73" s="384"/>
      <c r="M73" s="384"/>
    </row>
    <row r="74" spans="3:13" s="164" customFormat="1" ht="20.100000000000001" customHeight="1" x14ac:dyDescent="0.25">
      <c r="C74" s="384"/>
      <c r="D74" s="384"/>
      <c r="E74" s="384"/>
      <c r="F74" s="384"/>
      <c r="G74" s="384"/>
      <c r="H74" s="384"/>
      <c r="I74" s="384"/>
      <c r="J74" s="384"/>
      <c r="K74" s="384"/>
      <c r="L74" s="384"/>
      <c r="M74" s="384"/>
    </row>
    <row r="75" spans="3:13" s="164" customFormat="1" ht="20.100000000000001" customHeight="1" x14ac:dyDescent="0.25">
      <c r="C75" s="384"/>
      <c r="D75" s="384"/>
      <c r="E75" s="384"/>
      <c r="F75" s="384"/>
      <c r="G75" s="384"/>
      <c r="H75" s="384"/>
      <c r="I75" s="384"/>
      <c r="J75" s="384"/>
      <c r="K75" s="384"/>
      <c r="L75" s="384"/>
      <c r="M75" s="384"/>
    </row>
    <row r="76" spans="3:13" s="164" customFormat="1" ht="20.100000000000001" customHeight="1" x14ac:dyDescent="0.25">
      <c r="C76" s="384"/>
      <c r="D76" s="384"/>
      <c r="E76" s="384"/>
      <c r="F76" s="384"/>
      <c r="G76" s="384"/>
      <c r="H76" s="384"/>
      <c r="I76" s="384"/>
      <c r="J76" s="384"/>
      <c r="K76" s="384"/>
      <c r="L76" s="384"/>
      <c r="M76" s="384"/>
    </row>
    <row r="77" spans="3:13" s="164" customFormat="1" ht="20.100000000000001" customHeight="1" x14ac:dyDescent="0.25">
      <c r="C77" s="384"/>
      <c r="D77" s="384"/>
      <c r="E77" s="384"/>
      <c r="F77" s="384"/>
      <c r="G77" s="384"/>
      <c r="H77" s="384"/>
      <c r="I77" s="384"/>
      <c r="J77" s="384"/>
      <c r="K77" s="384"/>
      <c r="L77" s="384"/>
      <c r="M77" s="384"/>
    </row>
    <row r="78" spans="3:13" s="164" customFormat="1" ht="20.100000000000001" customHeight="1" x14ac:dyDescent="0.25">
      <c r="C78" s="384"/>
      <c r="D78" s="384"/>
      <c r="E78" s="384"/>
      <c r="F78" s="384"/>
      <c r="G78" s="384"/>
      <c r="H78" s="384"/>
      <c r="I78" s="384"/>
      <c r="J78" s="384"/>
      <c r="K78" s="384"/>
      <c r="L78" s="384"/>
      <c r="M78" s="384"/>
    </row>
    <row r="79" spans="3:13" s="164" customFormat="1" ht="20.100000000000001" customHeight="1" x14ac:dyDescent="0.25">
      <c r="C79" s="384"/>
      <c r="D79" s="384"/>
      <c r="E79" s="384"/>
      <c r="F79" s="384"/>
      <c r="G79" s="384"/>
      <c r="H79" s="384"/>
      <c r="I79" s="384"/>
      <c r="J79" s="384"/>
      <c r="K79" s="384"/>
      <c r="L79" s="384"/>
      <c r="M79" s="384"/>
    </row>
    <row r="80" spans="3:13" s="164" customFormat="1" ht="20.100000000000001" customHeight="1" x14ac:dyDescent="0.25">
      <c r="C80" s="384"/>
      <c r="D80" s="384"/>
      <c r="E80" s="384"/>
      <c r="F80" s="384"/>
      <c r="G80" s="384"/>
      <c r="H80" s="384"/>
      <c r="I80" s="384"/>
      <c r="J80" s="384"/>
      <c r="K80" s="384"/>
      <c r="L80" s="384"/>
      <c r="M80" s="384"/>
    </row>
    <row r="81" spans="3:13" s="164" customFormat="1" ht="20.100000000000001" customHeight="1" x14ac:dyDescent="0.25">
      <c r="C81" s="384"/>
      <c r="D81" s="384"/>
      <c r="E81" s="384"/>
      <c r="F81" s="384"/>
      <c r="G81" s="384"/>
      <c r="H81" s="384"/>
      <c r="I81" s="384"/>
      <c r="J81" s="384"/>
      <c r="K81" s="384"/>
      <c r="L81" s="384"/>
      <c r="M81" s="384"/>
    </row>
    <row r="82" spans="3:13" s="164" customFormat="1" ht="20.100000000000001" customHeight="1" x14ac:dyDescent="0.25">
      <c r="C82" s="384"/>
      <c r="D82" s="384"/>
      <c r="E82" s="384"/>
      <c r="F82" s="384"/>
      <c r="G82" s="384"/>
      <c r="H82" s="384"/>
      <c r="I82" s="384"/>
      <c r="J82" s="384"/>
      <c r="K82" s="384"/>
      <c r="L82" s="384"/>
      <c r="M82" s="384"/>
    </row>
    <row r="83" spans="3:13" s="164" customFormat="1" ht="20.100000000000001" customHeight="1" x14ac:dyDescent="0.25">
      <c r="C83" s="384"/>
      <c r="D83" s="384"/>
      <c r="E83" s="384"/>
      <c r="F83" s="384"/>
      <c r="G83" s="384"/>
      <c r="H83" s="384"/>
      <c r="I83" s="384"/>
      <c r="J83" s="384"/>
      <c r="K83" s="384"/>
      <c r="L83" s="384"/>
      <c r="M83" s="384"/>
    </row>
  </sheetData>
  <mergeCells count="12">
    <mergeCell ref="C33:C35"/>
    <mergeCell ref="C1:L1"/>
    <mergeCell ref="C3:C5"/>
    <mergeCell ref="C6:C8"/>
    <mergeCell ref="C9:C11"/>
    <mergeCell ref="C12:C14"/>
    <mergeCell ref="C15:C17"/>
    <mergeCell ref="C18:C20"/>
    <mergeCell ref="C21:C23"/>
    <mergeCell ref="C24:C26"/>
    <mergeCell ref="C27:C29"/>
    <mergeCell ref="C30:C32"/>
  </mergeCells>
  <pageMargins left="0.7" right="0.7" top="0.75" bottom="0.75" header="0.3" footer="0.3"/>
  <pageSetup paperSize="9" scale="70" orientation="portrait" r:id="rId1"/>
  <rowBreaks count="1" manualBreakCount="1">
    <brk id="44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85"/>
  <sheetViews>
    <sheetView rightToLeft="1" zoomScaleNormal="100" workbookViewId="0">
      <selection activeCell="B2" sqref="B1:K1048576"/>
    </sheetView>
  </sheetViews>
  <sheetFormatPr defaultRowHeight="14.25" x14ac:dyDescent="0.2"/>
  <cols>
    <col min="1" max="1" width="14.75" style="160" customWidth="1"/>
    <col min="2" max="2" width="19.625" style="372" customWidth="1"/>
    <col min="3" max="11" width="9" style="372"/>
    <col min="12" max="16384" width="9" style="160"/>
  </cols>
  <sheetData>
    <row r="1" spans="2:12" ht="36" customHeight="1" x14ac:dyDescent="0.2">
      <c r="B1" s="628" t="s">
        <v>879</v>
      </c>
      <c r="C1" s="628"/>
      <c r="D1" s="628"/>
      <c r="E1" s="628"/>
      <c r="F1" s="628"/>
      <c r="G1" s="628"/>
      <c r="H1" s="628"/>
      <c r="I1" s="628"/>
      <c r="J1" s="628"/>
      <c r="K1" s="628"/>
      <c r="L1" s="165"/>
    </row>
    <row r="2" spans="2:12" ht="39" customHeight="1" x14ac:dyDescent="0.2">
      <c r="B2" s="373" t="s">
        <v>240</v>
      </c>
      <c r="C2" s="373" t="s">
        <v>7</v>
      </c>
      <c r="D2" s="373" t="s">
        <v>61</v>
      </c>
      <c r="E2" s="373" t="s">
        <v>60</v>
      </c>
      <c r="F2" s="373" t="s">
        <v>59</v>
      </c>
      <c r="G2" s="373" t="s">
        <v>57</v>
      </c>
      <c r="H2" s="373" t="s">
        <v>243</v>
      </c>
      <c r="I2" s="373" t="s">
        <v>855</v>
      </c>
      <c r="J2" s="373" t="s">
        <v>53</v>
      </c>
      <c r="K2" s="373" t="s">
        <v>4</v>
      </c>
    </row>
    <row r="3" spans="2:12" ht="20.100000000000001" customHeight="1" x14ac:dyDescent="0.2">
      <c r="B3" s="611" t="s">
        <v>854</v>
      </c>
      <c r="C3" s="374" t="s">
        <v>9</v>
      </c>
      <c r="D3" s="375">
        <v>1098</v>
      </c>
      <c r="E3" s="375">
        <v>1234</v>
      </c>
      <c r="F3" s="375">
        <v>3</v>
      </c>
      <c r="G3" s="375">
        <v>1104</v>
      </c>
      <c r="H3" s="375">
        <v>455</v>
      </c>
      <c r="I3" s="375">
        <v>0</v>
      </c>
      <c r="J3" s="375">
        <v>442</v>
      </c>
      <c r="K3" s="375">
        <f>SUM(D3:J3)</f>
        <v>4336</v>
      </c>
    </row>
    <row r="4" spans="2:12" ht="20.100000000000001" customHeight="1" x14ac:dyDescent="0.2">
      <c r="B4" s="612"/>
      <c r="C4" s="374" t="s">
        <v>10</v>
      </c>
      <c r="D4" s="375">
        <v>1400</v>
      </c>
      <c r="E4" s="375">
        <v>692</v>
      </c>
      <c r="F4" s="375">
        <v>0</v>
      </c>
      <c r="G4" s="375">
        <v>399</v>
      </c>
      <c r="H4" s="375">
        <v>108</v>
      </c>
      <c r="I4" s="375">
        <v>1</v>
      </c>
      <c r="J4" s="375">
        <v>220</v>
      </c>
      <c r="K4" s="375">
        <f t="shared" ref="K4:K31" si="0">SUM(D4:J4)</f>
        <v>2820</v>
      </c>
    </row>
    <row r="5" spans="2:12" ht="20.100000000000001" customHeight="1" x14ac:dyDescent="0.2">
      <c r="B5" s="613"/>
      <c r="C5" s="374" t="s">
        <v>845</v>
      </c>
      <c r="D5" s="375">
        <f t="shared" ref="D5" si="1">SUM(D3:D4)</f>
        <v>2498</v>
      </c>
      <c r="E5" s="375">
        <f>SUM(E3:E4)</f>
        <v>1926</v>
      </c>
      <c r="F5" s="375">
        <f t="shared" ref="F5:K5" si="2">SUM(F3:F4)</f>
        <v>3</v>
      </c>
      <c r="G5" s="375">
        <f t="shared" si="2"/>
        <v>1503</v>
      </c>
      <c r="H5" s="375">
        <f t="shared" si="2"/>
        <v>563</v>
      </c>
      <c r="I5" s="375">
        <f t="shared" si="2"/>
        <v>1</v>
      </c>
      <c r="J5" s="375">
        <f t="shared" si="2"/>
        <v>662</v>
      </c>
      <c r="K5" s="375">
        <f t="shared" si="2"/>
        <v>7156</v>
      </c>
    </row>
    <row r="6" spans="2:12" ht="20.100000000000001" customHeight="1" x14ac:dyDescent="0.2">
      <c r="B6" s="611" t="s">
        <v>853</v>
      </c>
      <c r="C6" s="374" t="s">
        <v>9</v>
      </c>
      <c r="D6" s="375">
        <v>323</v>
      </c>
      <c r="E6" s="375">
        <v>198</v>
      </c>
      <c r="F6" s="375">
        <v>1</v>
      </c>
      <c r="G6" s="375">
        <v>390</v>
      </c>
      <c r="H6" s="375">
        <v>211</v>
      </c>
      <c r="I6" s="375">
        <v>1</v>
      </c>
      <c r="J6" s="375">
        <v>130</v>
      </c>
      <c r="K6" s="375">
        <f t="shared" si="0"/>
        <v>1254</v>
      </c>
    </row>
    <row r="7" spans="2:12" ht="20.100000000000001" customHeight="1" x14ac:dyDescent="0.2">
      <c r="B7" s="612"/>
      <c r="C7" s="374" t="s">
        <v>10</v>
      </c>
      <c r="D7" s="375">
        <v>102</v>
      </c>
      <c r="E7" s="375">
        <v>168</v>
      </c>
      <c r="F7" s="375">
        <v>0</v>
      </c>
      <c r="G7" s="375">
        <v>323</v>
      </c>
      <c r="H7" s="375">
        <v>100</v>
      </c>
      <c r="I7" s="375">
        <v>1</v>
      </c>
      <c r="J7" s="375">
        <v>16</v>
      </c>
      <c r="K7" s="375">
        <f t="shared" si="0"/>
        <v>710</v>
      </c>
    </row>
    <row r="8" spans="2:12" ht="20.100000000000001" customHeight="1" x14ac:dyDescent="0.2">
      <c r="B8" s="613"/>
      <c r="C8" s="374" t="s">
        <v>845</v>
      </c>
      <c r="D8" s="375">
        <f t="shared" ref="D8" si="3">SUM(D6:D7)</f>
        <v>425</v>
      </c>
      <c r="E8" s="375">
        <f>SUM(E6:E7)</f>
        <v>366</v>
      </c>
      <c r="F8" s="375">
        <f t="shared" ref="F8:K8" si="4">SUM(F6:F7)</f>
        <v>1</v>
      </c>
      <c r="G8" s="375">
        <f t="shared" si="4"/>
        <v>713</v>
      </c>
      <c r="H8" s="375">
        <f t="shared" si="4"/>
        <v>311</v>
      </c>
      <c r="I8" s="375">
        <f t="shared" si="4"/>
        <v>2</v>
      </c>
      <c r="J8" s="375">
        <f t="shared" si="4"/>
        <v>146</v>
      </c>
      <c r="K8" s="375">
        <f t="shared" si="4"/>
        <v>1964</v>
      </c>
    </row>
    <row r="9" spans="2:12" ht="20.100000000000001" customHeight="1" x14ac:dyDescent="0.2">
      <c r="B9" s="611" t="s">
        <v>878</v>
      </c>
      <c r="C9" s="374" t="s">
        <v>9</v>
      </c>
      <c r="D9" s="375">
        <v>1805</v>
      </c>
      <c r="E9" s="375">
        <v>4253</v>
      </c>
      <c r="F9" s="375">
        <v>6</v>
      </c>
      <c r="G9" s="375">
        <v>2407</v>
      </c>
      <c r="H9" s="375">
        <v>265</v>
      </c>
      <c r="I9" s="375">
        <v>0</v>
      </c>
      <c r="J9" s="375">
        <v>726</v>
      </c>
      <c r="K9" s="375">
        <f t="shared" si="0"/>
        <v>9462</v>
      </c>
    </row>
    <row r="10" spans="2:12" ht="20.100000000000001" customHeight="1" x14ac:dyDescent="0.2">
      <c r="B10" s="612"/>
      <c r="C10" s="374" t="s">
        <v>10</v>
      </c>
      <c r="D10" s="375">
        <v>612</v>
      </c>
      <c r="E10" s="375">
        <v>605</v>
      </c>
      <c r="F10" s="375">
        <v>0</v>
      </c>
      <c r="G10" s="375">
        <v>660</v>
      </c>
      <c r="H10" s="375">
        <v>71</v>
      </c>
      <c r="I10" s="375">
        <v>0</v>
      </c>
      <c r="J10" s="375">
        <v>97</v>
      </c>
      <c r="K10" s="375">
        <f t="shared" si="0"/>
        <v>2045</v>
      </c>
    </row>
    <row r="11" spans="2:12" ht="20.100000000000001" customHeight="1" x14ac:dyDescent="0.2">
      <c r="B11" s="613"/>
      <c r="C11" s="374" t="s">
        <v>845</v>
      </c>
      <c r="D11" s="375">
        <f t="shared" ref="D11" si="5">SUM(D9:D10)</f>
        <v>2417</v>
      </c>
      <c r="E11" s="375">
        <f>SUM(E9:E10)</f>
        <v>4858</v>
      </c>
      <c r="F11" s="375">
        <f t="shared" ref="F11:K11" si="6">SUM(F9:F10)</f>
        <v>6</v>
      </c>
      <c r="G11" s="375">
        <f t="shared" si="6"/>
        <v>3067</v>
      </c>
      <c r="H11" s="375">
        <f t="shared" si="6"/>
        <v>336</v>
      </c>
      <c r="I11" s="375">
        <f t="shared" si="6"/>
        <v>0</v>
      </c>
      <c r="J11" s="375">
        <f t="shared" si="6"/>
        <v>823</v>
      </c>
      <c r="K11" s="375">
        <f t="shared" si="6"/>
        <v>11507</v>
      </c>
    </row>
    <row r="12" spans="2:12" ht="20.100000000000001" customHeight="1" x14ac:dyDescent="0.2">
      <c r="B12" s="611" t="s">
        <v>851</v>
      </c>
      <c r="C12" s="374" t="s">
        <v>9</v>
      </c>
      <c r="D12" s="375">
        <v>1353</v>
      </c>
      <c r="E12" s="375">
        <v>3377</v>
      </c>
      <c r="F12" s="375">
        <v>5</v>
      </c>
      <c r="G12" s="375">
        <v>1434</v>
      </c>
      <c r="H12" s="375">
        <v>405</v>
      </c>
      <c r="I12" s="375">
        <v>0</v>
      </c>
      <c r="J12" s="375">
        <v>544</v>
      </c>
      <c r="K12" s="375">
        <f t="shared" si="0"/>
        <v>7118</v>
      </c>
    </row>
    <row r="13" spans="2:12" ht="20.100000000000001" customHeight="1" x14ac:dyDescent="0.2">
      <c r="B13" s="612"/>
      <c r="C13" s="374" t="s">
        <v>10</v>
      </c>
      <c r="D13" s="375">
        <v>399</v>
      </c>
      <c r="E13" s="375">
        <v>499</v>
      </c>
      <c r="F13" s="375">
        <v>0</v>
      </c>
      <c r="G13" s="375">
        <v>627</v>
      </c>
      <c r="H13" s="375">
        <v>126</v>
      </c>
      <c r="I13" s="375">
        <v>1</v>
      </c>
      <c r="J13" s="375">
        <v>63</v>
      </c>
      <c r="K13" s="375">
        <f t="shared" si="0"/>
        <v>1715</v>
      </c>
    </row>
    <row r="14" spans="2:12" ht="20.100000000000001" customHeight="1" x14ac:dyDescent="0.2">
      <c r="B14" s="613"/>
      <c r="C14" s="374" t="s">
        <v>845</v>
      </c>
      <c r="D14" s="375">
        <f t="shared" ref="D14" si="7">SUM(D12:D13)</f>
        <v>1752</v>
      </c>
      <c r="E14" s="375">
        <f>SUM(E12:E13)</f>
        <v>3876</v>
      </c>
      <c r="F14" s="375">
        <f t="shared" ref="F14:K14" si="8">SUM(F12:F13)</f>
        <v>5</v>
      </c>
      <c r="G14" s="375">
        <f t="shared" si="8"/>
        <v>2061</v>
      </c>
      <c r="H14" s="375">
        <f t="shared" si="8"/>
        <v>531</v>
      </c>
      <c r="I14" s="375">
        <f t="shared" si="8"/>
        <v>1</v>
      </c>
      <c r="J14" s="375">
        <f t="shared" si="8"/>
        <v>607</v>
      </c>
      <c r="K14" s="375">
        <f t="shared" si="8"/>
        <v>8833</v>
      </c>
    </row>
    <row r="15" spans="2:12" ht="20.100000000000001" customHeight="1" x14ac:dyDescent="0.2">
      <c r="B15" s="611" t="s">
        <v>850</v>
      </c>
      <c r="C15" s="374" t="s">
        <v>9</v>
      </c>
      <c r="D15" s="375">
        <v>1031</v>
      </c>
      <c r="E15" s="375">
        <v>4220</v>
      </c>
      <c r="F15" s="375">
        <v>4</v>
      </c>
      <c r="G15" s="375">
        <v>771</v>
      </c>
      <c r="H15" s="375">
        <v>225</v>
      </c>
      <c r="I15" s="375">
        <v>0</v>
      </c>
      <c r="J15" s="375">
        <v>414</v>
      </c>
      <c r="K15" s="375">
        <f t="shared" si="0"/>
        <v>6665</v>
      </c>
    </row>
    <row r="16" spans="2:12" ht="20.100000000000001" customHeight="1" x14ac:dyDescent="0.2">
      <c r="B16" s="612"/>
      <c r="C16" s="374" t="s">
        <v>10</v>
      </c>
      <c r="D16" s="375">
        <v>62</v>
      </c>
      <c r="E16" s="375">
        <v>162</v>
      </c>
      <c r="F16" s="375">
        <v>0</v>
      </c>
      <c r="G16" s="375">
        <v>68</v>
      </c>
      <c r="H16" s="375">
        <v>15</v>
      </c>
      <c r="I16" s="375">
        <v>0</v>
      </c>
      <c r="J16" s="375">
        <v>10</v>
      </c>
      <c r="K16" s="375">
        <f t="shared" si="0"/>
        <v>317</v>
      </c>
    </row>
    <row r="17" spans="2:11" ht="20.100000000000001" customHeight="1" x14ac:dyDescent="0.2">
      <c r="B17" s="613"/>
      <c r="C17" s="374" t="s">
        <v>845</v>
      </c>
      <c r="D17" s="375">
        <f t="shared" ref="D17" si="9">SUM(D15:D16)</f>
        <v>1093</v>
      </c>
      <c r="E17" s="375">
        <f>SUM(E15:E16)</f>
        <v>4382</v>
      </c>
      <c r="F17" s="375">
        <f t="shared" ref="F17:K17" si="10">SUM(F15:F16)</f>
        <v>4</v>
      </c>
      <c r="G17" s="375">
        <f t="shared" si="10"/>
        <v>839</v>
      </c>
      <c r="H17" s="375">
        <f t="shared" si="10"/>
        <v>240</v>
      </c>
      <c r="I17" s="375">
        <f t="shared" si="10"/>
        <v>0</v>
      </c>
      <c r="J17" s="375">
        <f t="shared" si="10"/>
        <v>424</v>
      </c>
      <c r="K17" s="375">
        <f t="shared" si="10"/>
        <v>6982</v>
      </c>
    </row>
    <row r="18" spans="2:11" ht="20.100000000000001" customHeight="1" x14ac:dyDescent="0.2">
      <c r="B18" s="611" t="s">
        <v>849</v>
      </c>
      <c r="C18" s="374" t="s">
        <v>9</v>
      </c>
      <c r="D18" s="375">
        <v>483</v>
      </c>
      <c r="E18" s="375">
        <v>3670</v>
      </c>
      <c r="F18" s="375">
        <v>1</v>
      </c>
      <c r="G18" s="375">
        <v>603</v>
      </c>
      <c r="H18" s="375">
        <v>229</v>
      </c>
      <c r="I18" s="375">
        <v>992</v>
      </c>
      <c r="J18" s="375">
        <v>195</v>
      </c>
      <c r="K18" s="375">
        <f t="shared" si="0"/>
        <v>6173</v>
      </c>
    </row>
    <row r="19" spans="2:11" ht="20.100000000000001" customHeight="1" x14ac:dyDescent="0.2">
      <c r="B19" s="612"/>
      <c r="C19" s="374" t="s">
        <v>10</v>
      </c>
      <c r="D19" s="375">
        <v>349</v>
      </c>
      <c r="E19" s="375">
        <v>1095</v>
      </c>
      <c r="F19" s="375">
        <v>0</v>
      </c>
      <c r="G19" s="375">
        <v>479</v>
      </c>
      <c r="H19" s="375">
        <v>141</v>
      </c>
      <c r="I19" s="375">
        <v>220</v>
      </c>
      <c r="J19" s="375">
        <v>56</v>
      </c>
      <c r="K19" s="375">
        <f t="shared" si="0"/>
        <v>2340</v>
      </c>
    </row>
    <row r="20" spans="2:11" ht="20.100000000000001" customHeight="1" x14ac:dyDescent="0.2">
      <c r="B20" s="613"/>
      <c r="C20" s="374" t="s">
        <v>845</v>
      </c>
      <c r="D20" s="375">
        <f t="shared" ref="D20" si="11">SUM(D18:D19)</f>
        <v>832</v>
      </c>
      <c r="E20" s="375">
        <f>SUM(E18:E19)</f>
        <v>4765</v>
      </c>
      <c r="F20" s="375">
        <f t="shared" ref="F20:K20" si="12">SUM(F18:F19)</f>
        <v>1</v>
      </c>
      <c r="G20" s="375">
        <f t="shared" si="12"/>
        <v>1082</v>
      </c>
      <c r="H20" s="375">
        <f t="shared" si="12"/>
        <v>370</v>
      </c>
      <c r="I20" s="375">
        <f t="shared" si="12"/>
        <v>1212</v>
      </c>
      <c r="J20" s="375">
        <f t="shared" si="12"/>
        <v>251</v>
      </c>
      <c r="K20" s="375">
        <f t="shared" si="12"/>
        <v>8513</v>
      </c>
    </row>
    <row r="21" spans="2:11" ht="20.100000000000001" customHeight="1" x14ac:dyDescent="0.2">
      <c r="B21" s="611" t="s">
        <v>848</v>
      </c>
      <c r="C21" s="374" t="s">
        <v>9</v>
      </c>
      <c r="D21" s="375">
        <v>18</v>
      </c>
      <c r="E21" s="375">
        <v>2</v>
      </c>
      <c r="F21" s="375">
        <v>0</v>
      </c>
      <c r="G21" s="375">
        <v>6</v>
      </c>
      <c r="H21" s="375">
        <v>18</v>
      </c>
      <c r="I21" s="375">
        <v>0</v>
      </c>
      <c r="J21" s="375">
        <v>0</v>
      </c>
      <c r="K21" s="375">
        <f t="shared" si="0"/>
        <v>44</v>
      </c>
    </row>
    <row r="22" spans="2:11" ht="20.100000000000001" customHeight="1" x14ac:dyDescent="0.2">
      <c r="B22" s="612"/>
      <c r="C22" s="374" t="s">
        <v>10</v>
      </c>
      <c r="D22" s="375">
        <v>0</v>
      </c>
      <c r="E22" s="375">
        <v>0</v>
      </c>
      <c r="F22" s="375">
        <v>0</v>
      </c>
      <c r="G22" s="375">
        <v>0</v>
      </c>
      <c r="H22" s="375">
        <v>0</v>
      </c>
      <c r="I22" s="375">
        <v>0</v>
      </c>
      <c r="J22" s="375">
        <v>0</v>
      </c>
      <c r="K22" s="375">
        <f t="shared" si="0"/>
        <v>0</v>
      </c>
    </row>
    <row r="23" spans="2:11" ht="20.100000000000001" customHeight="1" x14ac:dyDescent="0.2">
      <c r="B23" s="613"/>
      <c r="C23" s="374" t="s">
        <v>845</v>
      </c>
      <c r="D23" s="375">
        <f t="shared" ref="D23" si="13">SUM(D21:D22)</f>
        <v>18</v>
      </c>
      <c r="E23" s="375">
        <f>SUM(E21:E22)</f>
        <v>2</v>
      </c>
      <c r="F23" s="375">
        <f t="shared" ref="F23:K23" si="14">SUM(F21:F22)</f>
        <v>0</v>
      </c>
      <c r="G23" s="375">
        <f t="shared" si="14"/>
        <v>6</v>
      </c>
      <c r="H23" s="375">
        <f t="shared" si="14"/>
        <v>18</v>
      </c>
      <c r="I23" s="375">
        <f t="shared" si="14"/>
        <v>0</v>
      </c>
      <c r="J23" s="375">
        <f t="shared" si="14"/>
        <v>0</v>
      </c>
      <c r="K23" s="375">
        <f t="shared" si="14"/>
        <v>44</v>
      </c>
    </row>
    <row r="24" spans="2:11" ht="20.100000000000001" customHeight="1" x14ac:dyDescent="0.2">
      <c r="B24" s="611" t="s">
        <v>51</v>
      </c>
      <c r="C24" s="374" t="s">
        <v>9</v>
      </c>
      <c r="D24" s="375">
        <v>914</v>
      </c>
      <c r="E24" s="375">
        <v>460</v>
      </c>
      <c r="F24" s="375">
        <v>0</v>
      </c>
      <c r="G24" s="375">
        <v>264</v>
      </c>
      <c r="H24" s="375">
        <v>101</v>
      </c>
      <c r="I24" s="375">
        <v>0</v>
      </c>
      <c r="J24" s="375">
        <v>5</v>
      </c>
      <c r="K24" s="375">
        <f t="shared" si="0"/>
        <v>1744</v>
      </c>
    </row>
    <row r="25" spans="2:11" ht="20.100000000000001" customHeight="1" x14ac:dyDescent="0.2">
      <c r="B25" s="612"/>
      <c r="C25" s="374" t="s">
        <v>10</v>
      </c>
      <c r="D25" s="375">
        <v>98</v>
      </c>
      <c r="E25" s="375">
        <v>41</v>
      </c>
      <c r="F25" s="375">
        <v>0</v>
      </c>
      <c r="G25" s="375">
        <v>56</v>
      </c>
      <c r="H25" s="375">
        <v>12</v>
      </c>
      <c r="I25" s="375">
        <v>0</v>
      </c>
      <c r="J25" s="375">
        <v>1</v>
      </c>
      <c r="K25" s="375">
        <f t="shared" si="0"/>
        <v>208</v>
      </c>
    </row>
    <row r="26" spans="2:11" ht="20.100000000000001" customHeight="1" x14ac:dyDescent="0.2">
      <c r="B26" s="613"/>
      <c r="C26" s="374" t="s">
        <v>845</v>
      </c>
      <c r="D26" s="375">
        <f t="shared" ref="D26" si="15">SUM(D24:D25)</f>
        <v>1012</v>
      </c>
      <c r="E26" s="375">
        <f>SUM(E24:E25)</f>
        <v>501</v>
      </c>
      <c r="F26" s="375">
        <f t="shared" ref="F26:K26" si="16">SUM(F24:F25)</f>
        <v>0</v>
      </c>
      <c r="G26" s="375">
        <f t="shared" si="16"/>
        <v>320</v>
      </c>
      <c r="H26" s="375">
        <f t="shared" si="16"/>
        <v>113</v>
      </c>
      <c r="I26" s="375">
        <f t="shared" si="16"/>
        <v>0</v>
      </c>
      <c r="J26" s="375">
        <f t="shared" si="16"/>
        <v>6</v>
      </c>
      <c r="K26" s="375">
        <f t="shared" si="16"/>
        <v>1952</v>
      </c>
    </row>
    <row r="27" spans="2:11" ht="20.100000000000001" customHeight="1" x14ac:dyDescent="0.2">
      <c r="B27" s="611" t="s">
        <v>847</v>
      </c>
      <c r="C27" s="374" t="s">
        <v>9</v>
      </c>
      <c r="D27" s="375">
        <v>21</v>
      </c>
      <c r="E27" s="375">
        <v>35</v>
      </c>
      <c r="F27" s="375">
        <v>0</v>
      </c>
      <c r="G27" s="375">
        <v>5</v>
      </c>
      <c r="H27" s="375">
        <v>6</v>
      </c>
      <c r="I27" s="375">
        <v>0</v>
      </c>
      <c r="J27" s="375">
        <v>1</v>
      </c>
      <c r="K27" s="375">
        <f t="shared" si="0"/>
        <v>68</v>
      </c>
    </row>
    <row r="28" spans="2:11" ht="20.100000000000001" customHeight="1" x14ac:dyDescent="0.2">
      <c r="B28" s="612"/>
      <c r="C28" s="374" t="s">
        <v>10</v>
      </c>
      <c r="D28" s="375">
        <v>98</v>
      </c>
      <c r="E28" s="375">
        <v>30</v>
      </c>
      <c r="F28" s="375">
        <v>0</v>
      </c>
      <c r="G28" s="375">
        <v>30</v>
      </c>
      <c r="H28" s="375">
        <v>15</v>
      </c>
      <c r="I28" s="375">
        <v>0</v>
      </c>
      <c r="J28" s="375">
        <v>5</v>
      </c>
      <c r="K28" s="375">
        <f t="shared" si="0"/>
        <v>178</v>
      </c>
    </row>
    <row r="29" spans="2:11" ht="20.100000000000001" customHeight="1" x14ac:dyDescent="0.2">
      <c r="B29" s="613"/>
      <c r="C29" s="374" t="s">
        <v>845</v>
      </c>
      <c r="D29" s="375">
        <f t="shared" ref="D29" si="17">SUM(D27:D28)</f>
        <v>119</v>
      </c>
      <c r="E29" s="375">
        <f>SUM(E27:E28)</f>
        <v>65</v>
      </c>
      <c r="F29" s="375">
        <f t="shared" ref="F29:K29" si="18">SUM(F27:F28)</f>
        <v>0</v>
      </c>
      <c r="G29" s="375">
        <f t="shared" si="18"/>
        <v>35</v>
      </c>
      <c r="H29" s="375">
        <f t="shared" si="18"/>
        <v>21</v>
      </c>
      <c r="I29" s="375">
        <f t="shared" si="18"/>
        <v>0</v>
      </c>
      <c r="J29" s="375">
        <f t="shared" si="18"/>
        <v>6</v>
      </c>
      <c r="K29" s="375">
        <f t="shared" si="18"/>
        <v>246</v>
      </c>
    </row>
    <row r="30" spans="2:11" ht="20.100000000000001" customHeight="1" x14ac:dyDescent="0.2">
      <c r="B30" s="611" t="s">
        <v>846</v>
      </c>
      <c r="C30" s="374" t="s">
        <v>9</v>
      </c>
      <c r="D30" s="375">
        <v>428</v>
      </c>
      <c r="E30" s="375">
        <v>251</v>
      </c>
      <c r="F30" s="375">
        <v>4</v>
      </c>
      <c r="G30" s="375">
        <v>92</v>
      </c>
      <c r="H30" s="375">
        <v>20</v>
      </c>
      <c r="I30" s="375">
        <v>11</v>
      </c>
      <c r="J30" s="375">
        <v>551</v>
      </c>
      <c r="K30" s="375">
        <f t="shared" si="0"/>
        <v>1357</v>
      </c>
    </row>
    <row r="31" spans="2:11" ht="20.100000000000001" customHeight="1" x14ac:dyDescent="0.2">
      <c r="B31" s="612"/>
      <c r="C31" s="374" t="s">
        <v>10</v>
      </c>
      <c r="D31" s="375">
        <v>248</v>
      </c>
      <c r="E31" s="375">
        <v>20</v>
      </c>
      <c r="F31" s="375">
        <v>0</v>
      </c>
      <c r="G31" s="375">
        <v>60</v>
      </c>
      <c r="H31" s="375">
        <v>10</v>
      </c>
      <c r="I31" s="375">
        <v>2</v>
      </c>
      <c r="J31" s="375">
        <v>65</v>
      </c>
      <c r="K31" s="375">
        <f t="shared" si="0"/>
        <v>405</v>
      </c>
    </row>
    <row r="32" spans="2:11" ht="20.100000000000001" customHeight="1" x14ac:dyDescent="0.2">
      <c r="B32" s="613"/>
      <c r="C32" s="374" t="s">
        <v>845</v>
      </c>
      <c r="D32" s="375">
        <f t="shared" ref="D32" si="19">SUM(D30:D31)</f>
        <v>676</v>
      </c>
      <c r="E32" s="375">
        <f>SUM(E30:E31)</f>
        <v>271</v>
      </c>
      <c r="F32" s="375">
        <f t="shared" ref="F32:K32" si="20">SUM(F30:F31)</f>
        <v>4</v>
      </c>
      <c r="G32" s="375">
        <f t="shared" si="20"/>
        <v>152</v>
      </c>
      <c r="H32" s="375">
        <f t="shared" si="20"/>
        <v>30</v>
      </c>
      <c r="I32" s="375">
        <f t="shared" si="20"/>
        <v>13</v>
      </c>
      <c r="J32" s="375">
        <f t="shared" si="20"/>
        <v>616</v>
      </c>
      <c r="K32" s="375">
        <f t="shared" si="20"/>
        <v>1762</v>
      </c>
    </row>
    <row r="33" spans="2:11" ht="20.100000000000001" customHeight="1" x14ac:dyDescent="0.2">
      <c r="B33" s="611" t="s">
        <v>575</v>
      </c>
      <c r="C33" s="374" t="s">
        <v>9</v>
      </c>
      <c r="D33" s="375">
        <f>D3+D6+D9+D12+D15+D18+D21+D24+D27+D30</f>
        <v>7474</v>
      </c>
      <c r="E33" s="375">
        <f t="shared" ref="E33:K33" si="21">E3+E6+E9+E12+E15+E18+E21+E24+E27+E30</f>
        <v>17700</v>
      </c>
      <c r="F33" s="375">
        <f t="shared" si="21"/>
        <v>24</v>
      </c>
      <c r="G33" s="375">
        <f t="shared" si="21"/>
        <v>7076</v>
      </c>
      <c r="H33" s="375">
        <f t="shared" si="21"/>
        <v>1935</v>
      </c>
      <c r="I33" s="375">
        <f t="shared" si="21"/>
        <v>1004</v>
      </c>
      <c r="J33" s="375">
        <f t="shared" si="21"/>
        <v>3008</v>
      </c>
      <c r="K33" s="375">
        <f t="shared" si="21"/>
        <v>38221</v>
      </c>
    </row>
    <row r="34" spans="2:11" ht="20.100000000000001" customHeight="1" x14ac:dyDescent="0.2">
      <c r="B34" s="612"/>
      <c r="C34" s="374" t="s">
        <v>10</v>
      </c>
      <c r="D34" s="375">
        <f t="shared" ref="D34:K35" si="22">D4+D7+D10+D13+D16+D19+D22+D25+D28+D31</f>
        <v>3368</v>
      </c>
      <c r="E34" s="375">
        <f t="shared" si="22"/>
        <v>3312</v>
      </c>
      <c r="F34" s="375">
        <f t="shared" si="22"/>
        <v>0</v>
      </c>
      <c r="G34" s="375">
        <f t="shared" si="22"/>
        <v>2702</v>
      </c>
      <c r="H34" s="375">
        <f t="shared" si="22"/>
        <v>598</v>
      </c>
      <c r="I34" s="375">
        <f t="shared" si="22"/>
        <v>225</v>
      </c>
      <c r="J34" s="375">
        <f t="shared" si="22"/>
        <v>533</v>
      </c>
      <c r="K34" s="375">
        <f t="shared" si="22"/>
        <v>10738</v>
      </c>
    </row>
    <row r="35" spans="2:11" ht="20.100000000000001" customHeight="1" x14ac:dyDescent="0.2">
      <c r="B35" s="613"/>
      <c r="C35" s="374" t="s">
        <v>845</v>
      </c>
      <c r="D35" s="375">
        <f t="shared" si="22"/>
        <v>10842</v>
      </c>
      <c r="E35" s="375">
        <f t="shared" si="22"/>
        <v>21012</v>
      </c>
      <c r="F35" s="375">
        <f t="shared" si="22"/>
        <v>24</v>
      </c>
      <c r="G35" s="375">
        <f t="shared" si="22"/>
        <v>9778</v>
      </c>
      <c r="H35" s="375">
        <f t="shared" si="22"/>
        <v>2533</v>
      </c>
      <c r="I35" s="375">
        <f t="shared" si="22"/>
        <v>1229</v>
      </c>
      <c r="J35" s="375">
        <f t="shared" si="22"/>
        <v>3541</v>
      </c>
      <c r="K35" s="375">
        <f t="shared" si="22"/>
        <v>48959</v>
      </c>
    </row>
    <row r="36" spans="2:11" ht="20.100000000000001" customHeight="1" x14ac:dyDescent="0.2"/>
    <row r="37" spans="2:11" ht="20.100000000000001" customHeight="1" x14ac:dyDescent="0.2"/>
    <row r="38" spans="2:11" ht="20.100000000000001" customHeight="1" x14ac:dyDescent="0.2"/>
    <row r="39" spans="2:11" ht="20.100000000000001" customHeight="1" x14ac:dyDescent="0.2"/>
    <row r="40" spans="2:11" ht="20.100000000000001" customHeight="1" x14ac:dyDescent="0.2"/>
    <row r="41" spans="2:11" ht="20.100000000000001" customHeight="1" x14ac:dyDescent="0.2"/>
    <row r="42" spans="2:11" ht="20.100000000000001" customHeight="1" x14ac:dyDescent="0.2"/>
    <row r="43" spans="2:11" ht="20.100000000000001" customHeight="1" x14ac:dyDescent="0.2"/>
    <row r="44" spans="2:11" ht="20.100000000000001" customHeight="1" x14ac:dyDescent="0.2"/>
    <row r="45" spans="2:11" ht="20.100000000000001" customHeight="1" x14ac:dyDescent="0.2"/>
    <row r="46" spans="2:11" ht="20.100000000000001" customHeight="1" x14ac:dyDescent="0.2"/>
    <row r="47" spans="2:11" ht="20.100000000000001" customHeight="1" x14ac:dyDescent="0.2"/>
    <row r="48" spans="2:11" ht="20.100000000000001" customHeight="1" x14ac:dyDescent="0.2"/>
    <row r="49" ht="20.100000000000001" customHeight="1" x14ac:dyDescent="0.2"/>
    <row r="50" ht="20.100000000000001" customHeight="1" x14ac:dyDescent="0.2"/>
    <row r="51" ht="20.100000000000001" customHeight="1" x14ac:dyDescent="0.2"/>
    <row r="52" ht="20.100000000000001" customHeight="1" x14ac:dyDescent="0.2"/>
    <row r="53" ht="20.100000000000001" customHeight="1" x14ac:dyDescent="0.2"/>
    <row r="54" ht="20.100000000000001" customHeight="1" x14ac:dyDescent="0.2"/>
    <row r="55" ht="20.100000000000001" customHeight="1" x14ac:dyDescent="0.2"/>
    <row r="56" ht="20.100000000000001" customHeight="1" x14ac:dyDescent="0.2"/>
    <row r="57" ht="20.100000000000001" customHeight="1" x14ac:dyDescent="0.2"/>
    <row r="58" ht="20.100000000000001" customHeight="1" x14ac:dyDescent="0.2"/>
    <row r="59" ht="20.100000000000001" customHeight="1" x14ac:dyDescent="0.2"/>
    <row r="60" ht="20.100000000000001" customHeight="1" x14ac:dyDescent="0.2"/>
    <row r="61" ht="20.100000000000001" customHeight="1" x14ac:dyDescent="0.2"/>
    <row r="62" ht="20.100000000000001" customHeight="1" x14ac:dyDescent="0.2"/>
    <row r="63" ht="20.100000000000001" customHeight="1" x14ac:dyDescent="0.2"/>
    <row r="64" ht="20.100000000000001" customHeight="1" x14ac:dyDescent="0.2"/>
    <row r="65" ht="20.100000000000001" customHeight="1" x14ac:dyDescent="0.2"/>
    <row r="66" ht="20.100000000000001" customHeight="1" x14ac:dyDescent="0.2"/>
    <row r="67" ht="20.100000000000001" customHeight="1" x14ac:dyDescent="0.2"/>
    <row r="68" ht="20.100000000000001" customHeight="1" x14ac:dyDescent="0.2"/>
    <row r="69" ht="20.100000000000001" customHeight="1" x14ac:dyDescent="0.2"/>
    <row r="70" ht="20.100000000000001" customHeight="1" x14ac:dyDescent="0.2"/>
    <row r="71" ht="20.100000000000001" customHeight="1" x14ac:dyDescent="0.2"/>
    <row r="72" ht="20.100000000000001" customHeight="1" x14ac:dyDescent="0.2"/>
    <row r="73" ht="20.100000000000001" customHeight="1" x14ac:dyDescent="0.2"/>
    <row r="74" ht="20.100000000000001" customHeight="1" x14ac:dyDescent="0.2"/>
    <row r="75" ht="20.100000000000001" customHeight="1" x14ac:dyDescent="0.2"/>
    <row r="76" ht="20.100000000000001" customHeight="1" x14ac:dyDescent="0.2"/>
    <row r="77" ht="20.100000000000001" customHeight="1" x14ac:dyDescent="0.2"/>
    <row r="78" ht="20.100000000000001" customHeight="1" x14ac:dyDescent="0.2"/>
    <row r="79" ht="20.100000000000001" customHeight="1" x14ac:dyDescent="0.2"/>
    <row r="80" ht="20.100000000000001" customHeight="1" x14ac:dyDescent="0.2"/>
    <row r="81" ht="20.100000000000001" customHeight="1" x14ac:dyDescent="0.2"/>
    <row r="82" ht="20.100000000000001" customHeight="1" x14ac:dyDescent="0.2"/>
    <row r="83" ht="20.100000000000001" customHeight="1" x14ac:dyDescent="0.2"/>
    <row r="84" ht="20.100000000000001" customHeight="1" x14ac:dyDescent="0.2"/>
    <row r="85" ht="20.100000000000001" customHeight="1" x14ac:dyDescent="0.2"/>
  </sheetData>
  <mergeCells count="12">
    <mergeCell ref="B33:B35"/>
    <mergeCell ref="B1:K1"/>
    <mergeCell ref="B3:B5"/>
    <mergeCell ref="B6:B8"/>
    <mergeCell ref="B9:B11"/>
    <mergeCell ref="B12:B14"/>
    <mergeCell ref="B15:B17"/>
    <mergeCell ref="B18:B20"/>
    <mergeCell ref="B21:B23"/>
    <mergeCell ref="B24:B26"/>
    <mergeCell ref="B27:B29"/>
    <mergeCell ref="B30:B3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"/>
  <sheetViews>
    <sheetView rightToLeft="1" zoomScaleNormal="100" workbookViewId="0">
      <selection activeCell="B2" sqref="B1:K1048576"/>
    </sheetView>
  </sheetViews>
  <sheetFormatPr defaultRowHeight="14.25" x14ac:dyDescent="0.2"/>
  <cols>
    <col min="1" max="1" width="6.75" style="160" customWidth="1"/>
    <col min="2" max="2" width="11.75" style="372" bestFit="1" customWidth="1"/>
    <col min="3" max="3" width="9" style="372"/>
    <col min="4" max="4" width="10" style="372" bestFit="1" customWidth="1"/>
    <col min="5" max="11" width="9" style="372"/>
    <col min="12" max="16384" width="9" style="160"/>
  </cols>
  <sheetData>
    <row r="1" spans="1:11" ht="61.5" customHeight="1" x14ac:dyDescent="0.2">
      <c r="A1" s="165"/>
      <c r="B1" s="629" t="s">
        <v>880</v>
      </c>
      <c r="C1" s="629"/>
      <c r="D1" s="629"/>
      <c r="E1" s="629"/>
      <c r="F1" s="629"/>
      <c r="G1" s="629"/>
      <c r="H1" s="629"/>
      <c r="I1" s="629"/>
      <c r="J1" s="629"/>
      <c r="K1" s="629"/>
    </row>
    <row r="2" spans="1:11" ht="38.25" customHeight="1" x14ac:dyDescent="0.2">
      <c r="B2" s="373" t="s">
        <v>240</v>
      </c>
      <c r="C2" s="373" t="s">
        <v>7</v>
      </c>
      <c r="D2" s="373" t="s">
        <v>61</v>
      </c>
      <c r="E2" s="373" t="s">
        <v>60</v>
      </c>
      <c r="F2" s="373" t="s">
        <v>59</v>
      </c>
      <c r="G2" s="373" t="s">
        <v>57</v>
      </c>
      <c r="H2" s="373" t="s">
        <v>243</v>
      </c>
      <c r="I2" s="373" t="s">
        <v>855</v>
      </c>
      <c r="J2" s="373" t="s">
        <v>53</v>
      </c>
      <c r="K2" s="373" t="s">
        <v>4</v>
      </c>
    </row>
    <row r="3" spans="1:11" ht="20.100000000000001" customHeight="1" x14ac:dyDescent="0.2">
      <c r="B3" s="611" t="s">
        <v>854</v>
      </c>
      <c r="C3" s="374" t="s">
        <v>9</v>
      </c>
      <c r="D3" s="385">
        <v>187</v>
      </c>
      <c r="E3" s="385">
        <v>333</v>
      </c>
      <c r="F3" s="385">
        <v>1</v>
      </c>
      <c r="G3" s="385">
        <v>223</v>
      </c>
      <c r="H3" s="385">
        <v>78</v>
      </c>
      <c r="I3" s="385">
        <v>0</v>
      </c>
      <c r="J3" s="385">
        <v>75</v>
      </c>
      <c r="K3" s="375">
        <f>SUM(D3:J3)</f>
        <v>897</v>
      </c>
    </row>
    <row r="4" spans="1:11" ht="20.100000000000001" customHeight="1" x14ac:dyDescent="0.2">
      <c r="B4" s="612"/>
      <c r="C4" s="374" t="s">
        <v>10</v>
      </c>
      <c r="D4" s="385">
        <v>72</v>
      </c>
      <c r="E4" s="385">
        <v>186</v>
      </c>
      <c r="F4" s="385">
        <v>0</v>
      </c>
      <c r="G4" s="385">
        <v>43</v>
      </c>
      <c r="H4" s="385">
        <v>7</v>
      </c>
      <c r="I4" s="385">
        <v>0</v>
      </c>
      <c r="J4" s="385">
        <v>12</v>
      </c>
      <c r="K4" s="375">
        <f t="shared" ref="K4" si="0">SUM(D4:J4)</f>
        <v>320</v>
      </c>
    </row>
    <row r="5" spans="1:11" ht="20.100000000000001" customHeight="1" x14ac:dyDescent="0.2">
      <c r="B5" s="613"/>
      <c r="C5" s="374" t="s">
        <v>845</v>
      </c>
      <c r="D5" s="385">
        <f t="shared" ref="D5" si="1">SUM(D3:D4)</f>
        <v>259</v>
      </c>
      <c r="E5" s="385">
        <f>SUM(E3:E4)</f>
        <v>519</v>
      </c>
      <c r="F5" s="385">
        <f t="shared" ref="F5:K5" si="2">SUM(F3:F4)</f>
        <v>1</v>
      </c>
      <c r="G5" s="385">
        <f t="shared" si="2"/>
        <v>266</v>
      </c>
      <c r="H5" s="385">
        <f t="shared" si="2"/>
        <v>85</v>
      </c>
      <c r="I5" s="385">
        <f t="shared" si="2"/>
        <v>0</v>
      </c>
      <c r="J5" s="385">
        <f t="shared" si="2"/>
        <v>87</v>
      </c>
      <c r="K5" s="375">
        <f t="shared" si="2"/>
        <v>1217</v>
      </c>
    </row>
    <row r="6" spans="1:11" ht="20.100000000000001" customHeight="1" x14ac:dyDescent="0.2">
      <c r="B6" s="611" t="s">
        <v>853</v>
      </c>
      <c r="C6" s="374" t="s">
        <v>9</v>
      </c>
      <c r="D6" s="385">
        <v>55</v>
      </c>
      <c r="E6" s="385">
        <v>53</v>
      </c>
      <c r="F6" s="385">
        <v>0</v>
      </c>
      <c r="G6" s="385">
        <v>79</v>
      </c>
      <c r="H6" s="385">
        <v>36</v>
      </c>
      <c r="I6" s="385">
        <v>0</v>
      </c>
      <c r="J6" s="385">
        <v>22</v>
      </c>
      <c r="K6" s="375">
        <f t="shared" ref="K6:K7" si="3">SUM(D6:J6)</f>
        <v>245</v>
      </c>
    </row>
    <row r="7" spans="1:11" ht="20.100000000000001" customHeight="1" x14ac:dyDescent="0.2">
      <c r="B7" s="612"/>
      <c r="C7" s="374" t="s">
        <v>10</v>
      </c>
      <c r="D7" s="385">
        <v>5</v>
      </c>
      <c r="E7" s="385">
        <v>45</v>
      </c>
      <c r="F7" s="385">
        <v>0</v>
      </c>
      <c r="G7" s="385">
        <v>35</v>
      </c>
      <c r="H7" s="385">
        <v>6</v>
      </c>
      <c r="I7" s="385">
        <v>0</v>
      </c>
      <c r="J7" s="385">
        <v>1</v>
      </c>
      <c r="K7" s="375">
        <f t="shared" si="3"/>
        <v>92</v>
      </c>
    </row>
    <row r="8" spans="1:11" ht="20.100000000000001" customHeight="1" x14ac:dyDescent="0.2">
      <c r="B8" s="613"/>
      <c r="C8" s="374" t="s">
        <v>845</v>
      </c>
      <c r="D8" s="385">
        <f t="shared" ref="D8" si="4">SUM(D6:D7)</f>
        <v>60</v>
      </c>
      <c r="E8" s="385">
        <f>SUM(E6:E7)</f>
        <v>98</v>
      </c>
      <c r="F8" s="385">
        <f t="shared" ref="F8:K8" si="5">SUM(F6:F7)</f>
        <v>0</v>
      </c>
      <c r="G8" s="385">
        <f t="shared" si="5"/>
        <v>114</v>
      </c>
      <c r="H8" s="385">
        <f t="shared" si="5"/>
        <v>42</v>
      </c>
      <c r="I8" s="385">
        <f t="shared" si="5"/>
        <v>0</v>
      </c>
      <c r="J8" s="385">
        <f t="shared" si="5"/>
        <v>23</v>
      </c>
      <c r="K8" s="375">
        <f t="shared" si="5"/>
        <v>337</v>
      </c>
    </row>
    <row r="9" spans="1:11" ht="20.100000000000001" customHeight="1" x14ac:dyDescent="0.2">
      <c r="B9" s="611" t="s">
        <v>852</v>
      </c>
      <c r="C9" s="374" t="s">
        <v>9</v>
      </c>
      <c r="D9" s="385">
        <v>308</v>
      </c>
      <c r="E9" s="385">
        <v>1145</v>
      </c>
      <c r="F9" s="385">
        <v>1</v>
      </c>
      <c r="G9" s="385">
        <v>486</v>
      </c>
      <c r="H9" s="385">
        <v>47</v>
      </c>
      <c r="I9" s="385">
        <v>0</v>
      </c>
      <c r="J9" s="385">
        <v>124</v>
      </c>
      <c r="K9" s="375">
        <f t="shared" ref="K9:K10" si="6">SUM(D9:J9)</f>
        <v>2111</v>
      </c>
    </row>
    <row r="10" spans="1:11" ht="20.100000000000001" customHeight="1" x14ac:dyDescent="0.2">
      <c r="B10" s="612"/>
      <c r="C10" s="374" t="s">
        <v>10</v>
      </c>
      <c r="D10" s="385">
        <v>32</v>
      </c>
      <c r="E10" s="385">
        <v>164</v>
      </c>
      <c r="F10" s="385">
        <v>0</v>
      </c>
      <c r="G10" s="385">
        <v>72</v>
      </c>
      <c r="H10" s="385">
        <v>5</v>
      </c>
      <c r="I10" s="385">
        <v>0</v>
      </c>
      <c r="J10" s="385">
        <v>5</v>
      </c>
      <c r="K10" s="375">
        <f t="shared" si="6"/>
        <v>278</v>
      </c>
    </row>
    <row r="11" spans="1:11" ht="20.100000000000001" customHeight="1" x14ac:dyDescent="0.2">
      <c r="B11" s="613"/>
      <c r="C11" s="374" t="s">
        <v>845</v>
      </c>
      <c r="D11" s="385">
        <f t="shared" ref="D11" si="7">SUM(D9:D10)</f>
        <v>340</v>
      </c>
      <c r="E11" s="385">
        <f>SUM(E9:E10)</f>
        <v>1309</v>
      </c>
      <c r="F11" s="385">
        <f t="shared" ref="F11:K11" si="8">SUM(F9:F10)</f>
        <v>1</v>
      </c>
      <c r="G11" s="385">
        <f t="shared" si="8"/>
        <v>558</v>
      </c>
      <c r="H11" s="385">
        <f t="shared" si="8"/>
        <v>52</v>
      </c>
      <c r="I11" s="385">
        <f t="shared" si="8"/>
        <v>0</v>
      </c>
      <c r="J11" s="385">
        <f t="shared" si="8"/>
        <v>129</v>
      </c>
      <c r="K11" s="375">
        <f t="shared" si="8"/>
        <v>2389</v>
      </c>
    </row>
    <row r="12" spans="1:11" ht="20.100000000000001" customHeight="1" x14ac:dyDescent="0.2">
      <c r="B12" s="611" t="s">
        <v>851</v>
      </c>
      <c r="C12" s="374" t="s">
        <v>9</v>
      </c>
      <c r="D12" s="385">
        <v>232</v>
      </c>
      <c r="E12" s="385">
        <v>910</v>
      </c>
      <c r="F12" s="385">
        <v>1</v>
      </c>
      <c r="G12" s="385">
        <v>289</v>
      </c>
      <c r="H12" s="385">
        <v>70</v>
      </c>
      <c r="I12" s="385">
        <v>0</v>
      </c>
      <c r="J12" s="385">
        <v>93</v>
      </c>
      <c r="K12" s="375">
        <f t="shared" ref="K12:K13" si="9">SUM(D12:J12)</f>
        <v>1595</v>
      </c>
    </row>
    <row r="13" spans="1:11" ht="20.100000000000001" customHeight="1" x14ac:dyDescent="0.2">
      <c r="B13" s="612"/>
      <c r="C13" s="374" t="s">
        <v>10</v>
      </c>
      <c r="D13" s="385">
        <v>21</v>
      </c>
      <c r="E13" s="385">
        <v>135</v>
      </c>
      <c r="F13" s="385">
        <v>0</v>
      </c>
      <c r="G13" s="385">
        <v>68</v>
      </c>
      <c r="H13" s="385">
        <v>8</v>
      </c>
      <c r="I13" s="385">
        <v>0</v>
      </c>
      <c r="J13" s="385">
        <v>3</v>
      </c>
      <c r="K13" s="375">
        <f t="shared" si="9"/>
        <v>235</v>
      </c>
    </row>
    <row r="14" spans="1:11" ht="20.100000000000001" customHeight="1" x14ac:dyDescent="0.2">
      <c r="B14" s="613"/>
      <c r="C14" s="374" t="s">
        <v>845</v>
      </c>
      <c r="D14" s="385">
        <f t="shared" ref="D14" si="10">SUM(D12:D13)</f>
        <v>253</v>
      </c>
      <c r="E14" s="385">
        <f>SUM(E12:E13)</f>
        <v>1045</v>
      </c>
      <c r="F14" s="385">
        <f t="shared" ref="F14:K14" si="11">SUM(F12:F13)</f>
        <v>1</v>
      </c>
      <c r="G14" s="385">
        <f t="shared" si="11"/>
        <v>357</v>
      </c>
      <c r="H14" s="385">
        <f t="shared" si="11"/>
        <v>78</v>
      </c>
      <c r="I14" s="385">
        <f t="shared" si="11"/>
        <v>0</v>
      </c>
      <c r="J14" s="385">
        <f t="shared" si="11"/>
        <v>96</v>
      </c>
      <c r="K14" s="375">
        <f t="shared" si="11"/>
        <v>1830</v>
      </c>
    </row>
    <row r="15" spans="1:11" ht="20.100000000000001" customHeight="1" x14ac:dyDescent="0.2">
      <c r="B15" s="611" t="s">
        <v>850</v>
      </c>
      <c r="C15" s="374" t="s">
        <v>9</v>
      </c>
      <c r="D15" s="385">
        <v>176</v>
      </c>
      <c r="E15" s="385">
        <v>1136</v>
      </c>
      <c r="F15" s="385">
        <v>0</v>
      </c>
      <c r="G15" s="385">
        <v>156</v>
      </c>
      <c r="H15" s="385">
        <v>39</v>
      </c>
      <c r="I15" s="385">
        <v>0</v>
      </c>
      <c r="J15" s="385">
        <v>71</v>
      </c>
      <c r="K15" s="375">
        <f t="shared" ref="K15:K16" si="12">SUM(D15:J15)</f>
        <v>1578</v>
      </c>
    </row>
    <row r="16" spans="1:11" ht="20.100000000000001" customHeight="1" x14ac:dyDescent="0.2">
      <c r="B16" s="612"/>
      <c r="C16" s="374" t="s">
        <v>10</v>
      </c>
      <c r="D16" s="385">
        <v>3</v>
      </c>
      <c r="E16" s="385">
        <v>44</v>
      </c>
      <c r="F16" s="385">
        <v>0</v>
      </c>
      <c r="G16" s="385">
        <v>7</v>
      </c>
      <c r="H16" s="385">
        <v>1</v>
      </c>
      <c r="I16" s="385">
        <v>0</v>
      </c>
      <c r="J16" s="385">
        <v>0</v>
      </c>
      <c r="K16" s="375">
        <f t="shared" si="12"/>
        <v>55</v>
      </c>
    </row>
    <row r="17" spans="2:11" ht="20.100000000000001" customHeight="1" x14ac:dyDescent="0.2">
      <c r="B17" s="613"/>
      <c r="C17" s="374" t="s">
        <v>845</v>
      </c>
      <c r="D17" s="385">
        <f t="shared" ref="D17" si="13">SUM(D15:D16)</f>
        <v>179</v>
      </c>
      <c r="E17" s="385">
        <f>SUM(E15:E16)</f>
        <v>1180</v>
      </c>
      <c r="F17" s="385">
        <f t="shared" ref="F17:K17" si="14">SUM(F15:F16)</f>
        <v>0</v>
      </c>
      <c r="G17" s="385">
        <f t="shared" si="14"/>
        <v>163</v>
      </c>
      <c r="H17" s="385">
        <f t="shared" si="14"/>
        <v>40</v>
      </c>
      <c r="I17" s="385">
        <f t="shared" si="14"/>
        <v>0</v>
      </c>
      <c r="J17" s="385">
        <f t="shared" si="14"/>
        <v>71</v>
      </c>
      <c r="K17" s="375">
        <f t="shared" si="14"/>
        <v>1633</v>
      </c>
    </row>
    <row r="18" spans="2:11" ht="20.100000000000001" customHeight="1" x14ac:dyDescent="0.2">
      <c r="B18" s="611" t="s">
        <v>849</v>
      </c>
      <c r="C18" s="374" t="s">
        <v>9</v>
      </c>
      <c r="D18" s="385">
        <v>82</v>
      </c>
      <c r="E18" s="385">
        <v>988</v>
      </c>
      <c r="F18" s="385">
        <v>0</v>
      </c>
      <c r="G18" s="385">
        <v>122</v>
      </c>
      <c r="H18" s="385">
        <v>39</v>
      </c>
      <c r="I18" s="385">
        <v>0</v>
      </c>
      <c r="J18" s="385">
        <v>33</v>
      </c>
      <c r="K18" s="375">
        <f t="shared" ref="K18:K19" si="15">SUM(D18:J18)</f>
        <v>1264</v>
      </c>
    </row>
    <row r="19" spans="2:11" ht="20.100000000000001" customHeight="1" x14ac:dyDescent="0.2">
      <c r="B19" s="612"/>
      <c r="C19" s="374" t="s">
        <v>10</v>
      </c>
      <c r="D19" s="385">
        <v>18</v>
      </c>
      <c r="E19" s="385">
        <v>296</v>
      </c>
      <c r="F19" s="385">
        <v>0</v>
      </c>
      <c r="G19" s="385">
        <v>52</v>
      </c>
      <c r="H19" s="385">
        <v>8</v>
      </c>
      <c r="I19" s="385">
        <v>1</v>
      </c>
      <c r="J19" s="385">
        <v>3</v>
      </c>
      <c r="K19" s="375">
        <f t="shared" si="15"/>
        <v>378</v>
      </c>
    </row>
    <row r="20" spans="2:11" ht="20.100000000000001" customHeight="1" x14ac:dyDescent="0.2">
      <c r="B20" s="613"/>
      <c r="C20" s="374" t="s">
        <v>845</v>
      </c>
      <c r="D20" s="385">
        <f t="shared" ref="D20" si="16">SUM(D18:D19)</f>
        <v>100</v>
      </c>
      <c r="E20" s="385">
        <f>SUM(E18:E19)</f>
        <v>1284</v>
      </c>
      <c r="F20" s="385">
        <f t="shared" ref="F20:K20" si="17">SUM(F18:F19)</f>
        <v>0</v>
      </c>
      <c r="G20" s="385">
        <f t="shared" si="17"/>
        <v>174</v>
      </c>
      <c r="H20" s="385">
        <f t="shared" si="17"/>
        <v>47</v>
      </c>
      <c r="I20" s="385">
        <f t="shared" si="17"/>
        <v>1</v>
      </c>
      <c r="J20" s="385">
        <f t="shared" si="17"/>
        <v>36</v>
      </c>
      <c r="K20" s="375">
        <f t="shared" si="17"/>
        <v>1642</v>
      </c>
    </row>
    <row r="21" spans="2:11" ht="20.100000000000001" customHeight="1" x14ac:dyDescent="0.2">
      <c r="B21" s="611" t="s">
        <v>848</v>
      </c>
      <c r="C21" s="374" t="s">
        <v>9</v>
      </c>
      <c r="D21" s="385">
        <v>3</v>
      </c>
      <c r="E21" s="385">
        <v>1</v>
      </c>
      <c r="F21" s="385">
        <v>0</v>
      </c>
      <c r="G21" s="385">
        <v>1</v>
      </c>
      <c r="H21" s="385">
        <v>3</v>
      </c>
      <c r="I21" s="385">
        <v>0</v>
      </c>
      <c r="J21" s="385">
        <v>0</v>
      </c>
      <c r="K21" s="375">
        <f t="shared" ref="K21:K22" si="18">SUM(D21:J21)</f>
        <v>8</v>
      </c>
    </row>
    <row r="22" spans="2:11" ht="20.100000000000001" customHeight="1" x14ac:dyDescent="0.2">
      <c r="B22" s="612"/>
      <c r="C22" s="374" t="s">
        <v>10</v>
      </c>
      <c r="D22" s="385">
        <v>0</v>
      </c>
      <c r="E22" s="385">
        <v>0</v>
      </c>
      <c r="F22" s="385">
        <v>0</v>
      </c>
      <c r="G22" s="385">
        <v>0</v>
      </c>
      <c r="H22" s="385">
        <v>0</v>
      </c>
      <c r="I22" s="385">
        <v>0</v>
      </c>
      <c r="J22" s="385">
        <v>0</v>
      </c>
      <c r="K22" s="375">
        <f t="shared" si="18"/>
        <v>0</v>
      </c>
    </row>
    <row r="23" spans="2:11" ht="20.100000000000001" customHeight="1" x14ac:dyDescent="0.2">
      <c r="B23" s="613"/>
      <c r="C23" s="374" t="s">
        <v>845</v>
      </c>
      <c r="D23" s="385">
        <f t="shared" ref="D23" si="19">SUM(D21:D22)</f>
        <v>3</v>
      </c>
      <c r="E23" s="385">
        <f>SUM(E21:E22)</f>
        <v>1</v>
      </c>
      <c r="F23" s="385">
        <f t="shared" ref="F23:K23" si="20">SUM(F21:F22)</f>
        <v>0</v>
      </c>
      <c r="G23" s="385">
        <f t="shared" si="20"/>
        <v>1</v>
      </c>
      <c r="H23" s="385">
        <f t="shared" si="20"/>
        <v>3</v>
      </c>
      <c r="I23" s="385">
        <f t="shared" si="20"/>
        <v>0</v>
      </c>
      <c r="J23" s="385">
        <f t="shared" si="20"/>
        <v>0</v>
      </c>
      <c r="K23" s="375">
        <f t="shared" si="20"/>
        <v>8</v>
      </c>
    </row>
    <row r="24" spans="2:11" ht="20.100000000000001" customHeight="1" x14ac:dyDescent="0.2">
      <c r="B24" s="611" t="s">
        <v>51</v>
      </c>
      <c r="C24" s="374" t="s">
        <v>9</v>
      </c>
      <c r="D24" s="385">
        <v>156</v>
      </c>
      <c r="E24" s="385">
        <v>123</v>
      </c>
      <c r="F24" s="385">
        <v>0</v>
      </c>
      <c r="G24" s="385">
        <v>54</v>
      </c>
      <c r="H24" s="385">
        <v>18</v>
      </c>
      <c r="I24" s="385">
        <v>0</v>
      </c>
      <c r="J24" s="385">
        <v>1</v>
      </c>
      <c r="K24" s="375">
        <f t="shared" ref="K24:K25" si="21">SUM(D24:J24)</f>
        <v>352</v>
      </c>
    </row>
    <row r="25" spans="2:11" ht="20.100000000000001" customHeight="1" x14ac:dyDescent="0.2">
      <c r="B25" s="612"/>
      <c r="C25" s="374" t="s">
        <v>10</v>
      </c>
      <c r="D25" s="385">
        <v>5</v>
      </c>
      <c r="E25" s="385">
        <v>11</v>
      </c>
      <c r="F25" s="385">
        <v>0</v>
      </c>
      <c r="G25" s="385">
        <v>7</v>
      </c>
      <c r="H25" s="385">
        <v>1</v>
      </c>
      <c r="I25" s="385">
        <v>0</v>
      </c>
      <c r="J25" s="385">
        <v>0</v>
      </c>
      <c r="K25" s="375">
        <f t="shared" si="21"/>
        <v>24</v>
      </c>
    </row>
    <row r="26" spans="2:11" ht="20.100000000000001" customHeight="1" x14ac:dyDescent="0.2">
      <c r="B26" s="613"/>
      <c r="C26" s="374" t="s">
        <v>845</v>
      </c>
      <c r="D26" s="385">
        <f t="shared" ref="D26" si="22">SUM(D24:D25)</f>
        <v>161</v>
      </c>
      <c r="E26" s="385">
        <f>SUM(E24:E25)</f>
        <v>134</v>
      </c>
      <c r="F26" s="385">
        <f t="shared" ref="F26:K26" si="23">SUM(F24:F25)</f>
        <v>0</v>
      </c>
      <c r="G26" s="385">
        <f t="shared" si="23"/>
        <v>61</v>
      </c>
      <c r="H26" s="385">
        <f t="shared" si="23"/>
        <v>19</v>
      </c>
      <c r="I26" s="385">
        <f t="shared" si="23"/>
        <v>0</v>
      </c>
      <c r="J26" s="385">
        <f t="shared" si="23"/>
        <v>1</v>
      </c>
      <c r="K26" s="375">
        <f t="shared" si="23"/>
        <v>376</v>
      </c>
    </row>
    <row r="27" spans="2:11" ht="20.100000000000001" customHeight="1" x14ac:dyDescent="0.2">
      <c r="B27" s="611" t="s">
        <v>847</v>
      </c>
      <c r="C27" s="374" t="s">
        <v>9</v>
      </c>
      <c r="D27" s="385">
        <v>4</v>
      </c>
      <c r="E27" s="385">
        <v>10</v>
      </c>
      <c r="F27" s="385">
        <v>0</v>
      </c>
      <c r="G27" s="385">
        <v>1</v>
      </c>
      <c r="H27" s="385">
        <v>1</v>
      </c>
      <c r="I27" s="385">
        <v>0</v>
      </c>
      <c r="J27" s="385">
        <v>0</v>
      </c>
      <c r="K27" s="375">
        <f t="shared" ref="K27:K28" si="24">SUM(D27:J27)</f>
        <v>16</v>
      </c>
    </row>
    <row r="28" spans="2:11" ht="20.100000000000001" customHeight="1" x14ac:dyDescent="0.2">
      <c r="B28" s="612"/>
      <c r="C28" s="374" t="s">
        <v>10</v>
      </c>
      <c r="D28" s="385">
        <v>5</v>
      </c>
      <c r="E28" s="385">
        <v>8</v>
      </c>
      <c r="F28" s="385">
        <v>0</v>
      </c>
      <c r="G28" s="385">
        <v>3</v>
      </c>
      <c r="H28" s="385">
        <v>1</v>
      </c>
      <c r="I28" s="385">
        <v>0</v>
      </c>
      <c r="J28" s="385">
        <v>0</v>
      </c>
      <c r="K28" s="375">
        <f t="shared" si="24"/>
        <v>17</v>
      </c>
    </row>
    <row r="29" spans="2:11" ht="20.100000000000001" customHeight="1" x14ac:dyDescent="0.2">
      <c r="B29" s="613"/>
      <c r="C29" s="374" t="s">
        <v>845</v>
      </c>
      <c r="D29" s="385">
        <f t="shared" ref="D29" si="25">SUM(D27:D28)</f>
        <v>9</v>
      </c>
      <c r="E29" s="385">
        <f>SUM(E27:E28)</f>
        <v>18</v>
      </c>
      <c r="F29" s="385">
        <f t="shared" ref="F29:K29" si="26">SUM(F27:F28)</f>
        <v>0</v>
      </c>
      <c r="G29" s="385">
        <f t="shared" si="26"/>
        <v>4</v>
      </c>
      <c r="H29" s="385">
        <f t="shared" si="26"/>
        <v>2</v>
      </c>
      <c r="I29" s="385">
        <f t="shared" si="26"/>
        <v>0</v>
      </c>
      <c r="J29" s="385">
        <f t="shared" si="26"/>
        <v>0</v>
      </c>
      <c r="K29" s="375">
        <f t="shared" si="26"/>
        <v>33</v>
      </c>
    </row>
    <row r="30" spans="2:11" ht="20.100000000000001" customHeight="1" x14ac:dyDescent="0.2">
      <c r="B30" s="611" t="s">
        <v>846</v>
      </c>
      <c r="C30" s="374" t="s">
        <v>9</v>
      </c>
      <c r="D30" s="385">
        <v>73</v>
      </c>
      <c r="E30" s="385">
        <v>68</v>
      </c>
      <c r="F30" s="385">
        <v>1</v>
      </c>
      <c r="G30" s="385">
        <v>18</v>
      </c>
      <c r="H30" s="385">
        <v>3</v>
      </c>
      <c r="I30" s="385">
        <v>0</v>
      </c>
      <c r="J30" s="385">
        <v>94</v>
      </c>
      <c r="K30" s="375">
        <f t="shared" ref="K30:K31" si="27">SUM(D30:J30)</f>
        <v>257</v>
      </c>
    </row>
    <row r="31" spans="2:11" ht="20.100000000000001" customHeight="1" x14ac:dyDescent="0.2">
      <c r="B31" s="612"/>
      <c r="C31" s="374" t="s">
        <v>10</v>
      </c>
      <c r="D31" s="385">
        <v>13</v>
      </c>
      <c r="E31" s="385">
        <v>6</v>
      </c>
      <c r="F31" s="385">
        <v>0</v>
      </c>
      <c r="G31" s="385">
        <v>6</v>
      </c>
      <c r="H31" s="385">
        <v>1</v>
      </c>
      <c r="I31" s="385">
        <v>0</v>
      </c>
      <c r="J31" s="385">
        <v>3</v>
      </c>
      <c r="K31" s="375">
        <f t="shared" si="27"/>
        <v>29</v>
      </c>
    </row>
    <row r="32" spans="2:11" ht="20.100000000000001" customHeight="1" x14ac:dyDescent="0.2">
      <c r="B32" s="613"/>
      <c r="C32" s="374" t="s">
        <v>845</v>
      </c>
      <c r="D32" s="385">
        <f t="shared" ref="D32" si="28">SUM(D30:D31)</f>
        <v>86</v>
      </c>
      <c r="E32" s="385">
        <f>SUM(E30:E31)</f>
        <v>74</v>
      </c>
      <c r="F32" s="385">
        <f t="shared" ref="F32:K32" si="29">SUM(F30:F31)</f>
        <v>1</v>
      </c>
      <c r="G32" s="385">
        <f t="shared" si="29"/>
        <v>24</v>
      </c>
      <c r="H32" s="385">
        <f t="shared" si="29"/>
        <v>4</v>
      </c>
      <c r="I32" s="385">
        <f t="shared" si="29"/>
        <v>0</v>
      </c>
      <c r="J32" s="385">
        <f t="shared" si="29"/>
        <v>97</v>
      </c>
      <c r="K32" s="375">
        <f t="shared" si="29"/>
        <v>286</v>
      </c>
    </row>
    <row r="33" spans="2:11" ht="20.100000000000001" customHeight="1" x14ac:dyDescent="0.2">
      <c r="B33" s="611" t="s">
        <v>575</v>
      </c>
      <c r="C33" s="374" t="s">
        <v>9</v>
      </c>
      <c r="D33" s="375">
        <f>D3+D6+D9+D12+D15+D18+D21+D24+D27+D30</f>
        <v>1276</v>
      </c>
      <c r="E33" s="375">
        <f t="shared" ref="E33:K33" si="30">E3+E6+E9+E12+E15+E18+E21+E24+E27+E30</f>
        <v>4767</v>
      </c>
      <c r="F33" s="375">
        <f t="shared" si="30"/>
        <v>4</v>
      </c>
      <c r="G33" s="375">
        <f t="shared" si="30"/>
        <v>1429</v>
      </c>
      <c r="H33" s="375">
        <f t="shared" si="30"/>
        <v>334</v>
      </c>
      <c r="I33" s="375">
        <f t="shared" si="30"/>
        <v>0</v>
      </c>
      <c r="J33" s="375">
        <f t="shared" si="30"/>
        <v>513</v>
      </c>
      <c r="K33" s="375">
        <f t="shared" si="30"/>
        <v>8323</v>
      </c>
    </row>
    <row r="34" spans="2:11" ht="20.100000000000001" customHeight="1" x14ac:dyDescent="0.2">
      <c r="B34" s="612"/>
      <c r="C34" s="374" t="s">
        <v>10</v>
      </c>
      <c r="D34" s="375">
        <f t="shared" ref="D34:K35" si="31">D4+D7+D10+D13+D16+D19+D22+D25+D28+D31</f>
        <v>174</v>
      </c>
      <c r="E34" s="375">
        <f t="shared" si="31"/>
        <v>895</v>
      </c>
      <c r="F34" s="375">
        <f t="shared" si="31"/>
        <v>0</v>
      </c>
      <c r="G34" s="375">
        <f t="shared" si="31"/>
        <v>293</v>
      </c>
      <c r="H34" s="375">
        <f t="shared" si="31"/>
        <v>38</v>
      </c>
      <c r="I34" s="375">
        <f t="shared" si="31"/>
        <v>1</v>
      </c>
      <c r="J34" s="375">
        <f t="shared" si="31"/>
        <v>27</v>
      </c>
      <c r="K34" s="375">
        <f t="shared" si="31"/>
        <v>1428</v>
      </c>
    </row>
    <row r="35" spans="2:11" ht="20.100000000000001" customHeight="1" x14ac:dyDescent="0.2">
      <c r="B35" s="613"/>
      <c r="C35" s="374" t="s">
        <v>845</v>
      </c>
      <c r="D35" s="375">
        <f t="shared" si="31"/>
        <v>1450</v>
      </c>
      <c r="E35" s="375">
        <f t="shared" si="31"/>
        <v>5662</v>
      </c>
      <c r="F35" s="375">
        <f t="shared" si="31"/>
        <v>4</v>
      </c>
      <c r="G35" s="375">
        <f t="shared" si="31"/>
        <v>1722</v>
      </c>
      <c r="H35" s="375">
        <f t="shared" si="31"/>
        <v>372</v>
      </c>
      <c r="I35" s="375">
        <f t="shared" si="31"/>
        <v>1</v>
      </c>
      <c r="J35" s="375">
        <f t="shared" si="31"/>
        <v>540</v>
      </c>
      <c r="K35" s="375">
        <f t="shared" si="31"/>
        <v>9751</v>
      </c>
    </row>
    <row r="36" spans="2:11" ht="20.100000000000001" customHeight="1" x14ac:dyDescent="0.2"/>
    <row r="37" spans="2:11" ht="20.100000000000001" customHeight="1" x14ac:dyDescent="0.2"/>
    <row r="38" spans="2:11" ht="20.100000000000001" customHeight="1" x14ac:dyDescent="0.2"/>
    <row r="39" spans="2:11" ht="20.100000000000001" customHeight="1" x14ac:dyDescent="0.2"/>
    <row r="40" spans="2:11" ht="20.100000000000001" customHeight="1" x14ac:dyDescent="0.2"/>
    <row r="41" spans="2:11" ht="20.100000000000001" customHeight="1" x14ac:dyDescent="0.2"/>
    <row r="42" spans="2:11" ht="20.100000000000001" customHeight="1" x14ac:dyDescent="0.2"/>
    <row r="43" spans="2:11" ht="20.100000000000001" customHeight="1" x14ac:dyDescent="0.2"/>
    <row r="44" spans="2:11" ht="20.100000000000001" customHeight="1" x14ac:dyDescent="0.2"/>
    <row r="45" spans="2:11" ht="20.100000000000001" customHeight="1" x14ac:dyDescent="0.2"/>
    <row r="46" spans="2:11" ht="20.100000000000001" customHeight="1" x14ac:dyDescent="0.2"/>
    <row r="47" spans="2:11" ht="20.100000000000001" customHeight="1" x14ac:dyDescent="0.2"/>
    <row r="48" spans="2:11" ht="20.100000000000001" customHeight="1" x14ac:dyDescent="0.2"/>
    <row r="49" ht="20.100000000000001" customHeight="1" x14ac:dyDescent="0.2"/>
    <row r="50" ht="20.100000000000001" customHeight="1" x14ac:dyDescent="0.2"/>
    <row r="51" ht="20.100000000000001" customHeight="1" x14ac:dyDescent="0.2"/>
    <row r="52" ht="20.100000000000001" customHeight="1" x14ac:dyDescent="0.2"/>
    <row r="53" ht="20.100000000000001" customHeight="1" x14ac:dyDescent="0.2"/>
    <row r="54" ht="20.100000000000001" customHeight="1" x14ac:dyDescent="0.2"/>
    <row r="55" ht="20.100000000000001" customHeight="1" x14ac:dyDescent="0.2"/>
    <row r="56" ht="20.100000000000001" customHeight="1" x14ac:dyDescent="0.2"/>
    <row r="57" ht="20.100000000000001" customHeight="1" x14ac:dyDescent="0.2"/>
    <row r="58" ht="20.100000000000001" customHeight="1" x14ac:dyDescent="0.2"/>
    <row r="59" ht="20.100000000000001" customHeight="1" x14ac:dyDescent="0.2"/>
    <row r="60" ht="20.100000000000001" customHeight="1" x14ac:dyDescent="0.2"/>
    <row r="61" ht="20.100000000000001" customHeight="1" x14ac:dyDescent="0.2"/>
    <row r="62" ht="20.100000000000001" customHeight="1" x14ac:dyDescent="0.2"/>
    <row r="63" ht="20.100000000000001" customHeight="1" x14ac:dyDescent="0.2"/>
    <row r="64" ht="20.100000000000001" customHeight="1" x14ac:dyDescent="0.2"/>
    <row r="65" ht="20.100000000000001" customHeight="1" x14ac:dyDescent="0.2"/>
    <row r="66" ht="20.100000000000001" customHeight="1" x14ac:dyDescent="0.2"/>
    <row r="67" ht="20.100000000000001" customHeight="1" x14ac:dyDescent="0.2"/>
    <row r="68" ht="20.100000000000001" customHeight="1" x14ac:dyDescent="0.2"/>
    <row r="69" ht="20.100000000000001" customHeight="1" x14ac:dyDescent="0.2"/>
    <row r="70" ht="20.100000000000001" customHeight="1" x14ac:dyDescent="0.2"/>
    <row r="71" ht="20.100000000000001" customHeight="1" x14ac:dyDescent="0.2"/>
    <row r="72" ht="20.100000000000001" customHeight="1" x14ac:dyDescent="0.2"/>
    <row r="73" ht="20.100000000000001" customHeight="1" x14ac:dyDescent="0.2"/>
    <row r="74" ht="20.100000000000001" customHeight="1" x14ac:dyDescent="0.2"/>
    <row r="75" ht="20.100000000000001" customHeight="1" x14ac:dyDescent="0.2"/>
    <row r="76" ht="20.100000000000001" customHeight="1" x14ac:dyDescent="0.2"/>
    <row r="77" ht="20.100000000000001" customHeight="1" x14ac:dyDescent="0.2"/>
    <row r="78" ht="20.100000000000001" customHeight="1" x14ac:dyDescent="0.2"/>
    <row r="79" ht="20.100000000000001" customHeight="1" x14ac:dyDescent="0.2"/>
    <row r="80" ht="20.100000000000001" customHeight="1" x14ac:dyDescent="0.2"/>
  </sheetData>
  <mergeCells count="12">
    <mergeCell ref="B33:B35"/>
    <mergeCell ref="B1:K1"/>
    <mergeCell ref="B3:B5"/>
    <mergeCell ref="B6:B8"/>
    <mergeCell ref="B9:B11"/>
    <mergeCell ref="B12:B14"/>
    <mergeCell ref="B15:B17"/>
    <mergeCell ref="B18:B20"/>
    <mergeCell ref="B21:B23"/>
    <mergeCell ref="B24:B26"/>
    <mergeCell ref="B27:B29"/>
    <mergeCell ref="B30:B3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92"/>
  <sheetViews>
    <sheetView rightToLeft="1" zoomScale="74" zoomScaleNormal="74" workbookViewId="0">
      <selection activeCell="N20" sqref="N20"/>
    </sheetView>
  </sheetViews>
  <sheetFormatPr defaultRowHeight="14.25" x14ac:dyDescent="0.2"/>
  <cols>
    <col min="1" max="2" width="9" style="160"/>
    <col min="3" max="3" width="30" style="372" bestFit="1" customWidth="1"/>
    <col min="4" max="4" width="9" style="372"/>
    <col min="5" max="5" width="10.625" style="372" bestFit="1" customWidth="1"/>
    <col min="6" max="6" width="9.25" style="372" bestFit="1" customWidth="1"/>
    <col min="7" max="7" width="9" style="372" bestFit="1" customWidth="1"/>
    <col min="8" max="8" width="9.625" style="372" customWidth="1"/>
    <col min="9" max="11" width="9" style="372"/>
    <col min="12" max="12" width="10.625" style="372" customWidth="1"/>
    <col min="13" max="16384" width="9" style="160"/>
  </cols>
  <sheetData>
    <row r="1" spans="3:12" ht="57" customHeight="1" x14ac:dyDescent="0.2">
      <c r="C1" s="623" t="s">
        <v>881</v>
      </c>
      <c r="D1" s="623"/>
      <c r="E1" s="623"/>
      <c r="F1" s="623"/>
      <c r="G1" s="623"/>
      <c r="H1" s="623"/>
      <c r="I1" s="623"/>
      <c r="J1" s="623"/>
      <c r="K1" s="623"/>
      <c r="L1" s="623"/>
    </row>
    <row r="2" spans="3:12" ht="38.25" customHeight="1" x14ac:dyDescent="0.2">
      <c r="C2" s="373" t="s">
        <v>871</v>
      </c>
      <c r="D2" s="373" t="s">
        <v>7</v>
      </c>
      <c r="E2" s="373" t="s">
        <v>61</v>
      </c>
      <c r="F2" s="373" t="s">
        <v>60</v>
      </c>
      <c r="G2" s="373" t="s">
        <v>59</v>
      </c>
      <c r="H2" s="373" t="s">
        <v>57</v>
      </c>
      <c r="I2" s="373" t="s">
        <v>56</v>
      </c>
      <c r="J2" s="373" t="s">
        <v>870</v>
      </c>
      <c r="K2" s="373" t="s">
        <v>53</v>
      </c>
      <c r="L2" s="373" t="s">
        <v>4</v>
      </c>
    </row>
    <row r="3" spans="3:12" ht="24" customHeight="1" x14ac:dyDescent="0.2">
      <c r="C3" s="619" t="s">
        <v>14</v>
      </c>
      <c r="D3" s="374" t="s">
        <v>9</v>
      </c>
      <c r="E3" s="377">
        <v>363</v>
      </c>
      <c r="F3" s="377">
        <v>175</v>
      </c>
      <c r="G3" s="377">
        <v>2</v>
      </c>
      <c r="H3" s="377">
        <v>0</v>
      </c>
      <c r="I3" s="377">
        <v>0</v>
      </c>
      <c r="J3" s="377">
        <v>0</v>
      </c>
      <c r="K3" s="377">
        <v>146</v>
      </c>
      <c r="L3" s="377">
        <f t="shared" ref="L3:L67" si="0">SUM(E3:K3)</f>
        <v>686</v>
      </c>
    </row>
    <row r="4" spans="3:12" ht="24" customHeight="1" x14ac:dyDescent="0.2">
      <c r="C4" s="620"/>
      <c r="D4" s="374" t="s">
        <v>10</v>
      </c>
      <c r="E4" s="377">
        <v>147</v>
      </c>
      <c r="F4" s="377">
        <v>504</v>
      </c>
      <c r="G4" s="377">
        <v>0</v>
      </c>
      <c r="H4" s="377">
        <v>0</v>
      </c>
      <c r="I4" s="377">
        <v>0</v>
      </c>
      <c r="J4" s="377">
        <v>0</v>
      </c>
      <c r="K4" s="377">
        <v>23</v>
      </c>
      <c r="L4" s="377">
        <f t="shared" si="0"/>
        <v>674</v>
      </c>
    </row>
    <row r="5" spans="3:12" ht="24" customHeight="1" x14ac:dyDescent="0.2">
      <c r="C5" s="621"/>
      <c r="D5" s="374" t="s">
        <v>845</v>
      </c>
      <c r="E5" s="377">
        <f>SUM(E3:E4)</f>
        <v>510</v>
      </c>
      <c r="F5" s="377">
        <f t="shared" ref="F5:L5" si="1">SUM(F3:F4)</f>
        <v>679</v>
      </c>
      <c r="G5" s="377">
        <f t="shared" si="1"/>
        <v>2</v>
      </c>
      <c r="H5" s="377">
        <f t="shared" si="1"/>
        <v>0</v>
      </c>
      <c r="I5" s="377">
        <f t="shared" si="1"/>
        <v>0</v>
      </c>
      <c r="J5" s="377">
        <f t="shared" si="1"/>
        <v>0</v>
      </c>
      <c r="K5" s="377">
        <f t="shared" si="1"/>
        <v>169</v>
      </c>
      <c r="L5" s="377">
        <f t="shared" si="1"/>
        <v>1360</v>
      </c>
    </row>
    <row r="6" spans="3:12" ht="24" customHeight="1" x14ac:dyDescent="0.2">
      <c r="C6" s="619" t="s">
        <v>869</v>
      </c>
      <c r="D6" s="374" t="s">
        <v>9</v>
      </c>
      <c r="E6" s="377">
        <v>16</v>
      </c>
      <c r="F6" s="377">
        <v>268</v>
      </c>
      <c r="G6" s="377">
        <v>0</v>
      </c>
      <c r="H6" s="377">
        <v>53</v>
      </c>
      <c r="I6" s="377">
        <v>4</v>
      </c>
      <c r="J6" s="377">
        <v>0</v>
      </c>
      <c r="K6" s="377">
        <v>7</v>
      </c>
      <c r="L6" s="377">
        <f t="shared" si="0"/>
        <v>348</v>
      </c>
    </row>
    <row r="7" spans="3:12" ht="24" customHeight="1" x14ac:dyDescent="0.2">
      <c r="C7" s="620"/>
      <c r="D7" s="374" t="s">
        <v>10</v>
      </c>
      <c r="E7" s="377">
        <v>7</v>
      </c>
      <c r="F7" s="377">
        <v>367</v>
      </c>
      <c r="G7" s="377">
        <v>0</v>
      </c>
      <c r="H7" s="377">
        <v>62</v>
      </c>
      <c r="I7" s="377">
        <v>1</v>
      </c>
      <c r="J7" s="377">
        <v>0</v>
      </c>
      <c r="K7" s="377">
        <v>1</v>
      </c>
      <c r="L7" s="377">
        <f t="shared" si="0"/>
        <v>438</v>
      </c>
    </row>
    <row r="8" spans="3:12" ht="24" customHeight="1" x14ac:dyDescent="0.2">
      <c r="C8" s="621"/>
      <c r="D8" s="374" t="s">
        <v>845</v>
      </c>
      <c r="E8" s="377">
        <f>SUM(E6:E7)</f>
        <v>23</v>
      </c>
      <c r="F8" s="377">
        <f t="shared" ref="F8:L8" si="2">SUM(F6:F7)</f>
        <v>635</v>
      </c>
      <c r="G8" s="377">
        <f t="shared" si="2"/>
        <v>0</v>
      </c>
      <c r="H8" s="377">
        <f t="shared" si="2"/>
        <v>115</v>
      </c>
      <c r="I8" s="377">
        <f t="shared" si="2"/>
        <v>5</v>
      </c>
      <c r="J8" s="377">
        <f t="shared" si="2"/>
        <v>0</v>
      </c>
      <c r="K8" s="377">
        <f t="shared" si="2"/>
        <v>8</v>
      </c>
      <c r="L8" s="377">
        <f t="shared" si="2"/>
        <v>786</v>
      </c>
    </row>
    <row r="9" spans="3:12" ht="24" customHeight="1" x14ac:dyDescent="0.2">
      <c r="C9" s="619" t="s">
        <v>868</v>
      </c>
      <c r="D9" s="374" t="s">
        <v>9</v>
      </c>
      <c r="E9" s="377">
        <v>1</v>
      </c>
      <c r="F9" s="377">
        <v>24</v>
      </c>
      <c r="G9" s="377">
        <v>0</v>
      </c>
      <c r="H9" s="377">
        <v>0</v>
      </c>
      <c r="I9" s="377">
        <v>0</v>
      </c>
      <c r="J9" s="377">
        <v>0</v>
      </c>
      <c r="K9" s="377">
        <v>0</v>
      </c>
      <c r="L9" s="377">
        <f t="shared" si="0"/>
        <v>25</v>
      </c>
    </row>
    <row r="10" spans="3:12" ht="24" customHeight="1" x14ac:dyDescent="0.2">
      <c r="C10" s="620"/>
      <c r="D10" s="374" t="s">
        <v>10</v>
      </c>
      <c r="E10" s="377">
        <v>0</v>
      </c>
      <c r="F10" s="377">
        <v>19</v>
      </c>
      <c r="G10" s="377">
        <v>0</v>
      </c>
      <c r="H10" s="377">
        <v>0</v>
      </c>
      <c r="I10" s="377">
        <v>0</v>
      </c>
      <c r="J10" s="377">
        <v>0</v>
      </c>
      <c r="K10" s="377">
        <v>0</v>
      </c>
      <c r="L10" s="377">
        <f t="shared" si="0"/>
        <v>19</v>
      </c>
    </row>
    <row r="11" spans="3:12" ht="24" customHeight="1" x14ac:dyDescent="0.2">
      <c r="C11" s="621"/>
      <c r="D11" s="374" t="s">
        <v>845</v>
      </c>
      <c r="E11" s="377">
        <f>SUM(E9:E10)</f>
        <v>1</v>
      </c>
      <c r="F11" s="377">
        <f t="shared" ref="F11:L11" si="3">SUM(F9:F10)</f>
        <v>43</v>
      </c>
      <c r="G11" s="377">
        <f t="shared" si="3"/>
        <v>0</v>
      </c>
      <c r="H11" s="377">
        <f t="shared" si="3"/>
        <v>0</v>
      </c>
      <c r="I11" s="377">
        <f t="shared" si="3"/>
        <v>0</v>
      </c>
      <c r="J11" s="377">
        <f t="shared" si="3"/>
        <v>0</v>
      </c>
      <c r="K11" s="377">
        <f t="shared" si="3"/>
        <v>0</v>
      </c>
      <c r="L11" s="377">
        <f t="shared" si="3"/>
        <v>44</v>
      </c>
    </row>
    <row r="12" spans="3:12" ht="24" customHeight="1" x14ac:dyDescent="0.2">
      <c r="C12" s="619" t="s">
        <v>867</v>
      </c>
      <c r="D12" s="374" t="s">
        <v>9</v>
      </c>
      <c r="E12" s="377">
        <v>10</v>
      </c>
      <c r="F12" s="377">
        <v>308</v>
      </c>
      <c r="G12" s="377">
        <v>0</v>
      </c>
      <c r="H12" s="377">
        <v>7</v>
      </c>
      <c r="I12" s="377">
        <v>0</v>
      </c>
      <c r="J12" s="377">
        <v>1</v>
      </c>
      <c r="K12" s="377">
        <v>4</v>
      </c>
      <c r="L12" s="377">
        <f t="shared" si="0"/>
        <v>330</v>
      </c>
    </row>
    <row r="13" spans="3:12" ht="24" customHeight="1" x14ac:dyDescent="0.2">
      <c r="C13" s="620"/>
      <c r="D13" s="374" t="s">
        <v>10</v>
      </c>
      <c r="E13" s="377">
        <v>4</v>
      </c>
      <c r="F13" s="377">
        <v>366</v>
      </c>
      <c r="G13" s="377">
        <v>0</v>
      </c>
      <c r="H13" s="377">
        <v>16</v>
      </c>
      <c r="I13" s="377">
        <v>0</v>
      </c>
      <c r="J13" s="377">
        <v>0</v>
      </c>
      <c r="K13" s="377">
        <v>1</v>
      </c>
      <c r="L13" s="377">
        <f t="shared" si="0"/>
        <v>387</v>
      </c>
    </row>
    <row r="14" spans="3:12" ht="24" customHeight="1" x14ac:dyDescent="0.2">
      <c r="C14" s="621"/>
      <c r="D14" s="374" t="s">
        <v>845</v>
      </c>
      <c r="E14" s="377">
        <f>SUM(E12:E13)</f>
        <v>14</v>
      </c>
      <c r="F14" s="377">
        <f t="shared" ref="F14:L14" si="4">SUM(F12:F13)</f>
        <v>674</v>
      </c>
      <c r="G14" s="377">
        <f t="shared" si="4"/>
        <v>0</v>
      </c>
      <c r="H14" s="377">
        <f t="shared" si="4"/>
        <v>23</v>
      </c>
      <c r="I14" s="377">
        <f t="shared" si="4"/>
        <v>0</v>
      </c>
      <c r="J14" s="377">
        <f t="shared" si="4"/>
        <v>1</v>
      </c>
      <c r="K14" s="377">
        <f t="shared" si="4"/>
        <v>5</v>
      </c>
      <c r="L14" s="377">
        <f t="shared" si="4"/>
        <v>717</v>
      </c>
    </row>
    <row r="15" spans="3:12" ht="24" customHeight="1" x14ac:dyDescent="0.2">
      <c r="C15" s="619" t="s">
        <v>16</v>
      </c>
      <c r="D15" s="374" t="s">
        <v>9</v>
      </c>
      <c r="E15" s="377">
        <v>5</v>
      </c>
      <c r="F15" s="377">
        <v>9</v>
      </c>
      <c r="G15" s="377">
        <v>0</v>
      </c>
      <c r="H15" s="377">
        <v>0</v>
      </c>
      <c r="I15" s="377">
        <v>0</v>
      </c>
      <c r="J15" s="377">
        <v>0</v>
      </c>
      <c r="K15" s="377">
        <v>2</v>
      </c>
      <c r="L15" s="377">
        <f t="shared" si="0"/>
        <v>16</v>
      </c>
    </row>
    <row r="16" spans="3:12" ht="24" customHeight="1" x14ac:dyDescent="0.2">
      <c r="C16" s="620"/>
      <c r="D16" s="374" t="s">
        <v>10</v>
      </c>
      <c r="E16" s="377">
        <v>2</v>
      </c>
      <c r="F16" s="377">
        <v>5</v>
      </c>
      <c r="G16" s="377">
        <v>0</v>
      </c>
      <c r="H16" s="377">
        <v>1</v>
      </c>
      <c r="I16" s="377">
        <v>0</v>
      </c>
      <c r="J16" s="377">
        <v>0</v>
      </c>
      <c r="K16" s="377">
        <v>0</v>
      </c>
      <c r="L16" s="377">
        <f t="shared" si="0"/>
        <v>8</v>
      </c>
    </row>
    <row r="17" spans="3:12" ht="24" customHeight="1" x14ac:dyDescent="0.2">
      <c r="C17" s="621"/>
      <c r="D17" s="374" t="s">
        <v>845</v>
      </c>
      <c r="E17" s="377">
        <f>SUM(E15:E16)</f>
        <v>7</v>
      </c>
      <c r="F17" s="377">
        <f t="shared" ref="F17:L17" si="5">SUM(F15:F16)</f>
        <v>14</v>
      </c>
      <c r="G17" s="377">
        <f t="shared" si="5"/>
        <v>0</v>
      </c>
      <c r="H17" s="377">
        <f t="shared" si="5"/>
        <v>1</v>
      </c>
      <c r="I17" s="377">
        <f t="shared" si="5"/>
        <v>0</v>
      </c>
      <c r="J17" s="377">
        <f t="shared" si="5"/>
        <v>0</v>
      </c>
      <c r="K17" s="377">
        <f t="shared" si="5"/>
        <v>2</v>
      </c>
      <c r="L17" s="377">
        <f t="shared" si="5"/>
        <v>24</v>
      </c>
    </row>
    <row r="18" spans="3:12" ht="24" customHeight="1" x14ac:dyDescent="0.2">
      <c r="C18" s="619" t="s">
        <v>21</v>
      </c>
      <c r="D18" s="374" t="s">
        <v>9</v>
      </c>
      <c r="E18" s="377">
        <v>301</v>
      </c>
      <c r="F18" s="377">
        <v>3280</v>
      </c>
      <c r="G18" s="377">
        <v>1</v>
      </c>
      <c r="H18" s="377">
        <v>1117</v>
      </c>
      <c r="I18" s="377">
        <v>315</v>
      </c>
      <c r="J18" s="377">
        <v>1</v>
      </c>
      <c r="K18" s="377">
        <v>121</v>
      </c>
      <c r="L18" s="377">
        <f t="shared" si="0"/>
        <v>5136</v>
      </c>
    </row>
    <row r="19" spans="3:12" ht="24" customHeight="1" x14ac:dyDescent="0.2">
      <c r="C19" s="620"/>
      <c r="D19" s="374" t="s">
        <v>10</v>
      </c>
      <c r="E19" s="377">
        <v>122</v>
      </c>
      <c r="F19" s="377">
        <v>630</v>
      </c>
      <c r="G19" s="377">
        <v>0</v>
      </c>
      <c r="H19" s="377">
        <v>271</v>
      </c>
      <c r="I19" s="377">
        <v>57</v>
      </c>
      <c r="J19" s="377">
        <v>0</v>
      </c>
      <c r="K19" s="377">
        <v>19</v>
      </c>
      <c r="L19" s="377">
        <f t="shared" si="0"/>
        <v>1099</v>
      </c>
    </row>
    <row r="20" spans="3:12" ht="24" customHeight="1" x14ac:dyDescent="0.2">
      <c r="C20" s="621"/>
      <c r="D20" s="374" t="s">
        <v>845</v>
      </c>
      <c r="E20" s="377">
        <f>SUM(E18:E19)</f>
        <v>423</v>
      </c>
      <c r="F20" s="377">
        <f t="shared" ref="F20:L20" si="6">SUM(F18:F19)</f>
        <v>3910</v>
      </c>
      <c r="G20" s="377">
        <f t="shared" si="6"/>
        <v>1</v>
      </c>
      <c r="H20" s="377">
        <f t="shared" si="6"/>
        <v>1388</v>
      </c>
      <c r="I20" s="377">
        <f t="shared" si="6"/>
        <v>372</v>
      </c>
      <c r="J20" s="377">
        <f t="shared" si="6"/>
        <v>1</v>
      </c>
      <c r="K20" s="377">
        <f t="shared" si="6"/>
        <v>140</v>
      </c>
      <c r="L20" s="377">
        <f t="shared" si="6"/>
        <v>6235</v>
      </c>
    </row>
    <row r="21" spans="3:12" ht="24" customHeight="1" x14ac:dyDescent="0.2">
      <c r="C21" s="619" t="s">
        <v>19</v>
      </c>
      <c r="D21" s="374" t="s">
        <v>9</v>
      </c>
      <c r="E21" s="377">
        <v>0</v>
      </c>
      <c r="F21" s="377">
        <v>7</v>
      </c>
      <c r="G21" s="377">
        <v>0</v>
      </c>
      <c r="H21" s="377">
        <v>8</v>
      </c>
      <c r="I21" s="377">
        <v>19</v>
      </c>
      <c r="J21" s="377">
        <v>0</v>
      </c>
      <c r="K21" s="377">
        <v>0</v>
      </c>
      <c r="L21" s="377">
        <f t="shared" si="0"/>
        <v>34</v>
      </c>
    </row>
    <row r="22" spans="3:12" ht="24" customHeight="1" x14ac:dyDescent="0.2">
      <c r="C22" s="620"/>
      <c r="D22" s="374" t="s">
        <v>10</v>
      </c>
      <c r="E22" s="377">
        <v>0</v>
      </c>
      <c r="F22" s="377">
        <v>9</v>
      </c>
      <c r="G22" s="377">
        <v>0</v>
      </c>
      <c r="H22" s="377">
        <v>6</v>
      </c>
      <c r="I22" s="377">
        <v>2</v>
      </c>
      <c r="J22" s="377">
        <v>0</v>
      </c>
      <c r="K22" s="377">
        <v>0</v>
      </c>
      <c r="L22" s="377">
        <f t="shared" si="0"/>
        <v>17</v>
      </c>
    </row>
    <row r="23" spans="3:12" ht="24" customHeight="1" x14ac:dyDescent="0.2">
      <c r="C23" s="621"/>
      <c r="D23" s="374" t="s">
        <v>845</v>
      </c>
      <c r="E23" s="377">
        <f>SUM(E21:E22)</f>
        <v>0</v>
      </c>
      <c r="F23" s="377">
        <f t="shared" ref="F23:L23" si="7">SUM(F21:F22)</f>
        <v>16</v>
      </c>
      <c r="G23" s="377">
        <f t="shared" si="7"/>
        <v>0</v>
      </c>
      <c r="H23" s="377">
        <f t="shared" si="7"/>
        <v>14</v>
      </c>
      <c r="I23" s="377">
        <f t="shared" si="7"/>
        <v>21</v>
      </c>
      <c r="J23" s="377">
        <f t="shared" si="7"/>
        <v>0</v>
      </c>
      <c r="K23" s="377">
        <f t="shared" si="7"/>
        <v>0</v>
      </c>
      <c r="L23" s="377">
        <f t="shared" si="7"/>
        <v>51</v>
      </c>
    </row>
    <row r="24" spans="3:12" ht="24" customHeight="1" x14ac:dyDescent="0.2">
      <c r="C24" s="619" t="s">
        <v>866</v>
      </c>
      <c r="D24" s="374" t="s">
        <v>9</v>
      </c>
      <c r="E24" s="377">
        <v>1</v>
      </c>
      <c r="F24" s="377">
        <v>65</v>
      </c>
      <c r="G24" s="377">
        <v>0</v>
      </c>
      <c r="H24" s="377">
        <v>9</v>
      </c>
      <c r="I24" s="377">
        <v>6</v>
      </c>
      <c r="J24" s="377">
        <v>1</v>
      </c>
      <c r="K24" s="377">
        <v>0</v>
      </c>
      <c r="L24" s="377">
        <f t="shared" si="0"/>
        <v>82</v>
      </c>
    </row>
    <row r="25" spans="3:12" ht="24" customHeight="1" x14ac:dyDescent="0.2">
      <c r="C25" s="620"/>
      <c r="D25" s="374" t="s">
        <v>10</v>
      </c>
      <c r="E25" s="377">
        <v>0</v>
      </c>
      <c r="F25" s="377">
        <v>16</v>
      </c>
      <c r="G25" s="377">
        <v>0</v>
      </c>
      <c r="H25" s="377">
        <v>9</v>
      </c>
      <c r="I25" s="377">
        <v>0</v>
      </c>
      <c r="J25" s="377">
        <v>0</v>
      </c>
      <c r="K25" s="377">
        <v>0</v>
      </c>
      <c r="L25" s="377">
        <f t="shared" si="0"/>
        <v>25</v>
      </c>
    </row>
    <row r="26" spans="3:12" ht="24" customHeight="1" x14ac:dyDescent="0.2">
      <c r="C26" s="621"/>
      <c r="D26" s="374" t="s">
        <v>845</v>
      </c>
      <c r="E26" s="377">
        <f>SUM(E24:E25)</f>
        <v>1</v>
      </c>
      <c r="F26" s="377">
        <f t="shared" ref="F26:L26" si="8">SUM(F24:F25)</f>
        <v>81</v>
      </c>
      <c r="G26" s="377">
        <f t="shared" si="8"/>
        <v>0</v>
      </c>
      <c r="H26" s="377">
        <f t="shared" si="8"/>
        <v>18</v>
      </c>
      <c r="I26" s="377">
        <f t="shared" si="8"/>
        <v>6</v>
      </c>
      <c r="J26" s="377">
        <f t="shared" si="8"/>
        <v>1</v>
      </c>
      <c r="K26" s="377">
        <f t="shared" si="8"/>
        <v>0</v>
      </c>
      <c r="L26" s="377">
        <f t="shared" si="8"/>
        <v>107</v>
      </c>
    </row>
    <row r="27" spans="3:12" ht="24" customHeight="1" x14ac:dyDescent="0.2">
      <c r="C27" s="619" t="s">
        <v>865</v>
      </c>
      <c r="D27" s="374" t="s">
        <v>9</v>
      </c>
      <c r="E27" s="377">
        <v>0</v>
      </c>
      <c r="F27" s="377">
        <v>10</v>
      </c>
      <c r="G27" s="377">
        <v>0</v>
      </c>
      <c r="H27" s="377">
        <v>5</v>
      </c>
      <c r="I27" s="377">
        <v>1</v>
      </c>
      <c r="J27" s="377">
        <v>0</v>
      </c>
      <c r="K27" s="377">
        <v>0</v>
      </c>
      <c r="L27" s="377">
        <f t="shared" si="0"/>
        <v>16</v>
      </c>
    </row>
    <row r="28" spans="3:12" ht="24" customHeight="1" x14ac:dyDescent="0.2">
      <c r="C28" s="620"/>
      <c r="D28" s="374" t="s">
        <v>10</v>
      </c>
      <c r="E28" s="377">
        <v>0</v>
      </c>
      <c r="F28" s="377">
        <v>0</v>
      </c>
      <c r="G28" s="377">
        <v>0</v>
      </c>
      <c r="H28" s="377">
        <v>2</v>
      </c>
      <c r="I28" s="377">
        <v>0</v>
      </c>
      <c r="J28" s="377">
        <v>0</v>
      </c>
      <c r="K28" s="377">
        <v>0</v>
      </c>
      <c r="L28" s="377">
        <f t="shared" si="0"/>
        <v>2</v>
      </c>
    </row>
    <row r="29" spans="3:12" ht="24" customHeight="1" x14ac:dyDescent="0.2">
      <c r="C29" s="621"/>
      <c r="D29" s="374" t="s">
        <v>845</v>
      </c>
      <c r="E29" s="377">
        <f>SUM(E27:E28)</f>
        <v>0</v>
      </c>
      <c r="F29" s="377">
        <f t="shared" ref="F29:L29" si="9">SUM(F27:F28)</f>
        <v>10</v>
      </c>
      <c r="G29" s="377">
        <f t="shared" si="9"/>
        <v>0</v>
      </c>
      <c r="H29" s="377">
        <f t="shared" si="9"/>
        <v>7</v>
      </c>
      <c r="I29" s="377">
        <f t="shared" si="9"/>
        <v>1</v>
      </c>
      <c r="J29" s="377">
        <f t="shared" si="9"/>
        <v>0</v>
      </c>
      <c r="K29" s="377">
        <f t="shared" si="9"/>
        <v>0</v>
      </c>
      <c r="L29" s="377">
        <f t="shared" si="9"/>
        <v>18</v>
      </c>
    </row>
    <row r="30" spans="3:12" ht="24" customHeight="1" x14ac:dyDescent="0.2">
      <c r="C30" s="619" t="s">
        <v>18</v>
      </c>
      <c r="D30" s="374" t="s">
        <v>9</v>
      </c>
      <c r="E30" s="377">
        <v>0</v>
      </c>
      <c r="F30" s="377">
        <v>15</v>
      </c>
      <c r="G30" s="377">
        <v>0</v>
      </c>
      <c r="H30" s="377">
        <v>10</v>
      </c>
      <c r="I30" s="377">
        <v>7</v>
      </c>
      <c r="J30" s="377">
        <v>0</v>
      </c>
      <c r="K30" s="377">
        <v>0</v>
      </c>
      <c r="L30" s="377">
        <f t="shared" si="0"/>
        <v>32</v>
      </c>
    </row>
    <row r="31" spans="3:12" ht="24" customHeight="1" x14ac:dyDescent="0.2">
      <c r="C31" s="620"/>
      <c r="D31" s="374" t="s">
        <v>10</v>
      </c>
      <c r="E31" s="377">
        <v>0</v>
      </c>
      <c r="F31" s="377">
        <v>20</v>
      </c>
      <c r="G31" s="377">
        <v>0</v>
      </c>
      <c r="H31" s="377">
        <v>4</v>
      </c>
      <c r="I31" s="377">
        <v>1</v>
      </c>
      <c r="J31" s="377">
        <v>0</v>
      </c>
      <c r="K31" s="377">
        <v>0</v>
      </c>
      <c r="L31" s="377">
        <f t="shared" si="0"/>
        <v>25</v>
      </c>
    </row>
    <row r="32" spans="3:12" ht="24" customHeight="1" x14ac:dyDescent="0.2">
      <c r="C32" s="621"/>
      <c r="D32" s="374" t="s">
        <v>845</v>
      </c>
      <c r="E32" s="377">
        <f>SUM(E30:E31)</f>
        <v>0</v>
      </c>
      <c r="F32" s="377">
        <f t="shared" ref="F32:L32" si="10">SUM(F30:F31)</f>
        <v>35</v>
      </c>
      <c r="G32" s="377">
        <f t="shared" si="10"/>
        <v>0</v>
      </c>
      <c r="H32" s="377">
        <f t="shared" si="10"/>
        <v>14</v>
      </c>
      <c r="I32" s="377">
        <f t="shared" si="10"/>
        <v>8</v>
      </c>
      <c r="J32" s="377">
        <f t="shared" si="10"/>
        <v>0</v>
      </c>
      <c r="K32" s="377">
        <f t="shared" si="10"/>
        <v>0</v>
      </c>
      <c r="L32" s="377">
        <f t="shared" si="10"/>
        <v>57</v>
      </c>
    </row>
    <row r="33" spans="3:12" ht="24" customHeight="1" x14ac:dyDescent="0.2">
      <c r="C33" s="619" t="s">
        <v>23</v>
      </c>
      <c r="D33" s="374" t="s">
        <v>9</v>
      </c>
      <c r="E33" s="377">
        <v>214</v>
      </c>
      <c r="F33" s="377">
        <v>2325</v>
      </c>
      <c r="G33" s="377">
        <v>1</v>
      </c>
      <c r="H33" s="377">
        <v>417</v>
      </c>
      <c r="I33" s="377">
        <v>76</v>
      </c>
      <c r="J33" s="377">
        <v>2</v>
      </c>
      <c r="K33" s="377">
        <v>87</v>
      </c>
      <c r="L33" s="377">
        <f t="shared" si="0"/>
        <v>3122</v>
      </c>
    </row>
    <row r="34" spans="3:12" ht="24" customHeight="1" x14ac:dyDescent="0.2">
      <c r="C34" s="620"/>
      <c r="D34" s="374" t="s">
        <v>10</v>
      </c>
      <c r="E34" s="377">
        <v>87</v>
      </c>
      <c r="F34" s="377">
        <v>296</v>
      </c>
      <c r="G34" s="377">
        <v>0</v>
      </c>
      <c r="H34" s="377">
        <v>96</v>
      </c>
      <c r="I34" s="377">
        <v>15</v>
      </c>
      <c r="J34" s="377">
        <v>1</v>
      </c>
      <c r="K34" s="377">
        <v>14</v>
      </c>
      <c r="L34" s="377">
        <f t="shared" si="0"/>
        <v>509</v>
      </c>
    </row>
    <row r="35" spans="3:12" ht="24" customHeight="1" x14ac:dyDescent="0.2">
      <c r="C35" s="621"/>
      <c r="D35" s="374" t="s">
        <v>845</v>
      </c>
      <c r="E35" s="377">
        <f>SUM(E33:E34)</f>
        <v>301</v>
      </c>
      <c r="F35" s="377">
        <f t="shared" ref="F35:L35" si="11">SUM(F33:F34)</f>
        <v>2621</v>
      </c>
      <c r="G35" s="377">
        <f t="shared" si="11"/>
        <v>1</v>
      </c>
      <c r="H35" s="377">
        <f t="shared" si="11"/>
        <v>513</v>
      </c>
      <c r="I35" s="377">
        <f t="shared" si="11"/>
        <v>91</v>
      </c>
      <c r="J35" s="377">
        <f t="shared" si="11"/>
        <v>3</v>
      </c>
      <c r="K35" s="377">
        <f t="shared" si="11"/>
        <v>101</v>
      </c>
      <c r="L35" s="377">
        <f t="shared" si="11"/>
        <v>3631</v>
      </c>
    </row>
    <row r="36" spans="3:12" ht="24" customHeight="1" x14ac:dyDescent="0.2">
      <c r="C36" s="619" t="s">
        <v>15</v>
      </c>
      <c r="D36" s="374" t="s">
        <v>9</v>
      </c>
      <c r="E36" s="377">
        <v>11</v>
      </c>
      <c r="F36" s="377">
        <v>54</v>
      </c>
      <c r="G36" s="377">
        <v>0</v>
      </c>
      <c r="H36" s="377">
        <v>5</v>
      </c>
      <c r="I36" s="377">
        <v>4</v>
      </c>
      <c r="J36" s="377">
        <v>0</v>
      </c>
      <c r="K36" s="377">
        <v>5</v>
      </c>
      <c r="L36" s="377">
        <f t="shared" si="0"/>
        <v>79</v>
      </c>
    </row>
    <row r="37" spans="3:12" ht="24" customHeight="1" x14ac:dyDescent="0.2">
      <c r="C37" s="620"/>
      <c r="D37" s="374" t="s">
        <v>10</v>
      </c>
      <c r="E37" s="377">
        <v>4</v>
      </c>
      <c r="F37" s="377">
        <v>49</v>
      </c>
      <c r="G37" s="377">
        <v>0</v>
      </c>
      <c r="H37" s="377">
        <v>1</v>
      </c>
      <c r="I37" s="377">
        <v>0</v>
      </c>
      <c r="J37" s="377">
        <v>0</v>
      </c>
      <c r="K37" s="377">
        <v>1</v>
      </c>
      <c r="L37" s="377">
        <f t="shared" si="0"/>
        <v>55</v>
      </c>
    </row>
    <row r="38" spans="3:12" ht="24" customHeight="1" x14ac:dyDescent="0.2">
      <c r="C38" s="621"/>
      <c r="D38" s="374" t="s">
        <v>845</v>
      </c>
      <c r="E38" s="377">
        <f>SUM(E36:E37)</f>
        <v>15</v>
      </c>
      <c r="F38" s="377">
        <f t="shared" ref="F38:L38" si="12">SUM(F36:F37)</f>
        <v>103</v>
      </c>
      <c r="G38" s="377">
        <f t="shared" si="12"/>
        <v>0</v>
      </c>
      <c r="H38" s="377">
        <f t="shared" si="12"/>
        <v>6</v>
      </c>
      <c r="I38" s="377">
        <f t="shared" si="12"/>
        <v>4</v>
      </c>
      <c r="J38" s="377">
        <f t="shared" si="12"/>
        <v>0</v>
      </c>
      <c r="K38" s="377">
        <f t="shared" si="12"/>
        <v>6</v>
      </c>
      <c r="L38" s="377">
        <f t="shared" si="12"/>
        <v>134</v>
      </c>
    </row>
    <row r="39" spans="3:12" ht="24" customHeight="1" x14ac:dyDescent="0.2">
      <c r="C39" s="619" t="s">
        <v>864</v>
      </c>
      <c r="D39" s="374" t="s">
        <v>9</v>
      </c>
      <c r="E39" s="377">
        <v>1</v>
      </c>
      <c r="F39" s="377">
        <v>81</v>
      </c>
      <c r="G39" s="377">
        <v>0</v>
      </c>
      <c r="H39" s="377">
        <v>7</v>
      </c>
      <c r="I39" s="377">
        <v>4</v>
      </c>
      <c r="J39" s="377">
        <v>0</v>
      </c>
      <c r="K39" s="377">
        <v>1</v>
      </c>
      <c r="L39" s="377">
        <f t="shared" si="0"/>
        <v>94</v>
      </c>
    </row>
    <row r="40" spans="3:12" ht="24" customHeight="1" x14ac:dyDescent="0.2">
      <c r="C40" s="620"/>
      <c r="D40" s="374" t="s">
        <v>10</v>
      </c>
      <c r="E40" s="377">
        <v>0</v>
      </c>
      <c r="F40" s="377">
        <v>102</v>
      </c>
      <c r="G40" s="377">
        <v>0</v>
      </c>
      <c r="H40" s="377">
        <v>6</v>
      </c>
      <c r="I40" s="377">
        <v>2</v>
      </c>
      <c r="J40" s="377">
        <v>0</v>
      </c>
      <c r="K40" s="377">
        <v>0</v>
      </c>
      <c r="L40" s="377">
        <f t="shared" si="0"/>
        <v>110</v>
      </c>
    </row>
    <row r="41" spans="3:12" ht="24" customHeight="1" x14ac:dyDescent="0.2">
      <c r="C41" s="621"/>
      <c r="D41" s="374" t="s">
        <v>845</v>
      </c>
      <c r="E41" s="377">
        <f>SUM(E39:E40)</f>
        <v>1</v>
      </c>
      <c r="F41" s="377">
        <f t="shared" ref="F41:L41" si="13">SUM(F39:F40)</f>
        <v>183</v>
      </c>
      <c r="G41" s="377">
        <f t="shared" si="13"/>
        <v>0</v>
      </c>
      <c r="H41" s="377">
        <f t="shared" si="13"/>
        <v>13</v>
      </c>
      <c r="I41" s="377">
        <f t="shared" si="13"/>
        <v>6</v>
      </c>
      <c r="J41" s="377">
        <f t="shared" si="13"/>
        <v>0</v>
      </c>
      <c r="K41" s="377">
        <f t="shared" si="13"/>
        <v>1</v>
      </c>
      <c r="L41" s="377">
        <f t="shared" si="13"/>
        <v>204</v>
      </c>
    </row>
    <row r="42" spans="3:12" ht="24" customHeight="1" x14ac:dyDescent="0.2">
      <c r="C42" s="619" t="s">
        <v>25</v>
      </c>
      <c r="D42" s="374" t="s">
        <v>9</v>
      </c>
      <c r="E42" s="377">
        <v>11</v>
      </c>
      <c r="F42" s="377">
        <v>472</v>
      </c>
      <c r="G42" s="377">
        <v>0</v>
      </c>
      <c r="H42" s="377">
        <v>17</v>
      </c>
      <c r="I42" s="377">
        <v>2</v>
      </c>
      <c r="J42" s="377">
        <v>0</v>
      </c>
      <c r="K42" s="377">
        <v>4</v>
      </c>
      <c r="L42" s="377">
        <f t="shared" si="0"/>
        <v>506</v>
      </c>
    </row>
    <row r="43" spans="3:12" ht="24" customHeight="1" x14ac:dyDescent="0.2">
      <c r="C43" s="620"/>
      <c r="D43" s="374" t="s">
        <v>10</v>
      </c>
      <c r="E43" s="377">
        <v>5</v>
      </c>
      <c r="F43" s="377">
        <v>76</v>
      </c>
      <c r="G43" s="377">
        <v>0</v>
      </c>
      <c r="H43" s="377">
        <v>23</v>
      </c>
      <c r="I43" s="377">
        <v>0</v>
      </c>
      <c r="J43" s="377">
        <v>0</v>
      </c>
      <c r="K43" s="377">
        <v>1</v>
      </c>
      <c r="L43" s="377">
        <f t="shared" si="0"/>
        <v>105</v>
      </c>
    </row>
    <row r="44" spans="3:12" ht="24" customHeight="1" x14ac:dyDescent="0.2">
      <c r="C44" s="621"/>
      <c r="D44" s="374" t="s">
        <v>845</v>
      </c>
      <c r="E44" s="377">
        <f>SUM(E42:E43)</f>
        <v>16</v>
      </c>
      <c r="F44" s="377">
        <f t="shared" ref="F44:L44" si="14">SUM(F42:F43)</f>
        <v>548</v>
      </c>
      <c r="G44" s="377">
        <f t="shared" si="14"/>
        <v>0</v>
      </c>
      <c r="H44" s="377">
        <f t="shared" si="14"/>
        <v>40</v>
      </c>
      <c r="I44" s="377">
        <f t="shared" si="14"/>
        <v>2</v>
      </c>
      <c r="J44" s="377">
        <f t="shared" si="14"/>
        <v>0</v>
      </c>
      <c r="K44" s="377">
        <f t="shared" si="14"/>
        <v>5</v>
      </c>
      <c r="L44" s="377">
        <f t="shared" si="14"/>
        <v>611</v>
      </c>
    </row>
    <row r="45" spans="3:12" ht="24" customHeight="1" x14ac:dyDescent="0.2">
      <c r="C45" s="619" t="s">
        <v>29</v>
      </c>
      <c r="D45" s="374" t="s">
        <v>9</v>
      </c>
      <c r="E45" s="377">
        <v>0</v>
      </c>
      <c r="F45" s="377">
        <v>78</v>
      </c>
      <c r="G45" s="377">
        <v>0</v>
      </c>
      <c r="H45" s="377">
        <v>0</v>
      </c>
      <c r="I45" s="377">
        <v>1</v>
      </c>
      <c r="J45" s="377">
        <v>0</v>
      </c>
      <c r="K45" s="377">
        <v>0</v>
      </c>
      <c r="L45" s="377">
        <f t="shared" si="0"/>
        <v>79</v>
      </c>
    </row>
    <row r="46" spans="3:12" ht="24" customHeight="1" x14ac:dyDescent="0.2">
      <c r="C46" s="620"/>
      <c r="D46" s="374" t="s">
        <v>10</v>
      </c>
      <c r="E46" s="377">
        <v>0</v>
      </c>
      <c r="F46" s="377">
        <v>4</v>
      </c>
      <c r="G46" s="377">
        <v>0</v>
      </c>
      <c r="H46" s="377">
        <v>0</v>
      </c>
      <c r="I46" s="377">
        <v>0</v>
      </c>
      <c r="J46" s="377">
        <v>0</v>
      </c>
      <c r="K46" s="377">
        <v>0</v>
      </c>
      <c r="L46" s="377">
        <f t="shared" si="0"/>
        <v>4</v>
      </c>
    </row>
    <row r="47" spans="3:12" ht="24" customHeight="1" x14ac:dyDescent="0.2">
      <c r="C47" s="621"/>
      <c r="D47" s="374" t="s">
        <v>845</v>
      </c>
      <c r="E47" s="377">
        <f>SUM(E45:E46)</f>
        <v>0</v>
      </c>
      <c r="F47" s="377">
        <f t="shared" ref="F47:L47" si="15">SUM(F45:F46)</f>
        <v>82</v>
      </c>
      <c r="G47" s="377">
        <f t="shared" si="15"/>
        <v>0</v>
      </c>
      <c r="H47" s="377">
        <f t="shared" si="15"/>
        <v>0</v>
      </c>
      <c r="I47" s="377">
        <f t="shared" si="15"/>
        <v>1</v>
      </c>
      <c r="J47" s="377">
        <f t="shared" si="15"/>
        <v>0</v>
      </c>
      <c r="K47" s="377">
        <f t="shared" si="15"/>
        <v>0</v>
      </c>
      <c r="L47" s="377">
        <f t="shared" si="15"/>
        <v>83</v>
      </c>
    </row>
    <row r="48" spans="3:12" ht="24" customHeight="1" x14ac:dyDescent="0.2">
      <c r="C48" s="619" t="s">
        <v>33</v>
      </c>
      <c r="D48" s="374" t="s">
        <v>9</v>
      </c>
      <c r="E48" s="377">
        <v>3</v>
      </c>
      <c r="F48" s="377">
        <v>306</v>
      </c>
      <c r="G48" s="377">
        <v>0</v>
      </c>
      <c r="H48" s="377">
        <v>9</v>
      </c>
      <c r="I48" s="377">
        <v>4</v>
      </c>
      <c r="J48" s="377">
        <v>1</v>
      </c>
      <c r="K48" s="377">
        <v>1</v>
      </c>
      <c r="L48" s="377">
        <f t="shared" si="0"/>
        <v>324</v>
      </c>
    </row>
    <row r="49" spans="3:12" ht="24" customHeight="1" x14ac:dyDescent="0.2">
      <c r="C49" s="620"/>
      <c r="D49" s="374" t="s">
        <v>10</v>
      </c>
      <c r="E49" s="377">
        <v>1</v>
      </c>
      <c r="F49" s="377">
        <v>42</v>
      </c>
      <c r="G49" s="377">
        <v>0</v>
      </c>
      <c r="H49" s="377">
        <v>9</v>
      </c>
      <c r="I49" s="377">
        <v>0</v>
      </c>
      <c r="J49" s="377">
        <v>1</v>
      </c>
      <c r="K49" s="377">
        <v>0</v>
      </c>
      <c r="L49" s="377">
        <f t="shared" si="0"/>
        <v>53</v>
      </c>
    </row>
    <row r="50" spans="3:12" ht="24" customHeight="1" x14ac:dyDescent="0.2">
      <c r="C50" s="621"/>
      <c r="D50" s="374" t="s">
        <v>845</v>
      </c>
      <c r="E50" s="377">
        <f>SUM(E48:E49)</f>
        <v>4</v>
      </c>
      <c r="F50" s="377">
        <f t="shared" ref="F50:L50" si="16">SUM(F48:F49)</f>
        <v>348</v>
      </c>
      <c r="G50" s="377">
        <f t="shared" si="16"/>
        <v>0</v>
      </c>
      <c r="H50" s="377">
        <f t="shared" si="16"/>
        <v>18</v>
      </c>
      <c r="I50" s="377">
        <f t="shared" si="16"/>
        <v>4</v>
      </c>
      <c r="J50" s="377">
        <f t="shared" si="16"/>
        <v>2</v>
      </c>
      <c r="K50" s="377">
        <f t="shared" si="16"/>
        <v>1</v>
      </c>
      <c r="L50" s="377">
        <f t="shared" si="16"/>
        <v>377</v>
      </c>
    </row>
    <row r="51" spans="3:12" ht="24" customHeight="1" x14ac:dyDescent="0.2">
      <c r="C51" s="619" t="s">
        <v>35</v>
      </c>
      <c r="D51" s="374" t="s">
        <v>9</v>
      </c>
      <c r="E51" s="377">
        <v>45</v>
      </c>
      <c r="F51" s="377">
        <v>159</v>
      </c>
      <c r="G51" s="377">
        <v>0</v>
      </c>
      <c r="H51" s="377">
        <v>88</v>
      </c>
      <c r="I51" s="377">
        <v>21</v>
      </c>
      <c r="J51" s="377">
        <v>171</v>
      </c>
      <c r="K51" s="377">
        <v>18</v>
      </c>
      <c r="L51" s="377">
        <f t="shared" si="0"/>
        <v>502</v>
      </c>
    </row>
    <row r="52" spans="3:12" ht="24" customHeight="1" x14ac:dyDescent="0.2">
      <c r="C52" s="620"/>
      <c r="D52" s="374" t="s">
        <v>10</v>
      </c>
      <c r="E52" s="377">
        <v>18</v>
      </c>
      <c r="F52" s="377">
        <v>87</v>
      </c>
      <c r="G52" s="377">
        <v>0</v>
      </c>
      <c r="H52" s="377">
        <v>37</v>
      </c>
      <c r="I52" s="377">
        <v>8</v>
      </c>
      <c r="J52" s="377">
        <v>16</v>
      </c>
      <c r="K52" s="377">
        <v>3</v>
      </c>
      <c r="L52" s="377">
        <f t="shared" si="0"/>
        <v>169</v>
      </c>
    </row>
    <row r="53" spans="3:12" ht="24" customHeight="1" x14ac:dyDescent="0.2">
      <c r="C53" s="621"/>
      <c r="D53" s="374" t="s">
        <v>845</v>
      </c>
      <c r="E53" s="377">
        <f>SUM(E51:E52)</f>
        <v>63</v>
      </c>
      <c r="F53" s="377">
        <f t="shared" ref="F53:L53" si="17">SUM(F51:F52)</f>
        <v>246</v>
      </c>
      <c r="G53" s="377">
        <f t="shared" si="17"/>
        <v>0</v>
      </c>
      <c r="H53" s="377">
        <f t="shared" si="17"/>
        <v>125</v>
      </c>
      <c r="I53" s="377">
        <f t="shared" si="17"/>
        <v>29</v>
      </c>
      <c r="J53" s="377">
        <f t="shared" si="17"/>
        <v>187</v>
      </c>
      <c r="K53" s="377">
        <f t="shared" si="17"/>
        <v>21</v>
      </c>
      <c r="L53" s="377">
        <f t="shared" si="17"/>
        <v>671</v>
      </c>
    </row>
    <row r="54" spans="3:12" ht="24" customHeight="1" x14ac:dyDescent="0.2">
      <c r="C54" s="619" t="s">
        <v>863</v>
      </c>
      <c r="D54" s="374" t="s">
        <v>9</v>
      </c>
      <c r="E54" s="377">
        <v>5</v>
      </c>
      <c r="F54" s="377">
        <v>340</v>
      </c>
      <c r="G54" s="377">
        <v>0</v>
      </c>
      <c r="H54" s="377">
        <v>31</v>
      </c>
      <c r="I54" s="377">
        <v>21</v>
      </c>
      <c r="J54" s="377">
        <v>64</v>
      </c>
      <c r="K54" s="377">
        <v>2</v>
      </c>
      <c r="L54" s="377">
        <f t="shared" si="0"/>
        <v>463</v>
      </c>
    </row>
    <row r="55" spans="3:12" ht="24" customHeight="1" x14ac:dyDescent="0.2">
      <c r="C55" s="620"/>
      <c r="D55" s="374" t="s">
        <v>10</v>
      </c>
      <c r="E55" s="377">
        <v>2</v>
      </c>
      <c r="F55" s="377">
        <v>102</v>
      </c>
      <c r="G55" s="377">
        <v>0</v>
      </c>
      <c r="H55" s="377">
        <v>9</v>
      </c>
      <c r="I55" s="377">
        <v>6</v>
      </c>
      <c r="J55" s="377">
        <v>7</v>
      </c>
      <c r="K55" s="377">
        <v>0</v>
      </c>
      <c r="L55" s="377">
        <f t="shared" si="0"/>
        <v>126</v>
      </c>
    </row>
    <row r="56" spans="3:12" ht="24" customHeight="1" x14ac:dyDescent="0.2">
      <c r="C56" s="621"/>
      <c r="D56" s="374" t="s">
        <v>845</v>
      </c>
      <c r="E56" s="377">
        <f>SUM(E54:E55)</f>
        <v>7</v>
      </c>
      <c r="F56" s="377">
        <f t="shared" ref="F56:L56" si="18">SUM(F54:F55)</f>
        <v>442</v>
      </c>
      <c r="G56" s="377">
        <f t="shared" si="18"/>
        <v>0</v>
      </c>
      <c r="H56" s="377">
        <f t="shared" si="18"/>
        <v>40</v>
      </c>
      <c r="I56" s="377">
        <f t="shared" si="18"/>
        <v>27</v>
      </c>
      <c r="J56" s="377">
        <f t="shared" si="18"/>
        <v>71</v>
      </c>
      <c r="K56" s="377">
        <f t="shared" si="18"/>
        <v>2</v>
      </c>
      <c r="L56" s="377">
        <f t="shared" si="18"/>
        <v>589</v>
      </c>
    </row>
    <row r="57" spans="3:12" ht="24" customHeight="1" x14ac:dyDescent="0.2">
      <c r="C57" s="619" t="s">
        <v>36</v>
      </c>
      <c r="D57" s="374" t="s">
        <v>9</v>
      </c>
      <c r="E57" s="377">
        <v>1</v>
      </c>
      <c r="F57" s="377">
        <v>3</v>
      </c>
      <c r="G57" s="377">
        <v>0</v>
      </c>
      <c r="H57" s="377">
        <v>6</v>
      </c>
      <c r="I57" s="377">
        <v>0</v>
      </c>
      <c r="J57" s="377">
        <v>0</v>
      </c>
      <c r="K57" s="377">
        <v>0</v>
      </c>
      <c r="L57" s="377">
        <f t="shared" si="0"/>
        <v>10</v>
      </c>
    </row>
    <row r="58" spans="3:12" ht="24" customHeight="1" x14ac:dyDescent="0.2">
      <c r="C58" s="620"/>
      <c r="D58" s="374" t="s">
        <v>10</v>
      </c>
      <c r="E58" s="377">
        <v>0</v>
      </c>
      <c r="F58" s="377">
        <v>10</v>
      </c>
      <c r="G58" s="377">
        <v>0</v>
      </c>
      <c r="H58" s="377">
        <v>2</v>
      </c>
      <c r="I58" s="377">
        <v>3</v>
      </c>
      <c r="J58" s="377">
        <v>0</v>
      </c>
      <c r="K58" s="377">
        <v>0</v>
      </c>
      <c r="L58" s="377">
        <f t="shared" si="0"/>
        <v>15</v>
      </c>
    </row>
    <row r="59" spans="3:12" ht="24" customHeight="1" x14ac:dyDescent="0.2">
      <c r="C59" s="621"/>
      <c r="D59" s="374" t="s">
        <v>845</v>
      </c>
      <c r="E59" s="377">
        <f>SUM(E57:E58)</f>
        <v>1</v>
      </c>
      <c r="F59" s="377">
        <f t="shared" ref="F59:L59" si="19">SUM(F57:F58)</f>
        <v>13</v>
      </c>
      <c r="G59" s="377">
        <f t="shared" si="19"/>
        <v>0</v>
      </c>
      <c r="H59" s="377">
        <f t="shared" si="19"/>
        <v>8</v>
      </c>
      <c r="I59" s="377">
        <f t="shared" si="19"/>
        <v>3</v>
      </c>
      <c r="J59" s="377">
        <f t="shared" si="19"/>
        <v>0</v>
      </c>
      <c r="K59" s="377">
        <f t="shared" si="19"/>
        <v>0</v>
      </c>
      <c r="L59" s="377">
        <f t="shared" si="19"/>
        <v>25</v>
      </c>
    </row>
    <row r="60" spans="3:12" ht="24" customHeight="1" x14ac:dyDescent="0.2">
      <c r="C60" s="619" t="s">
        <v>34</v>
      </c>
      <c r="D60" s="374" t="s">
        <v>9</v>
      </c>
      <c r="E60" s="377">
        <v>5024</v>
      </c>
      <c r="F60" s="377">
        <v>1075</v>
      </c>
      <c r="G60" s="377">
        <v>16</v>
      </c>
      <c r="H60" s="377">
        <v>1270</v>
      </c>
      <c r="I60" s="377">
        <v>855</v>
      </c>
      <c r="J60" s="377">
        <v>10</v>
      </c>
      <c r="K60" s="377">
        <v>2022</v>
      </c>
      <c r="L60" s="377">
        <f t="shared" si="0"/>
        <v>10272</v>
      </c>
    </row>
    <row r="61" spans="3:12" ht="24" customHeight="1" x14ac:dyDescent="0.2">
      <c r="C61" s="620"/>
      <c r="D61" s="374" t="s">
        <v>10</v>
      </c>
      <c r="E61" s="377">
        <v>2034</v>
      </c>
      <c r="F61" s="377">
        <v>236</v>
      </c>
      <c r="G61" s="377">
        <v>0</v>
      </c>
      <c r="H61" s="377">
        <v>440</v>
      </c>
      <c r="I61" s="377">
        <v>332</v>
      </c>
      <c r="J61" s="377">
        <v>9</v>
      </c>
      <c r="K61" s="377">
        <v>321</v>
      </c>
      <c r="L61" s="377">
        <f t="shared" si="0"/>
        <v>3372</v>
      </c>
    </row>
    <row r="62" spans="3:12" ht="24" customHeight="1" x14ac:dyDescent="0.2">
      <c r="C62" s="621"/>
      <c r="D62" s="374" t="s">
        <v>845</v>
      </c>
      <c r="E62" s="377">
        <f>SUM(E60:E61)</f>
        <v>7058</v>
      </c>
      <c r="F62" s="377">
        <f t="shared" ref="F62:L62" si="20">SUM(F60:F61)</f>
        <v>1311</v>
      </c>
      <c r="G62" s="377">
        <f t="shared" si="20"/>
        <v>16</v>
      </c>
      <c r="H62" s="377">
        <f t="shared" si="20"/>
        <v>1710</v>
      </c>
      <c r="I62" s="377">
        <f t="shared" si="20"/>
        <v>1187</v>
      </c>
      <c r="J62" s="377">
        <f t="shared" si="20"/>
        <v>19</v>
      </c>
      <c r="K62" s="377">
        <f t="shared" si="20"/>
        <v>2343</v>
      </c>
      <c r="L62" s="377">
        <f t="shared" si="20"/>
        <v>13644</v>
      </c>
    </row>
    <row r="63" spans="3:12" ht="24" customHeight="1" x14ac:dyDescent="0.2">
      <c r="C63" s="619" t="s">
        <v>211</v>
      </c>
      <c r="D63" s="374" t="s">
        <v>9</v>
      </c>
      <c r="E63" s="377">
        <v>9</v>
      </c>
      <c r="F63" s="377">
        <v>393</v>
      </c>
      <c r="G63" s="377">
        <v>0</v>
      </c>
      <c r="H63" s="377">
        <v>220</v>
      </c>
      <c r="I63" s="377">
        <v>67</v>
      </c>
      <c r="J63" s="377">
        <v>0</v>
      </c>
      <c r="K63" s="377">
        <v>3</v>
      </c>
      <c r="L63" s="377">
        <f t="shared" si="0"/>
        <v>692</v>
      </c>
    </row>
    <row r="64" spans="3:12" ht="24" customHeight="1" x14ac:dyDescent="0.2">
      <c r="C64" s="620"/>
      <c r="D64" s="374" t="s">
        <v>10</v>
      </c>
      <c r="E64" s="377">
        <v>4</v>
      </c>
      <c r="F64" s="377">
        <v>28</v>
      </c>
      <c r="G64" s="377">
        <v>0</v>
      </c>
      <c r="H64" s="377">
        <v>119</v>
      </c>
      <c r="I64" s="377">
        <v>18</v>
      </c>
      <c r="J64" s="377">
        <v>0</v>
      </c>
      <c r="K64" s="377">
        <v>1</v>
      </c>
      <c r="L64" s="377">
        <f t="shared" si="0"/>
        <v>170</v>
      </c>
    </row>
    <row r="65" spans="3:12" ht="24" customHeight="1" x14ac:dyDescent="0.2">
      <c r="C65" s="621"/>
      <c r="D65" s="374" t="s">
        <v>845</v>
      </c>
      <c r="E65" s="377">
        <f>SUM(E63:E64)</f>
        <v>13</v>
      </c>
      <c r="F65" s="377">
        <f t="shared" ref="F65:L65" si="21">SUM(F63:F64)</f>
        <v>421</v>
      </c>
      <c r="G65" s="377">
        <f t="shared" si="21"/>
        <v>0</v>
      </c>
      <c r="H65" s="377">
        <f t="shared" si="21"/>
        <v>339</v>
      </c>
      <c r="I65" s="377">
        <f t="shared" si="21"/>
        <v>85</v>
      </c>
      <c r="J65" s="377">
        <f t="shared" si="21"/>
        <v>0</v>
      </c>
      <c r="K65" s="377">
        <f t="shared" si="21"/>
        <v>4</v>
      </c>
      <c r="L65" s="377">
        <f t="shared" si="21"/>
        <v>862</v>
      </c>
    </row>
    <row r="66" spans="3:12" ht="24" customHeight="1" x14ac:dyDescent="0.2">
      <c r="C66" s="619" t="s">
        <v>212</v>
      </c>
      <c r="D66" s="374" t="s">
        <v>9</v>
      </c>
      <c r="E66" s="377">
        <v>11</v>
      </c>
      <c r="F66" s="377">
        <v>166</v>
      </c>
      <c r="G66" s="377">
        <v>0</v>
      </c>
      <c r="H66" s="377">
        <v>15</v>
      </c>
      <c r="I66" s="377">
        <v>1</v>
      </c>
      <c r="J66" s="377">
        <v>0</v>
      </c>
      <c r="K66" s="377">
        <v>4</v>
      </c>
      <c r="L66" s="377">
        <f t="shared" si="0"/>
        <v>197</v>
      </c>
    </row>
    <row r="67" spans="3:12" ht="24" customHeight="1" x14ac:dyDescent="0.2">
      <c r="C67" s="620"/>
      <c r="D67" s="374" t="s">
        <v>10</v>
      </c>
      <c r="E67" s="377">
        <v>4</v>
      </c>
      <c r="F67" s="377">
        <v>22</v>
      </c>
      <c r="G67" s="377">
        <v>0</v>
      </c>
      <c r="H67" s="377">
        <v>7</v>
      </c>
      <c r="I67" s="377">
        <v>0</v>
      </c>
      <c r="J67" s="377">
        <v>0</v>
      </c>
      <c r="K67" s="377">
        <v>1</v>
      </c>
      <c r="L67" s="377">
        <f t="shared" si="0"/>
        <v>34</v>
      </c>
    </row>
    <row r="68" spans="3:12" ht="24" customHeight="1" x14ac:dyDescent="0.2">
      <c r="C68" s="621"/>
      <c r="D68" s="374" t="s">
        <v>845</v>
      </c>
      <c r="E68" s="377">
        <f>SUM(E66:E67)</f>
        <v>15</v>
      </c>
      <c r="F68" s="377">
        <f t="shared" ref="F68:L68" si="22">SUM(F66:F67)</f>
        <v>188</v>
      </c>
      <c r="G68" s="377">
        <f t="shared" si="22"/>
        <v>0</v>
      </c>
      <c r="H68" s="377">
        <f t="shared" si="22"/>
        <v>22</v>
      </c>
      <c r="I68" s="377">
        <f t="shared" si="22"/>
        <v>1</v>
      </c>
      <c r="J68" s="377">
        <f t="shared" si="22"/>
        <v>0</v>
      </c>
      <c r="K68" s="377">
        <f t="shared" si="22"/>
        <v>5</v>
      </c>
      <c r="L68" s="377">
        <f t="shared" si="22"/>
        <v>231</v>
      </c>
    </row>
    <row r="69" spans="3:12" ht="24" customHeight="1" x14ac:dyDescent="0.2">
      <c r="C69" s="619" t="s">
        <v>862</v>
      </c>
      <c r="D69" s="374" t="s">
        <v>9</v>
      </c>
      <c r="E69" s="377">
        <v>0</v>
      </c>
      <c r="F69" s="377">
        <v>168</v>
      </c>
      <c r="G69" s="377">
        <v>0</v>
      </c>
      <c r="H69" s="377">
        <v>3</v>
      </c>
      <c r="I69" s="377">
        <v>0</v>
      </c>
      <c r="J69" s="377">
        <v>0</v>
      </c>
      <c r="K69" s="377">
        <v>0</v>
      </c>
      <c r="L69" s="377">
        <f t="shared" ref="L69:L88" si="23">SUM(E69:K69)</f>
        <v>171</v>
      </c>
    </row>
    <row r="70" spans="3:12" ht="24" customHeight="1" x14ac:dyDescent="0.2">
      <c r="C70" s="620"/>
      <c r="D70" s="374" t="s">
        <v>10</v>
      </c>
      <c r="E70" s="377">
        <v>0</v>
      </c>
      <c r="F70" s="377">
        <v>36</v>
      </c>
      <c r="G70" s="377">
        <v>0</v>
      </c>
      <c r="H70" s="377">
        <v>5</v>
      </c>
      <c r="I70" s="377">
        <v>1</v>
      </c>
      <c r="J70" s="377">
        <v>0</v>
      </c>
      <c r="K70" s="377">
        <v>0</v>
      </c>
      <c r="L70" s="377">
        <f t="shared" si="23"/>
        <v>42</v>
      </c>
    </row>
    <row r="71" spans="3:12" ht="24" customHeight="1" x14ac:dyDescent="0.2">
      <c r="C71" s="621"/>
      <c r="D71" s="374" t="s">
        <v>845</v>
      </c>
      <c r="E71" s="377">
        <f>SUM(E69:E70)</f>
        <v>0</v>
      </c>
      <c r="F71" s="377">
        <f t="shared" ref="F71:L71" si="24">SUM(F69:F70)</f>
        <v>204</v>
      </c>
      <c r="G71" s="377">
        <f t="shared" si="24"/>
        <v>0</v>
      </c>
      <c r="H71" s="377">
        <f t="shared" si="24"/>
        <v>8</v>
      </c>
      <c r="I71" s="377">
        <f t="shared" si="24"/>
        <v>1</v>
      </c>
      <c r="J71" s="377">
        <f t="shared" si="24"/>
        <v>0</v>
      </c>
      <c r="K71" s="377">
        <f t="shared" si="24"/>
        <v>0</v>
      </c>
      <c r="L71" s="377">
        <f t="shared" si="24"/>
        <v>213</v>
      </c>
    </row>
    <row r="72" spans="3:12" ht="24" customHeight="1" x14ac:dyDescent="0.2">
      <c r="C72" s="619" t="s">
        <v>861</v>
      </c>
      <c r="D72" s="374" t="s">
        <v>9</v>
      </c>
      <c r="E72" s="377">
        <v>1</v>
      </c>
      <c r="F72" s="377">
        <v>120</v>
      </c>
      <c r="G72" s="377">
        <v>0</v>
      </c>
      <c r="H72" s="377">
        <v>17</v>
      </c>
      <c r="I72" s="377">
        <v>4</v>
      </c>
      <c r="J72" s="377">
        <v>0</v>
      </c>
      <c r="K72" s="377">
        <v>0</v>
      </c>
      <c r="L72" s="377">
        <f t="shared" si="23"/>
        <v>142</v>
      </c>
    </row>
    <row r="73" spans="3:12" ht="24" customHeight="1" x14ac:dyDescent="0.2">
      <c r="C73" s="620"/>
      <c r="D73" s="374" t="s">
        <v>10</v>
      </c>
      <c r="E73" s="377">
        <v>0</v>
      </c>
      <c r="F73" s="377">
        <v>6</v>
      </c>
      <c r="G73" s="377">
        <v>0</v>
      </c>
      <c r="H73" s="377">
        <v>5</v>
      </c>
      <c r="I73" s="377">
        <v>0</v>
      </c>
      <c r="J73" s="377">
        <v>0</v>
      </c>
      <c r="K73" s="377">
        <v>0</v>
      </c>
      <c r="L73" s="377">
        <f t="shared" si="23"/>
        <v>11</v>
      </c>
    </row>
    <row r="74" spans="3:12" ht="24" customHeight="1" x14ac:dyDescent="0.2">
      <c r="C74" s="621"/>
      <c r="D74" s="374" t="s">
        <v>845</v>
      </c>
      <c r="E74" s="377">
        <f>SUM(E72:E73)</f>
        <v>1</v>
      </c>
      <c r="F74" s="377">
        <f t="shared" ref="F74:L74" si="25">SUM(F72:F73)</f>
        <v>126</v>
      </c>
      <c r="G74" s="377">
        <f t="shared" si="25"/>
        <v>0</v>
      </c>
      <c r="H74" s="377">
        <f t="shared" si="25"/>
        <v>22</v>
      </c>
      <c r="I74" s="377">
        <f t="shared" si="25"/>
        <v>4</v>
      </c>
      <c r="J74" s="377">
        <f t="shared" si="25"/>
        <v>0</v>
      </c>
      <c r="K74" s="377">
        <f t="shared" si="25"/>
        <v>0</v>
      </c>
      <c r="L74" s="377">
        <f t="shared" si="25"/>
        <v>153</v>
      </c>
    </row>
    <row r="75" spans="3:12" ht="24" customHeight="1" x14ac:dyDescent="0.2">
      <c r="C75" s="619" t="s">
        <v>214</v>
      </c>
      <c r="D75" s="374" t="s">
        <v>9</v>
      </c>
      <c r="E75" s="377">
        <v>2</v>
      </c>
      <c r="F75" s="377">
        <v>212</v>
      </c>
      <c r="G75" s="377">
        <v>0</v>
      </c>
      <c r="H75" s="377">
        <v>16</v>
      </c>
      <c r="I75" s="377">
        <v>5</v>
      </c>
      <c r="J75" s="377">
        <v>0</v>
      </c>
      <c r="K75" s="377">
        <v>1</v>
      </c>
      <c r="L75" s="377">
        <f t="shared" si="23"/>
        <v>236</v>
      </c>
    </row>
    <row r="76" spans="3:12" ht="24" customHeight="1" x14ac:dyDescent="0.2">
      <c r="C76" s="620"/>
      <c r="D76" s="374" t="s">
        <v>10</v>
      </c>
      <c r="E76" s="377">
        <v>1</v>
      </c>
      <c r="F76" s="377">
        <v>14</v>
      </c>
      <c r="G76" s="377">
        <v>0</v>
      </c>
      <c r="H76" s="377">
        <v>8</v>
      </c>
      <c r="I76" s="377">
        <v>0</v>
      </c>
      <c r="J76" s="377">
        <v>0</v>
      </c>
      <c r="K76" s="377">
        <v>0</v>
      </c>
      <c r="L76" s="377">
        <f t="shared" si="23"/>
        <v>23</v>
      </c>
    </row>
    <row r="77" spans="3:12" ht="24" customHeight="1" x14ac:dyDescent="0.2">
      <c r="C77" s="621"/>
      <c r="D77" s="374" t="s">
        <v>845</v>
      </c>
      <c r="E77" s="377">
        <f>SUM(E75:E76)</f>
        <v>3</v>
      </c>
      <c r="F77" s="377">
        <f t="shared" ref="F77:L77" si="26">SUM(F75:F76)</f>
        <v>226</v>
      </c>
      <c r="G77" s="377">
        <f t="shared" si="26"/>
        <v>0</v>
      </c>
      <c r="H77" s="377">
        <f t="shared" si="26"/>
        <v>24</v>
      </c>
      <c r="I77" s="377">
        <f t="shared" si="26"/>
        <v>5</v>
      </c>
      <c r="J77" s="377">
        <f t="shared" si="26"/>
        <v>0</v>
      </c>
      <c r="K77" s="377">
        <f t="shared" si="26"/>
        <v>1</v>
      </c>
      <c r="L77" s="377">
        <f t="shared" si="26"/>
        <v>259</v>
      </c>
    </row>
    <row r="78" spans="3:12" ht="24" customHeight="1" x14ac:dyDescent="0.2">
      <c r="C78" s="619" t="s">
        <v>31</v>
      </c>
      <c r="D78" s="374" t="s">
        <v>9</v>
      </c>
      <c r="E78" s="377">
        <v>117</v>
      </c>
      <c r="F78" s="377">
        <v>3745</v>
      </c>
      <c r="G78" s="377">
        <v>0</v>
      </c>
      <c r="H78" s="377">
        <v>2667</v>
      </c>
      <c r="I78" s="377">
        <v>418</v>
      </c>
      <c r="J78" s="377">
        <v>29</v>
      </c>
      <c r="K78" s="377">
        <v>47</v>
      </c>
      <c r="L78" s="377">
        <f t="shared" si="23"/>
        <v>7023</v>
      </c>
    </row>
    <row r="79" spans="3:12" ht="24" customHeight="1" x14ac:dyDescent="0.2">
      <c r="C79" s="620"/>
      <c r="D79" s="374" t="s">
        <v>10</v>
      </c>
      <c r="E79" s="377">
        <v>48</v>
      </c>
      <c r="F79" s="377">
        <v>342</v>
      </c>
      <c r="G79" s="377">
        <v>0</v>
      </c>
      <c r="H79" s="377">
        <v>756</v>
      </c>
      <c r="I79" s="377">
        <v>72</v>
      </c>
      <c r="J79" s="377">
        <v>6</v>
      </c>
      <c r="K79" s="377">
        <v>8</v>
      </c>
      <c r="L79" s="377">
        <f t="shared" si="23"/>
        <v>1232</v>
      </c>
    </row>
    <row r="80" spans="3:12" ht="24" customHeight="1" x14ac:dyDescent="0.2">
      <c r="C80" s="621"/>
      <c r="D80" s="374" t="s">
        <v>845</v>
      </c>
      <c r="E80" s="377">
        <f>SUM(E78:E79)</f>
        <v>165</v>
      </c>
      <c r="F80" s="377">
        <f t="shared" ref="F80:L80" si="27">SUM(F78:F79)</f>
        <v>4087</v>
      </c>
      <c r="G80" s="377">
        <f t="shared" si="27"/>
        <v>0</v>
      </c>
      <c r="H80" s="377">
        <f t="shared" si="27"/>
        <v>3423</v>
      </c>
      <c r="I80" s="377">
        <f t="shared" si="27"/>
        <v>490</v>
      </c>
      <c r="J80" s="377">
        <f t="shared" si="27"/>
        <v>35</v>
      </c>
      <c r="K80" s="377">
        <f t="shared" si="27"/>
        <v>55</v>
      </c>
      <c r="L80" s="377">
        <f t="shared" si="27"/>
        <v>8255</v>
      </c>
    </row>
    <row r="81" spans="3:12" ht="24" customHeight="1" x14ac:dyDescent="0.2">
      <c r="C81" s="619" t="s">
        <v>215</v>
      </c>
      <c r="D81" s="374" t="s">
        <v>9</v>
      </c>
      <c r="E81" s="377">
        <v>0</v>
      </c>
      <c r="F81" s="377">
        <v>9</v>
      </c>
      <c r="G81" s="377">
        <v>0</v>
      </c>
      <c r="H81" s="377">
        <v>10</v>
      </c>
      <c r="I81" s="377">
        <v>0</v>
      </c>
      <c r="J81" s="377">
        <v>0</v>
      </c>
      <c r="K81" s="377">
        <v>0</v>
      </c>
      <c r="L81" s="377">
        <f t="shared" si="23"/>
        <v>19</v>
      </c>
    </row>
    <row r="82" spans="3:12" ht="24" customHeight="1" x14ac:dyDescent="0.2">
      <c r="C82" s="620"/>
      <c r="D82" s="374" t="s">
        <v>10</v>
      </c>
      <c r="E82" s="377">
        <v>0</v>
      </c>
      <c r="F82" s="377">
        <v>0</v>
      </c>
      <c r="G82" s="377">
        <v>0</v>
      </c>
      <c r="H82" s="377">
        <v>26</v>
      </c>
      <c r="I82" s="377">
        <v>1</v>
      </c>
      <c r="J82" s="377">
        <v>0</v>
      </c>
      <c r="K82" s="377">
        <v>0</v>
      </c>
      <c r="L82" s="377">
        <f t="shared" si="23"/>
        <v>27</v>
      </c>
    </row>
    <row r="83" spans="3:12" ht="24" customHeight="1" x14ac:dyDescent="0.2">
      <c r="C83" s="621"/>
      <c r="D83" s="374" t="s">
        <v>845</v>
      </c>
      <c r="E83" s="377">
        <f>SUM(E81:E82)</f>
        <v>0</v>
      </c>
      <c r="F83" s="377">
        <f t="shared" ref="F83:L83" si="28">SUM(F81:F82)</f>
        <v>9</v>
      </c>
      <c r="G83" s="377">
        <f t="shared" si="28"/>
        <v>0</v>
      </c>
      <c r="H83" s="377">
        <f t="shared" si="28"/>
        <v>36</v>
      </c>
      <c r="I83" s="377">
        <f t="shared" si="28"/>
        <v>1</v>
      </c>
      <c r="J83" s="377">
        <f t="shared" si="28"/>
        <v>0</v>
      </c>
      <c r="K83" s="377">
        <f t="shared" si="28"/>
        <v>0</v>
      </c>
      <c r="L83" s="377">
        <f t="shared" si="28"/>
        <v>46</v>
      </c>
    </row>
    <row r="84" spans="3:12" ht="24" customHeight="1" x14ac:dyDescent="0.2">
      <c r="C84" s="619" t="s">
        <v>38</v>
      </c>
      <c r="D84" s="374" t="s">
        <v>9</v>
      </c>
      <c r="E84" s="377">
        <v>1939</v>
      </c>
      <c r="F84" s="377">
        <v>6472</v>
      </c>
      <c r="G84" s="377">
        <v>6</v>
      </c>
      <c r="H84" s="377">
        <v>1874</v>
      </c>
      <c r="I84" s="377">
        <v>320</v>
      </c>
      <c r="J84" s="377">
        <v>212</v>
      </c>
      <c r="K84" s="377">
        <v>780</v>
      </c>
      <c r="L84" s="377">
        <f t="shared" si="23"/>
        <v>11603</v>
      </c>
    </row>
    <row r="85" spans="3:12" ht="24" customHeight="1" x14ac:dyDescent="0.2">
      <c r="C85" s="620"/>
      <c r="D85" s="374" t="s">
        <v>10</v>
      </c>
      <c r="E85" s="377">
        <v>785</v>
      </c>
      <c r="F85" s="377">
        <v>691</v>
      </c>
      <c r="G85" s="377">
        <v>0</v>
      </c>
      <c r="H85" s="377">
        <v>716</v>
      </c>
      <c r="I85" s="377">
        <v>90</v>
      </c>
      <c r="J85" s="377">
        <v>71</v>
      </c>
      <c r="K85" s="377">
        <v>124</v>
      </c>
      <c r="L85" s="377">
        <f t="shared" si="23"/>
        <v>2477</v>
      </c>
    </row>
    <row r="86" spans="3:12" ht="24" customHeight="1" x14ac:dyDescent="0.2">
      <c r="C86" s="621"/>
      <c r="D86" s="374" t="s">
        <v>845</v>
      </c>
      <c r="E86" s="377">
        <f>SUM(E84:E85)</f>
        <v>2724</v>
      </c>
      <c r="F86" s="377">
        <f t="shared" ref="F86:L86" si="29">SUM(F84:F85)</f>
        <v>7163</v>
      </c>
      <c r="G86" s="377">
        <f t="shared" si="29"/>
        <v>6</v>
      </c>
      <c r="H86" s="377">
        <f t="shared" si="29"/>
        <v>2590</v>
      </c>
      <c r="I86" s="377">
        <f t="shared" si="29"/>
        <v>410</v>
      </c>
      <c r="J86" s="377">
        <f t="shared" si="29"/>
        <v>283</v>
      </c>
      <c r="K86" s="377">
        <f t="shared" si="29"/>
        <v>904</v>
      </c>
      <c r="L86" s="377">
        <f t="shared" si="29"/>
        <v>14080</v>
      </c>
    </row>
    <row r="87" spans="3:12" ht="24" customHeight="1" x14ac:dyDescent="0.2">
      <c r="C87" s="619" t="s">
        <v>860</v>
      </c>
      <c r="D87" s="374" t="s">
        <v>9</v>
      </c>
      <c r="E87" s="377">
        <v>659</v>
      </c>
      <c r="F87" s="377">
        <v>2128</v>
      </c>
      <c r="G87" s="377">
        <v>2</v>
      </c>
      <c r="H87" s="377">
        <v>624</v>
      </c>
      <c r="I87" s="377">
        <v>114</v>
      </c>
      <c r="J87" s="377">
        <v>512</v>
      </c>
      <c r="K87" s="377">
        <v>266</v>
      </c>
      <c r="L87" s="377">
        <f t="shared" si="23"/>
        <v>4305</v>
      </c>
    </row>
    <row r="88" spans="3:12" ht="24" customHeight="1" x14ac:dyDescent="0.2">
      <c r="C88" s="620"/>
      <c r="D88" s="374" t="s">
        <v>10</v>
      </c>
      <c r="E88" s="377">
        <v>267</v>
      </c>
      <c r="F88" s="377">
        <v>128</v>
      </c>
      <c r="G88" s="377">
        <v>0</v>
      </c>
      <c r="H88" s="377">
        <v>359</v>
      </c>
      <c r="I88" s="377">
        <v>27</v>
      </c>
      <c r="J88" s="377">
        <v>115</v>
      </c>
      <c r="K88" s="377">
        <v>42</v>
      </c>
      <c r="L88" s="377">
        <f t="shared" si="23"/>
        <v>938</v>
      </c>
    </row>
    <row r="89" spans="3:12" ht="24" customHeight="1" x14ac:dyDescent="0.2">
      <c r="C89" s="621"/>
      <c r="D89" s="374" t="s">
        <v>845</v>
      </c>
      <c r="E89" s="377">
        <f>SUM(E87:E88)</f>
        <v>926</v>
      </c>
      <c r="F89" s="377">
        <f t="shared" ref="F89:L89" si="30">SUM(F87:F88)</f>
        <v>2256</v>
      </c>
      <c r="G89" s="377">
        <f t="shared" si="30"/>
        <v>2</v>
      </c>
      <c r="H89" s="377">
        <f t="shared" si="30"/>
        <v>983</v>
      </c>
      <c r="I89" s="377">
        <f t="shared" si="30"/>
        <v>141</v>
      </c>
      <c r="J89" s="377">
        <f t="shared" si="30"/>
        <v>627</v>
      </c>
      <c r="K89" s="377">
        <f t="shared" si="30"/>
        <v>308</v>
      </c>
      <c r="L89" s="377">
        <f t="shared" si="30"/>
        <v>5243</v>
      </c>
    </row>
    <row r="90" spans="3:12" ht="24" customHeight="1" x14ac:dyDescent="0.2">
      <c r="C90" s="619" t="s">
        <v>575</v>
      </c>
      <c r="D90" s="374" t="s">
        <v>9</v>
      </c>
      <c r="E90" s="377">
        <f>E3+E6+E9+E12+E15+E18+E21+E24+E27+E30+E33+E36+E39+E42+E45+E48+E51+E54+E57+E60+E63+E66+E69+E72+E75+E78+E81+E84+E87</f>
        <v>8750</v>
      </c>
      <c r="F90" s="377">
        <f t="shared" ref="F90:L90" si="31">F3+F6+F9+F12+F15+F18+F21+F24+F27+F30+F33+F36+F39+F42+F45+F48+F51+F54+F57+F60+F63+F66+F69+F72+F75+F78+F81+F84+F87</f>
        <v>22467</v>
      </c>
      <c r="G90" s="377">
        <f t="shared" si="31"/>
        <v>28</v>
      </c>
      <c r="H90" s="377">
        <f t="shared" si="31"/>
        <v>8505</v>
      </c>
      <c r="I90" s="377">
        <f t="shared" si="31"/>
        <v>2269</v>
      </c>
      <c r="J90" s="377">
        <f t="shared" si="31"/>
        <v>1004</v>
      </c>
      <c r="K90" s="377">
        <f t="shared" si="31"/>
        <v>3521</v>
      </c>
      <c r="L90" s="377">
        <f t="shared" si="31"/>
        <v>46544</v>
      </c>
    </row>
    <row r="91" spans="3:12" ht="24" customHeight="1" x14ac:dyDescent="0.2">
      <c r="C91" s="620"/>
      <c r="D91" s="374" t="s">
        <v>10</v>
      </c>
      <c r="E91" s="377">
        <f t="shared" ref="E91:L92" si="32">E4+E7+E10+E13+E16+E19+E22+E25+E28+E31+E34+E37+E40+E43+E46+E49+E52+E55+E58+E61+E64+E67+E70+E73+E76+E79+E82+E85+E88</f>
        <v>3542</v>
      </c>
      <c r="F91" s="377">
        <f t="shared" si="32"/>
        <v>4207</v>
      </c>
      <c r="G91" s="377">
        <f t="shared" si="32"/>
        <v>0</v>
      </c>
      <c r="H91" s="377">
        <f t="shared" si="32"/>
        <v>2995</v>
      </c>
      <c r="I91" s="377">
        <f t="shared" si="32"/>
        <v>636</v>
      </c>
      <c r="J91" s="377">
        <f t="shared" si="32"/>
        <v>226</v>
      </c>
      <c r="K91" s="377">
        <f t="shared" si="32"/>
        <v>560</v>
      </c>
      <c r="L91" s="377">
        <f t="shared" si="32"/>
        <v>12166</v>
      </c>
    </row>
    <row r="92" spans="3:12" ht="24" customHeight="1" x14ac:dyDescent="0.2">
      <c r="C92" s="621"/>
      <c r="D92" s="374" t="s">
        <v>845</v>
      </c>
      <c r="E92" s="377">
        <f t="shared" si="32"/>
        <v>12292</v>
      </c>
      <c r="F92" s="377">
        <f t="shared" si="32"/>
        <v>26674</v>
      </c>
      <c r="G92" s="377">
        <f t="shared" si="32"/>
        <v>28</v>
      </c>
      <c r="H92" s="377">
        <f t="shared" si="32"/>
        <v>11500</v>
      </c>
      <c r="I92" s="377">
        <f t="shared" si="32"/>
        <v>2905</v>
      </c>
      <c r="J92" s="377">
        <f t="shared" si="32"/>
        <v>1230</v>
      </c>
      <c r="K92" s="377">
        <f t="shared" si="32"/>
        <v>4081</v>
      </c>
      <c r="L92" s="377">
        <f t="shared" si="32"/>
        <v>58710</v>
      </c>
    </row>
  </sheetData>
  <mergeCells count="31">
    <mergeCell ref="C90:C92"/>
    <mergeCell ref="C72:C74"/>
    <mergeCell ref="C75:C77"/>
    <mergeCell ref="C78:C80"/>
    <mergeCell ref="C81:C83"/>
    <mergeCell ref="C84:C86"/>
    <mergeCell ref="C87:C89"/>
    <mergeCell ref="C69:C71"/>
    <mergeCell ref="C36:C38"/>
    <mergeCell ref="C39:C41"/>
    <mergeCell ref="C42:C44"/>
    <mergeCell ref="C45:C47"/>
    <mergeCell ref="C48:C50"/>
    <mergeCell ref="C51:C53"/>
    <mergeCell ref="C54:C56"/>
    <mergeCell ref="C57:C59"/>
    <mergeCell ref="C60:C62"/>
    <mergeCell ref="C63:C65"/>
    <mergeCell ref="C66:C68"/>
    <mergeCell ref="C33:C35"/>
    <mergeCell ref="C1:L1"/>
    <mergeCell ref="C3:C5"/>
    <mergeCell ref="C6:C8"/>
    <mergeCell ref="C9:C11"/>
    <mergeCell ref="C12:C14"/>
    <mergeCell ref="C15:C17"/>
    <mergeCell ref="C18:C20"/>
    <mergeCell ref="C21:C23"/>
    <mergeCell ref="C24:C26"/>
    <mergeCell ref="C27:C29"/>
    <mergeCell ref="C30:C3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92"/>
  <sheetViews>
    <sheetView rightToLeft="1" workbookViewId="0">
      <selection activeCell="E13" sqref="E13"/>
    </sheetView>
  </sheetViews>
  <sheetFormatPr defaultRowHeight="14.25" x14ac:dyDescent="0.2"/>
  <cols>
    <col min="1" max="2" width="9" style="160"/>
    <col min="3" max="3" width="29" style="372" bestFit="1" customWidth="1"/>
    <col min="4" max="4" width="9" style="386" customWidth="1"/>
    <col min="5" max="5" width="10" style="372" bestFit="1" customWidth="1"/>
    <col min="6" max="12" width="9" style="372"/>
    <col min="13" max="16384" width="9" style="160"/>
  </cols>
  <sheetData>
    <row r="1" spans="3:12" ht="38.25" customHeight="1" x14ac:dyDescent="0.2">
      <c r="C1" s="630" t="s">
        <v>882</v>
      </c>
      <c r="D1" s="631"/>
      <c r="E1" s="631"/>
      <c r="F1" s="631"/>
      <c r="G1" s="631"/>
      <c r="H1" s="631"/>
      <c r="I1" s="631"/>
      <c r="J1" s="631"/>
      <c r="K1" s="631"/>
      <c r="L1" s="631"/>
    </row>
    <row r="2" spans="3:12" ht="45" customHeight="1" x14ac:dyDescent="0.2">
      <c r="C2" s="373" t="s">
        <v>871</v>
      </c>
      <c r="D2" s="373" t="s">
        <v>7</v>
      </c>
      <c r="E2" s="373" t="s">
        <v>61</v>
      </c>
      <c r="F2" s="373" t="s">
        <v>60</v>
      </c>
      <c r="G2" s="373" t="s">
        <v>59</v>
      </c>
      <c r="H2" s="373" t="s">
        <v>57</v>
      </c>
      <c r="I2" s="373" t="s">
        <v>56</v>
      </c>
      <c r="J2" s="373" t="s">
        <v>870</v>
      </c>
      <c r="K2" s="373" t="s">
        <v>53</v>
      </c>
      <c r="L2" s="373" t="s">
        <v>4</v>
      </c>
    </row>
    <row r="3" spans="3:12" ht="20.25" customHeight="1" x14ac:dyDescent="0.2">
      <c r="C3" s="619" t="s">
        <v>14</v>
      </c>
      <c r="D3" s="374" t="s">
        <v>9</v>
      </c>
      <c r="E3" s="377">
        <v>310</v>
      </c>
      <c r="F3" s="377">
        <v>137</v>
      </c>
      <c r="G3" s="377">
        <v>2</v>
      </c>
      <c r="H3" s="377">
        <v>0</v>
      </c>
      <c r="I3" s="377">
        <v>0</v>
      </c>
      <c r="J3" s="377">
        <v>0</v>
      </c>
      <c r="K3" s="377">
        <v>125</v>
      </c>
      <c r="L3" s="377">
        <f t="shared" ref="L3:L67" si="0">SUM(E3:K3)</f>
        <v>574</v>
      </c>
    </row>
    <row r="4" spans="3:12" ht="20.25" customHeight="1" x14ac:dyDescent="0.2">
      <c r="C4" s="620"/>
      <c r="D4" s="374" t="s">
        <v>10</v>
      </c>
      <c r="E4" s="377">
        <v>140</v>
      </c>
      <c r="F4" s="377">
        <v>397</v>
      </c>
      <c r="G4" s="377">
        <v>0</v>
      </c>
      <c r="H4" s="377">
        <v>0</v>
      </c>
      <c r="I4" s="377">
        <v>0</v>
      </c>
      <c r="J4" s="377">
        <v>0</v>
      </c>
      <c r="K4" s="377">
        <v>22</v>
      </c>
      <c r="L4" s="377">
        <f t="shared" si="0"/>
        <v>559</v>
      </c>
    </row>
    <row r="5" spans="3:12" ht="20.25" customHeight="1" x14ac:dyDescent="0.2">
      <c r="C5" s="621"/>
      <c r="D5" s="374" t="s">
        <v>845</v>
      </c>
      <c r="E5" s="377">
        <f>SUM(E3:E4)</f>
        <v>450</v>
      </c>
      <c r="F5" s="377">
        <f t="shared" ref="F5:L5" si="1">SUM(F3:F4)</f>
        <v>534</v>
      </c>
      <c r="G5" s="377">
        <f t="shared" si="1"/>
        <v>2</v>
      </c>
      <c r="H5" s="377">
        <f t="shared" si="1"/>
        <v>0</v>
      </c>
      <c r="I5" s="377">
        <f t="shared" si="1"/>
        <v>0</v>
      </c>
      <c r="J5" s="377">
        <f t="shared" si="1"/>
        <v>0</v>
      </c>
      <c r="K5" s="377">
        <f t="shared" si="1"/>
        <v>147</v>
      </c>
      <c r="L5" s="377">
        <f t="shared" si="1"/>
        <v>1133</v>
      </c>
    </row>
    <row r="6" spans="3:12" ht="20.25" customHeight="1" x14ac:dyDescent="0.2">
      <c r="C6" s="619" t="s">
        <v>869</v>
      </c>
      <c r="D6" s="374" t="s">
        <v>9</v>
      </c>
      <c r="E6" s="377">
        <v>14</v>
      </c>
      <c r="F6" s="377">
        <v>211</v>
      </c>
      <c r="G6" s="377">
        <v>0</v>
      </c>
      <c r="H6" s="377">
        <v>44</v>
      </c>
      <c r="I6" s="377">
        <v>3</v>
      </c>
      <c r="J6" s="377">
        <v>0</v>
      </c>
      <c r="K6" s="377">
        <v>6</v>
      </c>
      <c r="L6" s="377">
        <f t="shared" si="0"/>
        <v>278</v>
      </c>
    </row>
    <row r="7" spans="3:12" ht="20.25" customHeight="1" x14ac:dyDescent="0.2">
      <c r="C7" s="620"/>
      <c r="D7" s="374" t="s">
        <v>10</v>
      </c>
      <c r="E7" s="377">
        <v>7</v>
      </c>
      <c r="F7" s="377">
        <v>289</v>
      </c>
      <c r="G7" s="377">
        <v>0</v>
      </c>
      <c r="H7" s="377">
        <v>56</v>
      </c>
      <c r="I7" s="377">
        <v>1</v>
      </c>
      <c r="J7" s="377">
        <v>0</v>
      </c>
      <c r="K7" s="377">
        <v>1</v>
      </c>
      <c r="L7" s="377">
        <f t="shared" si="0"/>
        <v>354</v>
      </c>
    </row>
    <row r="8" spans="3:12" ht="20.25" customHeight="1" x14ac:dyDescent="0.2">
      <c r="C8" s="621"/>
      <c r="D8" s="374" t="s">
        <v>845</v>
      </c>
      <c r="E8" s="377">
        <f>SUM(E6:E7)</f>
        <v>21</v>
      </c>
      <c r="F8" s="377">
        <f t="shared" ref="F8:L8" si="2">SUM(F6:F7)</f>
        <v>500</v>
      </c>
      <c r="G8" s="377">
        <f t="shared" si="2"/>
        <v>0</v>
      </c>
      <c r="H8" s="377">
        <f t="shared" si="2"/>
        <v>100</v>
      </c>
      <c r="I8" s="377">
        <f t="shared" si="2"/>
        <v>4</v>
      </c>
      <c r="J8" s="377">
        <f t="shared" si="2"/>
        <v>0</v>
      </c>
      <c r="K8" s="377">
        <f t="shared" si="2"/>
        <v>7</v>
      </c>
      <c r="L8" s="377">
        <f t="shared" si="2"/>
        <v>632</v>
      </c>
    </row>
    <row r="9" spans="3:12" ht="20.25" customHeight="1" x14ac:dyDescent="0.2">
      <c r="C9" s="619" t="s">
        <v>868</v>
      </c>
      <c r="D9" s="374" t="s">
        <v>9</v>
      </c>
      <c r="E9" s="377">
        <v>1</v>
      </c>
      <c r="F9" s="377">
        <v>19</v>
      </c>
      <c r="G9" s="377">
        <v>0</v>
      </c>
      <c r="H9" s="377">
        <v>0</v>
      </c>
      <c r="I9" s="377">
        <v>0</v>
      </c>
      <c r="J9" s="377">
        <v>0</v>
      </c>
      <c r="K9" s="377">
        <v>0</v>
      </c>
      <c r="L9" s="377">
        <f t="shared" si="0"/>
        <v>20</v>
      </c>
    </row>
    <row r="10" spans="3:12" ht="20.25" customHeight="1" x14ac:dyDescent="0.2">
      <c r="C10" s="620"/>
      <c r="D10" s="374" t="s">
        <v>10</v>
      </c>
      <c r="E10" s="377">
        <v>0</v>
      </c>
      <c r="F10" s="377">
        <v>15</v>
      </c>
      <c r="G10" s="377">
        <v>0</v>
      </c>
      <c r="H10" s="377">
        <v>0</v>
      </c>
      <c r="I10" s="377">
        <v>0</v>
      </c>
      <c r="J10" s="377">
        <v>0</v>
      </c>
      <c r="K10" s="377">
        <v>0</v>
      </c>
      <c r="L10" s="377">
        <f t="shared" si="0"/>
        <v>15</v>
      </c>
    </row>
    <row r="11" spans="3:12" ht="20.25" customHeight="1" x14ac:dyDescent="0.2">
      <c r="C11" s="621"/>
      <c r="D11" s="374" t="s">
        <v>845</v>
      </c>
      <c r="E11" s="377">
        <f>SUM(E9:E10)</f>
        <v>1</v>
      </c>
      <c r="F11" s="377">
        <f t="shared" ref="F11:L11" si="3">SUM(F9:F10)</f>
        <v>34</v>
      </c>
      <c r="G11" s="377">
        <f t="shared" si="3"/>
        <v>0</v>
      </c>
      <c r="H11" s="377">
        <f t="shared" si="3"/>
        <v>0</v>
      </c>
      <c r="I11" s="377">
        <f t="shared" si="3"/>
        <v>0</v>
      </c>
      <c r="J11" s="377">
        <f t="shared" si="3"/>
        <v>0</v>
      </c>
      <c r="K11" s="377">
        <f t="shared" si="3"/>
        <v>0</v>
      </c>
      <c r="L11" s="377">
        <f t="shared" si="3"/>
        <v>35</v>
      </c>
    </row>
    <row r="12" spans="3:12" ht="20.25" customHeight="1" x14ac:dyDescent="0.2">
      <c r="C12" s="619" t="s">
        <v>867</v>
      </c>
      <c r="D12" s="374" t="s">
        <v>9</v>
      </c>
      <c r="E12" s="377">
        <v>9</v>
      </c>
      <c r="F12" s="377">
        <v>243</v>
      </c>
      <c r="G12" s="377">
        <v>0</v>
      </c>
      <c r="H12" s="377">
        <v>6</v>
      </c>
      <c r="I12" s="377">
        <v>0</v>
      </c>
      <c r="J12" s="377">
        <v>1</v>
      </c>
      <c r="K12" s="377">
        <v>3</v>
      </c>
      <c r="L12" s="377">
        <f t="shared" si="0"/>
        <v>262</v>
      </c>
    </row>
    <row r="13" spans="3:12" ht="20.25" customHeight="1" x14ac:dyDescent="0.2">
      <c r="C13" s="620"/>
      <c r="D13" s="374" t="s">
        <v>10</v>
      </c>
      <c r="E13" s="377">
        <v>4</v>
      </c>
      <c r="F13" s="377">
        <v>288</v>
      </c>
      <c r="G13" s="377">
        <v>0</v>
      </c>
      <c r="H13" s="377">
        <v>14</v>
      </c>
      <c r="I13" s="377">
        <v>0</v>
      </c>
      <c r="J13" s="377">
        <v>0</v>
      </c>
      <c r="K13" s="377">
        <v>1</v>
      </c>
      <c r="L13" s="377">
        <f t="shared" si="0"/>
        <v>307</v>
      </c>
    </row>
    <row r="14" spans="3:12" ht="20.25" customHeight="1" x14ac:dyDescent="0.2">
      <c r="C14" s="621"/>
      <c r="D14" s="374" t="s">
        <v>845</v>
      </c>
      <c r="E14" s="377">
        <f>SUM(E12:E13)</f>
        <v>13</v>
      </c>
      <c r="F14" s="377">
        <f t="shared" ref="F14:L14" si="4">SUM(F12:F13)</f>
        <v>531</v>
      </c>
      <c r="G14" s="377">
        <f t="shared" si="4"/>
        <v>0</v>
      </c>
      <c r="H14" s="377">
        <f t="shared" si="4"/>
        <v>20</v>
      </c>
      <c r="I14" s="377">
        <f t="shared" si="4"/>
        <v>0</v>
      </c>
      <c r="J14" s="377">
        <f t="shared" si="4"/>
        <v>1</v>
      </c>
      <c r="K14" s="377">
        <f t="shared" si="4"/>
        <v>4</v>
      </c>
      <c r="L14" s="377">
        <f t="shared" si="4"/>
        <v>569</v>
      </c>
    </row>
    <row r="15" spans="3:12" ht="20.25" customHeight="1" x14ac:dyDescent="0.2">
      <c r="C15" s="619" t="s">
        <v>16</v>
      </c>
      <c r="D15" s="374" t="s">
        <v>9</v>
      </c>
      <c r="E15" s="377">
        <v>4</v>
      </c>
      <c r="F15" s="377">
        <v>7</v>
      </c>
      <c r="G15" s="377">
        <v>0</v>
      </c>
      <c r="H15" s="377">
        <v>0</v>
      </c>
      <c r="I15" s="377">
        <v>0</v>
      </c>
      <c r="J15" s="377">
        <v>0</v>
      </c>
      <c r="K15" s="377">
        <v>2</v>
      </c>
      <c r="L15" s="377">
        <f t="shared" si="0"/>
        <v>13</v>
      </c>
    </row>
    <row r="16" spans="3:12" ht="20.25" customHeight="1" x14ac:dyDescent="0.2">
      <c r="C16" s="620"/>
      <c r="D16" s="374" t="s">
        <v>10</v>
      </c>
      <c r="E16" s="377">
        <v>2</v>
      </c>
      <c r="F16" s="377">
        <v>4</v>
      </c>
      <c r="G16" s="377">
        <v>0</v>
      </c>
      <c r="H16" s="377">
        <v>1</v>
      </c>
      <c r="I16" s="377">
        <v>0</v>
      </c>
      <c r="J16" s="377">
        <v>0</v>
      </c>
      <c r="K16" s="377">
        <v>0</v>
      </c>
      <c r="L16" s="377">
        <f t="shared" si="0"/>
        <v>7</v>
      </c>
    </row>
    <row r="17" spans="3:12" ht="20.25" customHeight="1" x14ac:dyDescent="0.2">
      <c r="C17" s="621"/>
      <c r="D17" s="374" t="s">
        <v>845</v>
      </c>
      <c r="E17" s="377">
        <f>SUM(E15:E16)</f>
        <v>6</v>
      </c>
      <c r="F17" s="377">
        <f t="shared" ref="F17:L17" si="5">SUM(F15:F16)</f>
        <v>11</v>
      </c>
      <c r="G17" s="377">
        <f t="shared" si="5"/>
        <v>0</v>
      </c>
      <c r="H17" s="377">
        <f t="shared" si="5"/>
        <v>1</v>
      </c>
      <c r="I17" s="377">
        <f t="shared" si="5"/>
        <v>0</v>
      </c>
      <c r="J17" s="377">
        <f t="shared" si="5"/>
        <v>0</v>
      </c>
      <c r="K17" s="377">
        <f t="shared" si="5"/>
        <v>2</v>
      </c>
      <c r="L17" s="377">
        <f t="shared" si="5"/>
        <v>20</v>
      </c>
    </row>
    <row r="18" spans="3:12" ht="20.25" customHeight="1" x14ac:dyDescent="0.2">
      <c r="C18" s="619" t="s">
        <v>21</v>
      </c>
      <c r="D18" s="374" t="s">
        <v>9</v>
      </c>
      <c r="E18" s="377">
        <v>257</v>
      </c>
      <c r="F18" s="377">
        <v>2584</v>
      </c>
      <c r="G18" s="377">
        <v>1</v>
      </c>
      <c r="H18" s="377">
        <v>930</v>
      </c>
      <c r="I18" s="377">
        <v>270</v>
      </c>
      <c r="J18" s="377">
        <v>1</v>
      </c>
      <c r="K18" s="377">
        <v>103</v>
      </c>
      <c r="L18" s="377">
        <f t="shared" si="0"/>
        <v>4146</v>
      </c>
    </row>
    <row r="19" spans="3:12" ht="20.25" customHeight="1" x14ac:dyDescent="0.2">
      <c r="C19" s="620"/>
      <c r="D19" s="374" t="s">
        <v>10</v>
      </c>
      <c r="E19" s="377">
        <v>116</v>
      </c>
      <c r="F19" s="377">
        <v>496</v>
      </c>
      <c r="G19" s="377">
        <v>0</v>
      </c>
      <c r="H19" s="377">
        <v>244</v>
      </c>
      <c r="I19" s="377">
        <v>54</v>
      </c>
      <c r="J19" s="377">
        <v>0</v>
      </c>
      <c r="K19" s="377">
        <v>18</v>
      </c>
      <c r="L19" s="377">
        <f t="shared" si="0"/>
        <v>928</v>
      </c>
    </row>
    <row r="20" spans="3:12" ht="20.25" customHeight="1" x14ac:dyDescent="0.2">
      <c r="C20" s="621"/>
      <c r="D20" s="374" t="s">
        <v>845</v>
      </c>
      <c r="E20" s="377">
        <f>SUM(E18:E19)</f>
        <v>373</v>
      </c>
      <c r="F20" s="377">
        <f t="shared" ref="F20:L20" si="6">SUM(F18:F19)</f>
        <v>3080</v>
      </c>
      <c r="G20" s="377">
        <f t="shared" si="6"/>
        <v>1</v>
      </c>
      <c r="H20" s="377">
        <f t="shared" si="6"/>
        <v>1174</v>
      </c>
      <c r="I20" s="377">
        <f t="shared" si="6"/>
        <v>324</v>
      </c>
      <c r="J20" s="377">
        <f t="shared" si="6"/>
        <v>1</v>
      </c>
      <c r="K20" s="377">
        <f t="shared" si="6"/>
        <v>121</v>
      </c>
      <c r="L20" s="377">
        <f t="shared" si="6"/>
        <v>5074</v>
      </c>
    </row>
    <row r="21" spans="3:12" ht="20.25" customHeight="1" x14ac:dyDescent="0.2">
      <c r="C21" s="619" t="s">
        <v>19</v>
      </c>
      <c r="D21" s="374" t="s">
        <v>9</v>
      </c>
      <c r="E21" s="377">
        <v>0</v>
      </c>
      <c r="F21" s="377">
        <v>6</v>
      </c>
      <c r="G21" s="377">
        <v>0</v>
      </c>
      <c r="H21" s="377">
        <v>7</v>
      </c>
      <c r="I21" s="377">
        <v>16</v>
      </c>
      <c r="J21" s="377">
        <v>0</v>
      </c>
      <c r="K21" s="377">
        <v>0</v>
      </c>
      <c r="L21" s="377">
        <f t="shared" si="0"/>
        <v>29</v>
      </c>
    </row>
    <row r="22" spans="3:12" ht="20.25" customHeight="1" x14ac:dyDescent="0.2">
      <c r="C22" s="620"/>
      <c r="D22" s="374" t="s">
        <v>10</v>
      </c>
      <c r="E22" s="377">
        <v>0</v>
      </c>
      <c r="F22" s="377">
        <v>7</v>
      </c>
      <c r="G22" s="377">
        <v>0</v>
      </c>
      <c r="H22" s="377">
        <v>5</v>
      </c>
      <c r="I22" s="377">
        <v>2</v>
      </c>
      <c r="J22" s="377">
        <v>0</v>
      </c>
      <c r="K22" s="377">
        <v>0</v>
      </c>
      <c r="L22" s="377">
        <f t="shared" si="0"/>
        <v>14</v>
      </c>
    </row>
    <row r="23" spans="3:12" ht="20.25" customHeight="1" x14ac:dyDescent="0.2">
      <c r="C23" s="621"/>
      <c r="D23" s="374" t="s">
        <v>845</v>
      </c>
      <c r="E23" s="377">
        <f>SUM(E21:E22)</f>
        <v>0</v>
      </c>
      <c r="F23" s="377">
        <f t="shared" ref="F23:L23" si="7">SUM(F21:F22)</f>
        <v>13</v>
      </c>
      <c r="G23" s="377">
        <f t="shared" si="7"/>
        <v>0</v>
      </c>
      <c r="H23" s="377">
        <f t="shared" si="7"/>
        <v>12</v>
      </c>
      <c r="I23" s="377">
        <f t="shared" si="7"/>
        <v>18</v>
      </c>
      <c r="J23" s="377">
        <f t="shared" si="7"/>
        <v>0</v>
      </c>
      <c r="K23" s="377">
        <f t="shared" si="7"/>
        <v>0</v>
      </c>
      <c r="L23" s="377">
        <f t="shared" si="7"/>
        <v>43</v>
      </c>
    </row>
    <row r="24" spans="3:12" ht="20.25" customHeight="1" x14ac:dyDescent="0.2">
      <c r="C24" s="619" t="s">
        <v>866</v>
      </c>
      <c r="D24" s="374" t="s">
        <v>9</v>
      </c>
      <c r="E24" s="377">
        <v>1</v>
      </c>
      <c r="F24" s="377">
        <v>51</v>
      </c>
      <c r="G24" s="377">
        <v>0</v>
      </c>
      <c r="H24" s="377">
        <v>7</v>
      </c>
      <c r="I24" s="377">
        <v>5</v>
      </c>
      <c r="J24" s="377">
        <v>1</v>
      </c>
      <c r="K24" s="377">
        <v>0</v>
      </c>
      <c r="L24" s="377">
        <f t="shared" si="0"/>
        <v>65</v>
      </c>
    </row>
    <row r="25" spans="3:12" ht="20.25" customHeight="1" x14ac:dyDescent="0.2">
      <c r="C25" s="620"/>
      <c r="D25" s="374" t="s">
        <v>10</v>
      </c>
      <c r="E25" s="377">
        <v>0</v>
      </c>
      <c r="F25" s="377">
        <v>13</v>
      </c>
      <c r="G25" s="377">
        <v>0</v>
      </c>
      <c r="H25" s="377">
        <v>8</v>
      </c>
      <c r="I25" s="377">
        <v>0</v>
      </c>
      <c r="J25" s="377">
        <v>0</v>
      </c>
      <c r="K25" s="377">
        <v>0</v>
      </c>
      <c r="L25" s="377">
        <f t="shared" si="0"/>
        <v>21</v>
      </c>
    </row>
    <row r="26" spans="3:12" ht="20.25" customHeight="1" x14ac:dyDescent="0.2">
      <c r="C26" s="621"/>
      <c r="D26" s="374" t="s">
        <v>845</v>
      </c>
      <c r="E26" s="377">
        <f>SUM(E24:E25)</f>
        <v>1</v>
      </c>
      <c r="F26" s="377">
        <f t="shared" ref="F26:L26" si="8">SUM(F24:F25)</f>
        <v>64</v>
      </c>
      <c r="G26" s="377">
        <f t="shared" si="8"/>
        <v>0</v>
      </c>
      <c r="H26" s="377">
        <f t="shared" si="8"/>
        <v>15</v>
      </c>
      <c r="I26" s="377">
        <f t="shared" si="8"/>
        <v>5</v>
      </c>
      <c r="J26" s="377">
        <f t="shared" si="8"/>
        <v>1</v>
      </c>
      <c r="K26" s="377">
        <f t="shared" si="8"/>
        <v>0</v>
      </c>
      <c r="L26" s="377">
        <f t="shared" si="8"/>
        <v>86</v>
      </c>
    </row>
    <row r="27" spans="3:12" ht="20.25" customHeight="1" x14ac:dyDescent="0.2">
      <c r="C27" s="619" t="s">
        <v>865</v>
      </c>
      <c r="D27" s="374" t="s">
        <v>9</v>
      </c>
      <c r="E27" s="377">
        <v>0</v>
      </c>
      <c r="F27" s="377">
        <v>8</v>
      </c>
      <c r="G27" s="377">
        <v>0</v>
      </c>
      <c r="H27" s="377">
        <v>4</v>
      </c>
      <c r="I27" s="377">
        <v>1</v>
      </c>
      <c r="J27" s="377">
        <v>0</v>
      </c>
      <c r="K27" s="377">
        <v>0</v>
      </c>
      <c r="L27" s="377">
        <f t="shared" si="0"/>
        <v>13</v>
      </c>
    </row>
    <row r="28" spans="3:12" ht="20.25" customHeight="1" x14ac:dyDescent="0.2">
      <c r="C28" s="620"/>
      <c r="D28" s="374" t="s">
        <v>10</v>
      </c>
      <c r="E28" s="377">
        <v>0</v>
      </c>
      <c r="F28" s="377">
        <v>0</v>
      </c>
      <c r="G28" s="377">
        <v>0</v>
      </c>
      <c r="H28" s="377">
        <v>2</v>
      </c>
      <c r="I28" s="377">
        <v>0</v>
      </c>
      <c r="J28" s="377">
        <v>0</v>
      </c>
      <c r="K28" s="377">
        <v>0</v>
      </c>
      <c r="L28" s="377">
        <f t="shared" si="0"/>
        <v>2</v>
      </c>
    </row>
    <row r="29" spans="3:12" ht="20.25" customHeight="1" x14ac:dyDescent="0.2">
      <c r="C29" s="621"/>
      <c r="D29" s="374" t="s">
        <v>845</v>
      </c>
      <c r="E29" s="377">
        <f>SUM(E27:E28)</f>
        <v>0</v>
      </c>
      <c r="F29" s="377">
        <f t="shared" ref="F29:L29" si="9">SUM(F27:F28)</f>
        <v>8</v>
      </c>
      <c r="G29" s="377">
        <f t="shared" si="9"/>
        <v>0</v>
      </c>
      <c r="H29" s="377">
        <f t="shared" si="9"/>
        <v>6</v>
      </c>
      <c r="I29" s="377">
        <f t="shared" si="9"/>
        <v>1</v>
      </c>
      <c r="J29" s="377">
        <f t="shared" si="9"/>
        <v>0</v>
      </c>
      <c r="K29" s="377">
        <f t="shared" si="9"/>
        <v>0</v>
      </c>
      <c r="L29" s="377">
        <f t="shared" si="9"/>
        <v>15</v>
      </c>
    </row>
    <row r="30" spans="3:12" ht="20.25" customHeight="1" x14ac:dyDescent="0.2">
      <c r="C30" s="619" t="s">
        <v>18</v>
      </c>
      <c r="D30" s="374" t="s">
        <v>9</v>
      </c>
      <c r="E30" s="377">
        <v>0</v>
      </c>
      <c r="F30" s="377">
        <v>12</v>
      </c>
      <c r="G30" s="377">
        <v>0</v>
      </c>
      <c r="H30" s="377">
        <v>8</v>
      </c>
      <c r="I30" s="377">
        <v>6</v>
      </c>
      <c r="J30" s="377">
        <v>0</v>
      </c>
      <c r="K30" s="377">
        <v>0</v>
      </c>
      <c r="L30" s="377">
        <f t="shared" si="0"/>
        <v>26</v>
      </c>
    </row>
    <row r="31" spans="3:12" ht="20.25" customHeight="1" x14ac:dyDescent="0.2">
      <c r="C31" s="620"/>
      <c r="D31" s="374" t="s">
        <v>10</v>
      </c>
      <c r="E31" s="377">
        <v>0</v>
      </c>
      <c r="F31" s="377">
        <v>16</v>
      </c>
      <c r="G31" s="377">
        <v>0</v>
      </c>
      <c r="H31" s="377">
        <v>4</v>
      </c>
      <c r="I31" s="377">
        <v>1</v>
      </c>
      <c r="J31" s="377">
        <v>0</v>
      </c>
      <c r="K31" s="377">
        <v>0</v>
      </c>
      <c r="L31" s="377">
        <f t="shared" si="0"/>
        <v>21</v>
      </c>
    </row>
    <row r="32" spans="3:12" ht="20.25" customHeight="1" x14ac:dyDescent="0.2">
      <c r="C32" s="621"/>
      <c r="D32" s="374" t="s">
        <v>845</v>
      </c>
      <c r="E32" s="377">
        <f>SUM(E30:E31)</f>
        <v>0</v>
      </c>
      <c r="F32" s="377">
        <f t="shared" ref="F32:L32" si="10">SUM(F30:F31)</f>
        <v>28</v>
      </c>
      <c r="G32" s="377">
        <f t="shared" si="10"/>
        <v>0</v>
      </c>
      <c r="H32" s="377">
        <f t="shared" si="10"/>
        <v>12</v>
      </c>
      <c r="I32" s="377">
        <f t="shared" si="10"/>
        <v>7</v>
      </c>
      <c r="J32" s="377">
        <f t="shared" si="10"/>
        <v>0</v>
      </c>
      <c r="K32" s="377">
        <f t="shared" si="10"/>
        <v>0</v>
      </c>
      <c r="L32" s="377">
        <f t="shared" si="10"/>
        <v>47</v>
      </c>
    </row>
    <row r="33" spans="3:12" ht="20.25" customHeight="1" x14ac:dyDescent="0.2">
      <c r="C33" s="619" t="s">
        <v>23</v>
      </c>
      <c r="D33" s="374" t="s">
        <v>9</v>
      </c>
      <c r="E33" s="377">
        <v>183</v>
      </c>
      <c r="F33" s="377">
        <v>1832</v>
      </c>
      <c r="G33" s="377">
        <v>1</v>
      </c>
      <c r="H33" s="377">
        <v>347</v>
      </c>
      <c r="I33" s="377">
        <v>65</v>
      </c>
      <c r="J33" s="377">
        <v>2</v>
      </c>
      <c r="K33" s="377">
        <v>74</v>
      </c>
      <c r="L33" s="377">
        <f t="shared" si="0"/>
        <v>2504</v>
      </c>
    </row>
    <row r="34" spans="3:12" ht="20.25" customHeight="1" x14ac:dyDescent="0.2">
      <c r="C34" s="620"/>
      <c r="D34" s="374" t="s">
        <v>10</v>
      </c>
      <c r="E34" s="377">
        <v>83</v>
      </c>
      <c r="F34" s="377">
        <v>233</v>
      </c>
      <c r="G34" s="377">
        <v>0</v>
      </c>
      <c r="H34" s="377">
        <v>87</v>
      </c>
      <c r="I34" s="377">
        <v>14</v>
      </c>
      <c r="J34" s="377">
        <v>1</v>
      </c>
      <c r="K34" s="377">
        <v>13</v>
      </c>
      <c r="L34" s="377">
        <f t="shared" si="0"/>
        <v>431</v>
      </c>
    </row>
    <row r="35" spans="3:12" ht="20.25" customHeight="1" x14ac:dyDescent="0.2">
      <c r="C35" s="621"/>
      <c r="D35" s="374" t="s">
        <v>845</v>
      </c>
      <c r="E35" s="377">
        <f>SUM(E33:E34)</f>
        <v>266</v>
      </c>
      <c r="F35" s="377">
        <f t="shared" ref="F35:L35" si="11">SUM(F33:F34)</f>
        <v>2065</v>
      </c>
      <c r="G35" s="377">
        <f t="shared" si="11"/>
        <v>1</v>
      </c>
      <c r="H35" s="377">
        <f t="shared" si="11"/>
        <v>434</v>
      </c>
      <c r="I35" s="377">
        <f t="shared" si="11"/>
        <v>79</v>
      </c>
      <c r="J35" s="377">
        <f t="shared" si="11"/>
        <v>3</v>
      </c>
      <c r="K35" s="377">
        <f t="shared" si="11"/>
        <v>87</v>
      </c>
      <c r="L35" s="377">
        <f t="shared" si="11"/>
        <v>2935</v>
      </c>
    </row>
    <row r="36" spans="3:12" ht="20.25" customHeight="1" x14ac:dyDescent="0.2">
      <c r="C36" s="619" t="s">
        <v>15</v>
      </c>
      <c r="D36" s="374" t="s">
        <v>9</v>
      </c>
      <c r="E36" s="377">
        <v>9</v>
      </c>
      <c r="F36" s="377">
        <v>43</v>
      </c>
      <c r="G36" s="377">
        <v>0</v>
      </c>
      <c r="H36" s="377">
        <v>4</v>
      </c>
      <c r="I36" s="377">
        <v>3</v>
      </c>
      <c r="J36" s="377">
        <v>0</v>
      </c>
      <c r="K36" s="377">
        <v>4</v>
      </c>
      <c r="L36" s="377">
        <f t="shared" si="0"/>
        <v>63</v>
      </c>
    </row>
    <row r="37" spans="3:12" ht="20.25" customHeight="1" x14ac:dyDescent="0.2">
      <c r="C37" s="620"/>
      <c r="D37" s="374" t="s">
        <v>10</v>
      </c>
      <c r="E37" s="377">
        <v>4</v>
      </c>
      <c r="F37" s="377">
        <v>39</v>
      </c>
      <c r="G37" s="377">
        <v>0</v>
      </c>
      <c r="H37" s="377">
        <v>1</v>
      </c>
      <c r="I37" s="377">
        <v>0</v>
      </c>
      <c r="J37" s="377">
        <v>0</v>
      </c>
      <c r="K37" s="377">
        <v>1</v>
      </c>
      <c r="L37" s="377">
        <f t="shared" si="0"/>
        <v>45</v>
      </c>
    </row>
    <row r="38" spans="3:12" ht="20.25" customHeight="1" x14ac:dyDescent="0.2">
      <c r="C38" s="621"/>
      <c r="D38" s="374" t="s">
        <v>845</v>
      </c>
      <c r="E38" s="377">
        <f>SUM(E36:E37)</f>
        <v>13</v>
      </c>
      <c r="F38" s="377">
        <f t="shared" ref="F38:L38" si="12">SUM(F36:F37)</f>
        <v>82</v>
      </c>
      <c r="G38" s="377">
        <f t="shared" si="12"/>
        <v>0</v>
      </c>
      <c r="H38" s="377">
        <f t="shared" si="12"/>
        <v>5</v>
      </c>
      <c r="I38" s="377">
        <f t="shared" si="12"/>
        <v>3</v>
      </c>
      <c r="J38" s="377">
        <f t="shared" si="12"/>
        <v>0</v>
      </c>
      <c r="K38" s="377">
        <f t="shared" si="12"/>
        <v>5</v>
      </c>
      <c r="L38" s="377">
        <f t="shared" si="12"/>
        <v>108</v>
      </c>
    </row>
    <row r="39" spans="3:12" ht="20.25" customHeight="1" x14ac:dyDescent="0.2">
      <c r="C39" s="619" t="s">
        <v>864</v>
      </c>
      <c r="D39" s="374" t="s">
        <v>9</v>
      </c>
      <c r="E39" s="377">
        <v>1</v>
      </c>
      <c r="F39" s="377">
        <v>64</v>
      </c>
      <c r="G39" s="377">
        <v>0</v>
      </c>
      <c r="H39" s="377">
        <v>6</v>
      </c>
      <c r="I39" s="377">
        <v>3</v>
      </c>
      <c r="J39" s="377">
        <v>0</v>
      </c>
      <c r="K39" s="377">
        <v>1</v>
      </c>
      <c r="L39" s="377">
        <f t="shared" si="0"/>
        <v>75</v>
      </c>
    </row>
    <row r="40" spans="3:12" ht="20.25" customHeight="1" x14ac:dyDescent="0.2">
      <c r="C40" s="620"/>
      <c r="D40" s="374" t="s">
        <v>10</v>
      </c>
      <c r="E40" s="377">
        <v>0</v>
      </c>
      <c r="F40" s="377">
        <v>80</v>
      </c>
      <c r="G40" s="377">
        <v>0</v>
      </c>
      <c r="H40" s="377">
        <v>5</v>
      </c>
      <c r="I40" s="377">
        <v>2</v>
      </c>
      <c r="J40" s="377">
        <v>0</v>
      </c>
      <c r="K40" s="377">
        <v>0</v>
      </c>
      <c r="L40" s="377">
        <f t="shared" si="0"/>
        <v>87</v>
      </c>
    </row>
    <row r="41" spans="3:12" ht="20.25" customHeight="1" x14ac:dyDescent="0.2">
      <c r="C41" s="621"/>
      <c r="D41" s="374" t="s">
        <v>845</v>
      </c>
      <c r="E41" s="377">
        <f>SUM(E39:E40)</f>
        <v>1</v>
      </c>
      <c r="F41" s="377">
        <f t="shared" ref="F41:L41" si="13">SUM(F39:F40)</f>
        <v>144</v>
      </c>
      <c r="G41" s="377">
        <f t="shared" si="13"/>
        <v>0</v>
      </c>
      <c r="H41" s="377">
        <f t="shared" si="13"/>
        <v>11</v>
      </c>
      <c r="I41" s="377">
        <f t="shared" si="13"/>
        <v>5</v>
      </c>
      <c r="J41" s="377">
        <f t="shared" si="13"/>
        <v>0</v>
      </c>
      <c r="K41" s="377">
        <f t="shared" si="13"/>
        <v>1</v>
      </c>
      <c r="L41" s="377">
        <f t="shared" si="13"/>
        <v>162</v>
      </c>
    </row>
    <row r="42" spans="3:12" ht="20.25" customHeight="1" x14ac:dyDescent="0.2">
      <c r="C42" s="619" t="s">
        <v>25</v>
      </c>
      <c r="D42" s="374" t="s">
        <v>9</v>
      </c>
      <c r="E42" s="377">
        <v>9</v>
      </c>
      <c r="F42" s="377">
        <v>372</v>
      </c>
      <c r="G42" s="377">
        <v>0</v>
      </c>
      <c r="H42" s="377">
        <v>14</v>
      </c>
      <c r="I42" s="377">
        <v>2</v>
      </c>
      <c r="J42" s="377">
        <v>0</v>
      </c>
      <c r="K42" s="377">
        <v>3</v>
      </c>
      <c r="L42" s="377">
        <f t="shared" si="0"/>
        <v>400</v>
      </c>
    </row>
    <row r="43" spans="3:12" ht="20.25" customHeight="1" x14ac:dyDescent="0.2">
      <c r="C43" s="620"/>
      <c r="D43" s="374" t="s">
        <v>10</v>
      </c>
      <c r="E43" s="377">
        <v>5</v>
      </c>
      <c r="F43" s="377">
        <v>60</v>
      </c>
      <c r="G43" s="377">
        <v>0</v>
      </c>
      <c r="H43" s="377">
        <v>21</v>
      </c>
      <c r="I43" s="377">
        <v>0</v>
      </c>
      <c r="J43" s="377">
        <v>0</v>
      </c>
      <c r="K43" s="377">
        <v>1</v>
      </c>
      <c r="L43" s="377">
        <f t="shared" si="0"/>
        <v>87</v>
      </c>
    </row>
    <row r="44" spans="3:12" ht="20.25" customHeight="1" x14ac:dyDescent="0.2">
      <c r="C44" s="621"/>
      <c r="D44" s="374" t="s">
        <v>845</v>
      </c>
      <c r="E44" s="377">
        <f>SUM(E42:E43)</f>
        <v>14</v>
      </c>
      <c r="F44" s="377">
        <f t="shared" ref="F44:L44" si="14">SUM(F42:F43)</f>
        <v>432</v>
      </c>
      <c r="G44" s="377">
        <f t="shared" si="14"/>
        <v>0</v>
      </c>
      <c r="H44" s="377">
        <f t="shared" si="14"/>
        <v>35</v>
      </c>
      <c r="I44" s="377">
        <f t="shared" si="14"/>
        <v>2</v>
      </c>
      <c r="J44" s="377">
        <f t="shared" si="14"/>
        <v>0</v>
      </c>
      <c r="K44" s="377">
        <f t="shared" si="14"/>
        <v>4</v>
      </c>
      <c r="L44" s="377">
        <f t="shared" si="14"/>
        <v>487</v>
      </c>
    </row>
    <row r="45" spans="3:12" ht="20.25" customHeight="1" x14ac:dyDescent="0.2">
      <c r="C45" s="619" t="s">
        <v>29</v>
      </c>
      <c r="D45" s="374" t="s">
        <v>9</v>
      </c>
      <c r="E45" s="377">
        <v>0</v>
      </c>
      <c r="F45" s="377">
        <v>61</v>
      </c>
      <c r="G45" s="377">
        <v>0</v>
      </c>
      <c r="H45" s="377">
        <v>0</v>
      </c>
      <c r="I45" s="377">
        <v>1</v>
      </c>
      <c r="J45" s="377">
        <v>0</v>
      </c>
      <c r="K45" s="377">
        <v>0</v>
      </c>
      <c r="L45" s="377">
        <f t="shared" si="0"/>
        <v>62</v>
      </c>
    </row>
    <row r="46" spans="3:12" ht="20.25" customHeight="1" x14ac:dyDescent="0.2">
      <c r="C46" s="620"/>
      <c r="D46" s="374" t="s">
        <v>10</v>
      </c>
      <c r="E46" s="377">
        <v>0</v>
      </c>
      <c r="F46" s="377">
        <v>3</v>
      </c>
      <c r="G46" s="377">
        <v>0</v>
      </c>
      <c r="H46" s="377">
        <v>0</v>
      </c>
      <c r="I46" s="377">
        <v>0</v>
      </c>
      <c r="J46" s="377">
        <v>0</v>
      </c>
      <c r="K46" s="377">
        <v>0</v>
      </c>
      <c r="L46" s="377">
        <f t="shared" si="0"/>
        <v>3</v>
      </c>
    </row>
    <row r="47" spans="3:12" ht="20.25" customHeight="1" x14ac:dyDescent="0.2">
      <c r="C47" s="621"/>
      <c r="D47" s="374" t="s">
        <v>845</v>
      </c>
      <c r="E47" s="377">
        <f>SUM(E45:E46)</f>
        <v>0</v>
      </c>
      <c r="F47" s="377">
        <f t="shared" ref="F47:L47" si="15">SUM(F45:F46)</f>
        <v>64</v>
      </c>
      <c r="G47" s="377">
        <f t="shared" si="15"/>
        <v>0</v>
      </c>
      <c r="H47" s="377">
        <f t="shared" si="15"/>
        <v>0</v>
      </c>
      <c r="I47" s="377">
        <f t="shared" si="15"/>
        <v>1</v>
      </c>
      <c r="J47" s="377">
        <f t="shared" si="15"/>
        <v>0</v>
      </c>
      <c r="K47" s="377">
        <f t="shared" si="15"/>
        <v>0</v>
      </c>
      <c r="L47" s="377">
        <f t="shared" si="15"/>
        <v>65</v>
      </c>
    </row>
    <row r="48" spans="3:12" ht="20.25" customHeight="1" x14ac:dyDescent="0.2">
      <c r="C48" s="619" t="s">
        <v>33</v>
      </c>
      <c r="D48" s="374" t="s">
        <v>9</v>
      </c>
      <c r="E48" s="377">
        <v>3</v>
      </c>
      <c r="F48" s="377">
        <v>241</v>
      </c>
      <c r="G48" s="377">
        <v>0</v>
      </c>
      <c r="H48" s="377">
        <v>7</v>
      </c>
      <c r="I48" s="377">
        <v>3</v>
      </c>
      <c r="J48" s="377">
        <v>1</v>
      </c>
      <c r="K48" s="377">
        <v>1</v>
      </c>
      <c r="L48" s="377">
        <f t="shared" si="0"/>
        <v>256</v>
      </c>
    </row>
    <row r="49" spans="3:12" ht="20.25" customHeight="1" x14ac:dyDescent="0.2">
      <c r="C49" s="620"/>
      <c r="D49" s="374" t="s">
        <v>10</v>
      </c>
      <c r="E49" s="377">
        <v>1</v>
      </c>
      <c r="F49" s="377">
        <v>33</v>
      </c>
      <c r="G49" s="377">
        <v>0</v>
      </c>
      <c r="H49" s="377">
        <v>8</v>
      </c>
      <c r="I49" s="377">
        <v>0</v>
      </c>
      <c r="J49" s="377">
        <v>1</v>
      </c>
      <c r="K49" s="377">
        <v>0</v>
      </c>
      <c r="L49" s="377">
        <f t="shared" si="0"/>
        <v>43</v>
      </c>
    </row>
    <row r="50" spans="3:12" ht="20.25" customHeight="1" x14ac:dyDescent="0.2">
      <c r="C50" s="621"/>
      <c r="D50" s="374" t="s">
        <v>845</v>
      </c>
      <c r="E50" s="377">
        <f>SUM(E48:E49)</f>
        <v>4</v>
      </c>
      <c r="F50" s="377">
        <f t="shared" ref="F50:L50" si="16">SUM(F48:F49)</f>
        <v>274</v>
      </c>
      <c r="G50" s="377">
        <f t="shared" si="16"/>
        <v>0</v>
      </c>
      <c r="H50" s="377">
        <f t="shared" si="16"/>
        <v>15</v>
      </c>
      <c r="I50" s="377">
        <f t="shared" si="16"/>
        <v>3</v>
      </c>
      <c r="J50" s="377">
        <f t="shared" si="16"/>
        <v>2</v>
      </c>
      <c r="K50" s="377">
        <f t="shared" si="16"/>
        <v>1</v>
      </c>
      <c r="L50" s="377">
        <f t="shared" si="16"/>
        <v>299</v>
      </c>
    </row>
    <row r="51" spans="3:12" ht="20.25" customHeight="1" x14ac:dyDescent="0.2">
      <c r="C51" s="619" t="s">
        <v>35</v>
      </c>
      <c r="D51" s="374" t="s">
        <v>9</v>
      </c>
      <c r="E51" s="377">
        <v>38</v>
      </c>
      <c r="F51" s="377">
        <v>125</v>
      </c>
      <c r="G51" s="377">
        <v>0</v>
      </c>
      <c r="H51" s="377">
        <v>74</v>
      </c>
      <c r="I51" s="377">
        <v>18</v>
      </c>
      <c r="J51" s="377">
        <v>171</v>
      </c>
      <c r="K51" s="377">
        <v>15</v>
      </c>
      <c r="L51" s="377">
        <f t="shared" si="0"/>
        <v>441</v>
      </c>
    </row>
    <row r="52" spans="3:12" ht="20.25" customHeight="1" x14ac:dyDescent="0.2">
      <c r="C52" s="620"/>
      <c r="D52" s="374" t="s">
        <v>10</v>
      </c>
      <c r="E52" s="377">
        <v>17</v>
      </c>
      <c r="F52" s="377">
        <v>68</v>
      </c>
      <c r="G52" s="377">
        <v>0</v>
      </c>
      <c r="H52" s="377">
        <v>33</v>
      </c>
      <c r="I52" s="377">
        <v>8</v>
      </c>
      <c r="J52" s="377">
        <v>16</v>
      </c>
      <c r="K52" s="377">
        <v>3</v>
      </c>
      <c r="L52" s="377">
        <f t="shared" si="0"/>
        <v>145</v>
      </c>
    </row>
    <row r="53" spans="3:12" ht="20.25" customHeight="1" x14ac:dyDescent="0.2">
      <c r="C53" s="621"/>
      <c r="D53" s="374" t="s">
        <v>845</v>
      </c>
      <c r="E53" s="377">
        <f>SUM(E51:E52)</f>
        <v>55</v>
      </c>
      <c r="F53" s="377">
        <f t="shared" ref="F53:L53" si="17">SUM(F51:F52)</f>
        <v>193</v>
      </c>
      <c r="G53" s="377">
        <f t="shared" si="17"/>
        <v>0</v>
      </c>
      <c r="H53" s="377">
        <f t="shared" si="17"/>
        <v>107</v>
      </c>
      <c r="I53" s="377">
        <f t="shared" si="17"/>
        <v>26</v>
      </c>
      <c r="J53" s="377">
        <f t="shared" si="17"/>
        <v>187</v>
      </c>
      <c r="K53" s="377">
        <f t="shared" si="17"/>
        <v>18</v>
      </c>
      <c r="L53" s="377">
        <f t="shared" si="17"/>
        <v>586</v>
      </c>
    </row>
    <row r="54" spans="3:12" ht="20.25" customHeight="1" x14ac:dyDescent="0.2">
      <c r="C54" s="619" t="s">
        <v>863</v>
      </c>
      <c r="D54" s="374" t="s">
        <v>9</v>
      </c>
      <c r="E54" s="377">
        <v>4</v>
      </c>
      <c r="F54" s="377">
        <v>268</v>
      </c>
      <c r="G54" s="377">
        <v>0</v>
      </c>
      <c r="H54" s="377">
        <v>26</v>
      </c>
      <c r="I54" s="377">
        <v>18</v>
      </c>
      <c r="J54" s="377">
        <v>64</v>
      </c>
      <c r="K54" s="377">
        <v>2</v>
      </c>
      <c r="L54" s="377">
        <f t="shared" si="0"/>
        <v>382</v>
      </c>
    </row>
    <row r="55" spans="3:12" ht="20.25" customHeight="1" x14ac:dyDescent="0.2">
      <c r="C55" s="620"/>
      <c r="D55" s="374" t="s">
        <v>10</v>
      </c>
      <c r="E55" s="377">
        <v>2</v>
      </c>
      <c r="F55" s="377">
        <v>80</v>
      </c>
      <c r="G55" s="377">
        <v>0</v>
      </c>
      <c r="H55" s="377">
        <v>8</v>
      </c>
      <c r="I55" s="377">
        <v>6</v>
      </c>
      <c r="J55" s="377">
        <v>7</v>
      </c>
      <c r="K55" s="377">
        <v>0</v>
      </c>
      <c r="L55" s="377">
        <f t="shared" si="0"/>
        <v>103</v>
      </c>
    </row>
    <row r="56" spans="3:12" ht="20.25" customHeight="1" x14ac:dyDescent="0.2">
      <c r="C56" s="621"/>
      <c r="D56" s="374" t="s">
        <v>845</v>
      </c>
      <c r="E56" s="377">
        <f>SUM(E54:E55)</f>
        <v>6</v>
      </c>
      <c r="F56" s="377">
        <f t="shared" ref="F56:L56" si="18">SUM(F54:F55)</f>
        <v>348</v>
      </c>
      <c r="G56" s="377">
        <f t="shared" si="18"/>
        <v>0</v>
      </c>
      <c r="H56" s="377">
        <f t="shared" si="18"/>
        <v>34</v>
      </c>
      <c r="I56" s="377">
        <f t="shared" si="18"/>
        <v>24</v>
      </c>
      <c r="J56" s="377">
        <f t="shared" si="18"/>
        <v>71</v>
      </c>
      <c r="K56" s="377">
        <f t="shared" si="18"/>
        <v>2</v>
      </c>
      <c r="L56" s="377">
        <f t="shared" si="18"/>
        <v>485</v>
      </c>
    </row>
    <row r="57" spans="3:12" ht="20.25" customHeight="1" x14ac:dyDescent="0.2">
      <c r="C57" s="619" t="s">
        <v>36</v>
      </c>
      <c r="D57" s="374" t="s">
        <v>9</v>
      </c>
      <c r="E57" s="377">
        <v>1</v>
      </c>
      <c r="F57" s="377">
        <v>2</v>
      </c>
      <c r="G57" s="377">
        <v>0</v>
      </c>
      <c r="H57" s="377">
        <v>5</v>
      </c>
      <c r="I57" s="377">
        <v>0</v>
      </c>
      <c r="J57" s="377">
        <v>0</v>
      </c>
      <c r="K57" s="377">
        <v>0</v>
      </c>
      <c r="L57" s="377">
        <f t="shared" si="0"/>
        <v>8</v>
      </c>
    </row>
    <row r="58" spans="3:12" ht="20.25" customHeight="1" x14ac:dyDescent="0.2">
      <c r="C58" s="620"/>
      <c r="D58" s="374" t="s">
        <v>10</v>
      </c>
      <c r="E58" s="377">
        <v>0</v>
      </c>
      <c r="F58" s="377">
        <v>8</v>
      </c>
      <c r="G58" s="377">
        <v>0</v>
      </c>
      <c r="H58" s="377">
        <v>2</v>
      </c>
      <c r="I58" s="377">
        <v>3</v>
      </c>
      <c r="J58" s="377">
        <v>0</v>
      </c>
      <c r="K58" s="377">
        <v>0</v>
      </c>
      <c r="L58" s="377">
        <f t="shared" si="0"/>
        <v>13</v>
      </c>
    </row>
    <row r="59" spans="3:12" ht="20.25" customHeight="1" x14ac:dyDescent="0.2">
      <c r="C59" s="621"/>
      <c r="D59" s="374" t="s">
        <v>845</v>
      </c>
      <c r="E59" s="377">
        <f>SUM(E57:E58)</f>
        <v>1</v>
      </c>
      <c r="F59" s="377">
        <f t="shared" ref="F59:L59" si="19">SUM(F57:F58)</f>
        <v>10</v>
      </c>
      <c r="G59" s="377">
        <f t="shared" si="19"/>
        <v>0</v>
      </c>
      <c r="H59" s="377">
        <f t="shared" si="19"/>
        <v>7</v>
      </c>
      <c r="I59" s="377">
        <f t="shared" si="19"/>
        <v>3</v>
      </c>
      <c r="J59" s="377">
        <f t="shared" si="19"/>
        <v>0</v>
      </c>
      <c r="K59" s="377">
        <f t="shared" si="19"/>
        <v>0</v>
      </c>
      <c r="L59" s="377">
        <f t="shared" si="19"/>
        <v>21</v>
      </c>
    </row>
    <row r="60" spans="3:12" ht="20.25" customHeight="1" x14ac:dyDescent="0.2">
      <c r="C60" s="619" t="s">
        <v>34</v>
      </c>
      <c r="D60" s="374" t="s">
        <v>9</v>
      </c>
      <c r="E60" s="377">
        <v>4291</v>
      </c>
      <c r="F60" s="377">
        <v>847</v>
      </c>
      <c r="G60" s="377">
        <v>13</v>
      </c>
      <c r="H60" s="377">
        <v>1057</v>
      </c>
      <c r="I60" s="377">
        <v>730</v>
      </c>
      <c r="J60" s="377">
        <v>10</v>
      </c>
      <c r="K60" s="377">
        <v>1729</v>
      </c>
      <c r="L60" s="377">
        <f t="shared" si="0"/>
        <v>8677</v>
      </c>
    </row>
    <row r="61" spans="3:12" ht="20.25" customHeight="1" x14ac:dyDescent="0.2">
      <c r="C61" s="620"/>
      <c r="D61" s="374" t="s">
        <v>10</v>
      </c>
      <c r="E61" s="377">
        <v>1934</v>
      </c>
      <c r="F61" s="377">
        <v>186</v>
      </c>
      <c r="G61" s="377">
        <v>0</v>
      </c>
      <c r="H61" s="377">
        <v>398</v>
      </c>
      <c r="I61" s="377">
        <v>310</v>
      </c>
      <c r="J61" s="377">
        <v>9</v>
      </c>
      <c r="K61" s="377">
        <v>305</v>
      </c>
      <c r="L61" s="377">
        <f t="shared" si="0"/>
        <v>3142</v>
      </c>
    </row>
    <row r="62" spans="3:12" ht="20.25" customHeight="1" x14ac:dyDescent="0.2">
      <c r="C62" s="621"/>
      <c r="D62" s="374" t="s">
        <v>845</v>
      </c>
      <c r="E62" s="377">
        <f>SUM(E60:E61)</f>
        <v>6225</v>
      </c>
      <c r="F62" s="377">
        <f t="shared" ref="F62:L62" si="20">SUM(F60:F61)</f>
        <v>1033</v>
      </c>
      <c r="G62" s="377">
        <f t="shared" si="20"/>
        <v>13</v>
      </c>
      <c r="H62" s="377">
        <f t="shared" si="20"/>
        <v>1455</v>
      </c>
      <c r="I62" s="377">
        <f t="shared" si="20"/>
        <v>1040</v>
      </c>
      <c r="J62" s="377">
        <f t="shared" si="20"/>
        <v>19</v>
      </c>
      <c r="K62" s="377">
        <f t="shared" si="20"/>
        <v>2034</v>
      </c>
      <c r="L62" s="377">
        <f t="shared" si="20"/>
        <v>11819</v>
      </c>
    </row>
    <row r="63" spans="3:12" ht="20.25" customHeight="1" x14ac:dyDescent="0.2">
      <c r="C63" s="619" t="s">
        <v>211</v>
      </c>
      <c r="D63" s="374" t="s">
        <v>9</v>
      </c>
      <c r="E63" s="377">
        <v>8</v>
      </c>
      <c r="F63" s="377">
        <v>310</v>
      </c>
      <c r="G63" s="377">
        <v>0</v>
      </c>
      <c r="H63" s="377">
        <v>183</v>
      </c>
      <c r="I63" s="377">
        <v>57</v>
      </c>
      <c r="J63" s="377">
        <v>0</v>
      </c>
      <c r="K63" s="377">
        <v>3</v>
      </c>
      <c r="L63" s="377">
        <f t="shared" si="0"/>
        <v>561</v>
      </c>
    </row>
    <row r="64" spans="3:12" ht="20.25" customHeight="1" x14ac:dyDescent="0.2">
      <c r="C64" s="620"/>
      <c r="D64" s="374" t="s">
        <v>10</v>
      </c>
      <c r="E64" s="377">
        <v>4</v>
      </c>
      <c r="F64" s="377">
        <v>22</v>
      </c>
      <c r="G64" s="377">
        <v>0</v>
      </c>
      <c r="H64" s="377">
        <v>107</v>
      </c>
      <c r="I64" s="377">
        <v>17</v>
      </c>
      <c r="J64" s="377">
        <v>0</v>
      </c>
      <c r="K64" s="377">
        <v>1</v>
      </c>
      <c r="L64" s="377">
        <f t="shared" si="0"/>
        <v>151</v>
      </c>
    </row>
    <row r="65" spans="3:12" ht="20.25" customHeight="1" x14ac:dyDescent="0.2">
      <c r="C65" s="621"/>
      <c r="D65" s="374" t="s">
        <v>845</v>
      </c>
      <c r="E65" s="377">
        <f>SUM(E63:E64)</f>
        <v>12</v>
      </c>
      <c r="F65" s="377">
        <f t="shared" ref="F65:L65" si="21">SUM(F63:F64)</f>
        <v>332</v>
      </c>
      <c r="G65" s="377">
        <f t="shared" si="21"/>
        <v>0</v>
      </c>
      <c r="H65" s="377">
        <f t="shared" si="21"/>
        <v>290</v>
      </c>
      <c r="I65" s="377">
        <f t="shared" si="21"/>
        <v>74</v>
      </c>
      <c r="J65" s="377">
        <f t="shared" si="21"/>
        <v>0</v>
      </c>
      <c r="K65" s="377">
        <f t="shared" si="21"/>
        <v>4</v>
      </c>
      <c r="L65" s="377">
        <f t="shared" si="21"/>
        <v>712</v>
      </c>
    </row>
    <row r="66" spans="3:12" ht="20.25" customHeight="1" x14ac:dyDescent="0.2">
      <c r="C66" s="619" t="s">
        <v>212</v>
      </c>
      <c r="D66" s="374" t="s">
        <v>9</v>
      </c>
      <c r="E66" s="377">
        <v>9</v>
      </c>
      <c r="F66" s="377">
        <v>131</v>
      </c>
      <c r="G66" s="377">
        <v>0</v>
      </c>
      <c r="H66" s="377">
        <v>12</v>
      </c>
      <c r="I66" s="377">
        <v>1</v>
      </c>
      <c r="J66" s="377">
        <v>0</v>
      </c>
      <c r="K66" s="377">
        <v>3</v>
      </c>
      <c r="L66" s="377">
        <f t="shared" si="0"/>
        <v>156</v>
      </c>
    </row>
    <row r="67" spans="3:12" ht="20.25" customHeight="1" x14ac:dyDescent="0.2">
      <c r="C67" s="620"/>
      <c r="D67" s="374" t="s">
        <v>10</v>
      </c>
      <c r="E67" s="377">
        <v>4</v>
      </c>
      <c r="F67" s="377">
        <v>17</v>
      </c>
      <c r="G67" s="377">
        <v>0</v>
      </c>
      <c r="H67" s="377">
        <v>6</v>
      </c>
      <c r="I67" s="377">
        <v>0</v>
      </c>
      <c r="J67" s="377">
        <v>0</v>
      </c>
      <c r="K67" s="377">
        <v>1</v>
      </c>
      <c r="L67" s="377">
        <f t="shared" si="0"/>
        <v>28</v>
      </c>
    </row>
    <row r="68" spans="3:12" ht="20.25" customHeight="1" x14ac:dyDescent="0.2">
      <c r="C68" s="621"/>
      <c r="D68" s="374" t="s">
        <v>845</v>
      </c>
      <c r="E68" s="377">
        <f>SUM(E66:E67)</f>
        <v>13</v>
      </c>
      <c r="F68" s="377">
        <f t="shared" ref="F68:L68" si="22">SUM(F66:F67)</f>
        <v>148</v>
      </c>
      <c r="G68" s="377">
        <f t="shared" si="22"/>
        <v>0</v>
      </c>
      <c r="H68" s="377">
        <f t="shared" si="22"/>
        <v>18</v>
      </c>
      <c r="I68" s="377">
        <f t="shared" si="22"/>
        <v>1</v>
      </c>
      <c r="J68" s="377">
        <f t="shared" si="22"/>
        <v>0</v>
      </c>
      <c r="K68" s="377">
        <f t="shared" si="22"/>
        <v>4</v>
      </c>
      <c r="L68" s="377">
        <f t="shared" si="22"/>
        <v>184</v>
      </c>
    </row>
    <row r="69" spans="3:12" ht="20.25" customHeight="1" x14ac:dyDescent="0.2">
      <c r="C69" s="619" t="s">
        <v>862</v>
      </c>
      <c r="D69" s="374" t="s">
        <v>9</v>
      </c>
      <c r="E69" s="377">
        <v>0</v>
      </c>
      <c r="F69" s="377">
        <v>132</v>
      </c>
      <c r="G69" s="377">
        <v>0</v>
      </c>
      <c r="H69" s="377">
        <v>2</v>
      </c>
      <c r="I69" s="377">
        <v>0</v>
      </c>
      <c r="J69" s="377">
        <v>0</v>
      </c>
      <c r="K69" s="377">
        <v>0</v>
      </c>
      <c r="L69" s="377">
        <f t="shared" ref="L69:L88" si="23">SUM(E69:K69)</f>
        <v>134</v>
      </c>
    </row>
    <row r="70" spans="3:12" ht="20.25" customHeight="1" x14ac:dyDescent="0.2">
      <c r="C70" s="620"/>
      <c r="D70" s="374" t="s">
        <v>10</v>
      </c>
      <c r="E70" s="377">
        <v>0</v>
      </c>
      <c r="F70" s="377">
        <v>28</v>
      </c>
      <c r="G70" s="377">
        <v>0</v>
      </c>
      <c r="H70" s="377">
        <v>5</v>
      </c>
      <c r="I70" s="377">
        <v>1</v>
      </c>
      <c r="J70" s="377">
        <v>0</v>
      </c>
      <c r="K70" s="377">
        <v>0</v>
      </c>
      <c r="L70" s="377">
        <f t="shared" si="23"/>
        <v>34</v>
      </c>
    </row>
    <row r="71" spans="3:12" ht="20.25" customHeight="1" x14ac:dyDescent="0.2">
      <c r="C71" s="621"/>
      <c r="D71" s="374" t="s">
        <v>845</v>
      </c>
      <c r="E71" s="377">
        <f>SUM(E69:E70)</f>
        <v>0</v>
      </c>
      <c r="F71" s="377">
        <f t="shared" ref="F71:L71" si="24">SUM(F69:F70)</f>
        <v>160</v>
      </c>
      <c r="G71" s="377">
        <f t="shared" si="24"/>
        <v>0</v>
      </c>
      <c r="H71" s="377">
        <f t="shared" si="24"/>
        <v>7</v>
      </c>
      <c r="I71" s="377">
        <f t="shared" si="24"/>
        <v>1</v>
      </c>
      <c r="J71" s="377">
        <f t="shared" si="24"/>
        <v>0</v>
      </c>
      <c r="K71" s="377">
        <f t="shared" si="24"/>
        <v>0</v>
      </c>
      <c r="L71" s="377">
        <f t="shared" si="24"/>
        <v>168</v>
      </c>
    </row>
    <row r="72" spans="3:12" ht="20.25" customHeight="1" x14ac:dyDescent="0.2">
      <c r="C72" s="619" t="s">
        <v>861</v>
      </c>
      <c r="D72" s="374" t="s">
        <v>9</v>
      </c>
      <c r="E72" s="377">
        <v>1</v>
      </c>
      <c r="F72" s="377">
        <v>95</v>
      </c>
      <c r="G72" s="377">
        <v>0</v>
      </c>
      <c r="H72" s="377">
        <v>14</v>
      </c>
      <c r="I72" s="377">
        <v>3</v>
      </c>
      <c r="J72" s="377">
        <v>0</v>
      </c>
      <c r="K72" s="377">
        <v>0</v>
      </c>
      <c r="L72" s="377">
        <f t="shared" si="23"/>
        <v>113</v>
      </c>
    </row>
    <row r="73" spans="3:12" ht="20.25" customHeight="1" x14ac:dyDescent="0.2">
      <c r="C73" s="620"/>
      <c r="D73" s="374" t="s">
        <v>10</v>
      </c>
      <c r="E73" s="377">
        <v>0</v>
      </c>
      <c r="F73" s="377">
        <v>5</v>
      </c>
      <c r="G73" s="377">
        <v>0</v>
      </c>
      <c r="H73" s="377">
        <v>5</v>
      </c>
      <c r="I73" s="377">
        <v>0</v>
      </c>
      <c r="J73" s="377">
        <v>0</v>
      </c>
      <c r="K73" s="377">
        <v>0</v>
      </c>
      <c r="L73" s="377">
        <f t="shared" si="23"/>
        <v>10</v>
      </c>
    </row>
    <row r="74" spans="3:12" ht="20.25" customHeight="1" x14ac:dyDescent="0.2">
      <c r="C74" s="621"/>
      <c r="D74" s="374" t="s">
        <v>845</v>
      </c>
      <c r="E74" s="377">
        <f>SUM(E72:E73)</f>
        <v>1</v>
      </c>
      <c r="F74" s="377">
        <f t="shared" ref="F74:L74" si="25">SUM(F72:F73)</f>
        <v>100</v>
      </c>
      <c r="G74" s="377">
        <f t="shared" si="25"/>
        <v>0</v>
      </c>
      <c r="H74" s="377">
        <f t="shared" si="25"/>
        <v>19</v>
      </c>
      <c r="I74" s="377">
        <f t="shared" si="25"/>
        <v>3</v>
      </c>
      <c r="J74" s="377">
        <f t="shared" si="25"/>
        <v>0</v>
      </c>
      <c r="K74" s="377">
        <f t="shared" si="25"/>
        <v>0</v>
      </c>
      <c r="L74" s="377">
        <f t="shared" si="25"/>
        <v>123</v>
      </c>
    </row>
    <row r="75" spans="3:12" ht="20.25" customHeight="1" x14ac:dyDescent="0.2">
      <c r="C75" s="619" t="s">
        <v>214</v>
      </c>
      <c r="D75" s="374" t="s">
        <v>9</v>
      </c>
      <c r="E75" s="377">
        <v>2</v>
      </c>
      <c r="F75" s="377">
        <v>167</v>
      </c>
      <c r="G75" s="377">
        <v>0</v>
      </c>
      <c r="H75" s="377">
        <v>13</v>
      </c>
      <c r="I75" s="377">
        <v>4</v>
      </c>
      <c r="J75" s="377">
        <v>0</v>
      </c>
      <c r="K75" s="377">
        <v>1</v>
      </c>
      <c r="L75" s="377">
        <f t="shared" si="23"/>
        <v>187</v>
      </c>
    </row>
    <row r="76" spans="3:12" ht="20.25" customHeight="1" x14ac:dyDescent="0.2">
      <c r="C76" s="620"/>
      <c r="D76" s="374" t="s">
        <v>10</v>
      </c>
      <c r="E76" s="377">
        <v>1</v>
      </c>
      <c r="F76" s="377">
        <v>11</v>
      </c>
      <c r="G76" s="377">
        <v>0</v>
      </c>
      <c r="H76" s="377">
        <v>7</v>
      </c>
      <c r="I76" s="377">
        <v>0</v>
      </c>
      <c r="J76" s="377">
        <v>0</v>
      </c>
      <c r="K76" s="377">
        <v>0</v>
      </c>
      <c r="L76" s="377">
        <f t="shared" si="23"/>
        <v>19</v>
      </c>
    </row>
    <row r="77" spans="3:12" ht="20.25" customHeight="1" x14ac:dyDescent="0.2">
      <c r="C77" s="621"/>
      <c r="D77" s="374" t="s">
        <v>845</v>
      </c>
      <c r="E77" s="377">
        <f>SUM(E75:E76)</f>
        <v>3</v>
      </c>
      <c r="F77" s="377">
        <f t="shared" ref="F77:L77" si="26">SUM(F75:F76)</f>
        <v>178</v>
      </c>
      <c r="G77" s="377">
        <f t="shared" si="26"/>
        <v>0</v>
      </c>
      <c r="H77" s="377">
        <f t="shared" si="26"/>
        <v>20</v>
      </c>
      <c r="I77" s="377">
        <f t="shared" si="26"/>
        <v>4</v>
      </c>
      <c r="J77" s="377">
        <f t="shared" si="26"/>
        <v>0</v>
      </c>
      <c r="K77" s="377">
        <f t="shared" si="26"/>
        <v>1</v>
      </c>
      <c r="L77" s="377">
        <f t="shared" si="26"/>
        <v>206</v>
      </c>
    </row>
    <row r="78" spans="3:12" ht="20.25" customHeight="1" x14ac:dyDescent="0.2">
      <c r="C78" s="619" t="s">
        <v>31</v>
      </c>
      <c r="D78" s="374" t="s">
        <v>9</v>
      </c>
      <c r="E78" s="377">
        <v>100</v>
      </c>
      <c r="F78" s="377">
        <v>2950</v>
      </c>
      <c r="G78" s="377">
        <v>0</v>
      </c>
      <c r="H78" s="377">
        <v>2220</v>
      </c>
      <c r="I78" s="377">
        <v>356</v>
      </c>
      <c r="J78" s="377">
        <v>29</v>
      </c>
      <c r="K78" s="377">
        <v>40</v>
      </c>
      <c r="L78" s="377">
        <f t="shared" si="23"/>
        <v>5695</v>
      </c>
    </row>
    <row r="79" spans="3:12" ht="20.25" customHeight="1" x14ac:dyDescent="0.2">
      <c r="C79" s="620"/>
      <c r="D79" s="374" t="s">
        <v>10</v>
      </c>
      <c r="E79" s="377">
        <v>46</v>
      </c>
      <c r="F79" s="377">
        <v>269</v>
      </c>
      <c r="G79" s="377">
        <v>0</v>
      </c>
      <c r="H79" s="377">
        <v>682</v>
      </c>
      <c r="I79" s="377">
        <v>68</v>
      </c>
      <c r="J79" s="377">
        <v>6</v>
      </c>
      <c r="K79" s="377">
        <v>8</v>
      </c>
      <c r="L79" s="377">
        <f t="shared" si="23"/>
        <v>1079</v>
      </c>
    </row>
    <row r="80" spans="3:12" ht="20.25" customHeight="1" x14ac:dyDescent="0.2">
      <c r="C80" s="621"/>
      <c r="D80" s="374" t="s">
        <v>845</v>
      </c>
      <c r="E80" s="377">
        <f>SUM(E78:E79)</f>
        <v>146</v>
      </c>
      <c r="F80" s="377">
        <f t="shared" ref="F80:L80" si="27">SUM(F78:F79)</f>
        <v>3219</v>
      </c>
      <c r="G80" s="377">
        <f t="shared" si="27"/>
        <v>0</v>
      </c>
      <c r="H80" s="377">
        <f t="shared" si="27"/>
        <v>2902</v>
      </c>
      <c r="I80" s="377">
        <f t="shared" si="27"/>
        <v>424</v>
      </c>
      <c r="J80" s="377">
        <f t="shared" si="27"/>
        <v>35</v>
      </c>
      <c r="K80" s="377">
        <f t="shared" si="27"/>
        <v>48</v>
      </c>
      <c r="L80" s="377">
        <f t="shared" si="27"/>
        <v>6774</v>
      </c>
    </row>
    <row r="81" spans="3:12" ht="20.25" customHeight="1" x14ac:dyDescent="0.2">
      <c r="C81" s="619" t="s">
        <v>215</v>
      </c>
      <c r="D81" s="374" t="s">
        <v>9</v>
      </c>
      <c r="E81" s="377">
        <v>0</v>
      </c>
      <c r="F81" s="377">
        <v>7</v>
      </c>
      <c r="G81" s="377">
        <v>0</v>
      </c>
      <c r="H81" s="377">
        <v>8</v>
      </c>
      <c r="I81" s="377">
        <v>0</v>
      </c>
      <c r="J81" s="377">
        <v>0</v>
      </c>
      <c r="K81" s="377">
        <v>0</v>
      </c>
      <c r="L81" s="377">
        <f t="shared" si="23"/>
        <v>15</v>
      </c>
    </row>
    <row r="82" spans="3:12" ht="20.25" customHeight="1" x14ac:dyDescent="0.2">
      <c r="C82" s="620"/>
      <c r="D82" s="374" t="s">
        <v>10</v>
      </c>
      <c r="E82" s="377">
        <v>0</v>
      </c>
      <c r="F82" s="377">
        <v>0</v>
      </c>
      <c r="G82" s="377">
        <v>0</v>
      </c>
      <c r="H82" s="377">
        <v>23</v>
      </c>
      <c r="I82" s="377">
        <v>1</v>
      </c>
      <c r="J82" s="377">
        <v>0</v>
      </c>
      <c r="K82" s="377">
        <v>0</v>
      </c>
      <c r="L82" s="377">
        <f t="shared" si="23"/>
        <v>24</v>
      </c>
    </row>
    <row r="83" spans="3:12" ht="20.25" customHeight="1" x14ac:dyDescent="0.2">
      <c r="C83" s="621"/>
      <c r="D83" s="374" t="s">
        <v>845</v>
      </c>
      <c r="E83" s="377">
        <f>SUM(E81:E82)</f>
        <v>0</v>
      </c>
      <c r="F83" s="377">
        <f t="shared" ref="F83:L83" si="28">SUM(F81:F82)</f>
        <v>7</v>
      </c>
      <c r="G83" s="377">
        <f t="shared" si="28"/>
        <v>0</v>
      </c>
      <c r="H83" s="377">
        <f t="shared" si="28"/>
        <v>31</v>
      </c>
      <c r="I83" s="377">
        <f t="shared" si="28"/>
        <v>1</v>
      </c>
      <c r="J83" s="377">
        <f t="shared" si="28"/>
        <v>0</v>
      </c>
      <c r="K83" s="377">
        <f t="shared" si="28"/>
        <v>0</v>
      </c>
      <c r="L83" s="377">
        <f t="shared" si="28"/>
        <v>39</v>
      </c>
    </row>
    <row r="84" spans="3:12" ht="20.25" customHeight="1" x14ac:dyDescent="0.2">
      <c r="C84" s="619" t="s">
        <v>38</v>
      </c>
      <c r="D84" s="374" t="s">
        <v>9</v>
      </c>
      <c r="E84" s="377">
        <v>1656</v>
      </c>
      <c r="F84" s="377">
        <v>5099</v>
      </c>
      <c r="G84" s="377">
        <v>5</v>
      </c>
      <c r="H84" s="377">
        <v>1559</v>
      </c>
      <c r="I84" s="377">
        <v>273</v>
      </c>
      <c r="J84" s="377">
        <v>212</v>
      </c>
      <c r="K84" s="377">
        <v>666</v>
      </c>
      <c r="L84" s="377">
        <f t="shared" si="23"/>
        <v>9470</v>
      </c>
    </row>
    <row r="85" spans="3:12" ht="20.25" customHeight="1" x14ac:dyDescent="0.2">
      <c r="C85" s="620"/>
      <c r="D85" s="374" t="s">
        <v>10</v>
      </c>
      <c r="E85" s="377">
        <v>745</v>
      </c>
      <c r="F85" s="377">
        <v>544</v>
      </c>
      <c r="G85" s="377">
        <v>0</v>
      </c>
      <c r="H85" s="377">
        <v>646</v>
      </c>
      <c r="I85" s="377">
        <v>85</v>
      </c>
      <c r="J85" s="377">
        <v>71</v>
      </c>
      <c r="K85" s="377">
        <v>118</v>
      </c>
      <c r="L85" s="377">
        <f t="shared" si="23"/>
        <v>2209</v>
      </c>
    </row>
    <row r="86" spans="3:12" ht="20.25" customHeight="1" x14ac:dyDescent="0.2">
      <c r="C86" s="621"/>
      <c r="D86" s="374" t="s">
        <v>845</v>
      </c>
      <c r="E86" s="377">
        <f>SUM(E84:E85)</f>
        <v>2401</v>
      </c>
      <c r="F86" s="377">
        <f t="shared" ref="F86:L86" si="29">SUM(F84:F85)</f>
        <v>5643</v>
      </c>
      <c r="G86" s="377">
        <f t="shared" si="29"/>
        <v>5</v>
      </c>
      <c r="H86" s="377">
        <f t="shared" si="29"/>
        <v>2205</v>
      </c>
      <c r="I86" s="377">
        <f t="shared" si="29"/>
        <v>358</v>
      </c>
      <c r="J86" s="377">
        <f t="shared" si="29"/>
        <v>283</v>
      </c>
      <c r="K86" s="377">
        <f t="shared" si="29"/>
        <v>784</v>
      </c>
      <c r="L86" s="377">
        <f t="shared" si="29"/>
        <v>11679</v>
      </c>
    </row>
    <row r="87" spans="3:12" ht="20.25" customHeight="1" x14ac:dyDescent="0.2">
      <c r="C87" s="619" t="s">
        <v>860</v>
      </c>
      <c r="D87" s="374" t="s">
        <v>9</v>
      </c>
      <c r="E87" s="377">
        <v>563</v>
      </c>
      <c r="F87" s="377">
        <v>1676</v>
      </c>
      <c r="G87" s="377">
        <v>2</v>
      </c>
      <c r="H87" s="377">
        <v>519</v>
      </c>
      <c r="I87" s="377">
        <v>97</v>
      </c>
      <c r="J87" s="377">
        <v>512</v>
      </c>
      <c r="K87" s="377">
        <v>227</v>
      </c>
      <c r="L87" s="377">
        <f t="shared" si="23"/>
        <v>3596</v>
      </c>
    </row>
    <row r="88" spans="3:12" ht="20.25" customHeight="1" x14ac:dyDescent="0.2">
      <c r="C88" s="620"/>
      <c r="D88" s="374" t="s">
        <v>10</v>
      </c>
      <c r="E88" s="377">
        <v>253</v>
      </c>
      <c r="F88" s="377">
        <v>101</v>
      </c>
      <c r="G88" s="377">
        <v>0</v>
      </c>
      <c r="H88" s="377">
        <v>324</v>
      </c>
      <c r="I88" s="377">
        <v>25</v>
      </c>
      <c r="J88" s="377">
        <v>114</v>
      </c>
      <c r="K88" s="377">
        <v>40</v>
      </c>
      <c r="L88" s="377">
        <f t="shared" si="23"/>
        <v>857</v>
      </c>
    </row>
    <row r="89" spans="3:12" ht="20.25" customHeight="1" x14ac:dyDescent="0.2">
      <c r="C89" s="621"/>
      <c r="D89" s="374" t="s">
        <v>845</v>
      </c>
      <c r="E89" s="377">
        <f>SUM(E87:E88)</f>
        <v>816</v>
      </c>
      <c r="F89" s="377">
        <f t="shared" ref="F89:L89" si="30">SUM(F87:F88)</f>
        <v>1777</v>
      </c>
      <c r="G89" s="377">
        <f t="shared" si="30"/>
        <v>2</v>
      </c>
      <c r="H89" s="377">
        <f t="shared" si="30"/>
        <v>843</v>
      </c>
      <c r="I89" s="377">
        <f t="shared" si="30"/>
        <v>122</v>
      </c>
      <c r="J89" s="377">
        <f t="shared" si="30"/>
        <v>626</v>
      </c>
      <c r="K89" s="377">
        <f t="shared" si="30"/>
        <v>267</v>
      </c>
      <c r="L89" s="377">
        <f t="shared" si="30"/>
        <v>4453</v>
      </c>
    </row>
    <row r="90" spans="3:12" ht="20.25" customHeight="1" x14ac:dyDescent="0.2">
      <c r="C90" s="619" t="s">
        <v>575</v>
      </c>
      <c r="D90" s="374" t="s">
        <v>9</v>
      </c>
      <c r="E90" s="377">
        <f>E3+E6+E9+E12+E15+E18+E21+E24+E27+E30+E33+E36+E39+E42+E45+E48+E51+E54+E57+E60+E63+E66+E69+E72+E75+E78+E81+E84+E87</f>
        <v>7474</v>
      </c>
      <c r="F90" s="377">
        <f t="shared" ref="F90:L90" si="31">F3+F6+F9+F12+F15+F18+F21+F24+F27+F30+F33+F36+F39+F42+F45+F48+F51+F54+F57+F60+F63+F66+F69+F72+F75+F78+F81+F84+F87</f>
        <v>17700</v>
      </c>
      <c r="G90" s="377">
        <f t="shared" si="31"/>
        <v>24</v>
      </c>
      <c r="H90" s="377">
        <f t="shared" si="31"/>
        <v>7076</v>
      </c>
      <c r="I90" s="377">
        <f t="shared" si="31"/>
        <v>1935</v>
      </c>
      <c r="J90" s="377">
        <f t="shared" si="31"/>
        <v>1004</v>
      </c>
      <c r="K90" s="377">
        <f t="shared" si="31"/>
        <v>3008</v>
      </c>
      <c r="L90" s="377">
        <f t="shared" si="31"/>
        <v>38221</v>
      </c>
    </row>
    <row r="91" spans="3:12" ht="20.25" customHeight="1" x14ac:dyDescent="0.2">
      <c r="C91" s="620"/>
      <c r="D91" s="374" t="s">
        <v>10</v>
      </c>
      <c r="E91" s="377">
        <f t="shared" ref="E91:L92" si="32">E4+E7+E10+E13+E16+E19+E22+E25+E28+E31+E34+E37+E40+E43+E46+E49+E52+E55+E58+E61+E64+E67+E70+E73+E76+E79+E82+E85+E88</f>
        <v>3368</v>
      </c>
      <c r="F91" s="377">
        <f t="shared" si="32"/>
        <v>3312</v>
      </c>
      <c r="G91" s="377">
        <f t="shared" si="32"/>
        <v>0</v>
      </c>
      <c r="H91" s="377">
        <f t="shared" si="32"/>
        <v>2702</v>
      </c>
      <c r="I91" s="377">
        <f t="shared" si="32"/>
        <v>598</v>
      </c>
      <c r="J91" s="377">
        <f t="shared" si="32"/>
        <v>225</v>
      </c>
      <c r="K91" s="377">
        <f t="shared" si="32"/>
        <v>533</v>
      </c>
      <c r="L91" s="377">
        <f t="shared" si="32"/>
        <v>10738</v>
      </c>
    </row>
    <row r="92" spans="3:12" ht="20.25" customHeight="1" x14ac:dyDescent="0.2">
      <c r="C92" s="621"/>
      <c r="D92" s="374" t="s">
        <v>845</v>
      </c>
      <c r="E92" s="377">
        <f t="shared" si="32"/>
        <v>10842</v>
      </c>
      <c r="F92" s="377">
        <f t="shared" si="32"/>
        <v>21012</v>
      </c>
      <c r="G92" s="377">
        <f t="shared" si="32"/>
        <v>24</v>
      </c>
      <c r="H92" s="377">
        <f t="shared" si="32"/>
        <v>9778</v>
      </c>
      <c r="I92" s="377">
        <f t="shared" si="32"/>
        <v>2533</v>
      </c>
      <c r="J92" s="377">
        <f t="shared" si="32"/>
        <v>1229</v>
      </c>
      <c r="K92" s="377">
        <f t="shared" si="32"/>
        <v>3541</v>
      </c>
      <c r="L92" s="377">
        <f t="shared" si="32"/>
        <v>48959</v>
      </c>
    </row>
  </sheetData>
  <mergeCells count="31">
    <mergeCell ref="C90:C92"/>
    <mergeCell ref="C72:C74"/>
    <mergeCell ref="C75:C77"/>
    <mergeCell ref="C78:C80"/>
    <mergeCell ref="C81:C83"/>
    <mergeCell ref="C84:C86"/>
    <mergeCell ref="C87:C89"/>
    <mergeCell ref="C69:C71"/>
    <mergeCell ref="C36:C38"/>
    <mergeCell ref="C39:C41"/>
    <mergeCell ref="C42:C44"/>
    <mergeCell ref="C45:C47"/>
    <mergeCell ref="C48:C50"/>
    <mergeCell ref="C51:C53"/>
    <mergeCell ref="C54:C56"/>
    <mergeCell ref="C57:C59"/>
    <mergeCell ref="C60:C62"/>
    <mergeCell ref="C63:C65"/>
    <mergeCell ref="C66:C68"/>
    <mergeCell ref="C33:C35"/>
    <mergeCell ref="C1:L1"/>
    <mergeCell ref="C3:C5"/>
    <mergeCell ref="C6:C8"/>
    <mergeCell ref="C9:C11"/>
    <mergeCell ref="C12:C14"/>
    <mergeCell ref="C15:C17"/>
    <mergeCell ref="C18:C20"/>
    <mergeCell ref="C21:C23"/>
    <mergeCell ref="C24:C26"/>
    <mergeCell ref="C27:C29"/>
    <mergeCell ref="C30:C3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92"/>
  <sheetViews>
    <sheetView rightToLeft="1" workbookViewId="0">
      <selection activeCell="E5" sqref="E5"/>
    </sheetView>
  </sheetViews>
  <sheetFormatPr defaultRowHeight="14.25" x14ac:dyDescent="0.2"/>
  <cols>
    <col min="1" max="2" width="9" style="160"/>
    <col min="3" max="3" width="29.375" style="372" bestFit="1" customWidth="1"/>
    <col min="4" max="4" width="9" style="372"/>
    <col min="5" max="5" width="10" style="372" bestFit="1" customWidth="1"/>
    <col min="6" max="12" width="9" style="372"/>
    <col min="13" max="16384" width="9" style="160"/>
  </cols>
  <sheetData>
    <row r="1" spans="3:12" ht="42.75" customHeight="1" x14ac:dyDescent="0.2">
      <c r="C1" s="630" t="s">
        <v>883</v>
      </c>
      <c r="D1" s="631"/>
      <c r="E1" s="631"/>
      <c r="F1" s="631"/>
      <c r="G1" s="631"/>
      <c r="H1" s="631"/>
      <c r="I1" s="631"/>
      <c r="J1" s="631"/>
      <c r="K1" s="631"/>
      <c r="L1" s="631"/>
    </row>
    <row r="2" spans="3:12" ht="46.5" customHeight="1" x14ac:dyDescent="0.2">
      <c r="C2" s="373" t="s">
        <v>871</v>
      </c>
      <c r="D2" s="373" t="s">
        <v>7</v>
      </c>
      <c r="E2" s="373" t="s">
        <v>61</v>
      </c>
      <c r="F2" s="373" t="s">
        <v>60</v>
      </c>
      <c r="G2" s="373" t="s">
        <v>59</v>
      </c>
      <c r="H2" s="373" t="s">
        <v>57</v>
      </c>
      <c r="I2" s="373" t="s">
        <v>56</v>
      </c>
      <c r="J2" s="373" t="s">
        <v>870</v>
      </c>
      <c r="K2" s="373" t="s">
        <v>53</v>
      </c>
      <c r="L2" s="373" t="s">
        <v>4</v>
      </c>
    </row>
    <row r="3" spans="3:12" ht="21.75" customHeight="1" x14ac:dyDescent="0.2">
      <c r="C3" s="619" t="s">
        <v>14</v>
      </c>
      <c r="D3" s="374" t="s">
        <v>9</v>
      </c>
      <c r="E3" s="377">
        <v>53</v>
      </c>
      <c r="F3" s="377">
        <v>38</v>
      </c>
      <c r="G3" s="377">
        <v>0</v>
      </c>
      <c r="H3" s="377">
        <v>0</v>
      </c>
      <c r="I3" s="377">
        <v>0</v>
      </c>
      <c r="J3" s="377">
        <v>0</v>
      </c>
      <c r="K3" s="377">
        <v>21</v>
      </c>
      <c r="L3" s="377">
        <f t="shared" ref="L3:L67" si="0">SUM(E3:K3)</f>
        <v>112</v>
      </c>
    </row>
    <row r="4" spans="3:12" ht="21.75" customHeight="1" x14ac:dyDescent="0.2">
      <c r="C4" s="620"/>
      <c r="D4" s="374" t="s">
        <v>10</v>
      </c>
      <c r="E4" s="377">
        <v>7</v>
      </c>
      <c r="F4" s="377">
        <v>107</v>
      </c>
      <c r="G4" s="377">
        <v>0</v>
      </c>
      <c r="H4" s="377">
        <v>0</v>
      </c>
      <c r="I4" s="377">
        <v>0</v>
      </c>
      <c r="J4" s="377">
        <v>0</v>
      </c>
      <c r="K4" s="377">
        <v>1</v>
      </c>
      <c r="L4" s="377">
        <f t="shared" si="0"/>
        <v>115</v>
      </c>
    </row>
    <row r="5" spans="3:12" ht="21.75" customHeight="1" x14ac:dyDescent="0.2">
      <c r="C5" s="621"/>
      <c r="D5" s="374" t="s">
        <v>845</v>
      </c>
      <c r="E5" s="377">
        <f>SUM(E3:E4)</f>
        <v>60</v>
      </c>
      <c r="F5" s="377">
        <f t="shared" ref="F5:L5" si="1">SUM(F3:F4)</f>
        <v>145</v>
      </c>
      <c r="G5" s="377">
        <f t="shared" si="1"/>
        <v>0</v>
      </c>
      <c r="H5" s="377">
        <f t="shared" si="1"/>
        <v>0</v>
      </c>
      <c r="I5" s="377">
        <f t="shared" si="1"/>
        <v>0</v>
      </c>
      <c r="J5" s="377">
        <f t="shared" si="1"/>
        <v>0</v>
      </c>
      <c r="K5" s="377">
        <f t="shared" si="1"/>
        <v>22</v>
      </c>
      <c r="L5" s="377">
        <f t="shared" si="1"/>
        <v>227</v>
      </c>
    </row>
    <row r="6" spans="3:12" ht="21.75" customHeight="1" x14ac:dyDescent="0.2">
      <c r="C6" s="619" t="s">
        <v>869</v>
      </c>
      <c r="D6" s="374" t="s">
        <v>9</v>
      </c>
      <c r="E6" s="377">
        <v>2</v>
      </c>
      <c r="F6" s="377">
        <v>57</v>
      </c>
      <c r="G6" s="377">
        <v>0</v>
      </c>
      <c r="H6" s="377">
        <v>9</v>
      </c>
      <c r="I6" s="377">
        <v>1</v>
      </c>
      <c r="J6" s="377">
        <v>0</v>
      </c>
      <c r="K6" s="377">
        <v>1</v>
      </c>
      <c r="L6" s="377">
        <f t="shared" si="0"/>
        <v>70</v>
      </c>
    </row>
    <row r="7" spans="3:12" ht="21.75" customHeight="1" x14ac:dyDescent="0.2">
      <c r="C7" s="620"/>
      <c r="D7" s="374" t="s">
        <v>10</v>
      </c>
      <c r="E7" s="377">
        <v>0</v>
      </c>
      <c r="F7" s="377">
        <v>78</v>
      </c>
      <c r="G7" s="377">
        <v>0</v>
      </c>
      <c r="H7" s="377">
        <v>6</v>
      </c>
      <c r="I7" s="377">
        <v>0</v>
      </c>
      <c r="J7" s="377">
        <v>0</v>
      </c>
      <c r="K7" s="377">
        <v>0</v>
      </c>
      <c r="L7" s="377">
        <f t="shared" si="0"/>
        <v>84</v>
      </c>
    </row>
    <row r="8" spans="3:12" ht="21.75" customHeight="1" x14ac:dyDescent="0.2">
      <c r="C8" s="621"/>
      <c r="D8" s="374" t="s">
        <v>845</v>
      </c>
      <c r="E8" s="377">
        <f>SUM(E6:E7)</f>
        <v>2</v>
      </c>
      <c r="F8" s="377">
        <f t="shared" ref="F8:L8" si="2">SUM(F6:F7)</f>
        <v>135</v>
      </c>
      <c r="G8" s="377">
        <f t="shared" si="2"/>
        <v>0</v>
      </c>
      <c r="H8" s="377">
        <f t="shared" si="2"/>
        <v>15</v>
      </c>
      <c r="I8" s="377">
        <f t="shared" si="2"/>
        <v>1</v>
      </c>
      <c r="J8" s="377">
        <f t="shared" si="2"/>
        <v>0</v>
      </c>
      <c r="K8" s="377">
        <f t="shared" si="2"/>
        <v>1</v>
      </c>
      <c r="L8" s="377">
        <f t="shared" si="2"/>
        <v>154</v>
      </c>
    </row>
    <row r="9" spans="3:12" ht="21.75" customHeight="1" x14ac:dyDescent="0.2">
      <c r="C9" s="619" t="s">
        <v>868</v>
      </c>
      <c r="D9" s="374" t="s">
        <v>9</v>
      </c>
      <c r="E9" s="377">
        <v>0</v>
      </c>
      <c r="F9" s="377">
        <v>5</v>
      </c>
      <c r="G9" s="377">
        <v>0</v>
      </c>
      <c r="H9" s="377">
        <v>0</v>
      </c>
      <c r="I9" s="377">
        <v>0</v>
      </c>
      <c r="J9" s="377">
        <v>0</v>
      </c>
      <c r="K9" s="377">
        <v>0</v>
      </c>
      <c r="L9" s="377">
        <f t="shared" si="0"/>
        <v>5</v>
      </c>
    </row>
    <row r="10" spans="3:12" ht="21.75" customHeight="1" x14ac:dyDescent="0.2">
      <c r="C10" s="620"/>
      <c r="D10" s="374" t="s">
        <v>10</v>
      </c>
      <c r="E10" s="377">
        <v>0</v>
      </c>
      <c r="F10" s="377">
        <v>4</v>
      </c>
      <c r="G10" s="377">
        <v>0</v>
      </c>
      <c r="H10" s="377">
        <v>0</v>
      </c>
      <c r="I10" s="377">
        <v>0</v>
      </c>
      <c r="J10" s="377">
        <v>0</v>
      </c>
      <c r="K10" s="377">
        <v>0</v>
      </c>
      <c r="L10" s="377">
        <f t="shared" si="0"/>
        <v>4</v>
      </c>
    </row>
    <row r="11" spans="3:12" ht="21.75" customHeight="1" x14ac:dyDescent="0.2">
      <c r="C11" s="621"/>
      <c r="D11" s="374" t="s">
        <v>845</v>
      </c>
      <c r="E11" s="377">
        <f>SUM(E9:E10)</f>
        <v>0</v>
      </c>
      <c r="F11" s="377">
        <f t="shared" ref="F11:L11" si="3">SUM(F9:F10)</f>
        <v>9</v>
      </c>
      <c r="G11" s="377">
        <f t="shared" si="3"/>
        <v>0</v>
      </c>
      <c r="H11" s="377">
        <f t="shared" si="3"/>
        <v>0</v>
      </c>
      <c r="I11" s="377">
        <f t="shared" si="3"/>
        <v>0</v>
      </c>
      <c r="J11" s="377">
        <f t="shared" si="3"/>
        <v>0</v>
      </c>
      <c r="K11" s="377">
        <f t="shared" si="3"/>
        <v>0</v>
      </c>
      <c r="L11" s="377">
        <f t="shared" si="3"/>
        <v>9</v>
      </c>
    </row>
    <row r="12" spans="3:12" ht="21.75" customHeight="1" x14ac:dyDescent="0.2">
      <c r="C12" s="619" t="s">
        <v>867</v>
      </c>
      <c r="D12" s="374" t="s">
        <v>9</v>
      </c>
      <c r="E12" s="377">
        <v>1</v>
      </c>
      <c r="F12" s="377">
        <v>65</v>
      </c>
      <c r="G12" s="377">
        <v>0</v>
      </c>
      <c r="H12" s="377">
        <v>1</v>
      </c>
      <c r="I12" s="377">
        <v>0</v>
      </c>
      <c r="J12" s="377">
        <v>0</v>
      </c>
      <c r="K12" s="377">
        <v>1</v>
      </c>
      <c r="L12" s="377">
        <f t="shared" si="0"/>
        <v>68</v>
      </c>
    </row>
    <row r="13" spans="3:12" ht="21.75" customHeight="1" x14ac:dyDescent="0.2">
      <c r="C13" s="620"/>
      <c r="D13" s="374" t="s">
        <v>10</v>
      </c>
      <c r="E13" s="377">
        <v>0</v>
      </c>
      <c r="F13" s="377">
        <v>78</v>
      </c>
      <c r="G13" s="377">
        <v>0</v>
      </c>
      <c r="H13" s="377">
        <v>2</v>
      </c>
      <c r="I13" s="377">
        <v>0</v>
      </c>
      <c r="J13" s="377">
        <v>0</v>
      </c>
      <c r="K13" s="377">
        <v>0</v>
      </c>
      <c r="L13" s="377">
        <f t="shared" si="0"/>
        <v>80</v>
      </c>
    </row>
    <row r="14" spans="3:12" ht="21.75" customHeight="1" x14ac:dyDescent="0.2">
      <c r="C14" s="621"/>
      <c r="D14" s="374" t="s">
        <v>845</v>
      </c>
      <c r="E14" s="377">
        <f>SUM(E12:E13)</f>
        <v>1</v>
      </c>
      <c r="F14" s="377">
        <f t="shared" ref="F14:L14" si="4">SUM(F12:F13)</f>
        <v>143</v>
      </c>
      <c r="G14" s="377">
        <f t="shared" si="4"/>
        <v>0</v>
      </c>
      <c r="H14" s="377">
        <f t="shared" si="4"/>
        <v>3</v>
      </c>
      <c r="I14" s="377">
        <f t="shared" si="4"/>
        <v>0</v>
      </c>
      <c r="J14" s="377">
        <f t="shared" si="4"/>
        <v>0</v>
      </c>
      <c r="K14" s="377">
        <f t="shared" si="4"/>
        <v>1</v>
      </c>
      <c r="L14" s="377">
        <f t="shared" si="4"/>
        <v>148</v>
      </c>
    </row>
    <row r="15" spans="3:12" ht="21.75" customHeight="1" x14ac:dyDescent="0.2">
      <c r="C15" s="619" t="s">
        <v>16</v>
      </c>
      <c r="D15" s="374" t="s">
        <v>9</v>
      </c>
      <c r="E15" s="377">
        <v>1</v>
      </c>
      <c r="F15" s="377">
        <v>2</v>
      </c>
      <c r="G15" s="377">
        <v>0</v>
      </c>
      <c r="H15" s="377">
        <v>0</v>
      </c>
      <c r="I15" s="377">
        <v>0</v>
      </c>
      <c r="J15" s="377">
        <v>0</v>
      </c>
      <c r="K15" s="377">
        <v>0</v>
      </c>
      <c r="L15" s="377">
        <f t="shared" si="0"/>
        <v>3</v>
      </c>
    </row>
    <row r="16" spans="3:12" ht="21.75" customHeight="1" x14ac:dyDescent="0.2">
      <c r="C16" s="620"/>
      <c r="D16" s="374" t="s">
        <v>10</v>
      </c>
      <c r="E16" s="377">
        <v>0</v>
      </c>
      <c r="F16" s="377">
        <v>1</v>
      </c>
      <c r="G16" s="377">
        <v>0</v>
      </c>
      <c r="H16" s="377">
        <v>0</v>
      </c>
      <c r="I16" s="377">
        <v>0</v>
      </c>
      <c r="J16" s="377">
        <v>0</v>
      </c>
      <c r="K16" s="377">
        <v>0</v>
      </c>
      <c r="L16" s="377">
        <f t="shared" si="0"/>
        <v>1</v>
      </c>
    </row>
    <row r="17" spans="3:12" ht="21.75" customHeight="1" x14ac:dyDescent="0.2">
      <c r="C17" s="621"/>
      <c r="D17" s="374" t="s">
        <v>845</v>
      </c>
      <c r="E17" s="377">
        <f>SUM(E15:E16)</f>
        <v>1</v>
      </c>
      <c r="F17" s="377">
        <f t="shared" ref="F17:L17" si="5">SUM(F15:F16)</f>
        <v>3</v>
      </c>
      <c r="G17" s="377">
        <f t="shared" si="5"/>
        <v>0</v>
      </c>
      <c r="H17" s="377">
        <f t="shared" si="5"/>
        <v>0</v>
      </c>
      <c r="I17" s="377">
        <f t="shared" si="5"/>
        <v>0</v>
      </c>
      <c r="J17" s="377">
        <f t="shared" si="5"/>
        <v>0</v>
      </c>
      <c r="K17" s="377">
        <f t="shared" si="5"/>
        <v>0</v>
      </c>
      <c r="L17" s="377">
        <f t="shared" si="5"/>
        <v>4</v>
      </c>
    </row>
    <row r="18" spans="3:12" ht="21.75" customHeight="1" x14ac:dyDescent="0.2">
      <c r="C18" s="619" t="s">
        <v>21</v>
      </c>
      <c r="D18" s="374" t="s">
        <v>9</v>
      </c>
      <c r="E18" s="377">
        <v>44</v>
      </c>
      <c r="F18" s="377">
        <v>696</v>
      </c>
      <c r="G18" s="377">
        <v>0</v>
      </c>
      <c r="H18" s="377">
        <v>187</v>
      </c>
      <c r="I18" s="377">
        <v>45</v>
      </c>
      <c r="J18" s="377">
        <v>0</v>
      </c>
      <c r="K18" s="377">
        <v>18</v>
      </c>
      <c r="L18" s="377">
        <f t="shared" si="0"/>
        <v>990</v>
      </c>
    </row>
    <row r="19" spans="3:12" ht="21.75" customHeight="1" x14ac:dyDescent="0.2">
      <c r="C19" s="620"/>
      <c r="D19" s="374" t="s">
        <v>10</v>
      </c>
      <c r="E19" s="377">
        <v>6</v>
      </c>
      <c r="F19" s="377">
        <v>134</v>
      </c>
      <c r="G19" s="377">
        <v>0</v>
      </c>
      <c r="H19" s="377">
        <v>27</v>
      </c>
      <c r="I19" s="377">
        <v>3</v>
      </c>
      <c r="J19" s="377">
        <v>0</v>
      </c>
      <c r="K19" s="377">
        <v>1</v>
      </c>
      <c r="L19" s="377">
        <f t="shared" si="0"/>
        <v>171</v>
      </c>
    </row>
    <row r="20" spans="3:12" ht="21.75" customHeight="1" x14ac:dyDescent="0.2">
      <c r="C20" s="621"/>
      <c r="D20" s="374" t="s">
        <v>845</v>
      </c>
      <c r="E20" s="377">
        <f>SUM(E18:E19)</f>
        <v>50</v>
      </c>
      <c r="F20" s="377">
        <f t="shared" ref="F20:L20" si="6">SUM(F18:F19)</f>
        <v>830</v>
      </c>
      <c r="G20" s="377">
        <f t="shared" si="6"/>
        <v>0</v>
      </c>
      <c r="H20" s="377">
        <f t="shared" si="6"/>
        <v>214</v>
      </c>
      <c r="I20" s="377">
        <f t="shared" si="6"/>
        <v>48</v>
      </c>
      <c r="J20" s="377">
        <f t="shared" si="6"/>
        <v>0</v>
      </c>
      <c r="K20" s="377">
        <f t="shared" si="6"/>
        <v>19</v>
      </c>
      <c r="L20" s="377">
        <f t="shared" si="6"/>
        <v>1161</v>
      </c>
    </row>
    <row r="21" spans="3:12" ht="21.75" customHeight="1" x14ac:dyDescent="0.2">
      <c r="C21" s="619" t="s">
        <v>19</v>
      </c>
      <c r="D21" s="374" t="s">
        <v>9</v>
      </c>
      <c r="E21" s="377">
        <v>0</v>
      </c>
      <c r="F21" s="377">
        <v>1</v>
      </c>
      <c r="G21" s="377">
        <v>0</v>
      </c>
      <c r="H21" s="377">
        <v>1</v>
      </c>
      <c r="I21" s="377">
        <v>3</v>
      </c>
      <c r="J21" s="377">
        <v>0</v>
      </c>
      <c r="K21" s="377">
        <v>0</v>
      </c>
      <c r="L21" s="377">
        <f t="shared" si="0"/>
        <v>5</v>
      </c>
    </row>
    <row r="22" spans="3:12" ht="21.75" customHeight="1" x14ac:dyDescent="0.2">
      <c r="C22" s="620"/>
      <c r="D22" s="374" t="s">
        <v>10</v>
      </c>
      <c r="E22" s="377">
        <v>0</v>
      </c>
      <c r="F22" s="377">
        <v>2</v>
      </c>
      <c r="G22" s="377">
        <v>0</v>
      </c>
      <c r="H22" s="377">
        <v>1</v>
      </c>
      <c r="I22" s="377">
        <v>0</v>
      </c>
      <c r="J22" s="377">
        <v>0</v>
      </c>
      <c r="K22" s="377">
        <v>0</v>
      </c>
      <c r="L22" s="377">
        <f t="shared" si="0"/>
        <v>3</v>
      </c>
    </row>
    <row r="23" spans="3:12" ht="21.75" customHeight="1" x14ac:dyDescent="0.2">
      <c r="C23" s="621"/>
      <c r="D23" s="374" t="s">
        <v>845</v>
      </c>
      <c r="E23" s="377">
        <f>SUM(E21:E22)</f>
        <v>0</v>
      </c>
      <c r="F23" s="377">
        <f t="shared" ref="F23:L23" si="7">SUM(F21:F22)</f>
        <v>3</v>
      </c>
      <c r="G23" s="377">
        <f t="shared" si="7"/>
        <v>0</v>
      </c>
      <c r="H23" s="377">
        <f t="shared" si="7"/>
        <v>2</v>
      </c>
      <c r="I23" s="377">
        <f t="shared" si="7"/>
        <v>3</v>
      </c>
      <c r="J23" s="377">
        <f t="shared" si="7"/>
        <v>0</v>
      </c>
      <c r="K23" s="377">
        <f t="shared" si="7"/>
        <v>0</v>
      </c>
      <c r="L23" s="377">
        <f t="shared" si="7"/>
        <v>8</v>
      </c>
    </row>
    <row r="24" spans="3:12" ht="21.75" customHeight="1" x14ac:dyDescent="0.2">
      <c r="C24" s="619" t="s">
        <v>866</v>
      </c>
      <c r="D24" s="374" t="s">
        <v>9</v>
      </c>
      <c r="E24" s="377">
        <v>0</v>
      </c>
      <c r="F24" s="377">
        <v>14</v>
      </c>
      <c r="G24" s="377">
        <v>0</v>
      </c>
      <c r="H24" s="377">
        <v>2</v>
      </c>
      <c r="I24" s="377">
        <v>1</v>
      </c>
      <c r="J24" s="377">
        <v>0</v>
      </c>
      <c r="K24" s="377">
        <v>0</v>
      </c>
      <c r="L24" s="377">
        <f t="shared" si="0"/>
        <v>17</v>
      </c>
    </row>
    <row r="25" spans="3:12" ht="21.75" customHeight="1" x14ac:dyDescent="0.2">
      <c r="C25" s="620"/>
      <c r="D25" s="374" t="s">
        <v>10</v>
      </c>
      <c r="E25" s="377">
        <v>0</v>
      </c>
      <c r="F25" s="377">
        <v>3</v>
      </c>
      <c r="G25" s="377">
        <v>0</v>
      </c>
      <c r="H25" s="377">
        <v>1</v>
      </c>
      <c r="I25" s="377">
        <v>0</v>
      </c>
      <c r="J25" s="377">
        <v>0</v>
      </c>
      <c r="K25" s="377">
        <v>0</v>
      </c>
      <c r="L25" s="377">
        <f t="shared" si="0"/>
        <v>4</v>
      </c>
    </row>
    <row r="26" spans="3:12" ht="21.75" customHeight="1" x14ac:dyDescent="0.2">
      <c r="C26" s="621"/>
      <c r="D26" s="374" t="s">
        <v>845</v>
      </c>
      <c r="E26" s="377">
        <f>SUM(E24:E25)</f>
        <v>0</v>
      </c>
      <c r="F26" s="377">
        <f t="shared" ref="F26:L26" si="8">SUM(F24:F25)</f>
        <v>17</v>
      </c>
      <c r="G26" s="377">
        <f t="shared" si="8"/>
        <v>0</v>
      </c>
      <c r="H26" s="377">
        <f t="shared" si="8"/>
        <v>3</v>
      </c>
      <c r="I26" s="377">
        <f t="shared" si="8"/>
        <v>1</v>
      </c>
      <c r="J26" s="377">
        <f t="shared" si="8"/>
        <v>0</v>
      </c>
      <c r="K26" s="377">
        <f t="shared" si="8"/>
        <v>0</v>
      </c>
      <c r="L26" s="377">
        <f t="shared" si="8"/>
        <v>21</v>
      </c>
    </row>
    <row r="27" spans="3:12" ht="21.75" customHeight="1" x14ac:dyDescent="0.2">
      <c r="C27" s="619" t="s">
        <v>865</v>
      </c>
      <c r="D27" s="374" t="s">
        <v>9</v>
      </c>
      <c r="E27" s="377">
        <v>0</v>
      </c>
      <c r="F27" s="377">
        <v>2</v>
      </c>
      <c r="G27" s="377">
        <v>0</v>
      </c>
      <c r="H27" s="377">
        <v>1</v>
      </c>
      <c r="I27" s="377">
        <v>0</v>
      </c>
      <c r="J27" s="377">
        <v>0</v>
      </c>
      <c r="K27" s="377">
        <v>0</v>
      </c>
      <c r="L27" s="377">
        <f t="shared" si="0"/>
        <v>3</v>
      </c>
    </row>
    <row r="28" spans="3:12" ht="21.75" customHeight="1" x14ac:dyDescent="0.2">
      <c r="C28" s="620"/>
      <c r="D28" s="374" t="s">
        <v>10</v>
      </c>
      <c r="E28" s="377">
        <v>0</v>
      </c>
      <c r="F28" s="377">
        <v>0</v>
      </c>
      <c r="G28" s="377">
        <v>0</v>
      </c>
      <c r="H28" s="377">
        <v>0</v>
      </c>
      <c r="I28" s="377">
        <v>0</v>
      </c>
      <c r="J28" s="377">
        <v>0</v>
      </c>
      <c r="K28" s="377">
        <v>0</v>
      </c>
      <c r="L28" s="377">
        <f t="shared" si="0"/>
        <v>0</v>
      </c>
    </row>
    <row r="29" spans="3:12" ht="21.75" customHeight="1" x14ac:dyDescent="0.2">
      <c r="C29" s="621"/>
      <c r="D29" s="374" t="s">
        <v>845</v>
      </c>
      <c r="E29" s="377">
        <f>SUM(E27:E28)</f>
        <v>0</v>
      </c>
      <c r="F29" s="377">
        <f t="shared" ref="F29:L29" si="9">SUM(F27:F28)</f>
        <v>2</v>
      </c>
      <c r="G29" s="377">
        <f t="shared" si="9"/>
        <v>0</v>
      </c>
      <c r="H29" s="377">
        <f t="shared" si="9"/>
        <v>1</v>
      </c>
      <c r="I29" s="377">
        <f t="shared" si="9"/>
        <v>0</v>
      </c>
      <c r="J29" s="377">
        <f t="shared" si="9"/>
        <v>0</v>
      </c>
      <c r="K29" s="377">
        <f t="shared" si="9"/>
        <v>0</v>
      </c>
      <c r="L29" s="377">
        <f t="shared" si="9"/>
        <v>3</v>
      </c>
    </row>
    <row r="30" spans="3:12" ht="21.75" customHeight="1" x14ac:dyDescent="0.2">
      <c r="C30" s="619" t="s">
        <v>18</v>
      </c>
      <c r="D30" s="374" t="s">
        <v>9</v>
      </c>
      <c r="E30" s="377">
        <v>0</v>
      </c>
      <c r="F30" s="377">
        <v>3</v>
      </c>
      <c r="G30" s="377">
        <v>0</v>
      </c>
      <c r="H30" s="377">
        <v>2</v>
      </c>
      <c r="I30" s="377">
        <v>1</v>
      </c>
      <c r="J30" s="377">
        <v>0</v>
      </c>
      <c r="K30" s="377">
        <v>0</v>
      </c>
      <c r="L30" s="377">
        <f t="shared" si="0"/>
        <v>6</v>
      </c>
    </row>
    <row r="31" spans="3:12" ht="21.75" customHeight="1" x14ac:dyDescent="0.2">
      <c r="C31" s="620"/>
      <c r="D31" s="374" t="s">
        <v>10</v>
      </c>
      <c r="E31" s="377">
        <v>0</v>
      </c>
      <c r="F31" s="377">
        <v>4</v>
      </c>
      <c r="G31" s="377">
        <v>0</v>
      </c>
      <c r="H31" s="377">
        <v>0</v>
      </c>
      <c r="I31" s="377">
        <v>0</v>
      </c>
      <c r="J31" s="377">
        <v>0</v>
      </c>
      <c r="K31" s="377">
        <v>0</v>
      </c>
      <c r="L31" s="377">
        <f t="shared" si="0"/>
        <v>4</v>
      </c>
    </row>
    <row r="32" spans="3:12" ht="21.75" customHeight="1" x14ac:dyDescent="0.2">
      <c r="C32" s="621"/>
      <c r="D32" s="374" t="s">
        <v>845</v>
      </c>
      <c r="E32" s="377">
        <f>SUM(E30:E31)</f>
        <v>0</v>
      </c>
      <c r="F32" s="377">
        <f t="shared" ref="F32:L32" si="10">SUM(F30:F31)</f>
        <v>7</v>
      </c>
      <c r="G32" s="377">
        <f t="shared" si="10"/>
        <v>0</v>
      </c>
      <c r="H32" s="377">
        <f t="shared" si="10"/>
        <v>2</v>
      </c>
      <c r="I32" s="377">
        <f t="shared" si="10"/>
        <v>1</v>
      </c>
      <c r="J32" s="377">
        <f t="shared" si="10"/>
        <v>0</v>
      </c>
      <c r="K32" s="377">
        <f t="shared" si="10"/>
        <v>0</v>
      </c>
      <c r="L32" s="377">
        <f t="shared" si="10"/>
        <v>10</v>
      </c>
    </row>
    <row r="33" spans="3:12" ht="21.75" customHeight="1" x14ac:dyDescent="0.2">
      <c r="C33" s="619" t="s">
        <v>23</v>
      </c>
      <c r="D33" s="374" t="s">
        <v>9</v>
      </c>
      <c r="E33" s="377">
        <v>31</v>
      </c>
      <c r="F33" s="377">
        <v>493</v>
      </c>
      <c r="G33" s="377">
        <v>0</v>
      </c>
      <c r="H33" s="377">
        <v>70</v>
      </c>
      <c r="I33" s="377">
        <v>11</v>
      </c>
      <c r="J33" s="377">
        <v>0</v>
      </c>
      <c r="K33" s="377">
        <v>13</v>
      </c>
      <c r="L33" s="377">
        <f t="shared" si="0"/>
        <v>618</v>
      </c>
    </row>
    <row r="34" spans="3:12" ht="21.75" customHeight="1" x14ac:dyDescent="0.2">
      <c r="C34" s="620"/>
      <c r="D34" s="374" t="s">
        <v>10</v>
      </c>
      <c r="E34" s="377">
        <v>4</v>
      </c>
      <c r="F34" s="377">
        <v>63</v>
      </c>
      <c r="G34" s="377">
        <v>0</v>
      </c>
      <c r="H34" s="377">
        <v>9</v>
      </c>
      <c r="I34" s="377">
        <v>1</v>
      </c>
      <c r="J34" s="377">
        <v>0</v>
      </c>
      <c r="K34" s="377">
        <v>1</v>
      </c>
      <c r="L34" s="377">
        <f t="shared" si="0"/>
        <v>78</v>
      </c>
    </row>
    <row r="35" spans="3:12" ht="21.75" customHeight="1" x14ac:dyDescent="0.2">
      <c r="C35" s="621"/>
      <c r="D35" s="374" t="s">
        <v>845</v>
      </c>
      <c r="E35" s="377">
        <f>SUM(E33:E34)</f>
        <v>35</v>
      </c>
      <c r="F35" s="377">
        <f t="shared" ref="F35:L35" si="11">SUM(F33:F34)</f>
        <v>556</v>
      </c>
      <c r="G35" s="377">
        <f t="shared" si="11"/>
        <v>0</v>
      </c>
      <c r="H35" s="377">
        <f t="shared" si="11"/>
        <v>79</v>
      </c>
      <c r="I35" s="377">
        <f t="shared" si="11"/>
        <v>12</v>
      </c>
      <c r="J35" s="377">
        <f t="shared" si="11"/>
        <v>0</v>
      </c>
      <c r="K35" s="377">
        <f t="shared" si="11"/>
        <v>14</v>
      </c>
      <c r="L35" s="377">
        <f t="shared" si="11"/>
        <v>696</v>
      </c>
    </row>
    <row r="36" spans="3:12" ht="21.75" customHeight="1" x14ac:dyDescent="0.2">
      <c r="C36" s="619" t="s">
        <v>15</v>
      </c>
      <c r="D36" s="374" t="s">
        <v>9</v>
      </c>
      <c r="E36" s="377">
        <v>2</v>
      </c>
      <c r="F36" s="377">
        <v>11</v>
      </c>
      <c r="G36" s="377">
        <v>0</v>
      </c>
      <c r="H36" s="377">
        <v>1</v>
      </c>
      <c r="I36" s="377">
        <v>1</v>
      </c>
      <c r="J36" s="377">
        <v>0</v>
      </c>
      <c r="K36" s="377">
        <v>1</v>
      </c>
      <c r="L36" s="377">
        <f t="shared" si="0"/>
        <v>16</v>
      </c>
    </row>
    <row r="37" spans="3:12" ht="21.75" customHeight="1" x14ac:dyDescent="0.2">
      <c r="C37" s="620"/>
      <c r="D37" s="374" t="s">
        <v>10</v>
      </c>
      <c r="E37" s="377">
        <v>0</v>
      </c>
      <c r="F37" s="377">
        <v>10</v>
      </c>
      <c r="G37" s="377">
        <v>0</v>
      </c>
      <c r="H37" s="377">
        <v>0</v>
      </c>
      <c r="I37" s="377">
        <v>0</v>
      </c>
      <c r="J37" s="377">
        <v>0</v>
      </c>
      <c r="K37" s="377">
        <v>0</v>
      </c>
      <c r="L37" s="377">
        <f t="shared" si="0"/>
        <v>10</v>
      </c>
    </row>
    <row r="38" spans="3:12" ht="21.75" customHeight="1" x14ac:dyDescent="0.2">
      <c r="C38" s="621"/>
      <c r="D38" s="374" t="s">
        <v>845</v>
      </c>
      <c r="E38" s="377">
        <f>SUM(E36:E37)</f>
        <v>2</v>
      </c>
      <c r="F38" s="377">
        <f t="shared" ref="F38:L38" si="12">SUM(F36:F37)</f>
        <v>21</v>
      </c>
      <c r="G38" s="377">
        <f t="shared" si="12"/>
        <v>0</v>
      </c>
      <c r="H38" s="377">
        <f t="shared" si="12"/>
        <v>1</v>
      </c>
      <c r="I38" s="377">
        <f t="shared" si="12"/>
        <v>1</v>
      </c>
      <c r="J38" s="377">
        <f t="shared" si="12"/>
        <v>0</v>
      </c>
      <c r="K38" s="377">
        <f t="shared" si="12"/>
        <v>1</v>
      </c>
      <c r="L38" s="377">
        <f t="shared" si="12"/>
        <v>26</v>
      </c>
    </row>
    <row r="39" spans="3:12" ht="21.75" customHeight="1" x14ac:dyDescent="0.2">
      <c r="C39" s="619" t="s">
        <v>864</v>
      </c>
      <c r="D39" s="374" t="s">
        <v>9</v>
      </c>
      <c r="E39" s="377">
        <v>0</v>
      </c>
      <c r="F39" s="377">
        <v>17</v>
      </c>
      <c r="G39" s="377">
        <v>0</v>
      </c>
      <c r="H39" s="377">
        <v>1</v>
      </c>
      <c r="I39" s="377">
        <v>1</v>
      </c>
      <c r="J39" s="377">
        <v>0</v>
      </c>
      <c r="K39" s="377">
        <v>0</v>
      </c>
      <c r="L39" s="377">
        <f t="shared" si="0"/>
        <v>19</v>
      </c>
    </row>
    <row r="40" spans="3:12" ht="21.75" customHeight="1" x14ac:dyDescent="0.2">
      <c r="C40" s="620"/>
      <c r="D40" s="374" t="s">
        <v>10</v>
      </c>
      <c r="E40" s="377">
        <v>0</v>
      </c>
      <c r="F40" s="377">
        <v>22</v>
      </c>
      <c r="G40" s="377">
        <v>0</v>
      </c>
      <c r="H40" s="377">
        <v>1</v>
      </c>
      <c r="I40" s="377">
        <v>0</v>
      </c>
      <c r="J40" s="377">
        <v>0</v>
      </c>
      <c r="K40" s="377">
        <v>0</v>
      </c>
      <c r="L40" s="377">
        <f t="shared" si="0"/>
        <v>23</v>
      </c>
    </row>
    <row r="41" spans="3:12" ht="21.75" customHeight="1" x14ac:dyDescent="0.2">
      <c r="C41" s="621"/>
      <c r="D41" s="374" t="s">
        <v>845</v>
      </c>
      <c r="E41" s="377">
        <f>SUM(E39:E40)</f>
        <v>0</v>
      </c>
      <c r="F41" s="377">
        <f t="shared" ref="F41:L41" si="13">SUM(F39:F40)</f>
        <v>39</v>
      </c>
      <c r="G41" s="377">
        <f t="shared" si="13"/>
        <v>0</v>
      </c>
      <c r="H41" s="377">
        <f t="shared" si="13"/>
        <v>2</v>
      </c>
      <c r="I41" s="377">
        <f t="shared" si="13"/>
        <v>1</v>
      </c>
      <c r="J41" s="377">
        <f t="shared" si="13"/>
        <v>0</v>
      </c>
      <c r="K41" s="377">
        <f t="shared" si="13"/>
        <v>0</v>
      </c>
      <c r="L41" s="377">
        <f t="shared" si="13"/>
        <v>42</v>
      </c>
    </row>
    <row r="42" spans="3:12" ht="21.75" customHeight="1" x14ac:dyDescent="0.2">
      <c r="C42" s="619" t="s">
        <v>25</v>
      </c>
      <c r="D42" s="374" t="s">
        <v>9</v>
      </c>
      <c r="E42" s="377">
        <v>2</v>
      </c>
      <c r="F42" s="377">
        <v>100</v>
      </c>
      <c r="G42" s="377">
        <v>0</v>
      </c>
      <c r="H42" s="377">
        <v>3</v>
      </c>
      <c r="I42" s="377">
        <v>0</v>
      </c>
      <c r="J42" s="377">
        <v>0</v>
      </c>
      <c r="K42" s="377">
        <v>1</v>
      </c>
      <c r="L42" s="377">
        <f t="shared" si="0"/>
        <v>106</v>
      </c>
    </row>
    <row r="43" spans="3:12" ht="21.75" customHeight="1" x14ac:dyDescent="0.2">
      <c r="C43" s="620"/>
      <c r="D43" s="374" t="s">
        <v>10</v>
      </c>
      <c r="E43" s="377">
        <v>0</v>
      </c>
      <c r="F43" s="377">
        <v>16</v>
      </c>
      <c r="G43" s="377">
        <v>0</v>
      </c>
      <c r="H43" s="377">
        <v>2</v>
      </c>
      <c r="I43" s="377">
        <v>0</v>
      </c>
      <c r="J43" s="377">
        <v>0</v>
      </c>
      <c r="K43" s="377">
        <v>0</v>
      </c>
      <c r="L43" s="377">
        <f t="shared" si="0"/>
        <v>18</v>
      </c>
    </row>
    <row r="44" spans="3:12" ht="21.75" customHeight="1" x14ac:dyDescent="0.2">
      <c r="C44" s="621"/>
      <c r="D44" s="374" t="s">
        <v>845</v>
      </c>
      <c r="E44" s="377">
        <f>SUM(E42:E43)</f>
        <v>2</v>
      </c>
      <c r="F44" s="377">
        <f t="shared" ref="F44:L44" si="14">SUM(F42:F43)</f>
        <v>116</v>
      </c>
      <c r="G44" s="377">
        <f t="shared" si="14"/>
        <v>0</v>
      </c>
      <c r="H44" s="377">
        <f t="shared" si="14"/>
        <v>5</v>
      </c>
      <c r="I44" s="377">
        <f t="shared" si="14"/>
        <v>0</v>
      </c>
      <c r="J44" s="377">
        <f t="shared" si="14"/>
        <v>0</v>
      </c>
      <c r="K44" s="377">
        <f t="shared" si="14"/>
        <v>1</v>
      </c>
      <c r="L44" s="377">
        <f t="shared" si="14"/>
        <v>124</v>
      </c>
    </row>
    <row r="45" spans="3:12" ht="21.75" customHeight="1" x14ac:dyDescent="0.2">
      <c r="C45" s="619" t="s">
        <v>29</v>
      </c>
      <c r="D45" s="374" t="s">
        <v>9</v>
      </c>
      <c r="E45" s="377">
        <v>0</v>
      </c>
      <c r="F45" s="377">
        <v>17</v>
      </c>
      <c r="G45" s="377">
        <v>0</v>
      </c>
      <c r="H45" s="377">
        <v>0</v>
      </c>
      <c r="I45" s="377">
        <v>0</v>
      </c>
      <c r="J45" s="377">
        <v>0</v>
      </c>
      <c r="K45" s="377">
        <v>0</v>
      </c>
      <c r="L45" s="377">
        <f t="shared" si="0"/>
        <v>17</v>
      </c>
    </row>
    <row r="46" spans="3:12" ht="21.75" customHeight="1" x14ac:dyDescent="0.2">
      <c r="C46" s="620"/>
      <c r="D46" s="374" t="s">
        <v>10</v>
      </c>
      <c r="E46" s="377">
        <v>0</v>
      </c>
      <c r="F46" s="377">
        <v>1</v>
      </c>
      <c r="G46" s="377">
        <v>0</v>
      </c>
      <c r="H46" s="377">
        <v>0</v>
      </c>
      <c r="I46" s="377">
        <v>0</v>
      </c>
      <c r="J46" s="377">
        <v>0</v>
      </c>
      <c r="K46" s="377">
        <v>0</v>
      </c>
      <c r="L46" s="377">
        <f t="shared" si="0"/>
        <v>1</v>
      </c>
    </row>
    <row r="47" spans="3:12" ht="21.75" customHeight="1" x14ac:dyDescent="0.2">
      <c r="C47" s="621"/>
      <c r="D47" s="374" t="s">
        <v>845</v>
      </c>
      <c r="E47" s="377">
        <f>SUM(E45:E46)</f>
        <v>0</v>
      </c>
      <c r="F47" s="377">
        <f t="shared" ref="F47:L47" si="15">SUM(F45:F46)</f>
        <v>18</v>
      </c>
      <c r="G47" s="377">
        <f t="shared" si="15"/>
        <v>0</v>
      </c>
      <c r="H47" s="377">
        <f t="shared" si="15"/>
        <v>0</v>
      </c>
      <c r="I47" s="377">
        <f t="shared" si="15"/>
        <v>0</v>
      </c>
      <c r="J47" s="377">
        <f t="shared" si="15"/>
        <v>0</v>
      </c>
      <c r="K47" s="377">
        <f t="shared" si="15"/>
        <v>0</v>
      </c>
      <c r="L47" s="377">
        <f t="shared" si="15"/>
        <v>18</v>
      </c>
    </row>
    <row r="48" spans="3:12" ht="21.75" customHeight="1" x14ac:dyDescent="0.2">
      <c r="C48" s="619" t="s">
        <v>33</v>
      </c>
      <c r="D48" s="374" t="s">
        <v>9</v>
      </c>
      <c r="E48" s="377">
        <v>0</v>
      </c>
      <c r="F48" s="377">
        <v>65</v>
      </c>
      <c r="G48" s="377">
        <v>0</v>
      </c>
      <c r="H48" s="377">
        <v>2</v>
      </c>
      <c r="I48" s="377">
        <v>1</v>
      </c>
      <c r="J48" s="377">
        <v>0</v>
      </c>
      <c r="K48" s="377">
        <v>0</v>
      </c>
      <c r="L48" s="377">
        <f t="shared" si="0"/>
        <v>68</v>
      </c>
    </row>
    <row r="49" spans="3:12" ht="21.75" customHeight="1" x14ac:dyDescent="0.2">
      <c r="C49" s="620"/>
      <c r="D49" s="374" t="s">
        <v>10</v>
      </c>
      <c r="E49" s="377">
        <v>0</v>
      </c>
      <c r="F49" s="377">
        <v>9</v>
      </c>
      <c r="G49" s="377">
        <v>0</v>
      </c>
      <c r="H49" s="377">
        <v>1</v>
      </c>
      <c r="I49" s="377">
        <v>0</v>
      </c>
      <c r="J49" s="377">
        <v>0</v>
      </c>
      <c r="K49" s="377">
        <v>0</v>
      </c>
      <c r="L49" s="377">
        <f t="shared" si="0"/>
        <v>10</v>
      </c>
    </row>
    <row r="50" spans="3:12" ht="21.75" customHeight="1" x14ac:dyDescent="0.2">
      <c r="C50" s="621"/>
      <c r="D50" s="374" t="s">
        <v>845</v>
      </c>
      <c r="E50" s="377">
        <f>SUM(E48:E49)</f>
        <v>0</v>
      </c>
      <c r="F50" s="377">
        <f t="shared" ref="F50:L50" si="16">SUM(F48:F49)</f>
        <v>74</v>
      </c>
      <c r="G50" s="377">
        <f t="shared" si="16"/>
        <v>0</v>
      </c>
      <c r="H50" s="377">
        <f t="shared" si="16"/>
        <v>3</v>
      </c>
      <c r="I50" s="377">
        <f t="shared" si="16"/>
        <v>1</v>
      </c>
      <c r="J50" s="377">
        <f t="shared" si="16"/>
        <v>0</v>
      </c>
      <c r="K50" s="377">
        <f t="shared" si="16"/>
        <v>0</v>
      </c>
      <c r="L50" s="377">
        <f t="shared" si="16"/>
        <v>78</v>
      </c>
    </row>
    <row r="51" spans="3:12" ht="21.75" customHeight="1" x14ac:dyDescent="0.2">
      <c r="C51" s="619" t="s">
        <v>35</v>
      </c>
      <c r="D51" s="374" t="s">
        <v>9</v>
      </c>
      <c r="E51" s="377">
        <v>7</v>
      </c>
      <c r="F51" s="377">
        <v>34</v>
      </c>
      <c r="G51" s="377">
        <v>0</v>
      </c>
      <c r="H51" s="377">
        <v>14</v>
      </c>
      <c r="I51" s="377">
        <v>3</v>
      </c>
      <c r="J51" s="377">
        <v>0</v>
      </c>
      <c r="K51" s="377">
        <v>3</v>
      </c>
      <c r="L51" s="377">
        <f t="shared" si="0"/>
        <v>61</v>
      </c>
    </row>
    <row r="52" spans="3:12" ht="21.75" customHeight="1" x14ac:dyDescent="0.2">
      <c r="C52" s="620"/>
      <c r="D52" s="374" t="s">
        <v>10</v>
      </c>
      <c r="E52" s="377">
        <v>1</v>
      </c>
      <c r="F52" s="377">
        <v>19</v>
      </c>
      <c r="G52" s="377">
        <v>0</v>
      </c>
      <c r="H52" s="377">
        <v>4</v>
      </c>
      <c r="I52" s="377">
        <v>0</v>
      </c>
      <c r="J52" s="377">
        <v>0</v>
      </c>
      <c r="K52" s="377">
        <v>0</v>
      </c>
      <c r="L52" s="377">
        <f t="shared" si="0"/>
        <v>24</v>
      </c>
    </row>
    <row r="53" spans="3:12" ht="21.75" customHeight="1" x14ac:dyDescent="0.2">
      <c r="C53" s="621"/>
      <c r="D53" s="374" t="s">
        <v>845</v>
      </c>
      <c r="E53" s="377">
        <f>SUM(E51:E52)</f>
        <v>8</v>
      </c>
      <c r="F53" s="377">
        <f t="shared" ref="F53:L53" si="17">SUM(F51:F52)</f>
        <v>53</v>
      </c>
      <c r="G53" s="377">
        <f t="shared" si="17"/>
        <v>0</v>
      </c>
      <c r="H53" s="377">
        <f t="shared" si="17"/>
        <v>18</v>
      </c>
      <c r="I53" s="377">
        <f t="shared" si="17"/>
        <v>3</v>
      </c>
      <c r="J53" s="377">
        <f t="shared" si="17"/>
        <v>0</v>
      </c>
      <c r="K53" s="377">
        <f t="shared" si="17"/>
        <v>3</v>
      </c>
      <c r="L53" s="377">
        <f t="shared" si="17"/>
        <v>85</v>
      </c>
    </row>
    <row r="54" spans="3:12" ht="21.75" customHeight="1" x14ac:dyDescent="0.2">
      <c r="C54" s="619" t="s">
        <v>863</v>
      </c>
      <c r="D54" s="374" t="s">
        <v>9</v>
      </c>
      <c r="E54" s="377">
        <v>1</v>
      </c>
      <c r="F54" s="377">
        <v>72</v>
      </c>
      <c r="G54" s="377">
        <v>0</v>
      </c>
      <c r="H54" s="377">
        <v>5</v>
      </c>
      <c r="I54" s="377">
        <v>3</v>
      </c>
      <c r="J54" s="377">
        <v>0</v>
      </c>
      <c r="K54" s="377">
        <v>0</v>
      </c>
      <c r="L54" s="377">
        <f t="shared" si="0"/>
        <v>81</v>
      </c>
    </row>
    <row r="55" spans="3:12" ht="21.75" customHeight="1" x14ac:dyDescent="0.2">
      <c r="C55" s="620"/>
      <c r="D55" s="374" t="s">
        <v>10</v>
      </c>
      <c r="E55" s="377">
        <v>0</v>
      </c>
      <c r="F55" s="377">
        <v>22</v>
      </c>
      <c r="G55" s="377">
        <v>0</v>
      </c>
      <c r="H55" s="377">
        <v>1</v>
      </c>
      <c r="I55" s="377">
        <v>0</v>
      </c>
      <c r="J55" s="377">
        <v>0</v>
      </c>
      <c r="K55" s="377">
        <v>0</v>
      </c>
      <c r="L55" s="377">
        <f t="shared" si="0"/>
        <v>23</v>
      </c>
    </row>
    <row r="56" spans="3:12" ht="21.75" customHeight="1" x14ac:dyDescent="0.2">
      <c r="C56" s="621"/>
      <c r="D56" s="374" t="s">
        <v>845</v>
      </c>
      <c r="E56" s="377">
        <f>SUM(E54:E55)</f>
        <v>1</v>
      </c>
      <c r="F56" s="377">
        <f t="shared" ref="F56:L56" si="18">SUM(F54:F55)</f>
        <v>94</v>
      </c>
      <c r="G56" s="377">
        <f t="shared" si="18"/>
        <v>0</v>
      </c>
      <c r="H56" s="377">
        <f t="shared" si="18"/>
        <v>6</v>
      </c>
      <c r="I56" s="377">
        <f t="shared" si="18"/>
        <v>3</v>
      </c>
      <c r="J56" s="377">
        <f t="shared" si="18"/>
        <v>0</v>
      </c>
      <c r="K56" s="377">
        <f t="shared" si="18"/>
        <v>0</v>
      </c>
      <c r="L56" s="377">
        <f t="shared" si="18"/>
        <v>104</v>
      </c>
    </row>
    <row r="57" spans="3:12" ht="21.75" customHeight="1" x14ac:dyDescent="0.2">
      <c r="C57" s="619" t="s">
        <v>36</v>
      </c>
      <c r="D57" s="374" t="s">
        <v>9</v>
      </c>
      <c r="E57" s="377">
        <v>0</v>
      </c>
      <c r="F57" s="377">
        <v>1</v>
      </c>
      <c r="G57" s="377">
        <v>0</v>
      </c>
      <c r="H57" s="377">
        <v>1</v>
      </c>
      <c r="I57" s="377">
        <v>0</v>
      </c>
      <c r="J57" s="377">
        <v>0</v>
      </c>
      <c r="K57" s="377">
        <v>0</v>
      </c>
      <c r="L57" s="377">
        <f t="shared" si="0"/>
        <v>2</v>
      </c>
    </row>
    <row r="58" spans="3:12" ht="21.75" customHeight="1" x14ac:dyDescent="0.2">
      <c r="C58" s="620"/>
      <c r="D58" s="374" t="s">
        <v>10</v>
      </c>
      <c r="E58" s="377">
        <v>0</v>
      </c>
      <c r="F58" s="377">
        <v>2</v>
      </c>
      <c r="G58" s="377">
        <v>0</v>
      </c>
      <c r="H58" s="377">
        <v>0</v>
      </c>
      <c r="I58" s="377">
        <v>0</v>
      </c>
      <c r="J58" s="377">
        <v>0</v>
      </c>
      <c r="K58" s="377">
        <v>0</v>
      </c>
      <c r="L58" s="377">
        <f t="shared" si="0"/>
        <v>2</v>
      </c>
    </row>
    <row r="59" spans="3:12" ht="21.75" customHeight="1" x14ac:dyDescent="0.2">
      <c r="C59" s="621"/>
      <c r="D59" s="374" t="s">
        <v>845</v>
      </c>
      <c r="E59" s="377">
        <f>SUM(E57:E58)</f>
        <v>0</v>
      </c>
      <c r="F59" s="377">
        <f t="shared" ref="F59:L59" si="19">SUM(F57:F58)</f>
        <v>3</v>
      </c>
      <c r="G59" s="377">
        <f t="shared" si="19"/>
        <v>0</v>
      </c>
      <c r="H59" s="377">
        <f t="shared" si="19"/>
        <v>1</v>
      </c>
      <c r="I59" s="377">
        <f t="shared" si="19"/>
        <v>0</v>
      </c>
      <c r="J59" s="377">
        <f t="shared" si="19"/>
        <v>0</v>
      </c>
      <c r="K59" s="377">
        <f t="shared" si="19"/>
        <v>0</v>
      </c>
      <c r="L59" s="377">
        <f t="shared" si="19"/>
        <v>4</v>
      </c>
    </row>
    <row r="60" spans="3:12" ht="21.75" customHeight="1" x14ac:dyDescent="0.2">
      <c r="C60" s="619" t="s">
        <v>34</v>
      </c>
      <c r="D60" s="374" t="s">
        <v>9</v>
      </c>
      <c r="E60" s="377">
        <v>733</v>
      </c>
      <c r="F60" s="377">
        <v>228</v>
      </c>
      <c r="G60" s="377">
        <v>3</v>
      </c>
      <c r="H60" s="377">
        <v>213</v>
      </c>
      <c r="I60" s="377">
        <v>125</v>
      </c>
      <c r="J60" s="377">
        <v>0</v>
      </c>
      <c r="K60" s="377">
        <v>293</v>
      </c>
      <c r="L60" s="377">
        <f t="shared" si="0"/>
        <v>1595</v>
      </c>
    </row>
    <row r="61" spans="3:12" ht="21.75" customHeight="1" x14ac:dyDescent="0.2">
      <c r="C61" s="620"/>
      <c r="D61" s="374" t="s">
        <v>10</v>
      </c>
      <c r="E61" s="377">
        <v>100</v>
      </c>
      <c r="F61" s="377">
        <v>50</v>
      </c>
      <c r="G61" s="377">
        <v>0</v>
      </c>
      <c r="H61" s="377">
        <v>42</v>
      </c>
      <c r="I61" s="377">
        <v>22</v>
      </c>
      <c r="J61" s="377">
        <v>0</v>
      </c>
      <c r="K61" s="377">
        <v>16</v>
      </c>
      <c r="L61" s="377">
        <f t="shared" si="0"/>
        <v>230</v>
      </c>
    </row>
    <row r="62" spans="3:12" ht="21.75" customHeight="1" x14ac:dyDescent="0.2">
      <c r="C62" s="621"/>
      <c r="D62" s="374" t="s">
        <v>845</v>
      </c>
      <c r="E62" s="377">
        <f>SUM(E60:E61)</f>
        <v>833</v>
      </c>
      <c r="F62" s="377">
        <f t="shared" ref="F62:L62" si="20">SUM(F60:F61)</f>
        <v>278</v>
      </c>
      <c r="G62" s="377">
        <f t="shared" si="20"/>
        <v>3</v>
      </c>
      <c r="H62" s="377">
        <f t="shared" si="20"/>
        <v>255</v>
      </c>
      <c r="I62" s="377">
        <f t="shared" si="20"/>
        <v>147</v>
      </c>
      <c r="J62" s="377">
        <f t="shared" si="20"/>
        <v>0</v>
      </c>
      <c r="K62" s="377">
        <f t="shared" si="20"/>
        <v>309</v>
      </c>
      <c r="L62" s="377">
        <f t="shared" si="20"/>
        <v>1825</v>
      </c>
    </row>
    <row r="63" spans="3:12" ht="21.75" customHeight="1" x14ac:dyDescent="0.2">
      <c r="C63" s="619" t="s">
        <v>211</v>
      </c>
      <c r="D63" s="374" t="s">
        <v>9</v>
      </c>
      <c r="E63" s="377">
        <v>1</v>
      </c>
      <c r="F63" s="377">
        <v>83</v>
      </c>
      <c r="G63" s="377">
        <v>0</v>
      </c>
      <c r="H63" s="377">
        <v>37</v>
      </c>
      <c r="I63" s="377">
        <v>10</v>
      </c>
      <c r="J63" s="377">
        <v>0</v>
      </c>
      <c r="K63" s="377">
        <v>0</v>
      </c>
      <c r="L63" s="377">
        <f t="shared" si="0"/>
        <v>131</v>
      </c>
    </row>
    <row r="64" spans="3:12" ht="21.75" customHeight="1" x14ac:dyDescent="0.2">
      <c r="C64" s="620"/>
      <c r="D64" s="374" t="s">
        <v>10</v>
      </c>
      <c r="E64" s="377">
        <v>0</v>
      </c>
      <c r="F64" s="377">
        <v>6</v>
      </c>
      <c r="G64" s="377">
        <v>0</v>
      </c>
      <c r="H64" s="377">
        <v>12</v>
      </c>
      <c r="I64" s="377">
        <v>1</v>
      </c>
      <c r="J64" s="377">
        <v>0</v>
      </c>
      <c r="K64" s="377">
        <v>0</v>
      </c>
      <c r="L64" s="377">
        <f t="shared" si="0"/>
        <v>19</v>
      </c>
    </row>
    <row r="65" spans="3:12" ht="21.75" customHeight="1" x14ac:dyDescent="0.2">
      <c r="C65" s="621"/>
      <c r="D65" s="374" t="s">
        <v>845</v>
      </c>
      <c r="E65" s="377">
        <f>SUM(E63:E64)</f>
        <v>1</v>
      </c>
      <c r="F65" s="377">
        <f t="shared" ref="F65:L65" si="21">SUM(F63:F64)</f>
        <v>89</v>
      </c>
      <c r="G65" s="377">
        <f t="shared" si="21"/>
        <v>0</v>
      </c>
      <c r="H65" s="377">
        <f t="shared" si="21"/>
        <v>49</v>
      </c>
      <c r="I65" s="377">
        <f t="shared" si="21"/>
        <v>11</v>
      </c>
      <c r="J65" s="377">
        <f t="shared" si="21"/>
        <v>0</v>
      </c>
      <c r="K65" s="377">
        <f t="shared" si="21"/>
        <v>0</v>
      </c>
      <c r="L65" s="377">
        <f t="shared" si="21"/>
        <v>150</v>
      </c>
    </row>
    <row r="66" spans="3:12" ht="21.75" customHeight="1" x14ac:dyDescent="0.2">
      <c r="C66" s="619" t="s">
        <v>212</v>
      </c>
      <c r="D66" s="374" t="s">
        <v>9</v>
      </c>
      <c r="E66" s="377">
        <v>2</v>
      </c>
      <c r="F66" s="377">
        <v>35</v>
      </c>
      <c r="G66" s="377">
        <v>0</v>
      </c>
      <c r="H66" s="377">
        <v>3</v>
      </c>
      <c r="I66" s="377">
        <v>0</v>
      </c>
      <c r="J66" s="377">
        <v>0</v>
      </c>
      <c r="K66" s="377">
        <v>1</v>
      </c>
      <c r="L66" s="377">
        <f t="shared" si="0"/>
        <v>41</v>
      </c>
    </row>
    <row r="67" spans="3:12" ht="21.75" customHeight="1" x14ac:dyDescent="0.2">
      <c r="C67" s="620"/>
      <c r="D67" s="374" t="s">
        <v>10</v>
      </c>
      <c r="E67" s="377">
        <v>0</v>
      </c>
      <c r="F67" s="377">
        <v>5</v>
      </c>
      <c r="G67" s="377">
        <v>0</v>
      </c>
      <c r="H67" s="377">
        <v>1</v>
      </c>
      <c r="I67" s="377">
        <v>0</v>
      </c>
      <c r="J67" s="377">
        <v>0</v>
      </c>
      <c r="K67" s="377">
        <v>0</v>
      </c>
      <c r="L67" s="377">
        <f t="shared" si="0"/>
        <v>6</v>
      </c>
    </row>
    <row r="68" spans="3:12" ht="21.75" customHeight="1" x14ac:dyDescent="0.2">
      <c r="C68" s="621"/>
      <c r="D68" s="374" t="s">
        <v>845</v>
      </c>
      <c r="E68" s="377">
        <f>SUM(E66:E67)</f>
        <v>2</v>
      </c>
      <c r="F68" s="377">
        <f t="shared" ref="F68:L68" si="22">SUM(F66:F67)</f>
        <v>40</v>
      </c>
      <c r="G68" s="377">
        <f t="shared" si="22"/>
        <v>0</v>
      </c>
      <c r="H68" s="377">
        <f t="shared" si="22"/>
        <v>4</v>
      </c>
      <c r="I68" s="377">
        <f t="shared" si="22"/>
        <v>0</v>
      </c>
      <c r="J68" s="377">
        <f t="shared" si="22"/>
        <v>0</v>
      </c>
      <c r="K68" s="377">
        <f t="shared" si="22"/>
        <v>1</v>
      </c>
      <c r="L68" s="377">
        <f t="shared" si="22"/>
        <v>47</v>
      </c>
    </row>
    <row r="69" spans="3:12" ht="21.75" customHeight="1" x14ac:dyDescent="0.2">
      <c r="C69" s="619" t="s">
        <v>862</v>
      </c>
      <c r="D69" s="374" t="s">
        <v>9</v>
      </c>
      <c r="E69" s="377">
        <v>0</v>
      </c>
      <c r="F69" s="377">
        <v>36</v>
      </c>
      <c r="G69" s="377">
        <v>0</v>
      </c>
      <c r="H69" s="377">
        <v>1</v>
      </c>
      <c r="I69" s="377">
        <v>0</v>
      </c>
      <c r="J69" s="377">
        <v>0</v>
      </c>
      <c r="K69" s="377">
        <v>0</v>
      </c>
      <c r="L69" s="377">
        <f t="shared" ref="L69:L88" si="23">SUM(E69:K69)</f>
        <v>37</v>
      </c>
    </row>
    <row r="70" spans="3:12" ht="21.75" customHeight="1" x14ac:dyDescent="0.2">
      <c r="C70" s="620"/>
      <c r="D70" s="374" t="s">
        <v>10</v>
      </c>
      <c r="E70" s="377">
        <v>0</v>
      </c>
      <c r="F70" s="377">
        <v>8</v>
      </c>
      <c r="G70" s="377">
        <v>0</v>
      </c>
      <c r="H70" s="377">
        <v>0</v>
      </c>
      <c r="I70" s="377">
        <v>0</v>
      </c>
      <c r="J70" s="377">
        <v>0</v>
      </c>
      <c r="K70" s="377">
        <v>0</v>
      </c>
      <c r="L70" s="377">
        <f t="shared" si="23"/>
        <v>8</v>
      </c>
    </row>
    <row r="71" spans="3:12" ht="21.75" customHeight="1" x14ac:dyDescent="0.2">
      <c r="C71" s="621"/>
      <c r="D71" s="374" t="s">
        <v>845</v>
      </c>
      <c r="E71" s="377">
        <f>SUM(E69:E70)</f>
        <v>0</v>
      </c>
      <c r="F71" s="377">
        <f t="shared" ref="F71:L71" si="24">SUM(F69:F70)</f>
        <v>44</v>
      </c>
      <c r="G71" s="377">
        <f t="shared" si="24"/>
        <v>0</v>
      </c>
      <c r="H71" s="377">
        <f t="shared" si="24"/>
        <v>1</v>
      </c>
      <c r="I71" s="377">
        <f t="shared" si="24"/>
        <v>0</v>
      </c>
      <c r="J71" s="377">
        <f t="shared" si="24"/>
        <v>0</v>
      </c>
      <c r="K71" s="377">
        <f t="shared" si="24"/>
        <v>0</v>
      </c>
      <c r="L71" s="377">
        <f t="shared" si="24"/>
        <v>45</v>
      </c>
    </row>
    <row r="72" spans="3:12" ht="21.75" customHeight="1" x14ac:dyDescent="0.2">
      <c r="C72" s="619" t="s">
        <v>861</v>
      </c>
      <c r="D72" s="374" t="s">
        <v>9</v>
      </c>
      <c r="E72" s="377">
        <v>0</v>
      </c>
      <c r="F72" s="377">
        <v>25</v>
      </c>
      <c r="G72" s="377">
        <v>0</v>
      </c>
      <c r="H72" s="377">
        <v>3</v>
      </c>
      <c r="I72" s="377">
        <v>1</v>
      </c>
      <c r="J72" s="377">
        <v>0</v>
      </c>
      <c r="K72" s="377">
        <v>0</v>
      </c>
      <c r="L72" s="377">
        <f t="shared" si="23"/>
        <v>29</v>
      </c>
    </row>
    <row r="73" spans="3:12" ht="21.75" customHeight="1" x14ac:dyDescent="0.2">
      <c r="C73" s="620"/>
      <c r="D73" s="374" t="s">
        <v>10</v>
      </c>
      <c r="E73" s="377">
        <v>0</v>
      </c>
      <c r="F73" s="377">
        <v>1</v>
      </c>
      <c r="G73" s="377">
        <v>0</v>
      </c>
      <c r="H73" s="377">
        <v>0</v>
      </c>
      <c r="I73" s="377">
        <v>0</v>
      </c>
      <c r="J73" s="377">
        <v>0</v>
      </c>
      <c r="K73" s="377">
        <v>0</v>
      </c>
      <c r="L73" s="377">
        <f t="shared" si="23"/>
        <v>1</v>
      </c>
    </row>
    <row r="74" spans="3:12" ht="21.75" customHeight="1" x14ac:dyDescent="0.2">
      <c r="C74" s="621"/>
      <c r="D74" s="374" t="s">
        <v>845</v>
      </c>
      <c r="E74" s="377">
        <f>SUM(E72:E73)</f>
        <v>0</v>
      </c>
      <c r="F74" s="377">
        <f t="shared" ref="F74:L74" si="25">SUM(F72:F73)</f>
        <v>26</v>
      </c>
      <c r="G74" s="377">
        <f t="shared" si="25"/>
        <v>0</v>
      </c>
      <c r="H74" s="377">
        <f t="shared" si="25"/>
        <v>3</v>
      </c>
      <c r="I74" s="377">
        <f t="shared" si="25"/>
        <v>1</v>
      </c>
      <c r="J74" s="377">
        <f t="shared" si="25"/>
        <v>0</v>
      </c>
      <c r="K74" s="377">
        <f t="shared" si="25"/>
        <v>0</v>
      </c>
      <c r="L74" s="377">
        <f t="shared" si="25"/>
        <v>30</v>
      </c>
    </row>
    <row r="75" spans="3:12" ht="21.75" customHeight="1" x14ac:dyDescent="0.2">
      <c r="C75" s="619" t="s">
        <v>214</v>
      </c>
      <c r="D75" s="374" t="s">
        <v>9</v>
      </c>
      <c r="E75" s="377">
        <v>0</v>
      </c>
      <c r="F75" s="377">
        <v>45</v>
      </c>
      <c r="G75" s="377">
        <v>0</v>
      </c>
      <c r="H75" s="377">
        <v>3</v>
      </c>
      <c r="I75" s="377">
        <v>1</v>
      </c>
      <c r="J75" s="377">
        <v>0</v>
      </c>
      <c r="K75" s="377">
        <v>0</v>
      </c>
      <c r="L75" s="377">
        <f t="shared" si="23"/>
        <v>49</v>
      </c>
    </row>
    <row r="76" spans="3:12" ht="21.75" customHeight="1" x14ac:dyDescent="0.2">
      <c r="C76" s="620"/>
      <c r="D76" s="374" t="s">
        <v>10</v>
      </c>
      <c r="E76" s="377">
        <v>0</v>
      </c>
      <c r="F76" s="377">
        <v>3</v>
      </c>
      <c r="G76" s="377">
        <v>0</v>
      </c>
      <c r="H76" s="377">
        <v>1</v>
      </c>
      <c r="I76" s="377">
        <v>0</v>
      </c>
      <c r="J76" s="377">
        <v>0</v>
      </c>
      <c r="K76" s="377">
        <v>0</v>
      </c>
      <c r="L76" s="377">
        <f t="shared" si="23"/>
        <v>4</v>
      </c>
    </row>
    <row r="77" spans="3:12" ht="21.75" customHeight="1" x14ac:dyDescent="0.2">
      <c r="C77" s="621"/>
      <c r="D77" s="374" t="s">
        <v>845</v>
      </c>
      <c r="E77" s="377">
        <f>SUM(E75:E76)</f>
        <v>0</v>
      </c>
      <c r="F77" s="377">
        <f t="shared" ref="F77:L77" si="26">SUM(F75:F76)</f>
        <v>48</v>
      </c>
      <c r="G77" s="377">
        <f t="shared" si="26"/>
        <v>0</v>
      </c>
      <c r="H77" s="377">
        <f t="shared" si="26"/>
        <v>4</v>
      </c>
      <c r="I77" s="377">
        <f t="shared" si="26"/>
        <v>1</v>
      </c>
      <c r="J77" s="377">
        <f t="shared" si="26"/>
        <v>0</v>
      </c>
      <c r="K77" s="377">
        <f t="shared" si="26"/>
        <v>0</v>
      </c>
      <c r="L77" s="377">
        <f t="shared" si="26"/>
        <v>53</v>
      </c>
    </row>
    <row r="78" spans="3:12" ht="21.75" customHeight="1" x14ac:dyDescent="0.2">
      <c r="C78" s="619" t="s">
        <v>31</v>
      </c>
      <c r="D78" s="374" t="s">
        <v>9</v>
      </c>
      <c r="E78" s="377">
        <v>17</v>
      </c>
      <c r="F78" s="377">
        <v>795</v>
      </c>
      <c r="G78" s="377">
        <v>0</v>
      </c>
      <c r="H78" s="377">
        <v>447</v>
      </c>
      <c r="I78" s="377">
        <v>62</v>
      </c>
      <c r="J78" s="377">
        <v>0</v>
      </c>
      <c r="K78" s="377">
        <v>7</v>
      </c>
      <c r="L78" s="377">
        <f t="shared" si="23"/>
        <v>1328</v>
      </c>
    </row>
    <row r="79" spans="3:12" ht="21.75" customHeight="1" x14ac:dyDescent="0.2">
      <c r="C79" s="620"/>
      <c r="D79" s="374" t="s">
        <v>10</v>
      </c>
      <c r="E79" s="377">
        <v>2</v>
      </c>
      <c r="F79" s="377">
        <v>73</v>
      </c>
      <c r="G79" s="377">
        <v>0</v>
      </c>
      <c r="H79" s="377">
        <v>74</v>
      </c>
      <c r="I79" s="377">
        <v>4</v>
      </c>
      <c r="J79" s="377">
        <v>0</v>
      </c>
      <c r="K79" s="377">
        <v>0</v>
      </c>
      <c r="L79" s="377">
        <f t="shared" si="23"/>
        <v>153</v>
      </c>
    </row>
    <row r="80" spans="3:12" ht="21.75" customHeight="1" x14ac:dyDescent="0.2">
      <c r="C80" s="621"/>
      <c r="D80" s="374" t="s">
        <v>845</v>
      </c>
      <c r="E80" s="377">
        <f>SUM(E78:E79)</f>
        <v>19</v>
      </c>
      <c r="F80" s="377">
        <f t="shared" ref="F80:L80" si="27">SUM(F78:F79)</f>
        <v>868</v>
      </c>
      <c r="G80" s="377">
        <f t="shared" si="27"/>
        <v>0</v>
      </c>
      <c r="H80" s="377">
        <f t="shared" si="27"/>
        <v>521</v>
      </c>
      <c r="I80" s="377">
        <f t="shared" si="27"/>
        <v>66</v>
      </c>
      <c r="J80" s="377">
        <f t="shared" si="27"/>
        <v>0</v>
      </c>
      <c r="K80" s="377">
        <f t="shared" si="27"/>
        <v>7</v>
      </c>
      <c r="L80" s="377">
        <f t="shared" si="27"/>
        <v>1481</v>
      </c>
    </row>
    <row r="81" spans="3:12" ht="21.75" customHeight="1" x14ac:dyDescent="0.2">
      <c r="C81" s="619" t="s">
        <v>215</v>
      </c>
      <c r="D81" s="374" t="s">
        <v>9</v>
      </c>
      <c r="E81" s="377">
        <v>0</v>
      </c>
      <c r="F81" s="377">
        <v>2</v>
      </c>
      <c r="G81" s="377">
        <v>0</v>
      </c>
      <c r="H81" s="377">
        <v>2</v>
      </c>
      <c r="I81" s="377">
        <v>0</v>
      </c>
      <c r="J81" s="377">
        <v>0</v>
      </c>
      <c r="K81" s="377">
        <v>0</v>
      </c>
      <c r="L81" s="377">
        <f t="shared" si="23"/>
        <v>4</v>
      </c>
    </row>
    <row r="82" spans="3:12" ht="21.75" customHeight="1" x14ac:dyDescent="0.2">
      <c r="C82" s="620"/>
      <c r="D82" s="374" t="s">
        <v>10</v>
      </c>
      <c r="E82" s="377">
        <v>0</v>
      </c>
      <c r="F82" s="377">
        <v>0</v>
      </c>
      <c r="G82" s="377">
        <v>0</v>
      </c>
      <c r="H82" s="377">
        <v>3</v>
      </c>
      <c r="I82" s="377">
        <v>0</v>
      </c>
      <c r="J82" s="377">
        <v>0</v>
      </c>
      <c r="K82" s="377">
        <v>0</v>
      </c>
      <c r="L82" s="377">
        <f t="shared" si="23"/>
        <v>3</v>
      </c>
    </row>
    <row r="83" spans="3:12" ht="21.75" customHeight="1" x14ac:dyDescent="0.2">
      <c r="C83" s="621"/>
      <c r="D83" s="374" t="s">
        <v>845</v>
      </c>
      <c r="E83" s="377">
        <f>SUM(E81:E82)</f>
        <v>0</v>
      </c>
      <c r="F83" s="377">
        <f t="shared" ref="F83:L83" si="28">SUM(F81:F82)</f>
        <v>2</v>
      </c>
      <c r="G83" s="377">
        <f t="shared" si="28"/>
        <v>0</v>
      </c>
      <c r="H83" s="377">
        <f t="shared" si="28"/>
        <v>5</v>
      </c>
      <c r="I83" s="377">
        <f t="shared" si="28"/>
        <v>0</v>
      </c>
      <c r="J83" s="377">
        <f t="shared" si="28"/>
        <v>0</v>
      </c>
      <c r="K83" s="377">
        <f t="shared" si="28"/>
        <v>0</v>
      </c>
      <c r="L83" s="377">
        <f t="shared" si="28"/>
        <v>7</v>
      </c>
    </row>
    <row r="84" spans="3:12" ht="21.75" customHeight="1" x14ac:dyDescent="0.2">
      <c r="C84" s="619" t="s">
        <v>38</v>
      </c>
      <c r="D84" s="374" t="s">
        <v>9</v>
      </c>
      <c r="E84" s="377">
        <v>283</v>
      </c>
      <c r="F84" s="377">
        <v>1373</v>
      </c>
      <c r="G84" s="377">
        <v>1</v>
      </c>
      <c r="H84" s="377">
        <v>315</v>
      </c>
      <c r="I84" s="377">
        <v>47</v>
      </c>
      <c r="J84" s="377">
        <v>0</v>
      </c>
      <c r="K84" s="377">
        <v>114</v>
      </c>
      <c r="L84" s="377">
        <f t="shared" si="23"/>
        <v>2133</v>
      </c>
    </row>
    <row r="85" spans="3:12" ht="21.75" customHeight="1" x14ac:dyDescent="0.2">
      <c r="C85" s="620"/>
      <c r="D85" s="374" t="s">
        <v>10</v>
      </c>
      <c r="E85" s="377">
        <v>40</v>
      </c>
      <c r="F85" s="377">
        <v>147</v>
      </c>
      <c r="G85" s="377">
        <v>0</v>
      </c>
      <c r="H85" s="377">
        <v>70</v>
      </c>
      <c r="I85" s="377">
        <v>5</v>
      </c>
      <c r="J85" s="377">
        <v>0</v>
      </c>
      <c r="K85" s="377">
        <v>6</v>
      </c>
      <c r="L85" s="377">
        <f t="shared" si="23"/>
        <v>268</v>
      </c>
    </row>
    <row r="86" spans="3:12" ht="21.75" customHeight="1" x14ac:dyDescent="0.2">
      <c r="C86" s="621"/>
      <c r="D86" s="374" t="s">
        <v>845</v>
      </c>
      <c r="E86" s="377">
        <f>SUM(E84:E85)</f>
        <v>323</v>
      </c>
      <c r="F86" s="377">
        <f t="shared" ref="F86:L86" si="29">SUM(F84:F85)</f>
        <v>1520</v>
      </c>
      <c r="G86" s="377">
        <f t="shared" si="29"/>
        <v>1</v>
      </c>
      <c r="H86" s="377">
        <f t="shared" si="29"/>
        <v>385</v>
      </c>
      <c r="I86" s="377">
        <f t="shared" si="29"/>
        <v>52</v>
      </c>
      <c r="J86" s="377">
        <f t="shared" si="29"/>
        <v>0</v>
      </c>
      <c r="K86" s="377">
        <f t="shared" si="29"/>
        <v>120</v>
      </c>
      <c r="L86" s="377">
        <f t="shared" si="29"/>
        <v>2401</v>
      </c>
    </row>
    <row r="87" spans="3:12" ht="21.75" customHeight="1" x14ac:dyDescent="0.2">
      <c r="C87" s="619" t="s">
        <v>860</v>
      </c>
      <c r="D87" s="374" t="s">
        <v>9</v>
      </c>
      <c r="E87" s="377">
        <v>96</v>
      </c>
      <c r="F87" s="377">
        <v>452</v>
      </c>
      <c r="G87" s="377">
        <v>0</v>
      </c>
      <c r="H87" s="377">
        <v>105</v>
      </c>
      <c r="I87" s="377">
        <v>17</v>
      </c>
      <c r="J87" s="377">
        <v>0</v>
      </c>
      <c r="K87" s="377">
        <v>39</v>
      </c>
      <c r="L87" s="377">
        <f t="shared" si="23"/>
        <v>709</v>
      </c>
    </row>
    <row r="88" spans="3:12" ht="21.75" customHeight="1" x14ac:dyDescent="0.2">
      <c r="C88" s="620"/>
      <c r="D88" s="374" t="s">
        <v>10</v>
      </c>
      <c r="E88" s="377">
        <v>14</v>
      </c>
      <c r="F88" s="377">
        <v>27</v>
      </c>
      <c r="G88" s="377">
        <v>0</v>
      </c>
      <c r="H88" s="377">
        <v>35</v>
      </c>
      <c r="I88" s="377">
        <v>2</v>
      </c>
      <c r="J88" s="377">
        <v>1</v>
      </c>
      <c r="K88" s="377">
        <v>2</v>
      </c>
      <c r="L88" s="377">
        <f t="shared" si="23"/>
        <v>81</v>
      </c>
    </row>
    <row r="89" spans="3:12" ht="21.75" customHeight="1" x14ac:dyDescent="0.2">
      <c r="C89" s="621"/>
      <c r="D89" s="374" t="s">
        <v>845</v>
      </c>
      <c r="E89" s="377">
        <f>SUM(E87:E88)</f>
        <v>110</v>
      </c>
      <c r="F89" s="377">
        <f t="shared" ref="F89:L89" si="30">SUM(F87:F88)</f>
        <v>479</v>
      </c>
      <c r="G89" s="377">
        <f t="shared" si="30"/>
        <v>0</v>
      </c>
      <c r="H89" s="377">
        <f t="shared" si="30"/>
        <v>140</v>
      </c>
      <c r="I89" s="377">
        <f t="shared" si="30"/>
        <v>19</v>
      </c>
      <c r="J89" s="377">
        <f t="shared" si="30"/>
        <v>1</v>
      </c>
      <c r="K89" s="377">
        <f t="shared" si="30"/>
        <v>41</v>
      </c>
      <c r="L89" s="377">
        <f t="shared" si="30"/>
        <v>790</v>
      </c>
    </row>
    <row r="90" spans="3:12" ht="21.75" customHeight="1" x14ac:dyDescent="0.2">
      <c r="C90" s="619" t="s">
        <v>575</v>
      </c>
      <c r="D90" s="374" t="s">
        <v>9</v>
      </c>
      <c r="E90" s="377">
        <f>E3+E6+E9+E12+E15+E18+E21+E24+E27+E30+E33+E36+E39+E42+E45+E48+E51+E54+E57+E60+E63+E66+E69+E72+E75+E78+E81+E84+E87</f>
        <v>1276</v>
      </c>
      <c r="F90" s="377">
        <f t="shared" ref="F90:L90" si="31">F3+F6+F9+F12+F15+F18+F21+F24+F27+F30+F33+F36+F39+F42+F45+F48+F51+F54+F57+F60+F63+F66+F69+F72+F75+F78+F81+F84+F87</f>
        <v>4767</v>
      </c>
      <c r="G90" s="377">
        <f t="shared" si="31"/>
        <v>4</v>
      </c>
      <c r="H90" s="377">
        <f t="shared" si="31"/>
        <v>1429</v>
      </c>
      <c r="I90" s="377">
        <f t="shared" si="31"/>
        <v>334</v>
      </c>
      <c r="J90" s="377">
        <f t="shared" si="31"/>
        <v>0</v>
      </c>
      <c r="K90" s="377">
        <f t="shared" si="31"/>
        <v>513</v>
      </c>
      <c r="L90" s="377">
        <f t="shared" si="31"/>
        <v>8323</v>
      </c>
    </row>
    <row r="91" spans="3:12" ht="21.75" customHeight="1" x14ac:dyDescent="0.2">
      <c r="C91" s="620"/>
      <c r="D91" s="374" t="s">
        <v>10</v>
      </c>
      <c r="E91" s="377">
        <f t="shared" ref="E91:L92" si="32">E4+E7+E10+E13+E16+E19+E22+E25+E28+E31+E34+E37+E40+E43+E46+E49+E52+E55+E58+E61+E64+E67+E70+E73+E76+E79+E82+E85+E88</f>
        <v>174</v>
      </c>
      <c r="F91" s="377">
        <f t="shared" si="32"/>
        <v>895</v>
      </c>
      <c r="G91" s="377">
        <f t="shared" si="32"/>
        <v>0</v>
      </c>
      <c r="H91" s="377">
        <f t="shared" si="32"/>
        <v>293</v>
      </c>
      <c r="I91" s="377">
        <f t="shared" si="32"/>
        <v>38</v>
      </c>
      <c r="J91" s="377">
        <f t="shared" si="32"/>
        <v>1</v>
      </c>
      <c r="K91" s="377">
        <f t="shared" si="32"/>
        <v>27</v>
      </c>
      <c r="L91" s="377">
        <f t="shared" si="32"/>
        <v>1428</v>
      </c>
    </row>
    <row r="92" spans="3:12" ht="21.75" customHeight="1" x14ac:dyDescent="0.2">
      <c r="C92" s="621"/>
      <c r="D92" s="374" t="s">
        <v>845</v>
      </c>
      <c r="E92" s="377">
        <f t="shared" si="32"/>
        <v>1450</v>
      </c>
      <c r="F92" s="377">
        <f t="shared" si="32"/>
        <v>5662</v>
      </c>
      <c r="G92" s="377">
        <f t="shared" si="32"/>
        <v>4</v>
      </c>
      <c r="H92" s="377">
        <f t="shared" si="32"/>
        <v>1722</v>
      </c>
      <c r="I92" s="377">
        <f t="shared" si="32"/>
        <v>372</v>
      </c>
      <c r="J92" s="377">
        <f t="shared" si="32"/>
        <v>1</v>
      </c>
      <c r="K92" s="377">
        <f t="shared" si="32"/>
        <v>540</v>
      </c>
      <c r="L92" s="377">
        <f t="shared" si="32"/>
        <v>9751</v>
      </c>
    </row>
  </sheetData>
  <mergeCells count="31">
    <mergeCell ref="C90:C92"/>
    <mergeCell ref="C72:C74"/>
    <mergeCell ref="C75:C77"/>
    <mergeCell ref="C78:C80"/>
    <mergeCell ref="C81:C83"/>
    <mergeCell ref="C84:C86"/>
    <mergeCell ref="C87:C89"/>
    <mergeCell ref="C69:C71"/>
    <mergeCell ref="C36:C38"/>
    <mergeCell ref="C39:C41"/>
    <mergeCell ref="C42:C44"/>
    <mergeCell ref="C45:C47"/>
    <mergeCell ref="C48:C50"/>
    <mergeCell ref="C51:C53"/>
    <mergeCell ref="C54:C56"/>
    <mergeCell ref="C57:C59"/>
    <mergeCell ref="C60:C62"/>
    <mergeCell ref="C63:C65"/>
    <mergeCell ref="C66:C68"/>
    <mergeCell ref="C33:C35"/>
    <mergeCell ref="C1:L1"/>
    <mergeCell ref="C3:C5"/>
    <mergeCell ref="C6:C8"/>
    <mergeCell ref="C9:C11"/>
    <mergeCell ref="C12:C14"/>
    <mergeCell ref="C15:C17"/>
    <mergeCell ref="C18:C20"/>
    <mergeCell ref="C21:C23"/>
    <mergeCell ref="C24:C26"/>
    <mergeCell ref="C27:C29"/>
    <mergeCell ref="C30:C3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C92"/>
  <sheetViews>
    <sheetView rightToLeft="1" topLeftCell="A88" zoomScale="86" zoomScaleNormal="86" workbookViewId="0">
      <selection activeCell="I18" sqref="I18"/>
    </sheetView>
  </sheetViews>
  <sheetFormatPr defaultRowHeight="14.25" x14ac:dyDescent="0.2"/>
  <cols>
    <col min="1" max="2" width="9" style="160"/>
    <col min="3" max="3" width="30" style="372" bestFit="1" customWidth="1"/>
    <col min="4" max="4" width="9.375" style="372" customWidth="1"/>
    <col min="5" max="6" width="9" style="372"/>
    <col min="7" max="7" width="11" style="372" customWidth="1"/>
    <col min="8" max="15" width="9" style="372"/>
    <col min="16" max="16384" width="9" style="160"/>
  </cols>
  <sheetData>
    <row r="1" spans="3:29" ht="37.5" customHeight="1" x14ac:dyDescent="0.2">
      <c r="C1" s="632" t="s">
        <v>884</v>
      </c>
      <c r="D1" s="632"/>
      <c r="E1" s="632"/>
      <c r="F1" s="632"/>
      <c r="G1" s="632"/>
      <c r="H1" s="632"/>
      <c r="I1" s="632"/>
      <c r="J1" s="632"/>
      <c r="K1" s="632"/>
      <c r="L1" s="632"/>
      <c r="M1" s="632"/>
      <c r="N1" s="632"/>
      <c r="O1" s="632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  <c r="AA1" s="165"/>
      <c r="AB1" s="165"/>
      <c r="AC1" s="165"/>
    </row>
    <row r="2" spans="3:29" ht="38.25" customHeight="1" x14ac:dyDescent="0.2">
      <c r="C2" s="378" t="s">
        <v>8</v>
      </c>
      <c r="D2" s="379" t="s">
        <v>7</v>
      </c>
      <c r="E2" s="380" t="s">
        <v>854</v>
      </c>
      <c r="F2" s="380" t="s">
        <v>853</v>
      </c>
      <c r="G2" s="380" t="s">
        <v>852</v>
      </c>
      <c r="H2" s="380" t="s">
        <v>851</v>
      </c>
      <c r="I2" s="380" t="s">
        <v>850</v>
      </c>
      <c r="J2" s="380" t="s">
        <v>49</v>
      </c>
      <c r="K2" s="380" t="s">
        <v>50</v>
      </c>
      <c r="L2" s="380" t="s">
        <v>857</v>
      </c>
      <c r="M2" s="380" t="s">
        <v>847</v>
      </c>
      <c r="N2" s="380" t="s">
        <v>53</v>
      </c>
      <c r="O2" s="381" t="s">
        <v>4</v>
      </c>
    </row>
    <row r="3" spans="3:29" ht="19.5" customHeight="1" x14ac:dyDescent="0.2">
      <c r="C3" s="619" t="s">
        <v>14</v>
      </c>
      <c r="D3" s="374" t="s">
        <v>9</v>
      </c>
      <c r="E3" s="377">
        <v>77</v>
      </c>
      <c r="F3" s="377">
        <v>22</v>
      </c>
      <c r="G3" s="377">
        <v>171</v>
      </c>
      <c r="H3" s="377">
        <v>128</v>
      </c>
      <c r="I3" s="377">
        <v>121</v>
      </c>
      <c r="J3" s="377">
        <v>110</v>
      </c>
      <c r="K3" s="377">
        <v>1</v>
      </c>
      <c r="L3" s="377">
        <v>31</v>
      </c>
      <c r="M3" s="377">
        <v>1</v>
      </c>
      <c r="N3" s="377">
        <v>24</v>
      </c>
      <c r="O3" s="382">
        <f>SUM(E3:N3)</f>
        <v>686</v>
      </c>
    </row>
    <row r="4" spans="3:29" ht="19.5" customHeight="1" x14ac:dyDescent="0.2">
      <c r="C4" s="620"/>
      <c r="D4" s="374" t="s">
        <v>10</v>
      </c>
      <c r="E4" s="377">
        <v>173</v>
      </c>
      <c r="F4" s="377">
        <v>44</v>
      </c>
      <c r="G4" s="377">
        <v>129</v>
      </c>
      <c r="H4" s="377">
        <v>108</v>
      </c>
      <c r="I4" s="377">
        <v>21</v>
      </c>
      <c r="J4" s="377">
        <v>151</v>
      </c>
      <c r="K4" s="377">
        <v>0</v>
      </c>
      <c r="L4" s="377">
        <v>13</v>
      </c>
      <c r="M4" s="377">
        <v>11</v>
      </c>
      <c r="N4" s="377">
        <v>24</v>
      </c>
      <c r="O4" s="382">
        <f t="shared" ref="O4:O67" si="0">SUM(E4:N4)</f>
        <v>674</v>
      </c>
    </row>
    <row r="5" spans="3:29" ht="19.5" customHeight="1" x14ac:dyDescent="0.2">
      <c r="C5" s="621"/>
      <c r="D5" s="374" t="s">
        <v>845</v>
      </c>
      <c r="E5" s="377">
        <f>SUM(E3:E4)</f>
        <v>250</v>
      </c>
      <c r="F5" s="377">
        <f t="shared" ref="F5:O5" si="1">SUM(F3:F4)</f>
        <v>66</v>
      </c>
      <c r="G5" s="377">
        <f t="shared" si="1"/>
        <v>300</v>
      </c>
      <c r="H5" s="377">
        <f t="shared" si="1"/>
        <v>236</v>
      </c>
      <c r="I5" s="377">
        <f t="shared" si="1"/>
        <v>142</v>
      </c>
      <c r="J5" s="377">
        <f t="shared" si="1"/>
        <v>261</v>
      </c>
      <c r="K5" s="377">
        <f t="shared" si="1"/>
        <v>1</v>
      </c>
      <c r="L5" s="377">
        <f t="shared" si="1"/>
        <v>44</v>
      </c>
      <c r="M5" s="377">
        <f t="shared" si="1"/>
        <v>12</v>
      </c>
      <c r="N5" s="377">
        <f t="shared" si="1"/>
        <v>48</v>
      </c>
      <c r="O5" s="377">
        <f t="shared" si="1"/>
        <v>1360</v>
      </c>
    </row>
    <row r="6" spans="3:29" ht="19.5" customHeight="1" x14ac:dyDescent="0.2">
      <c r="C6" s="619" t="s">
        <v>869</v>
      </c>
      <c r="D6" s="374" t="s">
        <v>9</v>
      </c>
      <c r="E6" s="377">
        <v>38</v>
      </c>
      <c r="F6" s="377">
        <v>11</v>
      </c>
      <c r="G6" s="377">
        <v>87</v>
      </c>
      <c r="H6" s="377">
        <v>65</v>
      </c>
      <c r="I6" s="377">
        <v>62</v>
      </c>
      <c r="J6" s="377">
        <v>56</v>
      </c>
      <c r="K6" s="377">
        <v>0</v>
      </c>
      <c r="L6" s="377">
        <v>16</v>
      </c>
      <c r="M6" s="377">
        <v>1</v>
      </c>
      <c r="N6" s="377">
        <v>12</v>
      </c>
      <c r="O6" s="382">
        <f t="shared" si="0"/>
        <v>348</v>
      </c>
    </row>
    <row r="7" spans="3:29" ht="19.5" customHeight="1" x14ac:dyDescent="0.2">
      <c r="C7" s="620"/>
      <c r="D7" s="374" t="s">
        <v>10</v>
      </c>
      <c r="E7" s="377">
        <v>113</v>
      </c>
      <c r="F7" s="377">
        <v>29</v>
      </c>
      <c r="G7" s="377">
        <v>84</v>
      </c>
      <c r="H7" s="377">
        <v>70</v>
      </c>
      <c r="I7" s="377">
        <v>13</v>
      </c>
      <c r="J7" s="377">
        <v>98</v>
      </c>
      <c r="K7" s="377">
        <v>0</v>
      </c>
      <c r="L7" s="377">
        <v>8</v>
      </c>
      <c r="M7" s="377">
        <v>7</v>
      </c>
      <c r="N7" s="377">
        <v>16</v>
      </c>
      <c r="O7" s="382">
        <f t="shared" si="0"/>
        <v>438</v>
      </c>
    </row>
    <row r="8" spans="3:29" ht="19.5" customHeight="1" x14ac:dyDescent="0.2">
      <c r="C8" s="621"/>
      <c r="D8" s="374" t="s">
        <v>845</v>
      </c>
      <c r="E8" s="377">
        <f>SUM(E6:E7)</f>
        <v>151</v>
      </c>
      <c r="F8" s="377">
        <f t="shared" ref="F8:O8" si="2">SUM(F6:F7)</f>
        <v>40</v>
      </c>
      <c r="G8" s="377">
        <f t="shared" si="2"/>
        <v>171</v>
      </c>
      <c r="H8" s="377">
        <f t="shared" si="2"/>
        <v>135</v>
      </c>
      <c r="I8" s="377">
        <f t="shared" si="2"/>
        <v>75</v>
      </c>
      <c r="J8" s="377">
        <f t="shared" si="2"/>
        <v>154</v>
      </c>
      <c r="K8" s="377">
        <f t="shared" si="2"/>
        <v>0</v>
      </c>
      <c r="L8" s="377">
        <f t="shared" si="2"/>
        <v>24</v>
      </c>
      <c r="M8" s="377">
        <f t="shared" si="2"/>
        <v>8</v>
      </c>
      <c r="N8" s="377">
        <f t="shared" si="2"/>
        <v>28</v>
      </c>
      <c r="O8" s="377">
        <f t="shared" si="2"/>
        <v>786</v>
      </c>
    </row>
    <row r="9" spans="3:29" ht="19.5" customHeight="1" x14ac:dyDescent="0.2">
      <c r="C9" s="619" t="s">
        <v>868</v>
      </c>
      <c r="D9" s="374" t="s">
        <v>9</v>
      </c>
      <c r="E9" s="377">
        <v>3</v>
      </c>
      <c r="F9" s="377">
        <v>1</v>
      </c>
      <c r="G9" s="377">
        <v>6</v>
      </c>
      <c r="H9" s="377">
        <v>5</v>
      </c>
      <c r="I9" s="377">
        <v>4</v>
      </c>
      <c r="J9" s="377">
        <v>4</v>
      </c>
      <c r="K9" s="377">
        <v>0</v>
      </c>
      <c r="L9" s="377">
        <v>1</v>
      </c>
      <c r="M9" s="377">
        <v>0</v>
      </c>
      <c r="N9" s="377">
        <v>1</v>
      </c>
      <c r="O9" s="382">
        <f t="shared" si="0"/>
        <v>25</v>
      </c>
    </row>
    <row r="10" spans="3:29" ht="19.5" customHeight="1" x14ac:dyDescent="0.2">
      <c r="C10" s="620"/>
      <c r="D10" s="374" t="s">
        <v>10</v>
      </c>
      <c r="E10" s="377">
        <v>5</v>
      </c>
      <c r="F10" s="377">
        <v>1</v>
      </c>
      <c r="G10" s="377">
        <v>4</v>
      </c>
      <c r="H10" s="377">
        <v>3</v>
      </c>
      <c r="I10" s="377">
        <v>1</v>
      </c>
      <c r="J10" s="377">
        <v>4</v>
      </c>
      <c r="K10" s="377">
        <v>0</v>
      </c>
      <c r="L10" s="377">
        <v>0</v>
      </c>
      <c r="M10" s="377">
        <v>0</v>
      </c>
      <c r="N10" s="377">
        <v>1</v>
      </c>
      <c r="O10" s="382">
        <f t="shared" si="0"/>
        <v>19</v>
      </c>
    </row>
    <row r="11" spans="3:29" ht="19.5" customHeight="1" x14ac:dyDescent="0.2">
      <c r="C11" s="621"/>
      <c r="D11" s="374" t="s">
        <v>845</v>
      </c>
      <c r="E11" s="377">
        <f>SUM(E9:E10)</f>
        <v>8</v>
      </c>
      <c r="F11" s="377">
        <f t="shared" ref="F11:O11" si="3">SUM(F9:F10)</f>
        <v>2</v>
      </c>
      <c r="G11" s="377">
        <f t="shared" si="3"/>
        <v>10</v>
      </c>
      <c r="H11" s="377">
        <f t="shared" si="3"/>
        <v>8</v>
      </c>
      <c r="I11" s="377">
        <f t="shared" si="3"/>
        <v>5</v>
      </c>
      <c r="J11" s="377">
        <f t="shared" si="3"/>
        <v>8</v>
      </c>
      <c r="K11" s="377">
        <f t="shared" si="3"/>
        <v>0</v>
      </c>
      <c r="L11" s="377">
        <f t="shared" si="3"/>
        <v>1</v>
      </c>
      <c r="M11" s="377">
        <f t="shared" si="3"/>
        <v>0</v>
      </c>
      <c r="N11" s="377">
        <f t="shared" si="3"/>
        <v>2</v>
      </c>
      <c r="O11" s="377">
        <f t="shared" si="3"/>
        <v>44</v>
      </c>
    </row>
    <row r="12" spans="3:29" ht="19.5" customHeight="1" x14ac:dyDescent="0.2">
      <c r="C12" s="619" t="s">
        <v>867</v>
      </c>
      <c r="D12" s="374" t="s">
        <v>9</v>
      </c>
      <c r="E12" s="377">
        <v>37</v>
      </c>
      <c r="F12" s="377">
        <v>11</v>
      </c>
      <c r="G12" s="377">
        <v>82</v>
      </c>
      <c r="H12" s="377">
        <v>62</v>
      </c>
      <c r="I12" s="377">
        <v>58</v>
      </c>
      <c r="J12" s="377">
        <v>53</v>
      </c>
      <c r="K12" s="377">
        <v>0</v>
      </c>
      <c r="L12" s="377">
        <v>15</v>
      </c>
      <c r="M12" s="377">
        <v>1</v>
      </c>
      <c r="N12" s="377">
        <v>11</v>
      </c>
      <c r="O12" s="382">
        <f t="shared" si="0"/>
        <v>330</v>
      </c>
    </row>
    <row r="13" spans="3:29" ht="19.5" customHeight="1" x14ac:dyDescent="0.2">
      <c r="C13" s="620"/>
      <c r="D13" s="374" t="s">
        <v>10</v>
      </c>
      <c r="E13" s="377">
        <v>100</v>
      </c>
      <c r="F13" s="377">
        <v>26</v>
      </c>
      <c r="G13" s="377">
        <v>74</v>
      </c>
      <c r="H13" s="377">
        <v>62</v>
      </c>
      <c r="I13" s="377">
        <v>12</v>
      </c>
      <c r="J13" s="377">
        <v>86</v>
      </c>
      <c r="K13" s="377">
        <v>0</v>
      </c>
      <c r="L13" s="377">
        <v>7</v>
      </c>
      <c r="M13" s="377">
        <v>6</v>
      </c>
      <c r="N13" s="377">
        <v>14</v>
      </c>
      <c r="O13" s="382">
        <f t="shared" si="0"/>
        <v>387</v>
      </c>
    </row>
    <row r="14" spans="3:29" ht="19.5" customHeight="1" x14ac:dyDescent="0.2">
      <c r="C14" s="621"/>
      <c r="D14" s="374" t="s">
        <v>845</v>
      </c>
      <c r="E14" s="377">
        <f>SUM(E12:E13)</f>
        <v>137</v>
      </c>
      <c r="F14" s="377">
        <f t="shared" ref="F14:O14" si="4">SUM(F12:F13)</f>
        <v>37</v>
      </c>
      <c r="G14" s="377">
        <f t="shared" si="4"/>
        <v>156</v>
      </c>
      <c r="H14" s="377">
        <f t="shared" si="4"/>
        <v>124</v>
      </c>
      <c r="I14" s="377">
        <f t="shared" si="4"/>
        <v>70</v>
      </c>
      <c r="J14" s="377">
        <f t="shared" si="4"/>
        <v>139</v>
      </c>
      <c r="K14" s="377">
        <f t="shared" si="4"/>
        <v>0</v>
      </c>
      <c r="L14" s="377">
        <f t="shared" si="4"/>
        <v>22</v>
      </c>
      <c r="M14" s="377">
        <f t="shared" si="4"/>
        <v>7</v>
      </c>
      <c r="N14" s="377">
        <f t="shared" si="4"/>
        <v>25</v>
      </c>
      <c r="O14" s="377">
        <f t="shared" si="4"/>
        <v>717</v>
      </c>
    </row>
    <row r="15" spans="3:29" ht="19.5" customHeight="1" x14ac:dyDescent="0.2">
      <c r="C15" s="619" t="s">
        <v>16</v>
      </c>
      <c r="D15" s="374" t="s">
        <v>9</v>
      </c>
      <c r="E15" s="377">
        <v>2</v>
      </c>
      <c r="F15" s="377">
        <v>1</v>
      </c>
      <c r="G15" s="377">
        <v>3</v>
      </c>
      <c r="H15" s="377">
        <v>2</v>
      </c>
      <c r="I15" s="377">
        <v>3</v>
      </c>
      <c r="J15" s="377">
        <v>3</v>
      </c>
      <c r="K15" s="377">
        <v>0</v>
      </c>
      <c r="L15" s="377">
        <v>1</v>
      </c>
      <c r="M15" s="377">
        <v>0</v>
      </c>
      <c r="N15" s="377">
        <v>1</v>
      </c>
      <c r="O15" s="382">
        <f t="shared" si="0"/>
        <v>16</v>
      </c>
    </row>
    <row r="16" spans="3:29" ht="19.5" customHeight="1" x14ac:dyDescent="0.2">
      <c r="C16" s="620"/>
      <c r="D16" s="374" t="s">
        <v>10</v>
      </c>
      <c r="E16" s="377">
        <v>2</v>
      </c>
      <c r="F16" s="377">
        <v>1</v>
      </c>
      <c r="G16" s="377">
        <v>2</v>
      </c>
      <c r="H16" s="377">
        <v>1</v>
      </c>
      <c r="I16" s="377">
        <v>0</v>
      </c>
      <c r="J16" s="377">
        <v>2</v>
      </c>
      <c r="K16" s="377">
        <v>0</v>
      </c>
      <c r="L16" s="377">
        <v>0</v>
      </c>
      <c r="M16" s="377">
        <v>0</v>
      </c>
      <c r="N16" s="377">
        <v>0</v>
      </c>
      <c r="O16" s="382">
        <f t="shared" si="0"/>
        <v>8</v>
      </c>
    </row>
    <row r="17" spans="3:15" ht="19.5" customHeight="1" x14ac:dyDescent="0.2">
      <c r="C17" s="621"/>
      <c r="D17" s="374" t="s">
        <v>845</v>
      </c>
      <c r="E17" s="377">
        <f>SUM(E15:E16)</f>
        <v>4</v>
      </c>
      <c r="F17" s="377">
        <f t="shared" ref="F17:O17" si="5">SUM(F15:F16)</f>
        <v>2</v>
      </c>
      <c r="G17" s="377">
        <f t="shared" si="5"/>
        <v>5</v>
      </c>
      <c r="H17" s="377">
        <f t="shared" si="5"/>
        <v>3</v>
      </c>
      <c r="I17" s="377">
        <f t="shared" si="5"/>
        <v>3</v>
      </c>
      <c r="J17" s="377">
        <f t="shared" si="5"/>
        <v>5</v>
      </c>
      <c r="K17" s="377">
        <f t="shared" si="5"/>
        <v>0</v>
      </c>
      <c r="L17" s="377">
        <f t="shared" si="5"/>
        <v>1</v>
      </c>
      <c r="M17" s="377">
        <f t="shared" si="5"/>
        <v>0</v>
      </c>
      <c r="N17" s="377">
        <f t="shared" si="5"/>
        <v>1</v>
      </c>
      <c r="O17" s="377">
        <f t="shared" si="5"/>
        <v>24</v>
      </c>
    </row>
    <row r="18" spans="3:15" ht="19.5" customHeight="1" x14ac:dyDescent="0.2">
      <c r="C18" s="619" t="s">
        <v>21</v>
      </c>
      <c r="D18" s="374" t="s">
        <v>9</v>
      </c>
      <c r="E18" s="377">
        <v>577</v>
      </c>
      <c r="F18" s="377">
        <v>165</v>
      </c>
      <c r="G18" s="377">
        <v>1278</v>
      </c>
      <c r="H18" s="377">
        <v>961</v>
      </c>
      <c r="I18" s="377">
        <v>910</v>
      </c>
      <c r="J18" s="377">
        <v>821</v>
      </c>
      <c r="K18" s="377">
        <v>6</v>
      </c>
      <c r="L18" s="377">
        <v>231</v>
      </c>
      <c r="M18" s="377">
        <v>9</v>
      </c>
      <c r="N18" s="377">
        <v>178</v>
      </c>
      <c r="O18" s="382">
        <f t="shared" si="0"/>
        <v>5136</v>
      </c>
    </row>
    <row r="19" spans="3:15" ht="19.5" customHeight="1" x14ac:dyDescent="0.2">
      <c r="C19" s="620"/>
      <c r="D19" s="374" t="s">
        <v>10</v>
      </c>
      <c r="E19" s="377">
        <v>284</v>
      </c>
      <c r="F19" s="377">
        <v>72</v>
      </c>
      <c r="G19" s="377">
        <v>210</v>
      </c>
      <c r="H19" s="377">
        <v>176</v>
      </c>
      <c r="I19" s="377">
        <v>34</v>
      </c>
      <c r="J19" s="377">
        <v>246</v>
      </c>
      <c r="K19" s="377">
        <v>0</v>
      </c>
      <c r="L19" s="377">
        <v>21</v>
      </c>
      <c r="M19" s="377">
        <v>18</v>
      </c>
      <c r="N19" s="377">
        <v>38</v>
      </c>
      <c r="O19" s="382">
        <f t="shared" si="0"/>
        <v>1099</v>
      </c>
    </row>
    <row r="20" spans="3:15" ht="19.5" customHeight="1" x14ac:dyDescent="0.2">
      <c r="C20" s="621"/>
      <c r="D20" s="374" t="s">
        <v>845</v>
      </c>
      <c r="E20" s="377">
        <f>SUM(E18:E19)</f>
        <v>861</v>
      </c>
      <c r="F20" s="377">
        <f t="shared" ref="F20:O20" si="6">SUM(F18:F19)</f>
        <v>237</v>
      </c>
      <c r="G20" s="377">
        <f t="shared" si="6"/>
        <v>1488</v>
      </c>
      <c r="H20" s="377">
        <f t="shared" si="6"/>
        <v>1137</v>
      </c>
      <c r="I20" s="377">
        <f t="shared" si="6"/>
        <v>944</v>
      </c>
      <c r="J20" s="377">
        <f t="shared" si="6"/>
        <v>1067</v>
      </c>
      <c r="K20" s="377">
        <f t="shared" si="6"/>
        <v>6</v>
      </c>
      <c r="L20" s="377">
        <f t="shared" si="6"/>
        <v>252</v>
      </c>
      <c r="M20" s="377">
        <f t="shared" si="6"/>
        <v>27</v>
      </c>
      <c r="N20" s="377">
        <f t="shared" si="6"/>
        <v>216</v>
      </c>
      <c r="O20" s="377">
        <f t="shared" si="6"/>
        <v>6235</v>
      </c>
    </row>
    <row r="21" spans="3:15" ht="19.5" customHeight="1" x14ac:dyDescent="0.2">
      <c r="C21" s="619" t="s">
        <v>19</v>
      </c>
      <c r="D21" s="374" t="s">
        <v>9</v>
      </c>
      <c r="E21" s="377">
        <v>4</v>
      </c>
      <c r="F21" s="377">
        <v>1</v>
      </c>
      <c r="G21" s="377">
        <v>8</v>
      </c>
      <c r="H21" s="377">
        <v>7</v>
      </c>
      <c r="I21" s="377">
        <v>6</v>
      </c>
      <c r="J21" s="377">
        <v>5</v>
      </c>
      <c r="K21" s="377">
        <v>0</v>
      </c>
      <c r="L21" s="377">
        <v>2</v>
      </c>
      <c r="M21" s="377">
        <v>0</v>
      </c>
      <c r="N21" s="377">
        <v>1</v>
      </c>
      <c r="O21" s="382">
        <f t="shared" si="0"/>
        <v>34</v>
      </c>
    </row>
    <row r="22" spans="3:15" ht="19.5" customHeight="1" x14ac:dyDescent="0.2">
      <c r="C22" s="620"/>
      <c r="D22" s="374" t="s">
        <v>10</v>
      </c>
      <c r="E22" s="377">
        <v>4</v>
      </c>
      <c r="F22" s="377">
        <v>1</v>
      </c>
      <c r="G22" s="377">
        <v>3</v>
      </c>
      <c r="H22" s="377">
        <v>3</v>
      </c>
      <c r="I22" s="377">
        <v>1</v>
      </c>
      <c r="J22" s="377">
        <v>4</v>
      </c>
      <c r="K22" s="377">
        <v>0</v>
      </c>
      <c r="L22" s="377">
        <v>0</v>
      </c>
      <c r="M22" s="377">
        <v>0</v>
      </c>
      <c r="N22" s="377">
        <v>1</v>
      </c>
      <c r="O22" s="382">
        <f t="shared" si="0"/>
        <v>17</v>
      </c>
    </row>
    <row r="23" spans="3:15" ht="19.5" customHeight="1" x14ac:dyDescent="0.2">
      <c r="C23" s="621"/>
      <c r="D23" s="374" t="s">
        <v>845</v>
      </c>
      <c r="E23" s="377">
        <f>SUM(E21:E22)</f>
        <v>8</v>
      </c>
      <c r="F23" s="377">
        <f t="shared" ref="F23:O23" si="7">SUM(F21:F22)</f>
        <v>2</v>
      </c>
      <c r="G23" s="377">
        <f t="shared" si="7"/>
        <v>11</v>
      </c>
      <c r="H23" s="377">
        <f t="shared" si="7"/>
        <v>10</v>
      </c>
      <c r="I23" s="377">
        <f t="shared" si="7"/>
        <v>7</v>
      </c>
      <c r="J23" s="377">
        <f t="shared" si="7"/>
        <v>9</v>
      </c>
      <c r="K23" s="377">
        <f t="shared" si="7"/>
        <v>0</v>
      </c>
      <c r="L23" s="377">
        <f t="shared" si="7"/>
        <v>2</v>
      </c>
      <c r="M23" s="377">
        <f t="shared" si="7"/>
        <v>0</v>
      </c>
      <c r="N23" s="377">
        <f t="shared" si="7"/>
        <v>2</v>
      </c>
      <c r="O23" s="377">
        <f t="shared" si="7"/>
        <v>51</v>
      </c>
    </row>
    <row r="24" spans="3:15" ht="19.5" customHeight="1" x14ac:dyDescent="0.2">
      <c r="C24" s="619" t="s">
        <v>866</v>
      </c>
      <c r="D24" s="374" t="s">
        <v>9</v>
      </c>
      <c r="E24" s="377">
        <v>9</v>
      </c>
      <c r="F24" s="377">
        <v>3</v>
      </c>
      <c r="G24" s="377">
        <v>20</v>
      </c>
      <c r="H24" s="377">
        <v>15</v>
      </c>
      <c r="I24" s="377">
        <v>15</v>
      </c>
      <c r="J24" s="377">
        <v>13</v>
      </c>
      <c r="K24" s="377">
        <v>0</v>
      </c>
      <c r="L24" s="377">
        <v>4</v>
      </c>
      <c r="M24" s="377">
        <v>0</v>
      </c>
      <c r="N24" s="377">
        <v>3</v>
      </c>
      <c r="O24" s="382">
        <f t="shared" si="0"/>
        <v>82</v>
      </c>
    </row>
    <row r="25" spans="3:15" ht="19.5" customHeight="1" x14ac:dyDescent="0.2">
      <c r="C25" s="620"/>
      <c r="D25" s="374" t="s">
        <v>10</v>
      </c>
      <c r="E25" s="377">
        <v>6</v>
      </c>
      <c r="F25" s="377">
        <v>2</v>
      </c>
      <c r="G25" s="377">
        <v>5</v>
      </c>
      <c r="H25" s="377">
        <v>4</v>
      </c>
      <c r="I25" s="377">
        <v>1</v>
      </c>
      <c r="J25" s="377">
        <v>6</v>
      </c>
      <c r="K25" s="377">
        <v>0</v>
      </c>
      <c r="L25" s="377">
        <v>0</v>
      </c>
      <c r="M25" s="377">
        <v>0</v>
      </c>
      <c r="N25" s="377">
        <v>1</v>
      </c>
      <c r="O25" s="382">
        <f t="shared" si="0"/>
        <v>25</v>
      </c>
    </row>
    <row r="26" spans="3:15" ht="19.5" customHeight="1" x14ac:dyDescent="0.2">
      <c r="C26" s="621"/>
      <c r="D26" s="374" t="s">
        <v>845</v>
      </c>
      <c r="E26" s="377">
        <f>SUM(E24:E25)</f>
        <v>15</v>
      </c>
      <c r="F26" s="377">
        <f t="shared" ref="F26:O26" si="8">SUM(F24:F25)</f>
        <v>5</v>
      </c>
      <c r="G26" s="377">
        <f t="shared" si="8"/>
        <v>25</v>
      </c>
      <c r="H26" s="377">
        <f t="shared" si="8"/>
        <v>19</v>
      </c>
      <c r="I26" s="377">
        <f t="shared" si="8"/>
        <v>16</v>
      </c>
      <c r="J26" s="377">
        <f t="shared" si="8"/>
        <v>19</v>
      </c>
      <c r="K26" s="377">
        <f t="shared" si="8"/>
        <v>0</v>
      </c>
      <c r="L26" s="377">
        <f t="shared" si="8"/>
        <v>4</v>
      </c>
      <c r="M26" s="377">
        <f t="shared" si="8"/>
        <v>0</v>
      </c>
      <c r="N26" s="377">
        <f t="shared" si="8"/>
        <v>4</v>
      </c>
      <c r="O26" s="377">
        <f t="shared" si="8"/>
        <v>107</v>
      </c>
    </row>
    <row r="27" spans="3:15" ht="19.5" customHeight="1" x14ac:dyDescent="0.2">
      <c r="C27" s="619" t="s">
        <v>865</v>
      </c>
      <c r="D27" s="374" t="s">
        <v>9</v>
      </c>
      <c r="E27" s="377">
        <v>2</v>
      </c>
      <c r="F27" s="377">
        <v>1</v>
      </c>
      <c r="G27" s="377">
        <v>3</v>
      </c>
      <c r="H27" s="377">
        <v>2</v>
      </c>
      <c r="I27" s="377">
        <v>3</v>
      </c>
      <c r="J27" s="377">
        <v>3</v>
      </c>
      <c r="K27" s="377">
        <v>0</v>
      </c>
      <c r="L27" s="377">
        <v>1</v>
      </c>
      <c r="M27" s="377">
        <v>0</v>
      </c>
      <c r="N27" s="377">
        <v>1</v>
      </c>
      <c r="O27" s="382">
        <f t="shared" si="0"/>
        <v>16</v>
      </c>
    </row>
    <row r="28" spans="3:15" ht="19.5" customHeight="1" x14ac:dyDescent="0.2">
      <c r="C28" s="620"/>
      <c r="D28" s="374" t="s">
        <v>10</v>
      </c>
      <c r="E28" s="377">
        <v>2</v>
      </c>
      <c r="F28" s="377">
        <v>0</v>
      </c>
      <c r="G28" s="377">
        <v>0</v>
      </c>
      <c r="H28" s="377">
        <v>0</v>
      </c>
      <c r="I28" s="377">
        <v>0</v>
      </c>
      <c r="J28" s="377">
        <v>0</v>
      </c>
      <c r="K28" s="377">
        <v>0</v>
      </c>
      <c r="L28" s="377">
        <v>0</v>
      </c>
      <c r="M28" s="377">
        <v>0</v>
      </c>
      <c r="N28" s="377">
        <v>0</v>
      </c>
      <c r="O28" s="382">
        <f t="shared" si="0"/>
        <v>2</v>
      </c>
    </row>
    <row r="29" spans="3:15" ht="19.5" customHeight="1" x14ac:dyDescent="0.2">
      <c r="C29" s="621"/>
      <c r="D29" s="374" t="s">
        <v>845</v>
      </c>
      <c r="E29" s="377">
        <f>SUM(E27:E28)</f>
        <v>4</v>
      </c>
      <c r="F29" s="377">
        <f t="shared" ref="F29:O29" si="9">SUM(F27:F28)</f>
        <v>1</v>
      </c>
      <c r="G29" s="377">
        <f t="shared" si="9"/>
        <v>3</v>
      </c>
      <c r="H29" s="377">
        <f t="shared" si="9"/>
        <v>2</v>
      </c>
      <c r="I29" s="377">
        <f t="shared" si="9"/>
        <v>3</v>
      </c>
      <c r="J29" s="377">
        <f t="shared" si="9"/>
        <v>3</v>
      </c>
      <c r="K29" s="377">
        <f t="shared" si="9"/>
        <v>0</v>
      </c>
      <c r="L29" s="377">
        <f t="shared" si="9"/>
        <v>1</v>
      </c>
      <c r="M29" s="377">
        <f t="shared" si="9"/>
        <v>0</v>
      </c>
      <c r="N29" s="377">
        <f t="shared" si="9"/>
        <v>1</v>
      </c>
      <c r="O29" s="377">
        <f t="shared" si="9"/>
        <v>18</v>
      </c>
    </row>
    <row r="30" spans="3:15" ht="19.5" customHeight="1" x14ac:dyDescent="0.2">
      <c r="C30" s="619" t="s">
        <v>18</v>
      </c>
      <c r="D30" s="374" t="s">
        <v>9</v>
      </c>
      <c r="E30" s="377">
        <v>4</v>
      </c>
      <c r="F30" s="377">
        <v>1</v>
      </c>
      <c r="G30" s="377">
        <v>8</v>
      </c>
      <c r="H30" s="377">
        <v>6</v>
      </c>
      <c r="I30" s="377">
        <v>6</v>
      </c>
      <c r="J30" s="377">
        <v>5</v>
      </c>
      <c r="K30" s="377">
        <v>0</v>
      </c>
      <c r="L30" s="377">
        <v>1</v>
      </c>
      <c r="M30" s="377">
        <v>0</v>
      </c>
      <c r="N30" s="377">
        <v>1</v>
      </c>
      <c r="O30" s="382">
        <f t="shared" si="0"/>
        <v>32</v>
      </c>
    </row>
    <row r="31" spans="3:15" ht="19.5" customHeight="1" x14ac:dyDescent="0.2">
      <c r="C31" s="620"/>
      <c r="D31" s="374" t="s">
        <v>10</v>
      </c>
      <c r="E31" s="377">
        <v>6</v>
      </c>
      <c r="F31" s="377">
        <v>2</v>
      </c>
      <c r="G31" s="377">
        <v>5</v>
      </c>
      <c r="H31" s="377">
        <v>4</v>
      </c>
      <c r="I31" s="377">
        <v>1</v>
      </c>
      <c r="J31" s="377">
        <v>6</v>
      </c>
      <c r="K31" s="377">
        <v>0</v>
      </c>
      <c r="L31" s="377">
        <v>0</v>
      </c>
      <c r="M31" s="377">
        <v>0</v>
      </c>
      <c r="N31" s="377">
        <v>1</v>
      </c>
      <c r="O31" s="382">
        <f t="shared" si="0"/>
        <v>25</v>
      </c>
    </row>
    <row r="32" spans="3:15" ht="19.5" customHeight="1" x14ac:dyDescent="0.2">
      <c r="C32" s="621"/>
      <c r="D32" s="374" t="s">
        <v>845</v>
      </c>
      <c r="E32" s="377">
        <f>SUM(E30:E31)</f>
        <v>10</v>
      </c>
      <c r="F32" s="377">
        <f t="shared" ref="F32:O32" si="10">SUM(F30:F31)</f>
        <v>3</v>
      </c>
      <c r="G32" s="377">
        <f t="shared" si="10"/>
        <v>13</v>
      </c>
      <c r="H32" s="377">
        <f t="shared" si="10"/>
        <v>10</v>
      </c>
      <c r="I32" s="377">
        <f t="shared" si="10"/>
        <v>7</v>
      </c>
      <c r="J32" s="377">
        <f t="shared" si="10"/>
        <v>11</v>
      </c>
      <c r="K32" s="377">
        <f t="shared" si="10"/>
        <v>0</v>
      </c>
      <c r="L32" s="377">
        <f t="shared" si="10"/>
        <v>1</v>
      </c>
      <c r="M32" s="377">
        <f t="shared" si="10"/>
        <v>0</v>
      </c>
      <c r="N32" s="377">
        <f t="shared" si="10"/>
        <v>2</v>
      </c>
      <c r="O32" s="377">
        <f t="shared" si="10"/>
        <v>57</v>
      </c>
    </row>
    <row r="33" spans="3:15" ht="19.5" customHeight="1" x14ac:dyDescent="0.2">
      <c r="C33" s="619" t="s">
        <v>23</v>
      </c>
      <c r="D33" s="374" t="s">
        <v>9</v>
      </c>
      <c r="E33" s="377">
        <v>352</v>
      </c>
      <c r="F33" s="377">
        <v>101</v>
      </c>
      <c r="G33" s="377">
        <v>776</v>
      </c>
      <c r="H33" s="377">
        <v>584</v>
      </c>
      <c r="I33" s="377">
        <v>553</v>
      </c>
      <c r="J33" s="377">
        <v>498</v>
      </c>
      <c r="K33" s="377">
        <v>3</v>
      </c>
      <c r="L33" s="377">
        <v>141</v>
      </c>
      <c r="M33" s="377">
        <v>6</v>
      </c>
      <c r="N33" s="377">
        <v>108</v>
      </c>
      <c r="O33" s="382">
        <f t="shared" si="0"/>
        <v>3122</v>
      </c>
    </row>
    <row r="34" spans="3:15" ht="19.5" customHeight="1" x14ac:dyDescent="0.2">
      <c r="C34" s="620"/>
      <c r="D34" s="374" t="s">
        <v>10</v>
      </c>
      <c r="E34" s="377">
        <v>130</v>
      </c>
      <c r="F34" s="377">
        <v>34</v>
      </c>
      <c r="G34" s="377">
        <v>97</v>
      </c>
      <c r="H34" s="377">
        <v>82</v>
      </c>
      <c r="I34" s="377">
        <v>16</v>
      </c>
      <c r="J34" s="377">
        <v>114</v>
      </c>
      <c r="K34" s="377">
        <v>0</v>
      </c>
      <c r="L34" s="377">
        <v>10</v>
      </c>
      <c r="M34" s="377">
        <v>8</v>
      </c>
      <c r="N34" s="377">
        <v>18</v>
      </c>
      <c r="O34" s="382">
        <f t="shared" si="0"/>
        <v>509</v>
      </c>
    </row>
    <row r="35" spans="3:15" ht="19.5" customHeight="1" x14ac:dyDescent="0.2">
      <c r="C35" s="621"/>
      <c r="D35" s="374" t="s">
        <v>845</v>
      </c>
      <c r="E35" s="377">
        <f>SUM(E33:E34)</f>
        <v>482</v>
      </c>
      <c r="F35" s="377">
        <f t="shared" ref="F35:O35" si="11">SUM(F33:F34)</f>
        <v>135</v>
      </c>
      <c r="G35" s="377">
        <f t="shared" si="11"/>
        <v>873</v>
      </c>
      <c r="H35" s="377">
        <f t="shared" si="11"/>
        <v>666</v>
      </c>
      <c r="I35" s="377">
        <f t="shared" si="11"/>
        <v>569</v>
      </c>
      <c r="J35" s="377">
        <f t="shared" si="11"/>
        <v>612</v>
      </c>
      <c r="K35" s="377">
        <f t="shared" si="11"/>
        <v>3</v>
      </c>
      <c r="L35" s="377">
        <f t="shared" si="11"/>
        <v>151</v>
      </c>
      <c r="M35" s="377">
        <f t="shared" si="11"/>
        <v>14</v>
      </c>
      <c r="N35" s="377">
        <f t="shared" si="11"/>
        <v>126</v>
      </c>
      <c r="O35" s="377">
        <f t="shared" si="11"/>
        <v>3631</v>
      </c>
    </row>
    <row r="36" spans="3:15" ht="19.5" customHeight="1" x14ac:dyDescent="0.2">
      <c r="C36" s="619" t="s">
        <v>15</v>
      </c>
      <c r="D36" s="374" t="s">
        <v>9</v>
      </c>
      <c r="E36" s="377">
        <v>9</v>
      </c>
      <c r="F36" s="377">
        <v>3</v>
      </c>
      <c r="G36" s="377">
        <v>18</v>
      </c>
      <c r="H36" s="377">
        <v>15</v>
      </c>
      <c r="I36" s="377">
        <v>14</v>
      </c>
      <c r="J36" s="377">
        <v>13</v>
      </c>
      <c r="K36" s="377">
        <v>0</v>
      </c>
      <c r="L36" s="377">
        <v>4</v>
      </c>
      <c r="M36" s="377">
        <v>0</v>
      </c>
      <c r="N36" s="377">
        <v>3</v>
      </c>
      <c r="O36" s="382">
        <f t="shared" si="0"/>
        <v>79</v>
      </c>
    </row>
    <row r="37" spans="3:15" ht="19.5" customHeight="1" x14ac:dyDescent="0.2">
      <c r="C37" s="620"/>
      <c r="D37" s="374" t="s">
        <v>10</v>
      </c>
      <c r="E37" s="377">
        <v>14</v>
      </c>
      <c r="F37" s="377">
        <v>4</v>
      </c>
      <c r="G37" s="377">
        <v>11</v>
      </c>
      <c r="H37" s="377">
        <v>9</v>
      </c>
      <c r="I37" s="377">
        <v>2</v>
      </c>
      <c r="J37" s="377">
        <v>11</v>
      </c>
      <c r="K37" s="377">
        <v>0</v>
      </c>
      <c r="L37" s="377">
        <v>1</v>
      </c>
      <c r="M37" s="377">
        <v>1</v>
      </c>
      <c r="N37" s="377">
        <v>2</v>
      </c>
      <c r="O37" s="382">
        <f t="shared" si="0"/>
        <v>55</v>
      </c>
    </row>
    <row r="38" spans="3:15" ht="19.5" customHeight="1" x14ac:dyDescent="0.2">
      <c r="C38" s="621"/>
      <c r="D38" s="374" t="s">
        <v>845</v>
      </c>
      <c r="E38" s="377">
        <f>SUM(E36:E37)</f>
        <v>23</v>
      </c>
      <c r="F38" s="377">
        <f t="shared" ref="F38:O38" si="12">SUM(F36:F37)</f>
        <v>7</v>
      </c>
      <c r="G38" s="377">
        <f t="shared" si="12"/>
        <v>29</v>
      </c>
      <c r="H38" s="377">
        <f t="shared" si="12"/>
        <v>24</v>
      </c>
      <c r="I38" s="377">
        <f t="shared" si="12"/>
        <v>16</v>
      </c>
      <c r="J38" s="377">
        <f t="shared" si="12"/>
        <v>24</v>
      </c>
      <c r="K38" s="377">
        <f t="shared" si="12"/>
        <v>0</v>
      </c>
      <c r="L38" s="377">
        <f t="shared" si="12"/>
        <v>5</v>
      </c>
      <c r="M38" s="377">
        <f t="shared" si="12"/>
        <v>1</v>
      </c>
      <c r="N38" s="377">
        <f t="shared" si="12"/>
        <v>5</v>
      </c>
      <c r="O38" s="377">
        <f t="shared" si="12"/>
        <v>134</v>
      </c>
    </row>
    <row r="39" spans="3:15" ht="19.5" customHeight="1" x14ac:dyDescent="0.2">
      <c r="C39" s="619" t="s">
        <v>864</v>
      </c>
      <c r="D39" s="374" t="s">
        <v>9</v>
      </c>
      <c r="E39" s="377">
        <v>11</v>
      </c>
      <c r="F39" s="377">
        <v>3</v>
      </c>
      <c r="G39" s="377">
        <v>23</v>
      </c>
      <c r="H39" s="377">
        <v>18</v>
      </c>
      <c r="I39" s="377">
        <v>17</v>
      </c>
      <c r="J39" s="377">
        <v>15</v>
      </c>
      <c r="K39" s="377">
        <v>0</v>
      </c>
      <c r="L39" s="377">
        <v>4</v>
      </c>
      <c r="M39" s="377">
        <v>0</v>
      </c>
      <c r="N39" s="377">
        <v>3</v>
      </c>
      <c r="O39" s="382">
        <f t="shared" si="0"/>
        <v>94</v>
      </c>
    </row>
    <row r="40" spans="3:15" ht="19.5" customHeight="1" x14ac:dyDescent="0.2">
      <c r="C40" s="620"/>
      <c r="D40" s="374" t="s">
        <v>10</v>
      </c>
      <c r="E40" s="377">
        <v>28</v>
      </c>
      <c r="F40" s="377">
        <v>7</v>
      </c>
      <c r="G40" s="377">
        <v>21</v>
      </c>
      <c r="H40" s="377">
        <v>18</v>
      </c>
      <c r="I40" s="377">
        <v>3</v>
      </c>
      <c r="J40" s="377">
        <v>25</v>
      </c>
      <c r="K40" s="377">
        <v>0</v>
      </c>
      <c r="L40" s="377">
        <v>2</v>
      </c>
      <c r="M40" s="377">
        <v>2</v>
      </c>
      <c r="N40" s="377">
        <v>4</v>
      </c>
      <c r="O40" s="382">
        <f t="shared" si="0"/>
        <v>110</v>
      </c>
    </row>
    <row r="41" spans="3:15" ht="19.5" customHeight="1" x14ac:dyDescent="0.2">
      <c r="C41" s="621"/>
      <c r="D41" s="374" t="s">
        <v>845</v>
      </c>
      <c r="E41" s="377">
        <f>SUM(E39:E40)</f>
        <v>39</v>
      </c>
      <c r="F41" s="377">
        <f t="shared" ref="F41:O41" si="13">SUM(F39:F40)</f>
        <v>10</v>
      </c>
      <c r="G41" s="377">
        <f t="shared" si="13"/>
        <v>44</v>
      </c>
      <c r="H41" s="377">
        <f t="shared" si="13"/>
        <v>36</v>
      </c>
      <c r="I41" s="377">
        <f t="shared" si="13"/>
        <v>20</v>
      </c>
      <c r="J41" s="377">
        <f t="shared" si="13"/>
        <v>40</v>
      </c>
      <c r="K41" s="377">
        <f t="shared" si="13"/>
        <v>0</v>
      </c>
      <c r="L41" s="377">
        <f t="shared" si="13"/>
        <v>6</v>
      </c>
      <c r="M41" s="377">
        <f t="shared" si="13"/>
        <v>2</v>
      </c>
      <c r="N41" s="377">
        <f t="shared" si="13"/>
        <v>7</v>
      </c>
      <c r="O41" s="377">
        <f t="shared" si="13"/>
        <v>204</v>
      </c>
    </row>
    <row r="42" spans="3:15" ht="19.5" customHeight="1" x14ac:dyDescent="0.2">
      <c r="C42" s="619" t="s">
        <v>25</v>
      </c>
      <c r="D42" s="374" t="s">
        <v>9</v>
      </c>
      <c r="E42" s="377">
        <v>57</v>
      </c>
      <c r="F42" s="377">
        <v>16</v>
      </c>
      <c r="G42" s="377">
        <v>124</v>
      </c>
      <c r="H42" s="377">
        <v>95</v>
      </c>
      <c r="I42" s="377">
        <v>90</v>
      </c>
      <c r="J42" s="377">
        <v>81</v>
      </c>
      <c r="K42" s="377">
        <v>1</v>
      </c>
      <c r="L42" s="377">
        <v>23</v>
      </c>
      <c r="M42" s="377">
        <v>1</v>
      </c>
      <c r="N42" s="377">
        <v>18</v>
      </c>
      <c r="O42" s="382">
        <f t="shared" si="0"/>
        <v>506</v>
      </c>
    </row>
    <row r="43" spans="3:15" ht="19.5" customHeight="1" x14ac:dyDescent="0.2">
      <c r="C43" s="620"/>
      <c r="D43" s="374" t="s">
        <v>10</v>
      </c>
      <c r="E43" s="377">
        <v>27</v>
      </c>
      <c r="F43" s="377">
        <v>7</v>
      </c>
      <c r="G43" s="377">
        <v>20</v>
      </c>
      <c r="H43" s="377">
        <v>17</v>
      </c>
      <c r="I43" s="377">
        <v>3</v>
      </c>
      <c r="J43" s="377">
        <v>23</v>
      </c>
      <c r="K43" s="377">
        <v>0</v>
      </c>
      <c r="L43" s="377">
        <v>2</v>
      </c>
      <c r="M43" s="377">
        <v>2</v>
      </c>
      <c r="N43" s="377">
        <v>4</v>
      </c>
      <c r="O43" s="382">
        <f t="shared" si="0"/>
        <v>105</v>
      </c>
    </row>
    <row r="44" spans="3:15" ht="19.5" customHeight="1" x14ac:dyDescent="0.2">
      <c r="C44" s="621"/>
      <c r="D44" s="374" t="s">
        <v>845</v>
      </c>
      <c r="E44" s="377">
        <f>SUM(E42:E43)</f>
        <v>84</v>
      </c>
      <c r="F44" s="377">
        <f t="shared" ref="F44:O44" si="14">SUM(F42:F43)</f>
        <v>23</v>
      </c>
      <c r="G44" s="377">
        <f t="shared" si="14"/>
        <v>144</v>
      </c>
      <c r="H44" s="377">
        <f t="shared" si="14"/>
        <v>112</v>
      </c>
      <c r="I44" s="377">
        <f t="shared" si="14"/>
        <v>93</v>
      </c>
      <c r="J44" s="377">
        <f t="shared" si="14"/>
        <v>104</v>
      </c>
      <c r="K44" s="377">
        <f t="shared" si="14"/>
        <v>1</v>
      </c>
      <c r="L44" s="377">
        <f t="shared" si="14"/>
        <v>25</v>
      </c>
      <c r="M44" s="377">
        <f t="shared" si="14"/>
        <v>3</v>
      </c>
      <c r="N44" s="377">
        <f t="shared" si="14"/>
        <v>22</v>
      </c>
      <c r="O44" s="377">
        <f t="shared" si="14"/>
        <v>611</v>
      </c>
    </row>
    <row r="45" spans="3:15" ht="19.5" customHeight="1" x14ac:dyDescent="0.2">
      <c r="C45" s="619" t="s">
        <v>29</v>
      </c>
      <c r="D45" s="374" t="s">
        <v>9</v>
      </c>
      <c r="E45" s="377">
        <v>9</v>
      </c>
      <c r="F45" s="377">
        <v>3</v>
      </c>
      <c r="G45" s="377">
        <v>20</v>
      </c>
      <c r="H45" s="377">
        <v>15</v>
      </c>
      <c r="I45" s="377">
        <v>12</v>
      </c>
      <c r="J45" s="377">
        <v>13</v>
      </c>
      <c r="K45" s="377">
        <v>0</v>
      </c>
      <c r="L45" s="377">
        <v>4</v>
      </c>
      <c r="M45" s="377">
        <v>0</v>
      </c>
      <c r="N45" s="377">
        <v>3</v>
      </c>
      <c r="O45" s="382">
        <f t="shared" si="0"/>
        <v>79</v>
      </c>
    </row>
    <row r="46" spans="3:15" ht="19.5" customHeight="1" x14ac:dyDescent="0.2">
      <c r="C46" s="620"/>
      <c r="D46" s="374" t="s">
        <v>10</v>
      </c>
      <c r="E46" s="377">
        <v>1</v>
      </c>
      <c r="F46" s="377">
        <v>0</v>
      </c>
      <c r="G46" s="377">
        <v>1</v>
      </c>
      <c r="H46" s="377">
        <v>1</v>
      </c>
      <c r="I46" s="377">
        <v>0</v>
      </c>
      <c r="J46" s="377">
        <v>1</v>
      </c>
      <c r="K46" s="377">
        <v>0</v>
      </c>
      <c r="L46" s="377">
        <v>0</v>
      </c>
      <c r="M46" s="377">
        <v>0</v>
      </c>
      <c r="N46" s="377">
        <v>0</v>
      </c>
      <c r="O46" s="382">
        <f t="shared" si="0"/>
        <v>4</v>
      </c>
    </row>
    <row r="47" spans="3:15" ht="19.5" customHeight="1" x14ac:dyDescent="0.2">
      <c r="C47" s="621"/>
      <c r="D47" s="374" t="s">
        <v>845</v>
      </c>
      <c r="E47" s="377">
        <f>SUM(E45:E46)</f>
        <v>10</v>
      </c>
      <c r="F47" s="377">
        <f t="shared" ref="F47:O47" si="15">SUM(F45:F46)</f>
        <v>3</v>
      </c>
      <c r="G47" s="377">
        <f t="shared" si="15"/>
        <v>21</v>
      </c>
      <c r="H47" s="377">
        <f t="shared" si="15"/>
        <v>16</v>
      </c>
      <c r="I47" s="377">
        <f t="shared" si="15"/>
        <v>12</v>
      </c>
      <c r="J47" s="377">
        <f t="shared" si="15"/>
        <v>14</v>
      </c>
      <c r="K47" s="377">
        <f t="shared" si="15"/>
        <v>0</v>
      </c>
      <c r="L47" s="377">
        <f t="shared" si="15"/>
        <v>4</v>
      </c>
      <c r="M47" s="377">
        <f t="shared" si="15"/>
        <v>0</v>
      </c>
      <c r="N47" s="377">
        <f t="shared" si="15"/>
        <v>3</v>
      </c>
      <c r="O47" s="377">
        <f t="shared" si="15"/>
        <v>83</v>
      </c>
    </row>
    <row r="48" spans="3:15" ht="19.5" customHeight="1" x14ac:dyDescent="0.2">
      <c r="C48" s="619" t="s">
        <v>33</v>
      </c>
      <c r="D48" s="374" t="s">
        <v>9</v>
      </c>
      <c r="E48" s="377">
        <v>36</v>
      </c>
      <c r="F48" s="377">
        <v>10</v>
      </c>
      <c r="G48" s="377">
        <v>81</v>
      </c>
      <c r="H48" s="377">
        <v>61</v>
      </c>
      <c r="I48" s="377">
        <v>57</v>
      </c>
      <c r="J48" s="377">
        <v>52</v>
      </c>
      <c r="K48" s="377">
        <v>0</v>
      </c>
      <c r="L48" s="377">
        <v>15</v>
      </c>
      <c r="M48" s="377">
        <v>1</v>
      </c>
      <c r="N48" s="377">
        <v>11</v>
      </c>
      <c r="O48" s="382">
        <f t="shared" si="0"/>
        <v>324</v>
      </c>
    </row>
    <row r="49" spans="3:15" ht="19.5" customHeight="1" x14ac:dyDescent="0.2">
      <c r="C49" s="620"/>
      <c r="D49" s="374" t="s">
        <v>10</v>
      </c>
      <c r="E49" s="377">
        <v>14</v>
      </c>
      <c r="F49" s="377">
        <v>3</v>
      </c>
      <c r="G49" s="377">
        <v>10</v>
      </c>
      <c r="H49" s="377">
        <v>8</v>
      </c>
      <c r="I49" s="377">
        <v>2</v>
      </c>
      <c r="J49" s="377">
        <v>12</v>
      </c>
      <c r="K49" s="377">
        <v>0</v>
      </c>
      <c r="L49" s="377">
        <v>1</v>
      </c>
      <c r="M49" s="377">
        <v>1</v>
      </c>
      <c r="N49" s="377">
        <v>2</v>
      </c>
      <c r="O49" s="382">
        <f t="shared" si="0"/>
        <v>53</v>
      </c>
    </row>
    <row r="50" spans="3:15" ht="19.5" customHeight="1" x14ac:dyDescent="0.2">
      <c r="C50" s="621"/>
      <c r="D50" s="374" t="s">
        <v>845</v>
      </c>
      <c r="E50" s="377">
        <f>SUM(E48:E49)</f>
        <v>50</v>
      </c>
      <c r="F50" s="377">
        <f t="shared" ref="F50:O50" si="16">SUM(F48:F49)</f>
        <v>13</v>
      </c>
      <c r="G50" s="377">
        <f t="shared" si="16"/>
        <v>91</v>
      </c>
      <c r="H50" s="377">
        <f t="shared" si="16"/>
        <v>69</v>
      </c>
      <c r="I50" s="377">
        <f t="shared" si="16"/>
        <v>59</v>
      </c>
      <c r="J50" s="377">
        <f t="shared" si="16"/>
        <v>64</v>
      </c>
      <c r="K50" s="377">
        <f t="shared" si="16"/>
        <v>0</v>
      </c>
      <c r="L50" s="377">
        <f t="shared" si="16"/>
        <v>16</v>
      </c>
      <c r="M50" s="377">
        <f t="shared" si="16"/>
        <v>2</v>
      </c>
      <c r="N50" s="377">
        <f t="shared" si="16"/>
        <v>13</v>
      </c>
      <c r="O50" s="377">
        <f t="shared" si="16"/>
        <v>377</v>
      </c>
    </row>
    <row r="51" spans="3:15" ht="19.5" customHeight="1" x14ac:dyDescent="0.2">
      <c r="C51" s="619" t="s">
        <v>35</v>
      </c>
      <c r="D51" s="374" t="s">
        <v>9</v>
      </c>
      <c r="E51" s="377">
        <v>56</v>
      </c>
      <c r="F51" s="377">
        <v>16</v>
      </c>
      <c r="G51" s="377">
        <v>125</v>
      </c>
      <c r="H51" s="377">
        <v>94</v>
      </c>
      <c r="I51" s="377">
        <v>89</v>
      </c>
      <c r="J51" s="377">
        <v>80</v>
      </c>
      <c r="K51" s="377">
        <v>1</v>
      </c>
      <c r="L51" s="377">
        <v>23</v>
      </c>
      <c r="M51" s="377">
        <v>1</v>
      </c>
      <c r="N51" s="377">
        <v>17</v>
      </c>
      <c r="O51" s="382">
        <f t="shared" si="0"/>
        <v>502</v>
      </c>
    </row>
    <row r="52" spans="3:15" ht="19.5" customHeight="1" x14ac:dyDescent="0.2">
      <c r="C52" s="620"/>
      <c r="D52" s="374" t="s">
        <v>10</v>
      </c>
      <c r="E52" s="377">
        <v>44</v>
      </c>
      <c r="F52" s="377">
        <v>11</v>
      </c>
      <c r="G52" s="377">
        <v>32</v>
      </c>
      <c r="H52" s="377">
        <v>27</v>
      </c>
      <c r="I52" s="377">
        <v>5</v>
      </c>
      <c r="J52" s="377">
        <v>38</v>
      </c>
      <c r="K52" s="377">
        <v>0</v>
      </c>
      <c r="L52" s="377">
        <v>3</v>
      </c>
      <c r="M52" s="377">
        <v>3</v>
      </c>
      <c r="N52" s="377">
        <v>6</v>
      </c>
      <c r="O52" s="382">
        <f t="shared" si="0"/>
        <v>169</v>
      </c>
    </row>
    <row r="53" spans="3:15" ht="19.5" customHeight="1" x14ac:dyDescent="0.2">
      <c r="C53" s="621"/>
      <c r="D53" s="374" t="s">
        <v>845</v>
      </c>
      <c r="E53" s="377">
        <f>SUM(E51:E52)</f>
        <v>100</v>
      </c>
      <c r="F53" s="377">
        <f t="shared" ref="F53:O53" si="17">SUM(F51:F52)</f>
        <v>27</v>
      </c>
      <c r="G53" s="377">
        <f t="shared" si="17"/>
        <v>157</v>
      </c>
      <c r="H53" s="377">
        <f t="shared" si="17"/>
        <v>121</v>
      </c>
      <c r="I53" s="377">
        <f t="shared" si="17"/>
        <v>94</v>
      </c>
      <c r="J53" s="377">
        <f t="shared" si="17"/>
        <v>118</v>
      </c>
      <c r="K53" s="377">
        <f t="shared" si="17"/>
        <v>1</v>
      </c>
      <c r="L53" s="377">
        <f t="shared" si="17"/>
        <v>26</v>
      </c>
      <c r="M53" s="377">
        <f t="shared" si="17"/>
        <v>4</v>
      </c>
      <c r="N53" s="377">
        <f t="shared" si="17"/>
        <v>23</v>
      </c>
      <c r="O53" s="377">
        <f t="shared" si="17"/>
        <v>671</v>
      </c>
    </row>
    <row r="54" spans="3:15" ht="19.5" customHeight="1" x14ac:dyDescent="0.2">
      <c r="C54" s="619" t="s">
        <v>863</v>
      </c>
      <c r="D54" s="374" t="s">
        <v>9</v>
      </c>
      <c r="E54" s="377">
        <v>52</v>
      </c>
      <c r="F54" s="377">
        <v>15</v>
      </c>
      <c r="G54" s="377">
        <v>115</v>
      </c>
      <c r="H54" s="377">
        <v>86</v>
      </c>
      <c r="I54" s="377">
        <v>82</v>
      </c>
      <c r="J54" s="377">
        <v>74</v>
      </c>
      <c r="K54" s="377">
        <v>1</v>
      </c>
      <c r="L54" s="377">
        <v>21</v>
      </c>
      <c r="M54" s="377">
        <v>1</v>
      </c>
      <c r="N54" s="377">
        <v>16</v>
      </c>
      <c r="O54" s="382">
        <f t="shared" si="0"/>
        <v>463</v>
      </c>
    </row>
    <row r="55" spans="3:15" ht="19.5" customHeight="1" x14ac:dyDescent="0.2">
      <c r="C55" s="620"/>
      <c r="D55" s="374" t="s">
        <v>10</v>
      </c>
      <c r="E55" s="377">
        <v>34</v>
      </c>
      <c r="F55" s="377">
        <v>8</v>
      </c>
      <c r="G55" s="377">
        <v>24</v>
      </c>
      <c r="H55" s="377">
        <v>20</v>
      </c>
      <c r="I55" s="377">
        <v>4</v>
      </c>
      <c r="J55" s="377">
        <v>28</v>
      </c>
      <c r="K55" s="377">
        <v>0</v>
      </c>
      <c r="L55" s="377">
        <v>2</v>
      </c>
      <c r="M55" s="377">
        <v>2</v>
      </c>
      <c r="N55" s="377">
        <v>4</v>
      </c>
      <c r="O55" s="382">
        <f t="shared" si="0"/>
        <v>126</v>
      </c>
    </row>
    <row r="56" spans="3:15" ht="19.5" customHeight="1" x14ac:dyDescent="0.2">
      <c r="C56" s="621"/>
      <c r="D56" s="374" t="s">
        <v>845</v>
      </c>
      <c r="E56" s="377">
        <f>SUM(E54:E55)</f>
        <v>86</v>
      </c>
      <c r="F56" s="377">
        <f t="shared" ref="F56:O56" si="18">SUM(F54:F55)</f>
        <v>23</v>
      </c>
      <c r="G56" s="377">
        <f t="shared" si="18"/>
        <v>139</v>
      </c>
      <c r="H56" s="377">
        <f t="shared" si="18"/>
        <v>106</v>
      </c>
      <c r="I56" s="377">
        <f t="shared" si="18"/>
        <v>86</v>
      </c>
      <c r="J56" s="377">
        <f t="shared" si="18"/>
        <v>102</v>
      </c>
      <c r="K56" s="377">
        <f t="shared" si="18"/>
        <v>1</v>
      </c>
      <c r="L56" s="377">
        <f t="shared" si="18"/>
        <v>23</v>
      </c>
      <c r="M56" s="377">
        <f t="shared" si="18"/>
        <v>3</v>
      </c>
      <c r="N56" s="377">
        <f t="shared" si="18"/>
        <v>20</v>
      </c>
      <c r="O56" s="377">
        <f t="shared" si="18"/>
        <v>589</v>
      </c>
    </row>
    <row r="57" spans="3:15" ht="19.5" customHeight="1" x14ac:dyDescent="0.2">
      <c r="C57" s="619" t="s">
        <v>36</v>
      </c>
      <c r="D57" s="374" t="s">
        <v>9</v>
      </c>
      <c r="E57" s="377">
        <v>1</v>
      </c>
      <c r="F57" s="377">
        <v>0</v>
      </c>
      <c r="G57" s="377">
        <v>2</v>
      </c>
      <c r="H57" s="377">
        <v>3</v>
      </c>
      <c r="I57" s="377">
        <v>2</v>
      </c>
      <c r="J57" s="377">
        <v>2</v>
      </c>
      <c r="K57" s="377">
        <v>0</v>
      </c>
      <c r="L57" s="377">
        <v>0</v>
      </c>
      <c r="M57" s="377">
        <v>0</v>
      </c>
      <c r="N57" s="377">
        <v>0</v>
      </c>
      <c r="O57" s="382">
        <f t="shared" si="0"/>
        <v>10</v>
      </c>
    </row>
    <row r="58" spans="3:15" ht="19.5" customHeight="1" x14ac:dyDescent="0.2">
      <c r="C58" s="620"/>
      <c r="D58" s="374" t="s">
        <v>10</v>
      </c>
      <c r="E58" s="377">
        <v>4</v>
      </c>
      <c r="F58" s="377">
        <v>1</v>
      </c>
      <c r="G58" s="377">
        <v>3</v>
      </c>
      <c r="H58" s="377">
        <v>3</v>
      </c>
      <c r="I58" s="377">
        <v>0</v>
      </c>
      <c r="J58" s="377">
        <v>3</v>
      </c>
      <c r="K58" s="377">
        <v>0</v>
      </c>
      <c r="L58" s="377">
        <v>0</v>
      </c>
      <c r="M58" s="377">
        <v>0</v>
      </c>
      <c r="N58" s="377">
        <v>1</v>
      </c>
      <c r="O58" s="382">
        <f t="shared" si="0"/>
        <v>15</v>
      </c>
    </row>
    <row r="59" spans="3:15" ht="19.5" customHeight="1" x14ac:dyDescent="0.2">
      <c r="C59" s="621"/>
      <c r="D59" s="374" t="s">
        <v>845</v>
      </c>
      <c r="E59" s="377">
        <f>SUM(E57:E58)</f>
        <v>5</v>
      </c>
      <c r="F59" s="377">
        <f t="shared" ref="F59:O59" si="19">SUM(F57:F58)</f>
        <v>1</v>
      </c>
      <c r="G59" s="377">
        <f t="shared" si="19"/>
        <v>5</v>
      </c>
      <c r="H59" s="377">
        <f t="shared" si="19"/>
        <v>6</v>
      </c>
      <c r="I59" s="377">
        <f t="shared" si="19"/>
        <v>2</v>
      </c>
      <c r="J59" s="377">
        <f t="shared" si="19"/>
        <v>5</v>
      </c>
      <c r="K59" s="377">
        <f t="shared" si="19"/>
        <v>0</v>
      </c>
      <c r="L59" s="377">
        <f t="shared" si="19"/>
        <v>0</v>
      </c>
      <c r="M59" s="377">
        <f t="shared" si="19"/>
        <v>0</v>
      </c>
      <c r="N59" s="377">
        <f t="shared" si="19"/>
        <v>1</v>
      </c>
      <c r="O59" s="377">
        <f t="shared" si="19"/>
        <v>25</v>
      </c>
    </row>
    <row r="60" spans="3:15" ht="19.5" customHeight="1" x14ac:dyDescent="0.2">
      <c r="C60" s="619" t="s">
        <v>34</v>
      </c>
      <c r="D60" s="374" t="s">
        <v>9</v>
      </c>
      <c r="E60" s="377">
        <v>1155</v>
      </c>
      <c r="F60" s="377">
        <v>331</v>
      </c>
      <c r="G60" s="377">
        <v>2554</v>
      </c>
      <c r="H60" s="377">
        <v>1922</v>
      </c>
      <c r="I60" s="377">
        <v>1821</v>
      </c>
      <c r="J60" s="377">
        <v>1641</v>
      </c>
      <c r="K60" s="377">
        <v>11</v>
      </c>
      <c r="L60" s="377">
        <v>462</v>
      </c>
      <c r="M60" s="377">
        <v>19</v>
      </c>
      <c r="N60" s="377">
        <v>356</v>
      </c>
      <c r="O60" s="382">
        <f t="shared" si="0"/>
        <v>10272</v>
      </c>
    </row>
    <row r="61" spans="3:15" ht="19.5" customHeight="1" x14ac:dyDescent="0.2">
      <c r="C61" s="620"/>
      <c r="D61" s="374" t="s">
        <v>10</v>
      </c>
      <c r="E61" s="377">
        <v>870</v>
      </c>
      <c r="F61" s="377">
        <v>222</v>
      </c>
      <c r="G61" s="377">
        <v>644</v>
      </c>
      <c r="H61" s="377">
        <v>540</v>
      </c>
      <c r="I61" s="377">
        <v>102</v>
      </c>
      <c r="J61" s="377">
        <v>753</v>
      </c>
      <c r="K61" s="377">
        <v>0</v>
      </c>
      <c r="L61" s="377">
        <v>66</v>
      </c>
      <c r="M61" s="377">
        <v>54</v>
      </c>
      <c r="N61" s="377">
        <v>121</v>
      </c>
      <c r="O61" s="382">
        <f t="shared" si="0"/>
        <v>3372</v>
      </c>
    </row>
    <row r="62" spans="3:15" ht="19.5" customHeight="1" x14ac:dyDescent="0.2">
      <c r="C62" s="621"/>
      <c r="D62" s="374" t="s">
        <v>845</v>
      </c>
      <c r="E62" s="377">
        <f>SUM(E60:E61)</f>
        <v>2025</v>
      </c>
      <c r="F62" s="377">
        <f t="shared" ref="F62:O62" si="20">SUM(F60:F61)</f>
        <v>553</v>
      </c>
      <c r="G62" s="377">
        <f t="shared" si="20"/>
        <v>3198</v>
      </c>
      <c r="H62" s="377">
        <f t="shared" si="20"/>
        <v>2462</v>
      </c>
      <c r="I62" s="377">
        <f t="shared" si="20"/>
        <v>1923</v>
      </c>
      <c r="J62" s="377">
        <f t="shared" si="20"/>
        <v>2394</v>
      </c>
      <c r="K62" s="377">
        <f t="shared" si="20"/>
        <v>11</v>
      </c>
      <c r="L62" s="377">
        <f t="shared" si="20"/>
        <v>528</v>
      </c>
      <c r="M62" s="377">
        <f t="shared" si="20"/>
        <v>73</v>
      </c>
      <c r="N62" s="377">
        <f t="shared" si="20"/>
        <v>477</v>
      </c>
      <c r="O62" s="377">
        <f t="shared" si="20"/>
        <v>13644</v>
      </c>
    </row>
    <row r="63" spans="3:15" ht="19.5" customHeight="1" x14ac:dyDescent="0.2">
      <c r="C63" s="619" t="s">
        <v>211</v>
      </c>
      <c r="D63" s="374" t="s">
        <v>9</v>
      </c>
      <c r="E63" s="377">
        <v>78</v>
      </c>
      <c r="F63" s="377">
        <v>22</v>
      </c>
      <c r="G63" s="377">
        <v>172</v>
      </c>
      <c r="H63" s="377">
        <v>130</v>
      </c>
      <c r="I63" s="377">
        <v>123</v>
      </c>
      <c r="J63" s="377">
        <v>110</v>
      </c>
      <c r="K63" s="377">
        <v>1</v>
      </c>
      <c r="L63" s="377">
        <v>31</v>
      </c>
      <c r="M63" s="377">
        <v>1</v>
      </c>
      <c r="N63" s="377">
        <v>24</v>
      </c>
      <c r="O63" s="382">
        <f t="shared" si="0"/>
        <v>692</v>
      </c>
    </row>
    <row r="64" spans="3:15" ht="19.5" customHeight="1" x14ac:dyDescent="0.2">
      <c r="C64" s="620"/>
      <c r="D64" s="374" t="s">
        <v>10</v>
      </c>
      <c r="E64" s="377">
        <v>44</v>
      </c>
      <c r="F64" s="377">
        <v>11</v>
      </c>
      <c r="G64" s="377">
        <v>32</v>
      </c>
      <c r="H64" s="377">
        <v>28</v>
      </c>
      <c r="I64" s="377">
        <v>5</v>
      </c>
      <c r="J64" s="377">
        <v>38</v>
      </c>
      <c r="K64" s="377">
        <v>0</v>
      </c>
      <c r="L64" s="377">
        <v>3</v>
      </c>
      <c r="M64" s="377">
        <v>3</v>
      </c>
      <c r="N64" s="377">
        <v>6</v>
      </c>
      <c r="O64" s="382">
        <f t="shared" si="0"/>
        <v>170</v>
      </c>
    </row>
    <row r="65" spans="3:15" ht="19.5" customHeight="1" x14ac:dyDescent="0.2">
      <c r="C65" s="621"/>
      <c r="D65" s="374" t="s">
        <v>845</v>
      </c>
      <c r="E65" s="377">
        <f>SUM(E63:E64)</f>
        <v>122</v>
      </c>
      <c r="F65" s="377">
        <f t="shared" ref="F65:O65" si="21">SUM(F63:F64)</f>
        <v>33</v>
      </c>
      <c r="G65" s="377">
        <f t="shared" si="21"/>
        <v>204</v>
      </c>
      <c r="H65" s="377">
        <f t="shared" si="21"/>
        <v>158</v>
      </c>
      <c r="I65" s="377">
        <f t="shared" si="21"/>
        <v>128</v>
      </c>
      <c r="J65" s="377">
        <f t="shared" si="21"/>
        <v>148</v>
      </c>
      <c r="K65" s="377">
        <f t="shared" si="21"/>
        <v>1</v>
      </c>
      <c r="L65" s="377">
        <f t="shared" si="21"/>
        <v>34</v>
      </c>
      <c r="M65" s="377">
        <f t="shared" si="21"/>
        <v>4</v>
      </c>
      <c r="N65" s="377">
        <f t="shared" si="21"/>
        <v>30</v>
      </c>
      <c r="O65" s="377">
        <f t="shared" si="21"/>
        <v>862</v>
      </c>
    </row>
    <row r="66" spans="3:15" ht="19.5" customHeight="1" x14ac:dyDescent="0.2">
      <c r="C66" s="619" t="s">
        <v>212</v>
      </c>
      <c r="D66" s="374" t="s">
        <v>9</v>
      </c>
      <c r="E66" s="377">
        <v>22</v>
      </c>
      <c r="F66" s="377">
        <v>6</v>
      </c>
      <c r="G66" s="377">
        <v>50</v>
      </c>
      <c r="H66" s="377">
        <v>37</v>
      </c>
      <c r="I66" s="377">
        <v>35</v>
      </c>
      <c r="J66" s="377">
        <v>31</v>
      </c>
      <c r="K66" s="377">
        <v>0</v>
      </c>
      <c r="L66" s="377">
        <v>9</v>
      </c>
      <c r="M66" s="377">
        <v>0</v>
      </c>
      <c r="N66" s="377">
        <v>7</v>
      </c>
      <c r="O66" s="382">
        <f t="shared" si="0"/>
        <v>197</v>
      </c>
    </row>
    <row r="67" spans="3:15" ht="19.5" customHeight="1" x14ac:dyDescent="0.2">
      <c r="C67" s="620"/>
      <c r="D67" s="374" t="s">
        <v>10</v>
      </c>
      <c r="E67" s="377">
        <v>9</v>
      </c>
      <c r="F67" s="377">
        <v>2</v>
      </c>
      <c r="G67" s="377">
        <v>6</v>
      </c>
      <c r="H67" s="377">
        <v>5</v>
      </c>
      <c r="I67" s="377">
        <v>1</v>
      </c>
      <c r="J67" s="377">
        <v>8</v>
      </c>
      <c r="K67" s="377">
        <v>0</v>
      </c>
      <c r="L67" s="377">
        <v>1</v>
      </c>
      <c r="M67" s="377">
        <v>1</v>
      </c>
      <c r="N67" s="377">
        <v>1</v>
      </c>
      <c r="O67" s="382">
        <f t="shared" si="0"/>
        <v>34</v>
      </c>
    </row>
    <row r="68" spans="3:15" ht="19.5" customHeight="1" x14ac:dyDescent="0.2">
      <c r="C68" s="621"/>
      <c r="D68" s="374" t="s">
        <v>845</v>
      </c>
      <c r="E68" s="377">
        <f>SUM(E66:E67)</f>
        <v>31</v>
      </c>
      <c r="F68" s="377">
        <f t="shared" ref="F68:O68" si="22">SUM(F66:F67)</f>
        <v>8</v>
      </c>
      <c r="G68" s="377">
        <f t="shared" si="22"/>
        <v>56</v>
      </c>
      <c r="H68" s="377">
        <f t="shared" si="22"/>
        <v>42</v>
      </c>
      <c r="I68" s="377">
        <f t="shared" si="22"/>
        <v>36</v>
      </c>
      <c r="J68" s="377">
        <f t="shared" si="22"/>
        <v>39</v>
      </c>
      <c r="K68" s="377">
        <f t="shared" si="22"/>
        <v>0</v>
      </c>
      <c r="L68" s="377">
        <f t="shared" si="22"/>
        <v>10</v>
      </c>
      <c r="M68" s="377">
        <f t="shared" si="22"/>
        <v>1</v>
      </c>
      <c r="N68" s="377">
        <f t="shared" si="22"/>
        <v>8</v>
      </c>
      <c r="O68" s="377">
        <f t="shared" si="22"/>
        <v>231</v>
      </c>
    </row>
    <row r="69" spans="3:15" ht="19.5" customHeight="1" x14ac:dyDescent="0.2">
      <c r="C69" s="619" t="s">
        <v>862</v>
      </c>
      <c r="D69" s="374" t="s">
        <v>9</v>
      </c>
      <c r="E69" s="377">
        <v>19</v>
      </c>
      <c r="F69" s="377">
        <v>6</v>
      </c>
      <c r="G69" s="377">
        <v>43</v>
      </c>
      <c r="H69" s="377">
        <v>32</v>
      </c>
      <c r="I69" s="377">
        <v>30</v>
      </c>
      <c r="J69" s="377">
        <v>27</v>
      </c>
      <c r="K69" s="377">
        <v>0</v>
      </c>
      <c r="L69" s="377">
        <v>8</v>
      </c>
      <c r="M69" s="377">
        <v>0</v>
      </c>
      <c r="N69" s="377">
        <v>6</v>
      </c>
      <c r="O69" s="382">
        <f t="shared" ref="O69:O88" si="23">SUM(E69:N69)</f>
        <v>171</v>
      </c>
    </row>
    <row r="70" spans="3:15" ht="19.5" customHeight="1" x14ac:dyDescent="0.2">
      <c r="C70" s="620"/>
      <c r="D70" s="374" t="s">
        <v>10</v>
      </c>
      <c r="E70" s="377">
        <v>11</v>
      </c>
      <c r="F70" s="377">
        <v>3</v>
      </c>
      <c r="G70" s="377">
        <v>8</v>
      </c>
      <c r="H70" s="377">
        <v>7</v>
      </c>
      <c r="I70" s="377">
        <v>1</v>
      </c>
      <c r="J70" s="377">
        <v>9</v>
      </c>
      <c r="K70" s="377">
        <v>0</v>
      </c>
      <c r="L70" s="377">
        <v>1</v>
      </c>
      <c r="M70" s="377">
        <v>1</v>
      </c>
      <c r="N70" s="377">
        <v>1</v>
      </c>
      <c r="O70" s="382">
        <f t="shared" si="23"/>
        <v>42</v>
      </c>
    </row>
    <row r="71" spans="3:15" ht="19.5" customHeight="1" x14ac:dyDescent="0.2">
      <c r="C71" s="621"/>
      <c r="D71" s="374" t="s">
        <v>845</v>
      </c>
      <c r="E71" s="377">
        <f>SUM(E69:E70)</f>
        <v>30</v>
      </c>
      <c r="F71" s="377">
        <f t="shared" ref="F71:O71" si="24">SUM(F69:F70)</f>
        <v>9</v>
      </c>
      <c r="G71" s="377">
        <f t="shared" si="24"/>
        <v>51</v>
      </c>
      <c r="H71" s="377">
        <f t="shared" si="24"/>
        <v>39</v>
      </c>
      <c r="I71" s="377">
        <f t="shared" si="24"/>
        <v>31</v>
      </c>
      <c r="J71" s="377">
        <f t="shared" si="24"/>
        <v>36</v>
      </c>
      <c r="K71" s="377">
        <f t="shared" si="24"/>
        <v>0</v>
      </c>
      <c r="L71" s="377">
        <f t="shared" si="24"/>
        <v>9</v>
      </c>
      <c r="M71" s="377">
        <f t="shared" si="24"/>
        <v>1</v>
      </c>
      <c r="N71" s="377">
        <f t="shared" si="24"/>
        <v>7</v>
      </c>
      <c r="O71" s="377">
        <f t="shared" si="24"/>
        <v>213</v>
      </c>
    </row>
    <row r="72" spans="3:15" ht="19.5" customHeight="1" x14ac:dyDescent="0.2">
      <c r="C72" s="619" t="s">
        <v>861</v>
      </c>
      <c r="D72" s="374" t="s">
        <v>9</v>
      </c>
      <c r="E72" s="377">
        <v>16</v>
      </c>
      <c r="F72" s="377">
        <v>5</v>
      </c>
      <c r="G72" s="377">
        <v>35</v>
      </c>
      <c r="H72" s="377">
        <v>27</v>
      </c>
      <c r="I72" s="377">
        <v>25</v>
      </c>
      <c r="J72" s="377">
        <v>23</v>
      </c>
      <c r="K72" s="377">
        <v>0</v>
      </c>
      <c r="L72" s="377">
        <v>6</v>
      </c>
      <c r="M72" s="377">
        <v>0</v>
      </c>
      <c r="N72" s="377">
        <v>5</v>
      </c>
      <c r="O72" s="382">
        <f t="shared" si="23"/>
        <v>142</v>
      </c>
    </row>
    <row r="73" spans="3:15" ht="19.5" customHeight="1" x14ac:dyDescent="0.2">
      <c r="C73" s="620"/>
      <c r="D73" s="374" t="s">
        <v>10</v>
      </c>
      <c r="E73" s="377">
        <v>3</v>
      </c>
      <c r="F73" s="377">
        <v>1</v>
      </c>
      <c r="G73" s="377">
        <v>2</v>
      </c>
      <c r="H73" s="377">
        <v>2</v>
      </c>
      <c r="I73" s="377">
        <v>0</v>
      </c>
      <c r="J73" s="377">
        <v>3</v>
      </c>
      <c r="K73" s="377">
        <v>0</v>
      </c>
      <c r="L73" s="377">
        <v>0</v>
      </c>
      <c r="M73" s="377">
        <v>0</v>
      </c>
      <c r="N73" s="377">
        <v>0</v>
      </c>
      <c r="O73" s="382">
        <f t="shared" si="23"/>
        <v>11</v>
      </c>
    </row>
    <row r="74" spans="3:15" ht="19.5" customHeight="1" x14ac:dyDescent="0.2">
      <c r="C74" s="621"/>
      <c r="D74" s="374" t="s">
        <v>845</v>
      </c>
      <c r="E74" s="377">
        <f>SUM(E72:E73)</f>
        <v>19</v>
      </c>
      <c r="F74" s="377">
        <f t="shared" ref="F74:O74" si="25">SUM(F72:F73)</f>
        <v>6</v>
      </c>
      <c r="G74" s="377">
        <f t="shared" si="25"/>
        <v>37</v>
      </c>
      <c r="H74" s="377">
        <f t="shared" si="25"/>
        <v>29</v>
      </c>
      <c r="I74" s="377">
        <f t="shared" si="25"/>
        <v>25</v>
      </c>
      <c r="J74" s="377">
        <f t="shared" si="25"/>
        <v>26</v>
      </c>
      <c r="K74" s="377">
        <f t="shared" si="25"/>
        <v>0</v>
      </c>
      <c r="L74" s="377">
        <f t="shared" si="25"/>
        <v>6</v>
      </c>
      <c r="M74" s="377">
        <f t="shared" si="25"/>
        <v>0</v>
      </c>
      <c r="N74" s="377">
        <f t="shared" si="25"/>
        <v>5</v>
      </c>
      <c r="O74" s="377">
        <f t="shared" si="25"/>
        <v>153</v>
      </c>
    </row>
    <row r="75" spans="3:15" ht="19.5" customHeight="1" x14ac:dyDescent="0.2">
      <c r="C75" s="619" t="s">
        <v>214</v>
      </c>
      <c r="D75" s="374" t="s">
        <v>9</v>
      </c>
      <c r="E75" s="377">
        <v>26</v>
      </c>
      <c r="F75" s="377">
        <v>8</v>
      </c>
      <c r="G75" s="377">
        <v>59</v>
      </c>
      <c r="H75" s="377">
        <v>44</v>
      </c>
      <c r="I75" s="377">
        <v>42</v>
      </c>
      <c r="J75" s="377">
        <v>38</v>
      </c>
      <c r="K75" s="377">
        <v>0</v>
      </c>
      <c r="L75" s="377">
        <v>11</v>
      </c>
      <c r="M75" s="377">
        <v>0</v>
      </c>
      <c r="N75" s="377">
        <v>8</v>
      </c>
      <c r="O75" s="382">
        <f t="shared" si="23"/>
        <v>236</v>
      </c>
    </row>
    <row r="76" spans="3:15" ht="19.5" customHeight="1" x14ac:dyDescent="0.2">
      <c r="C76" s="620"/>
      <c r="D76" s="374" t="s">
        <v>10</v>
      </c>
      <c r="E76" s="377">
        <v>6</v>
      </c>
      <c r="F76" s="377">
        <v>2</v>
      </c>
      <c r="G76" s="377">
        <v>4</v>
      </c>
      <c r="H76" s="377">
        <v>4</v>
      </c>
      <c r="I76" s="377">
        <v>1</v>
      </c>
      <c r="J76" s="377">
        <v>5</v>
      </c>
      <c r="K76" s="377">
        <v>0</v>
      </c>
      <c r="L76" s="377">
        <v>0</v>
      </c>
      <c r="M76" s="377">
        <v>0</v>
      </c>
      <c r="N76" s="377">
        <v>1</v>
      </c>
      <c r="O76" s="382">
        <f t="shared" si="23"/>
        <v>23</v>
      </c>
    </row>
    <row r="77" spans="3:15" ht="19.5" customHeight="1" x14ac:dyDescent="0.2">
      <c r="C77" s="621"/>
      <c r="D77" s="374" t="s">
        <v>845</v>
      </c>
      <c r="E77" s="377">
        <f>SUM(E75:E76)</f>
        <v>32</v>
      </c>
      <c r="F77" s="377">
        <f t="shared" ref="F77:O77" si="26">SUM(F75:F76)</f>
        <v>10</v>
      </c>
      <c r="G77" s="377">
        <f t="shared" si="26"/>
        <v>63</v>
      </c>
      <c r="H77" s="377">
        <f t="shared" si="26"/>
        <v>48</v>
      </c>
      <c r="I77" s="377">
        <f t="shared" si="26"/>
        <v>43</v>
      </c>
      <c r="J77" s="377">
        <f t="shared" si="26"/>
        <v>43</v>
      </c>
      <c r="K77" s="377">
        <f t="shared" si="26"/>
        <v>0</v>
      </c>
      <c r="L77" s="377">
        <f t="shared" si="26"/>
        <v>11</v>
      </c>
      <c r="M77" s="377">
        <f t="shared" si="26"/>
        <v>0</v>
      </c>
      <c r="N77" s="377">
        <f t="shared" si="26"/>
        <v>9</v>
      </c>
      <c r="O77" s="377">
        <f t="shared" si="26"/>
        <v>259</v>
      </c>
    </row>
    <row r="78" spans="3:15" ht="19.5" customHeight="1" x14ac:dyDescent="0.2">
      <c r="C78" s="619" t="s">
        <v>31</v>
      </c>
      <c r="D78" s="374" t="s">
        <v>9</v>
      </c>
      <c r="E78" s="377">
        <v>790</v>
      </c>
      <c r="F78" s="377">
        <v>225</v>
      </c>
      <c r="G78" s="377">
        <v>1748</v>
      </c>
      <c r="H78" s="377">
        <v>1315</v>
      </c>
      <c r="I78" s="377">
        <v>1243</v>
      </c>
      <c r="J78" s="377">
        <v>1122</v>
      </c>
      <c r="K78" s="377">
        <v>8</v>
      </c>
      <c r="L78" s="377">
        <v>315</v>
      </c>
      <c r="M78" s="377">
        <v>13</v>
      </c>
      <c r="N78" s="377">
        <v>244</v>
      </c>
      <c r="O78" s="382">
        <f t="shared" si="23"/>
        <v>7023</v>
      </c>
    </row>
    <row r="79" spans="3:15" ht="19.5" customHeight="1" x14ac:dyDescent="0.2">
      <c r="C79" s="620"/>
      <c r="D79" s="374" t="s">
        <v>10</v>
      </c>
      <c r="E79" s="377">
        <v>318</v>
      </c>
      <c r="F79" s="377">
        <v>81</v>
      </c>
      <c r="G79" s="377">
        <v>235</v>
      </c>
      <c r="H79" s="377">
        <v>197</v>
      </c>
      <c r="I79" s="377">
        <v>38</v>
      </c>
      <c r="J79" s="377">
        <v>275</v>
      </c>
      <c r="K79" s="377">
        <v>0</v>
      </c>
      <c r="L79" s="377">
        <v>24</v>
      </c>
      <c r="M79" s="377">
        <v>20</v>
      </c>
      <c r="N79" s="377">
        <v>44</v>
      </c>
      <c r="O79" s="382">
        <f t="shared" si="23"/>
        <v>1232</v>
      </c>
    </row>
    <row r="80" spans="3:15" ht="19.5" customHeight="1" x14ac:dyDescent="0.2">
      <c r="C80" s="621"/>
      <c r="D80" s="374" t="s">
        <v>845</v>
      </c>
      <c r="E80" s="377">
        <f>SUM(E78:E79)</f>
        <v>1108</v>
      </c>
      <c r="F80" s="377">
        <f t="shared" ref="F80:O80" si="27">SUM(F78:F79)</f>
        <v>306</v>
      </c>
      <c r="G80" s="377">
        <f t="shared" si="27"/>
        <v>1983</v>
      </c>
      <c r="H80" s="377">
        <f t="shared" si="27"/>
        <v>1512</v>
      </c>
      <c r="I80" s="377">
        <f t="shared" si="27"/>
        <v>1281</v>
      </c>
      <c r="J80" s="377">
        <f t="shared" si="27"/>
        <v>1397</v>
      </c>
      <c r="K80" s="377">
        <f t="shared" si="27"/>
        <v>8</v>
      </c>
      <c r="L80" s="377">
        <f t="shared" si="27"/>
        <v>339</v>
      </c>
      <c r="M80" s="377">
        <f t="shared" si="27"/>
        <v>33</v>
      </c>
      <c r="N80" s="377">
        <f t="shared" si="27"/>
        <v>288</v>
      </c>
      <c r="O80" s="377">
        <f t="shared" si="27"/>
        <v>8255</v>
      </c>
    </row>
    <row r="81" spans="3:15" ht="19.5" customHeight="1" x14ac:dyDescent="0.2">
      <c r="C81" s="619" t="s">
        <v>215</v>
      </c>
      <c r="D81" s="374" t="s">
        <v>9</v>
      </c>
      <c r="E81" s="377">
        <v>2</v>
      </c>
      <c r="F81" s="377">
        <v>1</v>
      </c>
      <c r="G81" s="377">
        <v>5</v>
      </c>
      <c r="H81" s="377">
        <v>3</v>
      </c>
      <c r="I81" s="377">
        <v>3</v>
      </c>
      <c r="J81" s="377">
        <v>3</v>
      </c>
      <c r="K81" s="377">
        <v>0</v>
      </c>
      <c r="L81" s="377">
        <v>1</v>
      </c>
      <c r="M81" s="377">
        <v>0</v>
      </c>
      <c r="N81" s="377">
        <v>1</v>
      </c>
      <c r="O81" s="382">
        <f t="shared" si="23"/>
        <v>19</v>
      </c>
    </row>
    <row r="82" spans="3:15" ht="19.5" customHeight="1" x14ac:dyDescent="0.2">
      <c r="C82" s="620"/>
      <c r="D82" s="374" t="s">
        <v>10</v>
      </c>
      <c r="E82" s="377">
        <v>7</v>
      </c>
      <c r="F82" s="377">
        <v>2</v>
      </c>
      <c r="G82" s="377">
        <v>5</v>
      </c>
      <c r="H82" s="377">
        <v>4</v>
      </c>
      <c r="I82" s="377">
        <v>1</v>
      </c>
      <c r="J82" s="377">
        <v>6</v>
      </c>
      <c r="K82" s="377">
        <v>0</v>
      </c>
      <c r="L82" s="377">
        <v>1</v>
      </c>
      <c r="M82" s="377">
        <v>0</v>
      </c>
      <c r="N82" s="377">
        <v>1</v>
      </c>
      <c r="O82" s="382">
        <f t="shared" si="23"/>
        <v>27</v>
      </c>
    </row>
    <row r="83" spans="3:15" ht="19.5" customHeight="1" x14ac:dyDescent="0.2">
      <c r="C83" s="621"/>
      <c r="D83" s="374" t="s">
        <v>845</v>
      </c>
      <c r="E83" s="377">
        <f>SUM(E81:E82)</f>
        <v>9</v>
      </c>
      <c r="F83" s="377">
        <f t="shared" ref="F83:O83" si="28">SUM(F81:F82)</f>
        <v>3</v>
      </c>
      <c r="G83" s="377">
        <f t="shared" si="28"/>
        <v>10</v>
      </c>
      <c r="H83" s="377">
        <f t="shared" si="28"/>
        <v>7</v>
      </c>
      <c r="I83" s="377">
        <f t="shared" si="28"/>
        <v>4</v>
      </c>
      <c r="J83" s="377">
        <f t="shared" si="28"/>
        <v>9</v>
      </c>
      <c r="K83" s="377">
        <f t="shared" si="28"/>
        <v>0</v>
      </c>
      <c r="L83" s="377">
        <f t="shared" si="28"/>
        <v>2</v>
      </c>
      <c r="M83" s="377">
        <f t="shared" si="28"/>
        <v>0</v>
      </c>
      <c r="N83" s="377">
        <f t="shared" si="28"/>
        <v>2</v>
      </c>
      <c r="O83" s="377">
        <f t="shared" si="28"/>
        <v>46</v>
      </c>
    </row>
    <row r="84" spans="3:15" ht="19.5" customHeight="1" x14ac:dyDescent="0.2">
      <c r="C84" s="619" t="s">
        <v>38</v>
      </c>
      <c r="D84" s="374" t="s">
        <v>9</v>
      </c>
      <c r="E84" s="377">
        <v>1305</v>
      </c>
      <c r="F84" s="377">
        <v>373</v>
      </c>
      <c r="G84" s="377">
        <v>2887</v>
      </c>
      <c r="H84" s="377">
        <v>2171</v>
      </c>
      <c r="I84" s="377">
        <v>2055</v>
      </c>
      <c r="J84" s="377">
        <v>1853</v>
      </c>
      <c r="K84" s="377">
        <v>14</v>
      </c>
      <c r="L84" s="377">
        <v>522</v>
      </c>
      <c r="M84" s="377">
        <v>21</v>
      </c>
      <c r="N84" s="377">
        <v>402</v>
      </c>
      <c r="O84" s="382">
        <f t="shared" si="23"/>
        <v>11603</v>
      </c>
    </row>
    <row r="85" spans="3:15" ht="19.5" customHeight="1" x14ac:dyDescent="0.2">
      <c r="C85" s="620"/>
      <c r="D85" s="374" t="s">
        <v>10</v>
      </c>
      <c r="E85" s="377">
        <v>639</v>
      </c>
      <c r="F85" s="377">
        <v>163</v>
      </c>
      <c r="G85" s="377">
        <v>473</v>
      </c>
      <c r="H85" s="377">
        <v>397</v>
      </c>
      <c r="I85" s="377">
        <v>76</v>
      </c>
      <c r="J85" s="377">
        <v>553</v>
      </c>
      <c r="K85" s="377">
        <v>0</v>
      </c>
      <c r="L85" s="377">
        <v>47</v>
      </c>
      <c r="M85" s="377">
        <v>40</v>
      </c>
      <c r="N85" s="377">
        <v>89</v>
      </c>
      <c r="O85" s="382">
        <f t="shared" si="23"/>
        <v>2477</v>
      </c>
    </row>
    <row r="86" spans="3:15" ht="19.5" customHeight="1" x14ac:dyDescent="0.2">
      <c r="C86" s="621"/>
      <c r="D86" s="374" t="s">
        <v>845</v>
      </c>
      <c r="E86" s="377">
        <f>SUM(E84:E85)</f>
        <v>1944</v>
      </c>
      <c r="F86" s="377">
        <f t="shared" ref="F86:O86" si="29">SUM(F84:F85)</f>
        <v>536</v>
      </c>
      <c r="G86" s="377">
        <f t="shared" si="29"/>
        <v>3360</v>
      </c>
      <c r="H86" s="377">
        <f t="shared" si="29"/>
        <v>2568</v>
      </c>
      <c r="I86" s="377">
        <f t="shared" si="29"/>
        <v>2131</v>
      </c>
      <c r="J86" s="377">
        <f t="shared" si="29"/>
        <v>2406</v>
      </c>
      <c r="K86" s="377">
        <f t="shared" si="29"/>
        <v>14</v>
      </c>
      <c r="L86" s="377">
        <f t="shared" si="29"/>
        <v>569</v>
      </c>
      <c r="M86" s="377">
        <f t="shared" si="29"/>
        <v>61</v>
      </c>
      <c r="N86" s="377">
        <f t="shared" si="29"/>
        <v>491</v>
      </c>
      <c r="O86" s="377">
        <f t="shared" si="29"/>
        <v>14080</v>
      </c>
    </row>
    <row r="87" spans="3:15" ht="19.5" customHeight="1" x14ac:dyDescent="0.2">
      <c r="C87" s="619" t="s">
        <v>860</v>
      </c>
      <c r="D87" s="374" t="s">
        <v>9</v>
      </c>
      <c r="E87" s="377">
        <v>484</v>
      </c>
      <c r="F87" s="377">
        <v>138</v>
      </c>
      <c r="G87" s="377">
        <v>1070</v>
      </c>
      <c r="H87" s="377">
        <v>808</v>
      </c>
      <c r="I87" s="377">
        <v>762</v>
      </c>
      <c r="J87" s="377">
        <v>688</v>
      </c>
      <c r="K87" s="377">
        <v>5</v>
      </c>
      <c r="L87" s="377">
        <v>193</v>
      </c>
      <c r="M87" s="377">
        <v>8</v>
      </c>
      <c r="N87" s="377">
        <v>149</v>
      </c>
      <c r="O87" s="382">
        <f t="shared" si="23"/>
        <v>4305</v>
      </c>
    </row>
    <row r="88" spans="3:15" ht="19.5" customHeight="1" x14ac:dyDescent="0.2">
      <c r="C88" s="620"/>
      <c r="D88" s="374" t="s">
        <v>10</v>
      </c>
      <c r="E88" s="377">
        <v>242</v>
      </c>
      <c r="F88" s="377">
        <v>62</v>
      </c>
      <c r="G88" s="377">
        <v>179</v>
      </c>
      <c r="H88" s="377">
        <v>150</v>
      </c>
      <c r="I88" s="377">
        <v>28</v>
      </c>
      <c r="J88" s="377">
        <v>210</v>
      </c>
      <c r="K88" s="377">
        <v>0</v>
      </c>
      <c r="L88" s="377">
        <v>19</v>
      </c>
      <c r="M88" s="377">
        <v>15</v>
      </c>
      <c r="N88" s="377">
        <v>33</v>
      </c>
      <c r="O88" s="382">
        <f t="shared" si="23"/>
        <v>938</v>
      </c>
    </row>
    <row r="89" spans="3:15" ht="19.5" customHeight="1" x14ac:dyDescent="0.2">
      <c r="C89" s="621"/>
      <c r="D89" s="374" t="s">
        <v>845</v>
      </c>
      <c r="E89" s="377">
        <f>SUM(E87:E88)</f>
        <v>726</v>
      </c>
      <c r="F89" s="377">
        <f t="shared" ref="F89:O89" si="30">SUM(F87:F88)</f>
        <v>200</v>
      </c>
      <c r="G89" s="377">
        <f t="shared" si="30"/>
        <v>1249</v>
      </c>
      <c r="H89" s="377">
        <f t="shared" si="30"/>
        <v>958</v>
      </c>
      <c r="I89" s="377">
        <f t="shared" si="30"/>
        <v>790</v>
      </c>
      <c r="J89" s="377">
        <f t="shared" si="30"/>
        <v>898</v>
      </c>
      <c r="K89" s="377">
        <f t="shared" si="30"/>
        <v>5</v>
      </c>
      <c r="L89" s="377">
        <f t="shared" si="30"/>
        <v>212</v>
      </c>
      <c r="M89" s="377">
        <f t="shared" si="30"/>
        <v>23</v>
      </c>
      <c r="N89" s="377">
        <f t="shared" si="30"/>
        <v>182</v>
      </c>
      <c r="O89" s="377">
        <f t="shared" si="30"/>
        <v>5243</v>
      </c>
    </row>
    <row r="90" spans="3:15" ht="19.5" customHeight="1" x14ac:dyDescent="0.2">
      <c r="C90" s="616" t="s">
        <v>575</v>
      </c>
      <c r="D90" s="383" t="s">
        <v>9</v>
      </c>
      <c r="E90" s="382">
        <f>E3+E6+E9+E12+E15+E18+E21+E24+E27+E30+E33+E36+E39+E42+E45+E48+E51+E54+E57+E60+E63+E66+E69+E72+E75+E78+E81+E84+E87</f>
        <v>5233</v>
      </c>
      <c r="F90" s="382">
        <f t="shared" ref="F90:O90" si="31">F3+F6+F9+F12+F15+F18+F21+F24+F27+F30+F33+F36+F39+F42+F45+F48+F51+F54+F57+F60+F63+F66+F69+F72+F75+F78+F81+F84+F87</f>
        <v>1499</v>
      </c>
      <c r="G90" s="382">
        <f t="shared" si="31"/>
        <v>11573</v>
      </c>
      <c r="H90" s="382">
        <f t="shared" si="31"/>
        <v>8713</v>
      </c>
      <c r="I90" s="382">
        <f t="shared" si="31"/>
        <v>8243</v>
      </c>
      <c r="J90" s="382">
        <f t="shared" si="31"/>
        <v>7437</v>
      </c>
      <c r="K90" s="382">
        <f t="shared" si="31"/>
        <v>52</v>
      </c>
      <c r="L90" s="382">
        <f t="shared" si="31"/>
        <v>2096</v>
      </c>
      <c r="M90" s="382">
        <f t="shared" si="31"/>
        <v>84</v>
      </c>
      <c r="N90" s="382">
        <f t="shared" si="31"/>
        <v>1614</v>
      </c>
      <c r="O90" s="382">
        <f t="shared" si="31"/>
        <v>46544</v>
      </c>
    </row>
    <row r="91" spans="3:15" ht="19.5" customHeight="1" x14ac:dyDescent="0.2">
      <c r="C91" s="616"/>
      <c r="D91" s="383" t="s">
        <v>10</v>
      </c>
      <c r="E91" s="382">
        <f t="shared" ref="E91:O92" si="32">E4+E7+E10+E13+E16+E19+E22+E25+E28+E31+E34+E37+E40+E43+E46+E49+E52+E55+E58+E61+E64+E67+E70+E73+E76+E79+E82+E85+E88</f>
        <v>3140</v>
      </c>
      <c r="F91" s="382">
        <f t="shared" si="32"/>
        <v>802</v>
      </c>
      <c r="G91" s="382">
        <f t="shared" si="32"/>
        <v>2323</v>
      </c>
      <c r="H91" s="382">
        <f t="shared" si="32"/>
        <v>1950</v>
      </c>
      <c r="I91" s="382">
        <f t="shared" si="32"/>
        <v>372</v>
      </c>
      <c r="J91" s="382">
        <f t="shared" si="32"/>
        <v>2718</v>
      </c>
      <c r="K91" s="382">
        <f t="shared" si="32"/>
        <v>0</v>
      </c>
      <c r="L91" s="382">
        <f t="shared" si="32"/>
        <v>232</v>
      </c>
      <c r="M91" s="382">
        <f t="shared" si="32"/>
        <v>195</v>
      </c>
      <c r="N91" s="382">
        <f t="shared" si="32"/>
        <v>434</v>
      </c>
      <c r="O91" s="382">
        <f t="shared" si="32"/>
        <v>12166</v>
      </c>
    </row>
    <row r="92" spans="3:15" ht="19.5" customHeight="1" x14ac:dyDescent="0.2">
      <c r="C92" s="616"/>
      <c r="D92" s="383" t="s">
        <v>845</v>
      </c>
      <c r="E92" s="382">
        <f t="shared" si="32"/>
        <v>8373</v>
      </c>
      <c r="F92" s="382">
        <f t="shared" si="32"/>
        <v>2301</v>
      </c>
      <c r="G92" s="382">
        <f t="shared" si="32"/>
        <v>13896</v>
      </c>
      <c r="H92" s="382">
        <f t="shared" si="32"/>
        <v>10663</v>
      </c>
      <c r="I92" s="382">
        <f t="shared" si="32"/>
        <v>8615</v>
      </c>
      <c r="J92" s="382">
        <f t="shared" si="32"/>
        <v>10155</v>
      </c>
      <c r="K92" s="382">
        <f t="shared" si="32"/>
        <v>52</v>
      </c>
      <c r="L92" s="382">
        <f t="shared" si="32"/>
        <v>2328</v>
      </c>
      <c r="M92" s="382">
        <f t="shared" si="32"/>
        <v>279</v>
      </c>
      <c r="N92" s="382">
        <f t="shared" si="32"/>
        <v>2048</v>
      </c>
      <c r="O92" s="382">
        <f t="shared" si="32"/>
        <v>58710</v>
      </c>
    </row>
  </sheetData>
  <mergeCells count="31">
    <mergeCell ref="C90:C92"/>
    <mergeCell ref="C72:C74"/>
    <mergeCell ref="C75:C77"/>
    <mergeCell ref="C78:C80"/>
    <mergeCell ref="C81:C83"/>
    <mergeCell ref="C84:C86"/>
    <mergeCell ref="C87:C89"/>
    <mergeCell ref="C69:C71"/>
    <mergeCell ref="C36:C38"/>
    <mergeCell ref="C39:C41"/>
    <mergeCell ref="C42:C44"/>
    <mergeCell ref="C45:C47"/>
    <mergeCell ref="C48:C50"/>
    <mergeCell ref="C51:C53"/>
    <mergeCell ref="C54:C56"/>
    <mergeCell ref="C57:C59"/>
    <mergeCell ref="C60:C62"/>
    <mergeCell ref="C63:C65"/>
    <mergeCell ref="C66:C68"/>
    <mergeCell ref="C33:C35"/>
    <mergeCell ref="C1:O1"/>
    <mergeCell ref="C3:C5"/>
    <mergeCell ref="C6:C8"/>
    <mergeCell ref="C9:C11"/>
    <mergeCell ref="C12:C14"/>
    <mergeCell ref="C15:C17"/>
    <mergeCell ref="C18:C20"/>
    <mergeCell ref="C21:C23"/>
    <mergeCell ref="C24:C26"/>
    <mergeCell ref="C27:C29"/>
    <mergeCell ref="C30:C3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E92"/>
  <sheetViews>
    <sheetView rightToLeft="1" zoomScale="94" zoomScaleNormal="94" workbookViewId="0">
      <selection activeCell="O16" sqref="O16"/>
    </sheetView>
  </sheetViews>
  <sheetFormatPr defaultRowHeight="14.25" x14ac:dyDescent="0.2"/>
  <cols>
    <col min="1" max="2" width="9" style="160"/>
    <col min="3" max="3" width="29.75" style="372" bestFit="1" customWidth="1"/>
    <col min="4" max="13" width="9" style="372"/>
    <col min="14" max="14" width="11.375" style="372" customWidth="1"/>
    <col min="15" max="15" width="9" style="372"/>
    <col min="16" max="16384" width="9" style="160"/>
  </cols>
  <sheetData>
    <row r="1" spans="3:31" ht="49.5" customHeight="1" x14ac:dyDescent="0.2">
      <c r="C1" s="633" t="s">
        <v>885</v>
      </c>
      <c r="D1" s="633"/>
      <c r="E1" s="633"/>
      <c r="F1" s="633"/>
      <c r="G1" s="633"/>
      <c r="H1" s="633"/>
      <c r="I1" s="633"/>
      <c r="J1" s="633"/>
      <c r="K1" s="633"/>
      <c r="L1" s="633"/>
      <c r="M1" s="633"/>
      <c r="N1" s="633"/>
      <c r="O1" s="633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  <c r="AA1" s="165"/>
      <c r="AB1" s="165"/>
      <c r="AC1" s="165"/>
      <c r="AD1" s="165"/>
      <c r="AE1" s="165"/>
    </row>
    <row r="2" spans="3:31" ht="36.75" customHeight="1" x14ac:dyDescent="0.2">
      <c r="C2" s="378" t="s">
        <v>8</v>
      </c>
      <c r="D2" s="379" t="s">
        <v>7</v>
      </c>
      <c r="E2" s="380" t="s">
        <v>854</v>
      </c>
      <c r="F2" s="380" t="s">
        <v>853</v>
      </c>
      <c r="G2" s="380" t="s">
        <v>852</v>
      </c>
      <c r="H2" s="380" t="s">
        <v>851</v>
      </c>
      <c r="I2" s="380" t="s">
        <v>850</v>
      </c>
      <c r="J2" s="380" t="s">
        <v>49</v>
      </c>
      <c r="K2" s="380" t="s">
        <v>50</v>
      </c>
      <c r="L2" s="380" t="s">
        <v>857</v>
      </c>
      <c r="M2" s="380" t="s">
        <v>847</v>
      </c>
      <c r="N2" s="380" t="s">
        <v>53</v>
      </c>
      <c r="O2" s="381" t="s">
        <v>4</v>
      </c>
    </row>
    <row r="3" spans="3:31" ht="22.5" customHeight="1" x14ac:dyDescent="0.2">
      <c r="C3" s="619" t="s">
        <v>14</v>
      </c>
      <c r="D3" s="374" t="s">
        <v>9</v>
      </c>
      <c r="E3" s="377">
        <v>65</v>
      </c>
      <c r="F3" s="377">
        <v>19</v>
      </c>
      <c r="G3" s="377">
        <v>142</v>
      </c>
      <c r="H3" s="377">
        <v>107</v>
      </c>
      <c r="I3" s="377">
        <v>99</v>
      </c>
      <c r="J3" s="377">
        <v>93</v>
      </c>
      <c r="K3" s="377">
        <v>1</v>
      </c>
      <c r="L3" s="377">
        <v>26</v>
      </c>
      <c r="M3" s="377">
        <v>1</v>
      </c>
      <c r="N3" s="377">
        <v>21</v>
      </c>
      <c r="O3" s="382">
        <f>SUM(E3:N3)</f>
        <v>574</v>
      </c>
    </row>
    <row r="4" spans="3:31" ht="22.5" customHeight="1" x14ac:dyDescent="0.2">
      <c r="C4" s="620"/>
      <c r="D4" s="374" t="s">
        <v>10</v>
      </c>
      <c r="E4" s="377">
        <v>147</v>
      </c>
      <c r="F4" s="377">
        <v>37</v>
      </c>
      <c r="G4" s="377">
        <v>107</v>
      </c>
      <c r="H4" s="377">
        <v>89</v>
      </c>
      <c r="I4" s="377">
        <v>17</v>
      </c>
      <c r="J4" s="377">
        <v>121</v>
      </c>
      <c r="K4" s="377">
        <v>0</v>
      </c>
      <c r="L4" s="377">
        <v>10</v>
      </c>
      <c r="M4" s="377">
        <v>9</v>
      </c>
      <c r="N4" s="377">
        <v>22</v>
      </c>
      <c r="O4" s="382">
        <f t="shared" ref="O4:O67" si="0">SUM(E4:N4)</f>
        <v>559</v>
      </c>
    </row>
    <row r="5" spans="3:31" ht="22.5" customHeight="1" x14ac:dyDescent="0.2">
      <c r="C5" s="621"/>
      <c r="D5" s="374" t="s">
        <v>845</v>
      </c>
      <c r="E5" s="377">
        <f>SUM(E3:E4)</f>
        <v>212</v>
      </c>
      <c r="F5" s="377">
        <f t="shared" ref="F5:O5" si="1">SUM(F3:F4)</f>
        <v>56</v>
      </c>
      <c r="G5" s="377">
        <f t="shared" si="1"/>
        <v>249</v>
      </c>
      <c r="H5" s="377">
        <f t="shared" si="1"/>
        <v>196</v>
      </c>
      <c r="I5" s="377">
        <f t="shared" si="1"/>
        <v>116</v>
      </c>
      <c r="J5" s="377">
        <f t="shared" si="1"/>
        <v>214</v>
      </c>
      <c r="K5" s="377">
        <f t="shared" si="1"/>
        <v>1</v>
      </c>
      <c r="L5" s="377">
        <f t="shared" si="1"/>
        <v>36</v>
      </c>
      <c r="M5" s="377">
        <f t="shared" si="1"/>
        <v>10</v>
      </c>
      <c r="N5" s="377">
        <f t="shared" si="1"/>
        <v>43</v>
      </c>
      <c r="O5" s="377">
        <f t="shared" si="1"/>
        <v>1133</v>
      </c>
    </row>
    <row r="6" spans="3:31" ht="22.5" customHeight="1" x14ac:dyDescent="0.2">
      <c r="C6" s="619" t="s">
        <v>869</v>
      </c>
      <c r="D6" s="374" t="s">
        <v>9</v>
      </c>
      <c r="E6" s="377">
        <v>30</v>
      </c>
      <c r="F6" s="377">
        <v>9</v>
      </c>
      <c r="G6" s="377">
        <v>70</v>
      </c>
      <c r="H6" s="377">
        <v>51</v>
      </c>
      <c r="I6" s="377">
        <v>49</v>
      </c>
      <c r="J6" s="377">
        <v>45</v>
      </c>
      <c r="K6" s="377">
        <v>0</v>
      </c>
      <c r="L6" s="377">
        <v>13</v>
      </c>
      <c r="M6" s="377">
        <v>1</v>
      </c>
      <c r="N6" s="377">
        <v>10</v>
      </c>
      <c r="O6" s="382">
        <f t="shared" si="0"/>
        <v>278</v>
      </c>
    </row>
    <row r="7" spans="3:31" ht="22.5" customHeight="1" x14ac:dyDescent="0.2">
      <c r="C7" s="620"/>
      <c r="D7" s="374" t="s">
        <v>10</v>
      </c>
      <c r="E7" s="377">
        <v>94</v>
      </c>
      <c r="F7" s="377">
        <v>24</v>
      </c>
      <c r="G7" s="377">
        <v>67</v>
      </c>
      <c r="H7" s="377">
        <v>56</v>
      </c>
      <c r="I7" s="377">
        <v>10</v>
      </c>
      <c r="J7" s="377">
        <v>76</v>
      </c>
      <c r="K7" s="377">
        <v>0</v>
      </c>
      <c r="L7" s="377">
        <v>7</v>
      </c>
      <c r="M7" s="377">
        <v>6</v>
      </c>
      <c r="N7" s="377">
        <v>14</v>
      </c>
      <c r="O7" s="382">
        <f t="shared" si="0"/>
        <v>354</v>
      </c>
    </row>
    <row r="8" spans="3:31" ht="22.5" customHeight="1" x14ac:dyDescent="0.2">
      <c r="C8" s="621"/>
      <c r="D8" s="374" t="s">
        <v>845</v>
      </c>
      <c r="E8" s="377">
        <f>SUM(E6:E7)</f>
        <v>124</v>
      </c>
      <c r="F8" s="377">
        <f t="shared" ref="F8:O8" si="2">SUM(F6:F7)</f>
        <v>33</v>
      </c>
      <c r="G8" s="377">
        <f t="shared" si="2"/>
        <v>137</v>
      </c>
      <c r="H8" s="377">
        <f t="shared" si="2"/>
        <v>107</v>
      </c>
      <c r="I8" s="377">
        <f t="shared" si="2"/>
        <v>59</v>
      </c>
      <c r="J8" s="377">
        <f t="shared" si="2"/>
        <v>121</v>
      </c>
      <c r="K8" s="377">
        <f t="shared" si="2"/>
        <v>0</v>
      </c>
      <c r="L8" s="377">
        <f t="shared" si="2"/>
        <v>20</v>
      </c>
      <c r="M8" s="377">
        <f t="shared" si="2"/>
        <v>7</v>
      </c>
      <c r="N8" s="377">
        <f t="shared" si="2"/>
        <v>24</v>
      </c>
      <c r="O8" s="377">
        <f t="shared" si="2"/>
        <v>632</v>
      </c>
    </row>
    <row r="9" spans="3:31" ht="22.5" customHeight="1" x14ac:dyDescent="0.2">
      <c r="C9" s="619" t="s">
        <v>868</v>
      </c>
      <c r="D9" s="374" t="s">
        <v>9</v>
      </c>
      <c r="E9" s="377">
        <v>2</v>
      </c>
      <c r="F9" s="377">
        <v>1</v>
      </c>
      <c r="G9" s="377">
        <v>5</v>
      </c>
      <c r="H9" s="377">
        <v>4</v>
      </c>
      <c r="I9" s="377">
        <v>3</v>
      </c>
      <c r="J9" s="377">
        <v>3</v>
      </c>
      <c r="K9" s="377">
        <v>0</v>
      </c>
      <c r="L9" s="377">
        <v>1</v>
      </c>
      <c r="M9" s="377">
        <v>0</v>
      </c>
      <c r="N9" s="377">
        <v>1</v>
      </c>
      <c r="O9" s="382">
        <f t="shared" si="0"/>
        <v>20</v>
      </c>
    </row>
    <row r="10" spans="3:31" ht="22.5" customHeight="1" x14ac:dyDescent="0.2">
      <c r="C10" s="620"/>
      <c r="D10" s="374" t="s">
        <v>10</v>
      </c>
      <c r="E10" s="377">
        <v>4</v>
      </c>
      <c r="F10" s="377">
        <v>1</v>
      </c>
      <c r="G10" s="377">
        <v>3</v>
      </c>
      <c r="H10" s="377">
        <v>2</v>
      </c>
      <c r="I10" s="377">
        <v>1</v>
      </c>
      <c r="J10" s="377">
        <v>3</v>
      </c>
      <c r="K10" s="377">
        <v>0</v>
      </c>
      <c r="L10" s="377">
        <v>0</v>
      </c>
      <c r="M10" s="377">
        <v>0</v>
      </c>
      <c r="N10" s="377">
        <v>1</v>
      </c>
      <c r="O10" s="382">
        <f t="shared" si="0"/>
        <v>15</v>
      </c>
    </row>
    <row r="11" spans="3:31" ht="22.5" customHeight="1" x14ac:dyDescent="0.2">
      <c r="C11" s="621"/>
      <c r="D11" s="374" t="s">
        <v>845</v>
      </c>
      <c r="E11" s="377">
        <f>SUM(E9:E10)</f>
        <v>6</v>
      </c>
      <c r="F11" s="377">
        <f t="shared" ref="F11:O11" si="3">SUM(F9:F10)</f>
        <v>2</v>
      </c>
      <c r="G11" s="377">
        <f t="shared" si="3"/>
        <v>8</v>
      </c>
      <c r="H11" s="377">
        <f t="shared" si="3"/>
        <v>6</v>
      </c>
      <c r="I11" s="377">
        <f t="shared" si="3"/>
        <v>4</v>
      </c>
      <c r="J11" s="377">
        <f t="shared" si="3"/>
        <v>6</v>
      </c>
      <c r="K11" s="377">
        <f t="shared" si="3"/>
        <v>0</v>
      </c>
      <c r="L11" s="377">
        <f t="shared" si="3"/>
        <v>1</v>
      </c>
      <c r="M11" s="377">
        <f t="shared" si="3"/>
        <v>0</v>
      </c>
      <c r="N11" s="377">
        <f t="shared" si="3"/>
        <v>2</v>
      </c>
      <c r="O11" s="377">
        <f t="shared" si="3"/>
        <v>35</v>
      </c>
    </row>
    <row r="12" spans="3:31" ht="22.5" customHeight="1" x14ac:dyDescent="0.2">
      <c r="C12" s="619" t="s">
        <v>867</v>
      </c>
      <c r="D12" s="374" t="s">
        <v>9</v>
      </c>
      <c r="E12" s="377">
        <v>30</v>
      </c>
      <c r="F12" s="377">
        <v>9</v>
      </c>
      <c r="G12" s="377">
        <v>64</v>
      </c>
      <c r="H12" s="377">
        <v>49</v>
      </c>
      <c r="I12" s="377">
        <v>45</v>
      </c>
      <c r="J12" s="377">
        <v>43</v>
      </c>
      <c r="K12" s="377">
        <v>0</v>
      </c>
      <c r="L12" s="377">
        <v>12</v>
      </c>
      <c r="M12" s="377">
        <v>1</v>
      </c>
      <c r="N12" s="377">
        <v>9</v>
      </c>
      <c r="O12" s="382">
        <f t="shared" si="0"/>
        <v>262</v>
      </c>
    </row>
    <row r="13" spans="3:31" ht="22.5" customHeight="1" x14ac:dyDescent="0.2">
      <c r="C13" s="620"/>
      <c r="D13" s="374" t="s">
        <v>10</v>
      </c>
      <c r="E13" s="377">
        <v>82</v>
      </c>
      <c r="F13" s="377">
        <v>21</v>
      </c>
      <c r="G13" s="377">
        <v>58</v>
      </c>
      <c r="H13" s="377">
        <v>49</v>
      </c>
      <c r="I13" s="377">
        <v>9</v>
      </c>
      <c r="J13" s="377">
        <v>65</v>
      </c>
      <c r="K13" s="377">
        <v>0</v>
      </c>
      <c r="L13" s="377">
        <v>6</v>
      </c>
      <c r="M13" s="377">
        <v>5</v>
      </c>
      <c r="N13" s="377">
        <v>12</v>
      </c>
      <c r="O13" s="382">
        <f t="shared" si="0"/>
        <v>307</v>
      </c>
    </row>
    <row r="14" spans="3:31" ht="22.5" customHeight="1" x14ac:dyDescent="0.2">
      <c r="C14" s="621"/>
      <c r="D14" s="374" t="s">
        <v>845</v>
      </c>
      <c r="E14" s="377">
        <f>SUM(E12:E13)</f>
        <v>112</v>
      </c>
      <c r="F14" s="377">
        <f t="shared" ref="F14:O14" si="4">SUM(F12:F13)</f>
        <v>30</v>
      </c>
      <c r="G14" s="377">
        <f t="shared" si="4"/>
        <v>122</v>
      </c>
      <c r="H14" s="377">
        <f t="shared" si="4"/>
        <v>98</v>
      </c>
      <c r="I14" s="377">
        <f t="shared" si="4"/>
        <v>54</v>
      </c>
      <c r="J14" s="377">
        <f t="shared" si="4"/>
        <v>108</v>
      </c>
      <c r="K14" s="377">
        <f t="shared" si="4"/>
        <v>0</v>
      </c>
      <c r="L14" s="377">
        <f t="shared" si="4"/>
        <v>18</v>
      </c>
      <c r="M14" s="377">
        <f t="shared" si="4"/>
        <v>6</v>
      </c>
      <c r="N14" s="377">
        <f t="shared" si="4"/>
        <v>21</v>
      </c>
      <c r="O14" s="377">
        <f t="shared" si="4"/>
        <v>569</v>
      </c>
    </row>
    <row r="15" spans="3:31" ht="22.5" customHeight="1" x14ac:dyDescent="0.2">
      <c r="C15" s="619" t="s">
        <v>16</v>
      </c>
      <c r="D15" s="374" t="s">
        <v>9</v>
      </c>
      <c r="E15" s="377">
        <v>2</v>
      </c>
      <c r="F15" s="377">
        <v>1</v>
      </c>
      <c r="G15" s="377">
        <v>2</v>
      </c>
      <c r="H15" s="377">
        <v>1</v>
      </c>
      <c r="I15" s="377">
        <v>2</v>
      </c>
      <c r="J15" s="377">
        <v>3</v>
      </c>
      <c r="K15" s="377">
        <v>0</v>
      </c>
      <c r="L15" s="377">
        <v>1</v>
      </c>
      <c r="M15" s="377">
        <v>0</v>
      </c>
      <c r="N15" s="377">
        <v>1</v>
      </c>
      <c r="O15" s="382">
        <f t="shared" si="0"/>
        <v>13</v>
      </c>
    </row>
    <row r="16" spans="3:31" ht="22.5" customHeight="1" x14ac:dyDescent="0.2">
      <c r="C16" s="620"/>
      <c r="D16" s="374" t="s">
        <v>10</v>
      </c>
      <c r="E16" s="377">
        <v>2</v>
      </c>
      <c r="F16" s="377">
        <v>1</v>
      </c>
      <c r="G16" s="377">
        <v>2</v>
      </c>
      <c r="H16" s="377">
        <v>0</v>
      </c>
      <c r="I16" s="377">
        <v>0</v>
      </c>
      <c r="J16" s="377">
        <v>2</v>
      </c>
      <c r="K16" s="377">
        <v>0</v>
      </c>
      <c r="L16" s="377">
        <v>0</v>
      </c>
      <c r="M16" s="377">
        <v>0</v>
      </c>
      <c r="N16" s="377">
        <v>0</v>
      </c>
      <c r="O16" s="382">
        <f t="shared" si="0"/>
        <v>7</v>
      </c>
    </row>
    <row r="17" spans="3:15" ht="22.5" customHeight="1" x14ac:dyDescent="0.2">
      <c r="C17" s="621"/>
      <c r="D17" s="374" t="s">
        <v>845</v>
      </c>
      <c r="E17" s="377">
        <f>SUM(E15:E16)</f>
        <v>4</v>
      </c>
      <c r="F17" s="377">
        <f t="shared" ref="F17:O17" si="5">SUM(F15:F16)</f>
        <v>2</v>
      </c>
      <c r="G17" s="377">
        <f t="shared" si="5"/>
        <v>4</v>
      </c>
      <c r="H17" s="377">
        <f t="shared" si="5"/>
        <v>1</v>
      </c>
      <c r="I17" s="377">
        <f t="shared" si="5"/>
        <v>2</v>
      </c>
      <c r="J17" s="377">
        <f t="shared" si="5"/>
        <v>5</v>
      </c>
      <c r="K17" s="377">
        <f t="shared" si="5"/>
        <v>0</v>
      </c>
      <c r="L17" s="377">
        <f t="shared" si="5"/>
        <v>1</v>
      </c>
      <c r="M17" s="377">
        <f t="shared" si="5"/>
        <v>0</v>
      </c>
      <c r="N17" s="377">
        <f t="shared" si="5"/>
        <v>1</v>
      </c>
      <c r="O17" s="377">
        <f t="shared" si="5"/>
        <v>20</v>
      </c>
    </row>
    <row r="18" spans="3:15" ht="22.5" customHeight="1" x14ac:dyDescent="0.2">
      <c r="C18" s="619" t="s">
        <v>21</v>
      </c>
      <c r="D18" s="374" t="s">
        <v>9</v>
      </c>
      <c r="E18" s="377">
        <v>470</v>
      </c>
      <c r="F18" s="377">
        <v>136</v>
      </c>
      <c r="G18" s="377">
        <v>1027</v>
      </c>
      <c r="H18" s="377">
        <v>770</v>
      </c>
      <c r="I18" s="377">
        <v>723</v>
      </c>
      <c r="J18" s="377">
        <v>671</v>
      </c>
      <c r="K18" s="377">
        <v>5</v>
      </c>
      <c r="L18" s="377">
        <v>189</v>
      </c>
      <c r="M18" s="377">
        <v>7</v>
      </c>
      <c r="N18" s="377">
        <v>148</v>
      </c>
      <c r="O18" s="382">
        <f t="shared" si="0"/>
        <v>4146</v>
      </c>
    </row>
    <row r="19" spans="3:15" ht="22.5" customHeight="1" x14ac:dyDescent="0.2">
      <c r="C19" s="620"/>
      <c r="D19" s="374" t="s">
        <v>10</v>
      </c>
      <c r="E19" s="377">
        <v>246</v>
      </c>
      <c r="F19" s="377">
        <v>61</v>
      </c>
      <c r="G19" s="377">
        <v>176</v>
      </c>
      <c r="H19" s="377">
        <v>148</v>
      </c>
      <c r="I19" s="377">
        <v>26</v>
      </c>
      <c r="J19" s="377">
        <v>201</v>
      </c>
      <c r="K19" s="377">
        <v>0</v>
      </c>
      <c r="L19" s="377">
        <v>18</v>
      </c>
      <c r="M19" s="377">
        <v>16</v>
      </c>
      <c r="N19" s="377">
        <v>36</v>
      </c>
      <c r="O19" s="382">
        <f t="shared" si="0"/>
        <v>928</v>
      </c>
    </row>
    <row r="20" spans="3:15" ht="22.5" customHeight="1" x14ac:dyDescent="0.2">
      <c r="C20" s="621"/>
      <c r="D20" s="374" t="s">
        <v>845</v>
      </c>
      <c r="E20" s="377">
        <f>SUM(E18:E19)</f>
        <v>716</v>
      </c>
      <c r="F20" s="377">
        <f t="shared" ref="F20:O20" si="6">SUM(F18:F19)</f>
        <v>197</v>
      </c>
      <c r="G20" s="377">
        <f t="shared" si="6"/>
        <v>1203</v>
      </c>
      <c r="H20" s="377">
        <f t="shared" si="6"/>
        <v>918</v>
      </c>
      <c r="I20" s="377">
        <f t="shared" si="6"/>
        <v>749</v>
      </c>
      <c r="J20" s="377">
        <f t="shared" si="6"/>
        <v>872</v>
      </c>
      <c r="K20" s="377">
        <f t="shared" si="6"/>
        <v>5</v>
      </c>
      <c r="L20" s="377">
        <f t="shared" si="6"/>
        <v>207</v>
      </c>
      <c r="M20" s="377">
        <f t="shared" si="6"/>
        <v>23</v>
      </c>
      <c r="N20" s="377">
        <f t="shared" si="6"/>
        <v>184</v>
      </c>
      <c r="O20" s="377">
        <f t="shared" si="6"/>
        <v>5074</v>
      </c>
    </row>
    <row r="21" spans="3:15" ht="22.5" customHeight="1" x14ac:dyDescent="0.2">
      <c r="C21" s="619" t="s">
        <v>19</v>
      </c>
      <c r="D21" s="374" t="s">
        <v>9</v>
      </c>
      <c r="E21" s="377">
        <v>3</v>
      </c>
      <c r="F21" s="377">
        <v>1</v>
      </c>
      <c r="G21" s="377">
        <v>7</v>
      </c>
      <c r="H21" s="377">
        <v>6</v>
      </c>
      <c r="I21" s="377">
        <v>5</v>
      </c>
      <c r="J21" s="377">
        <v>4</v>
      </c>
      <c r="K21" s="377">
        <v>0</v>
      </c>
      <c r="L21" s="377">
        <v>2</v>
      </c>
      <c r="M21" s="377">
        <v>0</v>
      </c>
      <c r="N21" s="377">
        <v>1</v>
      </c>
      <c r="O21" s="382">
        <f t="shared" si="0"/>
        <v>29</v>
      </c>
    </row>
    <row r="22" spans="3:15" ht="22.5" customHeight="1" x14ac:dyDescent="0.2">
      <c r="C22" s="620"/>
      <c r="D22" s="374" t="s">
        <v>10</v>
      </c>
      <c r="E22" s="377">
        <v>3</v>
      </c>
      <c r="F22" s="377">
        <v>1</v>
      </c>
      <c r="G22" s="377">
        <v>3</v>
      </c>
      <c r="H22" s="377">
        <v>3</v>
      </c>
      <c r="I22" s="377">
        <v>1</v>
      </c>
      <c r="J22" s="377">
        <v>3</v>
      </c>
      <c r="K22" s="377">
        <v>0</v>
      </c>
      <c r="L22" s="377">
        <v>0</v>
      </c>
      <c r="M22" s="377">
        <v>0</v>
      </c>
      <c r="N22" s="377">
        <v>0</v>
      </c>
      <c r="O22" s="382">
        <f t="shared" si="0"/>
        <v>14</v>
      </c>
    </row>
    <row r="23" spans="3:15" ht="22.5" customHeight="1" x14ac:dyDescent="0.2">
      <c r="C23" s="621"/>
      <c r="D23" s="374" t="s">
        <v>845</v>
      </c>
      <c r="E23" s="377">
        <f>SUM(E21:E22)</f>
        <v>6</v>
      </c>
      <c r="F23" s="377">
        <f t="shared" ref="F23:O23" si="7">SUM(F21:F22)</f>
        <v>2</v>
      </c>
      <c r="G23" s="377">
        <f t="shared" si="7"/>
        <v>10</v>
      </c>
      <c r="H23" s="377">
        <f t="shared" si="7"/>
        <v>9</v>
      </c>
      <c r="I23" s="377">
        <f t="shared" si="7"/>
        <v>6</v>
      </c>
      <c r="J23" s="377">
        <f t="shared" si="7"/>
        <v>7</v>
      </c>
      <c r="K23" s="377">
        <f t="shared" si="7"/>
        <v>0</v>
      </c>
      <c r="L23" s="377">
        <f t="shared" si="7"/>
        <v>2</v>
      </c>
      <c r="M23" s="377">
        <f t="shared" si="7"/>
        <v>0</v>
      </c>
      <c r="N23" s="377">
        <f t="shared" si="7"/>
        <v>1</v>
      </c>
      <c r="O23" s="377">
        <f t="shared" si="7"/>
        <v>43</v>
      </c>
    </row>
    <row r="24" spans="3:15" ht="22.5" customHeight="1" x14ac:dyDescent="0.2">
      <c r="C24" s="619" t="s">
        <v>866</v>
      </c>
      <c r="D24" s="374" t="s">
        <v>9</v>
      </c>
      <c r="E24" s="377">
        <v>8</v>
      </c>
      <c r="F24" s="377">
        <v>2</v>
      </c>
      <c r="G24" s="377">
        <v>16</v>
      </c>
      <c r="H24" s="377">
        <v>12</v>
      </c>
      <c r="I24" s="377">
        <v>12</v>
      </c>
      <c r="J24" s="377">
        <v>10</v>
      </c>
      <c r="K24" s="377">
        <v>0</v>
      </c>
      <c r="L24" s="377">
        <v>3</v>
      </c>
      <c r="M24" s="377">
        <v>0</v>
      </c>
      <c r="N24" s="377">
        <v>2</v>
      </c>
      <c r="O24" s="382">
        <f t="shared" si="0"/>
        <v>65</v>
      </c>
    </row>
    <row r="25" spans="3:15" ht="22.5" customHeight="1" x14ac:dyDescent="0.2">
      <c r="C25" s="620"/>
      <c r="D25" s="374" t="s">
        <v>10</v>
      </c>
      <c r="E25" s="377">
        <v>5</v>
      </c>
      <c r="F25" s="377">
        <v>2</v>
      </c>
      <c r="G25" s="377">
        <v>4</v>
      </c>
      <c r="H25" s="377">
        <v>3</v>
      </c>
      <c r="I25" s="377">
        <v>1</v>
      </c>
      <c r="J25" s="377">
        <v>5</v>
      </c>
      <c r="K25" s="377">
        <v>0</v>
      </c>
      <c r="L25" s="377">
        <v>0</v>
      </c>
      <c r="M25" s="377">
        <v>0</v>
      </c>
      <c r="N25" s="377">
        <v>1</v>
      </c>
      <c r="O25" s="382">
        <f t="shared" si="0"/>
        <v>21</v>
      </c>
    </row>
    <row r="26" spans="3:15" ht="22.5" customHeight="1" x14ac:dyDescent="0.2">
      <c r="C26" s="621"/>
      <c r="D26" s="374" t="s">
        <v>845</v>
      </c>
      <c r="E26" s="377">
        <f>SUM(E24:E25)</f>
        <v>13</v>
      </c>
      <c r="F26" s="377">
        <f t="shared" ref="F26:O26" si="8">SUM(F24:F25)</f>
        <v>4</v>
      </c>
      <c r="G26" s="377">
        <f t="shared" si="8"/>
        <v>20</v>
      </c>
      <c r="H26" s="377">
        <f t="shared" si="8"/>
        <v>15</v>
      </c>
      <c r="I26" s="377">
        <f t="shared" si="8"/>
        <v>13</v>
      </c>
      <c r="J26" s="377">
        <f t="shared" si="8"/>
        <v>15</v>
      </c>
      <c r="K26" s="377">
        <f t="shared" si="8"/>
        <v>0</v>
      </c>
      <c r="L26" s="377">
        <f t="shared" si="8"/>
        <v>3</v>
      </c>
      <c r="M26" s="377">
        <f t="shared" si="8"/>
        <v>0</v>
      </c>
      <c r="N26" s="377">
        <f t="shared" si="8"/>
        <v>3</v>
      </c>
      <c r="O26" s="377">
        <f t="shared" si="8"/>
        <v>86</v>
      </c>
    </row>
    <row r="27" spans="3:15" ht="22.5" customHeight="1" x14ac:dyDescent="0.2">
      <c r="C27" s="619" t="s">
        <v>865</v>
      </c>
      <c r="D27" s="374" t="s">
        <v>9</v>
      </c>
      <c r="E27" s="377">
        <v>2</v>
      </c>
      <c r="F27" s="377">
        <v>1</v>
      </c>
      <c r="G27" s="377">
        <v>2</v>
      </c>
      <c r="H27" s="377">
        <v>1</v>
      </c>
      <c r="I27" s="377">
        <v>2</v>
      </c>
      <c r="J27" s="377">
        <v>3</v>
      </c>
      <c r="K27" s="377">
        <v>0</v>
      </c>
      <c r="L27" s="377">
        <v>1</v>
      </c>
      <c r="M27" s="377">
        <v>0</v>
      </c>
      <c r="N27" s="377">
        <v>1</v>
      </c>
      <c r="O27" s="382">
        <f t="shared" si="0"/>
        <v>13</v>
      </c>
    </row>
    <row r="28" spans="3:15" ht="22.5" customHeight="1" x14ac:dyDescent="0.2">
      <c r="C28" s="620"/>
      <c r="D28" s="374" t="s">
        <v>10</v>
      </c>
      <c r="E28" s="377">
        <v>2</v>
      </c>
      <c r="F28" s="377">
        <v>0</v>
      </c>
      <c r="G28" s="377">
        <v>0</v>
      </c>
      <c r="H28" s="377">
        <v>0</v>
      </c>
      <c r="I28" s="377">
        <v>0</v>
      </c>
      <c r="J28" s="377">
        <v>0</v>
      </c>
      <c r="K28" s="377">
        <v>0</v>
      </c>
      <c r="L28" s="377">
        <v>0</v>
      </c>
      <c r="M28" s="377">
        <v>0</v>
      </c>
      <c r="N28" s="377">
        <v>0</v>
      </c>
      <c r="O28" s="382">
        <f t="shared" si="0"/>
        <v>2</v>
      </c>
    </row>
    <row r="29" spans="3:15" ht="22.5" customHeight="1" x14ac:dyDescent="0.2">
      <c r="C29" s="621"/>
      <c r="D29" s="374" t="s">
        <v>845</v>
      </c>
      <c r="E29" s="377">
        <f>SUM(E27:E28)</f>
        <v>4</v>
      </c>
      <c r="F29" s="377">
        <f t="shared" ref="F29:O29" si="9">SUM(F27:F28)</f>
        <v>1</v>
      </c>
      <c r="G29" s="377">
        <f t="shared" si="9"/>
        <v>2</v>
      </c>
      <c r="H29" s="377">
        <f t="shared" si="9"/>
        <v>1</v>
      </c>
      <c r="I29" s="377">
        <f t="shared" si="9"/>
        <v>2</v>
      </c>
      <c r="J29" s="377">
        <f t="shared" si="9"/>
        <v>3</v>
      </c>
      <c r="K29" s="377">
        <f t="shared" si="9"/>
        <v>0</v>
      </c>
      <c r="L29" s="377">
        <f t="shared" si="9"/>
        <v>1</v>
      </c>
      <c r="M29" s="377">
        <f t="shared" si="9"/>
        <v>0</v>
      </c>
      <c r="N29" s="377">
        <f t="shared" si="9"/>
        <v>1</v>
      </c>
      <c r="O29" s="377">
        <f t="shared" si="9"/>
        <v>15</v>
      </c>
    </row>
    <row r="30" spans="3:15" ht="22.5" customHeight="1" x14ac:dyDescent="0.2">
      <c r="C30" s="619" t="s">
        <v>18</v>
      </c>
      <c r="D30" s="374" t="s">
        <v>9</v>
      </c>
      <c r="E30" s="377">
        <v>3</v>
      </c>
      <c r="F30" s="377">
        <v>1</v>
      </c>
      <c r="G30" s="377">
        <v>7</v>
      </c>
      <c r="H30" s="377">
        <v>5</v>
      </c>
      <c r="I30" s="377">
        <v>5</v>
      </c>
      <c r="J30" s="377">
        <v>4</v>
      </c>
      <c r="K30" s="377">
        <v>0</v>
      </c>
      <c r="L30" s="377">
        <v>1</v>
      </c>
      <c r="M30" s="377">
        <v>0</v>
      </c>
      <c r="N30" s="377">
        <v>0</v>
      </c>
      <c r="O30" s="382">
        <f t="shared" si="0"/>
        <v>26</v>
      </c>
    </row>
    <row r="31" spans="3:15" ht="22.5" customHeight="1" x14ac:dyDescent="0.2">
      <c r="C31" s="620"/>
      <c r="D31" s="374" t="s">
        <v>10</v>
      </c>
      <c r="E31" s="377">
        <v>5</v>
      </c>
      <c r="F31" s="377">
        <v>2</v>
      </c>
      <c r="G31" s="377">
        <v>4</v>
      </c>
      <c r="H31" s="377">
        <v>3</v>
      </c>
      <c r="I31" s="377">
        <v>1</v>
      </c>
      <c r="J31" s="377">
        <v>5</v>
      </c>
      <c r="K31" s="377">
        <v>0</v>
      </c>
      <c r="L31" s="377">
        <v>0</v>
      </c>
      <c r="M31" s="377">
        <v>0</v>
      </c>
      <c r="N31" s="377">
        <v>1</v>
      </c>
      <c r="O31" s="382">
        <f t="shared" si="0"/>
        <v>21</v>
      </c>
    </row>
    <row r="32" spans="3:15" ht="22.5" customHeight="1" x14ac:dyDescent="0.2">
      <c r="C32" s="621"/>
      <c r="D32" s="374" t="s">
        <v>845</v>
      </c>
      <c r="E32" s="377">
        <f>SUM(E30:E31)</f>
        <v>8</v>
      </c>
      <c r="F32" s="377">
        <f t="shared" ref="F32:O32" si="10">SUM(F30:F31)</f>
        <v>3</v>
      </c>
      <c r="G32" s="377">
        <f t="shared" si="10"/>
        <v>11</v>
      </c>
      <c r="H32" s="377">
        <f t="shared" si="10"/>
        <v>8</v>
      </c>
      <c r="I32" s="377">
        <f t="shared" si="10"/>
        <v>6</v>
      </c>
      <c r="J32" s="377">
        <f t="shared" si="10"/>
        <v>9</v>
      </c>
      <c r="K32" s="377">
        <f t="shared" si="10"/>
        <v>0</v>
      </c>
      <c r="L32" s="377">
        <f t="shared" si="10"/>
        <v>1</v>
      </c>
      <c r="M32" s="377">
        <f t="shared" si="10"/>
        <v>0</v>
      </c>
      <c r="N32" s="377">
        <f t="shared" si="10"/>
        <v>1</v>
      </c>
      <c r="O32" s="377">
        <f t="shared" si="10"/>
        <v>47</v>
      </c>
    </row>
    <row r="33" spans="3:15" ht="22.5" customHeight="1" x14ac:dyDescent="0.2">
      <c r="C33" s="619" t="s">
        <v>23</v>
      </c>
      <c r="D33" s="374" t="s">
        <v>9</v>
      </c>
      <c r="E33" s="377">
        <v>285</v>
      </c>
      <c r="F33" s="377">
        <v>83</v>
      </c>
      <c r="G33" s="377">
        <v>619</v>
      </c>
      <c r="H33" s="377">
        <v>466</v>
      </c>
      <c r="I33" s="377">
        <v>436</v>
      </c>
      <c r="J33" s="377">
        <v>404</v>
      </c>
      <c r="K33" s="377">
        <v>2</v>
      </c>
      <c r="L33" s="377">
        <v>115</v>
      </c>
      <c r="M33" s="377">
        <v>5</v>
      </c>
      <c r="N33" s="377">
        <v>89</v>
      </c>
      <c r="O33" s="382">
        <f t="shared" si="0"/>
        <v>2504</v>
      </c>
    </row>
    <row r="34" spans="3:15" ht="22.5" customHeight="1" x14ac:dyDescent="0.2">
      <c r="C34" s="620"/>
      <c r="D34" s="374" t="s">
        <v>10</v>
      </c>
      <c r="E34" s="377">
        <v>113</v>
      </c>
      <c r="F34" s="377">
        <v>28</v>
      </c>
      <c r="G34" s="377">
        <v>82</v>
      </c>
      <c r="H34" s="377">
        <v>69</v>
      </c>
      <c r="I34" s="377">
        <v>13</v>
      </c>
      <c r="J34" s="377">
        <v>93</v>
      </c>
      <c r="K34" s="377">
        <v>0</v>
      </c>
      <c r="L34" s="377">
        <v>9</v>
      </c>
      <c r="M34" s="377">
        <v>7</v>
      </c>
      <c r="N34" s="377">
        <v>17</v>
      </c>
      <c r="O34" s="382">
        <f t="shared" si="0"/>
        <v>431</v>
      </c>
    </row>
    <row r="35" spans="3:15" ht="22.5" customHeight="1" x14ac:dyDescent="0.2">
      <c r="C35" s="621"/>
      <c r="D35" s="374" t="s">
        <v>845</v>
      </c>
      <c r="E35" s="377">
        <f>SUM(E33:E34)</f>
        <v>398</v>
      </c>
      <c r="F35" s="377">
        <f t="shared" ref="F35:O35" si="11">SUM(F33:F34)</f>
        <v>111</v>
      </c>
      <c r="G35" s="377">
        <f t="shared" si="11"/>
        <v>701</v>
      </c>
      <c r="H35" s="377">
        <f t="shared" si="11"/>
        <v>535</v>
      </c>
      <c r="I35" s="377">
        <f t="shared" si="11"/>
        <v>449</v>
      </c>
      <c r="J35" s="377">
        <f t="shared" si="11"/>
        <v>497</v>
      </c>
      <c r="K35" s="377">
        <f t="shared" si="11"/>
        <v>2</v>
      </c>
      <c r="L35" s="377">
        <f t="shared" si="11"/>
        <v>124</v>
      </c>
      <c r="M35" s="377">
        <f t="shared" si="11"/>
        <v>12</v>
      </c>
      <c r="N35" s="377">
        <f t="shared" si="11"/>
        <v>106</v>
      </c>
      <c r="O35" s="377">
        <f t="shared" si="11"/>
        <v>2935</v>
      </c>
    </row>
    <row r="36" spans="3:15" ht="22.5" customHeight="1" x14ac:dyDescent="0.2">
      <c r="C36" s="619" t="s">
        <v>15</v>
      </c>
      <c r="D36" s="374" t="s">
        <v>9</v>
      </c>
      <c r="E36" s="377">
        <v>7</v>
      </c>
      <c r="F36" s="377">
        <v>3</v>
      </c>
      <c r="G36" s="377">
        <v>13</v>
      </c>
      <c r="H36" s="377">
        <v>12</v>
      </c>
      <c r="I36" s="377">
        <v>11</v>
      </c>
      <c r="J36" s="377">
        <v>11</v>
      </c>
      <c r="K36" s="377">
        <v>0</v>
      </c>
      <c r="L36" s="377">
        <v>3</v>
      </c>
      <c r="M36" s="377">
        <v>0</v>
      </c>
      <c r="N36" s="377">
        <v>3</v>
      </c>
      <c r="O36" s="382">
        <f t="shared" si="0"/>
        <v>63</v>
      </c>
    </row>
    <row r="37" spans="3:15" ht="22.5" customHeight="1" x14ac:dyDescent="0.2">
      <c r="C37" s="620"/>
      <c r="D37" s="374" t="s">
        <v>10</v>
      </c>
      <c r="E37" s="377">
        <v>12</v>
      </c>
      <c r="F37" s="377">
        <v>3</v>
      </c>
      <c r="G37" s="377">
        <v>9</v>
      </c>
      <c r="H37" s="377">
        <v>7</v>
      </c>
      <c r="I37" s="377">
        <v>2</v>
      </c>
      <c r="J37" s="377">
        <v>8</v>
      </c>
      <c r="K37" s="377">
        <v>0</v>
      </c>
      <c r="L37" s="377">
        <v>1</v>
      </c>
      <c r="M37" s="377">
        <v>1</v>
      </c>
      <c r="N37" s="377">
        <v>2</v>
      </c>
      <c r="O37" s="382">
        <f t="shared" si="0"/>
        <v>45</v>
      </c>
    </row>
    <row r="38" spans="3:15" ht="22.5" customHeight="1" x14ac:dyDescent="0.2">
      <c r="C38" s="621"/>
      <c r="D38" s="374" t="s">
        <v>845</v>
      </c>
      <c r="E38" s="377">
        <f>SUM(E36:E37)</f>
        <v>19</v>
      </c>
      <c r="F38" s="377">
        <f t="shared" ref="F38:O38" si="12">SUM(F36:F37)</f>
        <v>6</v>
      </c>
      <c r="G38" s="377">
        <f t="shared" si="12"/>
        <v>22</v>
      </c>
      <c r="H38" s="377">
        <f t="shared" si="12"/>
        <v>19</v>
      </c>
      <c r="I38" s="377">
        <f t="shared" si="12"/>
        <v>13</v>
      </c>
      <c r="J38" s="377">
        <f t="shared" si="12"/>
        <v>19</v>
      </c>
      <c r="K38" s="377">
        <f t="shared" si="12"/>
        <v>0</v>
      </c>
      <c r="L38" s="377">
        <f t="shared" si="12"/>
        <v>4</v>
      </c>
      <c r="M38" s="377">
        <f t="shared" si="12"/>
        <v>1</v>
      </c>
      <c r="N38" s="377">
        <f t="shared" si="12"/>
        <v>5</v>
      </c>
      <c r="O38" s="377">
        <f t="shared" si="12"/>
        <v>108</v>
      </c>
    </row>
    <row r="39" spans="3:15" ht="22.5" customHeight="1" x14ac:dyDescent="0.2">
      <c r="C39" s="619" t="s">
        <v>864</v>
      </c>
      <c r="D39" s="374" t="s">
        <v>9</v>
      </c>
      <c r="E39" s="377">
        <v>9</v>
      </c>
      <c r="F39" s="377">
        <v>2</v>
      </c>
      <c r="G39" s="377">
        <v>20</v>
      </c>
      <c r="H39" s="377">
        <v>14</v>
      </c>
      <c r="I39" s="377">
        <v>13</v>
      </c>
      <c r="J39" s="377">
        <v>12</v>
      </c>
      <c r="K39" s="377">
        <v>0</v>
      </c>
      <c r="L39" s="377">
        <v>3</v>
      </c>
      <c r="M39" s="377">
        <v>0</v>
      </c>
      <c r="N39" s="377">
        <v>2</v>
      </c>
      <c r="O39" s="382">
        <f t="shared" si="0"/>
        <v>75</v>
      </c>
    </row>
    <row r="40" spans="3:15" ht="22.5" customHeight="1" x14ac:dyDescent="0.2">
      <c r="C40" s="620"/>
      <c r="D40" s="374" t="s">
        <v>10</v>
      </c>
      <c r="E40" s="377">
        <v>22</v>
      </c>
      <c r="F40" s="377">
        <v>6</v>
      </c>
      <c r="G40" s="377">
        <v>17</v>
      </c>
      <c r="H40" s="377">
        <v>14</v>
      </c>
      <c r="I40" s="377">
        <v>2</v>
      </c>
      <c r="J40" s="377">
        <v>19</v>
      </c>
      <c r="K40" s="377">
        <v>0</v>
      </c>
      <c r="L40" s="377">
        <v>2</v>
      </c>
      <c r="M40" s="377">
        <v>2</v>
      </c>
      <c r="N40" s="377">
        <v>3</v>
      </c>
      <c r="O40" s="382">
        <f t="shared" si="0"/>
        <v>87</v>
      </c>
    </row>
    <row r="41" spans="3:15" ht="22.5" customHeight="1" x14ac:dyDescent="0.2">
      <c r="C41" s="621"/>
      <c r="D41" s="374" t="s">
        <v>845</v>
      </c>
      <c r="E41" s="377">
        <f>SUM(E39:E40)</f>
        <v>31</v>
      </c>
      <c r="F41" s="377">
        <f t="shared" ref="F41:O41" si="13">SUM(F39:F40)</f>
        <v>8</v>
      </c>
      <c r="G41" s="377">
        <f t="shared" si="13"/>
        <v>37</v>
      </c>
      <c r="H41" s="377">
        <f t="shared" si="13"/>
        <v>28</v>
      </c>
      <c r="I41" s="377">
        <f t="shared" si="13"/>
        <v>15</v>
      </c>
      <c r="J41" s="377">
        <f t="shared" si="13"/>
        <v>31</v>
      </c>
      <c r="K41" s="377">
        <f t="shared" si="13"/>
        <v>0</v>
      </c>
      <c r="L41" s="377">
        <f t="shared" si="13"/>
        <v>5</v>
      </c>
      <c r="M41" s="377">
        <f t="shared" si="13"/>
        <v>2</v>
      </c>
      <c r="N41" s="377">
        <f t="shared" si="13"/>
        <v>5</v>
      </c>
      <c r="O41" s="377">
        <f t="shared" si="13"/>
        <v>162</v>
      </c>
    </row>
    <row r="42" spans="3:15" ht="22.5" customHeight="1" x14ac:dyDescent="0.2">
      <c r="C42" s="619" t="s">
        <v>25</v>
      </c>
      <c r="D42" s="374" t="s">
        <v>9</v>
      </c>
      <c r="E42" s="377">
        <v>46</v>
      </c>
      <c r="F42" s="377">
        <v>12</v>
      </c>
      <c r="G42" s="377">
        <v>97</v>
      </c>
      <c r="H42" s="377">
        <v>74</v>
      </c>
      <c r="I42" s="377">
        <v>70</v>
      </c>
      <c r="J42" s="377">
        <v>65</v>
      </c>
      <c r="K42" s="377">
        <v>1</v>
      </c>
      <c r="L42" s="377">
        <v>19</v>
      </c>
      <c r="M42" s="377">
        <v>1</v>
      </c>
      <c r="N42" s="377">
        <v>15</v>
      </c>
      <c r="O42" s="382">
        <f t="shared" si="0"/>
        <v>400</v>
      </c>
    </row>
    <row r="43" spans="3:15" ht="22.5" customHeight="1" x14ac:dyDescent="0.2">
      <c r="C43" s="620"/>
      <c r="D43" s="374" t="s">
        <v>10</v>
      </c>
      <c r="E43" s="377">
        <v>23</v>
      </c>
      <c r="F43" s="377">
        <v>6</v>
      </c>
      <c r="G43" s="377">
        <v>16</v>
      </c>
      <c r="H43" s="377">
        <v>14</v>
      </c>
      <c r="I43" s="377">
        <v>2</v>
      </c>
      <c r="J43" s="377">
        <v>18</v>
      </c>
      <c r="K43" s="377">
        <v>0</v>
      </c>
      <c r="L43" s="377">
        <v>2</v>
      </c>
      <c r="M43" s="377">
        <v>2</v>
      </c>
      <c r="N43" s="377">
        <v>4</v>
      </c>
      <c r="O43" s="382">
        <f t="shared" si="0"/>
        <v>87</v>
      </c>
    </row>
    <row r="44" spans="3:15" ht="22.5" customHeight="1" x14ac:dyDescent="0.2">
      <c r="C44" s="621"/>
      <c r="D44" s="374" t="s">
        <v>845</v>
      </c>
      <c r="E44" s="377">
        <f>SUM(E42:E43)</f>
        <v>69</v>
      </c>
      <c r="F44" s="377">
        <f t="shared" ref="F44:O44" si="14">SUM(F42:F43)</f>
        <v>18</v>
      </c>
      <c r="G44" s="377">
        <f t="shared" si="14"/>
        <v>113</v>
      </c>
      <c r="H44" s="377">
        <f t="shared" si="14"/>
        <v>88</v>
      </c>
      <c r="I44" s="377">
        <f t="shared" si="14"/>
        <v>72</v>
      </c>
      <c r="J44" s="377">
        <f t="shared" si="14"/>
        <v>83</v>
      </c>
      <c r="K44" s="377">
        <f t="shared" si="14"/>
        <v>1</v>
      </c>
      <c r="L44" s="377">
        <f t="shared" si="14"/>
        <v>21</v>
      </c>
      <c r="M44" s="377">
        <f t="shared" si="14"/>
        <v>3</v>
      </c>
      <c r="N44" s="377">
        <f t="shared" si="14"/>
        <v>19</v>
      </c>
      <c r="O44" s="377">
        <f t="shared" si="14"/>
        <v>487</v>
      </c>
    </row>
    <row r="45" spans="3:15" ht="22.5" customHeight="1" x14ac:dyDescent="0.2">
      <c r="C45" s="619" t="s">
        <v>29</v>
      </c>
      <c r="D45" s="374" t="s">
        <v>9</v>
      </c>
      <c r="E45" s="377">
        <v>8</v>
      </c>
      <c r="F45" s="377">
        <v>2</v>
      </c>
      <c r="G45" s="377">
        <v>16</v>
      </c>
      <c r="H45" s="377">
        <v>12</v>
      </c>
      <c r="I45" s="377">
        <v>9</v>
      </c>
      <c r="J45" s="377">
        <v>10</v>
      </c>
      <c r="K45" s="377">
        <v>0</v>
      </c>
      <c r="L45" s="377">
        <v>3</v>
      </c>
      <c r="M45" s="377">
        <v>0</v>
      </c>
      <c r="N45" s="377">
        <v>2</v>
      </c>
      <c r="O45" s="382">
        <f t="shared" si="0"/>
        <v>62</v>
      </c>
    </row>
    <row r="46" spans="3:15" ht="22.5" customHeight="1" x14ac:dyDescent="0.2">
      <c r="C46" s="620"/>
      <c r="D46" s="374" t="s">
        <v>10</v>
      </c>
      <c r="E46" s="377">
        <v>0</v>
      </c>
      <c r="F46" s="377">
        <v>0</v>
      </c>
      <c r="G46" s="377">
        <v>1</v>
      </c>
      <c r="H46" s="377">
        <v>1</v>
      </c>
      <c r="I46" s="377">
        <v>0</v>
      </c>
      <c r="J46" s="377">
        <v>1</v>
      </c>
      <c r="K46" s="377">
        <v>0</v>
      </c>
      <c r="L46" s="377">
        <v>0</v>
      </c>
      <c r="M46" s="377">
        <v>0</v>
      </c>
      <c r="N46" s="377">
        <v>0</v>
      </c>
      <c r="O46" s="382">
        <f t="shared" si="0"/>
        <v>3</v>
      </c>
    </row>
    <row r="47" spans="3:15" ht="22.5" customHeight="1" x14ac:dyDescent="0.2">
      <c r="C47" s="621"/>
      <c r="D47" s="374" t="s">
        <v>845</v>
      </c>
      <c r="E47" s="377">
        <f>SUM(E45:E46)</f>
        <v>8</v>
      </c>
      <c r="F47" s="377">
        <f t="shared" ref="F47:O47" si="15">SUM(F45:F46)</f>
        <v>2</v>
      </c>
      <c r="G47" s="377">
        <f t="shared" si="15"/>
        <v>17</v>
      </c>
      <c r="H47" s="377">
        <f t="shared" si="15"/>
        <v>13</v>
      </c>
      <c r="I47" s="377">
        <f t="shared" si="15"/>
        <v>9</v>
      </c>
      <c r="J47" s="377">
        <f t="shared" si="15"/>
        <v>11</v>
      </c>
      <c r="K47" s="377">
        <f t="shared" si="15"/>
        <v>0</v>
      </c>
      <c r="L47" s="377">
        <f t="shared" si="15"/>
        <v>3</v>
      </c>
      <c r="M47" s="377">
        <f t="shared" si="15"/>
        <v>0</v>
      </c>
      <c r="N47" s="377">
        <f t="shared" si="15"/>
        <v>2</v>
      </c>
      <c r="O47" s="377">
        <f t="shared" si="15"/>
        <v>65</v>
      </c>
    </row>
    <row r="48" spans="3:15" ht="22.5" customHeight="1" x14ac:dyDescent="0.2">
      <c r="C48" s="619" t="s">
        <v>33</v>
      </c>
      <c r="D48" s="374" t="s">
        <v>9</v>
      </c>
      <c r="E48" s="377">
        <v>29</v>
      </c>
      <c r="F48" s="377">
        <v>8</v>
      </c>
      <c r="G48" s="377">
        <v>63</v>
      </c>
      <c r="H48" s="377">
        <v>48</v>
      </c>
      <c r="I48" s="377">
        <v>44</v>
      </c>
      <c r="J48" s="377">
        <v>42</v>
      </c>
      <c r="K48" s="377">
        <v>0</v>
      </c>
      <c r="L48" s="377">
        <v>12</v>
      </c>
      <c r="M48" s="377">
        <v>1</v>
      </c>
      <c r="N48" s="377">
        <v>9</v>
      </c>
      <c r="O48" s="382">
        <f t="shared" si="0"/>
        <v>256</v>
      </c>
    </row>
    <row r="49" spans="3:15" ht="22.5" customHeight="1" x14ac:dyDescent="0.2">
      <c r="C49" s="620"/>
      <c r="D49" s="374" t="s">
        <v>10</v>
      </c>
      <c r="E49" s="377">
        <v>12</v>
      </c>
      <c r="F49" s="377">
        <v>2</v>
      </c>
      <c r="G49" s="377">
        <v>8</v>
      </c>
      <c r="H49" s="377">
        <v>6</v>
      </c>
      <c r="I49" s="377">
        <v>2</v>
      </c>
      <c r="J49" s="377">
        <v>9</v>
      </c>
      <c r="K49" s="377">
        <v>0</v>
      </c>
      <c r="L49" s="377">
        <v>1</v>
      </c>
      <c r="M49" s="377">
        <v>1</v>
      </c>
      <c r="N49" s="377">
        <v>2</v>
      </c>
      <c r="O49" s="382">
        <f t="shared" si="0"/>
        <v>43</v>
      </c>
    </row>
    <row r="50" spans="3:15" ht="22.5" customHeight="1" x14ac:dyDescent="0.2">
      <c r="C50" s="621"/>
      <c r="D50" s="374" t="s">
        <v>845</v>
      </c>
      <c r="E50" s="377">
        <f>SUM(E48:E49)</f>
        <v>41</v>
      </c>
      <c r="F50" s="377">
        <f t="shared" ref="F50:O50" si="16">SUM(F48:F49)</f>
        <v>10</v>
      </c>
      <c r="G50" s="377">
        <f t="shared" si="16"/>
        <v>71</v>
      </c>
      <c r="H50" s="377">
        <f t="shared" si="16"/>
        <v>54</v>
      </c>
      <c r="I50" s="377">
        <f t="shared" si="16"/>
        <v>46</v>
      </c>
      <c r="J50" s="377">
        <f t="shared" si="16"/>
        <v>51</v>
      </c>
      <c r="K50" s="377">
        <f t="shared" si="16"/>
        <v>0</v>
      </c>
      <c r="L50" s="377">
        <f t="shared" si="16"/>
        <v>13</v>
      </c>
      <c r="M50" s="377">
        <f t="shared" si="16"/>
        <v>2</v>
      </c>
      <c r="N50" s="377">
        <f t="shared" si="16"/>
        <v>11</v>
      </c>
      <c r="O50" s="377">
        <f t="shared" si="16"/>
        <v>299</v>
      </c>
    </row>
    <row r="51" spans="3:15" ht="22.5" customHeight="1" x14ac:dyDescent="0.2">
      <c r="C51" s="619" t="s">
        <v>35</v>
      </c>
      <c r="D51" s="374" t="s">
        <v>9</v>
      </c>
      <c r="E51" s="377">
        <v>49</v>
      </c>
      <c r="F51" s="377">
        <v>15</v>
      </c>
      <c r="G51" s="377">
        <v>110</v>
      </c>
      <c r="H51" s="377">
        <v>82</v>
      </c>
      <c r="I51" s="377">
        <v>77</v>
      </c>
      <c r="J51" s="377">
        <v>71</v>
      </c>
      <c r="K51" s="377">
        <v>1</v>
      </c>
      <c r="L51" s="377">
        <v>20</v>
      </c>
      <c r="M51" s="377">
        <v>1</v>
      </c>
      <c r="N51" s="377">
        <v>15</v>
      </c>
      <c r="O51" s="382">
        <f t="shared" si="0"/>
        <v>441</v>
      </c>
    </row>
    <row r="52" spans="3:15" ht="22.5" customHeight="1" x14ac:dyDescent="0.2">
      <c r="C52" s="620"/>
      <c r="D52" s="374" t="s">
        <v>10</v>
      </c>
      <c r="E52" s="377">
        <v>39</v>
      </c>
      <c r="F52" s="377">
        <v>9</v>
      </c>
      <c r="G52" s="377">
        <v>27</v>
      </c>
      <c r="H52" s="377">
        <v>23</v>
      </c>
      <c r="I52" s="377">
        <v>4</v>
      </c>
      <c r="J52" s="377">
        <v>32</v>
      </c>
      <c r="K52" s="377">
        <v>0</v>
      </c>
      <c r="L52" s="377">
        <v>3</v>
      </c>
      <c r="M52" s="377">
        <v>3</v>
      </c>
      <c r="N52" s="377">
        <v>5</v>
      </c>
      <c r="O52" s="382">
        <f t="shared" si="0"/>
        <v>145</v>
      </c>
    </row>
    <row r="53" spans="3:15" ht="22.5" customHeight="1" x14ac:dyDescent="0.2">
      <c r="C53" s="621"/>
      <c r="D53" s="374" t="s">
        <v>845</v>
      </c>
      <c r="E53" s="377">
        <f>SUM(E51:E52)</f>
        <v>88</v>
      </c>
      <c r="F53" s="377">
        <f t="shared" ref="F53:O53" si="17">SUM(F51:F52)</f>
        <v>24</v>
      </c>
      <c r="G53" s="377">
        <f t="shared" si="17"/>
        <v>137</v>
      </c>
      <c r="H53" s="377">
        <f t="shared" si="17"/>
        <v>105</v>
      </c>
      <c r="I53" s="377">
        <f t="shared" si="17"/>
        <v>81</v>
      </c>
      <c r="J53" s="377">
        <f t="shared" si="17"/>
        <v>103</v>
      </c>
      <c r="K53" s="377">
        <f t="shared" si="17"/>
        <v>1</v>
      </c>
      <c r="L53" s="377">
        <f t="shared" si="17"/>
        <v>23</v>
      </c>
      <c r="M53" s="377">
        <f t="shared" si="17"/>
        <v>4</v>
      </c>
      <c r="N53" s="377">
        <f t="shared" si="17"/>
        <v>20</v>
      </c>
      <c r="O53" s="377">
        <f t="shared" si="17"/>
        <v>586</v>
      </c>
    </row>
    <row r="54" spans="3:15" ht="22.5" customHeight="1" x14ac:dyDescent="0.2">
      <c r="C54" s="619" t="s">
        <v>863</v>
      </c>
      <c r="D54" s="374" t="s">
        <v>9</v>
      </c>
      <c r="E54" s="377">
        <v>43</v>
      </c>
      <c r="F54" s="377">
        <v>13</v>
      </c>
      <c r="G54" s="377">
        <v>93</v>
      </c>
      <c r="H54" s="377">
        <v>71</v>
      </c>
      <c r="I54" s="377">
        <v>67</v>
      </c>
      <c r="J54" s="377">
        <v>62</v>
      </c>
      <c r="K54" s="377">
        <v>1</v>
      </c>
      <c r="L54" s="377">
        <v>18</v>
      </c>
      <c r="M54" s="377">
        <v>1</v>
      </c>
      <c r="N54" s="377">
        <v>13</v>
      </c>
      <c r="O54" s="382">
        <f t="shared" si="0"/>
        <v>382</v>
      </c>
    </row>
    <row r="55" spans="3:15" ht="22.5" customHeight="1" x14ac:dyDescent="0.2">
      <c r="C55" s="620"/>
      <c r="D55" s="374" t="s">
        <v>10</v>
      </c>
      <c r="E55" s="377">
        <v>28</v>
      </c>
      <c r="F55" s="377">
        <v>7</v>
      </c>
      <c r="G55" s="377">
        <v>20</v>
      </c>
      <c r="H55" s="377">
        <v>16</v>
      </c>
      <c r="I55" s="377">
        <v>3</v>
      </c>
      <c r="J55" s="377">
        <v>22</v>
      </c>
      <c r="K55" s="377">
        <v>0</v>
      </c>
      <c r="L55" s="377">
        <v>2</v>
      </c>
      <c r="M55" s="377">
        <v>1</v>
      </c>
      <c r="N55" s="377">
        <v>4</v>
      </c>
      <c r="O55" s="382">
        <f t="shared" si="0"/>
        <v>103</v>
      </c>
    </row>
    <row r="56" spans="3:15" ht="22.5" customHeight="1" x14ac:dyDescent="0.2">
      <c r="C56" s="621"/>
      <c r="D56" s="374" t="s">
        <v>845</v>
      </c>
      <c r="E56" s="377">
        <f>SUM(E54:E55)</f>
        <v>71</v>
      </c>
      <c r="F56" s="377">
        <f t="shared" ref="F56:O56" si="18">SUM(F54:F55)</f>
        <v>20</v>
      </c>
      <c r="G56" s="377">
        <f t="shared" si="18"/>
        <v>113</v>
      </c>
      <c r="H56" s="377">
        <f t="shared" si="18"/>
        <v>87</v>
      </c>
      <c r="I56" s="377">
        <f t="shared" si="18"/>
        <v>70</v>
      </c>
      <c r="J56" s="377">
        <f t="shared" si="18"/>
        <v>84</v>
      </c>
      <c r="K56" s="377">
        <f t="shared" si="18"/>
        <v>1</v>
      </c>
      <c r="L56" s="377">
        <f t="shared" si="18"/>
        <v>20</v>
      </c>
      <c r="M56" s="377">
        <f t="shared" si="18"/>
        <v>2</v>
      </c>
      <c r="N56" s="377">
        <f t="shared" si="18"/>
        <v>17</v>
      </c>
      <c r="O56" s="377">
        <f t="shared" si="18"/>
        <v>485</v>
      </c>
    </row>
    <row r="57" spans="3:15" ht="22.5" customHeight="1" x14ac:dyDescent="0.2">
      <c r="C57" s="619" t="s">
        <v>36</v>
      </c>
      <c r="D57" s="374" t="s">
        <v>9</v>
      </c>
      <c r="E57" s="377">
        <v>1</v>
      </c>
      <c r="F57" s="377">
        <v>0</v>
      </c>
      <c r="G57" s="377">
        <v>0</v>
      </c>
      <c r="H57" s="377">
        <v>3</v>
      </c>
      <c r="I57" s="377">
        <v>2</v>
      </c>
      <c r="J57" s="377">
        <v>2</v>
      </c>
      <c r="K57" s="377">
        <v>0</v>
      </c>
      <c r="L57" s="377">
        <v>0</v>
      </c>
      <c r="M57" s="377">
        <v>0</v>
      </c>
      <c r="N57" s="377">
        <v>0</v>
      </c>
      <c r="O57" s="382">
        <f t="shared" si="0"/>
        <v>8</v>
      </c>
    </row>
    <row r="58" spans="3:15" ht="22.5" customHeight="1" x14ac:dyDescent="0.2">
      <c r="C58" s="620"/>
      <c r="D58" s="374" t="s">
        <v>10</v>
      </c>
      <c r="E58" s="377">
        <v>4</v>
      </c>
      <c r="F58" s="377">
        <v>0</v>
      </c>
      <c r="G58" s="377">
        <v>3</v>
      </c>
      <c r="H58" s="377">
        <v>3</v>
      </c>
      <c r="I58" s="377">
        <v>0</v>
      </c>
      <c r="J58" s="377">
        <v>2</v>
      </c>
      <c r="K58" s="377">
        <v>0</v>
      </c>
      <c r="L58" s="377">
        <v>0</v>
      </c>
      <c r="M58" s="377">
        <v>0</v>
      </c>
      <c r="N58" s="377">
        <v>1</v>
      </c>
      <c r="O58" s="382">
        <f t="shared" si="0"/>
        <v>13</v>
      </c>
    </row>
    <row r="59" spans="3:15" ht="22.5" customHeight="1" x14ac:dyDescent="0.2">
      <c r="C59" s="621"/>
      <c r="D59" s="374" t="s">
        <v>845</v>
      </c>
      <c r="E59" s="377">
        <f>SUM(E57:E58)</f>
        <v>5</v>
      </c>
      <c r="F59" s="377">
        <f t="shared" ref="F59:O59" si="19">SUM(F57:F58)</f>
        <v>0</v>
      </c>
      <c r="G59" s="377">
        <f t="shared" si="19"/>
        <v>3</v>
      </c>
      <c r="H59" s="377">
        <f t="shared" si="19"/>
        <v>6</v>
      </c>
      <c r="I59" s="377">
        <f t="shared" si="19"/>
        <v>2</v>
      </c>
      <c r="J59" s="377">
        <f t="shared" si="19"/>
        <v>4</v>
      </c>
      <c r="K59" s="377">
        <f t="shared" si="19"/>
        <v>0</v>
      </c>
      <c r="L59" s="377">
        <f t="shared" si="19"/>
        <v>0</v>
      </c>
      <c r="M59" s="377">
        <f t="shared" si="19"/>
        <v>0</v>
      </c>
      <c r="N59" s="377">
        <f t="shared" si="19"/>
        <v>1</v>
      </c>
      <c r="O59" s="377">
        <f t="shared" si="19"/>
        <v>21</v>
      </c>
    </row>
    <row r="60" spans="3:15" ht="22.5" customHeight="1" x14ac:dyDescent="0.2">
      <c r="C60" s="619" t="s">
        <v>34</v>
      </c>
      <c r="D60" s="374" t="s">
        <v>9</v>
      </c>
      <c r="E60" s="377">
        <v>983</v>
      </c>
      <c r="F60" s="377">
        <v>284</v>
      </c>
      <c r="G60" s="377">
        <v>2149</v>
      </c>
      <c r="H60" s="377">
        <v>1616</v>
      </c>
      <c r="I60" s="377">
        <v>1519</v>
      </c>
      <c r="J60" s="377">
        <v>1399</v>
      </c>
      <c r="K60" s="377">
        <v>9</v>
      </c>
      <c r="L60" s="377">
        <v>395</v>
      </c>
      <c r="M60" s="377">
        <v>16</v>
      </c>
      <c r="N60" s="377">
        <v>307</v>
      </c>
      <c r="O60" s="382">
        <f t="shared" si="0"/>
        <v>8677</v>
      </c>
    </row>
    <row r="61" spans="3:15" ht="22.5" customHeight="1" x14ac:dyDescent="0.2">
      <c r="C61" s="620"/>
      <c r="D61" s="374" t="s">
        <v>10</v>
      </c>
      <c r="E61" s="377">
        <v>819</v>
      </c>
      <c r="F61" s="377">
        <v>207</v>
      </c>
      <c r="G61" s="377">
        <v>599</v>
      </c>
      <c r="H61" s="377">
        <v>504</v>
      </c>
      <c r="I61" s="377">
        <v>93</v>
      </c>
      <c r="J61" s="377">
        <v>692</v>
      </c>
      <c r="K61" s="377">
        <v>0</v>
      </c>
      <c r="L61" s="377">
        <v>61</v>
      </c>
      <c r="M61" s="377">
        <v>51</v>
      </c>
      <c r="N61" s="377">
        <v>116</v>
      </c>
      <c r="O61" s="382">
        <f t="shared" si="0"/>
        <v>3142</v>
      </c>
    </row>
    <row r="62" spans="3:15" ht="22.5" customHeight="1" x14ac:dyDescent="0.2">
      <c r="C62" s="621"/>
      <c r="D62" s="374" t="s">
        <v>845</v>
      </c>
      <c r="E62" s="377">
        <f>SUM(E60:E61)</f>
        <v>1802</v>
      </c>
      <c r="F62" s="377">
        <f t="shared" ref="F62:O62" si="20">SUM(F60:F61)</f>
        <v>491</v>
      </c>
      <c r="G62" s="377">
        <f t="shared" si="20"/>
        <v>2748</v>
      </c>
      <c r="H62" s="377">
        <f t="shared" si="20"/>
        <v>2120</v>
      </c>
      <c r="I62" s="377">
        <f t="shared" si="20"/>
        <v>1612</v>
      </c>
      <c r="J62" s="377">
        <f t="shared" si="20"/>
        <v>2091</v>
      </c>
      <c r="K62" s="377">
        <f t="shared" si="20"/>
        <v>9</v>
      </c>
      <c r="L62" s="377">
        <f t="shared" si="20"/>
        <v>456</v>
      </c>
      <c r="M62" s="377">
        <f t="shared" si="20"/>
        <v>67</v>
      </c>
      <c r="N62" s="377">
        <f t="shared" si="20"/>
        <v>423</v>
      </c>
      <c r="O62" s="377">
        <f t="shared" si="20"/>
        <v>11819</v>
      </c>
    </row>
    <row r="63" spans="3:15" ht="22.5" customHeight="1" x14ac:dyDescent="0.2">
      <c r="C63" s="619" t="s">
        <v>211</v>
      </c>
      <c r="D63" s="374" t="s">
        <v>9</v>
      </c>
      <c r="E63" s="377">
        <v>64</v>
      </c>
      <c r="F63" s="377">
        <v>18</v>
      </c>
      <c r="G63" s="377">
        <v>139</v>
      </c>
      <c r="H63" s="377">
        <v>105</v>
      </c>
      <c r="I63" s="377">
        <v>98</v>
      </c>
      <c r="J63" s="377">
        <v>90</v>
      </c>
      <c r="K63" s="377">
        <v>1</v>
      </c>
      <c r="L63" s="377">
        <v>25</v>
      </c>
      <c r="M63" s="377">
        <v>1</v>
      </c>
      <c r="N63" s="377">
        <v>20</v>
      </c>
      <c r="O63" s="382">
        <f t="shared" si="0"/>
        <v>561</v>
      </c>
    </row>
    <row r="64" spans="3:15" ht="22.5" customHeight="1" x14ac:dyDescent="0.2">
      <c r="C64" s="620"/>
      <c r="D64" s="374" t="s">
        <v>10</v>
      </c>
      <c r="E64" s="377">
        <v>40</v>
      </c>
      <c r="F64" s="377">
        <v>10</v>
      </c>
      <c r="G64" s="377">
        <v>28</v>
      </c>
      <c r="H64" s="377">
        <v>24</v>
      </c>
      <c r="I64" s="377">
        <v>4</v>
      </c>
      <c r="J64" s="377">
        <v>34</v>
      </c>
      <c r="K64" s="377">
        <v>0</v>
      </c>
      <c r="L64" s="377">
        <v>3</v>
      </c>
      <c r="M64" s="377">
        <v>3</v>
      </c>
      <c r="N64" s="377">
        <v>5</v>
      </c>
      <c r="O64" s="382">
        <f t="shared" si="0"/>
        <v>151</v>
      </c>
    </row>
    <row r="65" spans="3:15" ht="22.5" customHeight="1" x14ac:dyDescent="0.2">
      <c r="C65" s="621"/>
      <c r="D65" s="374" t="s">
        <v>845</v>
      </c>
      <c r="E65" s="377">
        <f>SUM(E63:E64)</f>
        <v>104</v>
      </c>
      <c r="F65" s="377">
        <f t="shared" ref="F65:O65" si="21">SUM(F63:F64)</f>
        <v>28</v>
      </c>
      <c r="G65" s="377">
        <f t="shared" si="21"/>
        <v>167</v>
      </c>
      <c r="H65" s="377">
        <f t="shared" si="21"/>
        <v>129</v>
      </c>
      <c r="I65" s="377">
        <f t="shared" si="21"/>
        <v>102</v>
      </c>
      <c r="J65" s="377">
        <f t="shared" si="21"/>
        <v>124</v>
      </c>
      <c r="K65" s="377">
        <f t="shared" si="21"/>
        <v>1</v>
      </c>
      <c r="L65" s="377">
        <f t="shared" si="21"/>
        <v>28</v>
      </c>
      <c r="M65" s="377">
        <f t="shared" si="21"/>
        <v>4</v>
      </c>
      <c r="N65" s="377">
        <f t="shared" si="21"/>
        <v>25</v>
      </c>
      <c r="O65" s="377">
        <f t="shared" si="21"/>
        <v>712</v>
      </c>
    </row>
    <row r="66" spans="3:15" ht="22.5" customHeight="1" x14ac:dyDescent="0.2">
      <c r="C66" s="619" t="s">
        <v>212</v>
      </c>
      <c r="D66" s="374" t="s">
        <v>9</v>
      </c>
      <c r="E66" s="377">
        <v>16</v>
      </c>
      <c r="F66" s="377">
        <v>6</v>
      </c>
      <c r="G66" s="377">
        <v>40</v>
      </c>
      <c r="H66" s="377">
        <v>29</v>
      </c>
      <c r="I66" s="377">
        <v>27</v>
      </c>
      <c r="J66" s="377">
        <v>25</v>
      </c>
      <c r="K66" s="377">
        <v>0</v>
      </c>
      <c r="L66" s="377">
        <v>7</v>
      </c>
      <c r="M66" s="377">
        <v>0</v>
      </c>
      <c r="N66" s="377">
        <v>6</v>
      </c>
      <c r="O66" s="382">
        <f t="shared" si="0"/>
        <v>156</v>
      </c>
    </row>
    <row r="67" spans="3:15" ht="22.5" customHeight="1" x14ac:dyDescent="0.2">
      <c r="C67" s="620"/>
      <c r="D67" s="374" t="s">
        <v>10</v>
      </c>
      <c r="E67" s="377">
        <v>8</v>
      </c>
      <c r="F67" s="377">
        <v>1</v>
      </c>
      <c r="G67" s="377">
        <v>5</v>
      </c>
      <c r="H67" s="377">
        <v>4</v>
      </c>
      <c r="I67" s="377">
        <v>1</v>
      </c>
      <c r="J67" s="377">
        <v>6</v>
      </c>
      <c r="K67" s="377">
        <v>0</v>
      </c>
      <c r="L67" s="377">
        <v>1</v>
      </c>
      <c r="M67" s="377">
        <v>1</v>
      </c>
      <c r="N67" s="377">
        <v>1</v>
      </c>
      <c r="O67" s="382">
        <f t="shared" si="0"/>
        <v>28</v>
      </c>
    </row>
    <row r="68" spans="3:15" ht="22.5" customHeight="1" x14ac:dyDescent="0.2">
      <c r="C68" s="621"/>
      <c r="D68" s="374" t="s">
        <v>845</v>
      </c>
      <c r="E68" s="377">
        <f>SUM(E66:E67)</f>
        <v>24</v>
      </c>
      <c r="F68" s="377">
        <f t="shared" ref="F68:O68" si="22">SUM(F66:F67)</f>
        <v>7</v>
      </c>
      <c r="G68" s="377">
        <f t="shared" si="22"/>
        <v>45</v>
      </c>
      <c r="H68" s="377">
        <f t="shared" si="22"/>
        <v>33</v>
      </c>
      <c r="I68" s="377">
        <f t="shared" si="22"/>
        <v>28</v>
      </c>
      <c r="J68" s="377">
        <f t="shared" si="22"/>
        <v>31</v>
      </c>
      <c r="K68" s="377">
        <f t="shared" si="22"/>
        <v>0</v>
      </c>
      <c r="L68" s="377">
        <f t="shared" si="22"/>
        <v>8</v>
      </c>
      <c r="M68" s="377">
        <f t="shared" si="22"/>
        <v>1</v>
      </c>
      <c r="N68" s="377">
        <f t="shared" si="22"/>
        <v>7</v>
      </c>
      <c r="O68" s="377">
        <f t="shared" si="22"/>
        <v>184</v>
      </c>
    </row>
    <row r="69" spans="3:15" ht="22.5" customHeight="1" x14ac:dyDescent="0.2">
      <c r="C69" s="619" t="s">
        <v>862</v>
      </c>
      <c r="D69" s="374" t="s">
        <v>9</v>
      </c>
      <c r="E69" s="377">
        <v>15</v>
      </c>
      <c r="F69" s="377">
        <v>5</v>
      </c>
      <c r="G69" s="377">
        <v>35</v>
      </c>
      <c r="H69" s="377">
        <v>24</v>
      </c>
      <c r="I69" s="377">
        <v>23</v>
      </c>
      <c r="J69" s="377">
        <v>21</v>
      </c>
      <c r="K69" s="377">
        <v>0</v>
      </c>
      <c r="L69" s="377">
        <v>6</v>
      </c>
      <c r="M69" s="377">
        <v>0</v>
      </c>
      <c r="N69" s="377">
        <v>5</v>
      </c>
      <c r="O69" s="382">
        <f t="shared" ref="O69:O88" si="23">SUM(E69:N69)</f>
        <v>134</v>
      </c>
    </row>
    <row r="70" spans="3:15" ht="22.5" customHeight="1" x14ac:dyDescent="0.2">
      <c r="C70" s="620"/>
      <c r="D70" s="374" t="s">
        <v>10</v>
      </c>
      <c r="E70" s="377">
        <v>9</v>
      </c>
      <c r="F70" s="377">
        <v>2</v>
      </c>
      <c r="G70" s="377">
        <v>7</v>
      </c>
      <c r="H70" s="377">
        <v>6</v>
      </c>
      <c r="I70" s="377">
        <v>1</v>
      </c>
      <c r="J70" s="377">
        <v>7</v>
      </c>
      <c r="K70" s="377">
        <v>0</v>
      </c>
      <c r="L70" s="377">
        <v>1</v>
      </c>
      <c r="M70" s="377">
        <v>1</v>
      </c>
      <c r="N70" s="377">
        <v>0</v>
      </c>
      <c r="O70" s="382">
        <f t="shared" si="23"/>
        <v>34</v>
      </c>
    </row>
    <row r="71" spans="3:15" ht="22.5" customHeight="1" x14ac:dyDescent="0.2">
      <c r="C71" s="621"/>
      <c r="D71" s="374" t="s">
        <v>845</v>
      </c>
      <c r="E71" s="377">
        <f>SUM(E69:E70)</f>
        <v>24</v>
      </c>
      <c r="F71" s="377">
        <f t="shared" ref="F71:O71" si="24">SUM(F69:F70)</f>
        <v>7</v>
      </c>
      <c r="G71" s="377">
        <f t="shared" si="24"/>
        <v>42</v>
      </c>
      <c r="H71" s="377">
        <f t="shared" si="24"/>
        <v>30</v>
      </c>
      <c r="I71" s="377">
        <f t="shared" si="24"/>
        <v>24</v>
      </c>
      <c r="J71" s="377">
        <f t="shared" si="24"/>
        <v>28</v>
      </c>
      <c r="K71" s="377">
        <f t="shared" si="24"/>
        <v>0</v>
      </c>
      <c r="L71" s="377">
        <f t="shared" si="24"/>
        <v>7</v>
      </c>
      <c r="M71" s="377">
        <f t="shared" si="24"/>
        <v>1</v>
      </c>
      <c r="N71" s="377">
        <f t="shared" si="24"/>
        <v>5</v>
      </c>
      <c r="O71" s="377">
        <f t="shared" si="24"/>
        <v>168</v>
      </c>
    </row>
    <row r="72" spans="3:15" ht="22.5" customHeight="1" x14ac:dyDescent="0.2">
      <c r="C72" s="619" t="s">
        <v>861</v>
      </c>
      <c r="D72" s="374" t="s">
        <v>9</v>
      </c>
      <c r="E72" s="377">
        <v>13</v>
      </c>
      <c r="F72" s="377">
        <v>4</v>
      </c>
      <c r="G72" s="377">
        <v>27</v>
      </c>
      <c r="H72" s="377">
        <v>22</v>
      </c>
      <c r="I72" s="377">
        <v>19</v>
      </c>
      <c r="J72" s="377">
        <v>19</v>
      </c>
      <c r="K72" s="377">
        <v>0</v>
      </c>
      <c r="L72" s="377">
        <v>5</v>
      </c>
      <c r="M72" s="377">
        <v>0</v>
      </c>
      <c r="N72" s="377">
        <v>4</v>
      </c>
      <c r="O72" s="382">
        <f t="shared" si="23"/>
        <v>113</v>
      </c>
    </row>
    <row r="73" spans="3:15" ht="22.5" customHeight="1" x14ac:dyDescent="0.2">
      <c r="C73" s="620"/>
      <c r="D73" s="374" t="s">
        <v>10</v>
      </c>
      <c r="E73" s="377">
        <v>3</v>
      </c>
      <c r="F73" s="377">
        <v>1</v>
      </c>
      <c r="G73" s="377">
        <v>2</v>
      </c>
      <c r="H73" s="377">
        <v>2</v>
      </c>
      <c r="I73" s="377">
        <v>0</v>
      </c>
      <c r="J73" s="377">
        <v>2</v>
      </c>
      <c r="K73" s="377">
        <v>0</v>
      </c>
      <c r="L73" s="377">
        <v>0</v>
      </c>
      <c r="M73" s="377">
        <v>0</v>
      </c>
      <c r="N73" s="377">
        <v>0</v>
      </c>
      <c r="O73" s="382">
        <f t="shared" si="23"/>
        <v>10</v>
      </c>
    </row>
    <row r="74" spans="3:15" ht="22.5" customHeight="1" x14ac:dyDescent="0.2">
      <c r="C74" s="621"/>
      <c r="D74" s="374" t="s">
        <v>845</v>
      </c>
      <c r="E74" s="377">
        <f>SUM(E72:E73)</f>
        <v>16</v>
      </c>
      <c r="F74" s="377">
        <f t="shared" ref="F74:O74" si="25">SUM(F72:F73)</f>
        <v>5</v>
      </c>
      <c r="G74" s="377">
        <f t="shared" si="25"/>
        <v>29</v>
      </c>
      <c r="H74" s="377">
        <f t="shared" si="25"/>
        <v>24</v>
      </c>
      <c r="I74" s="377">
        <f t="shared" si="25"/>
        <v>19</v>
      </c>
      <c r="J74" s="377">
        <f t="shared" si="25"/>
        <v>21</v>
      </c>
      <c r="K74" s="377">
        <f t="shared" si="25"/>
        <v>0</v>
      </c>
      <c r="L74" s="377">
        <f t="shared" si="25"/>
        <v>5</v>
      </c>
      <c r="M74" s="377">
        <f t="shared" si="25"/>
        <v>0</v>
      </c>
      <c r="N74" s="377">
        <f t="shared" si="25"/>
        <v>4</v>
      </c>
      <c r="O74" s="377">
        <f t="shared" si="25"/>
        <v>123</v>
      </c>
    </row>
    <row r="75" spans="3:15" ht="22.5" customHeight="1" x14ac:dyDescent="0.2">
      <c r="C75" s="619" t="s">
        <v>214</v>
      </c>
      <c r="D75" s="374" t="s">
        <v>9</v>
      </c>
      <c r="E75" s="377">
        <v>20</v>
      </c>
      <c r="F75" s="377">
        <v>7</v>
      </c>
      <c r="G75" s="377">
        <v>47</v>
      </c>
      <c r="H75" s="377">
        <v>34</v>
      </c>
      <c r="I75" s="377">
        <v>33</v>
      </c>
      <c r="J75" s="377">
        <v>31</v>
      </c>
      <c r="K75" s="377">
        <v>0</v>
      </c>
      <c r="L75" s="377">
        <v>9</v>
      </c>
      <c r="M75" s="377">
        <v>0</v>
      </c>
      <c r="N75" s="377">
        <v>6</v>
      </c>
      <c r="O75" s="382">
        <f t="shared" si="23"/>
        <v>187</v>
      </c>
    </row>
    <row r="76" spans="3:15" ht="22.5" customHeight="1" x14ac:dyDescent="0.2">
      <c r="C76" s="620"/>
      <c r="D76" s="374" t="s">
        <v>10</v>
      </c>
      <c r="E76" s="377">
        <v>5</v>
      </c>
      <c r="F76" s="377">
        <v>2</v>
      </c>
      <c r="G76" s="377">
        <v>3</v>
      </c>
      <c r="H76" s="377">
        <v>3</v>
      </c>
      <c r="I76" s="377">
        <v>1</v>
      </c>
      <c r="J76" s="377">
        <v>4</v>
      </c>
      <c r="K76" s="377">
        <v>0</v>
      </c>
      <c r="L76" s="377">
        <v>0</v>
      </c>
      <c r="M76" s="377">
        <v>0</v>
      </c>
      <c r="N76" s="377">
        <v>1</v>
      </c>
      <c r="O76" s="382">
        <f t="shared" si="23"/>
        <v>19</v>
      </c>
    </row>
    <row r="77" spans="3:15" ht="22.5" customHeight="1" x14ac:dyDescent="0.2">
      <c r="C77" s="621"/>
      <c r="D77" s="374" t="s">
        <v>845</v>
      </c>
      <c r="E77" s="377">
        <f>SUM(E75:E76)</f>
        <v>25</v>
      </c>
      <c r="F77" s="377">
        <f t="shared" ref="F77:O77" si="26">SUM(F75:F76)</f>
        <v>9</v>
      </c>
      <c r="G77" s="377">
        <f t="shared" si="26"/>
        <v>50</v>
      </c>
      <c r="H77" s="377">
        <f t="shared" si="26"/>
        <v>37</v>
      </c>
      <c r="I77" s="377">
        <f t="shared" si="26"/>
        <v>34</v>
      </c>
      <c r="J77" s="377">
        <f t="shared" si="26"/>
        <v>35</v>
      </c>
      <c r="K77" s="377">
        <f t="shared" si="26"/>
        <v>0</v>
      </c>
      <c r="L77" s="377">
        <f t="shared" si="26"/>
        <v>9</v>
      </c>
      <c r="M77" s="377">
        <f t="shared" si="26"/>
        <v>0</v>
      </c>
      <c r="N77" s="377">
        <f t="shared" si="26"/>
        <v>7</v>
      </c>
      <c r="O77" s="377">
        <f t="shared" si="26"/>
        <v>206</v>
      </c>
    </row>
    <row r="78" spans="3:15" ht="22.5" customHeight="1" x14ac:dyDescent="0.2">
      <c r="C78" s="619" t="s">
        <v>31</v>
      </c>
      <c r="D78" s="374" t="s">
        <v>9</v>
      </c>
      <c r="E78" s="377">
        <v>647</v>
      </c>
      <c r="F78" s="377">
        <v>186</v>
      </c>
      <c r="G78" s="377">
        <v>1412</v>
      </c>
      <c r="H78" s="377">
        <v>1060</v>
      </c>
      <c r="I78" s="377">
        <v>991</v>
      </c>
      <c r="J78" s="377">
        <v>920</v>
      </c>
      <c r="K78" s="377">
        <v>7</v>
      </c>
      <c r="L78" s="377">
        <v>259</v>
      </c>
      <c r="M78" s="377">
        <v>10</v>
      </c>
      <c r="N78" s="377">
        <v>203</v>
      </c>
      <c r="O78" s="382">
        <f t="shared" si="23"/>
        <v>5695</v>
      </c>
    </row>
    <row r="79" spans="3:15" ht="22.5" customHeight="1" x14ac:dyDescent="0.2">
      <c r="C79" s="620"/>
      <c r="D79" s="374" t="s">
        <v>10</v>
      </c>
      <c r="E79" s="377">
        <v>284</v>
      </c>
      <c r="F79" s="377">
        <v>71</v>
      </c>
      <c r="G79" s="377">
        <v>206</v>
      </c>
      <c r="H79" s="377">
        <v>172</v>
      </c>
      <c r="I79" s="377">
        <v>32</v>
      </c>
      <c r="J79" s="377">
        <v>234</v>
      </c>
      <c r="K79" s="377">
        <v>0</v>
      </c>
      <c r="L79" s="377">
        <v>21</v>
      </c>
      <c r="M79" s="377">
        <v>18</v>
      </c>
      <c r="N79" s="377">
        <v>41</v>
      </c>
      <c r="O79" s="382">
        <f t="shared" si="23"/>
        <v>1079</v>
      </c>
    </row>
    <row r="80" spans="3:15" ht="22.5" customHeight="1" x14ac:dyDescent="0.2">
      <c r="C80" s="621"/>
      <c r="D80" s="374" t="s">
        <v>845</v>
      </c>
      <c r="E80" s="377">
        <f>SUM(E78:E79)</f>
        <v>931</v>
      </c>
      <c r="F80" s="377">
        <f t="shared" ref="F80:O80" si="27">SUM(F78:F79)</f>
        <v>257</v>
      </c>
      <c r="G80" s="377">
        <f t="shared" si="27"/>
        <v>1618</v>
      </c>
      <c r="H80" s="377">
        <f t="shared" si="27"/>
        <v>1232</v>
      </c>
      <c r="I80" s="377">
        <f t="shared" si="27"/>
        <v>1023</v>
      </c>
      <c r="J80" s="377">
        <f t="shared" si="27"/>
        <v>1154</v>
      </c>
      <c r="K80" s="377">
        <f t="shared" si="27"/>
        <v>7</v>
      </c>
      <c r="L80" s="377">
        <f t="shared" si="27"/>
        <v>280</v>
      </c>
      <c r="M80" s="377">
        <f t="shared" si="27"/>
        <v>28</v>
      </c>
      <c r="N80" s="377">
        <f t="shared" si="27"/>
        <v>244</v>
      </c>
      <c r="O80" s="377">
        <f t="shared" si="27"/>
        <v>6774</v>
      </c>
    </row>
    <row r="81" spans="3:15" ht="22.5" customHeight="1" x14ac:dyDescent="0.2">
      <c r="C81" s="619" t="s">
        <v>215</v>
      </c>
      <c r="D81" s="374" t="s">
        <v>9</v>
      </c>
      <c r="E81" s="377">
        <v>2</v>
      </c>
      <c r="F81" s="377">
        <v>0</v>
      </c>
      <c r="G81" s="377">
        <v>4</v>
      </c>
      <c r="H81" s="377">
        <v>3</v>
      </c>
      <c r="I81" s="377">
        <v>2</v>
      </c>
      <c r="J81" s="377">
        <v>2</v>
      </c>
      <c r="K81" s="377">
        <v>0</v>
      </c>
      <c r="L81" s="377">
        <v>1</v>
      </c>
      <c r="M81" s="377">
        <v>0</v>
      </c>
      <c r="N81" s="377">
        <v>1</v>
      </c>
      <c r="O81" s="382">
        <f t="shared" si="23"/>
        <v>15</v>
      </c>
    </row>
    <row r="82" spans="3:15" ht="22.5" customHeight="1" x14ac:dyDescent="0.2">
      <c r="C82" s="620"/>
      <c r="D82" s="374" t="s">
        <v>10</v>
      </c>
      <c r="E82" s="377">
        <v>6</v>
      </c>
      <c r="F82" s="377">
        <v>2</v>
      </c>
      <c r="G82" s="377">
        <v>4</v>
      </c>
      <c r="H82" s="377">
        <v>4</v>
      </c>
      <c r="I82" s="377">
        <v>1</v>
      </c>
      <c r="J82" s="377">
        <v>5</v>
      </c>
      <c r="K82" s="377">
        <v>0</v>
      </c>
      <c r="L82" s="377">
        <v>1</v>
      </c>
      <c r="M82" s="377">
        <v>0</v>
      </c>
      <c r="N82" s="377">
        <v>1</v>
      </c>
      <c r="O82" s="382">
        <f t="shared" si="23"/>
        <v>24</v>
      </c>
    </row>
    <row r="83" spans="3:15" ht="22.5" customHeight="1" x14ac:dyDescent="0.2">
      <c r="C83" s="621"/>
      <c r="D83" s="374" t="s">
        <v>845</v>
      </c>
      <c r="E83" s="377">
        <f>SUM(E81:E82)</f>
        <v>8</v>
      </c>
      <c r="F83" s="377">
        <f t="shared" ref="F83:O83" si="28">SUM(F81:F82)</f>
        <v>2</v>
      </c>
      <c r="G83" s="377">
        <f t="shared" si="28"/>
        <v>8</v>
      </c>
      <c r="H83" s="377">
        <f t="shared" si="28"/>
        <v>7</v>
      </c>
      <c r="I83" s="377">
        <f t="shared" si="28"/>
        <v>3</v>
      </c>
      <c r="J83" s="377">
        <f t="shared" si="28"/>
        <v>7</v>
      </c>
      <c r="K83" s="377">
        <f t="shared" si="28"/>
        <v>0</v>
      </c>
      <c r="L83" s="377">
        <f t="shared" si="28"/>
        <v>2</v>
      </c>
      <c r="M83" s="377">
        <f t="shared" si="28"/>
        <v>0</v>
      </c>
      <c r="N83" s="377">
        <f t="shared" si="28"/>
        <v>2</v>
      </c>
      <c r="O83" s="377">
        <f t="shared" si="28"/>
        <v>39</v>
      </c>
    </row>
    <row r="84" spans="3:15" ht="22.5" customHeight="1" x14ac:dyDescent="0.2">
      <c r="C84" s="619" t="s">
        <v>38</v>
      </c>
      <c r="D84" s="374" t="s">
        <v>9</v>
      </c>
      <c r="E84" s="377">
        <v>1076</v>
      </c>
      <c r="F84" s="377">
        <v>309</v>
      </c>
      <c r="G84" s="377">
        <v>2346</v>
      </c>
      <c r="H84" s="377">
        <v>1765</v>
      </c>
      <c r="I84" s="377">
        <v>1651</v>
      </c>
      <c r="J84" s="377">
        <v>1528</v>
      </c>
      <c r="K84" s="377">
        <v>12</v>
      </c>
      <c r="L84" s="377">
        <v>432</v>
      </c>
      <c r="M84" s="377">
        <v>15</v>
      </c>
      <c r="N84" s="377">
        <v>336</v>
      </c>
      <c r="O84" s="382">
        <f t="shared" si="23"/>
        <v>9470</v>
      </c>
    </row>
    <row r="85" spans="3:15" ht="22.5" customHeight="1" x14ac:dyDescent="0.2">
      <c r="C85" s="620"/>
      <c r="D85" s="374" t="s">
        <v>10</v>
      </c>
      <c r="E85" s="377">
        <v>579</v>
      </c>
      <c r="F85" s="377">
        <v>146</v>
      </c>
      <c r="G85" s="377">
        <v>421</v>
      </c>
      <c r="H85" s="377">
        <v>353</v>
      </c>
      <c r="I85" s="377">
        <v>65</v>
      </c>
      <c r="J85" s="377">
        <v>482</v>
      </c>
      <c r="K85" s="377">
        <v>0</v>
      </c>
      <c r="L85" s="377">
        <v>42</v>
      </c>
      <c r="M85" s="377">
        <v>37</v>
      </c>
      <c r="N85" s="377">
        <v>84</v>
      </c>
      <c r="O85" s="382">
        <f t="shared" si="23"/>
        <v>2209</v>
      </c>
    </row>
    <row r="86" spans="3:15" ht="22.5" customHeight="1" x14ac:dyDescent="0.2">
      <c r="C86" s="621"/>
      <c r="D86" s="374" t="s">
        <v>845</v>
      </c>
      <c r="E86" s="377">
        <f>SUM(E84:E85)</f>
        <v>1655</v>
      </c>
      <c r="F86" s="377">
        <f t="shared" ref="F86:O86" si="29">SUM(F84:F85)</f>
        <v>455</v>
      </c>
      <c r="G86" s="377">
        <f t="shared" si="29"/>
        <v>2767</v>
      </c>
      <c r="H86" s="377">
        <f t="shared" si="29"/>
        <v>2118</v>
      </c>
      <c r="I86" s="377">
        <f t="shared" si="29"/>
        <v>1716</v>
      </c>
      <c r="J86" s="377">
        <f t="shared" si="29"/>
        <v>2010</v>
      </c>
      <c r="K86" s="377">
        <f t="shared" si="29"/>
        <v>12</v>
      </c>
      <c r="L86" s="377">
        <f t="shared" si="29"/>
        <v>474</v>
      </c>
      <c r="M86" s="377">
        <f t="shared" si="29"/>
        <v>52</v>
      </c>
      <c r="N86" s="377">
        <f t="shared" si="29"/>
        <v>420</v>
      </c>
      <c r="O86" s="377">
        <f t="shared" si="29"/>
        <v>11679</v>
      </c>
    </row>
    <row r="87" spans="3:15" ht="22.5" customHeight="1" x14ac:dyDescent="0.2">
      <c r="C87" s="619" t="s">
        <v>860</v>
      </c>
      <c r="D87" s="374" t="s">
        <v>9</v>
      </c>
      <c r="E87" s="377">
        <v>408</v>
      </c>
      <c r="F87" s="377">
        <v>117</v>
      </c>
      <c r="G87" s="377">
        <v>890</v>
      </c>
      <c r="H87" s="377">
        <v>672</v>
      </c>
      <c r="I87" s="377">
        <v>628</v>
      </c>
      <c r="J87" s="377">
        <v>580</v>
      </c>
      <c r="K87" s="377">
        <v>4</v>
      </c>
      <c r="L87" s="377">
        <v>163</v>
      </c>
      <c r="M87" s="377">
        <v>7</v>
      </c>
      <c r="N87" s="377">
        <v>127</v>
      </c>
      <c r="O87" s="382">
        <f t="shared" si="23"/>
        <v>3596</v>
      </c>
    </row>
    <row r="88" spans="3:15" ht="22.5" customHeight="1" x14ac:dyDescent="0.2">
      <c r="C88" s="620"/>
      <c r="D88" s="374" t="s">
        <v>10</v>
      </c>
      <c r="E88" s="377">
        <v>224</v>
      </c>
      <c r="F88" s="377">
        <v>57</v>
      </c>
      <c r="G88" s="377">
        <v>163</v>
      </c>
      <c r="H88" s="377">
        <v>137</v>
      </c>
      <c r="I88" s="377">
        <v>25</v>
      </c>
      <c r="J88" s="377">
        <v>189</v>
      </c>
      <c r="K88" s="377">
        <v>0</v>
      </c>
      <c r="L88" s="377">
        <v>17</v>
      </c>
      <c r="M88" s="377">
        <v>14</v>
      </c>
      <c r="N88" s="377">
        <v>31</v>
      </c>
      <c r="O88" s="382">
        <f t="shared" si="23"/>
        <v>857</v>
      </c>
    </row>
    <row r="89" spans="3:15" ht="22.5" customHeight="1" x14ac:dyDescent="0.2">
      <c r="C89" s="621"/>
      <c r="D89" s="374" t="s">
        <v>845</v>
      </c>
      <c r="E89" s="377">
        <f>SUM(E87:E88)</f>
        <v>632</v>
      </c>
      <c r="F89" s="377">
        <f t="shared" ref="F89:O89" si="30">SUM(F87:F88)</f>
        <v>174</v>
      </c>
      <c r="G89" s="377">
        <f t="shared" si="30"/>
        <v>1053</v>
      </c>
      <c r="H89" s="377">
        <f t="shared" si="30"/>
        <v>809</v>
      </c>
      <c r="I89" s="377">
        <f t="shared" si="30"/>
        <v>653</v>
      </c>
      <c r="J89" s="377">
        <f t="shared" si="30"/>
        <v>769</v>
      </c>
      <c r="K89" s="377">
        <f t="shared" si="30"/>
        <v>4</v>
      </c>
      <c r="L89" s="377">
        <f t="shared" si="30"/>
        <v>180</v>
      </c>
      <c r="M89" s="377">
        <f t="shared" si="30"/>
        <v>21</v>
      </c>
      <c r="N89" s="377">
        <f t="shared" si="30"/>
        <v>158</v>
      </c>
      <c r="O89" s="377">
        <f t="shared" si="30"/>
        <v>4453</v>
      </c>
    </row>
    <row r="90" spans="3:15" ht="22.5" customHeight="1" x14ac:dyDescent="0.2">
      <c r="C90" s="616" t="s">
        <v>575</v>
      </c>
      <c r="D90" s="383" t="s">
        <v>9</v>
      </c>
      <c r="E90" s="382">
        <f>E3+E6+E9+E12+E15+E18+E21+E24+E27+E30+E33+E36+E39+E42+E45+E48+E51+E54+E57+E60+E63+E66+E69+E72+E75+E78+E81+E84+E87</f>
        <v>4336</v>
      </c>
      <c r="F90" s="382">
        <f t="shared" ref="F90:O90" si="31">F3+F6+F9+F12+F15+F18+F21+F24+F27+F30+F33+F36+F39+F42+F45+F48+F51+F54+F57+F60+F63+F66+F69+F72+F75+F78+F81+F84+F87</f>
        <v>1254</v>
      </c>
      <c r="G90" s="382">
        <f t="shared" si="31"/>
        <v>9462</v>
      </c>
      <c r="H90" s="382">
        <f t="shared" si="31"/>
        <v>7118</v>
      </c>
      <c r="I90" s="382">
        <f t="shared" si="31"/>
        <v>6665</v>
      </c>
      <c r="J90" s="382">
        <f t="shared" si="31"/>
        <v>6173</v>
      </c>
      <c r="K90" s="382">
        <f t="shared" si="31"/>
        <v>44</v>
      </c>
      <c r="L90" s="382">
        <f t="shared" si="31"/>
        <v>1744</v>
      </c>
      <c r="M90" s="382">
        <f t="shared" si="31"/>
        <v>68</v>
      </c>
      <c r="N90" s="382">
        <f t="shared" si="31"/>
        <v>1357</v>
      </c>
      <c r="O90" s="382">
        <f t="shared" si="31"/>
        <v>38221</v>
      </c>
    </row>
    <row r="91" spans="3:15" ht="22.5" customHeight="1" x14ac:dyDescent="0.2">
      <c r="C91" s="616"/>
      <c r="D91" s="383" t="s">
        <v>10</v>
      </c>
      <c r="E91" s="382">
        <f t="shared" ref="E91:O92" si="32">E4+E7+E10+E13+E16+E19+E22+E25+E28+E31+E34+E37+E40+E43+E46+E49+E52+E55+E58+E61+E64+E67+E70+E73+E76+E79+E82+E85+E88</f>
        <v>2820</v>
      </c>
      <c r="F91" s="382">
        <f t="shared" si="32"/>
        <v>710</v>
      </c>
      <c r="G91" s="382">
        <f t="shared" si="32"/>
        <v>2045</v>
      </c>
      <c r="H91" s="382">
        <f t="shared" si="32"/>
        <v>1715</v>
      </c>
      <c r="I91" s="382">
        <f t="shared" si="32"/>
        <v>317</v>
      </c>
      <c r="J91" s="382">
        <f t="shared" si="32"/>
        <v>2340</v>
      </c>
      <c r="K91" s="382">
        <f t="shared" si="32"/>
        <v>0</v>
      </c>
      <c r="L91" s="382">
        <f t="shared" si="32"/>
        <v>208</v>
      </c>
      <c r="M91" s="382">
        <f t="shared" si="32"/>
        <v>178</v>
      </c>
      <c r="N91" s="382">
        <f t="shared" si="32"/>
        <v>405</v>
      </c>
      <c r="O91" s="382">
        <f t="shared" si="32"/>
        <v>10738</v>
      </c>
    </row>
    <row r="92" spans="3:15" ht="22.5" customHeight="1" x14ac:dyDescent="0.2">
      <c r="C92" s="616"/>
      <c r="D92" s="383" t="s">
        <v>845</v>
      </c>
      <c r="E92" s="382">
        <f t="shared" si="32"/>
        <v>7156</v>
      </c>
      <c r="F92" s="382">
        <f t="shared" si="32"/>
        <v>1964</v>
      </c>
      <c r="G92" s="382">
        <f t="shared" si="32"/>
        <v>11507</v>
      </c>
      <c r="H92" s="382">
        <f t="shared" si="32"/>
        <v>8833</v>
      </c>
      <c r="I92" s="382">
        <f t="shared" si="32"/>
        <v>6982</v>
      </c>
      <c r="J92" s="382">
        <f t="shared" si="32"/>
        <v>8513</v>
      </c>
      <c r="K92" s="382">
        <f t="shared" si="32"/>
        <v>44</v>
      </c>
      <c r="L92" s="382">
        <f t="shared" si="32"/>
        <v>1952</v>
      </c>
      <c r="M92" s="382">
        <f t="shared" si="32"/>
        <v>246</v>
      </c>
      <c r="N92" s="382">
        <f t="shared" si="32"/>
        <v>1762</v>
      </c>
      <c r="O92" s="382">
        <f t="shared" si="32"/>
        <v>48959</v>
      </c>
    </row>
  </sheetData>
  <mergeCells count="31">
    <mergeCell ref="C90:C92"/>
    <mergeCell ref="C72:C74"/>
    <mergeCell ref="C75:C77"/>
    <mergeCell ref="C78:C80"/>
    <mergeCell ref="C81:C83"/>
    <mergeCell ref="C84:C86"/>
    <mergeCell ref="C87:C89"/>
    <mergeCell ref="C69:C71"/>
    <mergeCell ref="C36:C38"/>
    <mergeCell ref="C39:C41"/>
    <mergeCell ref="C42:C44"/>
    <mergeCell ref="C45:C47"/>
    <mergeCell ref="C48:C50"/>
    <mergeCell ref="C51:C53"/>
    <mergeCell ref="C54:C56"/>
    <mergeCell ref="C57:C59"/>
    <mergeCell ref="C60:C62"/>
    <mergeCell ref="C63:C65"/>
    <mergeCell ref="C66:C68"/>
    <mergeCell ref="C33:C35"/>
    <mergeCell ref="C1:O1"/>
    <mergeCell ref="C3:C5"/>
    <mergeCell ref="C6:C8"/>
    <mergeCell ref="C9:C11"/>
    <mergeCell ref="C12:C14"/>
    <mergeCell ref="C15:C17"/>
    <mergeCell ref="C18:C20"/>
    <mergeCell ref="C21:C23"/>
    <mergeCell ref="C24:C26"/>
    <mergeCell ref="C27:C29"/>
    <mergeCell ref="C30:C3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V92"/>
  <sheetViews>
    <sheetView rightToLeft="1" topLeftCell="B85" workbookViewId="0">
      <selection activeCell="H15" sqref="H15"/>
    </sheetView>
  </sheetViews>
  <sheetFormatPr defaultRowHeight="14.25" x14ac:dyDescent="0.2"/>
  <cols>
    <col min="1" max="2" width="9" style="160"/>
    <col min="3" max="3" width="29.75" style="372" bestFit="1" customWidth="1"/>
    <col min="4" max="6" width="9" style="372"/>
    <col min="7" max="7" width="9.875" style="372" customWidth="1"/>
    <col min="8" max="8" width="11.25" style="372" customWidth="1"/>
    <col min="9" max="16" width="9" style="372"/>
    <col min="17" max="16384" width="9" style="160"/>
  </cols>
  <sheetData>
    <row r="1" spans="3:22" ht="39" customHeight="1" x14ac:dyDescent="0.2">
      <c r="C1" s="622" t="s">
        <v>886</v>
      </c>
      <c r="D1" s="622"/>
      <c r="E1" s="622"/>
      <c r="F1" s="622"/>
      <c r="G1" s="622"/>
      <c r="H1" s="622"/>
      <c r="I1" s="622"/>
      <c r="J1" s="622"/>
      <c r="K1" s="622"/>
      <c r="L1" s="622"/>
      <c r="M1" s="622"/>
      <c r="N1" s="622"/>
      <c r="O1" s="622"/>
      <c r="P1" s="387"/>
      <c r="Q1" s="165"/>
      <c r="R1" s="165"/>
      <c r="S1" s="165"/>
      <c r="T1" s="165"/>
      <c r="U1" s="165"/>
      <c r="V1" s="165"/>
    </row>
    <row r="2" spans="3:22" ht="33.75" customHeight="1" x14ac:dyDescent="0.2">
      <c r="C2" s="378" t="s">
        <v>8</v>
      </c>
      <c r="D2" s="379" t="s">
        <v>7</v>
      </c>
      <c r="E2" s="380" t="s">
        <v>854</v>
      </c>
      <c r="F2" s="380" t="s">
        <v>853</v>
      </c>
      <c r="G2" s="380" t="s">
        <v>852</v>
      </c>
      <c r="H2" s="380" t="s">
        <v>851</v>
      </c>
      <c r="I2" s="380" t="s">
        <v>850</v>
      </c>
      <c r="J2" s="380" t="s">
        <v>49</v>
      </c>
      <c r="K2" s="380" t="s">
        <v>50</v>
      </c>
      <c r="L2" s="380" t="s">
        <v>857</v>
      </c>
      <c r="M2" s="380" t="s">
        <v>847</v>
      </c>
      <c r="N2" s="380" t="s">
        <v>53</v>
      </c>
      <c r="O2" s="381" t="s">
        <v>4</v>
      </c>
    </row>
    <row r="3" spans="3:22" ht="18" customHeight="1" x14ac:dyDescent="0.2">
      <c r="C3" s="619" t="s">
        <v>14</v>
      </c>
      <c r="D3" s="374" t="s">
        <v>9</v>
      </c>
      <c r="E3" s="377">
        <v>12</v>
      </c>
      <c r="F3" s="377">
        <v>3</v>
      </c>
      <c r="G3" s="377">
        <v>29</v>
      </c>
      <c r="H3" s="377">
        <v>21</v>
      </c>
      <c r="I3" s="377">
        <v>22</v>
      </c>
      <c r="J3" s="377">
        <v>17</v>
      </c>
      <c r="K3" s="377">
        <v>0</v>
      </c>
      <c r="L3" s="377">
        <v>5</v>
      </c>
      <c r="M3" s="377">
        <v>0</v>
      </c>
      <c r="N3" s="377">
        <v>3</v>
      </c>
      <c r="O3" s="382">
        <f>SUM(E3:N3)</f>
        <v>112</v>
      </c>
    </row>
    <row r="4" spans="3:22" ht="18" customHeight="1" x14ac:dyDescent="0.2">
      <c r="C4" s="620"/>
      <c r="D4" s="374" t="s">
        <v>10</v>
      </c>
      <c r="E4" s="377">
        <v>26</v>
      </c>
      <c r="F4" s="377">
        <v>7</v>
      </c>
      <c r="G4" s="377">
        <v>22</v>
      </c>
      <c r="H4" s="377">
        <v>19</v>
      </c>
      <c r="I4" s="377">
        <v>4</v>
      </c>
      <c r="J4" s="377">
        <v>30</v>
      </c>
      <c r="K4" s="377">
        <v>0</v>
      </c>
      <c r="L4" s="377">
        <v>3</v>
      </c>
      <c r="M4" s="377">
        <v>2</v>
      </c>
      <c r="N4" s="377">
        <v>2</v>
      </c>
      <c r="O4" s="382">
        <f t="shared" ref="O4:O67" si="0">SUM(E4:N4)</f>
        <v>115</v>
      </c>
    </row>
    <row r="5" spans="3:22" ht="18" customHeight="1" x14ac:dyDescent="0.2">
      <c r="C5" s="621"/>
      <c r="D5" s="374" t="s">
        <v>845</v>
      </c>
      <c r="E5" s="377">
        <f>SUM(E3:E4)</f>
        <v>38</v>
      </c>
      <c r="F5" s="377">
        <f t="shared" ref="F5:O5" si="1">SUM(F3:F4)</f>
        <v>10</v>
      </c>
      <c r="G5" s="377">
        <f t="shared" si="1"/>
        <v>51</v>
      </c>
      <c r="H5" s="377">
        <f t="shared" si="1"/>
        <v>40</v>
      </c>
      <c r="I5" s="377">
        <f t="shared" si="1"/>
        <v>26</v>
      </c>
      <c r="J5" s="377">
        <f t="shared" si="1"/>
        <v>47</v>
      </c>
      <c r="K5" s="377">
        <f t="shared" si="1"/>
        <v>0</v>
      </c>
      <c r="L5" s="377">
        <f t="shared" si="1"/>
        <v>8</v>
      </c>
      <c r="M5" s="377">
        <f t="shared" si="1"/>
        <v>2</v>
      </c>
      <c r="N5" s="377">
        <f t="shared" si="1"/>
        <v>5</v>
      </c>
      <c r="O5" s="377">
        <f t="shared" si="1"/>
        <v>227</v>
      </c>
    </row>
    <row r="6" spans="3:22" ht="18" customHeight="1" x14ac:dyDescent="0.2">
      <c r="C6" s="619" t="s">
        <v>869</v>
      </c>
      <c r="D6" s="374" t="s">
        <v>9</v>
      </c>
      <c r="E6" s="377">
        <v>8</v>
      </c>
      <c r="F6" s="377">
        <v>2</v>
      </c>
      <c r="G6" s="377">
        <v>17</v>
      </c>
      <c r="H6" s="377">
        <v>14</v>
      </c>
      <c r="I6" s="377">
        <v>13</v>
      </c>
      <c r="J6" s="377">
        <v>11</v>
      </c>
      <c r="K6" s="377">
        <v>0</v>
      </c>
      <c r="L6" s="377">
        <v>3</v>
      </c>
      <c r="M6" s="377">
        <v>0</v>
      </c>
      <c r="N6" s="377">
        <v>2</v>
      </c>
      <c r="O6" s="382">
        <f t="shared" si="0"/>
        <v>70</v>
      </c>
    </row>
    <row r="7" spans="3:22" ht="18" customHeight="1" x14ac:dyDescent="0.2">
      <c r="C7" s="620"/>
      <c r="D7" s="374" t="s">
        <v>10</v>
      </c>
      <c r="E7" s="377">
        <v>19</v>
      </c>
      <c r="F7" s="377">
        <v>5</v>
      </c>
      <c r="G7" s="377">
        <v>17</v>
      </c>
      <c r="H7" s="377">
        <v>14</v>
      </c>
      <c r="I7" s="377">
        <v>3</v>
      </c>
      <c r="J7" s="377">
        <v>22</v>
      </c>
      <c r="K7" s="377">
        <v>0</v>
      </c>
      <c r="L7" s="377">
        <v>1</v>
      </c>
      <c r="M7" s="377">
        <v>1</v>
      </c>
      <c r="N7" s="377">
        <v>2</v>
      </c>
      <c r="O7" s="382">
        <f t="shared" si="0"/>
        <v>84</v>
      </c>
    </row>
    <row r="8" spans="3:22" ht="18" customHeight="1" x14ac:dyDescent="0.2">
      <c r="C8" s="621"/>
      <c r="D8" s="374" t="s">
        <v>845</v>
      </c>
      <c r="E8" s="377">
        <f>SUM(E6:E7)</f>
        <v>27</v>
      </c>
      <c r="F8" s="377">
        <f t="shared" ref="F8:O8" si="2">SUM(F6:F7)</f>
        <v>7</v>
      </c>
      <c r="G8" s="377">
        <f t="shared" si="2"/>
        <v>34</v>
      </c>
      <c r="H8" s="377">
        <f t="shared" si="2"/>
        <v>28</v>
      </c>
      <c r="I8" s="377">
        <f t="shared" si="2"/>
        <v>16</v>
      </c>
      <c r="J8" s="377">
        <f t="shared" si="2"/>
        <v>33</v>
      </c>
      <c r="K8" s="377">
        <f t="shared" si="2"/>
        <v>0</v>
      </c>
      <c r="L8" s="377">
        <f t="shared" si="2"/>
        <v>4</v>
      </c>
      <c r="M8" s="377">
        <f t="shared" si="2"/>
        <v>1</v>
      </c>
      <c r="N8" s="377">
        <f t="shared" si="2"/>
        <v>4</v>
      </c>
      <c r="O8" s="377">
        <f t="shared" si="2"/>
        <v>154</v>
      </c>
    </row>
    <row r="9" spans="3:22" ht="18" customHeight="1" x14ac:dyDescent="0.2">
      <c r="C9" s="619" t="s">
        <v>868</v>
      </c>
      <c r="D9" s="374" t="s">
        <v>9</v>
      </c>
      <c r="E9" s="377">
        <v>1</v>
      </c>
      <c r="F9" s="377">
        <v>0</v>
      </c>
      <c r="G9" s="377">
        <v>1</v>
      </c>
      <c r="H9" s="377">
        <v>1</v>
      </c>
      <c r="I9" s="377">
        <v>1</v>
      </c>
      <c r="J9" s="377">
        <v>1</v>
      </c>
      <c r="K9" s="377">
        <v>0</v>
      </c>
      <c r="L9" s="377">
        <v>0</v>
      </c>
      <c r="M9" s="377">
        <v>0</v>
      </c>
      <c r="N9" s="377">
        <v>0</v>
      </c>
      <c r="O9" s="382">
        <f t="shared" si="0"/>
        <v>5</v>
      </c>
    </row>
    <row r="10" spans="3:22" ht="18" customHeight="1" x14ac:dyDescent="0.2">
      <c r="C10" s="620"/>
      <c r="D10" s="374" t="s">
        <v>10</v>
      </c>
      <c r="E10" s="377">
        <v>1</v>
      </c>
      <c r="F10" s="377">
        <v>0</v>
      </c>
      <c r="G10" s="377">
        <v>1</v>
      </c>
      <c r="H10" s="377">
        <v>1</v>
      </c>
      <c r="I10" s="377">
        <v>0</v>
      </c>
      <c r="J10" s="377">
        <v>1</v>
      </c>
      <c r="K10" s="377">
        <v>0</v>
      </c>
      <c r="L10" s="377">
        <v>0</v>
      </c>
      <c r="M10" s="377">
        <v>0</v>
      </c>
      <c r="N10" s="377">
        <v>0</v>
      </c>
      <c r="O10" s="382">
        <f t="shared" si="0"/>
        <v>4</v>
      </c>
    </row>
    <row r="11" spans="3:22" ht="18" customHeight="1" x14ac:dyDescent="0.2">
      <c r="C11" s="621"/>
      <c r="D11" s="374" t="s">
        <v>845</v>
      </c>
      <c r="E11" s="377">
        <f>SUM(E9:E10)</f>
        <v>2</v>
      </c>
      <c r="F11" s="377">
        <f t="shared" ref="F11:O11" si="3">SUM(F9:F10)</f>
        <v>0</v>
      </c>
      <c r="G11" s="377">
        <f t="shared" si="3"/>
        <v>2</v>
      </c>
      <c r="H11" s="377">
        <f t="shared" si="3"/>
        <v>2</v>
      </c>
      <c r="I11" s="377">
        <f t="shared" si="3"/>
        <v>1</v>
      </c>
      <c r="J11" s="377">
        <f t="shared" si="3"/>
        <v>2</v>
      </c>
      <c r="K11" s="377">
        <f t="shared" si="3"/>
        <v>0</v>
      </c>
      <c r="L11" s="377">
        <f t="shared" si="3"/>
        <v>0</v>
      </c>
      <c r="M11" s="377">
        <f t="shared" si="3"/>
        <v>0</v>
      </c>
      <c r="N11" s="377">
        <f t="shared" si="3"/>
        <v>0</v>
      </c>
      <c r="O11" s="377">
        <f t="shared" si="3"/>
        <v>9</v>
      </c>
    </row>
    <row r="12" spans="3:22" ht="18" customHeight="1" x14ac:dyDescent="0.2">
      <c r="C12" s="619" t="s">
        <v>867</v>
      </c>
      <c r="D12" s="374" t="s">
        <v>9</v>
      </c>
      <c r="E12" s="377">
        <v>7</v>
      </c>
      <c r="F12" s="377">
        <v>2</v>
      </c>
      <c r="G12" s="377">
        <v>18</v>
      </c>
      <c r="H12" s="377">
        <v>13</v>
      </c>
      <c r="I12" s="377">
        <v>13</v>
      </c>
      <c r="J12" s="377">
        <v>10</v>
      </c>
      <c r="K12" s="377">
        <v>0</v>
      </c>
      <c r="L12" s="377">
        <v>3</v>
      </c>
      <c r="M12" s="377">
        <v>0</v>
      </c>
      <c r="N12" s="377">
        <v>2</v>
      </c>
      <c r="O12" s="382">
        <f t="shared" si="0"/>
        <v>68</v>
      </c>
    </row>
    <row r="13" spans="3:22" ht="18" customHeight="1" x14ac:dyDescent="0.2">
      <c r="C13" s="620"/>
      <c r="D13" s="374" t="s">
        <v>10</v>
      </c>
      <c r="E13" s="377">
        <v>18</v>
      </c>
      <c r="F13" s="377">
        <v>5</v>
      </c>
      <c r="G13" s="377">
        <v>16</v>
      </c>
      <c r="H13" s="377">
        <v>13</v>
      </c>
      <c r="I13" s="377">
        <v>3</v>
      </c>
      <c r="J13" s="377">
        <v>21</v>
      </c>
      <c r="K13" s="377">
        <v>0</v>
      </c>
      <c r="L13" s="377">
        <v>1</v>
      </c>
      <c r="M13" s="377">
        <v>1</v>
      </c>
      <c r="N13" s="377">
        <v>2</v>
      </c>
      <c r="O13" s="382">
        <f t="shared" si="0"/>
        <v>80</v>
      </c>
    </row>
    <row r="14" spans="3:22" ht="18" customHeight="1" x14ac:dyDescent="0.2">
      <c r="C14" s="621"/>
      <c r="D14" s="374" t="s">
        <v>845</v>
      </c>
      <c r="E14" s="377">
        <f>SUM(E12:E13)</f>
        <v>25</v>
      </c>
      <c r="F14" s="377">
        <f t="shared" ref="F14:O14" si="4">SUM(F12:F13)</f>
        <v>7</v>
      </c>
      <c r="G14" s="377">
        <f t="shared" si="4"/>
        <v>34</v>
      </c>
      <c r="H14" s="377">
        <f t="shared" si="4"/>
        <v>26</v>
      </c>
      <c r="I14" s="377">
        <f t="shared" si="4"/>
        <v>16</v>
      </c>
      <c r="J14" s="377">
        <f t="shared" si="4"/>
        <v>31</v>
      </c>
      <c r="K14" s="377">
        <f t="shared" si="4"/>
        <v>0</v>
      </c>
      <c r="L14" s="377">
        <f t="shared" si="4"/>
        <v>4</v>
      </c>
      <c r="M14" s="377">
        <f t="shared" si="4"/>
        <v>1</v>
      </c>
      <c r="N14" s="377">
        <f t="shared" si="4"/>
        <v>4</v>
      </c>
      <c r="O14" s="377">
        <f t="shared" si="4"/>
        <v>148</v>
      </c>
    </row>
    <row r="15" spans="3:22" ht="18" customHeight="1" x14ac:dyDescent="0.2">
      <c r="C15" s="619" t="s">
        <v>16</v>
      </c>
      <c r="D15" s="374" t="s">
        <v>9</v>
      </c>
      <c r="E15" s="377">
        <v>0</v>
      </c>
      <c r="F15" s="377">
        <v>0</v>
      </c>
      <c r="G15" s="377">
        <v>1</v>
      </c>
      <c r="H15" s="377">
        <v>1</v>
      </c>
      <c r="I15" s="377">
        <v>1</v>
      </c>
      <c r="J15" s="377">
        <v>0</v>
      </c>
      <c r="K15" s="377">
        <v>0</v>
      </c>
      <c r="L15" s="377">
        <v>0</v>
      </c>
      <c r="M15" s="377">
        <v>0</v>
      </c>
      <c r="N15" s="377">
        <v>0</v>
      </c>
      <c r="O15" s="382">
        <f t="shared" si="0"/>
        <v>3</v>
      </c>
    </row>
    <row r="16" spans="3:22" ht="18" customHeight="1" x14ac:dyDescent="0.2">
      <c r="C16" s="620"/>
      <c r="D16" s="374" t="s">
        <v>10</v>
      </c>
      <c r="E16" s="377">
        <v>0</v>
      </c>
      <c r="F16" s="377">
        <v>0</v>
      </c>
      <c r="G16" s="377">
        <v>0</v>
      </c>
      <c r="H16" s="377">
        <v>1</v>
      </c>
      <c r="I16" s="377">
        <v>0</v>
      </c>
      <c r="J16" s="377">
        <v>0</v>
      </c>
      <c r="K16" s="377">
        <v>0</v>
      </c>
      <c r="L16" s="377">
        <v>0</v>
      </c>
      <c r="M16" s="377">
        <v>0</v>
      </c>
      <c r="N16" s="377">
        <v>0</v>
      </c>
      <c r="O16" s="382">
        <f t="shared" si="0"/>
        <v>1</v>
      </c>
    </row>
    <row r="17" spans="3:15" ht="18" customHeight="1" x14ac:dyDescent="0.2">
      <c r="C17" s="621"/>
      <c r="D17" s="374" t="s">
        <v>845</v>
      </c>
      <c r="E17" s="377">
        <f>SUM(E15:E16)</f>
        <v>0</v>
      </c>
      <c r="F17" s="377">
        <f t="shared" ref="F17:O17" si="5">SUM(F15:F16)</f>
        <v>0</v>
      </c>
      <c r="G17" s="377">
        <f t="shared" si="5"/>
        <v>1</v>
      </c>
      <c r="H17" s="377">
        <f t="shared" si="5"/>
        <v>2</v>
      </c>
      <c r="I17" s="377">
        <f t="shared" si="5"/>
        <v>1</v>
      </c>
      <c r="J17" s="377">
        <f t="shared" si="5"/>
        <v>0</v>
      </c>
      <c r="K17" s="377">
        <f t="shared" si="5"/>
        <v>0</v>
      </c>
      <c r="L17" s="377">
        <f t="shared" si="5"/>
        <v>0</v>
      </c>
      <c r="M17" s="377">
        <f t="shared" si="5"/>
        <v>0</v>
      </c>
      <c r="N17" s="377">
        <f t="shared" si="5"/>
        <v>0</v>
      </c>
      <c r="O17" s="377">
        <f t="shared" si="5"/>
        <v>4</v>
      </c>
    </row>
    <row r="18" spans="3:15" ht="18" customHeight="1" x14ac:dyDescent="0.2">
      <c r="C18" s="619" t="s">
        <v>21</v>
      </c>
      <c r="D18" s="374" t="s">
        <v>9</v>
      </c>
      <c r="E18" s="377">
        <v>107</v>
      </c>
      <c r="F18" s="377">
        <v>29</v>
      </c>
      <c r="G18" s="377">
        <v>251</v>
      </c>
      <c r="H18" s="377">
        <v>191</v>
      </c>
      <c r="I18" s="377">
        <v>187</v>
      </c>
      <c r="J18" s="377">
        <v>150</v>
      </c>
      <c r="K18" s="377">
        <v>1</v>
      </c>
      <c r="L18" s="377">
        <v>42</v>
      </c>
      <c r="M18" s="377">
        <v>2</v>
      </c>
      <c r="N18" s="377">
        <v>30</v>
      </c>
      <c r="O18" s="382">
        <f t="shared" si="0"/>
        <v>990</v>
      </c>
    </row>
    <row r="19" spans="3:15" ht="18" customHeight="1" x14ac:dyDescent="0.2">
      <c r="C19" s="620"/>
      <c r="D19" s="374" t="s">
        <v>10</v>
      </c>
      <c r="E19" s="377">
        <v>38</v>
      </c>
      <c r="F19" s="377">
        <v>11</v>
      </c>
      <c r="G19" s="377">
        <v>34</v>
      </c>
      <c r="H19" s="377">
        <v>28</v>
      </c>
      <c r="I19" s="377">
        <v>8</v>
      </c>
      <c r="J19" s="377">
        <v>45</v>
      </c>
      <c r="K19" s="377">
        <v>0</v>
      </c>
      <c r="L19" s="377">
        <v>3</v>
      </c>
      <c r="M19" s="377">
        <v>2</v>
      </c>
      <c r="N19" s="377">
        <v>2</v>
      </c>
      <c r="O19" s="382">
        <f t="shared" si="0"/>
        <v>171</v>
      </c>
    </row>
    <row r="20" spans="3:15" ht="18" customHeight="1" x14ac:dyDescent="0.2">
      <c r="C20" s="621"/>
      <c r="D20" s="374" t="s">
        <v>845</v>
      </c>
      <c r="E20" s="377">
        <f>SUM(E18:E19)</f>
        <v>145</v>
      </c>
      <c r="F20" s="377">
        <f t="shared" ref="F20:O20" si="6">SUM(F18:F19)</f>
        <v>40</v>
      </c>
      <c r="G20" s="377">
        <f t="shared" si="6"/>
        <v>285</v>
      </c>
      <c r="H20" s="377">
        <f t="shared" si="6"/>
        <v>219</v>
      </c>
      <c r="I20" s="377">
        <f t="shared" si="6"/>
        <v>195</v>
      </c>
      <c r="J20" s="377">
        <f t="shared" si="6"/>
        <v>195</v>
      </c>
      <c r="K20" s="377">
        <f t="shared" si="6"/>
        <v>1</v>
      </c>
      <c r="L20" s="377">
        <f t="shared" si="6"/>
        <v>45</v>
      </c>
      <c r="M20" s="377">
        <f t="shared" si="6"/>
        <v>4</v>
      </c>
      <c r="N20" s="377">
        <f t="shared" si="6"/>
        <v>32</v>
      </c>
      <c r="O20" s="377">
        <f t="shared" si="6"/>
        <v>1161</v>
      </c>
    </row>
    <row r="21" spans="3:15" ht="18" customHeight="1" x14ac:dyDescent="0.2">
      <c r="C21" s="619" t="s">
        <v>19</v>
      </c>
      <c r="D21" s="374" t="s">
        <v>9</v>
      </c>
      <c r="E21" s="377">
        <v>1</v>
      </c>
      <c r="F21" s="377">
        <v>0</v>
      </c>
      <c r="G21" s="377">
        <v>1</v>
      </c>
      <c r="H21" s="377">
        <v>1</v>
      </c>
      <c r="I21" s="377">
        <v>1</v>
      </c>
      <c r="J21" s="377">
        <v>1</v>
      </c>
      <c r="K21" s="377">
        <v>0</v>
      </c>
      <c r="L21" s="377">
        <v>0</v>
      </c>
      <c r="M21" s="377">
        <v>0</v>
      </c>
      <c r="N21" s="377">
        <v>0</v>
      </c>
      <c r="O21" s="382">
        <f t="shared" si="0"/>
        <v>5</v>
      </c>
    </row>
    <row r="22" spans="3:15" ht="18" customHeight="1" x14ac:dyDescent="0.2">
      <c r="C22" s="620"/>
      <c r="D22" s="374" t="s">
        <v>10</v>
      </c>
      <c r="E22" s="377">
        <v>1</v>
      </c>
      <c r="F22" s="377">
        <v>0</v>
      </c>
      <c r="G22" s="377">
        <v>0</v>
      </c>
      <c r="H22" s="377">
        <v>0</v>
      </c>
      <c r="I22" s="377">
        <v>0</v>
      </c>
      <c r="J22" s="377">
        <v>1</v>
      </c>
      <c r="K22" s="377">
        <v>0</v>
      </c>
      <c r="L22" s="377">
        <v>0</v>
      </c>
      <c r="M22" s="377">
        <v>0</v>
      </c>
      <c r="N22" s="377">
        <v>1</v>
      </c>
      <c r="O22" s="382">
        <f t="shared" si="0"/>
        <v>3</v>
      </c>
    </row>
    <row r="23" spans="3:15" ht="18" customHeight="1" x14ac:dyDescent="0.2">
      <c r="C23" s="621"/>
      <c r="D23" s="374" t="s">
        <v>845</v>
      </c>
      <c r="E23" s="377">
        <f>SUM(E21:E22)</f>
        <v>2</v>
      </c>
      <c r="F23" s="377">
        <f t="shared" ref="F23:O23" si="7">SUM(F21:F22)</f>
        <v>0</v>
      </c>
      <c r="G23" s="377">
        <f t="shared" si="7"/>
        <v>1</v>
      </c>
      <c r="H23" s="377">
        <f t="shared" si="7"/>
        <v>1</v>
      </c>
      <c r="I23" s="377">
        <f t="shared" si="7"/>
        <v>1</v>
      </c>
      <c r="J23" s="377">
        <f t="shared" si="7"/>
        <v>2</v>
      </c>
      <c r="K23" s="377">
        <f t="shared" si="7"/>
        <v>0</v>
      </c>
      <c r="L23" s="377">
        <f t="shared" si="7"/>
        <v>0</v>
      </c>
      <c r="M23" s="377">
        <f t="shared" si="7"/>
        <v>0</v>
      </c>
      <c r="N23" s="377">
        <f t="shared" si="7"/>
        <v>1</v>
      </c>
      <c r="O23" s="377">
        <f t="shared" si="7"/>
        <v>8</v>
      </c>
    </row>
    <row r="24" spans="3:15" ht="18" customHeight="1" x14ac:dyDescent="0.2">
      <c r="C24" s="619" t="s">
        <v>866</v>
      </c>
      <c r="D24" s="374" t="s">
        <v>9</v>
      </c>
      <c r="E24" s="377">
        <v>1</v>
      </c>
      <c r="F24" s="377">
        <v>1</v>
      </c>
      <c r="G24" s="377">
        <v>4</v>
      </c>
      <c r="H24" s="377">
        <v>3</v>
      </c>
      <c r="I24" s="377">
        <v>3</v>
      </c>
      <c r="J24" s="377">
        <v>3</v>
      </c>
      <c r="K24" s="377">
        <v>0</v>
      </c>
      <c r="L24" s="377">
        <v>1</v>
      </c>
      <c r="M24" s="377">
        <v>0</v>
      </c>
      <c r="N24" s="377">
        <v>1</v>
      </c>
      <c r="O24" s="382">
        <f t="shared" si="0"/>
        <v>17</v>
      </c>
    </row>
    <row r="25" spans="3:15" ht="18" customHeight="1" x14ac:dyDescent="0.2">
      <c r="C25" s="620"/>
      <c r="D25" s="374" t="s">
        <v>10</v>
      </c>
      <c r="E25" s="377">
        <v>1</v>
      </c>
      <c r="F25" s="377">
        <v>0</v>
      </c>
      <c r="G25" s="377">
        <v>1</v>
      </c>
      <c r="H25" s="377">
        <v>1</v>
      </c>
      <c r="I25" s="377">
        <v>0</v>
      </c>
      <c r="J25" s="377">
        <v>1</v>
      </c>
      <c r="K25" s="377">
        <v>0</v>
      </c>
      <c r="L25" s="377">
        <v>0</v>
      </c>
      <c r="M25" s="377">
        <v>0</v>
      </c>
      <c r="N25" s="377">
        <v>0</v>
      </c>
      <c r="O25" s="382">
        <f t="shared" si="0"/>
        <v>4</v>
      </c>
    </row>
    <row r="26" spans="3:15" ht="18" customHeight="1" x14ac:dyDescent="0.2">
      <c r="C26" s="621"/>
      <c r="D26" s="374" t="s">
        <v>845</v>
      </c>
      <c r="E26" s="377">
        <f>SUM(E24:E25)</f>
        <v>2</v>
      </c>
      <c r="F26" s="377">
        <f t="shared" ref="F26:O26" si="8">SUM(F24:F25)</f>
        <v>1</v>
      </c>
      <c r="G26" s="377">
        <f t="shared" si="8"/>
        <v>5</v>
      </c>
      <c r="H26" s="377">
        <f t="shared" si="8"/>
        <v>4</v>
      </c>
      <c r="I26" s="377">
        <f t="shared" si="8"/>
        <v>3</v>
      </c>
      <c r="J26" s="377">
        <f t="shared" si="8"/>
        <v>4</v>
      </c>
      <c r="K26" s="377">
        <f t="shared" si="8"/>
        <v>0</v>
      </c>
      <c r="L26" s="377">
        <f t="shared" si="8"/>
        <v>1</v>
      </c>
      <c r="M26" s="377">
        <f t="shared" si="8"/>
        <v>0</v>
      </c>
      <c r="N26" s="377">
        <f t="shared" si="8"/>
        <v>1</v>
      </c>
      <c r="O26" s="377">
        <f t="shared" si="8"/>
        <v>21</v>
      </c>
    </row>
    <row r="27" spans="3:15" ht="18" customHeight="1" x14ac:dyDescent="0.2">
      <c r="C27" s="619" t="s">
        <v>865</v>
      </c>
      <c r="D27" s="374" t="s">
        <v>9</v>
      </c>
      <c r="E27" s="377">
        <v>0</v>
      </c>
      <c r="F27" s="377">
        <v>0</v>
      </c>
      <c r="G27" s="377">
        <v>1</v>
      </c>
      <c r="H27" s="377">
        <v>1</v>
      </c>
      <c r="I27" s="377">
        <v>1</v>
      </c>
      <c r="J27" s="377">
        <v>0</v>
      </c>
      <c r="K27" s="377">
        <v>0</v>
      </c>
      <c r="L27" s="377">
        <v>0</v>
      </c>
      <c r="M27" s="377">
        <v>0</v>
      </c>
      <c r="N27" s="377">
        <v>0</v>
      </c>
      <c r="O27" s="382">
        <f t="shared" si="0"/>
        <v>3</v>
      </c>
    </row>
    <row r="28" spans="3:15" ht="18" customHeight="1" x14ac:dyDescent="0.2">
      <c r="C28" s="620"/>
      <c r="D28" s="374" t="s">
        <v>10</v>
      </c>
      <c r="E28" s="377">
        <v>0</v>
      </c>
      <c r="F28" s="377">
        <v>0</v>
      </c>
      <c r="G28" s="377">
        <v>0</v>
      </c>
      <c r="H28" s="377">
        <v>0</v>
      </c>
      <c r="I28" s="377">
        <v>0</v>
      </c>
      <c r="J28" s="377">
        <v>0</v>
      </c>
      <c r="K28" s="377">
        <v>0</v>
      </c>
      <c r="L28" s="377">
        <v>0</v>
      </c>
      <c r="M28" s="377">
        <v>0</v>
      </c>
      <c r="N28" s="377">
        <v>0</v>
      </c>
      <c r="O28" s="382">
        <f t="shared" si="0"/>
        <v>0</v>
      </c>
    </row>
    <row r="29" spans="3:15" ht="18" customHeight="1" x14ac:dyDescent="0.2">
      <c r="C29" s="621"/>
      <c r="D29" s="374" t="s">
        <v>845</v>
      </c>
      <c r="E29" s="377">
        <f>SUM(E27:E28)</f>
        <v>0</v>
      </c>
      <c r="F29" s="377">
        <f t="shared" ref="F29:O29" si="9">SUM(F27:F28)</f>
        <v>0</v>
      </c>
      <c r="G29" s="377">
        <f t="shared" si="9"/>
        <v>1</v>
      </c>
      <c r="H29" s="377">
        <f t="shared" si="9"/>
        <v>1</v>
      </c>
      <c r="I29" s="377">
        <f t="shared" si="9"/>
        <v>1</v>
      </c>
      <c r="J29" s="377">
        <f t="shared" si="9"/>
        <v>0</v>
      </c>
      <c r="K29" s="377">
        <f t="shared" si="9"/>
        <v>0</v>
      </c>
      <c r="L29" s="377">
        <f t="shared" si="9"/>
        <v>0</v>
      </c>
      <c r="M29" s="377">
        <f t="shared" si="9"/>
        <v>0</v>
      </c>
      <c r="N29" s="377">
        <f t="shared" si="9"/>
        <v>0</v>
      </c>
      <c r="O29" s="377">
        <f t="shared" si="9"/>
        <v>3</v>
      </c>
    </row>
    <row r="30" spans="3:15" ht="18" customHeight="1" x14ac:dyDescent="0.2">
      <c r="C30" s="619" t="s">
        <v>18</v>
      </c>
      <c r="D30" s="374" t="s">
        <v>9</v>
      </c>
      <c r="E30" s="377">
        <v>1</v>
      </c>
      <c r="F30" s="377">
        <v>0</v>
      </c>
      <c r="G30" s="377">
        <v>1</v>
      </c>
      <c r="H30" s="377">
        <v>1</v>
      </c>
      <c r="I30" s="377">
        <v>1</v>
      </c>
      <c r="J30" s="377">
        <v>1</v>
      </c>
      <c r="K30" s="377">
        <v>0</v>
      </c>
      <c r="L30" s="377">
        <v>0</v>
      </c>
      <c r="M30" s="377">
        <v>0</v>
      </c>
      <c r="N30" s="377">
        <v>1</v>
      </c>
      <c r="O30" s="382">
        <f t="shared" si="0"/>
        <v>6</v>
      </c>
    </row>
    <row r="31" spans="3:15" ht="18" customHeight="1" x14ac:dyDescent="0.2">
      <c r="C31" s="620"/>
      <c r="D31" s="374" t="s">
        <v>10</v>
      </c>
      <c r="E31" s="377">
        <v>1</v>
      </c>
      <c r="F31" s="377">
        <v>0</v>
      </c>
      <c r="G31" s="377">
        <v>1</v>
      </c>
      <c r="H31" s="377">
        <v>1</v>
      </c>
      <c r="I31" s="377">
        <v>0</v>
      </c>
      <c r="J31" s="377">
        <v>1</v>
      </c>
      <c r="K31" s="377">
        <v>0</v>
      </c>
      <c r="L31" s="377">
        <v>0</v>
      </c>
      <c r="M31" s="377">
        <v>0</v>
      </c>
      <c r="N31" s="377">
        <v>0</v>
      </c>
      <c r="O31" s="382">
        <f t="shared" si="0"/>
        <v>4</v>
      </c>
    </row>
    <row r="32" spans="3:15" ht="18" customHeight="1" x14ac:dyDescent="0.2">
      <c r="C32" s="621"/>
      <c r="D32" s="374" t="s">
        <v>845</v>
      </c>
      <c r="E32" s="377">
        <f>SUM(E30:E31)</f>
        <v>2</v>
      </c>
      <c r="F32" s="377">
        <f t="shared" ref="F32:O32" si="10">SUM(F30:F31)</f>
        <v>0</v>
      </c>
      <c r="G32" s="377">
        <f t="shared" si="10"/>
        <v>2</v>
      </c>
      <c r="H32" s="377">
        <f t="shared" si="10"/>
        <v>2</v>
      </c>
      <c r="I32" s="377">
        <f t="shared" si="10"/>
        <v>1</v>
      </c>
      <c r="J32" s="377">
        <f t="shared" si="10"/>
        <v>2</v>
      </c>
      <c r="K32" s="377">
        <f t="shared" si="10"/>
        <v>0</v>
      </c>
      <c r="L32" s="377">
        <f t="shared" si="10"/>
        <v>0</v>
      </c>
      <c r="M32" s="377">
        <f t="shared" si="10"/>
        <v>0</v>
      </c>
      <c r="N32" s="377">
        <f t="shared" si="10"/>
        <v>1</v>
      </c>
      <c r="O32" s="377">
        <f t="shared" si="10"/>
        <v>10</v>
      </c>
    </row>
    <row r="33" spans="3:15" ht="18" customHeight="1" x14ac:dyDescent="0.2">
      <c r="C33" s="619" t="s">
        <v>23</v>
      </c>
      <c r="D33" s="374" t="s">
        <v>9</v>
      </c>
      <c r="E33" s="377">
        <v>67</v>
      </c>
      <c r="F33" s="377">
        <v>18</v>
      </c>
      <c r="G33" s="377">
        <v>157</v>
      </c>
      <c r="H33" s="377">
        <v>118</v>
      </c>
      <c r="I33" s="377">
        <v>117</v>
      </c>
      <c r="J33" s="377">
        <v>94</v>
      </c>
      <c r="K33" s="377">
        <v>1</v>
      </c>
      <c r="L33" s="377">
        <v>26</v>
      </c>
      <c r="M33" s="377">
        <v>1</v>
      </c>
      <c r="N33" s="377">
        <v>19</v>
      </c>
      <c r="O33" s="382">
        <f t="shared" si="0"/>
        <v>618</v>
      </c>
    </row>
    <row r="34" spans="3:15" ht="18" customHeight="1" x14ac:dyDescent="0.2">
      <c r="C34" s="620"/>
      <c r="D34" s="374" t="s">
        <v>10</v>
      </c>
      <c r="E34" s="377">
        <v>17</v>
      </c>
      <c r="F34" s="377">
        <v>6</v>
      </c>
      <c r="G34" s="377">
        <v>15</v>
      </c>
      <c r="H34" s="377">
        <v>13</v>
      </c>
      <c r="I34" s="377">
        <v>3</v>
      </c>
      <c r="J34" s="377">
        <v>21</v>
      </c>
      <c r="K34" s="377">
        <v>0</v>
      </c>
      <c r="L34" s="377">
        <v>1</v>
      </c>
      <c r="M34" s="377">
        <v>1</v>
      </c>
      <c r="N34" s="377">
        <v>1</v>
      </c>
      <c r="O34" s="382">
        <f t="shared" si="0"/>
        <v>78</v>
      </c>
    </row>
    <row r="35" spans="3:15" ht="18" customHeight="1" x14ac:dyDescent="0.2">
      <c r="C35" s="621"/>
      <c r="D35" s="374" t="s">
        <v>845</v>
      </c>
      <c r="E35" s="377">
        <f>SUM(E33:E34)</f>
        <v>84</v>
      </c>
      <c r="F35" s="377">
        <f t="shared" ref="F35:O35" si="11">SUM(F33:F34)</f>
        <v>24</v>
      </c>
      <c r="G35" s="377">
        <f t="shared" si="11"/>
        <v>172</v>
      </c>
      <c r="H35" s="377">
        <f t="shared" si="11"/>
        <v>131</v>
      </c>
      <c r="I35" s="377">
        <f t="shared" si="11"/>
        <v>120</v>
      </c>
      <c r="J35" s="377">
        <f t="shared" si="11"/>
        <v>115</v>
      </c>
      <c r="K35" s="377">
        <f t="shared" si="11"/>
        <v>1</v>
      </c>
      <c r="L35" s="377">
        <f t="shared" si="11"/>
        <v>27</v>
      </c>
      <c r="M35" s="377">
        <f t="shared" si="11"/>
        <v>2</v>
      </c>
      <c r="N35" s="377">
        <f t="shared" si="11"/>
        <v>20</v>
      </c>
      <c r="O35" s="377">
        <f t="shared" si="11"/>
        <v>696</v>
      </c>
    </row>
    <row r="36" spans="3:15" ht="18" customHeight="1" x14ac:dyDescent="0.2">
      <c r="C36" s="619" t="s">
        <v>15</v>
      </c>
      <c r="D36" s="374" t="s">
        <v>9</v>
      </c>
      <c r="E36" s="377">
        <v>2</v>
      </c>
      <c r="F36" s="377">
        <v>0</v>
      </c>
      <c r="G36" s="377">
        <v>5</v>
      </c>
      <c r="H36" s="377">
        <v>3</v>
      </c>
      <c r="I36" s="377">
        <v>3</v>
      </c>
      <c r="J36" s="377">
        <v>2</v>
      </c>
      <c r="K36" s="377">
        <v>0</v>
      </c>
      <c r="L36" s="377">
        <v>1</v>
      </c>
      <c r="M36" s="377">
        <v>0</v>
      </c>
      <c r="N36" s="377">
        <v>0</v>
      </c>
      <c r="O36" s="382">
        <f t="shared" si="0"/>
        <v>16</v>
      </c>
    </row>
    <row r="37" spans="3:15" ht="18" customHeight="1" x14ac:dyDescent="0.2">
      <c r="C37" s="620"/>
      <c r="D37" s="374" t="s">
        <v>10</v>
      </c>
      <c r="E37" s="377">
        <v>2</v>
      </c>
      <c r="F37" s="377">
        <v>1</v>
      </c>
      <c r="G37" s="377">
        <v>2</v>
      </c>
      <c r="H37" s="377">
        <v>2</v>
      </c>
      <c r="I37" s="377">
        <v>0</v>
      </c>
      <c r="J37" s="377">
        <v>3</v>
      </c>
      <c r="K37" s="377">
        <v>0</v>
      </c>
      <c r="L37" s="377">
        <v>0</v>
      </c>
      <c r="M37" s="377">
        <v>0</v>
      </c>
      <c r="N37" s="377">
        <v>0</v>
      </c>
      <c r="O37" s="382">
        <f t="shared" si="0"/>
        <v>10</v>
      </c>
    </row>
    <row r="38" spans="3:15" ht="18" customHeight="1" x14ac:dyDescent="0.2">
      <c r="C38" s="621"/>
      <c r="D38" s="374" t="s">
        <v>845</v>
      </c>
      <c r="E38" s="377">
        <f>SUM(E36:E37)</f>
        <v>4</v>
      </c>
      <c r="F38" s="377">
        <f t="shared" ref="F38:O38" si="12">SUM(F36:F37)</f>
        <v>1</v>
      </c>
      <c r="G38" s="377">
        <f t="shared" si="12"/>
        <v>7</v>
      </c>
      <c r="H38" s="377">
        <f t="shared" si="12"/>
        <v>5</v>
      </c>
      <c r="I38" s="377">
        <f t="shared" si="12"/>
        <v>3</v>
      </c>
      <c r="J38" s="377">
        <f t="shared" si="12"/>
        <v>5</v>
      </c>
      <c r="K38" s="377">
        <f t="shared" si="12"/>
        <v>0</v>
      </c>
      <c r="L38" s="377">
        <f t="shared" si="12"/>
        <v>1</v>
      </c>
      <c r="M38" s="377">
        <f t="shared" si="12"/>
        <v>0</v>
      </c>
      <c r="N38" s="377">
        <f t="shared" si="12"/>
        <v>0</v>
      </c>
      <c r="O38" s="377">
        <f t="shared" si="12"/>
        <v>26</v>
      </c>
    </row>
    <row r="39" spans="3:15" ht="18" customHeight="1" x14ac:dyDescent="0.2">
      <c r="C39" s="619" t="s">
        <v>864</v>
      </c>
      <c r="D39" s="374" t="s">
        <v>9</v>
      </c>
      <c r="E39" s="377">
        <v>2</v>
      </c>
      <c r="F39" s="377">
        <v>1</v>
      </c>
      <c r="G39" s="377">
        <v>3</v>
      </c>
      <c r="H39" s="377">
        <v>4</v>
      </c>
      <c r="I39" s="377">
        <v>4</v>
      </c>
      <c r="J39" s="377">
        <v>3</v>
      </c>
      <c r="K39" s="377">
        <v>0</v>
      </c>
      <c r="L39" s="377">
        <v>1</v>
      </c>
      <c r="M39" s="377">
        <v>0</v>
      </c>
      <c r="N39" s="377">
        <v>1</v>
      </c>
      <c r="O39" s="382">
        <f t="shared" si="0"/>
        <v>19</v>
      </c>
    </row>
    <row r="40" spans="3:15" ht="18" customHeight="1" x14ac:dyDescent="0.2">
      <c r="C40" s="620"/>
      <c r="D40" s="374" t="s">
        <v>10</v>
      </c>
      <c r="E40" s="377">
        <v>6</v>
      </c>
      <c r="F40" s="377">
        <v>1</v>
      </c>
      <c r="G40" s="377">
        <v>4</v>
      </c>
      <c r="H40" s="377">
        <v>4</v>
      </c>
      <c r="I40" s="377">
        <v>1</v>
      </c>
      <c r="J40" s="377">
        <v>6</v>
      </c>
      <c r="K40" s="377">
        <v>0</v>
      </c>
      <c r="L40" s="377">
        <v>0</v>
      </c>
      <c r="M40" s="377">
        <v>0</v>
      </c>
      <c r="N40" s="377">
        <v>1</v>
      </c>
      <c r="O40" s="382">
        <f t="shared" si="0"/>
        <v>23</v>
      </c>
    </row>
    <row r="41" spans="3:15" ht="18" customHeight="1" x14ac:dyDescent="0.2">
      <c r="C41" s="621"/>
      <c r="D41" s="374" t="s">
        <v>845</v>
      </c>
      <c r="E41" s="377">
        <f>SUM(E39:E40)</f>
        <v>8</v>
      </c>
      <c r="F41" s="377">
        <f t="shared" ref="F41:O41" si="13">SUM(F39:F40)</f>
        <v>2</v>
      </c>
      <c r="G41" s="377">
        <f t="shared" si="13"/>
        <v>7</v>
      </c>
      <c r="H41" s="377">
        <f t="shared" si="13"/>
        <v>8</v>
      </c>
      <c r="I41" s="377">
        <f t="shared" si="13"/>
        <v>5</v>
      </c>
      <c r="J41" s="377">
        <f t="shared" si="13"/>
        <v>9</v>
      </c>
      <c r="K41" s="377">
        <f t="shared" si="13"/>
        <v>0</v>
      </c>
      <c r="L41" s="377">
        <f t="shared" si="13"/>
        <v>1</v>
      </c>
      <c r="M41" s="377">
        <f t="shared" si="13"/>
        <v>0</v>
      </c>
      <c r="N41" s="377">
        <f t="shared" si="13"/>
        <v>2</v>
      </c>
      <c r="O41" s="377">
        <f t="shared" si="13"/>
        <v>42</v>
      </c>
    </row>
    <row r="42" spans="3:15" ht="18" customHeight="1" x14ac:dyDescent="0.2">
      <c r="C42" s="619" t="s">
        <v>25</v>
      </c>
      <c r="D42" s="374" t="s">
        <v>9</v>
      </c>
      <c r="E42" s="377">
        <v>11</v>
      </c>
      <c r="F42" s="377">
        <v>4</v>
      </c>
      <c r="G42" s="377">
        <v>27</v>
      </c>
      <c r="H42" s="377">
        <v>21</v>
      </c>
      <c r="I42" s="377">
        <v>20</v>
      </c>
      <c r="J42" s="377">
        <v>16</v>
      </c>
      <c r="K42" s="377">
        <v>0</v>
      </c>
      <c r="L42" s="377">
        <v>4</v>
      </c>
      <c r="M42" s="377">
        <v>0</v>
      </c>
      <c r="N42" s="377">
        <v>3</v>
      </c>
      <c r="O42" s="382">
        <f t="shared" si="0"/>
        <v>106</v>
      </c>
    </row>
    <row r="43" spans="3:15" ht="18" customHeight="1" x14ac:dyDescent="0.2">
      <c r="C43" s="620"/>
      <c r="D43" s="374" t="s">
        <v>10</v>
      </c>
      <c r="E43" s="377">
        <v>4</v>
      </c>
      <c r="F43" s="377">
        <v>1</v>
      </c>
      <c r="G43" s="377">
        <v>4</v>
      </c>
      <c r="H43" s="377">
        <v>3</v>
      </c>
      <c r="I43" s="377">
        <v>1</v>
      </c>
      <c r="J43" s="377">
        <v>5</v>
      </c>
      <c r="K43" s="377">
        <v>0</v>
      </c>
      <c r="L43" s="377">
        <v>0</v>
      </c>
      <c r="M43" s="377">
        <v>0</v>
      </c>
      <c r="N43" s="377">
        <v>0</v>
      </c>
      <c r="O43" s="382">
        <f t="shared" si="0"/>
        <v>18</v>
      </c>
    </row>
    <row r="44" spans="3:15" ht="18" customHeight="1" x14ac:dyDescent="0.2">
      <c r="C44" s="621"/>
      <c r="D44" s="374" t="s">
        <v>845</v>
      </c>
      <c r="E44" s="377">
        <f>SUM(E42:E43)</f>
        <v>15</v>
      </c>
      <c r="F44" s="377">
        <f t="shared" ref="F44:O44" si="14">SUM(F42:F43)</f>
        <v>5</v>
      </c>
      <c r="G44" s="377">
        <f t="shared" si="14"/>
        <v>31</v>
      </c>
      <c r="H44" s="377">
        <f t="shared" si="14"/>
        <v>24</v>
      </c>
      <c r="I44" s="377">
        <f t="shared" si="14"/>
        <v>21</v>
      </c>
      <c r="J44" s="377">
        <f t="shared" si="14"/>
        <v>21</v>
      </c>
      <c r="K44" s="377">
        <f t="shared" si="14"/>
        <v>0</v>
      </c>
      <c r="L44" s="377">
        <f t="shared" si="14"/>
        <v>4</v>
      </c>
      <c r="M44" s="377">
        <f t="shared" si="14"/>
        <v>0</v>
      </c>
      <c r="N44" s="377">
        <f t="shared" si="14"/>
        <v>3</v>
      </c>
      <c r="O44" s="377">
        <f t="shared" si="14"/>
        <v>124</v>
      </c>
    </row>
    <row r="45" spans="3:15" ht="18" customHeight="1" x14ac:dyDescent="0.2">
      <c r="C45" s="619" t="s">
        <v>29</v>
      </c>
      <c r="D45" s="374" t="s">
        <v>9</v>
      </c>
      <c r="E45" s="377">
        <v>1</v>
      </c>
      <c r="F45" s="377">
        <v>1</v>
      </c>
      <c r="G45" s="377">
        <v>4</v>
      </c>
      <c r="H45" s="377">
        <v>3</v>
      </c>
      <c r="I45" s="377">
        <v>3</v>
      </c>
      <c r="J45" s="377">
        <v>3</v>
      </c>
      <c r="K45" s="377">
        <v>0</v>
      </c>
      <c r="L45" s="377">
        <v>1</v>
      </c>
      <c r="M45" s="377">
        <v>0</v>
      </c>
      <c r="N45" s="377">
        <v>1</v>
      </c>
      <c r="O45" s="382">
        <f t="shared" si="0"/>
        <v>17</v>
      </c>
    </row>
    <row r="46" spans="3:15" ht="18" customHeight="1" x14ac:dyDescent="0.2">
      <c r="C46" s="620"/>
      <c r="D46" s="374" t="s">
        <v>10</v>
      </c>
      <c r="E46" s="377">
        <v>1</v>
      </c>
      <c r="F46" s="377">
        <v>0</v>
      </c>
      <c r="G46" s="377">
        <v>0</v>
      </c>
      <c r="H46" s="377">
        <v>0</v>
      </c>
      <c r="I46" s="377">
        <v>0</v>
      </c>
      <c r="J46" s="377">
        <v>0</v>
      </c>
      <c r="K46" s="377">
        <v>0</v>
      </c>
      <c r="L46" s="377">
        <v>0</v>
      </c>
      <c r="M46" s="377">
        <v>0</v>
      </c>
      <c r="N46" s="377">
        <v>0</v>
      </c>
      <c r="O46" s="382">
        <f t="shared" si="0"/>
        <v>1</v>
      </c>
    </row>
    <row r="47" spans="3:15" ht="18" customHeight="1" x14ac:dyDescent="0.2">
      <c r="C47" s="621"/>
      <c r="D47" s="374" t="s">
        <v>845</v>
      </c>
      <c r="E47" s="377">
        <f>SUM(E45:E46)</f>
        <v>2</v>
      </c>
      <c r="F47" s="377">
        <f t="shared" ref="F47:O47" si="15">SUM(F45:F46)</f>
        <v>1</v>
      </c>
      <c r="G47" s="377">
        <f t="shared" si="15"/>
        <v>4</v>
      </c>
      <c r="H47" s="377">
        <f t="shared" si="15"/>
        <v>3</v>
      </c>
      <c r="I47" s="377">
        <f t="shared" si="15"/>
        <v>3</v>
      </c>
      <c r="J47" s="377">
        <f t="shared" si="15"/>
        <v>3</v>
      </c>
      <c r="K47" s="377">
        <f t="shared" si="15"/>
        <v>0</v>
      </c>
      <c r="L47" s="377">
        <f t="shared" si="15"/>
        <v>1</v>
      </c>
      <c r="M47" s="377">
        <f t="shared" si="15"/>
        <v>0</v>
      </c>
      <c r="N47" s="377">
        <f t="shared" si="15"/>
        <v>1</v>
      </c>
      <c r="O47" s="377">
        <f t="shared" si="15"/>
        <v>18</v>
      </c>
    </row>
    <row r="48" spans="3:15" ht="18" customHeight="1" x14ac:dyDescent="0.2">
      <c r="C48" s="619" t="s">
        <v>33</v>
      </c>
      <c r="D48" s="374" t="s">
        <v>9</v>
      </c>
      <c r="E48" s="377">
        <v>7</v>
      </c>
      <c r="F48" s="377">
        <v>2</v>
      </c>
      <c r="G48" s="377">
        <v>18</v>
      </c>
      <c r="H48" s="377">
        <v>13</v>
      </c>
      <c r="I48" s="377">
        <v>13</v>
      </c>
      <c r="J48" s="377">
        <v>10</v>
      </c>
      <c r="K48" s="377">
        <v>0</v>
      </c>
      <c r="L48" s="377">
        <v>3</v>
      </c>
      <c r="M48" s="377">
        <v>0</v>
      </c>
      <c r="N48" s="377">
        <v>2</v>
      </c>
      <c r="O48" s="382">
        <f t="shared" si="0"/>
        <v>68</v>
      </c>
    </row>
    <row r="49" spans="3:15" ht="18" customHeight="1" x14ac:dyDescent="0.2">
      <c r="C49" s="620"/>
      <c r="D49" s="374" t="s">
        <v>10</v>
      </c>
      <c r="E49" s="377">
        <v>2</v>
      </c>
      <c r="F49" s="377">
        <v>1</v>
      </c>
      <c r="G49" s="377">
        <v>2</v>
      </c>
      <c r="H49" s="377">
        <v>2</v>
      </c>
      <c r="I49" s="377">
        <v>0</v>
      </c>
      <c r="J49" s="377">
        <v>3</v>
      </c>
      <c r="K49" s="377">
        <v>0</v>
      </c>
      <c r="L49" s="377">
        <v>0</v>
      </c>
      <c r="M49" s="377">
        <v>0</v>
      </c>
      <c r="N49" s="377">
        <v>0</v>
      </c>
      <c r="O49" s="382">
        <f t="shared" si="0"/>
        <v>10</v>
      </c>
    </row>
    <row r="50" spans="3:15" ht="18" customHeight="1" x14ac:dyDescent="0.2">
      <c r="C50" s="621"/>
      <c r="D50" s="374" t="s">
        <v>845</v>
      </c>
      <c r="E50" s="377">
        <f>SUM(E48:E49)</f>
        <v>9</v>
      </c>
      <c r="F50" s="377">
        <f t="shared" ref="F50:O50" si="16">SUM(F48:F49)</f>
        <v>3</v>
      </c>
      <c r="G50" s="377">
        <f t="shared" si="16"/>
        <v>20</v>
      </c>
      <c r="H50" s="377">
        <f t="shared" si="16"/>
        <v>15</v>
      </c>
      <c r="I50" s="377">
        <f t="shared" si="16"/>
        <v>13</v>
      </c>
      <c r="J50" s="377">
        <f t="shared" si="16"/>
        <v>13</v>
      </c>
      <c r="K50" s="377">
        <f t="shared" si="16"/>
        <v>0</v>
      </c>
      <c r="L50" s="377">
        <f t="shared" si="16"/>
        <v>3</v>
      </c>
      <c r="M50" s="377">
        <f t="shared" si="16"/>
        <v>0</v>
      </c>
      <c r="N50" s="377">
        <f t="shared" si="16"/>
        <v>2</v>
      </c>
      <c r="O50" s="377">
        <f t="shared" si="16"/>
        <v>78</v>
      </c>
    </row>
    <row r="51" spans="3:15" ht="18" customHeight="1" x14ac:dyDescent="0.2">
      <c r="C51" s="619" t="s">
        <v>35</v>
      </c>
      <c r="D51" s="374" t="s">
        <v>9</v>
      </c>
      <c r="E51" s="377">
        <v>7</v>
      </c>
      <c r="F51" s="377">
        <v>1</v>
      </c>
      <c r="G51" s="377">
        <v>15</v>
      </c>
      <c r="H51" s="377">
        <v>12</v>
      </c>
      <c r="I51" s="377">
        <v>12</v>
      </c>
      <c r="J51" s="377">
        <v>9</v>
      </c>
      <c r="K51" s="377">
        <v>0</v>
      </c>
      <c r="L51" s="377">
        <v>3</v>
      </c>
      <c r="M51" s="377">
        <v>0</v>
      </c>
      <c r="N51" s="377">
        <v>2</v>
      </c>
      <c r="O51" s="382">
        <f t="shared" si="0"/>
        <v>61</v>
      </c>
    </row>
    <row r="52" spans="3:15" ht="18" customHeight="1" x14ac:dyDescent="0.2">
      <c r="C52" s="620"/>
      <c r="D52" s="374" t="s">
        <v>10</v>
      </c>
      <c r="E52" s="377">
        <v>5</v>
      </c>
      <c r="F52" s="377">
        <v>2</v>
      </c>
      <c r="G52" s="377">
        <v>5</v>
      </c>
      <c r="H52" s="377">
        <v>4</v>
      </c>
      <c r="I52" s="377">
        <v>1</v>
      </c>
      <c r="J52" s="377">
        <v>6</v>
      </c>
      <c r="K52" s="377">
        <v>0</v>
      </c>
      <c r="L52" s="377">
        <v>0</v>
      </c>
      <c r="M52" s="377">
        <v>0</v>
      </c>
      <c r="N52" s="377">
        <v>1</v>
      </c>
      <c r="O52" s="382">
        <f t="shared" si="0"/>
        <v>24</v>
      </c>
    </row>
    <row r="53" spans="3:15" ht="18" customHeight="1" x14ac:dyDescent="0.2">
      <c r="C53" s="621"/>
      <c r="D53" s="374" t="s">
        <v>845</v>
      </c>
      <c r="E53" s="377">
        <f>SUM(E51:E52)</f>
        <v>12</v>
      </c>
      <c r="F53" s="377">
        <f t="shared" ref="F53:O53" si="17">SUM(F51:F52)</f>
        <v>3</v>
      </c>
      <c r="G53" s="377">
        <f t="shared" si="17"/>
        <v>20</v>
      </c>
      <c r="H53" s="377">
        <f t="shared" si="17"/>
        <v>16</v>
      </c>
      <c r="I53" s="377">
        <f t="shared" si="17"/>
        <v>13</v>
      </c>
      <c r="J53" s="377">
        <f t="shared" si="17"/>
        <v>15</v>
      </c>
      <c r="K53" s="377">
        <f t="shared" si="17"/>
        <v>0</v>
      </c>
      <c r="L53" s="377">
        <f t="shared" si="17"/>
        <v>3</v>
      </c>
      <c r="M53" s="377">
        <f t="shared" si="17"/>
        <v>0</v>
      </c>
      <c r="N53" s="377">
        <f t="shared" si="17"/>
        <v>3</v>
      </c>
      <c r="O53" s="377">
        <f t="shared" si="17"/>
        <v>85</v>
      </c>
    </row>
    <row r="54" spans="3:15" ht="18" customHeight="1" x14ac:dyDescent="0.2">
      <c r="C54" s="619" t="s">
        <v>863</v>
      </c>
      <c r="D54" s="374" t="s">
        <v>9</v>
      </c>
      <c r="E54" s="377">
        <v>9</v>
      </c>
      <c r="F54" s="377">
        <v>2</v>
      </c>
      <c r="G54" s="377">
        <v>22</v>
      </c>
      <c r="H54" s="377">
        <v>15</v>
      </c>
      <c r="I54" s="377">
        <v>15</v>
      </c>
      <c r="J54" s="377">
        <v>12</v>
      </c>
      <c r="K54" s="377">
        <v>0</v>
      </c>
      <c r="L54" s="377">
        <v>3</v>
      </c>
      <c r="M54" s="377">
        <v>0</v>
      </c>
      <c r="N54" s="377">
        <v>3</v>
      </c>
      <c r="O54" s="382">
        <f t="shared" si="0"/>
        <v>81</v>
      </c>
    </row>
    <row r="55" spans="3:15" ht="18" customHeight="1" x14ac:dyDescent="0.2">
      <c r="C55" s="620"/>
      <c r="D55" s="374" t="s">
        <v>10</v>
      </c>
      <c r="E55" s="377">
        <v>6</v>
      </c>
      <c r="F55" s="377">
        <v>1</v>
      </c>
      <c r="G55" s="377">
        <v>4</v>
      </c>
      <c r="H55" s="377">
        <v>4</v>
      </c>
      <c r="I55" s="377">
        <v>1</v>
      </c>
      <c r="J55" s="377">
        <v>6</v>
      </c>
      <c r="K55" s="377">
        <v>0</v>
      </c>
      <c r="L55" s="377">
        <v>0</v>
      </c>
      <c r="M55" s="377">
        <v>1</v>
      </c>
      <c r="N55" s="377">
        <v>0</v>
      </c>
      <c r="O55" s="382">
        <f t="shared" si="0"/>
        <v>23</v>
      </c>
    </row>
    <row r="56" spans="3:15" ht="18" customHeight="1" x14ac:dyDescent="0.2">
      <c r="C56" s="621"/>
      <c r="D56" s="374" t="s">
        <v>845</v>
      </c>
      <c r="E56" s="377">
        <f>SUM(E54:E55)</f>
        <v>15</v>
      </c>
      <c r="F56" s="377">
        <f t="shared" ref="F56:O56" si="18">SUM(F54:F55)</f>
        <v>3</v>
      </c>
      <c r="G56" s="377">
        <f t="shared" si="18"/>
        <v>26</v>
      </c>
      <c r="H56" s="377">
        <f t="shared" si="18"/>
        <v>19</v>
      </c>
      <c r="I56" s="377">
        <f t="shared" si="18"/>
        <v>16</v>
      </c>
      <c r="J56" s="377">
        <f t="shared" si="18"/>
        <v>18</v>
      </c>
      <c r="K56" s="377">
        <f t="shared" si="18"/>
        <v>0</v>
      </c>
      <c r="L56" s="377">
        <f t="shared" si="18"/>
        <v>3</v>
      </c>
      <c r="M56" s="377">
        <f t="shared" si="18"/>
        <v>1</v>
      </c>
      <c r="N56" s="377">
        <f t="shared" si="18"/>
        <v>3</v>
      </c>
      <c r="O56" s="377">
        <f t="shared" si="18"/>
        <v>104</v>
      </c>
    </row>
    <row r="57" spans="3:15" ht="18" customHeight="1" x14ac:dyDescent="0.2">
      <c r="C57" s="619" t="s">
        <v>36</v>
      </c>
      <c r="D57" s="374" t="s">
        <v>9</v>
      </c>
      <c r="E57" s="377">
        <v>0</v>
      </c>
      <c r="F57" s="377">
        <v>0</v>
      </c>
      <c r="G57" s="377">
        <v>2</v>
      </c>
      <c r="H57" s="377">
        <v>0</v>
      </c>
      <c r="I57" s="377">
        <v>0</v>
      </c>
      <c r="J57" s="377">
        <v>0</v>
      </c>
      <c r="K57" s="377">
        <v>0</v>
      </c>
      <c r="L57" s="377">
        <v>0</v>
      </c>
      <c r="M57" s="377">
        <v>0</v>
      </c>
      <c r="N57" s="377">
        <v>0</v>
      </c>
      <c r="O57" s="382">
        <f t="shared" si="0"/>
        <v>2</v>
      </c>
    </row>
    <row r="58" spans="3:15" ht="18" customHeight="1" x14ac:dyDescent="0.2">
      <c r="C58" s="620"/>
      <c r="D58" s="374" t="s">
        <v>10</v>
      </c>
      <c r="E58" s="377">
        <v>0</v>
      </c>
      <c r="F58" s="377">
        <v>1</v>
      </c>
      <c r="G58" s="377">
        <v>0</v>
      </c>
      <c r="H58" s="377">
        <v>0</v>
      </c>
      <c r="I58" s="377">
        <v>0</v>
      </c>
      <c r="J58" s="377">
        <v>1</v>
      </c>
      <c r="K58" s="377">
        <v>0</v>
      </c>
      <c r="L58" s="377">
        <v>0</v>
      </c>
      <c r="M58" s="377">
        <v>0</v>
      </c>
      <c r="N58" s="377">
        <v>0</v>
      </c>
      <c r="O58" s="382">
        <f t="shared" si="0"/>
        <v>2</v>
      </c>
    </row>
    <row r="59" spans="3:15" ht="18" customHeight="1" x14ac:dyDescent="0.2">
      <c r="C59" s="621"/>
      <c r="D59" s="374" t="s">
        <v>845</v>
      </c>
      <c r="E59" s="377">
        <f>SUM(E57:E58)</f>
        <v>0</v>
      </c>
      <c r="F59" s="377">
        <f t="shared" ref="F59:O59" si="19">SUM(F57:F58)</f>
        <v>1</v>
      </c>
      <c r="G59" s="377">
        <f t="shared" si="19"/>
        <v>2</v>
      </c>
      <c r="H59" s="377">
        <f t="shared" si="19"/>
        <v>0</v>
      </c>
      <c r="I59" s="377">
        <f t="shared" si="19"/>
        <v>0</v>
      </c>
      <c r="J59" s="377">
        <f t="shared" si="19"/>
        <v>1</v>
      </c>
      <c r="K59" s="377">
        <f t="shared" si="19"/>
        <v>0</v>
      </c>
      <c r="L59" s="377">
        <f t="shared" si="19"/>
        <v>0</v>
      </c>
      <c r="M59" s="377">
        <f t="shared" si="19"/>
        <v>0</v>
      </c>
      <c r="N59" s="377">
        <f t="shared" si="19"/>
        <v>0</v>
      </c>
      <c r="O59" s="377">
        <f t="shared" si="19"/>
        <v>4</v>
      </c>
    </row>
    <row r="60" spans="3:15" ht="18" customHeight="1" x14ac:dyDescent="0.2">
      <c r="C60" s="619" t="s">
        <v>34</v>
      </c>
      <c r="D60" s="374" t="s">
        <v>9</v>
      </c>
      <c r="E60" s="377">
        <v>172</v>
      </c>
      <c r="F60" s="377">
        <v>47</v>
      </c>
      <c r="G60" s="377">
        <v>405</v>
      </c>
      <c r="H60" s="377">
        <v>306</v>
      </c>
      <c r="I60" s="377">
        <v>302</v>
      </c>
      <c r="J60" s="377">
        <v>242</v>
      </c>
      <c r="K60" s="377">
        <v>2</v>
      </c>
      <c r="L60" s="377">
        <v>67</v>
      </c>
      <c r="M60" s="377">
        <v>3</v>
      </c>
      <c r="N60" s="377">
        <v>49</v>
      </c>
      <c r="O60" s="382">
        <f t="shared" si="0"/>
        <v>1595</v>
      </c>
    </row>
    <row r="61" spans="3:15" ht="18" customHeight="1" x14ac:dyDescent="0.2">
      <c r="C61" s="620"/>
      <c r="D61" s="374" t="s">
        <v>10</v>
      </c>
      <c r="E61" s="377">
        <v>51</v>
      </c>
      <c r="F61" s="377">
        <v>15</v>
      </c>
      <c r="G61" s="377">
        <v>45</v>
      </c>
      <c r="H61" s="377">
        <v>36</v>
      </c>
      <c r="I61" s="377">
        <v>9</v>
      </c>
      <c r="J61" s="377">
        <v>61</v>
      </c>
      <c r="K61" s="377">
        <v>0</v>
      </c>
      <c r="L61" s="377">
        <v>5</v>
      </c>
      <c r="M61" s="377">
        <v>3</v>
      </c>
      <c r="N61" s="377">
        <v>5</v>
      </c>
      <c r="O61" s="382">
        <f t="shared" si="0"/>
        <v>230</v>
      </c>
    </row>
    <row r="62" spans="3:15" ht="18" customHeight="1" x14ac:dyDescent="0.2">
      <c r="C62" s="621"/>
      <c r="D62" s="374" t="s">
        <v>845</v>
      </c>
      <c r="E62" s="377">
        <f>SUM(E60:E61)</f>
        <v>223</v>
      </c>
      <c r="F62" s="377">
        <f t="shared" ref="F62:O62" si="20">SUM(F60:F61)</f>
        <v>62</v>
      </c>
      <c r="G62" s="377">
        <f t="shared" si="20"/>
        <v>450</v>
      </c>
      <c r="H62" s="377">
        <f t="shared" si="20"/>
        <v>342</v>
      </c>
      <c r="I62" s="377">
        <f t="shared" si="20"/>
        <v>311</v>
      </c>
      <c r="J62" s="377">
        <f t="shared" si="20"/>
        <v>303</v>
      </c>
      <c r="K62" s="377">
        <f t="shared" si="20"/>
        <v>2</v>
      </c>
      <c r="L62" s="377">
        <f t="shared" si="20"/>
        <v>72</v>
      </c>
      <c r="M62" s="377">
        <f t="shared" si="20"/>
        <v>6</v>
      </c>
      <c r="N62" s="377">
        <f t="shared" si="20"/>
        <v>54</v>
      </c>
      <c r="O62" s="377">
        <f t="shared" si="20"/>
        <v>1825</v>
      </c>
    </row>
    <row r="63" spans="3:15" ht="18" customHeight="1" x14ac:dyDescent="0.2">
      <c r="C63" s="619" t="s">
        <v>211</v>
      </c>
      <c r="D63" s="374" t="s">
        <v>9</v>
      </c>
      <c r="E63" s="377">
        <v>14</v>
      </c>
      <c r="F63" s="377">
        <v>4</v>
      </c>
      <c r="G63" s="377">
        <v>33</v>
      </c>
      <c r="H63" s="377">
        <v>25</v>
      </c>
      <c r="I63" s="377">
        <v>25</v>
      </c>
      <c r="J63" s="377">
        <v>20</v>
      </c>
      <c r="K63" s="377">
        <v>0</v>
      </c>
      <c r="L63" s="377">
        <v>6</v>
      </c>
      <c r="M63" s="377">
        <v>0</v>
      </c>
      <c r="N63" s="377">
        <v>4</v>
      </c>
      <c r="O63" s="382">
        <f t="shared" si="0"/>
        <v>131</v>
      </c>
    </row>
    <row r="64" spans="3:15" ht="18" customHeight="1" x14ac:dyDescent="0.2">
      <c r="C64" s="620"/>
      <c r="D64" s="374" t="s">
        <v>10</v>
      </c>
      <c r="E64" s="377">
        <v>4</v>
      </c>
      <c r="F64" s="377">
        <v>1</v>
      </c>
      <c r="G64" s="377">
        <v>4</v>
      </c>
      <c r="H64" s="377">
        <v>4</v>
      </c>
      <c r="I64" s="377">
        <v>1</v>
      </c>
      <c r="J64" s="377">
        <v>4</v>
      </c>
      <c r="K64" s="377">
        <v>0</v>
      </c>
      <c r="L64" s="377">
        <v>0</v>
      </c>
      <c r="M64" s="377">
        <v>0</v>
      </c>
      <c r="N64" s="377">
        <v>1</v>
      </c>
      <c r="O64" s="382">
        <f t="shared" si="0"/>
        <v>19</v>
      </c>
    </row>
    <row r="65" spans="3:15" ht="18" customHeight="1" x14ac:dyDescent="0.2">
      <c r="C65" s="621"/>
      <c r="D65" s="374" t="s">
        <v>845</v>
      </c>
      <c r="E65" s="377">
        <f>SUM(E63:E64)</f>
        <v>18</v>
      </c>
      <c r="F65" s="377">
        <f t="shared" ref="F65:O65" si="21">SUM(F63:F64)</f>
        <v>5</v>
      </c>
      <c r="G65" s="377">
        <f t="shared" si="21"/>
        <v>37</v>
      </c>
      <c r="H65" s="377">
        <f t="shared" si="21"/>
        <v>29</v>
      </c>
      <c r="I65" s="377">
        <f t="shared" si="21"/>
        <v>26</v>
      </c>
      <c r="J65" s="377">
        <f t="shared" si="21"/>
        <v>24</v>
      </c>
      <c r="K65" s="377">
        <f t="shared" si="21"/>
        <v>0</v>
      </c>
      <c r="L65" s="377">
        <f t="shared" si="21"/>
        <v>6</v>
      </c>
      <c r="M65" s="377">
        <f t="shared" si="21"/>
        <v>0</v>
      </c>
      <c r="N65" s="377">
        <f t="shared" si="21"/>
        <v>5</v>
      </c>
      <c r="O65" s="377">
        <f t="shared" si="21"/>
        <v>150</v>
      </c>
    </row>
    <row r="66" spans="3:15" ht="18" customHeight="1" x14ac:dyDescent="0.2">
      <c r="C66" s="619" t="s">
        <v>212</v>
      </c>
      <c r="D66" s="374" t="s">
        <v>9</v>
      </c>
      <c r="E66" s="377">
        <v>6</v>
      </c>
      <c r="F66" s="377">
        <v>0</v>
      </c>
      <c r="G66" s="377">
        <v>10</v>
      </c>
      <c r="H66" s="377">
        <v>8</v>
      </c>
      <c r="I66" s="377">
        <v>8</v>
      </c>
      <c r="J66" s="377">
        <v>6</v>
      </c>
      <c r="K66" s="377">
        <v>0</v>
      </c>
      <c r="L66" s="377">
        <v>2</v>
      </c>
      <c r="M66" s="377">
        <v>0</v>
      </c>
      <c r="N66" s="377">
        <v>1</v>
      </c>
      <c r="O66" s="382">
        <f t="shared" si="0"/>
        <v>41</v>
      </c>
    </row>
    <row r="67" spans="3:15" ht="18" customHeight="1" x14ac:dyDescent="0.2">
      <c r="C67" s="620"/>
      <c r="D67" s="374" t="s">
        <v>10</v>
      </c>
      <c r="E67" s="377">
        <v>1</v>
      </c>
      <c r="F67" s="377">
        <v>1</v>
      </c>
      <c r="G67" s="377">
        <v>1</v>
      </c>
      <c r="H67" s="377">
        <v>1</v>
      </c>
      <c r="I67" s="377">
        <v>0</v>
      </c>
      <c r="J67" s="377">
        <v>2</v>
      </c>
      <c r="K67" s="377">
        <v>0</v>
      </c>
      <c r="L67" s="377">
        <v>0</v>
      </c>
      <c r="M67" s="377">
        <v>0</v>
      </c>
      <c r="N67" s="377">
        <v>0</v>
      </c>
      <c r="O67" s="382">
        <f t="shared" si="0"/>
        <v>6</v>
      </c>
    </row>
    <row r="68" spans="3:15" ht="18" customHeight="1" x14ac:dyDescent="0.2">
      <c r="C68" s="621"/>
      <c r="D68" s="374" t="s">
        <v>845</v>
      </c>
      <c r="E68" s="377">
        <f>SUM(E66:E67)</f>
        <v>7</v>
      </c>
      <c r="F68" s="377">
        <f t="shared" ref="F68:O68" si="22">SUM(F66:F67)</f>
        <v>1</v>
      </c>
      <c r="G68" s="377">
        <f t="shared" si="22"/>
        <v>11</v>
      </c>
      <c r="H68" s="377">
        <f t="shared" si="22"/>
        <v>9</v>
      </c>
      <c r="I68" s="377">
        <f t="shared" si="22"/>
        <v>8</v>
      </c>
      <c r="J68" s="377">
        <f t="shared" si="22"/>
        <v>8</v>
      </c>
      <c r="K68" s="377">
        <f t="shared" si="22"/>
        <v>0</v>
      </c>
      <c r="L68" s="377">
        <f t="shared" si="22"/>
        <v>2</v>
      </c>
      <c r="M68" s="377">
        <f t="shared" si="22"/>
        <v>0</v>
      </c>
      <c r="N68" s="377">
        <f t="shared" si="22"/>
        <v>1</v>
      </c>
      <c r="O68" s="377">
        <f t="shared" si="22"/>
        <v>47</v>
      </c>
    </row>
    <row r="69" spans="3:15" ht="18" customHeight="1" x14ac:dyDescent="0.2">
      <c r="C69" s="619" t="s">
        <v>862</v>
      </c>
      <c r="D69" s="374" t="s">
        <v>9</v>
      </c>
      <c r="E69" s="377">
        <v>4</v>
      </c>
      <c r="F69" s="377">
        <v>1</v>
      </c>
      <c r="G69" s="377">
        <v>8</v>
      </c>
      <c r="H69" s="377">
        <v>8</v>
      </c>
      <c r="I69" s="377">
        <v>7</v>
      </c>
      <c r="J69" s="377">
        <v>6</v>
      </c>
      <c r="K69" s="377">
        <v>0</v>
      </c>
      <c r="L69" s="377">
        <v>2</v>
      </c>
      <c r="M69" s="377">
        <v>0</v>
      </c>
      <c r="N69" s="377">
        <v>1</v>
      </c>
      <c r="O69" s="382">
        <f t="shared" ref="O69:O88" si="23">SUM(E69:N69)</f>
        <v>37</v>
      </c>
    </row>
    <row r="70" spans="3:15" ht="18" customHeight="1" x14ac:dyDescent="0.2">
      <c r="C70" s="620"/>
      <c r="D70" s="374" t="s">
        <v>10</v>
      </c>
      <c r="E70" s="377">
        <v>2</v>
      </c>
      <c r="F70" s="377">
        <v>1</v>
      </c>
      <c r="G70" s="377">
        <v>1</v>
      </c>
      <c r="H70" s="377">
        <v>1</v>
      </c>
      <c r="I70" s="377">
        <v>0</v>
      </c>
      <c r="J70" s="377">
        <v>2</v>
      </c>
      <c r="K70" s="377">
        <v>0</v>
      </c>
      <c r="L70" s="377">
        <v>0</v>
      </c>
      <c r="M70" s="377">
        <v>0</v>
      </c>
      <c r="N70" s="377">
        <v>1</v>
      </c>
      <c r="O70" s="382">
        <f t="shared" si="23"/>
        <v>8</v>
      </c>
    </row>
    <row r="71" spans="3:15" ht="18" customHeight="1" x14ac:dyDescent="0.2">
      <c r="C71" s="621"/>
      <c r="D71" s="374" t="s">
        <v>845</v>
      </c>
      <c r="E71" s="377">
        <f>SUM(E69:E70)</f>
        <v>6</v>
      </c>
      <c r="F71" s="377">
        <f t="shared" ref="F71:O71" si="24">SUM(F69:F70)</f>
        <v>2</v>
      </c>
      <c r="G71" s="377">
        <f t="shared" si="24"/>
        <v>9</v>
      </c>
      <c r="H71" s="377">
        <f t="shared" si="24"/>
        <v>9</v>
      </c>
      <c r="I71" s="377">
        <f t="shared" si="24"/>
        <v>7</v>
      </c>
      <c r="J71" s="377">
        <f t="shared" si="24"/>
        <v>8</v>
      </c>
      <c r="K71" s="377">
        <f t="shared" si="24"/>
        <v>0</v>
      </c>
      <c r="L71" s="377">
        <f t="shared" si="24"/>
        <v>2</v>
      </c>
      <c r="M71" s="377">
        <f t="shared" si="24"/>
        <v>0</v>
      </c>
      <c r="N71" s="377">
        <f t="shared" si="24"/>
        <v>2</v>
      </c>
      <c r="O71" s="377">
        <f t="shared" si="24"/>
        <v>45</v>
      </c>
    </row>
    <row r="72" spans="3:15" ht="18" customHeight="1" x14ac:dyDescent="0.2">
      <c r="C72" s="619" t="s">
        <v>861</v>
      </c>
      <c r="D72" s="374" t="s">
        <v>9</v>
      </c>
      <c r="E72" s="377">
        <v>3</v>
      </c>
      <c r="F72" s="377">
        <v>1</v>
      </c>
      <c r="G72" s="377">
        <v>8</v>
      </c>
      <c r="H72" s="377">
        <v>5</v>
      </c>
      <c r="I72" s="377">
        <v>6</v>
      </c>
      <c r="J72" s="377">
        <v>4</v>
      </c>
      <c r="K72" s="377">
        <v>0</v>
      </c>
      <c r="L72" s="377">
        <v>1</v>
      </c>
      <c r="M72" s="377">
        <v>0</v>
      </c>
      <c r="N72" s="377">
        <v>1</v>
      </c>
      <c r="O72" s="382">
        <f t="shared" si="23"/>
        <v>29</v>
      </c>
    </row>
    <row r="73" spans="3:15" ht="18" customHeight="1" x14ac:dyDescent="0.2">
      <c r="C73" s="620"/>
      <c r="D73" s="374" t="s">
        <v>10</v>
      </c>
      <c r="E73" s="377">
        <v>0</v>
      </c>
      <c r="F73" s="377">
        <v>0</v>
      </c>
      <c r="G73" s="377">
        <v>0</v>
      </c>
      <c r="H73" s="377">
        <v>0</v>
      </c>
      <c r="I73" s="377">
        <v>0</v>
      </c>
      <c r="J73" s="377">
        <v>1</v>
      </c>
      <c r="K73" s="377">
        <v>0</v>
      </c>
      <c r="L73" s="377">
        <v>0</v>
      </c>
      <c r="M73" s="377">
        <v>0</v>
      </c>
      <c r="N73" s="377">
        <v>0</v>
      </c>
      <c r="O73" s="382">
        <f t="shared" si="23"/>
        <v>1</v>
      </c>
    </row>
    <row r="74" spans="3:15" ht="18" customHeight="1" x14ac:dyDescent="0.2">
      <c r="C74" s="621"/>
      <c r="D74" s="374" t="s">
        <v>845</v>
      </c>
      <c r="E74" s="377">
        <f>SUM(E72:E73)</f>
        <v>3</v>
      </c>
      <c r="F74" s="377">
        <f t="shared" ref="F74:O74" si="25">SUM(F72:F73)</f>
        <v>1</v>
      </c>
      <c r="G74" s="377">
        <f t="shared" si="25"/>
        <v>8</v>
      </c>
      <c r="H74" s="377">
        <f t="shared" si="25"/>
        <v>5</v>
      </c>
      <c r="I74" s="377">
        <f t="shared" si="25"/>
        <v>6</v>
      </c>
      <c r="J74" s="377">
        <f t="shared" si="25"/>
        <v>5</v>
      </c>
      <c r="K74" s="377">
        <f t="shared" si="25"/>
        <v>0</v>
      </c>
      <c r="L74" s="377">
        <f t="shared" si="25"/>
        <v>1</v>
      </c>
      <c r="M74" s="377">
        <f t="shared" si="25"/>
        <v>0</v>
      </c>
      <c r="N74" s="377">
        <f t="shared" si="25"/>
        <v>1</v>
      </c>
      <c r="O74" s="377">
        <f t="shared" si="25"/>
        <v>30</v>
      </c>
    </row>
    <row r="75" spans="3:15" ht="18" customHeight="1" x14ac:dyDescent="0.2">
      <c r="C75" s="619" t="s">
        <v>214</v>
      </c>
      <c r="D75" s="374" t="s">
        <v>9</v>
      </c>
      <c r="E75" s="377">
        <v>6</v>
      </c>
      <c r="F75" s="377">
        <v>1</v>
      </c>
      <c r="G75" s="377">
        <v>12</v>
      </c>
      <c r="H75" s="377">
        <v>10</v>
      </c>
      <c r="I75" s="377">
        <v>9</v>
      </c>
      <c r="J75" s="377">
        <v>7</v>
      </c>
      <c r="K75" s="377">
        <v>0</v>
      </c>
      <c r="L75" s="377">
        <v>2</v>
      </c>
      <c r="M75" s="377">
        <v>0</v>
      </c>
      <c r="N75" s="377">
        <v>2</v>
      </c>
      <c r="O75" s="382">
        <f t="shared" si="23"/>
        <v>49</v>
      </c>
    </row>
    <row r="76" spans="3:15" ht="18" customHeight="1" x14ac:dyDescent="0.2">
      <c r="C76" s="620"/>
      <c r="D76" s="374" t="s">
        <v>10</v>
      </c>
      <c r="E76" s="377">
        <v>1</v>
      </c>
      <c r="F76" s="377">
        <v>0</v>
      </c>
      <c r="G76" s="377">
        <v>1</v>
      </c>
      <c r="H76" s="377">
        <v>1</v>
      </c>
      <c r="I76" s="377">
        <v>0</v>
      </c>
      <c r="J76" s="377">
        <v>1</v>
      </c>
      <c r="K76" s="377">
        <v>0</v>
      </c>
      <c r="L76" s="377">
        <v>0</v>
      </c>
      <c r="M76" s="377">
        <v>0</v>
      </c>
      <c r="N76" s="377">
        <v>0</v>
      </c>
      <c r="O76" s="382">
        <f t="shared" si="23"/>
        <v>4</v>
      </c>
    </row>
    <row r="77" spans="3:15" ht="18" customHeight="1" x14ac:dyDescent="0.2">
      <c r="C77" s="621"/>
      <c r="D77" s="374" t="s">
        <v>845</v>
      </c>
      <c r="E77" s="377">
        <f>SUM(E75:E76)</f>
        <v>7</v>
      </c>
      <c r="F77" s="377">
        <f t="shared" ref="F77:O77" si="26">SUM(F75:F76)</f>
        <v>1</v>
      </c>
      <c r="G77" s="377">
        <f t="shared" si="26"/>
        <v>13</v>
      </c>
      <c r="H77" s="377">
        <f t="shared" si="26"/>
        <v>11</v>
      </c>
      <c r="I77" s="377">
        <f t="shared" si="26"/>
        <v>9</v>
      </c>
      <c r="J77" s="377">
        <f t="shared" si="26"/>
        <v>8</v>
      </c>
      <c r="K77" s="377">
        <f t="shared" si="26"/>
        <v>0</v>
      </c>
      <c r="L77" s="377">
        <f t="shared" si="26"/>
        <v>2</v>
      </c>
      <c r="M77" s="377">
        <f t="shared" si="26"/>
        <v>0</v>
      </c>
      <c r="N77" s="377">
        <f t="shared" si="26"/>
        <v>2</v>
      </c>
      <c r="O77" s="377">
        <f t="shared" si="26"/>
        <v>53</v>
      </c>
    </row>
    <row r="78" spans="3:15" ht="18" customHeight="1" x14ac:dyDescent="0.2">
      <c r="C78" s="619" t="s">
        <v>31</v>
      </c>
      <c r="D78" s="374" t="s">
        <v>9</v>
      </c>
      <c r="E78" s="377">
        <v>143</v>
      </c>
      <c r="F78" s="377">
        <v>39</v>
      </c>
      <c r="G78" s="377">
        <v>336</v>
      </c>
      <c r="H78" s="377">
        <v>255</v>
      </c>
      <c r="I78" s="377">
        <v>252</v>
      </c>
      <c r="J78" s="377">
        <v>202</v>
      </c>
      <c r="K78" s="377">
        <v>1</v>
      </c>
      <c r="L78" s="377">
        <v>56</v>
      </c>
      <c r="M78" s="377">
        <v>3</v>
      </c>
      <c r="N78" s="377">
        <v>41</v>
      </c>
      <c r="O78" s="382">
        <f t="shared" si="23"/>
        <v>1328</v>
      </c>
    </row>
    <row r="79" spans="3:15" ht="18" customHeight="1" x14ac:dyDescent="0.2">
      <c r="C79" s="620"/>
      <c r="D79" s="374" t="s">
        <v>10</v>
      </c>
      <c r="E79" s="377">
        <v>34</v>
      </c>
      <c r="F79" s="377">
        <v>10</v>
      </c>
      <c r="G79" s="377">
        <v>29</v>
      </c>
      <c r="H79" s="377">
        <v>25</v>
      </c>
      <c r="I79" s="377">
        <v>6</v>
      </c>
      <c r="J79" s="377">
        <v>41</v>
      </c>
      <c r="K79" s="377">
        <v>0</v>
      </c>
      <c r="L79" s="377">
        <v>3</v>
      </c>
      <c r="M79" s="377">
        <v>2</v>
      </c>
      <c r="N79" s="377">
        <v>3</v>
      </c>
      <c r="O79" s="382">
        <f t="shared" si="23"/>
        <v>153</v>
      </c>
    </row>
    <row r="80" spans="3:15" ht="18" customHeight="1" x14ac:dyDescent="0.2">
      <c r="C80" s="621"/>
      <c r="D80" s="374" t="s">
        <v>845</v>
      </c>
      <c r="E80" s="377">
        <f>SUM(E78:E79)</f>
        <v>177</v>
      </c>
      <c r="F80" s="377">
        <f t="shared" ref="F80:O80" si="27">SUM(F78:F79)</f>
        <v>49</v>
      </c>
      <c r="G80" s="377">
        <f t="shared" si="27"/>
        <v>365</v>
      </c>
      <c r="H80" s="377">
        <f t="shared" si="27"/>
        <v>280</v>
      </c>
      <c r="I80" s="377">
        <f t="shared" si="27"/>
        <v>258</v>
      </c>
      <c r="J80" s="377">
        <f t="shared" si="27"/>
        <v>243</v>
      </c>
      <c r="K80" s="377">
        <f t="shared" si="27"/>
        <v>1</v>
      </c>
      <c r="L80" s="377">
        <f t="shared" si="27"/>
        <v>59</v>
      </c>
      <c r="M80" s="377">
        <f t="shared" si="27"/>
        <v>5</v>
      </c>
      <c r="N80" s="377">
        <f t="shared" si="27"/>
        <v>44</v>
      </c>
      <c r="O80" s="377">
        <f t="shared" si="27"/>
        <v>1481</v>
      </c>
    </row>
    <row r="81" spans="3:15" ht="18" customHeight="1" x14ac:dyDescent="0.2">
      <c r="C81" s="619" t="s">
        <v>215</v>
      </c>
      <c r="D81" s="374" t="s">
        <v>9</v>
      </c>
      <c r="E81" s="377">
        <v>0</v>
      </c>
      <c r="F81" s="377">
        <v>1</v>
      </c>
      <c r="G81" s="377">
        <v>1</v>
      </c>
      <c r="H81" s="377">
        <v>0</v>
      </c>
      <c r="I81" s="377">
        <v>1</v>
      </c>
      <c r="J81" s="377">
        <v>1</v>
      </c>
      <c r="K81" s="377">
        <v>0</v>
      </c>
      <c r="L81" s="377">
        <v>0</v>
      </c>
      <c r="M81" s="377">
        <v>0</v>
      </c>
      <c r="N81" s="377">
        <v>0</v>
      </c>
      <c r="O81" s="382">
        <f t="shared" si="23"/>
        <v>4</v>
      </c>
    </row>
    <row r="82" spans="3:15" ht="18" customHeight="1" x14ac:dyDescent="0.2">
      <c r="C82" s="620"/>
      <c r="D82" s="374" t="s">
        <v>10</v>
      </c>
      <c r="E82" s="377">
        <v>1</v>
      </c>
      <c r="F82" s="377">
        <v>0</v>
      </c>
      <c r="G82" s="377">
        <v>1</v>
      </c>
      <c r="H82" s="377">
        <v>0</v>
      </c>
      <c r="I82" s="377">
        <v>0</v>
      </c>
      <c r="J82" s="377">
        <v>1</v>
      </c>
      <c r="K82" s="377">
        <v>0</v>
      </c>
      <c r="L82" s="377">
        <v>0</v>
      </c>
      <c r="M82" s="377">
        <v>0</v>
      </c>
      <c r="N82" s="377">
        <v>0</v>
      </c>
      <c r="O82" s="382">
        <f t="shared" si="23"/>
        <v>3</v>
      </c>
    </row>
    <row r="83" spans="3:15" ht="18" customHeight="1" x14ac:dyDescent="0.2">
      <c r="C83" s="621"/>
      <c r="D83" s="374" t="s">
        <v>845</v>
      </c>
      <c r="E83" s="377">
        <f>SUM(E81:E82)</f>
        <v>1</v>
      </c>
      <c r="F83" s="377">
        <f t="shared" ref="F83:O83" si="28">SUM(F81:F82)</f>
        <v>1</v>
      </c>
      <c r="G83" s="377">
        <f t="shared" si="28"/>
        <v>2</v>
      </c>
      <c r="H83" s="377">
        <f t="shared" si="28"/>
        <v>0</v>
      </c>
      <c r="I83" s="377">
        <f t="shared" si="28"/>
        <v>1</v>
      </c>
      <c r="J83" s="377">
        <f t="shared" si="28"/>
        <v>2</v>
      </c>
      <c r="K83" s="377">
        <f t="shared" si="28"/>
        <v>0</v>
      </c>
      <c r="L83" s="377">
        <f t="shared" si="28"/>
        <v>0</v>
      </c>
      <c r="M83" s="377">
        <f t="shared" si="28"/>
        <v>0</v>
      </c>
      <c r="N83" s="377">
        <f t="shared" si="28"/>
        <v>0</v>
      </c>
      <c r="O83" s="377">
        <f t="shared" si="28"/>
        <v>7</v>
      </c>
    </row>
    <row r="84" spans="3:15" ht="18" customHeight="1" x14ac:dyDescent="0.2">
      <c r="C84" s="619" t="s">
        <v>38</v>
      </c>
      <c r="D84" s="374" t="s">
        <v>9</v>
      </c>
      <c r="E84" s="377">
        <v>229</v>
      </c>
      <c r="F84" s="377">
        <v>64</v>
      </c>
      <c r="G84" s="377">
        <v>541</v>
      </c>
      <c r="H84" s="377">
        <v>406</v>
      </c>
      <c r="I84" s="377">
        <v>404</v>
      </c>
      <c r="J84" s="377">
        <v>325</v>
      </c>
      <c r="K84" s="377">
        <v>2</v>
      </c>
      <c r="L84" s="377">
        <v>90</v>
      </c>
      <c r="M84" s="377">
        <v>6</v>
      </c>
      <c r="N84" s="377">
        <v>66</v>
      </c>
      <c r="O84" s="382">
        <f t="shared" si="23"/>
        <v>2133</v>
      </c>
    </row>
    <row r="85" spans="3:15" ht="18" customHeight="1" x14ac:dyDescent="0.2">
      <c r="C85" s="620"/>
      <c r="D85" s="374" t="s">
        <v>10</v>
      </c>
      <c r="E85" s="377">
        <v>60</v>
      </c>
      <c r="F85" s="377">
        <v>17</v>
      </c>
      <c r="G85" s="377">
        <v>52</v>
      </c>
      <c r="H85" s="377">
        <v>44</v>
      </c>
      <c r="I85" s="377">
        <v>11</v>
      </c>
      <c r="J85" s="377">
        <v>71</v>
      </c>
      <c r="K85" s="377">
        <v>0</v>
      </c>
      <c r="L85" s="377">
        <v>5</v>
      </c>
      <c r="M85" s="377">
        <v>3</v>
      </c>
      <c r="N85" s="377">
        <v>5</v>
      </c>
      <c r="O85" s="382">
        <f t="shared" si="23"/>
        <v>268</v>
      </c>
    </row>
    <row r="86" spans="3:15" ht="18" customHeight="1" x14ac:dyDescent="0.2">
      <c r="C86" s="621"/>
      <c r="D86" s="374" t="s">
        <v>845</v>
      </c>
      <c r="E86" s="377">
        <f>SUM(E84:E85)</f>
        <v>289</v>
      </c>
      <c r="F86" s="377">
        <f t="shared" ref="F86:O86" si="29">SUM(F84:F85)</f>
        <v>81</v>
      </c>
      <c r="G86" s="377">
        <f t="shared" si="29"/>
        <v>593</v>
      </c>
      <c r="H86" s="377">
        <f t="shared" si="29"/>
        <v>450</v>
      </c>
      <c r="I86" s="377">
        <f t="shared" si="29"/>
        <v>415</v>
      </c>
      <c r="J86" s="377">
        <f t="shared" si="29"/>
        <v>396</v>
      </c>
      <c r="K86" s="377">
        <f t="shared" si="29"/>
        <v>2</v>
      </c>
      <c r="L86" s="377">
        <f t="shared" si="29"/>
        <v>95</v>
      </c>
      <c r="M86" s="377">
        <f t="shared" si="29"/>
        <v>9</v>
      </c>
      <c r="N86" s="377">
        <f t="shared" si="29"/>
        <v>71</v>
      </c>
      <c r="O86" s="377">
        <f t="shared" si="29"/>
        <v>2401</v>
      </c>
    </row>
    <row r="87" spans="3:15" ht="18" customHeight="1" x14ac:dyDescent="0.2">
      <c r="C87" s="619" t="s">
        <v>860</v>
      </c>
      <c r="D87" s="374" t="s">
        <v>9</v>
      </c>
      <c r="E87" s="377">
        <v>76</v>
      </c>
      <c r="F87" s="377">
        <v>21</v>
      </c>
      <c r="G87" s="377">
        <v>180</v>
      </c>
      <c r="H87" s="377">
        <v>136</v>
      </c>
      <c r="I87" s="377">
        <v>134</v>
      </c>
      <c r="J87" s="377">
        <v>108</v>
      </c>
      <c r="K87" s="377">
        <v>1</v>
      </c>
      <c r="L87" s="377">
        <v>30</v>
      </c>
      <c r="M87" s="377">
        <v>1</v>
      </c>
      <c r="N87" s="377">
        <v>22</v>
      </c>
      <c r="O87" s="382">
        <f t="shared" si="23"/>
        <v>709</v>
      </c>
    </row>
    <row r="88" spans="3:15" ht="18" customHeight="1" x14ac:dyDescent="0.2">
      <c r="C88" s="620"/>
      <c r="D88" s="374" t="s">
        <v>10</v>
      </c>
      <c r="E88" s="377">
        <v>18</v>
      </c>
      <c r="F88" s="377">
        <v>5</v>
      </c>
      <c r="G88" s="377">
        <v>16</v>
      </c>
      <c r="H88" s="377">
        <v>13</v>
      </c>
      <c r="I88" s="377">
        <v>3</v>
      </c>
      <c r="J88" s="377">
        <v>21</v>
      </c>
      <c r="K88" s="377">
        <v>0</v>
      </c>
      <c r="L88" s="377">
        <v>2</v>
      </c>
      <c r="M88" s="377">
        <v>1</v>
      </c>
      <c r="N88" s="377">
        <v>2</v>
      </c>
      <c r="O88" s="382">
        <f t="shared" si="23"/>
        <v>81</v>
      </c>
    </row>
    <row r="89" spans="3:15" ht="18" customHeight="1" x14ac:dyDescent="0.2">
      <c r="C89" s="621"/>
      <c r="D89" s="374" t="s">
        <v>845</v>
      </c>
      <c r="E89" s="377">
        <f>SUM(E87:E88)</f>
        <v>94</v>
      </c>
      <c r="F89" s="377">
        <f t="shared" ref="F89:O89" si="30">SUM(F87:F88)</f>
        <v>26</v>
      </c>
      <c r="G89" s="377">
        <f t="shared" si="30"/>
        <v>196</v>
      </c>
      <c r="H89" s="377">
        <f t="shared" si="30"/>
        <v>149</v>
      </c>
      <c r="I89" s="377">
        <f t="shared" si="30"/>
        <v>137</v>
      </c>
      <c r="J89" s="377">
        <f t="shared" si="30"/>
        <v>129</v>
      </c>
      <c r="K89" s="377">
        <f t="shared" si="30"/>
        <v>1</v>
      </c>
      <c r="L89" s="377">
        <f t="shared" si="30"/>
        <v>32</v>
      </c>
      <c r="M89" s="377">
        <f t="shared" si="30"/>
        <v>2</v>
      </c>
      <c r="N89" s="377">
        <f t="shared" si="30"/>
        <v>24</v>
      </c>
      <c r="O89" s="377">
        <f t="shared" si="30"/>
        <v>790</v>
      </c>
    </row>
    <row r="90" spans="3:15" ht="18" customHeight="1" x14ac:dyDescent="0.2">
      <c r="C90" s="616" t="s">
        <v>575</v>
      </c>
      <c r="D90" s="383" t="s">
        <v>9</v>
      </c>
      <c r="E90" s="382">
        <f>E3+E6+E9+E12+E15+E18+E21+E24+E27+E30+E33+E36+E39+E42+E45+E48+E51+E54+E57+E60+E63+E66+E69+E72+E75+E78+E81+E84+E87</f>
        <v>897</v>
      </c>
      <c r="F90" s="382">
        <f t="shared" ref="F90:O90" si="31">F3+F6+F9+F12+F15+F18+F21+F24+F27+F30+F33+F36+F39+F42+F45+F48+F51+F54+F57+F60+F63+F66+F69+F72+F75+F78+F81+F84+F87</f>
        <v>245</v>
      </c>
      <c r="G90" s="382">
        <f t="shared" si="31"/>
        <v>2111</v>
      </c>
      <c r="H90" s="382">
        <f t="shared" si="31"/>
        <v>1595</v>
      </c>
      <c r="I90" s="382">
        <f t="shared" si="31"/>
        <v>1578</v>
      </c>
      <c r="J90" s="382">
        <f t="shared" si="31"/>
        <v>1264</v>
      </c>
      <c r="K90" s="382">
        <f t="shared" si="31"/>
        <v>8</v>
      </c>
      <c r="L90" s="382">
        <f t="shared" si="31"/>
        <v>352</v>
      </c>
      <c r="M90" s="382">
        <f t="shared" si="31"/>
        <v>16</v>
      </c>
      <c r="N90" s="382">
        <f t="shared" si="31"/>
        <v>257</v>
      </c>
      <c r="O90" s="382">
        <f t="shared" si="31"/>
        <v>8323</v>
      </c>
    </row>
    <row r="91" spans="3:15" ht="18" customHeight="1" x14ac:dyDescent="0.2">
      <c r="C91" s="616"/>
      <c r="D91" s="383" t="s">
        <v>10</v>
      </c>
      <c r="E91" s="382">
        <f t="shared" ref="E91:O92" si="32">E4+E7+E10+E13+E16+E19+E22+E25+E28+E31+E34+E37+E40+E43+E46+E49+E52+E55+E58+E61+E64+E67+E70+E73+E76+E79+E82+E85+E88</f>
        <v>320</v>
      </c>
      <c r="F91" s="382">
        <f t="shared" si="32"/>
        <v>92</v>
      </c>
      <c r="G91" s="382">
        <f t="shared" si="32"/>
        <v>278</v>
      </c>
      <c r="H91" s="382">
        <f t="shared" si="32"/>
        <v>235</v>
      </c>
      <c r="I91" s="382">
        <f t="shared" si="32"/>
        <v>55</v>
      </c>
      <c r="J91" s="382">
        <f t="shared" si="32"/>
        <v>378</v>
      </c>
      <c r="K91" s="382">
        <f t="shared" si="32"/>
        <v>0</v>
      </c>
      <c r="L91" s="382">
        <f t="shared" si="32"/>
        <v>24</v>
      </c>
      <c r="M91" s="382">
        <f t="shared" si="32"/>
        <v>17</v>
      </c>
      <c r="N91" s="382">
        <f t="shared" si="32"/>
        <v>29</v>
      </c>
      <c r="O91" s="382">
        <f t="shared" si="32"/>
        <v>1428</v>
      </c>
    </row>
    <row r="92" spans="3:15" ht="18" customHeight="1" x14ac:dyDescent="0.2">
      <c r="C92" s="616"/>
      <c r="D92" s="383" t="s">
        <v>845</v>
      </c>
      <c r="E92" s="382">
        <f t="shared" si="32"/>
        <v>1217</v>
      </c>
      <c r="F92" s="382">
        <f t="shared" si="32"/>
        <v>337</v>
      </c>
      <c r="G92" s="382">
        <f t="shared" si="32"/>
        <v>2389</v>
      </c>
      <c r="H92" s="382">
        <f t="shared" si="32"/>
        <v>1830</v>
      </c>
      <c r="I92" s="382">
        <f t="shared" si="32"/>
        <v>1633</v>
      </c>
      <c r="J92" s="382">
        <f t="shared" si="32"/>
        <v>1642</v>
      </c>
      <c r="K92" s="382">
        <f t="shared" si="32"/>
        <v>8</v>
      </c>
      <c r="L92" s="382">
        <f t="shared" si="32"/>
        <v>376</v>
      </c>
      <c r="M92" s="382">
        <f t="shared" si="32"/>
        <v>33</v>
      </c>
      <c r="N92" s="382">
        <f t="shared" si="32"/>
        <v>286</v>
      </c>
      <c r="O92" s="382">
        <f t="shared" si="32"/>
        <v>9751</v>
      </c>
    </row>
  </sheetData>
  <mergeCells count="31">
    <mergeCell ref="C90:C92"/>
    <mergeCell ref="C72:C74"/>
    <mergeCell ref="C75:C77"/>
    <mergeCell ref="C78:C80"/>
    <mergeCell ref="C81:C83"/>
    <mergeCell ref="C84:C86"/>
    <mergeCell ref="C87:C89"/>
    <mergeCell ref="C69:C71"/>
    <mergeCell ref="C36:C38"/>
    <mergeCell ref="C39:C41"/>
    <mergeCell ref="C42:C44"/>
    <mergeCell ref="C45:C47"/>
    <mergeCell ref="C48:C50"/>
    <mergeCell ref="C51:C53"/>
    <mergeCell ref="C54:C56"/>
    <mergeCell ref="C57:C59"/>
    <mergeCell ref="C60:C62"/>
    <mergeCell ref="C63:C65"/>
    <mergeCell ref="C66:C68"/>
    <mergeCell ref="C33:C35"/>
    <mergeCell ref="C1:O1"/>
    <mergeCell ref="C3:C5"/>
    <mergeCell ref="C6:C8"/>
    <mergeCell ref="C9:C11"/>
    <mergeCell ref="C12:C14"/>
    <mergeCell ref="C15:C17"/>
    <mergeCell ref="C18:C20"/>
    <mergeCell ref="C21:C23"/>
    <mergeCell ref="C24:C26"/>
    <mergeCell ref="C27:C29"/>
    <mergeCell ref="C30:C32"/>
  </mergeCells>
  <pageMargins left="0.7" right="0.7" top="0.75" bottom="0.75" header="0.3" footer="0.3"/>
  <pageSetup paperSize="9" orientation="portrait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37"/>
  <sheetViews>
    <sheetView showGridLines="0" view="pageBreakPreview" zoomScaleNormal="100" zoomScaleSheetLayoutView="100" workbookViewId="0">
      <selection activeCell="H41" sqref="H41"/>
    </sheetView>
  </sheetViews>
  <sheetFormatPr defaultRowHeight="12.75" x14ac:dyDescent="0.2"/>
  <cols>
    <col min="1" max="1" width="6" style="142" customWidth="1"/>
    <col min="2" max="10" width="9.625" style="142" customWidth="1"/>
    <col min="11" max="11" width="24" style="142" customWidth="1"/>
    <col min="12" max="12" width="3.625" style="142" customWidth="1"/>
    <col min="13" max="16384" width="9" style="142"/>
  </cols>
  <sheetData>
    <row r="1" spans="1:12" ht="0.95" customHeight="1" x14ac:dyDescent="0.2">
      <c r="A1" s="141"/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</row>
    <row r="2" spans="1:12" ht="20.100000000000001" customHeight="1" x14ac:dyDescent="0.2">
      <c r="A2" s="141"/>
      <c r="B2" s="593" t="s">
        <v>887</v>
      </c>
      <c r="C2" s="594"/>
      <c r="D2" s="594"/>
      <c r="E2" s="594"/>
      <c r="F2" s="594"/>
      <c r="G2" s="594"/>
      <c r="H2" s="594"/>
      <c r="I2" s="594"/>
      <c r="J2" s="594"/>
      <c r="K2" s="594"/>
      <c r="L2" s="141"/>
    </row>
    <row r="3" spans="1:12" ht="20.100000000000001" customHeight="1" thickBot="1" x14ac:dyDescent="0.25">
      <c r="A3" s="141"/>
      <c r="B3" s="595" t="s">
        <v>888</v>
      </c>
      <c r="C3" s="595"/>
      <c r="D3" s="595"/>
      <c r="E3" s="595"/>
      <c r="F3" s="595"/>
      <c r="G3" s="595"/>
      <c r="H3" s="595"/>
      <c r="I3" s="595"/>
      <c r="J3" s="595"/>
      <c r="K3" s="595"/>
      <c r="L3" s="141"/>
    </row>
    <row r="4" spans="1:12" ht="13.5" thickBot="1" x14ac:dyDescent="0.25">
      <c r="A4" s="141"/>
      <c r="B4" s="166" t="s">
        <v>244</v>
      </c>
      <c r="C4" s="166" t="s">
        <v>53</v>
      </c>
      <c r="D4" s="166" t="s">
        <v>58</v>
      </c>
      <c r="E4" s="166" t="s">
        <v>56</v>
      </c>
      <c r="F4" s="166" t="s">
        <v>57</v>
      </c>
      <c r="G4" s="166" t="s">
        <v>59</v>
      </c>
      <c r="H4" s="166" t="s">
        <v>60</v>
      </c>
      <c r="I4" s="166" t="s">
        <v>61</v>
      </c>
      <c r="J4" s="167" t="s">
        <v>7</v>
      </c>
      <c r="K4" s="152" t="s">
        <v>159</v>
      </c>
      <c r="L4" s="141"/>
    </row>
    <row r="5" spans="1:12" ht="13.5" thickBot="1" x14ac:dyDescent="0.25">
      <c r="A5" s="141"/>
      <c r="B5" s="168">
        <f>SUM(C5:I5)</f>
        <v>50</v>
      </c>
      <c r="C5" s="168">
        <v>4</v>
      </c>
      <c r="D5" s="168">
        <v>0</v>
      </c>
      <c r="E5" s="168">
        <v>5</v>
      </c>
      <c r="F5" s="168">
        <v>13</v>
      </c>
      <c r="G5" s="168">
        <v>3</v>
      </c>
      <c r="H5" s="168">
        <v>24</v>
      </c>
      <c r="I5" s="168">
        <v>1</v>
      </c>
      <c r="J5" s="166" t="s">
        <v>9</v>
      </c>
      <c r="K5" s="169"/>
      <c r="L5" s="141"/>
    </row>
    <row r="6" spans="1:12" ht="13.5" thickBot="1" x14ac:dyDescent="0.25">
      <c r="A6" s="141"/>
      <c r="B6" s="168">
        <f t="shared" ref="B6:B33" si="0">SUM(C6:I6)</f>
        <v>45</v>
      </c>
      <c r="C6" s="168">
        <v>19</v>
      </c>
      <c r="D6" s="168">
        <v>0</v>
      </c>
      <c r="E6" s="168">
        <v>1</v>
      </c>
      <c r="F6" s="168">
        <v>5</v>
      </c>
      <c r="G6" s="168">
        <v>7</v>
      </c>
      <c r="H6" s="168">
        <v>13</v>
      </c>
      <c r="I6" s="168">
        <v>0</v>
      </c>
      <c r="J6" s="166" t="s">
        <v>10</v>
      </c>
      <c r="K6" s="169" t="s">
        <v>44</v>
      </c>
      <c r="L6" s="141"/>
    </row>
    <row r="7" spans="1:12" ht="13.5" thickBot="1" x14ac:dyDescent="0.25">
      <c r="A7" s="141"/>
      <c r="B7" s="168">
        <f t="shared" ref="B7:H7" si="1">SUM(B5:B6)</f>
        <v>95</v>
      </c>
      <c r="C7" s="168">
        <f t="shared" si="1"/>
        <v>23</v>
      </c>
      <c r="D7" s="168">
        <f t="shared" si="1"/>
        <v>0</v>
      </c>
      <c r="E7" s="168">
        <f t="shared" si="1"/>
        <v>6</v>
      </c>
      <c r="F7" s="168">
        <f t="shared" si="1"/>
        <v>18</v>
      </c>
      <c r="G7" s="168">
        <f t="shared" si="1"/>
        <v>10</v>
      </c>
      <c r="H7" s="168">
        <f t="shared" si="1"/>
        <v>37</v>
      </c>
      <c r="I7" s="168">
        <f>SUM(I5:I6)</f>
        <v>1</v>
      </c>
      <c r="J7" s="166" t="s">
        <v>12</v>
      </c>
      <c r="K7" s="153"/>
      <c r="L7" s="141"/>
    </row>
    <row r="8" spans="1:12" ht="13.5" thickBot="1" x14ac:dyDescent="0.25">
      <c r="A8" s="141"/>
      <c r="B8" s="168">
        <f t="shared" si="0"/>
        <v>349</v>
      </c>
      <c r="C8" s="168">
        <v>1</v>
      </c>
      <c r="D8" s="168">
        <v>0</v>
      </c>
      <c r="E8" s="168">
        <v>17</v>
      </c>
      <c r="F8" s="168">
        <v>59</v>
      </c>
      <c r="G8" s="168">
        <v>219</v>
      </c>
      <c r="H8" s="168">
        <v>33</v>
      </c>
      <c r="I8" s="168">
        <v>20</v>
      </c>
      <c r="J8" s="166" t="s">
        <v>9</v>
      </c>
      <c r="K8" s="169"/>
      <c r="L8" s="141"/>
    </row>
    <row r="9" spans="1:12" ht="13.5" thickBot="1" x14ac:dyDescent="0.25">
      <c r="A9" s="141"/>
      <c r="B9" s="168">
        <f t="shared" si="0"/>
        <v>106</v>
      </c>
      <c r="C9" s="168">
        <v>0</v>
      </c>
      <c r="D9" s="168">
        <v>0</v>
      </c>
      <c r="E9" s="168">
        <v>3</v>
      </c>
      <c r="F9" s="168">
        <v>13</v>
      </c>
      <c r="G9" s="168">
        <v>47</v>
      </c>
      <c r="H9" s="168">
        <v>36</v>
      </c>
      <c r="I9" s="168">
        <v>7</v>
      </c>
      <c r="J9" s="166" t="s">
        <v>10</v>
      </c>
      <c r="K9" s="169" t="s">
        <v>45</v>
      </c>
      <c r="L9" s="141"/>
    </row>
    <row r="10" spans="1:12" ht="13.5" thickBot="1" x14ac:dyDescent="0.25">
      <c r="A10" s="141"/>
      <c r="B10" s="168">
        <f t="shared" ref="B10:H10" si="2">SUM(B8:B9)</f>
        <v>455</v>
      </c>
      <c r="C10" s="168">
        <f t="shared" si="2"/>
        <v>1</v>
      </c>
      <c r="D10" s="168">
        <f t="shared" si="2"/>
        <v>0</v>
      </c>
      <c r="E10" s="168">
        <f t="shared" si="2"/>
        <v>20</v>
      </c>
      <c r="F10" s="168">
        <f t="shared" si="2"/>
        <v>72</v>
      </c>
      <c r="G10" s="168">
        <f t="shared" si="2"/>
        <v>266</v>
      </c>
      <c r="H10" s="168">
        <f t="shared" si="2"/>
        <v>69</v>
      </c>
      <c r="I10" s="168">
        <f>SUM(I8:I9)</f>
        <v>27</v>
      </c>
      <c r="J10" s="166" t="s">
        <v>12</v>
      </c>
      <c r="K10" s="153"/>
      <c r="L10" s="141"/>
    </row>
    <row r="11" spans="1:12" ht="13.5" thickBot="1" x14ac:dyDescent="0.25">
      <c r="A11" s="141"/>
      <c r="B11" s="168">
        <f t="shared" si="0"/>
        <v>212</v>
      </c>
      <c r="C11" s="168">
        <v>3</v>
      </c>
      <c r="D11" s="168">
        <v>0</v>
      </c>
      <c r="E11" s="168">
        <v>16</v>
      </c>
      <c r="F11" s="168">
        <v>54</v>
      </c>
      <c r="G11" s="168">
        <v>3</v>
      </c>
      <c r="H11" s="168">
        <v>107</v>
      </c>
      <c r="I11" s="168">
        <v>29</v>
      </c>
      <c r="J11" s="166" t="s">
        <v>9</v>
      </c>
      <c r="K11" s="169"/>
      <c r="L11" s="141"/>
    </row>
    <row r="12" spans="1:12" ht="13.5" thickBot="1" x14ac:dyDescent="0.25">
      <c r="A12" s="141"/>
      <c r="B12" s="168">
        <f t="shared" si="0"/>
        <v>53</v>
      </c>
      <c r="C12" s="168">
        <v>0</v>
      </c>
      <c r="D12" s="168">
        <v>0</v>
      </c>
      <c r="E12" s="168">
        <v>2</v>
      </c>
      <c r="F12" s="168">
        <v>7</v>
      </c>
      <c r="G12" s="168">
        <v>6</v>
      </c>
      <c r="H12" s="168">
        <v>26</v>
      </c>
      <c r="I12" s="168">
        <v>12</v>
      </c>
      <c r="J12" s="166" t="s">
        <v>10</v>
      </c>
      <c r="K12" s="169" t="s">
        <v>46</v>
      </c>
      <c r="L12" s="141"/>
    </row>
    <row r="13" spans="1:12" ht="13.5" thickBot="1" x14ac:dyDescent="0.25">
      <c r="A13" s="141"/>
      <c r="B13" s="168">
        <f t="shared" ref="B13:H13" si="3">SUM(B11:B12)</f>
        <v>265</v>
      </c>
      <c r="C13" s="168">
        <f t="shared" si="3"/>
        <v>3</v>
      </c>
      <c r="D13" s="168">
        <f t="shared" si="3"/>
        <v>0</v>
      </c>
      <c r="E13" s="168">
        <f t="shared" si="3"/>
        <v>18</v>
      </c>
      <c r="F13" s="168">
        <f t="shared" si="3"/>
        <v>61</v>
      </c>
      <c r="G13" s="168">
        <f t="shared" si="3"/>
        <v>9</v>
      </c>
      <c r="H13" s="168">
        <f t="shared" si="3"/>
        <v>133</v>
      </c>
      <c r="I13" s="168">
        <f>SUM(I11:I12)</f>
        <v>41</v>
      </c>
      <c r="J13" s="166" t="s">
        <v>12</v>
      </c>
      <c r="K13" s="153"/>
      <c r="L13" s="141"/>
    </row>
    <row r="14" spans="1:12" ht="13.5" thickBot="1" x14ac:dyDescent="0.25">
      <c r="A14" s="141"/>
      <c r="B14" s="168">
        <f t="shared" si="0"/>
        <v>72</v>
      </c>
      <c r="C14" s="168">
        <v>2</v>
      </c>
      <c r="D14" s="168">
        <v>0</v>
      </c>
      <c r="E14" s="168">
        <v>8</v>
      </c>
      <c r="F14" s="168">
        <v>11</v>
      </c>
      <c r="G14" s="168">
        <v>1</v>
      </c>
      <c r="H14" s="168">
        <v>49</v>
      </c>
      <c r="I14" s="168">
        <v>1</v>
      </c>
      <c r="J14" s="166" t="s">
        <v>9</v>
      </c>
      <c r="K14" s="169"/>
      <c r="L14" s="141"/>
    </row>
    <row r="15" spans="1:12" ht="13.5" thickBot="1" x14ac:dyDescent="0.25">
      <c r="A15" s="141"/>
      <c r="B15" s="168">
        <f t="shared" si="0"/>
        <v>29</v>
      </c>
      <c r="C15" s="168">
        <v>0</v>
      </c>
      <c r="D15" s="168">
        <v>0</v>
      </c>
      <c r="E15" s="168">
        <v>6</v>
      </c>
      <c r="F15" s="168">
        <v>11</v>
      </c>
      <c r="G15" s="168">
        <v>0</v>
      </c>
      <c r="H15" s="168">
        <v>12</v>
      </c>
      <c r="I15" s="168">
        <v>0</v>
      </c>
      <c r="J15" s="166" t="s">
        <v>10</v>
      </c>
      <c r="K15" s="169" t="s">
        <v>47</v>
      </c>
      <c r="L15" s="141"/>
    </row>
    <row r="16" spans="1:12" ht="13.5" thickBot="1" x14ac:dyDescent="0.25">
      <c r="A16" s="141"/>
      <c r="B16" s="168">
        <f t="shared" ref="B16:H16" si="4">SUM(B14:B15)</f>
        <v>101</v>
      </c>
      <c r="C16" s="168">
        <f t="shared" si="4"/>
        <v>2</v>
      </c>
      <c r="D16" s="168">
        <f t="shared" si="4"/>
        <v>0</v>
      </c>
      <c r="E16" s="168">
        <f t="shared" si="4"/>
        <v>14</v>
      </c>
      <c r="F16" s="168">
        <f t="shared" si="4"/>
        <v>22</v>
      </c>
      <c r="G16" s="168">
        <f t="shared" si="4"/>
        <v>1</v>
      </c>
      <c r="H16" s="168">
        <f t="shared" si="4"/>
        <v>61</v>
      </c>
      <c r="I16" s="168">
        <f>SUM(I14:I15)</f>
        <v>1</v>
      </c>
      <c r="J16" s="166" t="s">
        <v>12</v>
      </c>
      <c r="K16" s="153"/>
      <c r="L16" s="141"/>
    </row>
    <row r="17" spans="1:12" ht="13.5" thickBot="1" x14ac:dyDescent="0.25">
      <c r="A17" s="141"/>
      <c r="B17" s="168">
        <f t="shared" si="0"/>
        <v>196</v>
      </c>
      <c r="C17" s="168">
        <v>1</v>
      </c>
      <c r="D17" s="168">
        <v>0</v>
      </c>
      <c r="E17" s="168">
        <v>11</v>
      </c>
      <c r="F17" s="168">
        <v>56</v>
      </c>
      <c r="G17" s="168">
        <v>4</v>
      </c>
      <c r="H17" s="168">
        <v>98</v>
      </c>
      <c r="I17" s="168">
        <v>26</v>
      </c>
      <c r="J17" s="166" t="s">
        <v>9</v>
      </c>
      <c r="K17" s="169"/>
      <c r="L17" s="141"/>
    </row>
    <row r="18" spans="1:12" ht="13.5" thickBot="1" x14ac:dyDescent="0.25">
      <c r="A18" s="141"/>
      <c r="B18" s="168">
        <f t="shared" si="0"/>
        <v>16</v>
      </c>
      <c r="C18" s="168">
        <v>0</v>
      </c>
      <c r="D18" s="168">
        <v>0</v>
      </c>
      <c r="E18" s="168">
        <v>3</v>
      </c>
      <c r="F18" s="168">
        <v>4</v>
      </c>
      <c r="G18" s="168">
        <v>0</v>
      </c>
      <c r="H18" s="168">
        <v>7</v>
      </c>
      <c r="I18" s="168">
        <v>2</v>
      </c>
      <c r="J18" s="166" t="s">
        <v>10</v>
      </c>
      <c r="K18" s="169" t="s">
        <v>48</v>
      </c>
      <c r="L18" s="141"/>
    </row>
    <row r="19" spans="1:12" ht="13.5" thickBot="1" x14ac:dyDescent="0.25">
      <c r="A19" s="141"/>
      <c r="B19" s="168">
        <f t="shared" ref="B19:H19" si="5">SUM(B17:B18)</f>
        <v>212</v>
      </c>
      <c r="C19" s="168">
        <f t="shared" si="5"/>
        <v>1</v>
      </c>
      <c r="D19" s="168">
        <f t="shared" si="5"/>
        <v>0</v>
      </c>
      <c r="E19" s="168">
        <f t="shared" si="5"/>
        <v>14</v>
      </c>
      <c r="F19" s="168">
        <f t="shared" si="5"/>
        <v>60</v>
      </c>
      <c r="G19" s="168">
        <f t="shared" si="5"/>
        <v>4</v>
      </c>
      <c r="H19" s="168">
        <f t="shared" si="5"/>
        <v>105</v>
      </c>
      <c r="I19" s="168">
        <f>SUM(I17:I18)</f>
        <v>28</v>
      </c>
      <c r="J19" s="166" t="s">
        <v>12</v>
      </c>
      <c r="K19" s="153"/>
      <c r="L19" s="141"/>
    </row>
    <row r="20" spans="1:12" ht="13.5" thickBot="1" x14ac:dyDescent="0.25">
      <c r="A20" s="141"/>
      <c r="B20" s="168">
        <f t="shared" si="0"/>
        <v>419</v>
      </c>
      <c r="C20" s="168">
        <v>10</v>
      </c>
      <c r="D20" s="168">
        <v>184</v>
      </c>
      <c r="E20" s="168">
        <v>7</v>
      </c>
      <c r="F20" s="168">
        <v>20</v>
      </c>
      <c r="G20" s="168">
        <v>1</v>
      </c>
      <c r="H20" s="168">
        <v>167</v>
      </c>
      <c r="I20" s="168">
        <v>30</v>
      </c>
      <c r="J20" s="166" t="s">
        <v>9</v>
      </c>
      <c r="K20" s="169"/>
      <c r="L20" s="141"/>
    </row>
    <row r="21" spans="1:12" ht="13.5" thickBot="1" x14ac:dyDescent="0.25">
      <c r="A21" s="141"/>
      <c r="B21" s="168">
        <f t="shared" si="0"/>
        <v>98</v>
      </c>
      <c r="C21" s="168">
        <v>3</v>
      </c>
      <c r="D21" s="168">
        <v>47</v>
      </c>
      <c r="E21" s="168">
        <v>2</v>
      </c>
      <c r="F21" s="168">
        <v>10</v>
      </c>
      <c r="G21" s="168">
        <v>0</v>
      </c>
      <c r="H21" s="168">
        <v>29</v>
      </c>
      <c r="I21" s="168">
        <v>7</v>
      </c>
      <c r="J21" s="166" t="s">
        <v>10</v>
      </c>
      <c r="K21" s="169" t="s">
        <v>49</v>
      </c>
      <c r="L21" s="141"/>
    </row>
    <row r="22" spans="1:12" ht="13.5" thickBot="1" x14ac:dyDescent="0.25">
      <c r="A22" s="141"/>
      <c r="B22" s="168">
        <f t="shared" ref="B22:H22" si="6">SUM(B20:B21)</f>
        <v>517</v>
      </c>
      <c r="C22" s="168">
        <f t="shared" si="6"/>
        <v>13</v>
      </c>
      <c r="D22" s="168">
        <f t="shared" si="6"/>
        <v>231</v>
      </c>
      <c r="E22" s="168">
        <f t="shared" si="6"/>
        <v>9</v>
      </c>
      <c r="F22" s="168">
        <f t="shared" si="6"/>
        <v>30</v>
      </c>
      <c r="G22" s="168">
        <f t="shared" si="6"/>
        <v>1</v>
      </c>
      <c r="H22" s="168">
        <f t="shared" si="6"/>
        <v>196</v>
      </c>
      <c r="I22" s="168">
        <f>SUM(I20:I21)</f>
        <v>37</v>
      </c>
      <c r="J22" s="166" t="s">
        <v>12</v>
      </c>
      <c r="K22" s="153"/>
      <c r="L22" s="141"/>
    </row>
    <row r="23" spans="1:12" ht="13.5" thickBot="1" x14ac:dyDescent="0.25">
      <c r="A23" s="141"/>
      <c r="B23" s="168">
        <f t="shared" si="0"/>
        <v>4</v>
      </c>
      <c r="C23" s="168">
        <v>0</v>
      </c>
      <c r="D23" s="168">
        <v>0</v>
      </c>
      <c r="E23" s="168">
        <v>2</v>
      </c>
      <c r="F23" s="168">
        <v>1</v>
      </c>
      <c r="G23" s="168">
        <v>0</v>
      </c>
      <c r="H23" s="168">
        <v>1</v>
      </c>
      <c r="I23" s="168">
        <v>0</v>
      </c>
      <c r="J23" s="166" t="s">
        <v>9</v>
      </c>
      <c r="K23" s="169"/>
      <c r="L23" s="141"/>
    </row>
    <row r="24" spans="1:12" ht="13.5" thickBot="1" x14ac:dyDescent="0.25">
      <c r="A24" s="141"/>
      <c r="B24" s="168">
        <f t="shared" si="0"/>
        <v>2</v>
      </c>
      <c r="C24" s="168">
        <v>0</v>
      </c>
      <c r="D24" s="168">
        <v>0</v>
      </c>
      <c r="E24" s="168">
        <v>0</v>
      </c>
      <c r="F24" s="168">
        <v>1</v>
      </c>
      <c r="G24" s="168">
        <v>0</v>
      </c>
      <c r="H24" s="168">
        <v>1</v>
      </c>
      <c r="I24" s="168">
        <v>0</v>
      </c>
      <c r="J24" s="166" t="s">
        <v>10</v>
      </c>
      <c r="K24" s="169" t="s">
        <v>50</v>
      </c>
      <c r="L24" s="141"/>
    </row>
    <row r="25" spans="1:12" ht="13.5" thickBot="1" x14ac:dyDescent="0.25">
      <c r="A25" s="141"/>
      <c r="B25" s="168">
        <f t="shared" ref="B25:H25" si="7">SUM(B23:B24)</f>
        <v>6</v>
      </c>
      <c r="C25" s="168">
        <f t="shared" si="7"/>
        <v>0</v>
      </c>
      <c r="D25" s="168">
        <f t="shared" si="7"/>
        <v>0</v>
      </c>
      <c r="E25" s="168">
        <f t="shared" si="7"/>
        <v>2</v>
      </c>
      <c r="F25" s="168">
        <f t="shared" si="7"/>
        <v>2</v>
      </c>
      <c r="G25" s="168">
        <f t="shared" si="7"/>
        <v>0</v>
      </c>
      <c r="H25" s="168">
        <f t="shared" si="7"/>
        <v>2</v>
      </c>
      <c r="I25" s="168">
        <f>SUM(I23:I24)</f>
        <v>0</v>
      </c>
      <c r="J25" s="166" t="s">
        <v>12</v>
      </c>
      <c r="K25" s="153"/>
      <c r="L25" s="141"/>
    </row>
    <row r="26" spans="1:12" ht="13.5" thickBot="1" x14ac:dyDescent="0.25">
      <c r="A26" s="141"/>
      <c r="B26" s="168">
        <f t="shared" si="0"/>
        <v>45</v>
      </c>
      <c r="C26" s="168">
        <v>5</v>
      </c>
      <c r="D26" s="168">
        <v>0</v>
      </c>
      <c r="E26" s="168">
        <v>1</v>
      </c>
      <c r="F26" s="168">
        <v>7</v>
      </c>
      <c r="G26" s="168">
        <v>0</v>
      </c>
      <c r="H26" s="168">
        <v>31</v>
      </c>
      <c r="I26" s="168">
        <v>1</v>
      </c>
      <c r="J26" s="166" t="s">
        <v>9</v>
      </c>
      <c r="K26" s="169"/>
      <c r="L26" s="141"/>
    </row>
    <row r="27" spans="1:12" ht="13.5" thickBot="1" x14ac:dyDescent="0.25">
      <c r="A27" s="141"/>
      <c r="B27" s="168">
        <f t="shared" si="0"/>
        <v>5</v>
      </c>
      <c r="C27" s="168">
        <v>0</v>
      </c>
      <c r="D27" s="168">
        <v>0</v>
      </c>
      <c r="E27" s="168">
        <v>0</v>
      </c>
      <c r="F27" s="168">
        <v>1</v>
      </c>
      <c r="G27" s="168">
        <v>0</v>
      </c>
      <c r="H27" s="168">
        <v>4</v>
      </c>
      <c r="I27" s="168">
        <v>0</v>
      </c>
      <c r="J27" s="166" t="s">
        <v>10</v>
      </c>
      <c r="K27" s="169" t="s">
        <v>51</v>
      </c>
      <c r="L27" s="141"/>
    </row>
    <row r="28" spans="1:12" ht="13.5" thickBot="1" x14ac:dyDescent="0.25">
      <c r="A28" s="141"/>
      <c r="B28" s="168">
        <f t="shared" ref="B28:H28" si="8">SUM(B26:B27)</f>
        <v>50</v>
      </c>
      <c r="C28" s="168">
        <f t="shared" si="8"/>
        <v>5</v>
      </c>
      <c r="D28" s="168">
        <f t="shared" si="8"/>
        <v>0</v>
      </c>
      <c r="E28" s="168">
        <f t="shared" si="8"/>
        <v>1</v>
      </c>
      <c r="F28" s="168">
        <f t="shared" si="8"/>
        <v>8</v>
      </c>
      <c r="G28" s="168">
        <f t="shared" si="8"/>
        <v>0</v>
      </c>
      <c r="H28" s="168">
        <f t="shared" si="8"/>
        <v>35</v>
      </c>
      <c r="I28" s="168">
        <f>SUM(I26:I27)</f>
        <v>1</v>
      </c>
      <c r="J28" s="166" t="s">
        <v>12</v>
      </c>
      <c r="K28" s="153"/>
      <c r="L28" s="141"/>
    </row>
    <row r="29" spans="1:12" ht="13.5" thickBot="1" x14ac:dyDescent="0.25">
      <c r="A29" s="141"/>
      <c r="B29" s="168">
        <f t="shared" si="0"/>
        <v>2</v>
      </c>
      <c r="C29" s="168">
        <v>0</v>
      </c>
      <c r="D29" s="168">
        <v>0</v>
      </c>
      <c r="E29" s="168">
        <v>0</v>
      </c>
      <c r="F29" s="168">
        <v>1</v>
      </c>
      <c r="G29" s="168">
        <v>0</v>
      </c>
      <c r="H29" s="168">
        <v>1</v>
      </c>
      <c r="I29" s="168">
        <v>0</v>
      </c>
      <c r="J29" s="166" t="s">
        <v>9</v>
      </c>
      <c r="K29" s="169"/>
      <c r="L29" s="141"/>
    </row>
    <row r="30" spans="1:12" ht="13.5" thickBot="1" x14ac:dyDescent="0.25">
      <c r="A30" s="141"/>
      <c r="B30" s="168">
        <f t="shared" si="0"/>
        <v>8</v>
      </c>
      <c r="C30" s="168">
        <v>0</v>
      </c>
      <c r="D30" s="168">
        <v>0</v>
      </c>
      <c r="E30" s="168">
        <v>0</v>
      </c>
      <c r="F30" s="168">
        <v>2</v>
      </c>
      <c r="G30" s="168">
        <v>0</v>
      </c>
      <c r="H30" s="168">
        <v>5</v>
      </c>
      <c r="I30" s="168">
        <v>1</v>
      </c>
      <c r="J30" s="166" t="s">
        <v>10</v>
      </c>
      <c r="K30" s="169" t="s">
        <v>52</v>
      </c>
      <c r="L30" s="141"/>
    </row>
    <row r="31" spans="1:12" ht="13.5" thickBot="1" x14ac:dyDescent="0.25">
      <c r="A31" s="141"/>
      <c r="B31" s="168">
        <f t="shared" ref="B31:H31" si="9">SUM(B29:B30)</f>
        <v>10</v>
      </c>
      <c r="C31" s="168">
        <f t="shared" si="9"/>
        <v>0</v>
      </c>
      <c r="D31" s="168">
        <f t="shared" si="9"/>
        <v>0</v>
      </c>
      <c r="E31" s="168">
        <f t="shared" si="9"/>
        <v>0</v>
      </c>
      <c r="F31" s="168">
        <f t="shared" si="9"/>
        <v>3</v>
      </c>
      <c r="G31" s="168">
        <f t="shared" si="9"/>
        <v>0</v>
      </c>
      <c r="H31" s="168">
        <f t="shared" si="9"/>
        <v>6</v>
      </c>
      <c r="I31" s="168">
        <f>SUM(I29:I30)</f>
        <v>1</v>
      </c>
      <c r="J31" s="166" t="s">
        <v>12</v>
      </c>
      <c r="K31" s="153"/>
      <c r="L31" s="141"/>
    </row>
    <row r="32" spans="1:12" ht="13.5" thickBot="1" x14ac:dyDescent="0.25">
      <c r="A32" s="141"/>
      <c r="B32" s="168">
        <f t="shared" si="0"/>
        <v>82</v>
      </c>
      <c r="C32" s="168">
        <v>54</v>
      </c>
      <c r="D32" s="168">
        <v>0</v>
      </c>
      <c r="E32" s="168">
        <v>4</v>
      </c>
      <c r="F32" s="168">
        <v>10</v>
      </c>
      <c r="G32" s="168">
        <v>0</v>
      </c>
      <c r="H32" s="168">
        <v>5</v>
      </c>
      <c r="I32" s="168">
        <v>9</v>
      </c>
      <c r="J32" s="166" t="s">
        <v>9</v>
      </c>
      <c r="K32" s="169"/>
      <c r="L32" s="141"/>
    </row>
    <row r="33" spans="1:12" ht="13.5" thickBot="1" x14ac:dyDescent="0.25">
      <c r="A33" s="141"/>
      <c r="B33" s="168">
        <f t="shared" si="0"/>
        <v>11</v>
      </c>
      <c r="C33" s="168">
        <v>0</v>
      </c>
      <c r="D33" s="168">
        <v>1</v>
      </c>
      <c r="E33" s="168">
        <v>2</v>
      </c>
      <c r="F33" s="168">
        <v>6</v>
      </c>
      <c r="G33" s="168">
        <v>0</v>
      </c>
      <c r="H33" s="168">
        <v>1</v>
      </c>
      <c r="I33" s="168">
        <v>1</v>
      </c>
      <c r="J33" s="166" t="s">
        <v>10</v>
      </c>
      <c r="K33" s="169" t="s">
        <v>53</v>
      </c>
      <c r="L33" s="141"/>
    </row>
    <row r="34" spans="1:12" ht="13.5" thickBot="1" x14ac:dyDescent="0.25">
      <c r="A34" s="141"/>
      <c r="B34" s="168">
        <f t="shared" ref="B34:H34" si="10">SUM(B32:B33)</f>
        <v>93</v>
      </c>
      <c r="C34" s="168">
        <f t="shared" si="10"/>
        <v>54</v>
      </c>
      <c r="D34" s="168">
        <f t="shared" si="10"/>
        <v>1</v>
      </c>
      <c r="E34" s="168">
        <f t="shared" si="10"/>
        <v>6</v>
      </c>
      <c r="F34" s="168">
        <f t="shared" si="10"/>
        <v>16</v>
      </c>
      <c r="G34" s="168">
        <f t="shared" si="10"/>
        <v>0</v>
      </c>
      <c r="H34" s="168">
        <f t="shared" si="10"/>
        <v>6</v>
      </c>
      <c r="I34" s="168">
        <f>SUM(I32:I33)</f>
        <v>10</v>
      </c>
      <c r="J34" s="166" t="s">
        <v>12</v>
      </c>
      <c r="K34" s="153"/>
      <c r="L34" s="141"/>
    </row>
    <row r="35" spans="1:12" ht="13.5" thickBot="1" x14ac:dyDescent="0.25">
      <c r="A35" s="141"/>
      <c r="B35" s="154">
        <f t="shared" ref="B35:I37" si="11">B5+B8+B11+B14+B17+B20+B23+B26+B29+B32</f>
        <v>1431</v>
      </c>
      <c r="C35" s="154">
        <f t="shared" si="11"/>
        <v>80</v>
      </c>
      <c r="D35" s="154">
        <f t="shared" si="11"/>
        <v>184</v>
      </c>
      <c r="E35" s="154">
        <f t="shared" si="11"/>
        <v>71</v>
      </c>
      <c r="F35" s="154">
        <f t="shared" si="11"/>
        <v>232</v>
      </c>
      <c r="G35" s="154">
        <f t="shared" si="11"/>
        <v>231</v>
      </c>
      <c r="H35" s="154">
        <f t="shared" si="11"/>
        <v>516</v>
      </c>
      <c r="I35" s="154">
        <f>I5+I8+I11+I14+I17+I20+I23+I26+I29+I32</f>
        <v>117</v>
      </c>
      <c r="J35" s="166" t="s">
        <v>9</v>
      </c>
      <c r="K35" s="167"/>
      <c r="L35" s="141"/>
    </row>
    <row r="36" spans="1:12" ht="13.5" thickBot="1" x14ac:dyDescent="0.25">
      <c r="A36" s="141"/>
      <c r="B36" s="154">
        <f t="shared" si="11"/>
        <v>373</v>
      </c>
      <c r="C36" s="154">
        <f t="shared" si="11"/>
        <v>22</v>
      </c>
      <c r="D36" s="154">
        <f t="shared" si="11"/>
        <v>48</v>
      </c>
      <c r="E36" s="154">
        <f t="shared" si="11"/>
        <v>19</v>
      </c>
      <c r="F36" s="154">
        <f t="shared" si="11"/>
        <v>60</v>
      </c>
      <c r="G36" s="154">
        <f t="shared" si="11"/>
        <v>60</v>
      </c>
      <c r="H36" s="154">
        <f t="shared" si="11"/>
        <v>134</v>
      </c>
      <c r="I36" s="154">
        <f t="shared" si="11"/>
        <v>30</v>
      </c>
      <c r="J36" s="166" t="s">
        <v>10</v>
      </c>
      <c r="K36" s="169" t="s">
        <v>188</v>
      </c>
      <c r="L36" s="141"/>
    </row>
    <row r="37" spans="1:12" ht="13.5" thickBot="1" x14ac:dyDescent="0.25">
      <c r="A37" s="141"/>
      <c r="B37" s="154">
        <f t="shared" si="11"/>
        <v>1804</v>
      </c>
      <c r="C37" s="154">
        <f t="shared" si="11"/>
        <v>102</v>
      </c>
      <c r="D37" s="154">
        <f t="shared" si="11"/>
        <v>232</v>
      </c>
      <c r="E37" s="154">
        <f t="shared" si="11"/>
        <v>90</v>
      </c>
      <c r="F37" s="154">
        <f t="shared" si="11"/>
        <v>292</v>
      </c>
      <c r="G37" s="154">
        <f t="shared" si="11"/>
        <v>291</v>
      </c>
      <c r="H37" s="154">
        <f t="shared" si="11"/>
        <v>650</v>
      </c>
      <c r="I37" s="154">
        <f t="shared" si="11"/>
        <v>147</v>
      </c>
      <c r="J37" s="166" t="s">
        <v>12</v>
      </c>
      <c r="K37" s="153"/>
      <c r="L37" s="141"/>
    </row>
  </sheetData>
  <mergeCells count="2">
    <mergeCell ref="B2:K2"/>
    <mergeCell ref="B3:K3"/>
  </mergeCells>
  <printOptions horizontalCentered="1" verticalCentered="1"/>
  <pageMargins left="0.4" right="0.4" top="0" bottom="0" header="0.8" footer="0.8"/>
  <pageSetup paperSize="9" scale="98" orientation="landscape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37"/>
  <sheetViews>
    <sheetView showGridLines="0" view="pageBreakPreview" topLeftCell="A22" zoomScaleNormal="100" zoomScaleSheetLayoutView="100" workbookViewId="0">
      <selection activeCell="A46" sqref="A40:XFD46"/>
    </sheetView>
  </sheetViews>
  <sheetFormatPr defaultRowHeight="12.75" x14ac:dyDescent="0.2"/>
  <cols>
    <col min="1" max="1" width="6" style="142" customWidth="1"/>
    <col min="2" max="10" width="9.625" style="142" customWidth="1"/>
    <col min="11" max="11" width="24" style="142" customWidth="1"/>
    <col min="12" max="12" width="3.625" style="142" customWidth="1"/>
    <col min="13" max="16384" width="9" style="142"/>
  </cols>
  <sheetData>
    <row r="1" spans="1:12" ht="0.95" customHeight="1" x14ac:dyDescent="0.2">
      <c r="A1" s="141"/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</row>
    <row r="2" spans="1:12" ht="20.100000000000001" customHeight="1" x14ac:dyDescent="0.2">
      <c r="A2" s="141"/>
      <c r="B2" s="593" t="s">
        <v>889</v>
      </c>
      <c r="C2" s="594"/>
      <c r="D2" s="594"/>
      <c r="E2" s="594"/>
      <c r="F2" s="594"/>
      <c r="G2" s="594"/>
      <c r="H2" s="594"/>
      <c r="I2" s="594"/>
      <c r="J2" s="594"/>
      <c r="K2" s="594"/>
      <c r="L2" s="141"/>
    </row>
    <row r="3" spans="1:12" ht="20.100000000000001" customHeight="1" thickBot="1" x14ac:dyDescent="0.25">
      <c r="A3" s="141"/>
      <c r="B3" s="595" t="s">
        <v>890</v>
      </c>
      <c r="C3" s="595"/>
      <c r="D3" s="595"/>
      <c r="E3" s="595"/>
      <c r="F3" s="595"/>
      <c r="G3" s="595"/>
      <c r="H3" s="595"/>
      <c r="I3" s="595"/>
      <c r="J3" s="595"/>
      <c r="K3" s="595"/>
      <c r="L3" s="141"/>
    </row>
    <row r="4" spans="1:12" ht="13.5" thickBot="1" x14ac:dyDescent="0.25">
      <c r="A4" s="141"/>
      <c r="B4" s="166" t="s">
        <v>244</v>
      </c>
      <c r="C4" s="166" t="s">
        <v>53</v>
      </c>
      <c r="D4" s="166" t="s">
        <v>58</v>
      </c>
      <c r="E4" s="166" t="s">
        <v>56</v>
      </c>
      <c r="F4" s="166" t="s">
        <v>57</v>
      </c>
      <c r="G4" s="166" t="s">
        <v>59</v>
      </c>
      <c r="H4" s="166" t="s">
        <v>60</v>
      </c>
      <c r="I4" s="166" t="s">
        <v>61</v>
      </c>
      <c r="J4" s="167" t="s">
        <v>7</v>
      </c>
      <c r="K4" s="152" t="s">
        <v>159</v>
      </c>
      <c r="L4" s="141"/>
    </row>
    <row r="5" spans="1:12" ht="13.5" thickBot="1" x14ac:dyDescent="0.25">
      <c r="A5" s="141"/>
      <c r="B5" s="168">
        <f>SUM(C5:I5)</f>
        <v>21</v>
      </c>
      <c r="C5" s="168">
        <v>4</v>
      </c>
      <c r="D5" s="168">
        <v>0</v>
      </c>
      <c r="E5" s="168">
        <v>2</v>
      </c>
      <c r="F5" s="168">
        <v>4</v>
      </c>
      <c r="G5" s="168">
        <v>2</v>
      </c>
      <c r="H5" s="168">
        <v>9</v>
      </c>
      <c r="I5" s="168">
        <v>0</v>
      </c>
      <c r="J5" s="166" t="s">
        <v>9</v>
      </c>
      <c r="K5" s="159"/>
      <c r="L5" s="141"/>
    </row>
    <row r="6" spans="1:12" ht="13.5" thickBot="1" x14ac:dyDescent="0.25">
      <c r="A6" s="141"/>
      <c r="B6" s="168">
        <f t="shared" ref="B6:B33" si="0">SUM(C6:I6)</f>
        <v>30</v>
      </c>
      <c r="C6" s="168">
        <v>19</v>
      </c>
      <c r="D6" s="168">
        <v>0</v>
      </c>
      <c r="E6" s="168">
        <v>1</v>
      </c>
      <c r="F6" s="168">
        <v>3</v>
      </c>
      <c r="G6" s="168">
        <v>1</v>
      </c>
      <c r="H6" s="168">
        <v>6</v>
      </c>
      <c r="I6" s="168">
        <v>0</v>
      </c>
      <c r="J6" s="166" t="s">
        <v>10</v>
      </c>
      <c r="K6" s="169" t="s">
        <v>44</v>
      </c>
      <c r="L6" s="141"/>
    </row>
    <row r="7" spans="1:12" ht="13.5" thickBot="1" x14ac:dyDescent="0.25">
      <c r="A7" s="141"/>
      <c r="B7" s="168">
        <f t="shared" ref="B7:H7" si="1">SUM(B5:B6)</f>
        <v>51</v>
      </c>
      <c r="C7" s="168">
        <f t="shared" si="1"/>
        <v>23</v>
      </c>
      <c r="D7" s="168">
        <f t="shared" si="1"/>
        <v>0</v>
      </c>
      <c r="E7" s="168">
        <f t="shared" si="1"/>
        <v>3</v>
      </c>
      <c r="F7" s="168">
        <f t="shared" si="1"/>
        <v>7</v>
      </c>
      <c r="G7" s="168">
        <f t="shared" si="1"/>
        <v>3</v>
      </c>
      <c r="H7" s="168">
        <f t="shared" si="1"/>
        <v>15</v>
      </c>
      <c r="I7" s="168">
        <f>SUM(I5:I6)</f>
        <v>0</v>
      </c>
      <c r="J7" s="166" t="s">
        <v>12</v>
      </c>
      <c r="K7" s="153"/>
      <c r="L7" s="141"/>
    </row>
    <row r="8" spans="1:12" ht="13.5" thickBot="1" x14ac:dyDescent="0.25">
      <c r="A8" s="141"/>
      <c r="B8" s="168">
        <f t="shared" si="0"/>
        <v>81</v>
      </c>
      <c r="C8" s="168">
        <v>1</v>
      </c>
      <c r="D8" s="168">
        <v>0</v>
      </c>
      <c r="E8" s="168">
        <v>13</v>
      </c>
      <c r="F8" s="168">
        <v>23</v>
      </c>
      <c r="G8" s="168">
        <v>1</v>
      </c>
      <c r="H8" s="168">
        <v>25</v>
      </c>
      <c r="I8" s="168">
        <v>18</v>
      </c>
      <c r="J8" s="166" t="s">
        <v>9</v>
      </c>
      <c r="K8" s="169"/>
      <c r="L8" s="141"/>
    </row>
    <row r="9" spans="1:12" ht="13.5" thickBot="1" x14ac:dyDescent="0.25">
      <c r="A9" s="141"/>
      <c r="B9" s="168">
        <f t="shared" si="0"/>
        <v>52</v>
      </c>
      <c r="C9" s="168">
        <v>0</v>
      </c>
      <c r="D9" s="168">
        <v>0</v>
      </c>
      <c r="E9" s="168">
        <v>2</v>
      </c>
      <c r="F9" s="168">
        <v>10</v>
      </c>
      <c r="G9" s="168">
        <v>1</v>
      </c>
      <c r="H9" s="168">
        <v>33</v>
      </c>
      <c r="I9" s="168">
        <v>6</v>
      </c>
      <c r="J9" s="166" t="s">
        <v>10</v>
      </c>
      <c r="K9" s="169" t="s">
        <v>45</v>
      </c>
      <c r="L9" s="141"/>
    </row>
    <row r="10" spans="1:12" ht="13.5" thickBot="1" x14ac:dyDescent="0.25">
      <c r="A10" s="141"/>
      <c r="B10" s="168">
        <f t="shared" ref="B10:H10" si="2">SUM(B8:B9)</f>
        <v>133</v>
      </c>
      <c r="C10" s="168">
        <f t="shared" si="2"/>
        <v>1</v>
      </c>
      <c r="D10" s="168">
        <f t="shared" si="2"/>
        <v>0</v>
      </c>
      <c r="E10" s="168">
        <f t="shared" si="2"/>
        <v>15</v>
      </c>
      <c r="F10" s="168">
        <f t="shared" si="2"/>
        <v>33</v>
      </c>
      <c r="G10" s="168">
        <f t="shared" si="2"/>
        <v>2</v>
      </c>
      <c r="H10" s="168">
        <f t="shared" si="2"/>
        <v>58</v>
      </c>
      <c r="I10" s="168">
        <f>SUM(I8:I9)</f>
        <v>24</v>
      </c>
      <c r="J10" s="166" t="s">
        <v>12</v>
      </c>
      <c r="K10" s="153"/>
      <c r="L10" s="141"/>
    </row>
    <row r="11" spans="1:12" ht="13.5" thickBot="1" x14ac:dyDescent="0.25">
      <c r="A11" s="141"/>
      <c r="B11" s="168">
        <f t="shared" si="0"/>
        <v>143</v>
      </c>
      <c r="C11" s="168">
        <v>3</v>
      </c>
      <c r="D11" s="168">
        <v>0</v>
      </c>
      <c r="E11" s="168">
        <v>8</v>
      </c>
      <c r="F11" s="168">
        <v>46</v>
      </c>
      <c r="G11" s="168">
        <v>3</v>
      </c>
      <c r="H11" s="168">
        <v>54</v>
      </c>
      <c r="I11" s="168">
        <v>29</v>
      </c>
      <c r="J11" s="166" t="s">
        <v>9</v>
      </c>
      <c r="K11" s="169"/>
      <c r="L11" s="141"/>
    </row>
    <row r="12" spans="1:12" ht="13.5" thickBot="1" x14ac:dyDescent="0.25">
      <c r="A12" s="141"/>
      <c r="B12" s="168">
        <f t="shared" si="0"/>
        <v>30</v>
      </c>
      <c r="C12" s="168">
        <v>0</v>
      </c>
      <c r="D12" s="168">
        <v>0</v>
      </c>
      <c r="E12" s="168">
        <v>1</v>
      </c>
      <c r="F12" s="168">
        <v>5</v>
      </c>
      <c r="G12" s="168">
        <v>1</v>
      </c>
      <c r="H12" s="168">
        <v>12</v>
      </c>
      <c r="I12" s="168">
        <v>11</v>
      </c>
      <c r="J12" s="166" t="s">
        <v>10</v>
      </c>
      <c r="K12" s="169" t="s">
        <v>46</v>
      </c>
      <c r="L12" s="141"/>
    </row>
    <row r="13" spans="1:12" ht="13.5" thickBot="1" x14ac:dyDescent="0.25">
      <c r="A13" s="141"/>
      <c r="B13" s="168">
        <f t="shared" ref="B13:H13" si="3">SUM(B11:B12)</f>
        <v>173</v>
      </c>
      <c r="C13" s="168">
        <f t="shared" si="3"/>
        <v>3</v>
      </c>
      <c r="D13" s="168">
        <f t="shared" si="3"/>
        <v>0</v>
      </c>
      <c r="E13" s="168">
        <f t="shared" si="3"/>
        <v>9</v>
      </c>
      <c r="F13" s="168">
        <f t="shared" si="3"/>
        <v>51</v>
      </c>
      <c r="G13" s="168">
        <f t="shared" si="3"/>
        <v>4</v>
      </c>
      <c r="H13" s="168">
        <f t="shared" si="3"/>
        <v>66</v>
      </c>
      <c r="I13" s="168">
        <f>SUM(I11:I12)</f>
        <v>40</v>
      </c>
      <c r="J13" s="166" t="s">
        <v>12</v>
      </c>
      <c r="K13" s="153"/>
      <c r="L13" s="141"/>
    </row>
    <row r="14" spans="1:12" ht="13.5" thickBot="1" x14ac:dyDescent="0.25">
      <c r="A14" s="141"/>
      <c r="B14" s="168">
        <f t="shared" si="0"/>
        <v>63</v>
      </c>
      <c r="C14" s="168">
        <v>2</v>
      </c>
      <c r="D14" s="168">
        <v>0</v>
      </c>
      <c r="E14" s="168">
        <v>8</v>
      </c>
      <c r="F14" s="168">
        <v>9</v>
      </c>
      <c r="G14" s="168">
        <v>1</v>
      </c>
      <c r="H14" s="168">
        <v>42</v>
      </c>
      <c r="I14" s="168">
        <v>1</v>
      </c>
      <c r="J14" s="166" t="s">
        <v>9</v>
      </c>
      <c r="K14" s="169"/>
      <c r="L14" s="141"/>
    </row>
    <row r="15" spans="1:12" ht="13.5" thickBot="1" x14ac:dyDescent="0.25">
      <c r="A15" s="141"/>
      <c r="B15" s="168">
        <f t="shared" si="0"/>
        <v>22</v>
      </c>
      <c r="C15" s="168">
        <v>0</v>
      </c>
      <c r="D15" s="168">
        <v>0</v>
      </c>
      <c r="E15" s="168">
        <v>5</v>
      </c>
      <c r="F15" s="168">
        <v>9</v>
      </c>
      <c r="G15" s="168">
        <v>0</v>
      </c>
      <c r="H15" s="168">
        <v>8</v>
      </c>
      <c r="I15" s="168">
        <v>0</v>
      </c>
      <c r="J15" s="166" t="s">
        <v>10</v>
      </c>
      <c r="K15" s="169" t="s">
        <v>47</v>
      </c>
      <c r="L15" s="141"/>
    </row>
    <row r="16" spans="1:12" ht="13.5" thickBot="1" x14ac:dyDescent="0.25">
      <c r="A16" s="141"/>
      <c r="B16" s="168">
        <f t="shared" ref="B16:H16" si="4">SUM(B14:B15)</f>
        <v>85</v>
      </c>
      <c r="C16" s="168">
        <f t="shared" si="4"/>
        <v>2</v>
      </c>
      <c r="D16" s="168">
        <f t="shared" si="4"/>
        <v>0</v>
      </c>
      <c r="E16" s="168">
        <f t="shared" si="4"/>
        <v>13</v>
      </c>
      <c r="F16" s="168">
        <f t="shared" si="4"/>
        <v>18</v>
      </c>
      <c r="G16" s="168">
        <f t="shared" si="4"/>
        <v>1</v>
      </c>
      <c r="H16" s="168">
        <f t="shared" si="4"/>
        <v>50</v>
      </c>
      <c r="I16" s="168">
        <f>SUM(I14:I15)</f>
        <v>1</v>
      </c>
      <c r="J16" s="166" t="s">
        <v>12</v>
      </c>
      <c r="K16" s="153"/>
      <c r="L16" s="141"/>
    </row>
    <row r="17" spans="1:12" ht="13.5" thickBot="1" x14ac:dyDescent="0.25">
      <c r="A17" s="141"/>
      <c r="B17" s="168">
        <f t="shared" si="0"/>
        <v>169</v>
      </c>
      <c r="C17" s="168">
        <v>0</v>
      </c>
      <c r="D17" s="168">
        <v>0</v>
      </c>
      <c r="E17" s="168">
        <v>11</v>
      </c>
      <c r="F17" s="168">
        <v>56</v>
      </c>
      <c r="G17" s="168">
        <v>4</v>
      </c>
      <c r="H17" s="168">
        <v>72</v>
      </c>
      <c r="I17" s="168">
        <v>26</v>
      </c>
      <c r="J17" s="166" t="s">
        <v>9</v>
      </c>
      <c r="K17" s="169"/>
      <c r="L17" s="141"/>
    </row>
    <row r="18" spans="1:12" ht="13.5" thickBot="1" x14ac:dyDescent="0.25">
      <c r="A18" s="141"/>
      <c r="B18" s="168">
        <f t="shared" si="0"/>
        <v>14</v>
      </c>
      <c r="C18" s="168">
        <v>0</v>
      </c>
      <c r="D18" s="168">
        <v>0</v>
      </c>
      <c r="E18" s="168">
        <v>2</v>
      </c>
      <c r="F18" s="168">
        <v>3</v>
      </c>
      <c r="G18" s="168">
        <v>0</v>
      </c>
      <c r="H18" s="168">
        <v>7</v>
      </c>
      <c r="I18" s="168">
        <v>2</v>
      </c>
      <c r="J18" s="166" t="s">
        <v>10</v>
      </c>
      <c r="K18" s="169" t="s">
        <v>48</v>
      </c>
      <c r="L18" s="141"/>
    </row>
    <row r="19" spans="1:12" ht="13.5" thickBot="1" x14ac:dyDescent="0.25">
      <c r="A19" s="141"/>
      <c r="B19" s="168">
        <f t="shared" ref="B19:H19" si="5">SUM(B17:B18)</f>
        <v>183</v>
      </c>
      <c r="C19" s="168">
        <f t="shared" si="5"/>
        <v>0</v>
      </c>
      <c r="D19" s="168">
        <f t="shared" si="5"/>
        <v>0</v>
      </c>
      <c r="E19" s="168">
        <f t="shared" si="5"/>
        <v>13</v>
      </c>
      <c r="F19" s="168">
        <f t="shared" si="5"/>
        <v>59</v>
      </c>
      <c r="G19" s="168">
        <f t="shared" si="5"/>
        <v>4</v>
      </c>
      <c r="H19" s="168">
        <f t="shared" si="5"/>
        <v>79</v>
      </c>
      <c r="I19" s="168">
        <f>SUM(I17:I18)</f>
        <v>28</v>
      </c>
      <c r="J19" s="166" t="s">
        <v>12</v>
      </c>
      <c r="K19" s="153"/>
      <c r="L19" s="141"/>
    </row>
    <row r="20" spans="1:12" ht="13.5" thickBot="1" x14ac:dyDescent="0.25">
      <c r="A20" s="141"/>
      <c r="B20" s="168">
        <f t="shared" si="0"/>
        <v>378</v>
      </c>
      <c r="C20" s="168">
        <v>10</v>
      </c>
      <c r="D20" s="168">
        <v>184</v>
      </c>
      <c r="E20" s="168">
        <v>7</v>
      </c>
      <c r="F20" s="168">
        <v>20</v>
      </c>
      <c r="G20" s="168">
        <v>0</v>
      </c>
      <c r="H20" s="168">
        <v>139</v>
      </c>
      <c r="I20" s="168">
        <v>18</v>
      </c>
      <c r="J20" s="166" t="s">
        <v>9</v>
      </c>
      <c r="K20" s="169"/>
      <c r="L20" s="141"/>
    </row>
    <row r="21" spans="1:12" ht="13.5" thickBot="1" x14ac:dyDescent="0.25">
      <c r="A21" s="141"/>
      <c r="B21" s="168">
        <f t="shared" si="0"/>
        <v>84</v>
      </c>
      <c r="C21" s="168">
        <v>2</v>
      </c>
      <c r="D21" s="168">
        <v>47</v>
      </c>
      <c r="E21" s="168">
        <v>1</v>
      </c>
      <c r="F21" s="168">
        <v>8</v>
      </c>
      <c r="G21" s="168">
        <v>0</v>
      </c>
      <c r="H21" s="168">
        <v>21</v>
      </c>
      <c r="I21" s="168">
        <v>5</v>
      </c>
      <c r="J21" s="166" t="s">
        <v>10</v>
      </c>
      <c r="K21" s="169" t="s">
        <v>49</v>
      </c>
      <c r="L21" s="141"/>
    </row>
    <row r="22" spans="1:12" ht="13.5" thickBot="1" x14ac:dyDescent="0.25">
      <c r="A22" s="141"/>
      <c r="B22" s="168">
        <f t="shared" ref="B22:H22" si="6">SUM(B20:B21)</f>
        <v>462</v>
      </c>
      <c r="C22" s="168">
        <f t="shared" si="6"/>
        <v>12</v>
      </c>
      <c r="D22" s="168">
        <f t="shared" si="6"/>
        <v>231</v>
      </c>
      <c r="E22" s="168">
        <f t="shared" si="6"/>
        <v>8</v>
      </c>
      <c r="F22" s="168">
        <f t="shared" si="6"/>
        <v>28</v>
      </c>
      <c r="G22" s="168">
        <f t="shared" si="6"/>
        <v>0</v>
      </c>
      <c r="H22" s="168">
        <f t="shared" si="6"/>
        <v>160</v>
      </c>
      <c r="I22" s="168">
        <f>SUM(I20:I21)</f>
        <v>23</v>
      </c>
      <c r="J22" s="166" t="s">
        <v>12</v>
      </c>
      <c r="K22" s="153"/>
      <c r="L22" s="141"/>
    </row>
    <row r="23" spans="1:12" ht="13.5" thickBot="1" x14ac:dyDescent="0.25">
      <c r="A23" s="141"/>
      <c r="B23" s="168">
        <f t="shared" si="0"/>
        <v>3</v>
      </c>
      <c r="C23" s="168">
        <v>0</v>
      </c>
      <c r="D23" s="168">
        <v>0</v>
      </c>
      <c r="E23" s="168">
        <v>2</v>
      </c>
      <c r="F23" s="168">
        <v>1</v>
      </c>
      <c r="G23" s="168">
        <v>0</v>
      </c>
      <c r="H23" s="168">
        <v>0</v>
      </c>
      <c r="I23" s="168">
        <v>0</v>
      </c>
      <c r="J23" s="166" t="s">
        <v>9</v>
      </c>
      <c r="K23" s="169"/>
      <c r="L23" s="141"/>
    </row>
    <row r="24" spans="1:12" ht="13.5" thickBot="1" x14ac:dyDescent="0.25">
      <c r="A24" s="141"/>
      <c r="B24" s="168">
        <f t="shared" si="0"/>
        <v>1</v>
      </c>
      <c r="C24" s="168">
        <v>0</v>
      </c>
      <c r="D24" s="168">
        <v>0</v>
      </c>
      <c r="E24" s="168">
        <v>0</v>
      </c>
      <c r="F24" s="168">
        <v>1</v>
      </c>
      <c r="G24" s="168">
        <v>0</v>
      </c>
      <c r="H24" s="168">
        <v>0</v>
      </c>
      <c r="I24" s="168">
        <v>0</v>
      </c>
      <c r="J24" s="166" t="s">
        <v>10</v>
      </c>
      <c r="K24" s="169" t="s">
        <v>50</v>
      </c>
      <c r="L24" s="141"/>
    </row>
    <row r="25" spans="1:12" ht="13.5" thickBot="1" x14ac:dyDescent="0.25">
      <c r="A25" s="141"/>
      <c r="B25" s="168">
        <f t="shared" ref="B25:H25" si="7">SUM(B23:B24)</f>
        <v>4</v>
      </c>
      <c r="C25" s="168">
        <f t="shared" si="7"/>
        <v>0</v>
      </c>
      <c r="D25" s="168">
        <f t="shared" si="7"/>
        <v>0</v>
      </c>
      <c r="E25" s="168">
        <f t="shared" si="7"/>
        <v>2</v>
      </c>
      <c r="F25" s="168">
        <f t="shared" si="7"/>
        <v>2</v>
      </c>
      <c r="G25" s="168">
        <f t="shared" si="7"/>
        <v>0</v>
      </c>
      <c r="H25" s="168">
        <f t="shared" si="7"/>
        <v>0</v>
      </c>
      <c r="I25" s="168">
        <f>SUM(I23:I24)</f>
        <v>0</v>
      </c>
      <c r="J25" s="166" t="s">
        <v>12</v>
      </c>
      <c r="K25" s="153"/>
      <c r="L25" s="141"/>
    </row>
    <row r="26" spans="1:12" ht="13.5" thickBot="1" x14ac:dyDescent="0.25">
      <c r="A26" s="141"/>
      <c r="B26" s="168">
        <f t="shared" si="0"/>
        <v>28</v>
      </c>
      <c r="C26" s="168">
        <v>5</v>
      </c>
      <c r="D26" s="168">
        <v>0</v>
      </c>
      <c r="E26" s="168">
        <v>1</v>
      </c>
      <c r="F26" s="168">
        <v>6</v>
      </c>
      <c r="G26" s="168">
        <v>0</v>
      </c>
      <c r="H26" s="168">
        <v>16</v>
      </c>
      <c r="I26" s="168">
        <v>0</v>
      </c>
      <c r="J26" s="166" t="s">
        <v>9</v>
      </c>
      <c r="K26" s="169"/>
      <c r="L26" s="141"/>
    </row>
    <row r="27" spans="1:12" ht="13.5" thickBot="1" x14ac:dyDescent="0.25">
      <c r="A27" s="141"/>
      <c r="B27" s="168">
        <f t="shared" si="0"/>
        <v>3</v>
      </c>
      <c r="C27" s="168">
        <v>0</v>
      </c>
      <c r="D27" s="168">
        <v>0</v>
      </c>
      <c r="E27" s="168">
        <v>0</v>
      </c>
      <c r="F27" s="168">
        <v>0</v>
      </c>
      <c r="G27" s="168">
        <v>0</v>
      </c>
      <c r="H27" s="168">
        <v>3</v>
      </c>
      <c r="I27" s="168">
        <v>0</v>
      </c>
      <c r="J27" s="166" t="s">
        <v>10</v>
      </c>
      <c r="K27" s="169" t="s">
        <v>51</v>
      </c>
      <c r="L27" s="141"/>
    </row>
    <row r="28" spans="1:12" ht="13.5" thickBot="1" x14ac:dyDescent="0.25">
      <c r="A28" s="141"/>
      <c r="B28" s="168">
        <f t="shared" ref="B28:H28" si="8">SUM(B26:B27)</f>
        <v>31</v>
      </c>
      <c r="C28" s="168">
        <f t="shared" si="8"/>
        <v>5</v>
      </c>
      <c r="D28" s="168">
        <f t="shared" si="8"/>
        <v>0</v>
      </c>
      <c r="E28" s="168">
        <f t="shared" si="8"/>
        <v>1</v>
      </c>
      <c r="F28" s="168">
        <f t="shared" si="8"/>
        <v>6</v>
      </c>
      <c r="G28" s="168">
        <f t="shared" si="8"/>
        <v>0</v>
      </c>
      <c r="H28" s="168">
        <f t="shared" si="8"/>
        <v>19</v>
      </c>
      <c r="I28" s="168">
        <f>SUM(I26:I27)</f>
        <v>0</v>
      </c>
      <c r="J28" s="166" t="s">
        <v>12</v>
      </c>
      <c r="K28" s="153"/>
      <c r="L28" s="141"/>
    </row>
    <row r="29" spans="1:12" ht="13.5" thickBot="1" x14ac:dyDescent="0.25">
      <c r="A29" s="141"/>
      <c r="B29" s="168">
        <f t="shared" si="0"/>
        <v>2</v>
      </c>
      <c r="C29" s="168">
        <v>0</v>
      </c>
      <c r="D29" s="168">
        <v>0</v>
      </c>
      <c r="E29" s="168">
        <v>0</v>
      </c>
      <c r="F29" s="168">
        <v>1</v>
      </c>
      <c r="G29" s="168">
        <v>0</v>
      </c>
      <c r="H29" s="168">
        <v>1</v>
      </c>
      <c r="I29" s="168">
        <v>0</v>
      </c>
      <c r="J29" s="166" t="s">
        <v>9</v>
      </c>
      <c r="K29" s="169"/>
      <c r="L29" s="141"/>
    </row>
    <row r="30" spans="1:12" ht="13.5" thickBot="1" x14ac:dyDescent="0.25">
      <c r="A30" s="141"/>
      <c r="B30" s="168">
        <f t="shared" si="0"/>
        <v>6</v>
      </c>
      <c r="C30" s="168">
        <v>0</v>
      </c>
      <c r="D30" s="168">
        <v>0</v>
      </c>
      <c r="E30" s="168">
        <v>0</v>
      </c>
      <c r="F30" s="168">
        <v>2</v>
      </c>
      <c r="G30" s="168">
        <v>0</v>
      </c>
      <c r="H30" s="168">
        <v>3</v>
      </c>
      <c r="I30" s="168">
        <v>1</v>
      </c>
      <c r="J30" s="166" t="s">
        <v>10</v>
      </c>
      <c r="K30" s="169" t="s">
        <v>52</v>
      </c>
      <c r="L30" s="141"/>
    </row>
    <row r="31" spans="1:12" ht="13.5" thickBot="1" x14ac:dyDescent="0.25">
      <c r="A31" s="141"/>
      <c r="B31" s="168">
        <f t="shared" ref="B31:H31" si="9">SUM(B29:B30)</f>
        <v>8</v>
      </c>
      <c r="C31" s="168">
        <f t="shared" si="9"/>
        <v>0</v>
      </c>
      <c r="D31" s="168">
        <f t="shared" si="9"/>
        <v>0</v>
      </c>
      <c r="E31" s="168">
        <f t="shared" si="9"/>
        <v>0</v>
      </c>
      <c r="F31" s="168">
        <f t="shared" si="9"/>
        <v>3</v>
      </c>
      <c r="G31" s="168">
        <f t="shared" si="9"/>
        <v>0</v>
      </c>
      <c r="H31" s="168">
        <f t="shared" si="9"/>
        <v>4</v>
      </c>
      <c r="I31" s="168">
        <f>SUM(I29:I30)</f>
        <v>1</v>
      </c>
      <c r="J31" s="166" t="s">
        <v>12</v>
      </c>
      <c r="K31" s="153"/>
      <c r="L31" s="141"/>
    </row>
    <row r="32" spans="1:12" ht="13.5" thickBot="1" x14ac:dyDescent="0.25">
      <c r="A32" s="141"/>
      <c r="B32" s="168">
        <f t="shared" si="0"/>
        <v>81</v>
      </c>
      <c r="C32" s="168">
        <v>54</v>
      </c>
      <c r="D32" s="168">
        <v>0</v>
      </c>
      <c r="E32" s="168">
        <v>4</v>
      </c>
      <c r="F32" s="168">
        <v>10</v>
      </c>
      <c r="G32" s="168">
        <v>0</v>
      </c>
      <c r="H32" s="168">
        <v>4</v>
      </c>
      <c r="I32" s="168">
        <v>9</v>
      </c>
      <c r="J32" s="166" t="s">
        <v>9</v>
      </c>
      <c r="K32" s="169"/>
      <c r="L32" s="141"/>
    </row>
    <row r="33" spans="1:12" ht="13.5" thickBot="1" x14ac:dyDescent="0.25">
      <c r="A33" s="141"/>
      <c r="B33" s="168">
        <f t="shared" si="0"/>
        <v>10</v>
      </c>
      <c r="C33" s="168">
        <v>0</v>
      </c>
      <c r="D33" s="168">
        <v>1</v>
      </c>
      <c r="E33" s="168">
        <v>2</v>
      </c>
      <c r="F33" s="168">
        <v>5</v>
      </c>
      <c r="G33" s="168">
        <v>0</v>
      </c>
      <c r="H33" s="168">
        <v>1</v>
      </c>
      <c r="I33" s="168">
        <v>1</v>
      </c>
      <c r="J33" s="166" t="s">
        <v>10</v>
      </c>
      <c r="K33" s="169" t="s">
        <v>53</v>
      </c>
      <c r="L33" s="141"/>
    </row>
    <row r="34" spans="1:12" ht="13.5" thickBot="1" x14ac:dyDescent="0.25">
      <c r="A34" s="141"/>
      <c r="B34" s="168">
        <f t="shared" ref="B34:H34" si="10">SUM(B32:B33)</f>
        <v>91</v>
      </c>
      <c r="C34" s="168">
        <f t="shared" si="10"/>
        <v>54</v>
      </c>
      <c r="D34" s="168">
        <f t="shared" si="10"/>
        <v>1</v>
      </c>
      <c r="E34" s="168">
        <f t="shared" si="10"/>
        <v>6</v>
      </c>
      <c r="F34" s="168">
        <f t="shared" si="10"/>
        <v>15</v>
      </c>
      <c r="G34" s="168">
        <f t="shared" si="10"/>
        <v>0</v>
      </c>
      <c r="H34" s="168">
        <f t="shared" si="10"/>
        <v>5</v>
      </c>
      <c r="I34" s="168">
        <f>SUM(I32:I33)</f>
        <v>10</v>
      </c>
      <c r="J34" s="166" t="s">
        <v>12</v>
      </c>
      <c r="K34" s="153"/>
      <c r="L34" s="141"/>
    </row>
    <row r="35" spans="1:12" ht="13.5" thickBot="1" x14ac:dyDescent="0.25">
      <c r="A35" s="141"/>
      <c r="B35" s="154">
        <f t="shared" ref="B35:I37" si="11">B5+B8+B11+B14+B17+B20+B23+B26+B29+B32</f>
        <v>969</v>
      </c>
      <c r="C35" s="154">
        <f t="shared" si="11"/>
        <v>79</v>
      </c>
      <c r="D35" s="154">
        <f t="shared" si="11"/>
        <v>184</v>
      </c>
      <c r="E35" s="154">
        <f t="shared" si="11"/>
        <v>56</v>
      </c>
      <c r="F35" s="154">
        <f t="shared" si="11"/>
        <v>176</v>
      </c>
      <c r="G35" s="154">
        <f t="shared" si="11"/>
        <v>11</v>
      </c>
      <c r="H35" s="154">
        <f t="shared" si="11"/>
        <v>362</v>
      </c>
      <c r="I35" s="154">
        <f>I5+I8+I11+I14+I17+I20+I23+I26+I29+I32</f>
        <v>101</v>
      </c>
      <c r="J35" s="166" t="s">
        <v>9</v>
      </c>
      <c r="K35" s="167"/>
      <c r="L35" s="141"/>
    </row>
    <row r="36" spans="1:12" ht="13.5" thickBot="1" x14ac:dyDescent="0.25">
      <c r="A36" s="141"/>
      <c r="B36" s="154">
        <f t="shared" si="11"/>
        <v>252</v>
      </c>
      <c r="C36" s="154">
        <f t="shared" si="11"/>
        <v>21</v>
      </c>
      <c r="D36" s="154">
        <f t="shared" si="11"/>
        <v>48</v>
      </c>
      <c r="E36" s="154">
        <f t="shared" si="11"/>
        <v>14</v>
      </c>
      <c r="F36" s="154">
        <f t="shared" si="11"/>
        <v>46</v>
      </c>
      <c r="G36" s="154">
        <f t="shared" si="11"/>
        <v>3</v>
      </c>
      <c r="H36" s="154">
        <f t="shared" si="11"/>
        <v>94</v>
      </c>
      <c r="I36" s="154">
        <f t="shared" si="11"/>
        <v>26</v>
      </c>
      <c r="J36" s="166" t="s">
        <v>10</v>
      </c>
      <c r="K36" s="169" t="s">
        <v>188</v>
      </c>
      <c r="L36" s="141"/>
    </row>
    <row r="37" spans="1:12" ht="13.5" thickBot="1" x14ac:dyDescent="0.25">
      <c r="A37" s="141"/>
      <c r="B37" s="154">
        <f t="shared" si="11"/>
        <v>1221</v>
      </c>
      <c r="C37" s="154">
        <f t="shared" si="11"/>
        <v>100</v>
      </c>
      <c r="D37" s="154">
        <f t="shared" si="11"/>
        <v>232</v>
      </c>
      <c r="E37" s="154">
        <f t="shared" si="11"/>
        <v>70</v>
      </c>
      <c r="F37" s="154">
        <f t="shared" si="11"/>
        <v>222</v>
      </c>
      <c r="G37" s="154">
        <f t="shared" si="11"/>
        <v>14</v>
      </c>
      <c r="H37" s="154">
        <f t="shared" si="11"/>
        <v>456</v>
      </c>
      <c r="I37" s="154">
        <f t="shared" si="11"/>
        <v>127</v>
      </c>
      <c r="J37" s="166" t="s">
        <v>12</v>
      </c>
      <c r="K37" s="153"/>
      <c r="L37" s="141"/>
    </row>
  </sheetData>
  <mergeCells count="2">
    <mergeCell ref="B2:K2"/>
    <mergeCell ref="B3:K3"/>
  </mergeCells>
  <printOptions horizontalCentered="1" verticalCentered="1"/>
  <pageMargins left="0.4" right="0.4" top="0" bottom="0" header="0.8" footer="0.8"/>
  <pageSetup paperSize="9" scale="96" orientation="landscape" r:id="rId1"/>
  <headerFooter alignWithMargins="0"/>
  <rowBreaks count="1" manualBreakCount="1">
    <brk id="3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37"/>
  <sheetViews>
    <sheetView showGridLines="0" view="pageBreakPreview" zoomScaleNormal="100" zoomScaleSheetLayoutView="100" workbookViewId="0">
      <selection activeCell="O18" sqref="O18"/>
    </sheetView>
  </sheetViews>
  <sheetFormatPr defaultRowHeight="12.75" x14ac:dyDescent="0.2"/>
  <cols>
    <col min="1" max="1" width="6" style="142" customWidth="1"/>
    <col min="2" max="10" width="9.625" style="142" customWidth="1"/>
    <col min="11" max="11" width="24" style="142" customWidth="1"/>
    <col min="12" max="12" width="3.625" style="142" customWidth="1"/>
    <col min="13" max="16384" width="9" style="142"/>
  </cols>
  <sheetData>
    <row r="1" spans="1:12" ht="0.95" customHeight="1" x14ac:dyDescent="0.2">
      <c r="A1" s="141"/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</row>
    <row r="2" spans="1:12" ht="20.100000000000001" customHeight="1" x14ac:dyDescent="0.2">
      <c r="A2" s="141"/>
      <c r="B2" s="593" t="s">
        <v>891</v>
      </c>
      <c r="C2" s="594"/>
      <c r="D2" s="594"/>
      <c r="E2" s="594"/>
      <c r="F2" s="594"/>
      <c r="G2" s="594"/>
      <c r="H2" s="594"/>
      <c r="I2" s="594"/>
      <c r="J2" s="594"/>
      <c r="K2" s="594"/>
      <c r="L2" s="141"/>
    </row>
    <row r="3" spans="1:12" ht="20.100000000000001" customHeight="1" thickBot="1" x14ac:dyDescent="0.25">
      <c r="A3" s="141"/>
      <c r="B3" s="595" t="s">
        <v>892</v>
      </c>
      <c r="C3" s="595"/>
      <c r="D3" s="595"/>
      <c r="E3" s="595"/>
      <c r="F3" s="595"/>
      <c r="G3" s="595"/>
      <c r="H3" s="595"/>
      <c r="I3" s="595"/>
      <c r="J3" s="595"/>
      <c r="K3" s="595"/>
      <c r="L3" s="141"/>
    </row>
    <row r="4" spans="1:12" ht="13.5" thickBot="1" x14ac:dyDescent="0.25">
      <c r="A4" s="141"/>
      <c r="B4" s="166" t="s">
        <v>244</v>
      </c>
      <c r="C4" s="166" t="s">
        <v>53</v>
      </c>
      <c r="D4" s="166" t="s">
        <v>58</v>
      </c>
      <c r="E4" s="166" t="s">
        <v>56</v>
      </c>
      <c r="F4" s="166" t="s">
        <v>57</v>
      </c>
      <c r="G4" s="166" t="s">
        <v>59</v>
      </c>
      <c r="H4" s="166" t="s">
        <v>60</v>
      </c>
      <c r="I4" s="166" t="s">
        <v>61</v>
      </c>
      <c r="J4" s="167" t="s">
        <v>7</v>
      </c>
      <c r="K4" s="152" t="s">
        <v>159</v>
      </c>
      <c r="L4" s="141"/>
    </row>
    <row r="5" spans="1:12" ht="13.5" thickBot="1" x14ac:dyDescent="0.25">
      <c r="A5" s="141"/>
      <c r="B5" s="168">
        <f>SUM(C5:I5)</f>
        <v>29</v>
      </c>
      <c r="C5" s="168">
        <v>0</v>
      </c>
      <c r="D5" s="168">
        <v>0</v>
      </c>
      <c r="E5" s="168">
        <v>3</v>
      </c>
      <c r="F5" s="168">
        <v>9</v>
      </c>
      <c r="G5" s="168">
        <v>1</v>
      </c>
      <c r="H5" s="168">
        <v>15</v>
      </c>
      <c r="I5" s="168">
        <v>1</v>
      </c>
      <c r="J5" s="166" t="s">
        <v>9</v>
      </c>
      <c r="K5" s="169"/>
      <c r="L5" s="141"/>
    </row>
    <row r="6" spans="1:12" ht="13.5" thickBot="1" x14ac:dyDescent="0.25">
      <c r="A6" s="141"/>
      <c r="B6" s="168">
        <f t="shared" ref="B6:B33" si="0">SUM(C6:I6)</f>
        <v>15</v>
      </c>
      <c r="C6" s="168">
        <v>0</v>
      </c>
      <c r="D6" s="168">
        <v>0</v>
      </c>
      <c r="E6" s="168">
        <v>0</v>
      </c>
      <c r="F6" s="168">
        <v>2</v>
      </c>
      <c r="G6" s="168">
        <v>6</v>
      </c>
      <c r="H6" s="168">
        <v>7</v>
      </c>
      <c r="I6" s="168">
        <v>0</v>
      </c>
      <c r="J6" s="166" t="s">
        <v>10</v>
      </c>
      <c r="K6" s="169" t="s">
        <v>44</v>
      </c>
      <c r="L6" s="141"/>
    </row>
    <row r="7" spans="1:12" ht="13.5" thickBot="1" x14ac:dyDescent="0.25">
      <c r="A7" s="141"/>
      <c r="B7" s="168">
        <f t="shared" ref="B7:H7" si="1">SUM(B5:B6)</f>
        <v>44</v>
      </c>
      <c r="C7" s="168">
        <f t="shared" si="1"/>
        <v>0</v>
      </c>
      <c r="D7" s="168">
        <f t="shared" si="1"/>
        <v>0</v>
      </c>
      <c r="E7" s="168">
        <f t="shared" si="1"/>
        <v>3</v>
      </c>
      <c r="F7" s="168">
        <f t="shared" si="1"/>
        <v>11</v>
      </c>
      <c r="G7" s="168">
        <f t="shared" si="1"/>
        <v>7</v>
      </c>
      <c r="H7" s="168">
        <f t="shared" si="1"/>
        <v>22</v>
      </c>
      <c r="I7" s="168">
        <f>SUM(I5:I6)</f>
        <v>1</v>
      </c>
      <c r="J7" s="166" t="s">
        <v>12</v>
      </c>
      <c r="K7" s="153"/>
      <c r="L7" s="141"/>
    </row>
    <row r="8" spans="1:12" ht="13.5" thickBot="1" x14ac:dyDescent="0.25">
      <c r="A8" s="141"/>
      <c r="B8" s="168">
        <f t="shared" si="0"/>
        <v>268</v>
      </c>
      <c r="C8" s="168">
        <v>0</v>
      </c>
      <c r="D8" s="168">
        <v>0</v>
      </c>
      <c r="E8" s="168">
        <v>4</v>
      </c>
      <c r="F8" s="168">
        <v>36</v>
      </c>
      <c r="G8" s="168">
        <v>218</v>
      </c>
      <c r="H8" s="168">
        <v>8</v>
      </c>
      <c r="I8" s="168">
        <v>2</v>
      </c>
      <c r="J8" s="166" t="s">
        <v>9</v>
      </c>
      <c r="K8" s="169"/>
      <c r="L8" s="141"/>
    </row>
    <row r="9" spans="1:12" ht="13.5" thickBot="1" x14ac:dyDescent="0.25">
      <c r="A9" s="141"/>
      <c r="B9" s="168">
        <f t="shared" si="0"/>
        <v>54</v>
      </c>
      <c r="C9" s="168">
        <v>0</v>
      </c>
      <c r="D9" s="168">
        <v>0</v>
      </c>
      <c r="E9" s="168">
        <v>1</v>
      </c>
      <c r="F9" s="168">
        <v>3</v>
      </c>
      <c r="G9" s="168">
        <v>46</v>
      </c>
      <c r="H9" s="168">
        <v>3</v>
      </c>
      <c r="I9" s="168">
        <v>1</v>
      </c>
      <c r="J9" s="166" t="s">
        <v>10</v>
      </c>
      <c r="K9" s="169" t="s">
        <v>45</v>
      </c>
      <c r="L9" s="141"/>
    </row>
    <row r="10" spans="1:12" ht="13.5" thickBot="1" x14ac:dyDescent="0.25">
      <c r="A10" s="141"/>
      <c r="B10" s="168">
        <f t="shared" ref="B10:H10" si="2">SUM(B8:B9)</f>
        <v>322</v>
      </c>
      <c r="C10" s="168">
        <f t="shared" si="2"/>
        <v>0</v>
      </c>
      <c r="D10" s="168">
        <f t="shared" si="2"/>
        <v>0</v>
      </c>
      <c r="E10" s="168">
        <f t="shared" si="2"/>
        <v>5</v>
      </c>
      <c r="F10" s="168">
        <f t="shared" si="2"/>
        <v>39</v>
      </c>
      <c r="G10" s="168">
        <f t="shared" si="2"/>
        <v>264</v>
      </c>
      <c r="H10" s="168">
        <f t="shared" si="2"/>
        <v>11</v>
      </c>
      <c r="I10" s="168">
        <f>SUM(I8:I9)</f>
        <v>3</v>
      </c>
      <c r="J10" s="166" t="s">
        <v>12</v>
      </c>
      <c r="K10" s="153"/>
      <c r="L10" s="141"/>
    </row>
    <row r="11" spans="1:12" ht="13.5" thickBot="1" x14ac:dyDescent="0.25">
      <c r="A11" s="141"/>
      <c r="B11" s="168">
        <f t="shared" si="0"/>
        <v>69</v>
      </c>
      <c r="C11" s="168">
        <v>0</v>
      </c>
      <c r="D11" s="168">
        <v>0</v>
      </c>
      <c r="E11" s="168">
        <v>8</v>
      </c>
      <c r="F11" s="168">
        <v>8</v>
      </c>
      <c r="G11" s="168">
        <v>0</v>
      </c>
      <c r="H11" s="168">
        <v>53</v>
      </c>
      <c r="I11" s="168">
        <v>0</v>
      </c>
      <c r="J11" s="166" t="s">
        <v>9</v>
      </c>
      <c r="K11" s="169"/>
      <c r="L11" s="141"/>
    </row>
    <row r="12" spans="1:12" ht="13.5" thickBot="1" x14ac:dyDescent="0.25">
      <c r="A12" s="141"/>
      <c r="B12" s="168">
        <f t="shared" si="0"/>
        <v>23</v>
      </c>
      <c r="C12" s="168">
        <v>0</v>
      </c>
      <c r="D12" s="168">
        <v>0</v>
      </c>
      <c r="E12" s="168">
        <v>1</v>
      </c>
      <c r="F12" s="168">
        <v>2</v>
      </c>
      <c r="G12" s="168">
        <v>5</v>
      </c>
      <c r="H12" s="168">
        <v>14</v>
      </c>
      <c r="I12" s="168">
        <v>1</v>
      </c>
      <c r="J12" s="166" t="s">
        <v>10</v>
      </c>
      <c r="K12" s="169" t="s">
        <v>46</v>
      </c>
      <c r="L12" s="141"/>
    </row>
    <row r="13" spans="1:12" ht="13.5" thickBot="1" x14ac:dyDescent="0.25">
      <c r="A13" s="141"/>
      <c r="B13" s="168">
        <f t="shared" ref="B13:H13" si="3">SUM(B11:B12)</f>
        <v>92</v>
      </c>
      <c r="C13" s="168">
        <f t="shared" si="3"/>
        <v>0</v>
      </c>
      <c r="D13" s="168">
        <f t="shared" si="3"/>
        <v>0</v>
      </c>
      <c r="E13" s="168">
        <f t="shared" si="3"/>
        <v>9</v>
      </c>
      <c r="F13" s="168">
        <f t="shared" si="3"/>
        <v>10</v>
      </c>
      <c r="G13" s="168">
        <f t="shared" si="3"/>
        <v>5</v>
      </c>
      <c r="H13" s="168">
        <f t="shared" si="3"/>
        <v>67</v>
      </c>
      <c r="I13" s="168">
        <f>SUM(I11:I12)</f>
        <v>1</v>
      </c>
      <c r="J13" s="166" t="s">
        <v>12</v>
      </c>
      <c r="K13" s="153"/>
      <c r="L13" s="141"/>
    </row>
    <row r="14" spans="1:12" ht="13.5" thickBot="1" x14ac:dyDescent="0.25">
      <c r="A14" s="141"/>
      <c r="B14" s="168">
        <f t="shared" si="0"/>
        <v>9</v>
      </c>
      <c r="C14" s="168">
        <v>0</v>
      </c>
      <c r="D14" s="168">
        <v>0</v>
      </c>
      <c r="E14" s="168">
        <v>0</v>
      </c>
      <c r="F14" s="168">
        <v>2</v>
      </c>
      <c r="G14" s="168">
        <v>0</v>
      </c>
      <c r="H14" s="168">
        <v>7</v>
      </c>
      <c r="I14" s="168">
        <v>0</v>
      </c>
      <c r="J14" s="166" t="s">
        <v>9</v>
      </c>
      <c r="K14" s="169"/>
      <c r="L14" s="141"/>
    </row>
    <row r="15" spans="1:12" ht="13.5" thickBot="1" x14ac:dyDescent="0.25">
      <c r="A15" s="141"/>
      <c r="B15" s="168">
        <f t="shared" si="0"/>
        <v>7</v>
      </c>
      <c r="C15" s="168">
        <v>0</v>
      </c>
      <c r="D15" s="168">
        <v>0</v>
      </c>
      <c r="E15" s="168">
        <v>1</v>
      </c>
      <c r="F15" s="168">
        <v>2</v>
      </c>
      <c r="G15" s="168">
        <v>0</v>
      </c>
      <c r="H15" s="168">
        <v>4</v>
      </c>
      <c r="I15" s="168">
        <v>0</v>
      </c>
      <c r="J15" s="166" t="s">
        <v>10</v>
      </c>
      <c r="K15" s="169" t="s">
        <v>47</v>
      </c>
      <c r="L15" s="141"/>
    </row>
    <row r="16" spans="1:12" ht="13.5" thickBot="1" x14ac:dyDescent="0.25">
      <c r="A16" s="141"/>
      <c r="B16" s="168">
        <f t="shared" ref="B16:H16" si="4">SUM(B14:B15)</f>
        <v>16</v>
      </c>
      <c r="C16" s="168">
        <f t="shared" si="4"/>
        <v>0</v>
      </c>
      <c r="D16" s="168">
        <f t="shared" si="4"/>
        <v>0</v>
      </c>
      <c r="E16" s="168">
        <f t="shared" si="4"/>
        <v>1</v>
      </c>
      <c r="F16" s="168">
        <f t="shared" si="4"/>
        <v>4</v>
      </c>
      <c r="G16" s="168">
        <f t="shared" si="4"/>
        <v>0</v>
      </c>
      <c r="H16" s="168">
        <f t="shared" si="4"/>
        <v>11</v>
      </c>
      <c r="I16" s="168">
        <f>SUM(I14:I15)</f>
        <v>0</v>
      </c>
      <c r="J16" s="166" t="s">
        <v>12</v>
      </c>
      <c r="K16" s="153"/>
      <c r="L16" s="141"/>
    </row>
    <row r="17" spans="1:12" ht="13.5" thickBot="1" x14ac:dyDescent="0.25">
      <c r="A17" s="141"/>
      <c r="B17" s="168">
        <f t="shared" si="0"/>
        <v>27</v>
      </c>
      <c r="C17" s="168">
        <v>1</v>
      </c>
      <c r="D17" s="168">
        <v>0</v>
      </c>
      <c r="E17" s="168">
        <v>0</v>
      </c>
      <c r="F17" s="168">
        <v>0</v>
      </c>
      <c r="G17" s="168">
        <v>0</v>
      </c>
      <c r="H17" s="168">
        <v>26</v>
      </c>
      <c r="I17" s="168">
        <v>0</v>
      </c>
      <c r="J17" s="166" t="s">
        <v>9</v>
      </c>
      <c r="K17" s="169"/>
      <c r="L17" s="141"/>
    </row>
    <row r="18" spans="1:12" ht="13.5" thickBot="1" x14ac:dyDescent="0.25">
      <c r="A18" s="141"/>
      <c r="B18" s="168">
        <f t="shared" si="0"/>
        <v>2</v>
      </c>
      <c r="C18" s="168">
        <v>0</v>
      </c>
      <c r="D18" s="168">
        <v>0</v>
      </c>
      <c r="E18" s="168">
        <v>1</v>
      </c>
      <c r="F18" s="168">
        <v>1</v>
      </c>
      <c r="G18" s="168">
        <v>0</v>
      </c>
      <c r="H18" s="168">
        <v>0</v>
      </c>
      <c r="I18" s="168">
        <v>0</v>
      </c>
      <c r="J18" s="166" t="s">
        <v>10</v>
      </c>
      <c r="K18" s="169" t="s">
        <v>48</v>
      </c>
      <c r="L18" s="141"/>
    </row>
    <row r="19" spans="1:12" ht="13.5" thickBot="1" x14ac:dyDescent="0.25">
      <c r="A19" s="141"/>
      <c r="B19" s="168">
        <f t="shared" ref="B19:H19" si="5">SUM(B17:B18)</f>
        <v>29</v>
      </c>
      <c r="C19" s="168">
        <f t="shared" si="5"/>
        <v>1</v>
      </c>
      <c r="D19" s="168">
        <f t="shared" si="5"/>
        <v>0</v>
      </c>
      <c r="E19" s="168">
        <f t="shared" si="5"/>
        <v>1</v>
      </c>
      <c r="F19" s="168">
        <f t="shared" si="5"/>
        <v>1</v>
      </c>
      <c r="G19" s="168">
        <f t="shared" si="5"/>
        <v>0</v>
      </c>
      <c r="H19" s="168">
        <f t="shared" si="5"/>
        <v>26</v>
      </c>
      <c r="I19" s="168">
        <f>SUM(I17:I18)</f>
        <v>0</v>
      </c>
      <c r="J19" s="166" t="s">
        <v>12</v>
      </c>
      <c r="K19" s="153"/>
      <c r="L19" s="141"/>
    </row>
    <row r="20" spans="1:12" ht="13.5" thickBot="1" x14ac:dyDescent="0.25">
      <c r="A20" s="141"/>
      <c r="B20" s="168">
        <f t="shared" si="0"/>
        <v>41</v>
      </c>
      <c r="C20" s="168">
        <v>0</v>
      </c>
      <c r="D20" s="168">
        <v>0</v>
      </c>
      <c r="E20" s="168">
        <v>0</v>
      </c>
      <c r="F20" s="168">
        <v>0</v>
      </c>
      <c r="G20" s="168">
        <v>1</v>
      </c>
      <c r="H20" s="168">
        <v>28</v>
      </c>
      <c r="I20" s="168">
        <v>12</v>
      </c>
      <c r="J20" s="166" t="s">
        <v>9</v>
      </c>
      <c r="K20" s="169"/>
      <c r="L20" s="141"/>
    </row>
    <row r="21" spans="1:12" ht="13.5" thickBot="1" x14ac:dyDescent="0.25">
      <c r="A21" s="141"/>
      <c r="B21" s="168">
        <f t="shared" si="0"/>
        <v>14</v>
      </c>
      <c r="C21" s="168">
        <v>1</v>
      </c>
      <c r="D21" s="168">
        <v>0</v>
      </c>
      <c r="E21" s="168">
        <v>1</v>
      </c>
      <c r="F21" s="168">
        <v>2</v>
      </c>
      <c r="G21" s="168">
        <v>0</v>
      </c>
      <c r="H21" s="168">
        <v>8</v>
      </c>
      <c r="I21" s="168">
        <v>2</v>
      </c>
      <c r="J21" s="166" t="s">
        <v>10</v>
      </c>
      <c r="K21" s="169" t="s">
        <v>49</v>
      </c>
      <c r="L21" s="141"/>
    </row>
    <row r="22" spans="1:12" ht="13.5" thickBot="1" x14ac:dyDescent="0.25">
      <c r="A22" s="141"/>
      <c r="B22" s="168">
        <f t="shared" ref="B22:H22" si="6">SUM(B20:B21)</f>
        <v>55</v>
      </c>
      <c r="C22" s="168">
        <f t="shared" si="6"/>
        <v>1</v>
      </c>
      <c r="D22" s="168">
        <f t="shared" si="6"/>
        <v>0</v>
      </c>
      <c r="E22" s="168">
        <f t="shared" si="6"/>
        <v>1</v>
      </c>
      <c r="F22" s="168">
        <f t="shared" si="6"/>
        <v>2</v>
      </c>
      <c r="G22" s="168">
        <f t="shared" si="6"/>
        <v>1</v>
      </c>
      <c r="H22" s="168">
        <f t="shared" si="6"/>
        <v>36</v>
      </c>
      <c r="I22" s="168">
        <f>SUM(I20:I21)</f>
        <v>14</v>
      </c>
      <c r="J22" s="166" t="s">
        <v>12</v>
      </c>
      <c r="K22" s="153"/>
      <c r="L22" s="141"/>
    </row>
    <row r="23" spans="1:12" ht="13.5" thickBot="1" x14ac:dyDescent="0.25">
      <c r="A23" s="141"/>
      <c r="B23" s="168">
        <f t="shared" si="0"/>
        <v>1</v>
      </c>
      <c r="C23" s="168">
        <v>0</v>
      </c>
      <c r="D23" s="168">
        <v>0</v>
      </c>
      <c r="E23" s="168">
        <v>0</v>
      </c>
      <c r="F23" s="168">
        <v>0</v>
      </c>
      <c r="G23" s="168">
        <v>0</v>
      </c>
      <c r="H23" s="168">
        <v>1</v>
      </c>
      <c r="I23" s="168">
        <v>0</v>
      </c>
      <c r="J23" s="166" t="s">
        <v>9</v>
      </c>
      <c r="K23" s="169"/>
      <c r="L23" s="141"/>
    </row>
    <row r="24" spans="1:12" ht="13.5" thickBot="1" x14ac:dyDescent="0.25">
      <c r="A24" s="141"/>
      <c r="B24" s="168">
        <f t="shared" si="0"/>
        <v>1</v>
      </c>
      <c r="C24" s="168">
        <v>0</v>
      </c>
      <c r="D24" s="168">
        <v>0</v>
      </c>
      <c r="E24" s="168">
        <v>0</v>
      </c>
      <c r="F24" s="168">
        <v>0</v>
      </c>
      <c r="G24" s="168">
        <v>0</v>
      </c>
      <c r="H24" s="168">
        <v>1</v>
      </c>
      <c r="I24" s="168">
        <v>0</v>
      </c>
      <c r="J24" s="166" t="s">
        <v>10</v>
      </c>
      <c r="K24" s="169" t="s">
        <v>50</v>
      </c>
      <c r="L24" s="141"/>
    </row>
    <row r="25" spans="1:12" ht="13.5" thickBot="1" x14ac:dyDescent="0.25">
      <c r="A25" s="141"/>
      <c r="B25" s="168">
        <f t="shared" ref="B25:H25" si="7">SUM(B23:B24)</f>
        <v>2</v>
      </c>
      <c r="C25" s="168">
        <f t="shared" si="7"/>
        <v>0</v>
      </c>
      <c r="D25" s="168">
        <f t="shared" si="7"/>
        <v>0</v>
      </c>
      <c r="E25" s="168">
        <f t="shared" si="7"/>
        <v>0</v>
      </c>
      <c r="F25" s="168">
        <f t="shared" si="7"/>
        <v>0</v>
      </c>
      <c r="G25" s="168">
        <f t="shared" si="7"/>
        <v>0</v>
      </c>
      <c r="H25" s="168">
        <f t="shared" si="7"/>
        <v>2</v>
      </c>
      <c r="I25" s="168">
        <f>SUM(I23:I24)</f>
        <v>0</v>
      </c>
      <c r="J25" s="166" t="s">
        <v>12</v>
      </c>
      <c r="K25" s="153"/>
      <c r="L25" s="141"/>
    </row>
    <row r="26" spans="1:12" ht="13.5" thickBot="1" x14ac:dyDescent="0.25">
      <c r="A26" s="141"/>
      <c r="B26" s="168">
        <f t="shared" si="0"/>
        <v>17</v>
      </c>
      <c r="C26" s="168">
        <v>0</v>
      </c>
      <c r="D26" s="168">
        <v>0</v>
      </c>
      <c r="E26" s="168">
        <v>0</v>
      </c>
      <c r="F26" s="168">
        <v>1</v>
      </c>
      <c r="G26" s="168">
        <v>0</v>
      </c>
      <c r="H26" s="168">
        <v>15</v>
      </c>
      <c r="I26" s="168">
        <v>1</v>
      </c>
      <c r="J26" s="166" t="s">
        <v>9</v>
      </c>
      <c r="K26" s="169"/>
      <c r="L26" s="141"/>
    </row>
    <row r="27" spans="1:12" ht="13.5" thickBot="1" x14ac:dyDescent="0.25">
      <c r="A27" s="141"/>
      <c r="B27" s="168">
        <f t="shared" si="0"/>
        <v>2</v>
      </c>
      <c r="C27" s="168">
        <v>0</v>
      </c>
      <c r="D27" s="168">
        <v>0</v>
      </c>
      <c r="E27" s="168">
        <v>0</v>
      </c>
      <c r="F27" s="168">
        <v>1</v>
      </c>
      <c r="G27" s="168">
        <v>0</v>
      </c>
      <c r="H27" s="168">
        <v>1</v>
      </c>
      <c r="I27" s="168">
        <v>0</v>
      </c>
      <c r="J27" s="166" t="s">
        <v>10</v>
      </c>
      <c r="K27" s="169" t="s">
        <v>51</v>
      </c>
      <c r="L27" s="141"/>
    </row>
    <row r="28" spans="1:12" ht="13.5" thickBot="1" x14ac:dyDescent="0.25">
      <c r="A28" s="141"/>
      <c r="B28" s="168">
        <f t="shared" ref="B28:H28" si="8">SUM(B26:B27)</f>
        <v>19</v>
      </c>
      <c r="C28" s="168">
        <f t="shared" si="8"/>
        <v>0</v>
      </c>
      <c r="D28" s="168">
        <f t="shared" si="8"/>
        <v>0</v>
      </c>
      <c r="E28" s="168">
        <f t="shared" si="8"/>
        <v>0</v>
      </c>
      <c r="F28" s="168">
        <f t="shared" si="8"/>
        <v>2</v>
      </c>
      <c r="G28" s="168">
        <f t="shared" si="8"/>
        <v>0</v>
      </c>
      <c r="H28" s="168">
        <f t="shared" si="8"/>
        <v>16</v>
      </c>
      <c r="I28" s="168">
        <f>SUM(I26:I27)</f>
        <v>1</v>
      </c>
      <c r="J28" s="166" t="s">
        <v>12</v>
      </c>
      <c r="K28" s="153"/>
      <c r="L28" s="141"/>
    </row>
    <row r="29" spans="1:12" ht="13.5" thickBot="1" x14ac:dyDescent="0.25">
      <c r="A29" s="141"/>
      <c r="B29" s="168">
        <f t="shared" si="0"/>
        <v>0</v>
      </c>
      <c r="C29" s="168">
        <v>0</v>
      </c>
      <c r="D29" s="168">
        <v>0</v>
      </c>
      <c r="E29" s="168">
        <v>0</v>
      </c>
      <c r="F29" s="168">
        <v>0</v>
      </c>
      <c r="G29" s="168">
        <v>0</v>
      </c>
      <c r="H29" s="168">
        <v>0</v>
      </c>
      <c r="I29" s="168">
        <v>0</v>
      </c>
      <c r="J29" s="166" t="s">
        <v>9</v>
      </c>
      <c r="K29" s="169"/>
      <c r="L29" s="141"/>
    </row>
    <row r="30" spans="1:12" ht="13.5" thickBot="1" x14ac:dyDescent="0.25">
      <c r="A30" s="141"/>
      <c r="B30" s="168">
        <f t="shared" si="0"/>
        <v>2</v>
      </c>
      <c r="C30" s="168">
        <v>0</v>
      </c>
      <c r="D30" s="168">
        <v>0</v>
      </c>
      <c r="E30" s="168">
        <v>0</v>
      </c>
      <c r="F30" s="168">
        <v>0</v>
      </c>
      <c r="G30" s="168">
        <v>0</v>
      </c>
      <c r="H30" s="168">
        <v>2</v>
      </c>
      <c r="I30" s="168">
        <v>0</v>
      </c>
      <c r="J30" s="166" t="s">
        <v>10</v>
      </c>
      <c r="K30" s="169" t="s">
        <v>52</v>
      </c>
      <c r="L30" s="141"/>
    </row>
    <row r="31" spans="1:12" ht="13.5" thickBot="1" x14ac:dyDescent="0.25">
      <c r="A31" s="141"/>
      <c r="B31" s="168">
        <f t="shared" ref="B31:H31" si="9">SUM(B29:B30)</f>
        <v>2</v>
      </c>
      <c r="C31" s="168">
        <f t="shared" si="9"/>
        <v>0</v>
      </c>
      <c r="D31" s="168">
        <f t="shared" si="9"/>
        <v>0</v>
      </c>
      <c r="E31" s="168">
        <f t="shared" si="9"/>
        <v>0</v>
      </c>
      <c r="F31" s="168">
        <f t="shared" si="9"/>
        <v>0</v>
      </c>
      <c r="G31" s="168">
        <f t="shared" si="9"/>
        <v>0</v>
      </c>
      <c r="H31" s="168">
        <f t="shared" si="9"/>
        <v>2</v>
      </c>
      <c r="I31" s="168">
        <f>SUM(I29:I30)</f>
        <v>0</v>
      </c>
      <c r="J31" s="166" t="s">
        <v>12</v>
      </c>
      <c r="K31" s="153"/>
      <c r="L31" s="141"/>
    </row>
    <row r="32" spans="1:12" ht="13.5" thickBot="1" x14ac:dyDescent="0.25">
      <c r="A32" s="141"/>
      <c r="B32" s="168">
        <f t="shared" si="0"/>
        <v>1</v>
      </c>
      <c r="C32" s="168">
        <v>0</v>
      </c>
      <c r="D32" s="168">
        <v>0</v>
      </c>
      <c r="E32" s="168">
        <v>0</v>
      </c>
      <c r="F32" s="168">
        <v>0</v>
      </c>
      <c r="G32" s="168">
        <v>0</v>
      </c>
      <c r="H32" s="168">
        <v>1</v>
      </c>
      <c r="I32" s="168">
        <v>0</v>
      </c>
      <c r="J32" s="166" t="s">
        <v>9</v>
      </c>
      <c r="K32" s="169"/>
      <c r="L32" s="141"/>
    </row>
    <row r="33" spans="1:12" ht="13.5" thickBot="1" x14ac:dyDescent="0.25">
      <c r="A33" s="141"/>
      <c r="B33" s="168">
        <f t="shared" si="0"/>
        <v>1</v>
      </c>
      <c r="C33" s="168">
        <v>0</v>
      </c>
      <c r="D33" s="168">
        <v>0</v>
      </c>
      <c r="E33" s="168">
        <v>0</v>
      </c>
      <c r="F33" s="168">
        <v>1</v>
      </c>
      <c r="G33" s="168">
        <v>0</v>
      </c>
      <c r="H33" s="168">
        <v>0</v>
      </c>
      <c r="I33" s="168">
        <v>0</v>
      </c>
      <c r="J33" s="166" t="s">
        <v>10</v>
      </c>
      <c r="K33" s="169" t="s">
        <v>53</v>
      </c>
      <c r="L33" s="141"/>
    </row>
    <row r="34" spans="1:12" ht="13.5" thickBot="1" x14ac:dyDescent="0.25">
      <c r="A34" s="141"/>
      <c r="B34" s="168">
        <f t="shared" ref="B34:H34" si="10">SUM(B32:B33)</f>
        <v>2</v>
      </c>
      <c r="C34" s="168">
        <f t="shared" si="10"/>
        <v>0</v>
      </c>
      <c r="D34" s="168">
        <f t="shared" si="10"/>
        <v>0</v>
      </c>
      <c r="E34" s="168">
        <f t="shared" si="10"/>
        <v>0</v>
      </c>
      <c r="F34" s="168">
        <f t="shared" si="10"/>
        <v>1</v>
      </c>
      <c r="G34" s="168">
        <f t="shared" si="10"/>
        <v>0</v>
      </c>
      <c r="H34" s="168">
        <f t="shared" si="10"/>
        <v>1</v>
      </c>
      <c r="I34" s="168">
        <f>SUM(I32:I33)</f>
        <v>0</v>
      </c>
      <c r="J34" s="166" t="s">
        <v>12</v>
      </c>
      <c r="K34" s="153"/>
      <c r="L34" s="141"/>
    </row>
    <row r="35" spans="1:12" ht="13.5" thickBot="1" x14ac:dyDescent="0.25">
      <c r="A35" s="141"/>
      <c r="B35" s="146">
        <f t="shared" ref="B35:I37" si="11">B5+B8+B11+B14+B17+B20+B23+B26+B29+B32</f>
        <v>462</v>
      </c>
      <c r="C35" s="146">
        <f t="shared" si="11"/>
        <v>1</v>
      </c>
      <c r="D35" s="146">
        <f t="shared" si="11"/>
        <v>0</v>
      </c>
      <c r="E35" s="146">
        <f t="shared" si="11"/>
        <v>15</v>
      </c>
      <c r="F35" s="146">
        <f t="shared" si="11"/>
        <v>56</v>
      </c>
      <c r="G35" s="146">
        <f t="shared" si="11"/>
        <v>220</v>
      </c>
      <c r="H35" s="146">
        <f t="shared" si="11"/>
        <v>154</v>
      </c>
      <c r="I35" s="146">
        <f>I5+I8+I11+I14+I17+I20+I23+I26+I29+I32</f>
        <v>16</v>
      </c>
      <c r="J35" s="151" t="s">
        <v>9</v>
      </c>
      <c r="K35" s="143"/>
      <c r="L35" s="141"/>
    </row>
    <row r="36" spans="1:12" ht="13.5" thickBot="1" x14ac:dyDescent="0.25">
      <c r="A36" s="141"/>
      <c r="B36" s="146">
        <f t="shared" si="11"/>
        <v>121</v>
      </c>
      <c r="C36" s="146">
        <f t="shared" si="11"/>
        <v>1</v>
      </c>
      <c r="D36" s="146">
        <f t="shared" si="11"/>
        <v>0</v>
      </c>
      <c r="E36" s="146">
        <f t="shared" si="11"/>
        <v>5</v>
      </c>
      <c r="F36" s="146">
        <f t="shared" si="11"/>
        <v>14</v>
      </c>
      <c r="G36" s="146">
        <f t="shared" si="11"/>
        <v>57</v>
      </c>
      <c r="H36" s="146">
        <f t="shared" si="11"/>
        <v>40</v>
      </c>
      <c r="I36" s="146">
        <f t="shared" si="11"/>
        <v>4</v>
      </c>
      <c r="J36" s="151" t="s">
        <v>10</v>
      </c>
      <c r="K36" s="157" t="s">
        <v>188</v>
      </c>
      <c r="L36" s="141"/>
    </row>
    <row r="37" spans="1:12" ht="13.5" thickBot="1" x14ac:dyDescent="0.25">
      <c r="A37" s="141"/>
      <c r="B37" s="146">
        <f t="shared" si="11"/>
        <v>583</v>
      </c>
      <c r="C37" s="146">
        <f t="shared" si="11"/>
        <v>2</v>
      </c>
      <c r="D37" s="146">
        <f t="shared" si="11"/>
        <v>0</v>
      </c>
      <c r="E37" s="146">
        <f t="shared" si="11"/>
        <v>20</v>
      </c>
      <c r="F37" s="146">
        <f t="shared" si="11"/>
        <v>70</v>
      </c>
      <c r="G37" s="146">
        <f t="shared" si="11"/>
        <v>277</v>
      </c>
      <c r="H37" s="146">
        <f t="shared" si="11"/>
        <v>194</v>
      </c>
      <c r="I37" s="146">
        <f t="shared" si="11"/>
        <v>20</v>
      </c>
      <c r="J37" s="151" t="s">
        <v>12</v>
      </c>
      <c r="K37" s="145"/>
      <c r="L37" s="141"/>
    </row>
  </sheetData>
  <mergeCells count="2">
    <mergeCell ref="B2:K2"/>
    <mergeCell ref="B3:K3"/>
  </mergeCells>
  <conditionalFormatting sqref="C5:I34 B7 B10 B13 B16 B19 B22 B25 B28 B31 B34">
    <cfRule type="cellIs" dxfId="1" priority="1" operator="lessThan">
      <formula>0</formula>
    </cfRule>
  </conditionalFormatting>
  <printOptions horizontalCentered="1" verticalCentered="1"/>
  <pageMargins left="0.4" right="0.4" top="0" bottom="0" header="0.8" footer="0.8"/>
  <pageSetup paperSize="9" scale="98" orientation="landscape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73"/>
  <sheetViews>
    <sheetView showGridLines="0" view="pageBreakPreview" topLeftCell="A16" zoomScale="60" zoomScaleNormal="100" workbookViewId="0">
      <selection activeCell="N22" sqref="N22"/>
    </sheetView>
  </sheetViews>
  <sheetFormatPr defaultRowHeight="12.75" x14ac:dyDescent="0.2"/>
  <cols>
    <col min="1" max="1" width="6" style="142" customWidth="1"/>
    <col min="2" max="10" width="9.625" style="142" customWidth="1"/>
    <col min="11" max="11" width="24" style="142" customWidth="1"/>
    <col min="12" max="12" width="3.625" style="142" customWidth="1"/>
    <col min="13" max="16384" width="9" style="142"/>
  </cols>
  <sheetData>
    <row r="1" spans="1:12" ht="0.95" customHeight="1" x14ac:dyDescent="0.2">
      <c r="A1" s="141"/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</row>
    <row r="2" spans="1:12" ht="20.100000000000001" customHeight="1" x14ac:dyDescent="0.2">
      <c r="A2" s="141"/>
      <c r="B2" s="593" t="s">
        <v>893</v>
      </c>
      <c r="C2" s="594"/>
      <c r="D2" s="594"/>
      <c r="E2" s="594"/>
      <c r="F2" s="594"/>
      <c r="G2" s="594"/>
      <c r="H2" s="594"/>
      <c r="I2" s="594"/>
      <c r="J2" s="594"/>
      <c r="K2" s="594"/>
      <c r="L2" s="141"/>
    </row>
    <row r="3" spans="1:12" ht="20.100000000000001" customHeight="1" thickBot="1" x14ac:dyDescent="0.25">
      <c r="A3" s="141"/>
      <c r="B3" s="595" t="s">
        <v>894</v>
      </c>
      <c r="C3" s="595"/>
      <c r="D3" s="595"/>
      <c r="E3" s="595"/>
      <c r="F3" s="595"/>
      <c r="G3" s="595"/>
      <c r="H3" s="595"/>
      <c r="I3" s="595"/>
      <c r="J3" s="595"/>
      <c r="K3" s="595"/>
      <c r="L3" s="141"/>
    </row>
    <row r="4" spans="1:12" ht="13.5" thickBot="1" x14ac:dyDescent="0.25">
      <c r="A4" s="141"/>
      <c r="B4" s="166" t="s">
        <v>244</v>
      </c>
      <c r="C4" s="166" t="s">
        <v>53</v>
      </c>
      <c r="D4" s="166" t="s">
        <v>58</v>
      </c>
      <c r="E4" s="166" t="s">
        <v>56</v>
      </c>
      <c r="F4" s="166" t="s">
        <v>57</v>
      </c>
      <c r="G4" s="166" t="s">
        <v>59</v>
      </c>
      <c r="H4" s="166" t="s">
        <v>60</v>
      </c>
      <c r="I4" s="166" t="s">
        <v>61</v>
      </c>
      <c r="J4" s="167" t="s">
        <v>7</v>
      </c>
      <c r="K4" s="152" t="s">
        <v>895</v>
      </c>
      <c r="L4" s="141"/>
    </row>
    <row r="5" spans="1:12" ht="13.5" thickBot="1" x14ac:dyDescent="0.25">
      <c r="A5" s="141"/>
      <c r="B5" s="154">
        <f>SUM(C5:I5)</f>
        <v>1</v>
      </c>
      <c r="C5" s="168">
        <v>0</v>
      </c>
      <c r="D5" s="168">
        <v>0</v>
      </c>
      <c r="E5" s="168">
        <v>0</v>
      </c>
      <c r="F5" s="168">
        <v>0</v>
      </c>
      <c r="G5" s="168">
        <v>0</v>
      </c>
      <c r="H5" s="168">
        <v>1</v>
      </c>
      <c r="I5" s="168">
        <v>0</v>
      </c>
      <c r="J5" s="166" t="s">
        <v>9</v>
      </c>
      <c r="K5" s="159"/>
      <c r="L5" s="141"/>
    </row>
    <row r="6" spans="1:12" ht="13.5" thickBot="1" x14ac:dyDescent="0.25">
      <c r="A6" s="141"/>
      <c r="B6" s="154">
        <f t="shared" ref="B6:B60" si="0">SUM(C6:I6)</f>
        <v>1</v>
      </c>
      <c r="C6" s="168">
        <v>0</v>
      </c>
      <c r="D6" s="168">
        <v>0</v>
      </c>
      <c r="E6" s="168">
        <v>0</v>
      </c>
      <c r="F6" s="168">
        <v>0</v>
      </c>
      <c r="G6" s="168">
        <v>0</v>
      </c>
      <c r="H6" s="168">
        <v>1</v>
      </c>
      <c r="I6" s="168">
        <v>0</v>
      </c>
      <c r="J6" s="166" t="s">
        <v>10</v>
      </c>
      <c r="K6" s="159" t="s">
        <v>11</v>
      </c>
      <c r="L6" s="141"/>
    </row>
    <row r="7" spans="1:12" ht="13.5" thickBot="1" x14ac:dyDescent="0.25">
      <c r="A7" s="141"/>
      <c r="B7" s="168">
        <f t="shared" ref="B7:H7" si="1">SUM(B5:B6)</f>
        <v>2</v>
      </c>
      <c r="C7" s="168">
        <f t="shared" si="1"/>
        <v>0</v>
      </c>
      <c r="D7" s="168">
        <f t="shared" si="1"/>
        <v>0</v>
      </c>
      <c r="E7" s="168">
        <f t="shared" si="1"/>
        <v>0</v>
      </c>
      <c r="F7" s="168">
        <f t="shared" si="1"/>
        <v>0</v>
      </c>
      <c r="G7" s="168">
        <f t="shared" si="1"/>
        <v>0</v>
      </c>
      <c r="H7" s="168">
        <f t="shared" si="1"/>
        <v>2</v>
      </c>
      <c r="I7" s="168">
        <f>SUM(I5:I6)</f>
        <v>0</v>
      </c>
      <c r="J7" s="166" t="s">
        <v>12</v>
      </c>
      <c r="K7" s="170"/>
      <c r="L7" s="141"/>
    </row>
    <row r="8" spans="1:12" ht="13.5" thickBot="1" x14ac:dyDescent="0.25">
      <c r="A8" s="141"/>
      <c r="B8" s="154">
        <f t="shared" si="0"/>
        <v>3</v>
      </c>
      <c r="C8" s="168">
        <v>0</v>
      </c>
      <c r="D8" s="168">
        <v>0</v>
      </c>
      <c r="E8" s="168">
        <v>0</v>
      </c>
      <c r="F8" s="168">
        <v>0</v>
      </c>
      <c r="G8" s="168">
        <v>0</v>
      </c>
      <c r="H8" s="168">
        <v>3</v>
      </c>
      <c r="I8" s="168">
        <v>0</v>
      </c>
      <c r="J8" s="166" t="s">
        <v>9</v>
      </c>
      <c r="K8" s="159"/>
      <c r="L8" s="141"/>
    </row>
    <row r="9" spans="1:12" ht="13.5" thickBot="1" x14ac:dyDescent="0.25">
      <c r="A9" s="141"/>
      <c r="B9" s="154">
        <f t="shared" si="0"/>
        <v>6</v>
      </c>
      <c r="C9" s="168">
        <v>0</v>
      </c>
      <c r="D9" s="168">
        <v>0</v>
      </c>
      <c r="E9" s="168">
        <v>0</v>
      </c>
      <c r="F9" s="168">
        <v>0</v>
      </c>
      <c r="G9" s="168">
        <v>0</v>
      </c>
      <c r="H9" s="168">
        <v>6</v>
      </c>
      <c r="I9" s="168">
        <v>0</v>
      </c>
      <c r="J9" s="166" t="s">
        <v>10</v>
      </c>
      <c r="K9" s="159" t="s">
        <v>13</v>
      </c>
      <c r="L9" s="141"/>
    </row>
    <row r="10" spans="1:12" ht="13.5" thickBot="1" x14ac:dyDescent="0.25">
      <c r="A10" s="141"/>
      <c r="B10" s="168">
        <f t="shared" ref="B10:I10" si="2">SUM(B8:B9)</f>
        <v>9</v>
      </c>
      <c r="C10" s="168">
        <f t="shared" si="2"/>
        <v>0</v>
      </c>
      <c r="D10" s="168">
        <f t="shared" si="2"/>
        <v>0</v>
      </c>
      <c r="E10" s="168">
        <f t="shared" si="2"/>
        <v>0</v>
      </c>
      <c r="F10" s="168">
        <f t="shared" si="2"/>
        <v>0</v>
      </c>
      <c r="G10" s="168">
        <f t="shared" si="2"/>
        <v>0</v>
      </c>
      <c r="H10" s="168">
        <f t="shared" si="2"/>
        <v>9</v>
      </c>
      <c r="I10" s="168">
        <f t="shared" si="2"/>
        <v>0</v>
      </c>
      <c r="J10" s="166" t="s">
        <v>12</v>
      </c>
      <c r="K10" s="170"/>
      <c r="L10" s="141"/>
    </row>
    <row r="11" spans="1:12" ht="13.5" thickBot="1" x14ac:dyDescent="0.25">
      <c r="A11" s="141"/>
      <c r="B11" s="154">
        <f t="shared" si="0"/>
        <v>100</v>
      </c>
      <c r="C11" s="168">
        <v>0</v>
      </c>
      <c r="D11" s="168">
        <v>0</v>
      </c>
      <c r="E11" s="168">
        <v>0</v>
      </c>
      <c r="F11" s="168">
        <v>1</v>
      </c>
      <c r="G11" s="168">
        <v>0</v>
      </c>
      <c r="H11" s="168">
        <v>21</v>
      </c>
      <c r="I11" s="168">
        <v>78</v>
      </c>
      <c r="J11" s="166" t="s">
        <v>9</v>
      </c>
      <c r="K11" s="159"/>
      <c r="L11" s="141"/>
    </row>
    <row r="12" spans="1:12" ht="13.5" thickBot="1" x14ac:dyDescent="0.25">
      <c r="A12" s="141"/>
      <c r="B12" s="154">
        <f t="shared" si="0"/>
        <v>67</v>
      </c>
      <c r="C12" s="168">
        <v>0</v>
      </c>
      <c r="D12" s="168">
        <v>0</v>
      </c>
      <c r="E12" s="168">
        <v>0</v>
      </c>
      <c r="F12" s="168">
        <v>0</v>
      </c>
      <c r="G12" s="168">
        <v>0</v>
      </c>
      <c r="H12" s="168">
        <v>51</v>
      </c>
      <c r="I12" s="168">
        <v>16</v>
      </c>
      <c r="J12" s="166" t="s">
        <v>10</v>
      </c>
      <c r="K12" s="159" t="s">
        <v>14</v>
      </c>
      <c r="L12" s="141"/>
    </row>
    <row r="13" spans="1:12" ht="13.5" thickBot="1" x14ac:dyDescent="0.25">
      <c r="A13" s="141"/>
      <c r="B13" s="168">
        <f t="shared" ref="B13:I13" si="3">SUM(B11:B12)</f>
        <v>167</v>
      </c>
      <c r="C13" s="168">
        <f t="shared" si="3"/>
        <v>0</v>
      </c>
      <c r="D13" s="168">
        <f t="shared" si="3"/>
        <v>0</v>
      </c>
      <c r="E13" s="168">
        <f t="shared" si="3"/>
        <v>0</v>
      </c>
      <c r="F13" s="168">
        <f t="shared" si="3"/>
        <v>1</v>
      </c>
      <c r="G13" s="168">
        <f t="shared" si="3"/>
        <v>0</v>
      </c>
      <c r="H13" s="168">
        <f t="shared" si="3"/>
        <v>72</v>
      </c>
      <c r="I13" s="168">
        <f t="shared" si="3"/>
        <v>94</v>
      </c>
      <c r="J13" s="166" t="s">
        <v>12</v>
      </c>
      <c r="K13" s="170"/>
      <c r="L13" s="141"/>
    </row>
    <row r="14" spans="1:12" ht="13.5" thickBot="1" x14ac:dyDescent="0.25">
      <c r="A14" s="141"/>
      <c r="B14" s="154">
        <f t="shared" si="0"/>
        <v>3</v>
      </c>
      <c r="C14" s="168">
        <v>0</v>
      </c>
      <c r="D14" s="168">
        <v>0</v>
      </c>
      <c r="E14" s="168">
        <v>1</v>
      </c>
      <c r="F14" s="168">
        <v>0</v>
      </c>
      <c r="G14" s="168">
        <v>0</v>
      </c>
      <c r="H14" s="168">
        <v>1</v>
      </c>
      <c r="I14" s="168">
        <v>1</v>
      </c>
      <c r="J14" s="166" t="s">
        <v>9</v>
      </c>
      <c r="K14" s="159"/>
      <c r="L14" s="141"/>
    </row>
    <row r="15" spans="1:12" ht="13.5" thickBot="1" x14ac:dyDescent="0.25">
      <c r="A15" s="141"/>
      <c r="B15" s="154">
        <f t="shared" si="0"/>
        <v>2</v>
      </c>
      <c r="C15" s="168">
        <v>0</v>
      </c>
      <c r="D15" s="168">
        <v>0</v>
      </c>
      <c r="E15" s="168">
        <v>0</v>
      </c>
      <c r="F15" s="168">
        <v>0</v>
      </c>
      <c r="G15" s="168">
        <v>0</v>
      </c>
      <c r="H15" s="168">
        <v>2</v>
      </c>
      <c r="I15" s="168">
        <v>0</v>
      </c>
      <c r="J15" s="166" t="s">
        <v>10</v>
      </c>
      <c r="K15" s="159" t="s">
        <v>15</v>
      </c>
      <c r="L15" s="141"/>
    </row>
    <row r="16" spans="1:12" ht="13.5" thickBot="1" x14ac:dyDescent="0.25">
      <c r="A16" s="141"/>
      <c r="B16" s="168">
        <f t="shared" ref="B16:I16" si="4">SUM(B14:B15)</f>
        <v>5</v>
      </c>
      <c r="C16" s="168">
        <f t="shared" si="4"/>
        <v>0</v>
      </c>
      <c r="D16" s="168">
        <f t="shared" si="4"/>
        <v>0</v>
      </c>
      <c r="E16" s="168">
        <f t="shared" si="4"/>
        <v>1</v>
      </c>
      <c r="F16" s="168">
        <f t="shared" si="4"/>
        <v>0</v>
      </c>
      <c r="G16" s="168">
        <f t="shared" si="4"/>
        <v>0</v>
      </c>
      <c r="H16" s="168">
        <f t="shared" si="4"/>
        <v>3</v>
      </c>
      <c r="I16" s="168">
        <f t="shared" si="4"/>
        <v>1</v>
      </c>
      <c r="J16" s="166" t="s">
        <v>12</v>
      </c>
      <c r="K16" s="170"/>
      <c r="L16" s="141"/>
    </row>
    <row r="17" spans="1:12" ht="13.5" thickBot="1" x14ac:dyDescent="0.25">
      <c r="A17" s="141"/>
      <c r="B17" s="154">
        <f t="shared" si="0"/>
        <v>1</v>
      </c>
      <c r="C17" s="168">
        <v>0</v>
      </c>
      <c r="D17" s="168">
        <v>0</v>
      </c>
      <c r="E17" s="168">
        <v>0</v>
      </c>
      <c r="F17" s="168">
        <v>0</v>
      </c>
      <c r="G17" s="168">
        <v>0</v>
      </c>
      <c r="H17" s="168">
        <v>1</v>
      </c>
      <c r="I17" s="168">
        <v>0</v>
      </c>
      <c r="J17" s="166" t="s">
        <v>9</v>
      </c>
      <c r="K17" s="159"/>
      <c r="L17" s="141"/>
    </row>
    <row r="18" spans="1:12" ht="13.5" thickBot="1" x14ac:dyDescent="0.25">
      <c r="A18" s="141"/>
      <c r="B18" s="154">
        <f t="shared" si="0"/>
        <v>0</v>
      </c>
      <c r="C18" s="168">
        <v>0</v>
      </c>
      <c r="D18" s="168">
        <v>0</v>
      </c>
      <c r="E18" s="168">
        <v>0</v>
      </c>
      <c r="F18" s="168">
        <v>0</v>
      </c>
      <c r="G18" s="168">
        <v>0</v>
      </c>
      <c r="H18" s="168">
        <v>0</v>
      </c>
      <c r="I18" s="168">
        <v>0</v>
      </c>
      <c r="J18" s="166" t="s">
        <v>10</v>
      </c>
      <c r="K18" s="159" t="s">
        <v>16</v>
      </c>
      <c r="L18" s="141"/>
    </row>
    <row r="19" spans="1:12" ht="13.5" thickBot="1" x14ac:dyDescent="0.25">
      <c r="A19" s="141"/>
      <c r="B19" s="168">
        <f t="shared" ref="B19:I19" si="5">SUM(B17:B18)</f>
        <v>1</v>
      </c>
      <c r="C19" s="168">
        <f t="shared" si="5"/>
        <v>0</v>
      </c>
      <c r="D19" s="168">
        <f t="shared" si="5"/>
        <v>0</v>
      </c>
      <c r="E19" s="168">
        <f t="shared" si="5"/>
        <v>0</v>
      </c>
      <c r="F19" s="168">
        <f t="shared" si="5"/>
        <v>0</v>
      </c>
      <c r="G19" s="168">
        <f t="shared" si="5"/>
        <v>0</v>
      </c>
      <c r="H19" s="168">
        <f t="shared" si="5"/>
        <v>1</v>
      </c>
      <c r="I19" s="168">
        <f t="shared" si="5"/>
        <v>0</v>
      </c>
      <c r="J19" s="166" t="s">
        <v>12</v>
      </c>
      <c r="K19" s="170"/>
      <c r="L19" s="141"/>
    </row>
    <row r="20" spans="1:12" ht="13.5" thickBot="1" x14ac:dyDescent="0.25">
      <c r="A20" s="141"/>
      <c r="B20" s="154">
        <f t="shared" si="0"/>
        <v>22</v>
      </c>
      <c r="C20" s="168">
        <v>0</v>
      </c>
      <c r="D20" s="168">
        <v>0</v>
      </c>
      <c r="E20" s="168">
        <v>0</v>
      </c>
      <c r="F20" s="168">
        <v>0</v>
      </c>
      <c r="G20" s="168">
        <v>0</v>
      </c>
      <c r="H20" s="168">
        <v>22</v>
      </c>
      <c r="I20" s="168">
        <v>0</v>
      </c>
      <c r="J20" s="166" t="s">
        <v>9</v>
      </c>
      <c r="K20" s="159"/>
      <c r="L20" s="141"/>
    </row>
    <row r="21" spans="1:12" ht="13.5" thickBot="1" x14ac:dyDescent="0.25">
      <c r="A21" s="141"/>
      <c r="B21" s="154">
        <f t="shared" si="0"/>
        <v>12</v>
      </c>
      <c r="C21" s="168">
        <v>0</v>
      </c>
      <c r="D21" s="168">
        <v>0</v>
      </c>
      <c r="E21" s="168">
        <v>0</v>
      </c>
      <c r="F21" s="168">
        <v>1</v>
      </c>
      <c r="G21" s="168">
        <v>2</v>
      </c>
      <c r="H21" s="168">
        <v>9</v>
      </c>
      <c r="I21" s="168">
        <v>0</v>
      </c>
      <c r="J21" s="166" t="s">
        <v>10</v>
      </c>
      <c r="K21" s="159" t="s">
        <v>17</v>
      </c>
      <c r="L21" s="141"/>
    </row>
    <row r="22" spans="1:12" ht="13.5" thickBot="1" x14ac:dyDescent="0.25">
      <c r="A22" s="141"/>
      <c r="B22" s="168">
        <f t="shared" ref="B22:I22" si="6">SUM(B20:B21)</f>
        <v>34</v>
      </c>
      <c r="C22" s="168">
        <f t="shared" si="6"/>
        <v>0</v>
      </c>
      <c r="D22" s="168">
        <f t="shared" si="6"/>
        <v>0</v>
      </c>
      <c r="E22" s="168">
        <f t="shared" si="6"/>
        <v>0</v>
      </c>
      <c r="F22" s="168">
        <f t="shared" si="6"/>
        <v>1</v>
      </c>
      <c r="G22" s="168">
        <f t="shared" si="6"/>
        <v>2</v>
      </c>
      <c r="H22" s="168">
        <f t="shared" si="6"/>
        <v>31</v>
      </c>
      <c r="I22" s="168">
        <f t="shared" si="6"/>
        <v>0</v>
      </c>
      <c r="J22" s="166" t="s">
        <v>12</v>
      </c>
      <c r="K22" s="170"/>
      <c r="L22" s="141"/>
    </row>
    <row r="23" spans="1:12" ht="13.5" thickBot="1" x14ac:dyDescent="0.25">
      <c r="A23" s="141"/>
      <c r="B23" s="154">
        <f t="shared" si="0"/>
        <v>6</v>
      </c>
      <c r="C23" s="168">
        <v>1</v>
      </c>
      <c r="D23" s="168">
        <v>2</v>
      </c>
      <c r="E23" s="168">
        <v>1</v>
      </c>
      <c r="F23" s="168">
        <v>1</v>
      </c>
      <c r="G23" s="168">
        <v>1</v>
      </c>
      <c r="H23" s="168">
        <v>0</v>
      </c>
      <c r="I23" s="168">
        <v>0</v>
      </c>
      <c r="J23" s="166" t="s">
        <v>9</v>
      </c>
      <c r="K23" s="159"/>
      <c r="L23" s="141"/>
    </row>
    <row r="24" spans="1:12" ht="13.5" thickBot="1" x14ac:dyDescent="0.25">
      <c r="A24" s="141"/>
      <c r="B24" s="154">
        <f t="shared" si="0"/>
        <v>1</v>
      </c>
      <c r="C24" s="168">
        <v>0</v>
      </c>
      <c r="D24" s="168">
        <v>0</v>
      </c>
      <c r="E24" s="168">
        <v>0</v>
      </c>
      <c r="F24" s="168">
        <v>0</v>
      </c>
      <c r="G24" s="168">
        <v>0</v>
      </c>
      <c r="H24" s="168">
        <v>1</v>
      </c>
      <c r="I24" s="168">
        <v>0</v>
      </c>
      <c r="J24" s="166" t="s">
        <v>10</v>
      </c>
      <c r="K24" s="159" t="s">
        <v>32</v>
      </c>
      <c r="L24" s="141"/>
    </row>
    <row r="25" spans="1:12" ht="13.5" thickBot="1" x14ac:dyDescent="0.25">
      <c r="A25" s="141"/>
      <c r="B25" s="168">
        <f t="shared" ref="B25:I25" si="7">SUM(B23:B24)</f>
        <v>7</v>
      </c>
      <c r="C25" s="168">
        <f t="shared" si="7"/>
        <v>1</v>
      </c>
      <c r="D25" s="168">
        <f t="shared" si="7"/>
        <v>2</v>
      </c>
      <c r="E25" s="168">
        <f t="shared" si="7"/>
        <v>1</v>
      </c>
      <c r="F25" s="168">
        <f t="shared" si="7"/>
        <v>1</v>
      </c>
      <c r="G25" s="168">
        <f t="shared" si="7"/>
        <v>1</v>
      </c>
      <c r="H25" s="168">
        <f t="shared" si="7"/>
        <v>1</v>
      </c>
      <c r="I25" s="168">
        <f t="shared" si="7"/>
        <v>0</v>
      </c>
      <c r="J25" s="166" t="s">
        <v>12</v>
      </c>
      <c r="K25" s="170"/>
      <c r="L25" s="141"/>
    </row>
    <row r="26" spans="1:12" ht="13.5" thickBot="1" x14ac:dyDescent="0.25">
      <c r="A26" s="141"/>
      <c r="B26" s="154">
        <f t="shared" si="0"/>
        <v>4</v>
      </c>
      <c r="C26" s="168">
        <v>0</v>
      </c>
      <c r="D26" s="168">
        <v>0</v>
      </c>
      <c r="E26" s="168">
        <v>0</v>
      </c>
      <c r="F26" s="168">
        <v>2</v>
      </c>
      <c r="G26" s="168">
        <v>0</v>
      </c>
      <c r="H26" s="168">
        <v>2</v>
      </c>
      <c r="I26" s="168">
        <v>0</v>
      </c>
      <c r="J26" s="166" t="s">
        <v>9</v>
      </c>
      <c r="K26" s="159"/>
      <c r="L26" s="141"/>
    </row>
    <row r="27" spans="1:12" ht="13.5" thickBot="1" x14ac:dyDescent="0.25">
      <c r="A27" s="141"/>
      <c r="B27" s="154">
        <f t="shared" si="0"/>
        <v>1</v>
      </c>
      <c r="C27" s="168">
        <v>0</v>
      </c>
      <c r="D27" s="168">
        <v>0</v>
      </c>
      <c r="E27" s="168">
        <v>0</v>
      </c>
      <c r="F27" s="168">
        <v>0</v>
      </c>
      <c r="G27" s="168">
        <v>0</v>
      </c>
      <c r="H27" s="168">
        <v>1</v>
      </c>
      <c r="I27" s="168">
        <v>0</v>
      </c>
      <c r="J27" s="166" t="s">
        <v>10</v>
      </c>
      <c r="K27" s="159" t="s">
        <v>18</v>
      </c>
      <c r="L27" s="141"/>
    </row>
    <row r="28" spans="1:12" ht="13.5" thickBot="1" x14ac:dyDescent="0.25">
      <c r="A28" s="141"/>
      <c r="B28" s="168">
        <f t="shared" ref="B28:I28" si="8">SUM(B26:B27)</f>
        <v>5</v>
      </c>
      <c r="C28" s="168">
        <f t="shared" si="8"/>
        <v>0</v>
      </c>
      <c r="D28" s="168">
        <f t="shared" si="8"/>
        <v>0</v>
      </c>
      <c r="E28" s="168">
        <f t="shared" si="8"/>
        <v>0</v>
      </c>
      <c r="F28" s="168">
        <f t="shared" si="8"/>
        <v>2</v>
      </c>
      <c r="G28" s="168">
        <f t="shared" si="8"/>
        <v>0</v>
      </c>
      <c r="H28" s="168">
        <f t="shared" si="8"/>
        <v>3</v>
      </c>
      <c r="I28" s="168">
        <f t="shared" si="8"/>
        <v>0</v>
      </c>
      <c r="J28" s="166" t="s">
        <v>12</v>
      </c>
      <c r="K28" s="170"/>
      <c r="L28" s="141"/>
    </row>
    <row r="29" spans="1:12" ht="13.5" thickBot="1" x14ac:dyDescent="0.25">
      <c r="A29" s="141"/>
      <c r="B29" s="154">
        <f t="shared" si="0"/>
        <v>1</v>
      </c>
      <c r="C29" s="168">
        <v>0</v>
      </c>
      <c r="D29" s="168">
        <v>0</v>
      </c>
      <c r="E29" s="168">
        <v>1</v>
      </c>
      <c r="F29" s="168">
        <v>0</v>
      </c>
      <c r="G29" s="168">
        <v>0</v>
      </c>
      <c r="H29" s="168">
        <v>0</v>
      </c>
      <c r="I29" s="168">
        <v>0</v>
      </c>
      <c r="J29" s="166" t="s">
        <v>9</v>
      </c>
      <c r="K29" s="159"/>
      <c r="L29" s="141"/>
    </row>
    <row r="30" spans="1:12" ht="13.5" thickBot="1" x14ac:dyDescent="0.25">
      <c r="A30" s="141"/>
      <c r="B30" s="154">
        <f t="shared" si="0"/>
        <v>0</v>
      </c>
      <c r="C30" s="168">
        <v>0</v>
      </c>
      <c r="D30" s="168">
        <v>0</v>
      </c>
      <c r="E30" s="168">
        <v>0</v>
      </c>
      <c r="F30" s="168">
        <v>0</v>
      </c>
      <c r="G30" s="168">
        <v>0</v>
      </c>
      <c r="H30" s="168">
        <v>0</v>
      </c>
      <c r="I30" s="168">
        <v>0</v>
      </c>
      <c r="J30" s="166" t="s">
        <v>10</v>
      </c>
      <c r="K30" s="159" t="s">
        <v>19</v>
      </c>
      <c r="L30" s="141"/>
    </row>
    <row r="31" spans="1:12" ht="13.5" thickBot="1" x14ac:dyDescent="0.25">
      <c r="A31" s="141"/>
      <c r="B31" s="168">
        <f t="shared" ref="B31:I31" si="9">SUM(B29:B30)</f>
        <v>1</v>
      </c>
      <c r="C31" s="168">
        <f t="shared" si="9"/>
        <v>0</v>
      </c>
      <c r="D31" s="168">
        <f t="shared" si="9"/>
        <v>0</v>
      </c>
      <c r="E31" s="168">
        <f t="shared" si="9"/>
        <v>1</v>
      </c>
      <c r="F31" s="168">
        <f t="shared" si="9"/>
        <v>0</v>
      </c>
      <c r="G31" s="168">
        <f t="shared" si="9"/>
        <v>0</v>
      </c>
      <c r="H31" s="168">
        <f t="shared" si="9"/>
        <v>0</v>
      </c>
      <c r="I31" s="168">
        <f t="shared" si="9"/>
        <v>0</v>
      </c>
      <c r="J31" s="166" t="s">
        <v>12</v>
      </c>
      <c r="K31" s="170"/>
      <c r="L31" s="141"/>
    </row>
    <row r="32" spans="1:12" ht="13.5" thickBot="1" x14ac:dyDescent="0.25">
      <c r="A32" s="141"/>
      <c r="B32" s="154">
        <f t="shared" si="0"/>
        <v>28</v>
      </c>
      <c r="C32" s="168">
        <v>0</v>
      </c>
      <c r="D32" s="168">
        <v>0</v>
      </c>
      <c r="E32" s="168">
        <v>0</v>
      </c>
      <c r="F32" s="168">
        <v>9</v>
      </c>
      <c r="G32" s="168">
        <v>1</v>
      </c>
      <c r="H32" s="168">
        <v>17</v>
      </c>
      <c r="I32" s="168">
        <v>1</v>
      </c>
      <c r="J32" s="166" t="s">
        <v>9</v>
      </c>
      <c r="K32" s="159"/>
      <c r="L32" s="141"/>
    </row>
    <row r="33" spans="1:12" ht="13.5" thickBot="1" x14ac:dyDescent="0.25">
      <c r="A33" s="141"/>
      <c r="B33" s="154">
        <f t="shared" si="0"/>
        <v>12</v>
      </c>
      <c r="C33" s="168">
        <v>0</v>
      </c>
      <c r="D33" s="168">
        <v>0</v>
      </c>
      <c r="E33" s="168">
        <v>0</v>
      </c>
      <c r="F33" s="168">
        <v>5</v>
      </c>
      <c r="G33" s="168">
        <v>0</v>
      </c>
      <c r="H33" s="168">
        <v>7</v>
      </c>
      <c r="I33" s="168">
        <v>0</v>
      </c>
      <c r="J33" s="166" t="s">
        <v>10</v>
      </c>
      <c r="K33" s="159" t="s">
        <v>20</v>
      </c>
      <c r="L33" s="141"/>
    </row>
    <row r="34" spans="1:12" ht="13.5" thickBot="1" x14ac:dyDescent="0.25">
      <c r="A34" s="141"/>
      <c r="B34" s="168">
        <f t="shared" ref="B34:I34" si="10">SUM(B32:B33)</f>
        <v>40</v>
      </c>
      <c r="C34" s="168">
        <f t="shared" si="10"/>
        <v>0</v>
      </c>
      <c r="D34" s="168">
        <f t="shared" si="10"/>
        <v>0</v>
      </c>
      <c r="E34" s="168">
        <f t="shared" si="10"/>
        <v>0</v>
      </c>
      <c r="F34" s="168">
        <f t="shared" si="10"/>
        <v>14</v>
      </c>
      <c r="G34" s="168">
        <f t="shared" si="10"/>
        <v>1</v>
      </c>
      <c r="H34" s="168">
        <f t="shared" si="10"/>
        <v>24</v>
      </c>
      <c r="I34" s="168">
        <f t="shared" si="10"/>
        <v>1</v>
      </c>
      <c r="J34" s="166" t="s">
        <v>12</v>
      </c>
      <c r="K34" s="170"/>
      <c r="L34" s="141"/>
    </row>
    <row r="35" spans="1:12" ht="13.5" thickBot="1" x14ac:dyDescent="0.25">
      <c r="A35" s="141"/>
      <c r="B35" s="154">
        <f t="shared" si="0"/>
        <v>8</v>
      </c>
      <c r="C35" s="168">
        <v>0</v>
      </c>
      <c r="D35" s="168">
        <v>0</v>
      </c>
      <c r="E35" s="168">
        <v>0</v>
      </c>
      <c r="F35" s="168">
        <v>0</v>
      </c>
      <c r="G35" s="168">
        <v>0</v>
      </c>
      <c r="H35" s="168">
        <v>8</v>
      </c>
      <c r="I35" s="168">
        <v>0</v>
      </c>
      <c r="J35" s="166" t="s">
        <v>9</v>
      </c>
      <c r="K35" s="159"/>
      <c r="L35" s="141"/>
    </row>
    <row r="36" spans="1:12" ht="13.5" thickBot="1" x14ac:dyDescent="0.25">
      <c r="A36" s="141"/>
      <c r="B36" s="154">
        <f t="shared" si="0"/>
        <v>1</v>
      </c>
      <c r="C36" s="168">
        <v>0</v>
      </c>
      <c r="D36" s="168">
        <v>0</v>
      </c>
      <c r="E36" s="168">
        <v>0</v>
      </c>
      <c r="F36" s="168">
        <v>1</v>
      </c>
      <c r="G36" s="168">
        <v>0</v>
      </c>
      <c r="H36" s="168">
        <v>0</v>
      </c>
      <c r="I36" s="168">
        <v>0</v>
      </c>
      <c r="J36" s="166" t="s">
        <v>10</v>
      </c>
      <c r="K36" s="159" t="s">
        <v>33</v>
      </c>
      <c r="L36" s="141"/>
    </row>
    <row r="37" spans="1:12" ht="13.5" thickBot="1" x14ac:dyDescent="0.25">
      <c r="A37" s="141"/>
      <c r="B37" s="168">
        <f t="shared" ref="B37:I37" si="11">SUM(B35:B36)</f>
        <v>9</v>
      </c>
      <c r="C37" s="168">
        <f t="shared" si="11"/>
        <v>0</v>
      </c>
      <c r="D37" s="168">
        <f t="shared" si="11"/>
        <v>0</v>
      </c>
      <c r="E37" s="168">
        <f t="shared" si="11"/>
        <v>0</v>
      </c>
      <c r="F37" s="168">
        <f t="shared" si="11"/>
        <v>1</v>
      </c>
      <c r="G37" s="168">
        <f t="shared" si="11"/>
        <v>0</v>
      </c>
      <c r="H37" s="168">
        <f t="shared" si="11"/>
        <v>8</v>
      </c>
      <c r="I37" s="168">
        <f t="shared" si="11"/>
        <v>0</v>
      </c>
      <c r="J37" s="166" t="s">
        <v>12</v>
      </c>
      <c r="K37" s="170"/>
      <c r="L37" s="141"/>
    </row>
    <row r="38" spans="1:12" ht="13.5" thickBot="1" x14ac:dyDescent="0.25">
      <c r="A38" s="141"/>
      <c r="B38" s="154">
        <f t="shared" si="0"/>
        <v>26</v>
      </c>
      <c r="C38" s="168">
        <v>0</v>
      </c>
      <c r="D38" s="168">
        <v>0</v>
      </c>
      <c r="E38" s="168">
        <v>0</v>
      </c>
      <c r="F38" s="168">
        <v>2</v>
      </c>
      <c r="G38" s="168">
        <v>0</v>
      </c>
      <c r="H38" s="168">
        <v>24</v>
      </c>
      <c r="I38" s="168">
        <v>0</v>
      </c>
      <c r="J38" s="166" t="s">
        <v>9</v>
      </c>
      <c r="K38" s="159"/>
      <c r="L38" s="141"/>
    </row>
    <row r="39" spans="1:12" ht="13.5" thickBot="1" x14ac:dyDescent="0.25">
      <c r="A39" s="141"/>
      <c r="B39" s="154">
        <f t="shared" si="0"/>
        <v>2</v>
      </c>
      <c r="C39" s="168">
        <v>0</v>
      </c>
      <c r="D39" s="168">
        <v>0</v>
      </c>
      <c r="E39" s="168">
        <v>0</v>
      </c>
      <c r="F39" s="168">
        <v>0</v>
      </c>
      <c r="G39" s="168">
        <v>0</v>
      </c>
      <c r="H39" s="168">
        <v>2</v>
      </c>
      <c r="I39" s="168">
        <v>0</v>
      </c>
      <c r="J39" s="166" t="s">
        <v>10</v>
      </c>
      <c r="K39" s="159" t="s">
        <v>30</v>
      </c>
      <c r="L39" s="141"/>
    </row>
    <row r="40" spans="1:12" ht="13.5" thickBot="1" x14ac:dyDescent="0.25">
      <c r="A40" s="141"/>
      <c r="B40" s="168">
        <f t="shared" ref="B40:I40" si="12">SUM(B38:B39)</f>
        <v>28</v>
      </c>
      <c r="C40" s="168">
        <f t="shared" si="12"/>
        <v>0</v>
      </c>
      <c r="D40" s="168">
        <f t="shared" si="12"/>
        <v>0</v>
      </c>
      <c r="E40" s="168">
        <f t="shared" si="12"/>
        <v>0</v>
      </c>
      <c r="F40" s="168">
        <f t="shared" si="12"/>
        <v>2</v>
      </c>
      <c r="G40" s="168">
        <f t="shared" si="12"/>
        <v>0</v>
      </c>
      <c r="H40" s="168">
        <f t="shared" si="12"/>
        <v>26</v>
      </c>
      <c r="I40" s="168">
        <f t="shared" si="12"/>
        <v>0</v>
      </c>
      <c r="J40" s="166" t="s">
        <v>12</v>
      </c>
      <c r="K40" s="170"/>
      <c r="L40" s="141"/>
    </row>
    <row r="41" spans="1:12" ht="13.5" thickBot="1" x14ac:dyDescent="0.25">
      <c r="A41" s="141"/>
      <c r="B41" s="154">
        <f t="shared" si="0"/>
        <v>369</v>
      </c>
      <c r="C41" s="168">
        <v>2</v>
      </c>
      <c r="D41" s="168">
        <v>0</v>
      </c>
      <c r="E41" s="168">
        <v>12</v>
      </c>
      <c r="F41" s="168">
        <v>13</v>
      </c>
      <c r="G41" s="168">
        <v>225</v>
      </c>
      <c r="H41" s="168">
        <v>115</v>
      </c>
      <c r="I41" s="168">
        <v>2</v>
      </c>
      <c r="J41" s="166" t="s">
        <v>9</v>
      </c>
      <c r="K41" s="159"/>
      <c r="L41" s="141"/>
    </row>
    <row r="42" spans="1:12" ht="13.5" thickBot="1" x14ac:dyDescent="0.25">
      <c r="A42" s="141"/>
      <c r="B42" s="154">
        <f t="shared" si="0"/>
        <v>80</v>
      </c>
      <c r="C42" s="168">
        <v>0</v>
      </c>
      <c r="D42" s="168">
        <v>0</v>
      </c>
      <c r="E42" s="168">
        <v>2</v>
      </c>
      <c r="F42" s="168">
        <v>8</v>
      </c>
      <c r="G42" s="168">
        <v>45</v>
      </c>
      <c r="H42" s="168">
        <v>21</v>
      </c>
      <c r="I42" s="168">
        <v>4</v>
      </c>
      <c r="J42" s="166" t="s">
        <v>10</v>
      </c>
      <c r="K42" s="159" t="s">
        <v>21</v>
      </c>
      <c r="L42" s="141"/>
    </row>
    <row r="43" spans="1:12" ht="13.5" thickBot="1" x14ac:dyDescent="0.25">
      <c r="A43" s="141"/>
      <c r="B43" s="168">
        <f t="shared" ref="B43:I43" si="13">SUM(B41:B42)</f>
        <v>449</v>
      </c>
      <c r="C43" s="168">
        <f t="shared" si="13"/>
        <v>2</v>
      </c>
      <c r="D43" s="168">
        <f t="shared" si="13"/>
        <v>0</v>
      </c>
      <c r="E43" s="168">
        <f t="shared" si="13"/>
        <v>14</v>
      </c>
      <c r="F43" s="168">
        <f t="shared" si="13"/>
        <v>21</v>
      </c>
      <c r="G43" s="168">
        <f t="shared" si="13"/>
        <v>270</v>
      </c>
      <c r="H43" s="168">
        <f t="shared" si="13"/>
        <v>136</v>
      </c>
      <c r="I43" s="168">
        <f t="shared" si="13"/>
        <v>6</v>
      </c>
      <c r="J43" s="166" t="s">
        <v>12</v>
      </c>
      <c r="K43" s="170"/>
      <c r="L43" s="141"/>
    </row>
    <row r="44" spans="1:12" ht="13.5" thickBot="1" x14ac:dyDescent="0.25">
      <c r="A44" s="141"/>
      <c r="B44" s="154">
        <f t="shared" si="0"/>
        <v>147</v>
      </c>
      <c r="C44" s="168">
        <v>16</v>
      </c>
      <c r="D44" s="168">
        <v>0</v>
      </c>
      <c r="E44" s="168">
        <v>40</v>
      </c>
      <c r="F44" s="168">
        <v>34</v>
      </c>
      <c r="G44" s="168">
        <v>2</v>
      </c>
      <c r="H44" s="168">
        <v>51</v>
      </c>
      <c r="I44" s="168">
        <v>4</v>
      </c>
      <c r="J44" s="166" t="s">
        <v>9</v>
      </c>
      <c r="K44" s="159"/>
      <c r="L44" s="141"/>
    </row>
    <row r="45" spans="1:12" ht="13.5" thickBot="1" x14ac:dyDescent="0.25">
      <c r="A45" s="141"/>
      <c r="B45" s="154">
        <f t="shared" si="0"/>
        <v>53</v>
      </c>
      <c r="C45" s="168">
        <v>20</v>
      </c>
      <c r="D45" s="168">
        <v>0</v>
      </c>
      <c r="E45" s="168">
        <v>10</v>
      </c>
      <c r="F45" s="168">
        <v>14</v>
      </c>
      <c r="G45" s="168">
        <v>0</v>
      </c>
      <c r="H45" s="168">
        <v>6</v>
      </c>
      <c r="I45" s="168">
        <v>3</v>
      </c>
      <c r="J45" s="166" t="s">
        <v>10</v>
      </c>
      <c r="K45" s="159" t="s">
        <v>38</v>
      </c>
      <c r="L45" s="141"/>
    </row>
    <row r="46" spans="1:12" ht="13.5" thickBot="1" x14ac:dyDescent="0.25">
      <c r="A46" s="141"/>
      <c r="B46" s="168">
        <f t="shared" ref="B46:I46" si="14">SUM(B44:B45)</f>
        <v>200</v>
      </c>
      <c r="C46" s="168">
        <f t="shared" si="14"/>
        <v>36</v>
      </c>
      <c r="D46" s="168">
        <f t="shared" si="14"/>
        <v>0</v>
      </c>
      <c r="E46" s="168">
        <f t="shared" si="14"/>
        <v>50</v>
      </c>
      <c r="F46" s="168">
        <f t="shared" si="14"/>
        <v>48</v>
      </c>
      <c r="G46" s="168">
        <f t="shared" si="14"/>
        <v>2</v>
      </c>
      <c r="H46" s="168">
        <f t="shared" si="14"/>
        <v>57</v>
      </c>
      <c r="I46" s="168">
        <f t="shared" si="14"/>
        <v>7</v>
      </c>
      <c r="J46" s="166" t="s">
        <v>12</v>
      </c>
      <c r="K46" s="170"/>
      <c r="L46" s="141"/>
    </row>
    <row r="47" spans="1:12" ht="13.5" thickBot="1" x14ac:dyDescent="0.25">
      <c r="A47" s="141"/>
      <c r="B47" s="154">
        <f t="shared" si="0"/>
        <v>12</v>
      </c>
      <c r="C47" s="168">
        <v>0</v>
      </c>
      <c r="D47" s="168">
        <v>0</v>
      </c>
      <c r="E47" s="168">
        <v>0</v>
      </c>
      <c r="F47" s="168">
        <v>0</v>
      </c>
      <c r="G47" s="168">
        <v>0</v>
      </c>
      <c r="H47" s="168">
        <v>12</v>
      </c>
      <c r="I47" s="168">
        <v>0</v>
      </c>
      <c r="J47" s="166" t="s">
        <v>9</v>
      </c>
      <c r="K47" s="159"/>
      <c r="L47" s="141"/>
    </row>
    <row r="48" spans="1:12" ht="13.5" thickBot="1" x14ac:dyDescent="0.25">
      <c r="A48" s="141"/>
      <c r="B48" s="154">
        <f t="shared" si="0"/>
        <v>2</v>
      </c>
      <c r="C48" s="168">
        <v>0</v>
      </c>
      <c r="D48" s="168">
        <v>0</v>
      </c>
      <c r="E48" s="168">
        <v>0</v>
      </c>
      <c r="F48" s="168">
        <v>0</v>
      </c>
      <c r="G48" s="168">
        <v>0</v>
      </c>
      <c r="H48" s="168">
        <v>2</v>
      </c>
      <c r="I48" s="168">
        <v>0</v>
      </c>
      <c r="J48" s="166" t="s">
        <v>10</v>
      </c>
      <c r="K48" s="159" t="s">
        <v>22</v>
      </c>
      <c r="L48" s="141"/>
    </row>
    <row r="49" spans="1:12" ht="13.5" thickBot="1" x14ac:dyDescent="0.25">
      <c r="A49" s="141"/>
      <c r="B49" s="168">
        <f t="shared" ref="B49:I49" si="15">SUM(B47:B48)</f>
        <v>14</v>
      </c>
      <c r="C49" s="168">
        <f t="shared" si="15"/>
        <v>0</v>
      </c>
      <c r="D49" s="168">
        <f t="shared" si="15"/>
        <v>0</v>
      </c>
      <c r="E49" s="168">
        <f t="shared" si="15"/>
        <v>0</v>
      </c>
      <c r="F49" s="168">
        <f t="shared" si="15"/>
        <v>0</v>
      </c>
      <c r="G49" s="168">
        <f t="shared" si="15"/>
        <v>0</v>
      </c>
      <c r="H49" s="168">
        <f t="shared" si="15"/>
        <v>14</v>
      </c>
      <c r="I49" s="168">
        <f t="shared" si="15"/>
        <v>0</v>
      </c>
      <c r="J49" s="166" t="s">
        <v>12</v>
      </c>
      <c r="K49" s="170"/>
      <c r="L49" s="141"/>
    </row>
    <row r="50" spans="1:12" ht="13.5" thickBot="1" x14ac:dyDescent="0.25">
      <c r="A50" s="141"/>
      <c r="B50" s="154">
        <f t="shared" si="0"/>
        <v>16</v>
      </c>
      <c r="C50" s="168">
        <v>3</v>
      </c>
      <c r="D50" s="168">
        <v>0</v>
      </c>
      <c r="E50" s="168">
        <v>3</v>
      </c>
      <c r="F50" s="168">
        <v>7</v>
      </c>
      <c r="G50" s="168">
        <v>0</v>
      </c>
      <c r="H50" s="168">
        <v>3</v>
      </c>
      <c r="I50" s="168">
        <v>0</v>
      </c>
      <c r="J50" s="166" t="s">
        <v>9</v>
      </c>
      <c r="K50" s="159"/>
      <c r="L50" s="141"/>
    </row>
    <row r="51" spans="1:12" ht="13.5" thickBot="1" x14ac:dyDescent="0.25">
      <c r="A51" s="141"/>
      <c r="B51" s="154">
        <f t="shared" si="0"/>
        <v>7</v>
      </c>
      <c r="C51" s="168">
        <v>0</v>
      </c>
      <c r="D51" s="168">
        <v>0</v>
      </c>
      <c r="E51" s="168">
        <v>2</v>
      </c>
      <c r="F51" s="168">
        <v>4</v>
      </c>
      <c r="G51" s="168">
        <v>0</v>
      </c>
      <c r="H51" s="168">
        <v>1</v>
      </c>
      <c r="I51" s="168">
        <v>0</v>
      </c>
      <c r="J51" s="166" t="s">
        <v>10</v>
      </c>
      <c r="K51" s="159" t="s">
        <v>34</v>
      </c>
      <c r="L51" s="141"/>
    </row>
    <row r="52" spans="1:12" ht="13.5" thickBot="1" x14ac:dyDescent="0.25">
      <c r="A52" s="141"/>
      <c r="B52" s="168">
        <f t="shared" ref="B52:I52" si="16">SUM(B50:B51)</f>
        <v>23</v>
      </c>
      <c r="C52" s="168">
        <f t="shared" si="16"/>
        <v>3</v>
      </c>
      <c r="D52" s="168">
        <f t="shared" si="16"/>
        <v>0</v>
      </c>
      <c r="E52" s="168">
        <f t="shared" si="16"/>
        <v>5</v>
      </c>
      <c r="F52" s="168">
        <f t="shared" si="16"/>
        <v>11</v>
      </c>
      <c r="G52" s="168">
        <f t="shared" si="16"/>
        <v>0</v>
      </c>
      <c r="H52" s="168">
        <f t="shared" si="16"/>
        <v>4</v>
      </c>
      <c r="I52" s="168">
        <f t="shared" si="16"/>
        <v>0</v>
      </c>
      <c r="J52" s="166" t="s">
        <v>12</v>
      </c>
      <c r="K52" s="170"/>
      <c r="L52" s="141"/>
    </row>
    <row r="53" spans="1:12" ht="13.5" thickBot="1" x14ac:dyDescent="0.25">
      <c r="A53" s="141"/>
      <c r="B53" s="154">
        <f t="shared" si="0"/>
        <v>266</v>
      </c>
      <c r="C53" s="168">
        <v>51</v>
      </c>
      <c r="D53" s="168">
        <v>180</v>
      </c>
      <c r="E53" s="168">
        <v>5</v>
      </c>
      <c r="F53" s="168">
        <v>5</v>
      </c>
      <c r="G53" s="168">
        <v>1</v>
      </c>
      <c r="H53" s="168">
        <v>7</v>
      </c>
      <c r="I53" s="168">
        <v>17</v>
      </c>
      <c r="J53" s="166" t="s">
        <v>9</v>
      </c>
      <c r="K53" s="159"/>
      <c r="L53" s="141"/>
    </row>
    <row r="54" spans="1:12" ht="13.5" thickBot="1" x14ac:dyDescent="0.25">
      <c r="A54" s="141"/>
      <c r="B54" s="154">
        <f t="shared" si="0"/>
        <v>66</v>
      </c>
      <c r="C54" s="168">
        <v>0</v>
      </c>
      <c r="D54" s="168">
        <v>46</v>
      </c>
      <c r="E54" s="168">
        <v>2</v>
      </c>
      <c r="F54" s="168">
        <v>5</v>
      </c>
      <c r="G54" s="168">
        <v>3</v>
      </c>
      <c r="H54" s="168">
        <v>3</v>
      </c>
      <c r="I54" s="168">
        <v>7</v>
      </c>
      <c r="J54" s="166" t="s">
        <v>10</v>
      </c>
      <c r="K54" s="159" t="s">
        <v>39</v>
      </c>
      <c r="L54" s="141"/>
    </row>
    <row r="55" spans="1:12" ht="13.5" thickBot="1" x14ac:dyDescent="0.25">
      <c r="A55" s="141"/>
      <c r="B55" s="168">
        <f t="shared" ref="B55:I55" si="17">SUM(B53:B54)</f>
        <v>332</v>
      </c>
      <c r="C55" s="168">
        <f t="shared" si="17"/>
        <v>51</v>
      </c>
      <c r="D55" s="168">
        <f t="shared" si="17"/>
        <v>226</v>
      </c>
      <c r="E55" s="168">
        <f t="shared" si="17"/>
        <v>7</v>
      </c>
      <c r="F55" s="168">
        <f t="shared" si="17"/>
        <v>10</v>
      </c>
      <c r="G55" s="168">
        <f t="shared" si="17"/>
        <v>4</v>
      </c>
      <c r="H55" s="168">
        <f t="shared" si="17"/>
        <v>10</v>
      </c>
      <c r="I55" s="168">
        <f t="shared" si="17"/>
        <v>24</v>
      </c>
      <c r="J55" s="166" t="s">
        <v>12</v>
      </c>
      <c r="K55" s="170"/>
      <c r="L55" s="141"/>
    </row>
    <row r="56" spans="1:12" ht="13.5" thickBot="1" x14ac:dyDescent="0.25">
      <c r="A56" s="141"/>
      <c r="B56" s="154">
        <f t="shared" si="0"/>
        <v>1</v>
      </c>
      <c r="C56" s="168">
        <v>0</v>
      </c>
      <c r="D56" s="168">
        <v>0</v>
      </c>
      <c r="E56" s="168">
        <v>0</v>
      </c>
      <c r="F56" s="168">
        <v>1</v>
      </c>
      <c r="G56" s="168">
        <v>0</v>
      </c>
      <c r="H56" s="168">
        <v>0</v>
      </c>
      <c r="I56" s="168">
        <v>0</v>
      </c>
      <c r="J56" s="166" t="s">
        <v>9</v>
      </c>
      <c r="K56" s="159"/>
      <c r="L56" s="141"/>
    </row>
    <row r="57" spans="1:12" ht="13.5" thickBot="1" x14ac:dyDescent="0.25">
      <c r="A57" s="141"/>
      <c r="B57" s="154">
        <f t="shared" si="0"/>
        <v>1</v>
      </c>
      <c r="C57" s="168">
        <v>0</v>
      </c>
      <c r="D57" s="168">
        <v>1</v>
      </c>
      <c r="E57" s="168">
        <v>0</v>
      </c>
      <c r="F57" s="168">
        <v>0</v>
      </c>
      <c r="G57" s="168">
        <v>0</v>
      </c>
      <c r="H57" s="168">
        <v>0</v>
      </c>
      <c r="I57" s="168">
        <v>0</v>
      </c>
      <c r="J57" s="166" t="s">
        <v>10</v>
      </c>
      <c r="K57" s="159" t="s">
        <v>35</v>
      </c>
      <c r="L57" s="141"/>
    </row>
    <row r="58" spans="1:12" ht="13.5" thickBot="1" x14ac:dyDescent="0.25">
      <c r="A58" s="141"/>
      <c r="B58" s="168">
        <f t="shared" ref="B58:I58" si="18">SUM(B56:B57)</f>
        <v>2</v>
      </c>
      <c r="C58" s="168">
        <f t="shared" si="18"/>
        <v>0</v>
      </c>
      <c r="D58" s="168">
        <f t="shared" si="18"/>
        <v>1</v>
      </c>
      <c r="E58" s="168">
        <f t="shared" si="18"/>
        <v>0</v>
      </c>
      <c r="F58" s="168">
        <f t="shared" si="18"/>
        <v>1</v>
      </c>
      <c r="G58" s="168">
        <f t="shared" si="18"/>
        <v>0</v>
      </c>
      <c r="H58" s="168">
        <f t="shared" si="18"/>
        <v>0</v>
      </c>
      <c r="I58" s="168">
        <f t="shared" si="18"/>
        <v>0</v>
      </c>
      <c r="J58" s="166" t="s">
        <v>12</v>
      </c>
      <c r="K58" s="170"/>
      <c r="L58" s="141"/>
    </row>
    <row r="59" spans="1:12" ht="13.5" thickBot="1" x14ac:dyDescent="0.25">
      <c r="A59" s="141"/>
      <c r="B59" s="154">
        <f t="shared" si="0"/>
        <v>224</v>
      </c>
      <c r="C59" s="168">
        <v>4</v>
      </c>
      <c r="D59" s="168">
        <v>2</v>
      </c>
      <c r="E59" s="168">
        <v>6</v>
      </c>
      <c r="F59" s="168">
        <v>47</v>
      </c>
      <c r="G59" s="168">
        <v>0</v>
      </c>
      <c r="H59" s="168">
        <v>153</v>
      </c>
      <c r="I59" s="168">
        <v>12</v>
      </c>
      <c r="J59" s="166" t="s">
        <v>9</v>
      </c>
      <c r="K59" s="159"/>
      <c r="L59" s="141"/>
    </row>
    <row r="60" spans="1:12" ht="13.5" thickBot="1" x14ac:dyDescent="0.25">
      <c r="A60" s="141"/>
      <c r="B60" s="154">
        <f t="shared" si="0"/>
        <v>31</v>
      </c>
      <c r="C60" s="168">
        <v>2</v>
      </c>
      <c r="D60" s="168">
        <v>0</v>
      </c>
      <c r="E60" s="168">
        <v>1</v>
      </c>
      <c r="F60" s="168">
        <v>9</v>
      </c>
      <c r="G60" s="168">
        <v>10</v>
      </c>
      <c r="H60" s="168">
        <v>9</v>
      </c>
      <c r="I60" s="168">
        <v>0</v>
      </c>
      <c r="J60" s="166" t="s">
        <v>10</v>
      </c>
      <c r="K60" s="159" t="s">
        <v>23</v>
      </c>
      <c r="L60" s="141"/>
    </row>
    <row r="61" spans="1:12" ht="13.5" thickBot="1" x14ac:dyDescent="0.25">
      <c r="A61" s="141"/>
      <c r="B61" s="168">
        <f t="shared" ref="B61:I61" si="19">SUM(B59:B60)</f>
        <v>255</v>
      </c>
      <c r="C61" s="168">
        <f t="shared" si="19"/>
        <v>6</v>
      </c>
      <c r="D61" s="168">
        <f t="shared" si="19"/>
        <v>2</v>
      </c>
      <c r="E61" s="168">
        <f t="shared" si="19"/>
        <v>7</v>
      </c>
      <c r="F61" s="168">
        <f t="shared" si="19"/>
        <v>56</v>
      </c>
      <c r="G61" s="168">
        <f t="shared" si="19"/>
        <v>10</v>
      </c>
      <c r="H61" s="168">
        <f t="shared" si="19"/>
        <v>162</v>
      </c>
      <c r="I61" s="168">
        <f t="shared" si="19"/>
        <v>12</v>
      </c>
      <c r="J61" s="166" t="s">
        <v>12</v>
      </c>
      <c r="K61" s="170"/>
      <c r="L61" s="141"/>
    </row>
    <row r="62" spans="1:12" ht="13.5" thickBot="1" x14ac:dyDescent="0.25">
      <c r="A62" s="141"/>
      <c r="B62" s="154">
        <f t="shared" ref="B62:B69" si="20">SUM(C62:I62)</f>
        <v>22</v>
      </c>
      <c r="C62" s="168">
        <v>1</v>
      </c>
      <c r="D62" s="168">
        <v>0</v>
      </c>
      <c r="E62" s="168">
        <v>2</v>
      </c>
      <c r="F62" s="168">
        <v>3</v>
      </c>
      <c r="G62" s="168">
        <v>1</v>
      </c>
      <c r="H62" s="168">
        <v>15</v>
      </c>
      <c r="I62" s="168">
        <v>0</v>
      </c>
      <c r="J62" s="166" t="s">
        <v>9</v>
      </c>
      <c r="K62" s="159"/>
      <c r="L62" s="141"/>
    </row>
    <row r="63" spans="1:12" ht="13.5" thickBot="1" x14ac:dyDescent="0.25">
      <c r="A63" s="141"/>
      <c r="B63" s="154">
        <f t="shared" si="20"/>
        <v>11</v>
      </c>
      <c r="C63" s="168">
        <v>0</v>
      </c>
      <c r="D63" s="168">
        <v>0</v>
      </c>
      <c r="E63" s="168">
        <v>2</v>
      </c>
      <c r="F63" s="168">
        <v>2</v>
      </c>
      <c r="G63" s="168">
        <v>0</v>
      </c>
      <c r="H63" s="168">
        <v>7</v>
      </c>
      <c r="I63" s="168">
        <v>0</v>
      </c>
      <c r="J63" s="166" t="s">
        <v>10</v>
      </c>
      <c r="K63" s="159" t="s">
        <v>24</v>
      </c>
      <c r="L63" s="141"/>
    </row>
    <row r="64" spans="1:12" ht="13.5" thickBot="1" x14ac:dyDescent="0.25">
      <c r="A64" s="141"/>
      <c r="B64" s="168">
        <f t="shared" ref="B64:I64" si="21">SUM(B62:B63)</f>
        <v>33</v>
      </c>
      <c r="C64" s="168">
        <f t="shared" si="21"/>
        <v>1</v>
      </c>
      <c r="D64" s="168">
        <f t="shared" si="21"/>
        <v>0</v>
      </c>
      <c r="E64" s="168">
        <f t="shared" si="21"/>
        <v>4</v>
      </c>
      <c r="F64" s="168">
        <f t="shared" si="21"/>
        <v>5</v>
      </c>
      <c r="G64" s="168">
        <f t="shared" si="21"/>
        <v>1</v>
      </c>
      <c r="H64" s="168">
        <f t="shared" si="21"/>
        <v>22</v>
      </c>
      <c r="I64" s="168">
        <f t="shared" si="21"/>
        <v>0</v>
      </c>
      <c r="J64" s="166" t="s">
        <v>12</v>
      </c>
      <c r="K64" s="170"/>
      <c r="L64" s="141"/>
    </row>
    <row r="65" spans="1:12" ht="13.5" thickBot="1" x14ac:dyDescent="0.25">
      <c r="A65" s="141"/>
      <c r="B65" s="154">
        <f t="shared" si="20"/>
        <v>25</v>
      </c>
      <c r="C65" s="168">
        <v>0</v>
      </c>
      <c r="D65" s="168">
        <v>0</v>
      </c>
      <c r="E65" s="168">
        <v>0</v>
      </c>
      <c r="F65" s="168">
        <v>11</v>
      </c>
      <c r="G65" s="168">
        <v>0</v>
      </c>
      <c r="H65" s="168">
        <v>12</v>
      </c>
      <c r="I65" s="168">
        <v>2</v>
      </c>
      <c r="J65" s="166" t="s">
        <v>9</v>
      </c>
      <c r="K65" s="159"/>
      <c r="L65" s="141"/>
    </row>
    <row r="66" spans="1:12" ht="13.5" thickBot="1" x14ac:dyDescent="0.25">
      <c r="A66" s="141"/>
      <c r="B66" s="154">
        <f t="shared" si="20"/>
        <v>5</v>
      </c>
      <c r="C66" s="168">
        <v>0</v>
      </c>
      <c r="D66" s="168">
        <v>0</v>
      </c>
      <c r="E66" s="168">
        <v>0</v>
      </c>
      <c r="F66" s="168">
        <v>2</v>
      </c>
      <c r="G66" s="168">
        <v>0</v>
      </c>
      <c r="H66" s="168">
        <v>3</v>
      </c>
      <c r="I66" s="168">
        <v>0</v>
      </c>
      <c r="J66" s="166" t="s">
        <v>10</v>
      </c>
      <c r="K66" s="159" t="s">
        <v>25</v>
      </c>
      <c r="L66" s="141"/>
    </row>
    <row r="67" spans="1:12" ht="13.5" thickBot="1" x14ac:dyDescent="0.25">
      <c r="A67" s="141"/>
      <c r="B67" s="168">
        <f t="shared" ref="B67:I67" si="22">SUM(B65:B66)</f>
        <v>30</v>
      </c>
      <c r="C67" s="168">
        <f t="shared" si="22"/>
        <v>0</v>
      </c>
      <c r="D67" s="168">
        <f t="shared" si="22"/>
        <v>0</v>
      </c>
      <c r="E67" s="168">
        <f t="shared" si="22"/>
        <v>0</v>
      </c>
      <c r="F67" s="168">
        <f t="shared" si="22"/>
        <v>13</v>
      </c>
      <c r="G67" s="168">
        <f t="shared" si="22"/>
        <v>0</v>
      </c>
      <c r="H67" s="168">
        <f t="shared" si="22"/>
        <v>15</v>
      </c>
      <c r="I67" s="168">
        <f t="shared" si="22"/>
        <v>2</v>
      </c>
      <c r="J67" s="166" t="s">
        <v>12</v>
      </c>
      <c r="K67" s="170"/>
      <c r="L67" s="141"/>
    </row>
    <row r="68" spans="1:12" ht="13.5" thickBot="1" x14ac:dyDescent="0.25">
      <c r="A68" s="141"/>
      <c r="B68" s="154">
        <f t="shared" si="20"/>
        <v>146</v>
      </c>
      <c r="C68" s="168">
        <v>2</v>
      </c>
      <c r="D68" s="168">
        <v>0</v>
      </c>
      <c r="E68" s="168">
        <v>0</v>
      </c>
      <c r="F68" s="168">
        <v>96</v>
      </c>
      <c r="G68" s="168">
        <v>0</v>
      </c>
      <c r="H68" s="168">
        <v>48</v>
      </c>
      <c r="I68" s="168">
        <v>0</v>
      </c>
      <c r="J68" s="166" t="s">
        <v>9</v>
      </c>
      <c r="K68" s="159"/>
      <c r="L68" s="141"/>
    </row>
    <row r="69" spans="1:12" ht="13.5" thickBot="1" x14ac:dyDescent="0.25">
      <c r="A69" s="141"/>
      <c r="B69" s="154">
        <f t="shared" si="20"/>
        <v>12</v>
      </c>
      <c r="C69" s="168">
        <v>0</v>
      </c>
      <c r="D69" s="168">
        <v>1</v>
      </c>
      <c r="E69" s="168">
        <v>0</v>
      </c>
      <c r="F69" s="168">
        <v>9</v>
      </c>
      <c r="G69" s="168">
        <v>0</v>
      </c>
      <c r="H69" s="168">
        <v>2</v>
      </c>
      <c r="I69" s="168">
        <v>0</v>
      </c>
      <c r="J69" s="166" t="s">
        <v>10</v>
      </c>
      <c r="K69" s="159" t="s">
        <v>31</v>
      </c>
      <c r="L69" s="141"/>
    </row>
    <row r="70" spans="1:12" ht="13.5" thickBot="1" x14ac:dyDescent="0.25">
      <c r="A70" s="141"/>
      <c r="B70" s="168">
        <f t="shared" ref="B70:I70" si="23">SUM(B68:B69)</f>
        <v>158</v>
      </c>
      <c r="C70" s="168">
        <f t="shared" si="23"/>
        <v>2</v>
      </c>
      <c r="D70" s="168">
        <f t="shared" si="23"/>
        <v>1</v>
      </c>
      <c r="E70" s="168">
        <f t="shared" si="23"/>
        <v>0</v>
      </c>
      <c r="F70" s="168">
        <f t="shared" si="23"/>
        <v>105</v>
      </c>
      <c r="G70" s="168">
        <f t="shared" si="23"/>
        <v>0</v>
      </c>
      <c r="H70" s="168">
        <f t="shared" si="23"/>
        <v>50</v>
      </c>
      <c r="I70" s="168">
        <f t="shared" si="23"/>
        <v>0</v>
      </c>
      <c r="J70" s="166" t="s">
        <v>12</v>
      </c>
      <c r="K70" s="170"/>
      <c r="L70" s="141"/>
    </row>
    <row r="71" spans="1:12" ht="13.5" thickBot="1" x14ac:dyDescent="0.25">
      <c r="A71" s="141"/>
      <c r="B71" s="154">
        <f t="shared" ref="B71:I73" si="24">B5+B8+B11+B14+B17+B20+B23+B26+B29+B32+B35+B38+B41+B44+B47+B50+B53+B56+B59+B62+B65+B68</f>
        <v>1431</v>
      </c>
      <c r="C71" s="154">
        <f t="shared" si="24"/>
        <v>80</v>
      </c>
      <c r="D71" s="154">
        <f t="shared" si="24"/>
        <v>184</v>
      </c>
      <c r="E71" s="154">
        <f t="shared" si="24"/>
        <v>71</v>
      </c>
      <c r="F71" s="154">
        <f t="shared" si="24"/>
        <v>232</v>
      </c>
      <c r="G71" s="154">
        <f t="shared" si="24"/>
        <v>231</v>
      </c>
      <c r="H71" s="154">
        <f t="shared" si="24"/>
        <v>516</v>
      </c>
      <c r="I71" s="154">
        <f>I5+I8+I11+I14+I17+I20+I23+I26+I29+I32+I35+I38+I41+I44+I47+I50+I53+I56+I59+I62+I65+I68</f>
        <v>117</v>
      </c>
      <c r="J71" s="166" t="s">
        <v>9</v>
      </c>
      <c r="K71" s="167"/>
      <c r="L71" s="141"/>
    </row>
    <row r="72" spans="1:12" ht="13.5" thickBot="1" x14ac:dyDescent="0.25">
      <c r="A72" s="141"/>
      <c r="B72" s="154">
        <f t="shared" si="24"/>
        <v>373</v>
      </c>
      <c r="C72" s="154">
        <f t="shared" si="24"/>
        <v>22</v>
      </c>
      <c r="D72" s="154">
        <f t="shared" si="24"/>
        <v>48</v>
      </c>
      <c r="E72" s="154">
        <f t="shared" si="24"/>
        <v>19</v>
      </c>
      <c r="F72" s="154">
        <f t="shared" si="24"/>
        <v>60</v>
      </c>
      <c r="G72" s="154">
        <f t="shared" si="24"/>
        <v>60</v>
      </c>
      <c r="H72" s="154">
        <f t="shared" si="24"/>
        <v>134</v>
      </c>
      <c r="I72" s="154">
        <f t="shared" si="24"/>
        <v>30</v>
      </c>
      <c r="J72" s="166" t="s">
        <v>10</v>
      </c>
      <c r="K72" s="169" t="s">
        <v>188</v>
      </c>
      <c r="L72" s="141"/>
    </row>
    <row r="73" spans="1:12" ht="13.5" thickBot="1" x14ac:dyDescent="0.25">
      <c r="A73" s="141"/>
      <c r="B73" s="154">
        <f t="shared" si="24"/>
        <v>1804</v>
      </c>
      <c r="C73" s="154">
        <f t="shared" si="24"/>
        <v>102</v>
      </c>
      <c r="D73" s="154">
        <f t="shared" si="24"/>
        <v>232</v>
      </c>
      <c r="E73" s="154">
        <f t="shared" si="24"/>
        <v>90</v>
      </c>
      <c r="F73" s="154">
        <f t="shared" si="24"/>
        <v>292</v>
      </c>
      <c r="G73" s="154">
        <f t="shared" si="24"/>
        <v>291</v>
      </c>
      <c r="H73" s="154">
        <f t="shared" si="24"/>
        <v>650</v>
      </c>
      <c r="I73" s="154">
        <f t="shared" si="24"/>
        <v>147</v>
      </c>
      <c r="J73" s="166" t="s">
        <v>12</v>
      </c>
      <c r="K73" s="153"/>
      <c r="L73" s="141"/>
    </row>
  </sheetData>
  <mergeCells count="2">
    <mergeCell ref="B2:K2"/>
    <mergeCell ref="B3:K3"/>
  </mergeCells>
  <printOptions horizontalCentered="1" verticalCentered="1"/>
  <pageMargins left="0.4" right="0.4" top="0" bottom="0" header="0.8" footer="0.8"/>
  <pageSetup paperSize="9" scale="98" orientation="landscape" r:id="rId1"/>
  <headerFooter alignWithMargins="0"/>
  <rowBreaks count="1" manualBreakCount="1">
    <brk id="37" max="1638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73"/>
  <sheetViews>
    <sheetView showGridLines="0" view="pageBreakPreview" topLeftCell="A40" zoomScale="87" zoomScaleNormal="100" zoomScaleSheetLayoutView="87" workbookViewId="0">
      <selection activeCell="L57" sqref="L57"/>
    </sheetView>
  </sheetViews>
  <sheetFormatPr defaultRowHeight="12.75" x14ac:dyDescent="0.2"/>
  <cols>
    <col min="1" max="1" width="6" style="142" customWidth="1"/>
    <col min="2" max="10" width="9.625" style="142" customWidth="1"/>
    <col min="11" max="11" width="24" style="142" customWidth="1"/>
    <col min="12" max="12" width="3.625" style="142" customWidth="1"/>
    <col min="13" max="16384" width="9" style="142"/>
  </cols>
  <sheetData>
    <row r="1" spans="1:12" ht="0.95" customHeight="1" x14ac:dyDescent="0.2">
      <c r="A1" s="141"/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</row>
    <row r="2" spans="1:12" ht="20.100000000000001" customHeight="1" x14ac:dyDescent="0.2">
      <c r="A2" s="141"/>
      <c r="B2" s="593" t="s">
        <v>896</v>
      </c>
      <c r="C2" s="594"/>
      <c r="D2" s="594"/>
      <c r="E2" s="594"/>
      <c r="F2" s="594"/>
      <c r="G2" s="594"/>
      <c r="H2" s="594"/>
      <c r="I2" s="594"/>
      <c r="J2" s="594"/>
      <c r="K2" s="594"/>
      <c r="L2" s="141"/>
    </row>
    <row r="3" spans="1:12" ht="20.100000000000001" customHeight="1" thickBot="1" x14ac:dyDescent="0.25">
      <c r="A3" s="141"/>
      <c r="B3" s="595" t="s">
        <v>897</v>
      </c>
      <c r="C3" s="595"/>
      <c r="D3" s="595"/>
      <c r="E3" s="595"/>
      <c r="F3" s="595"/>
      <c r="G3" s="595"/>
      <c r="H3" s="595"/>
      <c r="I3" s="595"/>
      <c r="J3" s="595"/>
      <c r="K3" s="595"/>
      <c r="L3" s="141"/>
    </row>
    <row r="4" spans="1:12" ht="13.5" thickBot="1" x14ac:dyDescent="0.25">
      <c r="A4" s="141"/>
      <c r="B4" s="166" t="s">
        <v>244</v>
      </c>
      <c r="C4" s="166" t="s">
        <v>53</v>
      </c>
      <c r="D4" s="166" t="s">
        <v>58</v>
      </c>
      <c r="E4" s="166" t="s">
        <v>56</v>
      </c>
      <c r="F4" s="166" t="s">
        <v>57</v>
      </c>
      <c r="G4" s="166" t="s">
        <v>59</v>
      </c>
      <c r="H4" s="166" t="s">
        <v>60</v>
      </c>
      <c r="I4" s="166" t="s">
        <v>61</v>
      </c>
      <c r="J4" s="167" t="s">
        <v>7</v>
      </c>
      <c r="K4" s="152" t="s">
        <v>895</v>
      </c>
      <c r="L4" s="141"/>
    </row>
    <row r="5" spans="1:12" ht="13.5" thickBot="1" x14ac:dyDescent="0.25">
      <c r="A5" s="141"/>
      <c r="B5" s="154">
        <f>SUM(C5:I5)</f>
        <v>1</v>
      </c>
      <c r="C5" s="168">
        <v>0</v>
      </c>
      <c r="D5" s="168">
        <v>0</v>
      </c>
      <c r="E5" s="168">
        <v>0</v>
      </c>
      <c r="F5" s="168">
        <v>0</v>
      </c>
      <c r="G5" s="168">
        <v>0</v>
      </c>
      <c r="H5" s="168">
        <v>1</v>
      </c>
      <c r="I5" s="168">
        <v>0</v>
      </c>
      <c r="J5" s="166" t="s">
        <v>9</v>
      </c>
      <c r="K5" s="159"/>
      <c r="L5" s="141"/>
    </row>
    <row r="6" spans="1:12" ht="13.5" thickBot="1" x14ac:dyDescent="0.25">
      <c r="A6" s="141"/>
      <c r="B6" s="154">
        <f t="shared" ref="B6:B60" si="0">SUM(C6:I6)</f>
        <v>1</v>
      </c>
      <c r="C6" s="168">
        <v>0</v>
      </c>
      <c r="D6" s="168">
        <v>0</v>
      </c>
      <c r="E6" s="168">
        <v>0</v>
      </c>
      <c r="F6" s="168">
        <v>0</v>
      </c>
      <c r="G6" s="168">
        <v>0</v>
      </c>
      <c r="H6" s="168">
        <v>1</v>
      </c>
      <c r="I6" s="168">
        <v>0</v>
      </c>
      <c r="J6" s="166" t="s">
        <v>10</v>
      </c>
      <c r="K6" s="159" t="s">
        <v>11</v>
      </c>
      <c r="L6" s="141"/>
    </row>
    <row r="7" spans="1:12" ht="13.5" thickBot="1" x14ac:dyDescent="0.25">
      <c r="A7" s="141"/>
      <c r="B7" s="154">
        <f t="shared" ref="B7:H7" si="1">SUM(B5:B6)</f>
        <v>2</v>
      </c>
      <c r="C7" s="168">
        <f t="shared" si="1"/>
        <v>0</v>
      </c>
      <c r="D7" s="168">
        <f t="shared" si="1"/>
        <v>0</v>
      </c>
      <c r="E7" s="168">
        <f t="shared" si="1"/>
        <v>0</v>
      </c>
      <c r="F7" s="168">
        <f t="shared" si="1"/>
        <v>0</v>
      </c>
      <c r="G7" s="168">
        <f t="shared" si="1"/>
        <v>0</v>
      </c>
      <c r="H7" s="168">
        <f t="shared" si="1"/>
        <v>2</v>
      </c>
      <c r="I7" s="168">
        <f>SUM(I5:I6)</f>
        <v>0</v>
      </c>
      <c r="J7" s="166" t="s">
        <v>12</v>
      </c>
      <c r="K7" s="170"/>
      <c r="L7" s="141"/>
    </row>
    <row r="8" spans="1:12" ht="13.5" thickBot="1" x14ac:dyDescent="0.25">
      <c r="A8" s="141"/>
      <c r="B8" s="154">
        <f t="shared" si="0"/>
        <v>2</v>
      </c>
      <c r="C8" s="168">
        <v>0</v>
      </c>
      <c r="D8" s="168">
        <v>0</v>
      </c>
      <c r="E8" s="168">
        <v>0</v>
      </c>
      <c r="F8" s="168">
        <v>0</v>
      </c>
      <c r="G8" s="168">
        <v>0</v>
      </c>
      <c r="H8" s="168">
        <v>2</v>
      </c>
      <c r="I8" s="168">
        <v>0</v>
      </c>
      <c r="J8" s="166" t="s">
        <v>9</v>
      </c>
      <c r="K8" s="159"/>
      <c r="L8" s="141"/>
    </row>
    <row r="9" spans="1:12" ht="13.5" thickBot="1" x14ac:dyDescent="0.25">
      <c r="A9" s="141"/>
      <c r="B9" s="154">
        <f t="shared" si="0"/>
        <v>0</v>
      </c>
      <c r="C9" s="168">
        <v>0</v>
      </c>
      <c r="D9" s="168">
        <v>0</v>
      </c>
      <c r="E9" s="168">
        <v>0</v>
      </c>
      <c r="F9" s="168">
        <v>0</v>
      </c>
      <c r="G9" s="168">
        <v>0</v>
      </c>
      <c r="H9" s="168">
        <v>0</v>
      </c>
      <c r="I9" s="168">
        <v>0</v>
      </c>
      <c r="J9" s="166" t="s">
        <v>10</v>
      </c>
      <c r="K9" s="159" t="s">
        <v>13</v>
      </c>
      <c r="L9" s="141"/>
    </row>
    <row r="10" spans="1:12" ht="13.5" thickBot="1" x14ac:dyDescent="0.25">
      <c r="A10" s="141"/>
      <c r="B10" s="154">
        <f t="shared" ref="B10:I10" si="2">SUM(B8:B9)</f>
        <v>2</v>
      </c>
      <c r="C10" s="168">
        <f t="shared" si="2"/>
        <v>0</v>
      </c>
      <c r="D10" s="168">
        <f t="shared" si="2"/>
        <v>0</v>
      </c>
      <c r="E10" s="168">
        <f t="shared" si="2"/>
        <v>0</v>
      </c>
      <c r="F10" s="168">
        <f t="shared" si="2"/>
        <v>0</v>
      </c>
      <c r="G10" s="168">
        <f t="shared" si="2"/>
        <v>0</v>
      </c>
      <c r="H10" s="168">
        <f t="shared" si="2"/>
        <v>2</v>
      </c>
      <c r="I10" s="168">
        <f t="shared" si="2"/>
        <v>0</v>
      </c>
      <c r="J10" s="166" t="s">
        <v>12</v>
      </c>
      <c r="K10" s="170"/>
      <c r="L10" s="141"/>
    </row>
    <row r="11" spans="1:12" ht="13.5" thickBot="1" x14ac:dyDescent="0.25">
      <c r="A11" s="141"/>
      <c r="B11" s="154">
        <f t="shared" si="0"/>
        <v>100</v>
      </c>
      <c r="C11" s="168">
        <v>0</v>
      </c>
      <c r="D11" s="168">
        <v>0</v>
      </c>
      <c r="E11" s="168">
        <v>0</v>
      </c>
      <c r="F11" s="168">
        <v>1</v>
      </c>
      <c r="G11" s="168">
        <v>0</v>
      </c>
      <c r="H11" s="168">
        <v>21</v>
      </c>
      <c r="I11" s="168">
        <v>78</v>
      </c>
      <c r="J11" s="166" t="s">
        <v>9</v>
      </c>
      <c r="K11" s="159"/>
      <c r="L11" s="141"/>
    </row>
    <row r="12" spans="1:12" ht="13.5" thickBot="1" x14ac:dyDescent="0.25">
      <c r="A12" s="141"/>
      <c r="B12" s="154">
        <f t="shared" si="0"/>
        <v>67</v>
      </c>
      <c r="C12" s="168">
        <v>0</v>
      </c>
      <c r="D12" s="168">
        <v>0</v>
      </c>
      <c r="E12" s="168">
        <v>0</v>
      </c>
      <c r="F12" s="168">
        <v>0</v>
      </c>
      <c r="G12" s="168">
        <v>0</v>
      </c>
      <c r="H12" s="168">
        <v>51</v>
      </c>
      <c r="I12" s="168">
        <v>16</v>
      </c>
      <c r="J12" s="166" t="s">
        <v>10</v>
      </c>
      <c r="K12" s="159" t="s">
        <v>14</v>
      </c>
      <c r="L12" s="141"/>
    </row>
    <row r="13" spans="1:12" ht="13.5" thickBot="1" x14ac:dyDescent="0.25">
      <c r="A13" s="141"/>
      <c r="B13" s="154">
        <f t="shared" ref="B13:I13" si="3">SUM(B11:B12)</f>
        <v>167</v>
      </c>
      <c r="C13" s="168">
        <f t="shared" si="3"/>
        <v>0</v>
      </c>
      <c r="D13" s="168">
        <f t="shared" si="3"/>
        <v>0</v>
      </c>
      <c r="E13" s="168">
        <f t="shared" si="3"/>
        <v>0</v>
      </c>
      <c r="F13" s="168">
        <f t="shared" si="3"/>
        <v>1</v>
      </c>
      <c r="G13" s="168">
        <f t="shared" si="3"/>
        <v>0</v>
      </c>
      <c r="H13" s="168">
        <f t="shared" si="3"/>
        <v>72</v>
      </c>
      <c r="I13" s="168">
        <f t="shared" si="3"/>
        <v>94</v>
      </c>
      <c r="J13" s="166" t="s">
        <v>12</v>
      </c>
      <c r="K13" s="170"/>
      <c r="L13" s="141"/>
    </row>
    <row r="14" spans="1:12" ht="13.5" thickBot="1" x14ac:dyDescent="0.25">
      <c r="A14" s="141"/>
      <c r="B14" s="154">
        <f t="shared" si="0"/>
        <v>1</v>
      </c>
      <c r="C14" s="168">
        <v>0</v>
      </c>
      <c r="D14" s="168">
        <v>0</v>
      </c>
      <c r="E14" s="168">
        <v>0</v>
      </c>
      <c r="F14" s="168">
        <v>0</v>
      </c>
      <c r="G14" s="168">
        <v>0</v>
      </c>
      <c r="H14" s="168">
        <v>1</v>
      </c>
      <c r="I14" s="168">
        <v>0</v>
      </c>
      <c r="J14" s="166" t="s">
        <v>9</v>
      </c>
      <c r="K14" s="159"/>
      <c r="L14" s="141"/>
    </row>
    <row r="15" spans="1:12" ht="13.5" thickBot="1" x14ac:dyDescent="0.25">
      <c r="A15" s="141"/>
      <c r="B15" s="154">
        <f t="shared" si="0"/>
        <v>1</v>
      </c>
      <c r="C15" s="168">
        <v>0</v>
      </c>
      <c r="D15" s="168">
        <v>0</v>
      </c>
      <c r="E15" s="168">
        <v>0</v>
      </c>
      <c r="F15" s="168">
        <v>0</v>
      </c>
      <c r="G15" s="168">
        <v>0</v>
      </c>
      <c r="H15" s="168">
        <v>1</v>
      </c>
      <c r="I15" s="168">
        <v>0</v>
      </c>
      <c r="J15" s="166" t="s">
        <v>10</v>
      </c>
      <c r="K15" s="159" t="s">
        <v>15</v>
      </c>
      <c r="L15" s="141"/>
    </row>
    <row r="16" spans="1:12" ht="13.5" thickBot="1" x14ac:dyDescent="0.25">
      <c r="A16" s="141"/>
      <c r="B16" s="154">
        <f t="shared" ref="B16:I16" si="4">SUM(B14:B15)</f>
        <v>2</v>
      </c>
      <c r="C16" s="168">
        <f t="shared" si="4"/>
        <v>0</v>
      </c>
      <c r="D16" s="168">
        <f t="shared" si="4"/>
        <v>0</v>
      </c>
      <c r="E16" s="168">
        <f t="shared" si="4"/>
        <v>0</v>
      </c>
      <c r="F16" s="168">
        <f t="shared" si="4"/>
        <v>0</v>
      </c>
      <c r="G16" s="168">
        <f t="shared" si="4"/>
        <v>0</v>
      </c>
      <c r="H16" s="168">
        <f t="shared" si="4"/>
        <v>2</v>
      </c>
      <c r="I16" s="168">
        <f t="shared" si="4"/>
        <v>0</v>
      </c>
      <c r="J16" s="166" t="s">
        <v>12</v>
      </c>
      <c r="K16" s="170"/>
      <c r="L16" s="141"/>
    </row>
    <row r="17" spans="1:12" ht="13.5" thickBot="1" x14ac:dyDescent="0.25">
      <c r="A17" s="141"/>
      <c r="B17" s="154">
        <f t="shared" si="0"/>
        <v>1</v>
      </c>
      <c r="C17" s="168">
        <v>0</v>
      </c>
      <c r="D17" s="168">
        <v>0</v>
      </c>
      <c r="E17" s="168">
        <v>0</v>
      </c>
      <c r="F17" s="168">
        <v>0</v>
      </c>
      <c r="G17" s="168">
        <v>0</v>
      </c>
      <c r="H17" s="168">
        <v>1</v>
      </c>
      <c r="I17" s="168">
        <v>0</v>
      </c>
      <c r="J17" s="166" t="s">
        <v>9</v>
      </c>
      <c r="K17" s="159"/>
      <c r="L17" s="141"/>
    </row>
    <row r="18" spans="1:12" ht="13.5" thickBot="1" x14ac:dyDescent="0.25">
      <c r="A18" s="141"/>
      <c r="B18" s="154">
        <f t="shared" si="0"/>
        <v>0</v>
      </c>
      <c r="C18" s="168">
        <v>0</v>
      </c>
      <c r="D18" s="168">
        <v>0</v>
      </c>
      <c r="E18" s="168">
        <v>0</v>
      </c>
      <c r="F18" s="168">
        <v>0</v>
      </c>
      <c r="G18" s="168">
        <v>0</v>
      </c>
      <c r="H18" s="168">
        <v>0</v>
      </c>
      <c r="I18" s="168">
        <v>0</v>
      </c>
      <c r="J18" s="166" t="s">
        <v>10</v>
      </c>
      <c r="K18" s="159" t="s">
        <v>16</v>
      </c>
      <c r="L18" s="141"/>
    </row>
    <row r="19" spans="1:12" ht="13.5" thickBot="1" x14ac:dyDescent="0.25">
      <c r="A19" s="141"/>
      <c r="B19" s="154">
        <f t="shared" ref="B19:I19" si="5">SUM(B17:B18)</f>
        <v>1</v>
      </c>
      <c r="C19" s="168">
        <f t="shared" si="5"/>
        <v>0</v>
      </c>
      <c r="D19" s="168">
        <f t="shared" si="5"/>
        <v>0</v>
      </c>
      <c r="E19" s="168">
        <f t="shared" si="5"/>
        <v>0</v>
      </c>
      <c r="F19" s="168">
        <f t="shared" si="5"/>
        <v>0</v>
      </c>
      <c r="G19" s="168">
        <f t="shared" si="5"/>
        <v>0</v>
      </c>
      <c r="H19" s="168">
        <f t="shared" si="5"/>
        <v>1</v>
      </c>
      <c r="I19" s="168">
        <f t="shared" si="5"/>
        <v>0</v>
      </c>
      <c r="J19" s="166" t="s">
        <v>12</v>
      </c>
      <c r="K19" s="170"/>
      <c r="L19" s="141"/>
    </row>
    <row r="20" spans="1:12" ht="13.5" thickBot="1" x14ac:dyDescent="0.25">
      <c r="A20" s="141"/>
      <c r="B20" s="154">
        <f t="shared" si="0"/>
        <v>8</v>
      </c>
      <c r="C20" s="168">
        <v>0</v>
      </c>
      <c r="D20" s="168">
        <v>0</v>
      </c>
      <c r="E20" s="168">
        <v>0</v>
      </c>
      <c r="F20" s="168">
        <v>0</v>
      </c>
      <c r="G20" s="168">
        <v>0</v>
      </c>
      <c r="H20" s="168">
        <v>8</v>
      </c>
      <c r="I20" s="168">
        <v>0</v>
      </c>
      <c r="J20" s="166" t="s">
        <v>9</v>
      </c>
      <c r="K20" s="159"/>
      <c r="L20" s="141"/>
    </row>
    <row r="21" spans="1:12" ht="13.5" thickBot="1" x14ac:dyDescent="0.25">
      <c r="A21" s="141"/>
      <c r="B21" s="154">
        <f t="shared" si="0"/>
        <v>7</v>
      </c>
      <c r="C21" s="168">
        <v>0</v>
      </c>
      <c r="D21" s="168">
        <v>0</v>
      </c>
      <c r="E21" s="168">
        <v>0</v>
      </c>
      <c r="F21" s="168">
        <v>1</v>
      </c>
      <c r="G21" s="168">
        <v>0</v>
      </c>
      <c r="H21" s="168">
        <v>6</v>
      </c>
      <c r="I21" s="168">
        <v>0</v>
      </c>
      <c r="J21" s="166" t="s">
        <v>10</v>
      </c>
      <c r="K21" s="159" t="s">
        <v>17</v>
      </c>
      <c r="L21" s="141"/>
    </row>
    <row r="22" spans="1:12" ht="13.5" thickBot="1" x14ac:dyDescent="0.25">
      <c r="A22" s="141"/>
      <c r="B22" s="154">
        <f t="shared" ref="B22:I22" si="6">SUM(B20:B21)</f>
        <v>15</v>
      </c>
      <c r="C22" s="168">
        <f t="shared" si="6"/>
        <v>0</v>
      </c>
      <c r="D22" s="168">
        <f t="shared" si="6"/>
        <v>0</v>
      </c>
      <c r="E22" s="168">
        <f t="shared" si="6"/>
        <v>0</v>
      </c>
      <c r="F22" s="168">
        <f t="shared" si="6"/>
        <v>1</v>
      </c>
      <c r="G22" s="168">
        <f t="shared" si="6"/>
        <v>0</v>
      </c>
      <c r="H22" s="168">
        <f t="shared" si="6"/>
        <v>14</v>
      </c>
      <c r="I22" s="168">
        <f t="shared" si="6"/>
        <v>0</v>
      </c>
      <c r="J22" s="166" t="s">
        <v>12</v>
      </c>
      <c r="K22" s="170"/>
      <c r="L22" s="141"/>
    </row>
    <row r="23" spans="1:12" ht="13.5" thickBot="1" x14ac:dyDescent="0.25">
      <c r="A23" s="141"/>
      <c r="B23" s="154">
        <f t="shared" si="0"/>
        <v>6</v>
      </c>
      <c r="C23" s="168">
        <v>1</v>
      </c>
      <c r="D23" s="168">
        <v>2</v>
      </c>
      <c r="E23" s="168">
        <v>1</v>
      </c>
      <c r="F23" s="168">
        <v>1</v>
      </c>
      <c r="G23" s="168">
        <v>1</v>
      </c>
      <c r="H23" s="168">
        <v>0</v>
      </c>
      <c r="I23" s="168">
        <v>0</v>
      </c>
      <c r="J23" s="166" t="s">
        <v>9</v>
      </c>
      <c r="K23" s="159"/>
      <c r="L23" s="141"/>
    </row>
    <row r="24" spans="1:12" ht="13.5" thickBot="1" x14ac:dyDescent="0.25">
      <c r="A24" s="141"/>
      <c r="B24" s="154">
        <f t="shared" si="0"/>
        <v>1</v>
      </c>
      <c r="C24" s="168">
        <v>0</v>
      </c>
      <c r="D24" s="168">
        <v>0</v>
      </c>
      <c r="E24" s="168">
        <v>0</v>
      </c>
      <c r="F24" s="168">
        <v>0</v>
      </c>
      <c r="G24" s="168">
        <v>0</v>
      </c>
      <c r="H24" s="168">
        <v>1</v>
      </c>
      <c r="I24" s="168">
        <v>0</v>
      </c>
      <c r="J24" s="166" t="s">
        <v>10</v>
      </c>
      <c r="K24" s="159" t="s">
        <v>32</v>
      </c>
      <c r="L24" s="141"/>
    </row>
    <row r="25" spans="1:12" ht="13.5" thickBot="1" x14ac:dyDescent="0.25">
      <c r="A25" s="141"/>
      <c r="B25" s="154">
        <f t="shared" ref="B25:I25" si="7">SUM(B23:B24)</f>
        <v>7</v>
      </c>
      <c r="C25" s="168">
        <f t="shared" si="7"/>
        <v>1</v>
      </c>
      <c r="D25" s="168">
        <f t="shared" si="7"/>
        <v>2</v>
      </c>
      <c r="E25" s="168">
        <f t="shared" si="7"/>
        <v>1</v>
      </c>
      <c r="F25" s="168">
        <f t="shared" si="7"/>
        <v>1</v>
      </c>
      <c r="G25" s="168">
        <f t="shared" si="7"/>
        <v>1</v>
      </c>
      <c r="H25" s="168">
        <f t="shared" si="7"/>
        <v>1</v>
      </c>
      <c r="I25" s="168">
        <f t="shared" si="7"/>
        <v>0</v>
      </c>
      <c r="J25" s="166" t="s">
        <v>12</v>
      </c>
      <c r="K25" s="170"/>
      <c r="L25" s="141"/>
    </row>
    <row r="26" spans="1:12" ht="13.5" thickBot="1" x14ac:dyDescent="0.25">
      <c r="A26" s="141"/>
      <c r="B26" s="154">
        <f t="shared" si="0"/>
        <v>4</v>
      </c>
      <c r="C26" s="168">
        <v>0</v>
      </c>
      <c r="D26" s="168">
        <v>0</v>
      </c>
      <c r="E26" s="168">
        <v>0</v>
      </c>
      <c r="F26" s="168">
        <v>2</v>
      </c>
      <c r="G26" s="168">
        <v>0</v>
      </c>
      <c r="H26" s="168">
        <v>2</v>
      </c>
      <c r="I26" s="168">
        <v>0</v>
      </c>
      <c r="J26" s="166" t="s">
        <v>9</v>
      </c>
      <c r="K26" s="159"/>
      <c r="L26" s="141"/>
    </row>
    <row r="27" spans="1:12" ht="13.5" thickBot="1" x14ac:dyDescent="0.25">
      <c r="A27" s="141"/>
      <c r="B27" s="154">
        <f t="shared" si="0"/>
        <v>1</v>
      </c>
      <c r="C27" s="168">
        <v>0</v>
      </c>
      <c r="D27" s="168">
        <v>0</v>
      </c>
      <c r="E27" s="168">
        <v>0</v>
      </c>
      <c r="F27" s="168">
        <v>0</v>
      </c>
      <c r="G27" s="168">
        <v>0</v>
      </c>
      <c r="H27" s="168">
        <v>1</v>
      </c>
      <c r="I27" s="168">
        <v>0</v>
      </c>
      <c r="J27" s="166" t="s">
        <v>10</v>
      </c>
      <c r="K27" s="159" t="s">
        <v>18</v>
      </c>
      <c r="L27" s="141"/>
    </row>
    <row r="28" spans="1:12" ht="13.5" thickBot="1" x14ac:dyDescent="0.25">
      <c r="A28" s="141"/>
      <c r="B28" s="154">
        <f t="shared" ref="B28:I28" si="8">SUM(B26:B27)</f>
        <v>5</v>
      </c>
      <c r="C28" s="168">
        <f t="shared" si="8"/>
        <v>0</v>
      </c>
      <c r="D28" s="168">
        <f t="shared" si="8"/>
        <v>0</v>
      </c>
      <c r="E28" s="168">
        <f t="shared" si="8"/>
        <v>0</v>
      </c>
      <c r="F28" s="168">
        <f t="shared" si="8"/>
        <v>2</v>
      </c>
      <c r="G28" s="168">
        <f t="shared" si="8"/>
        <v>0</v>
      </c>
      <c r="H28" s="168">
        <f t="shared" si="8"/>
        <v>3</v>
      </c>
      <c r="I28" s="168">
        <f t="shared" si="8"/>
        <v>0</v>
      </c>
      <c r="J28" s="166" t="s">
        <v>12</v>
      </c>
      <c r="K28" s="170"/>
      <c r="L28" s="141"/>
    </row>
    <row r="29" spans="1:12" ht="13.5" thickBot="1" x14ac:dyDescent="0.25">
      <c r="A29" s="141"/>
      <c r="B29" s="154">
        <f t="shared" si="0"/>
        <v>1</v>
      </c>
      <c r="C29" s="168">
        <v>0</v>
      </c>
      <c r="D29" s="168">
        <v>0</v>
      </c>
      <c r="E29" s="168">
        <v>1</v>
      </c>
      <c r="F29" s="168">
        <v>0</v>
      </c>
      <c r="G29" s="168">
        <v>0</v>
      </c>
      <c r="H29" s="168">
        <v>0</v>
      </c>
      <c r="I29" s="168">
        <v>0</v>
      </c>
      <c r="J29" s="166" t="s">
        <v>9</v>
      </c>
      <c r="K29" s="159"/>
      <c r="L29" s="141"/>
    </row>
    <row r="30" spans="1:12" ht="13.5" thickBot="1" x14ac:dyDescent="0.25">
      <c r="A30" s="141"/>
      <c r="B30" s="154">
        <f t="shared" si="0"/>
        <v>0</v>
      </c>
      <c r="C30" s="168">
        <v>0</v>
      </c>
      <c r="D30" s="168">
        <v>0</v>
      </c>
      <c r="E30" s="168">
        <v>0</v>
      </c>
      <c r="F30" s="168">
        <v>0</v>
      </c>
      <c r="G30" s="168">
        <v>0</v>
      </c>
      <c r="H30" s="168">
        <v>0</v>
      </c>
      <c r="I30" s="168">
        <v>0</v>
      </c>
      <c r="J30" s="166" t="s">
        <v>10</v>
      </c>
      <c r="K30" s="159" t="s">
        <v>19</v>
      </c>
      <c r="L30" s="141"/>
    </row>
    <row r="31" spans="1:12" ht="13.5" thickBot="1" x14ac:dyDescent="0.25">
      <c r="A31" s="141"/>
      <c r="B31" s="154">
        <f t="shared" ref="B31:I31" si="9">SUM(B29:B30)</f>
        <v>1</v>
      </c>
      <c r="C31" s="168">
        <f t="shared" si="9"/>
        <v>0</v>
      </c>
      <c r="D31" s="168">
        <f t="shared" si="9"/>
        <v>0</v>
      </c>
      <c r="E31" s="168">
        <f t="shared" si="9"/>
        <v>1</v>
      </c>
      <c r="F31" s="168">
        <f t="shared" si="9"/>
        <v>0</v>
      </c>
      <c r="G31" s="168">
        <f t="shared" si="9"/>
        <v>0</v>
      </c>
      <c r="H31" s="168">
        <f t="shared" si="9"/>
        <v>0</v>
      </c>
      <c r="I31" s="168">
        <f t="shared" si="9"/>
        <v>0</v>
      </c>
      <c r="J31" s="166" t="s">
        <v>12</v>
      </c>
      <c r="K31" s="170"/>
      <c r="L31" s="141"/>
    </row>
    <row r="32" spans="1:12" ht="13.5" thickBot="1" x14ac:dyDescent="0.25">
      <c r="A32" s="141"/>
      <c r="B32" s="154">
        <f t="shared" si="0"/>
        <v>9</v>
      </c>
      <c r="C32" s="168">
        <v>0</v>
      </c>
      <c r="D32" s="168">
        <v>0</v>
      </c>
      <c r="E32" s="168">
        <v>0</v>
      </c>
      <c r="F32" s="168">
        <v>1</v>
      </c>
      <c r="G32" s="168">
        <v>1</v>
      </c>
      <c r="H32" s="168">
        <v>7</v>
      </c>
      <c r="I32" s="168">
        <v>0</v>
      </c>
      <c r="J32" s="166" t="s">
        <v>9</v>
      </c>
      <c r="K32" s="159"/>
      <c r="L32" s="141"/>
    </row>
    <row r="33" spans="1:12" ht="13.5" thickBot="1" x14ac:dyDescent="0.25">
      <c r="A33" s="141"/>
      <c r="B33" s="154">
        <f t="shared" si="0"/>
        <v>9</v>
      </c>
      <c r="C33" s="168">
        <v>0</v>
      </c>
      <c r="D33" s="168">
        <v>0</v>
      </c>
      <c r="E33" s="168">
        <v>0</v>
      </c>
      <c r="F33" s="168">
        <v>3</v>
      </c>
      <c r="G33" s="168">
        <v>0</v>
      </c>
      <c r="H33" s="168">
        <v>6</v>
      </c>
      <c r="I33" s="168">
        <v>0</v>
      </c>
      <c r="J33" s="166" t="s">
        <v>10</v>
      </c>
      <c r="K33" s="159" t="s">
        <v>20</v>
      </c>
      <c r="L33" s="141"/>
    </row>
    <row r="34" spans="1:12" ht="13.5" thickBot="1" x14ac:dyDescent="0.25">
      <c r="A34" s="141"/>
      <c r="B34" s="154">
        <f t="shared" ref="B34:I34" si="10">SUM(B32:B33)</f>
        <v>18</v>
      </c>
      <c r="C34" s="168">
        <f t="shared" si="10"/>
        <v>0</v>
      </c>
      <c r="D34" s="168">
        <f t="shared" si="10"/>
        <v>0</v>
      </c>
      <c r="E34" s="168">
        <f t="shared" si="10"/>
        <v>0</v>
      </c>
      <c r="F34" s="168">
        <f t="shared" si="10"/>
        <v>4</v>
      </c>
      <c r="G34" s="168">
        <f t="shared" si="10"/>
        <v>1</v>
      </c>
      <c r="H34" s="168">
        <f t="shared" si="10"/>
        <v>13</v>
      </c>
      <c r="I34" s="168">
        <f t="shared" si="10"/>
        <v>0</v>
      </c>
      <c r="J34" s="166" t="s">
        <v>12</v>
      </c>
      <c r="K34" s="170"/>
      <c r="L34" s="141"/>
    </row>
    <row r="35" spans="1:12" ht="13.5" thickBot="1" x14ac:dyDescent="0.25">
      <c r="A35" s="141"/>
      <c r="B35" s="154">
        <f t="shared" si="0"/>
        <v>6</v>
      </c>
      <c r="C35" s="168">
        <v>0</v>
      </c>
      <c r="D35" s="168">
        <v>0</v>
      </c>
      <c r="E35" s="168">
        <v>0</v>
      </c>
      <c r="F35" s="168">
        <v>0</v>
      </c>
      <c r="G35" s="168">
        <v>0</v>
      </c>
      <c r="H35" s="168">
        <v>6</v>
      </c>
      <c r="I35" s="168">
        <v>0</v>
      </c>
      <c r="J35" s="166" t="s">
        <v>9</v>
      </c>
      <c r="K35" s="159"/>
      <c r="L35" s="141"/>
    </row>
    <row r="36" spans="1:12" ht="13.5" thickBot="1" x14ac:dyDescent="0.25">
      <c r="A36" s="141"/>
      <c r="B36" s="154">
        <f t="shared" si="0"/>
        <v>1</v>
      </c>
      <c r="C36" s="168">
        <v>0</v>
      </c>
      <c r="D36" s="168">
        <v>0</v>
      </c>
      <c r="E36" s="168">
        <v>0</v>
      </c>
      <c r="F36" s="168">
        <v>1</v>
      </c>
      <c r="G36" s="168">
        <v>0</v>
      </c>
      <c r="H36" s="168">
        <v>0</v>
      </c>
      <c r="I36" s="168">
        <v>0</v>
      </c>
      <c r="J36" s="166" t="s">
        <v>10</v>
      </c>
      <c r="K36" s="159" t="s">
        <v>33</v>
      </c>
      <c r="L36" s="141"/>
    </row>
    <row r="37" spans="1:12" ht="13.5" thickBot="1" x14ac:dyDescent="0.25">
      <c r="A37" s="141"/>
      <c r="B37" s="154">
        <f t="shared" ref="B37:I37" si="11">SUM(B35:B36)</f>
        <v>7</v>
      </c>
      <c r="C37" s="168">
        <f t="shared" si="11"/>
        <v>0</v>
      </c>
      <c r="D37" s="168">
        <f t="shared" si="11"/>
        <v>0</v>
      </c>
      <c r="E37" s="168">
        <f t="shared" si="11"/>
        <v>0</v>
      </c>
      <c r="F37" s="168">
        <f t="shared" si="11"/>
        <v>1</v>
      </c>
      <c r="G37" s="168">
        <f t="shared" si="11"/>
        <v>0</v>
      </c>
      <c r="H37" s="168">
        <f t="shared" si="11"/>
        <v>6</v>
      </c>
      <c r="I37" s="168">
        <f t="shared" si="11"/>
        <v>0</v>
      </c>
      <c r="J37" s="166" t="s">
        <v>12</v>
      </c>
      <c r="K37" s="170"/>
      <c r="L37" s="141"/>
    </row>
    <row r="38" spans="1:12" ht="13.5" thickBot="1" x14ac:dyDescent="0.25">
      <c r="A38" s="141"/>
      <c r="B38" s="154">
        <f t="shared" si="0"/>
        <v>26</v>
      </c>
      <c r="C38" s="168">
        <v>0</v>
      </c>
      <c r="D38" s="168">
        <v>0</v>
      </c>
      <c r="E38" s="168">
        <v>0</v>
      </c>
      <c r="F38" s="168">
        <v>2</v>
      </c>
      <c r="G38" s="168">
        <v>0</v>
      </c>
      <c r="H38" s="168">
        <v>24</v>
      </c>
      <c r="I38" s="168">
        <v>0</v>
      </c>
      <c r="J38" s="166" t="s">
        <v>9</v>
      </c>
      <c r="K38" s="159"/>
      <c r="L38" s="141"/>
    </row>
    <row r="39" spans="1:12" ht="13.5" thickBot="1" x14ac:dyDescent="0.25">
      <c r="A39" s="141"/>
      <c r="B39" s="154">
        <f t="shared" si="0"/>
        <v>2</v>
      </c>
      <c r="C39" s="168">
        <v>0</v>
      </c>
      <c r="D39" s="168">
        <v>0</v>
      </c>
      <c r="E39" s="168">
        <v>0</v>
      </c>
      <c r="F39" s="168">
        <v>0</v>
      </c>
      <c r="G39" s="168">
        <v>0</v>
      </c>
      <c r="H39" s="168">
        <v>2</v>
      </c>
      <c r="I39" s="168">
        <v>0</v>
      </c>
      <c r="J39" s="166" t="s">
        <v>10</v>
      </c>
      <c r="K39" s="159" t="s">
        <v>30</v>
      </c>
      <c r="L39" s="141"/>
    </row>
    <row r="40" spans="1:12" ht="13.5" thickBot="1" x14ac:dyDescent="0.25">
      <c r="A40" s="141"/>
      <c r="B40" s="154">
        <f t="shared" ref="B40:I40" si="12">SUM(B38:B39)</f>
        <v>28</v>
      </c>
      <c r="C40" s="168">
        <f t="shared" si="12"/>
        <v>0</v>
      </c>
      <c r="D40" s="168">
        <f t="shared" si="12"/>
        <v>0</v>
      </c>
      <c r="E40" s="168">
        <f t="shared" si="12"/>
        <v>0</v>
      </c>
      <c r="F40" s="168">
        <f t="shared" si="12"/>
        <v>2</v>
      </c>
      <c r="G40" s="168">
        <f t="shared" si="12"/>
        <v>0</v>
      </c>
      <c r="H40" s="168">
        <f t="shared" si="12"/>
        <v>26</v>
      </c>
      <c r="I40" s="168">
        <f t="shared" si="12"/>
        <v>0</v>
      </c>
      <c r="J40" s="166" t="s">
        <v>12</v>
      </c>
      <c r="K40" s="170"/>
      <c r="L40" s="141"/>
    </row>
    <row r="41" spans="1:12" ht="13.5" thickBot="1" x14ac:dyDescent="0.25">
      <c r="A41" s="141"/>
      <c r="B41" s="154">
        <f t="shared" si="0"/>
        <v>82</v>
      </c>
      <c r="C41" s="168">
        <v>1</v>
      </c>
      <c r="D41" s="168">
        <v>0</v>
      </c>
      <c r="E41" s="168">
        <v>3</v>
      </c>
      <c r="F41" s="168">
        <v>4</v>
      </c>
      <c r="G41" s="168">
        <v>6</v>
      </c>
      <c r="H41" s="168">
        <v>68</v>
      </c>
      <c r="I41" s="168">
        <v>0</v>
      </c>
      <c r="J41" s="166" t="s">
        <v>9</v>
      </c>
      <c r="K41" s="159"/>
      <c r="L41" s="141"/>
    </row>
    <row r="42" spans="1:12" ht="13.5" thickBot="1" x14ac:dyDescent="0.25">
      <c r="A42" s="141"/>
      <c r="B42" s="154">
        <f t="shared" si="0"/>
        <v>10</v>
      </c>
      <c r="C42" s="168">
        <v>0</v>
      </c>
      <c r="D42" s="168">
        <v>0</v>
      </c>
      <c r="E42" s="168">
        <v>0</v>
      </c>
      <c r="F42" s="168">
        <v>5</v>
      </c>
      <c r="G42" s="168">
        <v>0</v>
      </c>
      <c r="H42" s="168">
        <v>5</v>
      </c>
      <c r="I42" s="168">
        <v>0</v>
      </c>
      <c r="J42" s="166" t="s">
        <v>10</v>
      </c>
      <c r="K42" s="159" t="s">
        <v>21</v>
      </c>
      <c r="L42" s="141"/>
    </row>
    <row r="43" spans="1:12" ht="13.5" thickBot="1" x14ac:dyDescent="0.25">
      <c r="A43" s="141"/>
      <c r="B43" s="154">
        <f t="shared" ref="B43:I43" si="13">SUM(B41:B42)</f>
        <v>92</v>
      </c>
      <c r="C43" s="168">
        <f t="shared" si="13"/>
        <v>1</v>
      </c>
      <c r="D43" s="168">
        <f t="shared" si="13"/>
        <v>0</v>
      </c>
      <c r="E43" s="168">
        <f t="shared" si="13"/>
        <v>3</v>
      </c>
      <c r="F43" s="168">
        <f t="shared" si="13"/>
        <v>9</v>
      </c>
      <c r="G43" s="168">
        <f t="shared" si="13"/>
        <v>6</v>
      </c>
      <c r="H43" s="168">
        <f t="shared" si="13"/>
        <v>73</v>
      </c>
      <c r="I43" s="168">
        <f t="shared" si="13"/>
        <v>0</v>
      </c>
      <c r="J43" s="166" t="s">
        <v>12</v>
      </c>
      <c r="K43" s="170"/>
      <c r="L43" s="141"/>
    </row>
    <row r="44" spans="1:12" ht="13.5" thickBot="1" x14ac:dyDescent="0.25">
      <c r="A44" s="141"/>
      <c r="B44" s="154">
        <f t="shared" si="0"/>
        <v>147</v>
      </c>
      <c r="C44" s="168">
        <v>16</v>
      </c>
      <c r="D44" s="168">
        <v>0</v>
      </c>
      <c r="E44" s="168">
        <v>40</v>
      </c>
      <c r="F44" s="168">
        <v>34</v>
      </c>
      <c r="G44" s="168">
        <v>2</v>
      </c>
      <c r="H44" s="168">
        <v>51</v>
      </c>
      <c r="I44" s="168">
        <v>4</v>
      </c>
      <c r="J44" s="166" t="s">
        <v>9</v>
      </c>
      <c r="K44" s="159"/>
      <c r="L44" s="141"/>
    </row>
    <row r="45" spans="1:12" ht="13.5" thickBot="1" x14ac:dyDescent="0.25">
      <c r="A45" s="141"/>
      <c r="B45" s="154">
        <f t="shared" si="0"/>
        <v>53</v>
      </c>
      <c r="C45" s="168">
        <v>20</v>
      </c>
      <c r="D45" s="168">
        <v>0</v>
      </c>
      <c r="E45" s="168">
        <v>10</v>
      </c>
      <c r="F45" s="168">
        <v>14</v>
      </c>
      <c r="G45" s="168">
        <v>0</v>
      </c>
      <c r="H45" s="168">
        <v>6</v>
      </c>
      <c r="I45" s="168">
        <v>3</v>
      </c>
      <c r="J45" s="166" t="s">
        <v>10</v>
      </c>
      <c r="K45" s="159" t="s">
        <v>38</v>
      </c>
      <c r="L45" s="141"/>
    </row>
    <row r="46" spans="1:12" ht="13.5" thickBot="1" x14ac:dyDescent="0.25">
      <c r="A46" s="141"/>
      <c r="B46" s="154">
        <f t="shared" ref="B46:I46" si="14">SUM(B44:B45)</f>
        <v>200</v>
      </c>
      <c r="C46" s="168">
        <f t="shared" si="14"/>
        <v>36</v>
      </c>
      <c r="D46" s="168">
        <f t="shared" si="14"/>
        <v>0</v>
      </c>
      <c r="E46" s="168">
        <f t="shared" si="14"/>
        <v>50</v>
      </c>
      <c r="F46" s="168">
        <f t="shared" si="14"/>
        <v>48</v>
      </c>
      <c r="G46" s="168">
        <f t="shared" si="14"/>
        <v>2</v>
      </c>
      <c r="H46" s="168">
        <f t="shared" si="14"/>
        <v>57</v>
      </c>
      <c r="I46" s="168">
        <f t="shared" si="14"/>
        <v>7</v>
      </c>
      <c r="J46" s="166" t="s">
        <v>12</v>
      </c>
      <c r="K46" s="170"/>
      <c r="L46" s="141"/>
    </row>
    <row r="47" spans="1:12" ht="13.5" thickBot="1" x14ac:dyDescent="0.25">
      <c r="A47" s="141"/>
      <c r="B47" s="154">
        <f t="shared" si="0"/>
        <v>12</v>
      </c>
      <c r="C47" s="168">
        <v>0</v>
      </c>
      <c r="D47" s="168">
        <v>0</v>
      </c>
      <c r="E47" s="168">
        <v>0</v>
      </c>
      <c r="F47" s="168">
        <v>0</v>
      </c>
      <c r="G47" s="168">
        <v>0</v>
      </c>
      <c r="H47" s="168">
        <v>12</v>
      </c>
      <c r="I47" s="168">
        <v>0</v>
      </c>
      <c r="J47" s="166" t="s">
        <v>9</v>
      </c>
      <c r="K47" s="159"/>
      <c r="L47" s="141"/>
    </row>
    <row r="48" spans="1:12" ht="13.5" thickBot="1" x14ac:dyDescent="0.25">
      <c r="A48" s="141"/>
      <c r="B48" s="154">
        <f t="shared" si="0"/>
        <v>2</v>
      </c>
      <c r="C48" s="168">
        <v>0</v>
      </c>
      <c r="D48" s="168">
        <v>0</v>
      </c>
      <c r="E48" s="168">
        <v>0</v>
      </c>
      <c r="F48" s="168">
        <v>0</v>
      </c>
      <c r="G48" s="168">
        <v>0</v>
      </c>
      <c r="H48" s="168">
        <v>2</v>
      </c>
      <c r="I48" s="168">
        <v>0</v>
      </c>
      <c r="J48" s="166" t="s">
        <v>10</v>
      </c>
      <c r="K48" s="159" t="s">
        <v>22</v>
      </c>
      <c r="L48" s="141"/>
    </row>
    <row r="49" spans="1:12" ht="13.5" thickBot="1" x14ac:dyDescent="0.25">
      <c r="A49" s="141"/>
      <c r="B49" s="154">
        <f t="shared" ref="B49:I49" si="15">SUM(B47:B48)</f>
        <v>14</v>
      </c>
      <c r="C49" s="168">
        <f t="shared" si="15"/>
        <v>0</v>
      </c>
      <c r="D49" s="168">
        <f t="shared" si="15"/>
        <v>0</v>
      </c>
      <c r="E49" s="168">
        <f t="shared" si="15"/>
        <v>0</v>
      </c>
      <c r="F49" s="168">
        <f t="shared" si="15"/>
        <v>0</v>
      </c>
      <c r="G49" s="168">
        <f t="shared" si="15"/>
        <v>0</v>
      </c>
      <c r="H49" s="168">
        <f t="shared" si="15"/>
        <v>14</v>
      </c>
      <c r="I49" s="168">
        <f t="shared" si="15"/>
        <v>0</v>
      </c>
      <c r="J49" s="166" t="s">
        <v>12</v>
      </c>
      <c r="K49" s="170"/>
      <c r="L49" s="141"/>
    </row>
    <row r="50" spans="1:12" ht="13.5" thickBot="1" x14ac:dyDescent="0.25">
      <c r="A50" s="141"/>
      <c r="B50" s="154">
        <f t="shared" si="0"/>
        <v>16</v>
      </c>
      <c r="C50" s="168">
        <v>3</v>
      </c>
      <c r="D50" s="168">
        <v>0</v>
      </c>
      <c r="E50" s="168">
        <v>3</v>
      </c>
      <c r="F50" s="168">
        <v>7</v>
      </c>
      <c r="G50" s="168">
        <v>0</v>
      </c>
      <c r="H50" s="168">
        <v>3</v>
      </c>
      <c r="I50" s="168">
        <v>0</v>
      </c>
      <c r="J50" s="166" t="s">
        <v>9</v>
      </c>
      <c r="K50" s="159"/>
      <c r="L50" s="141"/>
    </row>
    <row r="51" spans="1:12" ht="13.5" thickBot="1" x14ac:dyDescent="0.25">
      <c r="A51" s="141"/>
      <c r="B51" s="154">
        <f t="shared" si="0"/>
        <v>7</v>
      </c>
      <c r="C51" s="168">
        <v>0</v>
      </c>
      <c r="D51" s="168">
        <v>0</v>
      </c>
      <c r="E51" s="168">
        <v>2</v>
      </c>
      <c r="F51" s="168">
        <v>4</v>
      </c>
      <c r="G51" s="168">
        <v>0</v>
      </c>
      <c r="H51" s="168">
        <v>1</v>
      </c>
      <c r="I51" s="168">
        <v>0</v>
      </c>
      <c r="J51" s="166" t="s">
        <v>10</v>
      </c>
      <c r="K51" s="159" t="s">
        <v>34</v>
      </c>
      <c r="L51" s="141"/>
    </row>
    <row r="52" spans="1:12" ht="13.5" thickBot="1" x14ac:dyDescent="0.25">
      <c r="A52" s="141"/>
      <c r="B52" s="154">
        <f t="shared" ref="B52:I52" si="16">SUM(B50:B51)</f>
        <v>23</v>
      </c>
      <c r="C52" s="168">
        <f t="shared" si="16"/>
        <v>3</v>
      </c>
      <c r="D52" s="168">
        <f t="shared" si="16"/>
        <v>0</v>
      </c>
      <c r="E52" s="168">
        <f t="shared" si="16"/>
        <v>5</v>
      </c>
      <c r="F52" s="168">
        <f t="shared" si="16"/>
        <v>11</v>
      </c>
      <c r="G52" s="168">
        <f t="shared" si="16"/>
        <v>0</v>
      </c>
      <c r="H52" s="168">
        <f t="shared" si="16"/>
        <v>4</v>
      </c>
      <c r="I52" s="168">
        <f t="shared" si="16"/>
        <v>0</v>
      </c>
      <c r="J52" s="166" t="s">
        <v>12</v>
      </c>
      <c r="K52" s="170"/>
      <c r="L52" s="141"/>
    </row>
    <row r="53" spans="1:12" ht="13.5" thickBot="1" x14ac:dyDescent="0.25">
      <c r="A53" s="141"/>
      <c r="B53" s="154">
        <f t="shared" si="0"/>
        <v>266</v>
      </c>
      <c r="C53" s="168">
        <v>51</v>
      </c>
      <c r="D53" s="168">
        <v>180</v>
      </c>
      <c r="E53" s="168">
        <v>5</v>
      </c>
      <c r="F53" s="168">
        <v>5</v>
      </c>
      <c r="G53" s="168">
        <v>1</v>
      </c>
      <c r="H53" s="168">
        <v>7</v>
      </c>
      <c r="I53" s="168">
        <v>17</v>
      </c>
      <c r="J53" s="166" t="s">
        <v>9</v>
      </c>
      <c r="K53" s="159"/>
      <c r="L53" s="141"/>
    </row>
    <row r="54" spans="1:12" ht="13.5" thickBot="1" x14ac:dyDescent="0.25">
      <c r="A54" s="141"/>
      <c r="B54" s="154">
        <f t="shared" si="0"/>
        <v>66</v>
      </c>
      <c r="C54" s="168">
        <v>0</v>
      </c>
      <c r="D54" s="168">
        <v>46</v>
      </c>
      <c r="E54" s="168">
        <v>2</v>
      </c>
      <c r="F54" s="168">
        <v>5</v>
      </c>
      <c r="G54" s="168">
        <v>3</v>
      </c>
      <c r="H54" s="168">
        <v>3</v>
      </c>
      <c r="I54" s="168">
        <v>7</v>
      </c>
      <c r="J54" s="166" t="s">
        <v>10</v>
      </c>
      <c r="K54" s="159" t="s">
        <v>39</v>
      </c>
      <c r="L54" s="141"/>
    </row>
    <row r="55" spans="1:12" ht="13.5" thickBot="1" x14ac:dyDescent="0.25">
      <c r="A55" s="141"/>
      <c r="B55" s="154">
        <f t="shared" ref="B55:I55" si="17">SUM(B53:B54)</f>
        <v>332</v>
      </c>
      <c r="C55" s="168">
        <f t="shared" si="17"/>
        <v>51</v>
      </c>
      <c r="D55" s="168">
        <f t="shared" si="17"/>
        <v>226</v>
      </c>
      <c r="E55" s="168">
        <f t="shared" si="17"/>
        <v>7</v>
      </c>
      <c r="F55" s="168">
        <f t="shared" si="17"/>
        <v>10</v>
      </c>
      <c r="G55" s="168">
        <f t="shared" si="17"/>
        <v>4</v>
      </c>
      <c r="H55" s="168">
        <f t="shared" si="17"/>
        <v>10</v>
      </c>
      <c r="I55" s="168">
        <f t="shared" si="17"/>
        <v>24</v>
      </c>
      <c r="J55" s="166" t="s">
        <v>12</v>
      </c>
      <c r="K55" s="170"/>
      <c r="L55" s="141"/>
    </row>
    <row r="56" spans="1:12" ht="13.5" thickBot="1" x14ac:dyDescent="0.25">
      <c r="A56" s="141"/>
      <c r="B56" s="154">
        <f t="shared" si="0"/>
        <v>1</v>
      </c>
      <c r="C56" s="168">
        <v>0</v>
      </c>
      <c r="D56" s="168">
        <v>0</v>
      </c>
      <c r="E56" s="168">
        <v>0</v>
      </c>
      <c r="F56" s="168">
        <v>1</v>
      </c>
      <c r="G56" s="168">
        <v>0</v>
      </c>
      <c r="H56" s="168">
        <v>0</v>
      </c>
      <c r="I56" s="168">
        <v>0</v>
      </c>
      <c r="J56" s="166" t="s">
        <v>9</v>
      </c>
      <c r="K56" s="159"/>
      <c r="L56" s="141"/>
    </row>
    <row r="57" spans="1:12" ht="13.5" thickBot="1" x14ac:dyDescent="0.25">
      <c r="A57" s="141"/>
      <c r="B57" s="154">
        <f t="shared" si="0"/>
        <v>1</v>
      </c>
      <c r="C57" s="168">
        <v>0</v>
      </c>
      <c r="D57" s="168">
        <v>1</v>
      </c>
      <c r="E57" s="168">
        <v>0</v>
      </c>
      <c r="F57" s="168">
        <v>0</v>
      </c>
      <c r="G57" s="168">
        <v>0</v>
      </c>
      <c r="H57" s="168">
        <v>0</v>
      </c>
      <c r="I57" s="168">
        <v>0</v>
      </c>
      <c r="J57" s="166" t="s">
        <v>10</v>
      </c>
      <c r="K57" s="159" t="s">
        <v>35</v>
      </c>
      <c r="L57" s="141"/>
    </row>
    <row r="58" spans="1:12" ht="13.5" thickBot="1" x14ac:dyDescent="0.25">
      <c r="A58" s="141"/>
      <c r="B58" s="154">
        <f t="shared" ref="B58:I58" si="18">SUM(B56:B57)</f>
        <v>2</v>
      </c>
      <c r="C58" s="168">
        <f t="shared" si="18"/>
        <v>0</v>
      </c>
      <c r="D58" s="168">
        <f t="shared" si="18"/>
        <v>1</v>
      </c>
      <c r="E58" s="168">
        <f t="shared" si="18"/>
        <v>0</v>
      </c>
      <c r="F58" s="168">
        <f t="shared" si="18"/>
        <v>1</v>
      </c>
      <c r="G58" s="168">
        <f t="shared" si="18"/>
        <v>0</v>
      </c>
      <c r="H58" s="168">
        <f t="shared" si="18"/>
        <v>0</v>
      </c>
      <c r="I58" s="168">
        <f t="shared" si="18"/>
        <v>0</v>
      </c>
      <c r="J58" s="166" t="s">
        <v>12</v>
      </c>
      <c r="K58" s="170"/>
      <c r="L58" s="141"/>
    </row>
    <row r="59" spans="1:12" ht="13.5" thickBot="1" x14ac:dyDescent="0.25">
      <c r="A59" s="141"/>
      <c r="B59" s="154">
        <f t="shared" si="0"/>
        <v>120</v>
      </c>
      <c r="C59" s="168">
        <v>4</v>
      </c>
      <c r="D59" s="168">
        <v>2</v>
      </c>
      <c r="E59" s="168">
        <v>3</v>
      </c>
      <c r="F59" s="168">
        <v>19</v>
      </c>
      <c r="G59" s="168">
        <v>0</v>
      </c>
      <c r="H59" s="168">
        <v>90</v>
      </c>
      <c r="I59" s="168">
        <v>2</v>
      </c>
      <c r="J59" s="166" t="s">
        <v>9</v>
      </c>
      <c r="K59" s="159"/>
      <c r="L59" s="141"/>
    </row>
    <row r="60" spans="1:12" ht="13.5" thickBot="1" x14ac:dyDescent="0.25">
      <c r="A60" s="141"/>
      <c r="B60" s="154">
        <f t="shared" si="0"/>
        <v>5</v>
      </c>
      <c r="C60" s="168">
        <v>1</v>
      </c>
      <c r="D60" s="168">
        <v>0</v>
      </c>
      <c r="E60" s="168">
        <v>0</v>
      </c>
      <c r="F60" s="168">
        <v>2</v>
      </c>
      <c r="G60" s="168">
        <v>0</v>
      </c>
      <c r="H60" s="168">
        <v>2</v>
      </c>
      <c r="I60" s="168">
        <v>0</v>
      </c>
      <c r="J60" s="166" t="s">
        <v>10</v>
      </c>
      <c r="K60" s="159" t="s">
        <v>23</v>
      </c>
      <c r="L60" s="141"/>
    </row>
    <row r="61" spans="1:12" ht="13.5" thickBot="1" x14ac:dyDescent="0.25">
      <c r="A61" s="141"/>
      <c r="B61" s="154">
        <f t="shared" ref="B61:I61" si="19">SUM(B59:B60)</f>
        <v>125</v>
      </c>
      <c r="C61" s="168">
        <f t="shared" si="19"/>
        <v>5</v>
      </c>
      <c r="D61" s="168">
        <f t="shared" si="19"/>
        <v>2</v>
      </c>
      <c r="E61" s="168">
        <f t="shared" si="19"/>
        <v>3</v>
      </c>
      <c r="F61" s="168">
        <f t="shared" si="19"/>
        <v>21</v>
      </c>
      <c r="G61" s="168">
        <f t="shared" si="19"/>
        <v>0</v>
      </c>
      <c r="H61" s="168">
        <f t="shared" si="19"/>
        <v>92</v>
      </c>
      <c r="I61" s="168">
        <f t="shared" si="19"/>
        <v>2</v>
      </c>
      <c r="J61" s="166" t="s">
        <v>12</v>
      </c>
      <c r="K61" s="170"/>
      <c r="L61" s="141"/>
    </row>
    <row r="62" spans="1:12" ht="13.5" thickBot="1" x14ac:dyDescent="0.25">
      <c r="A62" s="141"/>
      <c r="B62" s="154">
        <f t="shared" ref="B62:B69" si="20">SUM(C62:I62)</f>
        <v>9</v>
      </c>
      <c r="C62" s="168">
        <v>1</v>
      </c>
      <c r="D62" s="168">
        <v>0</v>
      </c>
      <c r="E62" s="168">
        <v>0</v>
      </c>
      <c r="F62" s="168">
        <v>1</v>
      </c>
      <c r="G62" s="168">
        <v>0</v>
      </c>
      <c r="H62" s="168">
        <v>7</v>
      </c>
      <c r="I62" s="168">
        <v>0</v>
      </c>
      <c r="J62" s="166" t="s">
        <v>9</v>
      </c>
      <c r="K62" s="159"/>
      <c r="L62" s="141"/>
    </row>
    <row r="63" spans="1:12" ht="13.5" thickBot="1" x14ac:dyDescent="0.25">
      <c r="A63" s="141"/>
      <c r="B63" s="154">
        <f t="shared" si="20"/>
        <v>1</v>
      </c>
      <c r="C63" s="168">
        <v>0</v>
      </c>
      <c r="D63" s="168">
        <v>0</v>
      </c>
      <c r="E63" s="168">
        <v>0</v>
      </c>
      <c r="F63" s="168">
        <v>0</v>
      </c>
      <c r="G63" s="168">
        <v>0</v>
      </c>
      <c r="H63" s="168">
        <v>1</v>
      </c>
      <c r="I63" s="168">
        <v>0</v>
      </c>
      <c r="J63" s="166" t="s">
        <v>10</v>
      </c>
      <c r="K63" s="159" t="s">
        <v>24</v>
      </c>
      <c r="L63" s="141"/>
    </row>
    <row r="64" spans="1:12" ht="13.5" thickBot="1" x14ac:dyDescent="0.25">
      <c r="A64" s="141"/>
      <c r="B64" s="154">
        <f t="shared" ref="B64:I64" si="21">SUM(B62:B63)</f>
        <v>10</v>
      </c>
      <c r="C64" s="168">
        <f t="shared" si="21"/>
        <v>1</v>
      </c>
      <c r="D64" s="168">
        <f t="shared" si="21"/>
        <v>0</v>
      </c>
      <c r="E64" s="168">
        <f t="shared" si="21"/>
        <v>0</v>
      </c>
      <c r="F64" s="168">
        <f t="shared" si="21"/>
        <v>1</v>
      </c>
      <c r="G64" s="168">
        <f t="shared" si="21"/>
        <v>0</v>
      </c>
      <c r="H64" s="168">
        <f t="shared" si="21"/>
        <v>8</v>
      </c>
      <c r="I64" s="168">
        <f t="shared" si="21"/>
        <v>0</v>
      </c>
      <c r="J64" s="166" t="s">
        <v>12</v>
      </c>
      <c r="K64" s="170"/>
      <c r="L64" s="141"/>
    </row>
    <row r="65" spans="1:12" ht="13.5" thickBot="1" x14ac:dyDescent="0.25">
      <c r="A65" s="141"/>
      <c r="B65" s="154">
        <f t="shared" si="20"/>
        <v>5</v>
      </c>
      <c r="C65" s="168">
        <v>0</v>
      </c>
      <c r="D65" s="168">
        <v>0</v>
      </c>
      <c r="E65" s="168">
        <v>0</v>
      </c>
      <c r="F65" s="168">
        <v>2</v>
      </c>
      <c r="G65" s="168">
        <v>0</v>
      </c>
      <c r="H65" s="168">
        <v>3</v>
      </c>
      <c r="I65" s="168">
        <v>0</v>
      </c>
      <c r="J65" s="166" t="s">
        <v>9</v>
      </c>
      <c r="K65" s="159"/>
      <c r="L65" s="141"/>
    </row>
    <row r="66" spans="1:12" ht="13.5" thickBot="1" x14ac:dyDescent="0.25">
      <c r="A66" s="141"/>
      <c r="B66" s="154">
        <f t="shared" si="20"/>
        <v>5</v>
      </c>
      <c r="C66" s="168">
        <v>0</v>
      </c>
      <c r="D66" s="168">
        <v>0</v>
      </c>
      <c r="E66" s="168">
        <v>0</v>
      </c>
      <c r="F66" s="168">
        <v>2</v>
      </c>
      <c r="G66" s="168">
        <v>0</v>
      </c>
      <c r="H66" s="168">
        <v>3</v>
      </c>
      <c r="I66" s="168">
        <v>0</v>
      </c>
      <c r="J66" s="166" t="s">
        <v>10</v>
      </c>
      <c r="K66" s="159" t="s">
        <v>25</v>
      </c>
      <c r="L66" s="141"/>
    </row>
    <row r="67" spans="1:12" ht="13.5" thickBot="1" x14ac:dyDescent="0.25">
      <c r="A67" s="141"/>
      <c r="B67" s="154">
        <f t="shared" ref="B67:I67" si="22">SUM(B65:B66)</f>
        <v>10</v>
      </c>
      <c r="C67" s="168">
        <f t="shared" si="22"/>
        <v>0</v>
      </c>
      <c r="D67" s="168">
        <f t="shared" si="22"/>
        <v>0</v>
      </c>
      <c r="E67" s="168">
        <f t="shared" si="22"/>
        <v>0</v>
      </c>
      <c r="F67" s="168">
        <f t="shared" si="22"/>
        <v>4</v>
      </c>
      <c r="G67" s="168">
        <f t="shared" si="22"/>
        <v>0</v>
      </c>
      <c r="H67" s="168">
        <f t="shared" si="22"/>
        <v>6</v>
      </c>
      <c r="I67" s="168">
        <f t="shared" si="22"/>
        <v>0</v>
      </c>
      <c r="J67" s="166" t="s">
        <v>12</v>
      </c>
      <c r="K67" s="170"/>
      <c r="L67" s="141"/>
    </row>
    <row r="68" spans="1:12" ht="13.5" thickBot="1" x14ac:dyDescent="0.25">
      <c r="A68" s="141"/>
      <c r="B68" s="154">
        <f t="shared" si="20"/>
        <v>146</v>
      </c>
      <c r="C68" s="168">
        <v>2</v>
      </c>
      <c r="D68" s="168">
        <v>0</v>
      </c>
      <c r="E68" s="168">
        <v>0</v>
      </c>
      <c r="F68" s="168">
        <v>96</v>
      </c>
      <c r="G68" s="168">
        <v>0</v>
      </c>
      <c r="H68" s="168">
        <v>48</v>
      </c>
      <c r="I68" s="168">
        <v>0</v>
      </c>
      <c r="J68" s="166" t="s">
        <v>9</v>
      </c>
      <c r="K68" s="159"/>
      <c r="L68" s="141"/>
    </row>
    <row r="69" spans="1:12" ht="13.5" thickBot="1" x14ac:dyDescent="0.25">
      <c r="A69" s="141"/>
      <c r="B69" s="154">
        <f t="shared" si="20"/>
        <v>12</v>
      </c>
      <c r="C69" s="168">
        <v>0</v>
      </c>
      <c r="D69" s="168">
        <v>1</v>
      </c>
      <c r="E69" s="168">
        <v>0</v>
      </c>
      <c r="F69" s="168">
        <v>9</v>
      </c>
      <c r="G69" s="168">
        <v>0</v>
      </c>
      <c r="H69" s="168">
        <v>2</v>
      </c>
      <c r="I69" s="168">
        <v>0</v>
      </c>
      <c r="J69" s="166" t="s">
        <v>10</v>
      </c>
      <c r="K69" s="159" t="s">
        <v>31</v>
      </c>
      <c r="L69" s="141"/>
    </row>
    <row r="70" spans="1:12" ht="13.5" thickBot="1" x14ac:dyDescent="0.25">
      <c r="A70" s="141"/>
      <c r="B70" s="154">
        <f t="shared" ref="B70:I70" si="23">SUM(B68:B69)</f>
        <v>158</v>
      </c>
      <c r="C70" s="168">
        <f t="shared" si="23"/>
        <v>2</v>
      </c>
      <c r="D70" s="168">
        <f t="shared" si="23"/>
        <v>1</v>
      </c>
      <c r="E70" s="168">
        <f t="shared" si="23"/>
        <v>0</v>
      </c>
      <c r="F70" s="168">
        <f t="shared" si="23"/>
        <v>105</v>
      </c>
      <c r="G70" s="168">
        <f t="shared" si="23"/>
        <v>0</v>
      </c>
      <c r="H70" s="168">
        <f t="shared" si="23"/>
        <v>50</v>
      </c>
      <c r="I70" s="168">
        <f t="shared" si="23"/>
        <v>0</v>
      </c>
      <c r="J70" s="166" t="s">
        <v>12</v>
      </c>
      <c r="K70" s="170"/>
      <c r="L70" s="141"/>
    </row>
    <row r="71" spans="1:12" ht="13.5" thickBot="1" x14ac:dyDescent="0.25">
      <c r="A71" s="141"/>
      <c r="B71" s="154">
        <f t="shared" ref="B71:I73" si="24">B5+B8+B11+B14+B17+B20+B23+B26+B29+B32+B35+B38+B41+B44+B47+B50+B53+B56+B59+B62+B65+B68</f>
        <v>969</v>
      </c>
      <c r="C71" s="154">
        <f t="shared" si="24"/>
        <v>79</v>
      </c>
      <c r="D71" s="154">
        <f t="shared" si="24"/>
        <v>184</v>
      </c>
      <c r="E71" s="154">
        <f t="shared" si="24"/>
        <v>56</v>
      </c>
      <c r="F71" s="154">
        <f t="shared" si="24"/>
        <v>176</v>
      </c>
      <c r="G71" s="154">
        <f t="shared" si="24"/>
        <v>11</v>
      </c>
      <c r="H71" s="154">
        <f t="shared" si="24"/>
        <v>362</v>
      </c>
      <c r="I71" s="154">
        <f>I5+I8+I11+I14+I17+I20+I23+I26+I29+I32+I35+I38+I41+I44+I47+I50+I53+I56+I59+I62+I65+I68</f>
        <v>101</v>
      </c>
      <c r="J71" s="166" t="s">
        <v>9</v>
      </c>
      <c r="K71" s="167"/>
      <c r="L71" s="141"/>
    </row>
    <row r="72" spans="1:12" ht="13.5" thickBot="1" x14ac:dyDescent="0.25">
      <c r="A72" s="141"/>
      <c r="B72" s="154">
        <f t="shared" si="24"/>
        <v>252</v>
      </c>
      <c r="C72" s="154">
        <f t="shared" si="24"/>
        <v>21</v>
      </c>
      <c r="D72" s="154">
        <f t="shared" si="24"/>
        <v>48</v>
      </c>
      <c r="E72" s="154">
        <f t="shared" si="24"/>
        <v>14</v>
      </c>
      <c r="F72" s="154">
        <f t="shared" si="24"/>
        <v>46</v>
      </c>
      <c r="G72" s="154">
        <f t="shared" si="24"/>
        <v>3</v>
      </c>
      <c r="H72" s="154">
        <f t="shared" si="24"/>
        <v>94</v>
      </c>
      <c r="I72" s="154">
        <f t="shared" si="24"/>
        <v>26</v>
      </c>
      <c r="J72" s="166" t="s">
        <v>10</v>
      </c>
      <c r="K72" s="169" t="s">
        <v>188</v>
      </c>
      <c r="L72" s="141"/>
    </row>
    <row r="73" spans="1:12" ht="13.5" thickBot="1" x14ac:dyDescent="0.25">
      <c r="A73" s="141"/>
      <c r="B73" s="154">
        <f t="shared" si="24"/>
        <v>1221</v>
      </c>
      <c r="C73" s="154">
        <f t="shared" si="24"/>
        <v>100</v>
      </c>
      <c r="D73" s="154">
        <f t="shared" si="24"/>
        <v>232</v>
      </c>
      <c r="E73" s="154">
        <f t="shared" si="24"/>
        <v>70</v>
      </c>
      <c r="F73" s="154">
        <f t="shared" si="24"/>
        <v>222</v>
      </c>
      <c r="G73" s="154">
        <f t="shared" si="24"/>
        <v>14</v>
      </c>
      <c r="H73" s="154">
        <f t="shared" si="24"/>
        <v>456</v>
      </c>
      <c r="I73" s="154">
        <f t="shared" si="24"/>
        <v>127</v>
      </c>
      <c r="J73" s="166" t="s">
        <v>12</v>
      </c>
      <c r="K73" s="153"/>
      <c r="L73" s="141"/>
    </row>
  </sheetData>
  <mergeCells count="2">
    <mergeCell ref="B2:K2"/>
    <mergeCell ref="B3:K3"/>
  </mergeCells>
  <printOptions horizontalCentered="1" verticalCentered="1"/>
  <pageMargins left="0.4" right="0.4" top="0" bottom="0" header="0.8" footer="0.8"/>
  <pageSetup paperSize="9" scale="98" orientation="landscape" r:id="rId1"/>
  <headerFooter alignWithMargins="0"/>
  <rowBreaks count="1" manualBreakCount="1">
    <brk id="37" max="1638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34"/>
  <sheetViews>
    <sheetView showGridLines="0" view="pageBreakPreview" zoomScale="91" zoomScaleNormal="100" zoomScaleSheetLayoutView="91" workbookViewId="0">
      <selection activeCell="K55" sqref="K55"/>
    </sheetView>
  </sheetViews>
  <sheetFormatPr defaultRowHeight="12.75" x14ac:dyDescent="0.2"/>
  <cols>
    <col min="1" max="1" width="6" style="142" customWidth="1"/>
    <col min="2" max="10" width="9.625" style="142" customWidth="1"/>
    <col min="11" max="11" width="24" style="142" customWidth="1"/>
    <col min="12" max="12" width="3.625" style="142" customWidth="1"/>
    <col min="13" max="16384" width="9" style="142"/>
  </cols>
  <sheetData>
    <row r="1" spans="1:12" ht="0.95" customHeight="1" x14ac:dyDescent="0.2">
      <c r="A1" s="141"/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</row>
    <row r="2" spans="1:12" ht="20.100000000000001" customHeight="1" x14ac:dyDescent="0.2">
      <c r="A2" s="141"/>
      <c r="B2" s="593" t="s">
        <v>898</v>
      </c>
      <c r="C2" s="594"/>
      <c r="D2" s="594"/>
      <c r="E2" s="594"/>
      <c r="F2" s="594"/>
      <c r="G2" s="594"/>
      <c r="H2" s="594"/>
      <c r="I2" s="594"/>
      <c r="J2" s="594"/>
      <c r="K2" s="594"/>
      <c r="L2" s="141"/>
    </row>
    <row r="3" spans="1:12" ht="20.100000000000001" customHeight="1" thickBot="1" x14ac:dyDescent="0.25">
      <c r="A3" s="141"/>
      <c r="B3" s="595" t="s">
        <v>899</v>
      </c>
      <c r="C3" s="595"/>
      <c r="D3" s="595"/>
      <c r="E3" s="595"/>
      <c r="F3" s="595"/>
      <c r="G3" s="595"/>
      <c r="H3" s="595"/>
      <c r="I3" s="595"/>
      <c r="J3" s="595"/>
      <c r="K3" s="595"/>
      <c r="L3" s="141"/>
    </row>
    <row r="4" spans="1:12" ht="13.5" thickBot="1" x14ac:dyDescent="0.25">
      <c r="A4" s="141"/>
      <c r="B4" s="166" t="s">
        <v>244</v>
      </c>
      <c r="C4" s="166" t="s">
        <v>53</v>
      </c>
      <c r="D4" s="166" t="s">
        <v>58</v>
      </c>
      <c r="E4" s="166" t="s">
        <v>56</v>
      </c>
      <c r="F4" s="166" t="s">
        <v>57</v>
      </c>
      <c r="G4" s="166" t="s">
        <v>59</v>
      </c>
      <c r="H4" s="166" t="s">
        <v>60</v>
      </c>
      <c r="I4" s="166" t="s">
        <v>61</v>
      </c>
      <c r="J4" s="167" t="s">
        <v>7</v>
      </c>
      <c r="K4" s="152" t="s">
        <v>895</v>
      </c>
      <c r="L4" s="141"/>
    </row>
    <row r="5" spans="1:12" ht="13.5" thickBot="1" x14ac:dyDescent="0.25">
      <c r="A5" s="141"/>
      <c r="B5" s="168">
        <f>SUM(C5:I5)</f>
        <v>1</v>
      </c>
      <c r="C5" s="168">
        <v>0</v>
      </c>
      <c r="D5" s="168">
        <v>0</v>
      </c>
      <c r="E5" s="168">
        <v>0</v>
      </c>
      <c r="F5" s="168">
        <v>0</v>
      </c>
      <c r="G5" s="168">
        <v>0</v>
      </c>
      <c r="H5" s="168">
        <v>1</v>
      </c>
      <c r="I5" s="168">
        <v>0</v>
      </c>
      <c r="J5" s="166" t="s">
        <v>9</v>
      </c>
      <c r="K5" s="159"/>
      <c r="L5" s="141"/>
    </row>
    <row r="6" spans="1:12" ht="13.5" thickBot="1" x14ac:dyDescent="0.25">
      <c r="A6" s="141"/>
      <c r="B6" s="168">
        <f t="shared" ref="B6:B30" si="0">SUM(C6:I6)</f>
        <v>6</v>
      </c>
      <c r="C6" s="168">
        <v>0</v>
      </c>
      <c r="D6" s="168">
        <v>0</v>
      </c>
      <c r="E6" s="168">
        <v>0</v>
      </c>
      <c r="F6" s="168">
        <v>0</v>
      </c>
      <c r="G6" s="168">
        <v>0</v>
      </c>
      <c r="H6" s="168">
        <v>6</v>
      </c>
      <c r="I6" s="168">
        <v>0</v>
      </c>
      <c r="J6" s="166" t="s">
        <v>10</v>
      </c>
      <c r="K6" s="159" t="s">
        <v>13</v>
      </c>
      <c r="L6" s="141"/>
    </row>
    <row r="7" spans="1:12" ht="13.5" thickBot="1" x14ac:dyDescent="0.25">
      <c r="A7" s="141"/>
      <c r="B7" s="168">
        <f t="shared" ref="B7:H7" si="1">SUM(B5:B6)</f>
        <v>7</v>
      </c>
      <c r="C7" s="168">
        <f t="shared" si="1"/>
        <v>0</v>
      </c>
      <c r="D7" s="168">
        <f t="shared" si="1"/>
        <v>0</v>
      </c>
      <c r="E7" s="168">
        <f t="shared" si="1"/>
        <v>0</v>
      </c>
      <c r="F7" s="168">
        <f t="shared" si="1"/>
        <v>0</v>
      </c>
      <c r="G7" s="168">
        <f t="shared" si="1"/>
        <v>0</v>
      </c>
      <c r="H7" s="168">
        <f t="shared" si="1"/>
        <v>7</v>
      </c>
      <c r="I7" s="168">
        <f>SUM(I5:I6)</f>
        <v>0</v>
      </c>
      <c r="J7" s="166" t="s">
        <v>12</v>
      </c>
      <c r="K7" s="170"/>
      <c r="L7" s="141"/>
    </row>
    <row r="8" spans="1:12" ht="13.5" thickBot="1" x14ac:dyDescent="0.25">
      <c r="A8" s="141"/>
      <c r="B8" s="168">
        <f t="shared" si="0"/>
        <v>2</v>
      </c>
      <c r="C8" s="168">
        <v>0</v>
      </c>
      <c r="D8" s="168">
        <v>0</v>
      </c>
      <c r="E8" s="168">
        <v>1</v>
      </c>
      <c r="F8" s="168">
        <v>0</v>
      </c>
      <c r="G8" s="168">
        <v>0</v>
      </c>
      <c r="H8" s="168">
        <v>0</v>
      </c>
      <c r="I8" s="168">
        <v>1</v>
      </c>
      <c r="J8" s="166" t="s">
        <v>9</v>
      </c>
      <c r="K8" s="159"/>
      <c r="L8" s="141"/>
    </row>
    <row r="9" spans="1:12" ht="13.5" thickBot="1" x14ac:dyDescent="0.25">
      <c r="A9" s="141"/>
      <c r="B9" s="168">
        <f t="shared" si="0"/>
        <v>1</v>
      </c>
      <c r="C9" s="168">
        <v>0</v>
      </c>
      <c r="D9" s="168">
        <v>0</v>
      </c>
      <c r="E9" s="168">
        <v>0</v>
      </c>
      <c r="F9" s="168">
        <v>0</v>
      </c>
      <c r="G9" s="168">
        <v>0</v>
      </c>
      <c r="H9" s="168">
        <v>1</v>
      </c>
      <c r="I9" s="168">
        <v>0</v>
      </c>
      <c r="J9" s="166" t="s">
        <v>10</v>
      </c>
      <c r="K9" s="159" t="s">
        <v>15</v>
      </c>
      <c r="L9" s="141"/>
    </row>
    <row r="10" spans="1:12" ht="13.5" thickBot="1" x14ac:dyDescent="0.25">
      <c r="A10" s="141"/>
      <c r="B10" s="168">
        <f t="shared" ref="B10:H10" si="2">SUM(B8:B9)</f>
        <v>3</v>
      </c>
      <c r="C10" s="168">
        <f t="shared" si="2"/>
        <v>0</v>
      </c>
      <c r="D10" s="168">
        <f t="shared" si="2"/>
        <v>0</v>
      </c>
      <c r="E10" s="168">
        <f t="shared" si="2"/>
        <v>1</v>
      </c>
      <c r="F10" s="168">
        <f t="shared" si="2"/>
        <v>0</v>
      </c>
      <c r="G10" s="168">
        <f t="shared" si="2"/>
        <v>0</v>
      </c>
      <c r="H10" s="168">
        <f t="shared" si="2"/>
        <v>1</v>
      </c>
      <c r="I10" s="168">
        <f>SUM(I8:I9)</f>
        <v>1</v>
      </c>
      <c r="J10" s="166" t="s">
        <v>12</v>
      </c>
      <c r="K10" s="170"/>
      <c r="L10" s="141"/>
    </row>
    <row r="11" spans="1:12" ht="13.5" thickBot="1" x14ac:dyDescent="0.25">
      <c r="A11" s="141"/>
      <c r="B11" s="168">
        <f t="shared" si="0"/>
        <v>14</v>
      </c>
      <c r="C11" s="168">
        <v>0</v>
      </c>
      <c r="D11" s="168">
        <v>0</v>
      </c>
      <c r="E11" s="168">
        <v>0</v>
      </c>
      <c r="F11" s="168">
        <v>0</v>
      </c>
      <c r="G11" s="168">
        <v>0</v>
      </c>
      <c r="H11" s="168">
        <v>14</v>
      </c>
      <c r="I11" s="168">
        <v>0</v>
      </c>
      <c r="J11" s="166" t="s">
        <v>9</v>
      </c>
      <c r="K11" s="159"/>
      <c r="L11" s="141"/>
    </row>
    <row r="12" spans="1:12" ht="13.5" thickBot="1" x14ac:dyDescent="0.25">
      <c r="A12" s="141"/>
      <c r="B12" s="168">
        <f t="shared" si="0"/>
        <v>5</v>
      </c>
      <c r="C12" s="168">
        <v>0</v>
      </c>
      <c r="D12" s="168">
        <v>0</v>
      </c>
      <c r="E12" s="168">
        <v>0</v>
      </c>
      <c r="F12" s="168">
        <v>0</v>
      </c>
      <c r="G12" s="168">
        <v>2</v>
      </c>
      <c r="H12" s="168">
        <v>3</v>
      </c>
      <c r="I12" s="168">
        <v>0</v>
      </c>
      <c r="J12" s="166" t="s">
        <v>10</v>
      </c>
      <c r="K12" s="159" t="s">
        <v>17</v>
      </c>
      <c r="L12" s="141"/>
    </row>
    <row r="13" spans="1:12" ht="13.5" thickBot="1" x14ac:dyDescent="0.25">
      <c r="A13" s="141"/>
      <c r="B13" s="168">
        <f t="shared" ref="B13:H13" si="3">SUM(B11:B12)</f>
        <v>19</v>
      </c>
      <c r="C13" s="168">
        <f t="shared" si="3"/>
        <v>0</v>
      </c>
      <c r="D13" s="168">
        <f t="shared" si="3"/>
        <v>0</v>
      </c>
      <c r="E13" s="168">
        <f t="shared" si="3"/>
        <v>0</v>
      </c>
      <c r="F13" s="168">
        <f t="shared" si="3"/>
        <v>0</v>
      </c>
      <c r="G13" s="168">
        <f t="shared" si="3"/>
        <v>2</v>
      </c>
      <c r="H13" s="168">
        <f t="shared" si="3"/>
        <v>17</v>
      </c>
      <c r="I13" s="168">
        <f>SUM(I11:I12)</f>
        <v>0</v>
      </c>
      <c r="J13" s="166" t="s">
        <v>12</v>
      </c>
      <c r="K13" s="170"/>
      <c r="L13" s="141"/>
    </row>
    <row r="14" spans="1:12" ht="13.5" thickBot="1" x14ac:dyDescent="0.25">
      <c r="A14" s="141"/>
      <c r="B14" s="168">
        <f t="shared" si="0"/>
        <v>19</v>
      </c>
      <c r="C14" s="168">
        <v>0</v>
      </c>
      <c r="D14" s="168">
        <v>0</v>
      </c>
      <c r="E14" s="168">
        <v>0</v>
      </c>
      <c r="F14" s="168">
        <v>8</v>
      </c>
      <c r="G14" s="168">
        <v>0</v>
      </c>
      <c r="H14" s="168">
        <v>10</v>
      </c>
      <c r="I14" s="168">
        <v>1</v>
      </c>
      <c r="J14" s="166" t="s">
        <v>9</v>
      </c>
      <c r="K14" s="159"/>
      <c r="L14" s="141"/>
    </row>
    <row r="15" spans="1:12" ht="13.5" thickBot="1" x14ac:dyDescent="0.25">
      <c r="A15" s="141"/>
      <c r="B15" s="168">
        <f t="shared" si="0"/>
        <v>3</v>
      </c>
      <c r="C15" s="168">
        <v>0</v>
      </c>
      <c r="D15" s="168">
        <v>0</v>
      </c>
      <c r="E15" s="168">
        <v>0</v>
      </c>
      <c r="F15" s="168">
        <v>2</v>
      </c>
      <c r="G15" s="168">
        <v>0</v>
      </c>
      <c r="H15" s="168">
        <v>1</v>
      </c>
      <c r="I15" s="168">
        <v>0</v>
      </c>
      <c r="J15" s="166" t="s">
        <v>10</v>
      </c>
      <c r="K15" s="159" t="s">
        <v>20</v>
      </c>
      <c r="L15" s="141"/>
    </row>
    <row r="16" spans="1:12" ht="13.5" thickBot="1" x14ac:dyDescent="0.25">
      <c r="A16" s="141"/>
      <c r="B16" s="168">
        <f t="shared" ref="B16:H16" si="4">SUM(B14:B15)</f>
        <v>22</v>
      </c>
      <c r="C16" s="168">
        <f t="shared" si="4"/>
        <v>0</v>
      </c>
      <c r="D16" s="168">
        <f t="shared" si="4"/>
        <v>0</v>
      </c>
      <c r="E16" s="168">
        <f t="shared" si="4"/>
        <v>0</v>
      </c>
      <c r="F16" s="168">
        <f t="shared" si="4"/>
        <v>10</v>
      </c>
      <c r="G16" s="168">
        <f t="shared" si="4"/>
        <v>0</v>
      </c>
      <c r="H16" s="168">
        <f t="shared" si="4"/>
        <v>11</v>
      </c>
      <c r="I16" s="168">
        <f>SUM(I14:I15)</f>
        <v>1</v>
      </c>
      <c r="J16" s="166" t="s">
        <v>12</v>
      </c>
      <c r="K16" s="170"/>
      <c r="L16" s="141"/>
    </row>
    <row r="17" spans="2:11" ht="13.5" thickBot="1" x14ac:dyDescent="0.25">
      <c r="B17" s="168">
        <f t="shared" si="0"/>
        <v>2</v>
      </c>
      <c r="C17" s="168">
        <v>0</v>
      </c>
      <c r="D17" s="168">
        <v>0</v>
      </c>
      <c r="E17" s="168">
        <v>0</v>
      </c>
      <c r="F17" s="168">
        <v>0</v>
      </c>
      <c r="G17" s="168">
        <v>0</v>
      </c>
      <c r="H17" s="168">
        <v>2</v>
      </c>
      <c r="I17" s="168">
        <v>0</v>
      </c>
      <c r="J17" s="166" t="s">
        <v>9</v>
      </c>
      <c r="K17" s="159"/>
    </row>
    <row r="18" spans="2:11" ht="13.5" thickBot="1" x14ac:dyDescent="0.25">
      <c r="B18" s="168">
        <f t="shared" si="0"/>
        <v>0</v>
      </c>
      <c r="C18" s="168">
        <v>0</v>
      </c>
      <c r="D18" s="168">
        <v>0</v>
      </c>
      <c r="E18" s="168">
        <v>0</v>
      </c>
      <c r="F18" s="168">
        <v>0</v>
      </c>
      <c r="G18" s="168">
        <v>0</v>
      </c>
      <c r="H18" s="168">
        <v>0</v>
      </c>
      <c r="I18" s="168">
        <v>0</v>
      </c>
      <c r="J18" s="166" t="s">
        <v>10</v>
      </c>
      <c r="K18" s="159" t="s">
        <v>33</v>
      </c>
    </row>
    <row r="19" spans="2:11" ht="13.5" thickBot="1" x14ac:dyDescent="0.25">
      <c r="B19" s="168">
        <f t="shared" ref="B19:H19" si="5">SUM(B17:B18)</f>
        <v>2</v>
      </c>
      <c r="C19" s="168">
        <f t="shared" si="5"/>
        <v>0</v>
      </c>
      <c r="D19" s="168">
        <f t="shared" si="5"/>
        <v>0</v>
      </c>
      <c r="E19" s="168">
        <f t="shared" si="5"/>
        <v>0</v>
      </c>
      <c r="F19" s="168">
        <f t="shared" si="5"/>
        <v>0</v>
      </c>
      <c r="G19" s="168">
        <f t="shared" si="5"/>
        <v>0</v>
      </c>
      <c r="H19" s="168">
        <f t="shared" si="5"/>
        <v>2</v>
      </c>
      <c r="I19" s="168">
        <f>SUM(I17:I18)</f>
        <v>0</v>
      </c>
      <c r="J19" s="166" t="s">
        <v>12</v>
      </c>
      <c r="K19" s="170"/>
    </row>
    <row r="20" spans="2:11" ht="13.5" thickBot="1" x14ac:dyDescent="0.25">
      <c r="B20" s="168">
        <f t="shared" si="0"/>
        <v>287</v>
      </c>
      <c r="C20" s="168">
        <v>1</v>
      </c>
      <c r="D20" s="168">
        <v>0</v>
      </c>
      <c r="E20" s="168">
        <v>9</v>
      </c>
      <c r="F20" s="168">
        <v>9</v>
      </c>
      <c r="G20" s="168">
        <v>219</v>
      </c>
      <c r="H20" s="168">
        <v>47</v>
      </c>
      <c r="I20" s="168">
        <v>2</v>
      </c>
      <c r="J20" s="166" t="s">
        <v>9</v>
      </c>
      <c r="K20" s="159"/>
    </row>
    <row r="21" spans="2:11" ht="13.5" thickBot="1" x14ac:dyDescent="0.25">
      <c r="B21" s="168">
        <f t="shared" si="0"/>
        <v>70</v>
      </c>
      <c r="C21" s="168">
        <v>0</v>
      </c>
      <c r="D21" s="168">
        <v>0</v>
      </c>
      <c r="E21" s="168">
        <v>2</v>
      </c>
      <c r="F21" s="168">
        <v>3</v>
      </c>
      <c r="G21" s="168">
        <v>45</v>
      </c>
      <c r="H21" s="168">
        <v>16</v>
      </c>
      <c r="I21" s="168">
        <v>4</v>
      </c>
      <c r="J21" s="166" t="s">
        <v>10</v>
      </c>
      <c r="K21" s="159" t="s">
        <v>21</v>
      </c>
    </row>
    <row r="22" spans="2:11" ht="13.5" thickBot="1" x14ac:dyDescent="0.25">
      <c r="B22" s="168">
        <f t="shared" ref="B22:H22" si="6">SUM(B20:B21)</f>
        <v>357</v>
      </c>
      <c r="C22" s="168">
        <f t="shared" si="6"/>
        <v>1</v>
      </c>
      <c r="D22" s="168">
        <f t="shared" si="6"/>
        <v>0</v>
      </c>
      <c r="E22" s="168">
        <f t="shared" si="6"/>
        <v>11</v>
      </c>
      <c r="F22" s="168">
        <f t="shared" si="6"/>
        <v>12</v>
      </c>
      <c r="G22" s="168">
        <f t="shared" si="6"/>
        <v>264</v>
      </c>
      <c r="H22" s="168">
        <f t="shared" si="6"/>
        <v>63</v>
      </c>
      <c r="I22" s="168">
        <f>SUM(I20:I21)</f>
        <v>6</v>
      </c>
      <c r="J22" s="166" t="s">
        <v>12</v>
      </c>
      <c r="K22" s="170"/>
    </row>
    <row r="23" spans="2:11" ht="13.5" thickBot="1" x14ac:dyDescent="0.25">
      <c r="B23" s="168">
        <f t="shared" si="0"/>
        <v>104</v>
      </c>
      <c r="C23" s="168">
        <v>0</v>
      </c>
      <c r="D23" s="168">
        <v>0</v>
      </c>
      <c r="E23" s="168">
        <v>3</v>
      </c>
      <c r="F23" s="168">
        <v>28</v>
      </c>
      <c r="G23" s="168">
        <v>0</v>
      </c>
      <c r="H23" s="168">
        <v>63</v>
      </c>
      <c r="I23" s="168">
        <v>10</v>
      </c>
      <c r="J23" s="166" t="s">
        <v>9</v>
      </c>
      <c r="K23" s="159"/>
    </row>
    <row r="24" spans="2:11" ht="13.5" thickBot="1" x14ac:dyDescent="0.25">
      <c r="B24" s="168">
        <f t="shared" si="0"/>
        <v>26</v>
      </c>
      <c r="C24" s="168">
        <v>1</v>
      </c>
      <c r="D24" s="168">
        <v>0</v>
      </c>
      <c r="E24" s="168">
        <v>1</v>
      </c>
      <c r="F24" s="168">
        <v>7</v>
      </c>
      <c r="G24" s="168">
        <v>10</v>
      </c>
      <c r="H24" s="168">
        <v>7</v>
      </c>
      <c r="I24" s="168">
        <v>0</v>
      </c>
      <c r="J24" s="166" t="s">
        <v>10</v>
      </c>
      <c r="K24" s="159" t="s">
        <v>23</v>
      </c>
    </row>
    <row r="25" spans="2:11" ht="13.5" thickBot="1" x14ac:dyDescent="0.25">
      <c r="B25" s="168">
        <f t="shared" ref="B25:H25" si="7">SUM(B23:B24)</f>
        <v>130</v>
      </c>
      <c r="C25" s="168">
        <f t="shared" si="7"/>
        <v>1</v>
      </c>
      <c r="D25" s="168">
        <f t="shared" si="7"/>
        <v>0</v>
      </c>
      <c r="E25" s="168">
        <f t="shared" si="7"/>
        <v>4</v>
      </c>
      <c r="F25" s="168">
        <f t="shared" si="7"/>
        <v>35</v>
      </c>
      <c r="G25" s="168">
        <f t="shared" si="7"/>
        <v>10</v>
      </c>
      <c r="H25" s="168">
        <f t="shared" si="7"/>
        <v>70</v>
      </c>
      <c r="I25" s="168">
        <f>SUM(I23:I24)</f>
        <v>10</v>
      </c>
      <c r="J25" s="166" t="s">
        <v>12</v>
      </c>
      <c r="K25" s="170"/>
    </row>
    <row r="26" spans="2:11" ht="13.5" thickBot="1" x14ac:dyDescent="0.25">
      <c r="B26" s="168">
        <f t="shared" si="0"/>
        <v>13</v>
      </c>
      <c r="C26" s="168">
        <v>0</v>
      </c>
      <c r="D26" s="168">
        <v>0</v>
      </c>
      <c r="E26" s="168">
        <v>2</v>
      </c>
      <c r="F26" s="168">
        <v>2</v>
      </c>
      <c r="G26" s="168">
        <v>1</v>
      </c>
      <c r="H26" s="168">
        <v>8</v>
      </c>
      <c r="I26" s="168">
        <v>0</v>
      </c>
      <c r="J26" s="166" t="s">
        <v>9</v>
      </c>
      <c r="K26" s="159"/>
    </row>
    <row r="27" spans="2:11" ht="13.5" thickBot="1" x14ac:dyDescent="0.25">
      <c r="B27" s="168">
        <f t="shared" si="0"/>
        <v>10</v>
      </c>
      <c r="C27" s="168">
        <v>0</v>
      </c>
      <c r="D27" s="168">
        <v>0</v>
      </c>
      <c r="E27" s="168">
        <v>2</v>
      </c>
      <c r="F27" s="168">
        <v>2</v>
      </c>
      <c r="G27" s="168">
        <v>0</v>
      </c>
      <c r="H27" s="168">
        <v>6</v>
      </c>
      <c r="I27" s="168">
        <v>0</v>
      </c>
      <c r="J27" s="166" t="s">
        <v>10</v>
      </c>
      <c r="K27" s="159" t="s">
        <v>24</v>
      </c>
    </row>
    <row r="28" spans="2:11" ht="13.5" thickBot="1" x14ac:dyDescent="0.25">
      <c r="B28" s="168">
        <f t="shared" ref="B28:H28" si="8">SUM(B26:B27)</f>
        <v>23</v>
      </c>
      <c r="C28" s="168">
        <f t="shared" si="8"/>
        <v>0</v>
      </c>
      <c r="D28" s="168">
        <f t="shared" si="8"/>
        <v>0</v>
      </c>
      <c r="E28" s="168">
        <f t="shared" si="8"/>
        <v>4</v>
      </c>
      <c r="F28" s="168">
        <f t="shared" si="8"/>
        <v>4</v>
      </c>
      <c r="G28" s="168">
        <f t="shared" si="8"/>
        <v>1</v>
      </c>
      <c r="H28" s="168">
        <f t="shared" si="8"/>
        <v>14</v>
      </c>
      <c r="I28" s="168">
        <f>SUM(I26:I27)</f>
        <v>0</v>
      </c>
      <c r="J28" s="166" t="s">
        <v>12</v>
      </c>
      <c r="K28" s="170"/>
    </row>
    <row r="29" spans="2:11" ht="13.5" thickBot="1" x14ac:dyDescent="0.25">
      <c r="B29" s="168">
        <f t="shared" si="0"/>
        <v>20</v>
      </c>
      <c r="C29" s="168">
        <v>0</v>
      </c>
      <c r="D29" s="168">
        <v>0</v>
      </c>
      <c r="E29" s="168">
        <v>0</v>
      </c>
      <c r="F29" s="168">
        <v>9</v>
      </c>
      <c r="G29" s="168">
        <v>0</v>
      </c>
      <c r="H29" s="168">
        <v>9</v>
      </c>
      <c r="I29" s="168">
        <v>2</v>
      </c>
      <c r="J29" s="166" t="s">
        <v>9</v>
      </c>
      <c r="K29" s="159"/>
    </row>
    <row r="30" spans="2:11" ht="13.5" thickBot="1" x14ac:dyDescent="0.25">
      <c r="B30" s="168">
        <f t="shared" si="0"/>
        <v>0</v>
      </c>
      <c r="C30" s="168">
        <v>0</v>
      </c>
      <c r="D30" s="168">
        <v>0</v>
      </c>
      <c r="E30" s="168">
        <v>0</v>
      </c>
      <c r="F30" s="168">
        <v>0</v>
      </c>
      <c r="G30" s="168">
        <v>0</v>
      </c>
      <c r="H30" s="168">
        <v>0</v>
      </c>
      <c r="I30" s="168">
        <v>0</v>
      </c>
      <c r="J30" s="166" t="s">
        <v>10</v>
      </c>
      <c r="K30" s="159" t="s">
        <v>25</v>
      </c>
    </row>
    <row r="31" spans="2:11" ht="13.5" thickBot="1" x14ac:dyDescent="0.25">
      <c r="B31" s="168">
        <f t="shared" ref="B31:H31" si="9">SUM(B29:B30)</f>
        <v>20</v>
      </c>
      <c r="C31" s="168">
        <f t="shared" si="9"/>
        <v>0</v>
      </c>
      <c r="D31" s="168">
        <f t="shared" si="9"/>
        <v>0</v>
      </c>
      <c r="E31" s="168">
        <f t="shared" si="9"/>
        <v>0</v>
      </c>
      <c r="F31" s="168">
        <f t="shared" si="9"/>
        <v>9</v>
      </c>
      <c r="G31" s="168">
        <f t="shared" si="9"/>
        <v>0</v>
      </c>
      <c r="H31" s="168">
        <f t="shared" si="9"/>
        <v>9</v>
      </c>
      <c r="I31" s="168">
        <f>SUM(I29:I30)</f>
        <v>2</v>
      </c>
      <c r="J31" s="166" t="s">
        <v>12</v>
      </c>
      <c r="K31" s="170"/>
    </row>
    <row r="32" spans="2:11" ht="13.5" thickBot="1" x14ac:dyDescent="0.25">
      <c r="B32" s="154">
        <f t="shared" ref="B32:I34" si="10">B5+B8+B11+B14+B17+B20+B23+B26+B29</f>
        <v>462</v>
      </c>
      <c r="C32" s="154">
        <f t="shared" si="10"/>
        <v>1</v>
      </c>
      <c r="D32" s="154">
        <f t="shared" si="10"/>
        <v>0</v>
      </c>
      <c r="E32" s="154">
        <f t="shared" si="10"/>
        <v>15</v>
      </c>
      <c r="F32" s="154">
        <f t="shared" si="10"/>
        <v>56</v>
      </c>
      <c r="G32" s="154">
        <f t="shared" si="10"/>
        <v>220</v>
      </c>
      <c r="H32" s="154">
        <f t="shared" si="10"/>
        <v>154</v>
      </c>
      <c r="I32" s="154">
        <f>I5+I8+I11+I14+I17+I20+I23+I26+I29</f>
        <v>16</v>
      </c>
      <c r="J32" s="166" t="s">
        <v>9</v>
      </c>
      <c r="K32" s="167"/>
    </row>
    <row r="33" spans="2:11" ht="13.5" thickBot="1" x14ac:dyDescent="0.25">
      <c r="B33" s="154">
        <f t="shared" si="10"/>
        <v>121</v>
      </c>
      <c r="C33" s="154">
        <f t="shared" si="10"/>
        <v>1</v>
      </c>
      <c r="D33" s="154">
        <f t="shared" si="10"/>
        <v>0</v>
      </c>
      <c r="E33" s="154">
        <f t="shared" si="10"/>
        <v>5</v>
      </c>
      <c r="F33" s="154">
        <f t="shared" si="10"/>
        <v>14</v>
      </c>
      <c r="G33" s="154">
        <f t="shared" si="10"/>
        <v>57</v>
      </c>
      <c r="H33" s="154">
        <f t="shared" si="10"/>
        <v>40</v>
      </c>
      <c r="I33" s="154">
        <f t="shared" si="10"/>
        <v>4</v>
      </c>
      <c r="J33" s="166" t="s">
        <v>10</v>
      </c>
      <c r="K33" s="169" t="s">
        <v>188</v>
      </c>
    </row>
    <row r="34" spans="2:11" ht="13.5" thickBot="1" x14ac:dyDescent="0.25">
      <c r="B34" s="154">
        <f t="shared" si="10"/>
        <v>583</v>
      </c>
      <c r="C34" s="154">
        <f t="shared" si="10"/>
        <v>2</v>
      </c>
      <c r="D34" s="154">
        <f t="shared" si="10"/>
        <v>0</v>
      </c>
      <c r="E34" s="154">
        <f t="shared" si="10"/>
        <v>20</v>
      </c>
      <c r="F34" s="154">
        <f t="shared" si="10"/>
        <v>70</v>
      </c>
      <c r="G34" s="154">
        <f t="shared" si="10"/>
        <v>277</v>
      </c>
      <c r="H34" s="154">
        <f t="shared" si="10"/>
        <v>194</v>
      </c>
      <c r="I34" s="154">
        <f t="shared" si="10"/>
        <v>20</v>
      </c>
      <c r="J34" s="166" t="s">
        <v>12</v>
      </c>
      <c r="K34" s="153"/>
    </row>
  </sheetData>
  <mergeCells count="2">
    <mergeCell ref="B2:K2"/>
    <mergeCell ref="B3:K3"/>
  </mergeCells>
  <conditionalFormatting sqref="B5:I34">
    <cfRule type="cellIs" dxfId="0" priority="1" operator="lessThan">
      <formula>0</formula>
    </cfRule>
  </conditionalFormatting>
  <printOptions horizontalCentered="1" verticalCentered="1"/>
  <pageMargins left="0.4" right="0.4" top="0" bottom="0" header="0.8" footer="0.8"/>
  <pageSetup paperSize="9" orientation="landscape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72"/>
  <sheetViews>
    <sheetView showGridLines="0" topLeftCell="A13" workbookViewId="0">
      <selection activeCell="K78" sqref="K78"/>
    </sheetView>
  </sheetViews>
  <sheetFormatPr defaultRowHeight="12.75" x14ac:dyDescent="0.2"/>
  <cols>
    <col min="1" max="1" width="3.75" style="142" customWidth="1"/>
    <col min="2" max="12" width="7.25" style="142" customWidth="1"/>
    <col min="13" max="13" width="9.625" style="142" customWidth="1"/>
    <col min="14" max="14" width="24" style="142" customWidth="1"/>
    <col min="15" max="15" width="3.5" style="142" customWidth="1"/>
    <col min="16" max="16384" width="9" style="142"/>
  </cols>
  <sheetData>
    <row r="1" spans="1:15" ht="20.100000000000001" customHeight="1" x14ac:dyDescent="0.2">
      <c r="A1" s="141"/>
      <c r="B1" s="593" t="s">
        <v>900</v>
      </c>
      <c r="C1" s="594"/>
      <c r="D1" s="594"/>
      <c r="E1" s="594"/>
      <c r="F1" s="594"/>
      <c r="G1" s="594"/>
      <c r="H1" s="594"/>
      <c r="I1" s="594"/>
      <c r="J1" s="594"/>
      <c r="K1" s="594"/>
      <c r="L1" s="594"/>
      <c r="M1" s="594"/>
      <c r="N1" s="594"/>
      <c r="O1" s="141"/>
    </row>
    <row r="2" spans="1:15" ht="20.100000000000001" customHeight="1" thickBot="1" x14ac:dyDescent="0.25">
      <c r="A2" s="141"/>
      <c r="B2" s="595" t="s">
        <v>901</v>
      </c>
      <c r="C2" s="595"/>
      <c r="D2" s="595"/>
      <c r="E2" s="595"/>
      <c r="F2" s="595"/>
      <c r="G2" s="595"/>
      <c r="H2" s="595"/>
      <c r="I2" s="595"/>
      <c r="J2" s="595"/>
      <c r="K2" s="595"/>
      <c r="L2" s="595"/>
      <c r="M2" s="595"/>
      <c r="N2" s="595"/>
      <c r="O2" s="141"/>
    </row>
    <row r="3" spans="1:15" ht="26.25" thickBot="1" x14ac:dyDescent="0.25">
      <c r="A3" s="141"/>
      <c r="B3" s="168" t="s">
        <v>244</v>
      </c>
      <c r="C3" s="168" t="s">
        <v>53</v>
      </c>
      <c r="D3" s="168" t="s">
        <v>52</v>
      </c>
      <c r="E3" s="168" t="s">
        <v>902</v>
      </c>
      <c r="F3" s="168" t="s">
        <v>50</v>
      </c>
      <c r="G3" s="168" t="s">
        <v>49</v>
      </c>
      <c r="H3" s="168" t="s">
        <v>48</v>
      </c>
      <c r="I3" s="168" t="s">
        <v>47</v>
      </c>
      <c r="J3" s="168" t="s">
        <v>903</v>
      </c>
      <c r="K3" s="168" t="s">
        <v>45</v>
      </c>
      <c r="L3" s="168" t="s">
        <v>44</v>
      </c>
      <c r="M3" s="171" t="s">
        <v>7</v>
      </c>
      <c r="N3" s="172" t="s">
        <v>895</v>
      </c>
      <c r="O3" s="141"/>
    </row>
    <row r="4" spans="1:15" ht="13.5" thickBot="1" x14ac:dyDescent="0.25">
      <c r="A4" s="141"/>
      <c r="B4" s="173">
        <f>SUM(C4:L4)</f>
        <v>1</v>
      </c>
      <c r="C4" s="173">
        <v>0</v>
      </c>
      <c r="D4" s="173">
        <v>0</v>
      </c>
      <c r="E4" s="173">
        <v>0</v>
      </c>
      <c r="F4" s="173">
        <v>0</v>
      </c>
      <c r="G4" s="173">
        <v>1</v>
      </c>
      <c r="H4" s="173">
        <v>0</v>
      </c>
      <c r="I4" s="173">
        <v>0</v>
      </c>
      <c r="J4" s="173">
        <v>0</v>
      </c>
      <c r="K4" s="173">
        <v>0</v>
      </c>
      <c r="L4" s="173">
        <v>0</v>
      </c>
      <c r="M4" s="168" t="s">
        <v>9</v>
      </c>
      <c r="N4" s="174"/>
      <c r="O4" s="141"/>
    </row>
    <row r="5" spans="1:15" ht="13.5" thickBot="1" x14ac:dyDescent="0.25">
      <c r="A5" s="141"/>
      <c r="B5" s="173">
        <f t="shared" ref="B5:B68" si="0">SUM(C5:L5)</f>
        <v>1</v>
      </c>
      <c r="C5" s="173">
        <v>0</v>
      </c>
      <c r="D5" s="173">
        <v>0</v>
      </c>
      <c r="E5" s="173">
        <v>0</v>
      </c>
      <c r="F5" s="173">
        <v>0</v>
      </c>
      <c r="G5" s="173">
        <v>0</v>
      </c>
      <c r="H5" s="173">
        <v>0</v>
      </c>
      <c r="I5" s="173">
        <v>0</v>
      </c>
      <c r="J5" s="173">
        <v>1</v>
      </c>
      <c r="K5" s="173">
        <v>0</v>
      </c>
      <c r="L5" s="173">
        <v>0</v>
      </c>
      <c r="M5" s="168" t="s">
        <v>10</v>
      </c>
      <c r="N5" s="174" t="s">
        <v>11</v>
      </c>
      <c r="O5" s="141"/>
    </row>
    <row r="6" spans="1:15" ht="13.5" thickBot="1" x14ac:dyDescent="0.25">
      <c r="A6" s="141"/>
      <c r="B6" s="173">
        <f t="shared" ref="B6:K6" si="1">SUM(B4:B5)</f>
        <v>2</v>
      </c>
      <c r="C6" s="173">
        <f t="shared" si="1"/>
        <v>0</v>
      </c>
      <c r="D6" s="173">
        <f t="shared" si="1"/>
        <v>0</v>
      </c>
      <c r="E6" s="173">
        <f t="shared" si="1"/>
        <v>0</v>
      </c>
      <c r="F6" s="173">
        <f t="shared" si="1"/>
        <v>0</v>
      </c>
      <c r="G6" s="173">
        <f t="shared" si="1"/>
        <v>1</v>
      </c>
      <c r="H6" s="173">
        <f t="shared" si="1"/>
        <v>0</v>
      </c>
      <c r="I6" s="173">
        <f t="shared" si="1"/>
        <v>0</v>
      </c>
      <c r="J6" s="173">
        <f t="shared" si="1"/>
        <v>1</v>
      </c>
      <c r="K6" s="173">
        <f t="shared" si="1"/>
        <v>0</v>
      </c>
      <c r="L6" s="173">
        <f>SUM(L4:L5)</f>
        <v>0</v>
      </c>
      <c r="M6" s="168" t="s">
        <v>12</v>
      </c>
      <c r="N6" s="175"/>
      <c r="O6" s="141"/>
    </row>
    <row r="7" spans="1:15" ht="13.5" thickBot="1" x14ac:dyDescent="0.25">
      <c r="A7" s="141"/>
      <c r="B7" s="173">
        <f t="shared" si="0"/>
        <v>3</v>
      </c>
      <c r="C7" s="173">
        <v>0</v>
      </c>
      <c r="D7" s="173">
        <v>0</v>
      </c>
      <c r="E7" s="173">
        <v>0</v>
      </c>
      <c r="F7" s="173">
        <v>0</v>
      </c>
      <c r="G7" s="173">
        <v>1</v>
      </c>
      <c r="H7" s="173">
        <v>1</v>
      </c>
      <c r="I7" s="173">
        <v>0</v>
      </c>
      <c r="J7" s="173">
        <v>0</v>
      </c>
      <c r="K7" s="173">
        <v>1</v>
      </c>
      <c r="L7" s="173">
        <v>0</v>
      </c>
      <c r="M7" s="168" t="s">
        <v>9</v>
      </c>
      <c r="N7" s="174"/>
      <c r="O7" s="141"/>
    </row>
    <row r="8" spans="1:15" ht="13.5" thickBot="1" x14ac:dyDescent="0.25">
      <c r="A8" s="141"/>
      <c r="B8" s="173">
        <f t="shared" si="0"/>
        <v>6</v>
      </c>
      <c r="C8" s="173">
        <v>0</v>
      </c>
      <c r="D8" s="173">
        <v>0</v>
      </c>
      <c r="E8" s="173">
        <v>0</v>
      </c>
      <c r="F8" s="173">
        <v>0</v>
      </c>
      <c r="G8" s="173">
        <v>1</v>
      </c>
      <c r="H8" s="173">
        <v>0</v>
      </c>
      <c r="I8" s="173">
        <v>0</v>
      </c>
      <c r="J8" s="173">
        <v>1</v>
      </c>
      <c r="K8" s="173">
        <v>3</v>
      </c>
      <c r="L8" s="173">
        <v>1</v>
      </c>
      <c r="M8" s="168" t="s">
        <v>10</v>
      </c>
      <c r="N8" s="174" t="s">
        <v>13</v>
      </c>
      <c r="O8" s="141"/>
    </row>
    <row r="9" spans="1:15" ht="13.5" thickBot="1" x14ac:dyDescent="0.25">
      <c r="A9" s="141"/>
      <c r="B9" s="173">
        <f t="shared" ref="B9:K9" si="2">SUM(B7:B8)</f>
        <v>9</v>
      </c>
      <c r="C9" s="173">
        <f t="shared" si="2"/>
        <v>0</v>
      </c>
      <c r="D9" s="173">
        <f t="shared" si="2"/>
        <v>0</v>
      </c>
      <c r="E9" s="173">
        <f t="shared" si="2"/>
        <v>0</v>
      </c>
      <c r="F9" s="173">
        <f t="shared" si="2"/>
        <v>0</v>
      </c>
      <c r="G9" s="173">
        <f t="shared" si="2"/>
        <v>2</v>
      </c>
      <c r="H9" s="173">
        <f t="shared" si="2"/>
        <v>1</v>
      </c>
      <c r="I9" s="173">
        <f t="shared" si="2"/>
        <v>0</v>
      </c>
      <c r="J9" s="173">
        <f t="shared" si="2"/>
        <v>1</v>
      </c>
      <c r="K9" s="173">
        <f t="shared" si="2"/>
        <v>4</v>
      </c>
      <c r="L9" s="173">
        <f>SUM(L7:L8)</f>
        <v>1</v>
      </c>
      <c r="M9" s="168" t="s">
        <v>12</v>
      </c>
      <c r="N9" s="175"/>
      <c r="O9" s="141"/>
    </row>
    <row r="10" spans="1:15" ht="13.5" thickBot="1" x14ac:dyDescent="0.25">
      <c r="A10" s="141"/>
      <c r="B10" s="173">
        <f t="shared" si="0"/>
        <v>100</v>
      </c>
      <c r="C10" s="173">
        <v>8</v>
      </c>
      <c r="D10" s="173">
        <v>0</v>
      </c>
      <c r="E10" s="173">
        <v>3</v>
      </c>
      <c r="F10" s="173">
        <v>1</v>
      </c>
      <c r="G10" s="173">
        <v>39</v>
      </c>
      <c r="H10" s="173">
        <v>17</v>
      </c>
      <c r="I10" s="173">
        <v>7</v>
      </c>
      <c r="J10" s="173">
        <v>15</v>
      </c>
      <c r="K10" s="173">
        <v>8</v>
      </c>
      <c r="L10" s="173">
        <v>2</v>
      </c>
      <c r="M10" s="168" t="s">
        <v>9</v>
      </c>
      <c r="N10" s="174"/>
      <c r="O10" s="141"/>
    </row>
    <row r="11" spans="1:15" ht="13.5" thickBot="1" x14ac:dyDescent="0.25">
      <c r="A11" s="141"/>
      <c r="B11" s="173">
        <f t="shared" si="0"/>
        <v>67</v>
      </c>
      <c r="C11" s="173">
        <v>3</v>
      </c>
      <c r="D11" s="173">
        <v>2</v>
      </c>
      <c r="E11" s="173">
        <v>1</v>
      </c>
      <c r="F11" s="173">
        <v>0</v>
      </c>
      <c r="G11" s="173">
        <v>22</v>
      </c>
      <c r="H11" s="173">
        <v>4</v>
      </c>
      <c r="I11" s="173">
        <v>5</v>
      </c>
      <c r="J11" s="173">
        <v>8</v>
      </c>
      <c r="K11" s="173">
        <v>14</v>
      </c>
      <c r="L11" s="173">
        <v>8</v>
      </c>
      <c r="M11" s="168" t="s">
        <v>10</v>
      </c>
      <c r="N11" s="174" t="s">
        <v>14</v>
      </c>
      <c r="O11" s="141"/>
    </row>
    <row r="12" spans="1:15" ht="13.5" thickBot="1" x14ac:dyDescent="0.25">
      <c r="A12" s="141"/>
      <c r="B12" s="173">
        <f t="shared" ref="B12:K12" si="3">SUM(B10:B11)</f>
        <v>167</v>
      </c>
      <c r="C12" s="173">
        <f t="shared" si="3"/>
        <v>11</v>
      </c>
      <c r="D12" s="173">
        <f t="shared" si="3"/>
        <v>2</v>
      </c>
      <c r="E12" s="173">
        <f t="shared" si="3"/>
        <v>4</v>
      </c>
      <c r="F12" s="173">
        <f t="shared" si="3"/>
        <v>1</v>
      </c>
      <c r="G12" s="173">
        <f t="shared" si="3"/>
        <v>61</v>
      </c>
      <c r="H12" s="173">
        <f t="shared" si="3"/>
        <v>21</v>
      </c>
      <c r="I12" s="173">
        <f t="shared" si="3"/>
        <v>12</v>
      </c>
      <c r="J12" s="173">
        <f t="shared" si="3"/>
        <v>23</v>
      </c>
      <c r="K12" s="173">
        <f t="shared" si="3"/>
        <v>22</v>
      </c>
      <c r="L12" s="173">
        <f>SUM(L10:L11)</f>
        <v>10</v>
      </c>
      <c r="M12" s="168" t="s">
        <v>12</v>
      </c>
      <c r="N12" s="175"/>
      <c r="O12" s="141"/>
    </row>
    <row r="13" spans="1:15" ht="13.5" thickBot="1" x14ac:dyDescent="0.25">
      <c r="A13" s="141"/>
      <c r="B13" s="173">
        <f t="shared" si="0"/>
        <v>3</v>
      </c>
      <c r="C13" s="173">
        <v>0</v>
      </c>
      <c r="D13" s="173">
        <v>0</v>
      </c>
      <c r="E13" s="173">
        <v>0</v>
      </c>
      <c r="F13" s="173">
        <v>0</v>
      </c>
      <c r="G13" s="173">
        <v>0</v>
      </c>
      <c r="H13" s="173">
        <v>0</v>
      </c>
      <c r="I13" s="173">
        <v>0</v>
      </c>
      <c r="J13" s="173">
        <v>0</v>
      </c>
      <c r="K13" s="173">
        <v>2</v>
      </c>
      <c r="L13" s="173">
        <v>1</v>
      </c>
      <c r="M13" s="168" t="s">
        <v>9</v>
      </c>
      <c r="N13" s="174"/>
      <c r="O13" s="141"/>
    </row>
    <row r="14" spans="1:15" ht="13.5" thickBot="1" x14ac:dyDescent="0.25">
      <c r="A14" s="141"/>
      <c r="B14" s="173">
        <f t="shared" si="0"/>
        <v>2</v>
      </c>
      <c r="C14" s="173">
        <v>0</v>
      </c>
      <c r="D14" s="173">
        <v>0</v>
      </c>
      <c r="E14" s="173">
        <v>0</v>
      </c>
      <c r="F14" s="173">
        <v>0</v>
      </c>
      <c r="G14" s="173">
        <v>2</v>
      </c>
      <c r="H14" s="173">
        <v>0</v>
      </c>
      <c r="I14" s="173">
        <v>0</v>
      </c>
      <c r="J14" s="173">
        <v>0</v>
      </c>
      <c r="K14" s="173">
        <v>0</v>
      </c>
      <c r="L14" s="173">
        <v>0</v>
      </c>
      <c r="M14" s="168" t="s">
        <v>10</v>
      </c>
      <c r="N14" s="174" t="s">
        <v>15</v>
      </c>
      <c r="O14" s="141"/>
    </row>
    <row r="15" spans="1:15" ht="13.5" thickBot="1" x14ac:dyDescent="0.25">
      <c r="A15" s="141"/>
      <c r="B15" s="173">
        <f t="shared" ref="B15:K15" si="4">SUM(B13:B14)</f>
        <v>5</v>
      </c>
      <c r="C15" s="173">
        <f t="shared" si="4"/>
        <v>0</v>
      </c>
      <c r="D15" s="173">
        <f t="shared" si="4"/>
        <v>0</v>
      </c>
      <c r="E15" s="173">
        <f t="shared" si="4"/>
        <v>0</v>
      </c>
      <c r="F15" s="173">
        <f t="shared" si="4"/>
        <v>0</v>
      </c>
      <c r="G15" s="173">
        <f t="shared" si="4"/>
        <v>2</v>
      </c>
      <c r="H15" s="173">
        <f t="shared" si="4"/>
        <v>0</v>
      </c>
      <c r="I15" s="173">
        <f t="shared" si="4"/>
        <v>0</v>
      </c>
      <c r="J15" s="173">
        <f t="shared" si="4"/>
        <v>0</v>
      </c>
      <c r="K15" s="173">
        <f t="shared" si="4"/>
        <v>2</v>
      </c>
      <c r="L15" s="173">
        <f>SUM(L13:L14)</f>
        <v>1</v>
      </c>
      <c r="M15" s="168" t="s">
        <v>12</v>
      </c>
      <c r="N15" s="175"/>
      <c r="O15" s="141"/>
    </row>
    <row r="16" spans="1:15" ht="13.5" thickBot="1" x14ac:dyDescent="0.25">
      <c r="A16" s="141"/>
      <c r="B16" s="173">
        <f t="shared" si="0"/>
        <v>1</v>
      </c>
      <c r="C16" s="173">
        <v>1</v>
      </c>
      <c r="D16" s="173">
        <v>0</v>
      </c>
      <c r="E16" s="173">
        <v>0</v>
      </c>
      <c r="F16" s="173">
        <v>0</v>
      </c>
      <c r="G16" s="173">
        <v>0</v>
      </c>
      <c r="H16" s="173">
        <v>0</v>
      </c>
      <c r="I16" s="173">
        <v>0</v>
      </c>
      <c r="J16" s="173">
        <v>0</v>
      </c>
      <c r="K16" s="173">
        <v>0</v>
      </c>
      <c r="L16" s="173">
        <v>0</v>
      </c>
      <c r="M16" s="168" t="s">
        <v>9</v>
      </c>
      <c r="N16" s="174"/>
      <c r="O16" s="141"/>
    </row>
    <row r="17" spans="1:15" ht="13.5" thickBot="1" x14ac:dyDescent="0.25">
      <c r="A17" s="141"/>
      <c r="B17" s="173">
        <f t="shared" si="0"/>
        <v>0</v>
      </c>
      <c r="C17" s="173">
        <v>0</v>
      </c>
      <c r="D17" s="173">
        <v>0</v>
      </c>
      <c r="E17" s="173">
        <v>0</v>
      </c>
      <c r="F17" s="173">
        <v>0</v>
      </c>
      <c r="G17" s="173">
        <v>0</v>
      </c>
      <c r="H17" s="173">
        <v>0</v>
      </c>
      <c r="I17" s="173">
        <v>0</v>
      </c>
      <c r="J17" s="173">
        <v>0</v>
      </c>
      <c r="K17" s="173">
        <v>0</v>
      </c>
      <c r="L17" s="173">
        <v>0</v>
      </c>
      <c r="M17" s="168" t="s">
        <v>10</v>
      </c>
      <c r="N17" s="174" t="s">
        <v>16</v>
      </c>
      <c r="O17" s="141"/>
    </row>
    <row r="18" spans="1:15" ht="13.5" thickBot="1" x14ac:dyDescent="0.25">
      <c r="A18" s="141"/>
      <c r="B18" s="173">
        <f t="shared" ref="B18:K18" si="5">SUM(B16:B17)</f>
        <v>1</v>
      </c>
      <c r="C18" s="173">
        <f t="shared" si="5"/>
        <v>1</v>
      </c>
      <c r="D18" s="173">
        <f t="shared" si="5"/>
        <v>0</v>
      </c>
      <c r="E18" s="173">
        <f t="shared" si="5"/>
        <v>0</v>
      </c>
      <c r="F18" s="173">
        <f t="shared" si="5"/>
        <v>0</v>
      </c>
      <c r="G18" s="173">
        <f t="shared" si="5"/>
        <v>0</v>
      </c>
      <c r="H18" s="173">
        <f t="shared" si="5"/>
        <v>0</v>
      </c>
      <c r="I18" s="173">
        <f t="shared" si="5"/>
        <v>0</v>
      </c>
      <c r="J18" s="173">
        <f t="shared" si="5"/>
        <v>0</v>
      </c>
      <c r="K18" s="173">
        <f t="shared" si="5"/>
        <v>0</v>
      </c>
      <c r="L18" s="173">
        <f>SUM(L16:L17)</f>
        <v>0</v>
      </c>
      <c r="M18" s="168" t="s">
        <v>12</v>
      </c>
      <c r="N18" s="175"/>
      <c r="O18" s="141"/>
    </row>
    <row r="19" spans="1:15" ht="13.5" thickBot="1" x14ac:dyDescent="0.25">
      <c r="A19" s="141"/>
      <c r="B19" s="173">
        <f t="shared" si="0"/>
        <v>22</v>
      </c>
      <c r="C19" s="173">
        <v>1</v>
      </c>
      <c r="D19" s="173">
        <v>0</v>
      </c>
      <c r="E19" s="173">
        <v>1</v>
      </c>
      <c r="F19" s="173">
        <v>0</v>
      </c>
      <c r="G19" s="173">
        <v>4</v>
      </c>
      <c r="H19" s="173">
        <v>2</v>
      </c>
      <c r="I19" s="173">
        <v>1</v>
      </c>
      <c r="J19" s="173">
        <v>3</v>
      </c>
      <c r="K19" s="173">
        <v>9</v>
      </c>
      <c r="L19" s="173">
        <v>1</v>
      </c>
      <c r="M19" s="168" t="s">
        <v>9</v>
      </c>
      <c r="N19" s="174"/>
      <c r="O19" s="141"/>
    </row>
    <row r="20" spans="1:15" ht="13.5" thickBot="1" x14ac:dyDescent="0.25">
      <c r="A20" s="141"/>
      <c r="B20" s="173">
        <f t="shared" si="0"/>
        <v>12</v>
      </c>
      <c r="C20" s="173">
        <v>0</v>
      </c>
      <c r="D20" s="173">
        <v>0</v>
      </c>
      <c r="E20" s="173">
        <v>0</v>
      </c>
      <c r="F20" s="173">
        <v>0</v>
      </c>
      <c r="G20" s="173">
        <v>3</v>
      </c>
      <c r="H20" s="173">
        <v>0</v>
      </c>
      <c r="I20" s="173">
        <v>2</v>
      </c>
      <c r="J20" s="173">
        <v>2</v>
      </c>
      <c r="K20" s="173">
        <v>3</v>
      </c>
      <c r="L20" s="173">
        <v>2</v>
      </c>
      <c r="M20" s="168" t="s">
        <v>10</v>
      </c>
      <c r="N20" s="174" t="s">
        <v>17</v>
      </c>
      <c r="O20" s="141"/>
    </row>
    <row r="21" spans="1:15" ht="13.5" thickBot="1" x14ac:dyDescent="0.25">
      <c r="A21" s="141"/>
      <c r="B21" s="173">
        <f t="shared" ref="B21:K21" si="6">SUM(B19:B20)</f>
        <v>34</v>
      </c>
      <c r="C21" s="173">
        <f t="shared" si="6"/>
        <v>1</v>
      </c>
      <c r="D21" s="173">
        <f t="shared" si="6"/>
        <v>0</v>
      </c>
      <c r="E21" s="173">
        <f t="shared" si="6"/>
        <v>1</v>
      </c>
      <c r="F21" s="173">
        <f t="shared" si="6"/>
        <v>0</v>
      </c>
      <c r="G21" s="173">
        <f t="shared" si="6"/>
        <v>7</v>
      </c>
      <c r="H21" s="173">
        <f t="shared" si="6"/>
        <v>2</v>
      </c>
      <c r="I21" s="173">
        <f t="shared" si="6"/>
        <v>3</v>
      </c>
      <c r="J21" s="173">
        <f t="shared" si="6"/>
        <v>5</v>
      </c>
      <c r="K21" s="173">
        <f t="shared" si="6"/>
        <v>12</v>
      </c>
      <c r="L21" s="173">
        <f>SUM(L19:L20)</f>
        <v>3</v>
      </c>
      <c r="M21" s="168" t="s">
        <v>12</v>
      </c>
      <c r="N21" s="175"/>
      <c r="O21" s="141"/>
    </row>
    <row r="22" spans="1:15" ht="13.5" thickBot="1" x14ac:dyDescent="0.25">
      <c r="A22" s="141"/>
      <c r="B22" s="173">
        <f t="shared" si="0"/>
        <v>6</v>
      </c>
      <c r="C22" s="173">
        <v>1</v>
      </c>
      <c r="D22" s="173">
        <v>0</v>
      </c>
      <c r="E22" s="173">
        <v>0</v>
      </c>
      <c r="F22" s="173">
        <v>0</v>
      </c>
      <c r="G22" s="173">
        <v>2</v>
      </c>
      <c r="H22" s="173">
        <v>1</v>
      </c>
      <c r="I22" s="173">
        <v>0</v>
      </c>
      <c r="J22" s="173">
        <v>1</v>
      </c>
      <c r="K22" s="173">
        <v>1</v>
      </c>
      <c r="L22" s="173">
        <v>0</v>
      </c>
      <c r="M22" s="168" t="s">
        <v>9</v>
      </c>
      <c r="N22" s="174"/>
      <c r="O22" s="141"/>
    </row>
    <row r="23" spans="1:15" ht="13.5" thickBot="1" x14ac:dyDescent="0.25">
      <c r="A23" s="141"/>
      <c r="B23" s="173">
        <f t="shared" si="0"/>
        <v>1</v>
      </c>
      <c r="C23" s="173">
        <v>0</v>
      </c>
      <c r="D23" s="173">
        <v>0</v>
      </c>
      <c r="E23" s="173">
        <v>0</v>
      </c>
      <c r="F23" s="173">
        <v>0</v>
      </c>
      <c r="G23" s="173">
        <v>1</v>
      </c>
      <c r="H23" s="173">
        <v>0</v>
      </c>
      <c r="I23" s="173">
        <v>0</v>
      </c>
      <c r="J23" s="173">
        <v>0</v>
      </c>
      <c r="K23" s="173">
        <v>0</v>
      </c>
      <c r="L23" s="173">
        <v>0</v>
      </c>
      <c r="M23" s="168" t="s">
        <v>10</v>
      </c>
      <c r="N23" s="174" t="s">
        <v>32</v>
      </c>
      <c r="O23" s="141"/>
    </row>
    <row r="24" spans="1:15" ht="13.5" thickBot="1" x14ac:dyDescent="0.25">
      <c r="A24" s="141"/>
      <c r="B24" s="173">
        <f t="shared" ref="B24:K24" si="7">SUM(B22:B23)</f>
        <v>7</v>
      </c>
      <c r="C24" s="173">
        <f t="shared" si="7"/>
        <v>1</v>
      </c>
      <c r="D24" s="173">
        <f t="shared" si="7"/>
        <v>0</v>
      </c>
      <c r="E24" s="173">
        <f t="shared" si="7"/>
        <v>0</v>
      </c>
      <c r="F24" s="173">
        <f t="shared" si="7"/>
        <v>0</v>
      </c>
      <c r="G24" s="173">
        <f t="shared" si="7"/>
        <v>3</v>
      </c>
      <c r="H24" s="173">
        <f t="shared" si="7"/>
        <v>1</v>
      </c>
      <c r="I24" s="173">
        <f t="shared" si="7"/>
        <v>0</v>
      </c>
      <c r="J24" s="173">
        <f t="shared" si="7"/>
        <v>1</v>
      </c>
      <c r="K24" s="173">
        <f t="shared" si="7"/>
        <v>1</v>
      </c>
      <c r="L24" s="173">
        <f>SUM(L22:L23)</f>
        <v>0</v>
      </c>
      <c r="M24" s="168" t="s">
        <v>12</v>
      </c>
      <c r="N24" s="175"/>
      <c r="O24" s="141"/>
    </row>
    <row r="25" spans="1:15" ht="13.5" thickBot="1" x14ac:dyDescent="0.25">
      <c r="A25" s="141"/>
      <c r="B25" s="173">
        <f t="shared" si="0"/>
        <v>4</v>
      </c>
      <c r="C25" s="173">
        <v>0</v>
      </c>
      <c r="D25" s="173">
        <v>0</v>
      </c>
      <c r="E25" s="173">
        <v>0</v>
      </c>
      <c r="F25" s="173">
        <v>0</v>
      </c>
      <c r="G25" s="173">
        <v>2</v>
      </c>
      <c r="H25" s="173">
        <v>1</v>
      </c>
      <c r="I25" s="173">
        <v>0</v>
      </c>
      <c r="J25" s="173">
        <v>1</v>
      </c>
      <c r="K25" s="173">
        <v>0</v>
      </c>
      <c r="L25" s="173">
        <v>0</v>
      </c>
      <c r="M25" s="168" t="s">
        <v>9</v>
      </c>
      <c r="N25" s="174"/>
      <c r="O25" s="141"/>
    </row>
    <row r="26" spans="1:15" ht="13.5" thickBot="1" x14ac:dyDescent="0.25">
      <c r="A26" s="141"/>
      <c r="B26" s="173">
        <f t="shared" si="0"/>
        <v>1</v>
      </c>
      <c r="C26" s="173">
        <v>0</v>
      </c>
      <c r="D26" s="173">
        <v>0</v>
      </c>
      <c r="E26" s="173">
        <v>0</v>
      </c>
      <c r="F26" s="173">
        <v>0</v>
      </c>
      <c r="G26" s="173">
        <v>0</v>
      </c>
      <c r="H26" s="173">
        <v>0</v>
      </c>
      <c r="I26" s="173">
        <v>0</v>
      </c>
      <c r="J26" s="173">
        <v>0</v>
      </c>
      <c r="K26" s="173">
        <v>1</v>
      </c>
      <c r="L26" s="173">
        <v>0</v>
      </c>
      <c r="M26" s="168" t="s">
        <v>10</v>
      </c>
      <c r="N26" s="174" t="s">
        <v>18</v>
      </c>
      <c r="O26" s="141"/>
    </row>
    <row r="27" spans="1:15" ht="13.5" thickBot="1" x14ac:dyDescent="0.25">
      <c r="A27" s="141"/>
      <c r="B27" s="173">
        <f t="shared" ref="B27:K27" si="8">SUM(B25:B26)</f>
        <v>5</v>
      </c>
      <c r="C27" s="173">
        <f t="shared" si="8"/>
        <v>0</v>
      </c>
      <c r="D27" s="173">
        <f t="shared" si="8"/>
        <v>0</v>
      </c>
      <c r="E27" s="173">
        <f t="shared" si="8"/>
        <v>0</v>
      </c>
      <c r="F27" s="173">
        <f t="shared" si="8"/>
        <v>0</v>
      </c>
      <c r="G27" s="173">
        <f t="shared" si="8"/>
        <v>2</v>
      </c>
      <c r="H27" s="173">
        <f t="shared" si="8"/>
        <v>1</v>
      </c>
      <c r="I27" s="173">
        <f t="shared" si="8"/>
        <v>0</v>
      </c>
      <c r="J27" s="173">
        <f t="shared" si="8"/>
        <v>1</v>
      </c>
      <c r="K27" s="173">
        <f t="shared" si="8"/>
        <v>1</v>
      </c>
      <c r="L27" s="173">
        <f>SUM(L25:L26)</f>
        <v>0</v>
      </c>
      <c r="M27" s="168" t="s">
        <v>12</v>
      </c>
      <c r="N27" s="175"/>
      <c r="O27" s="141"/>
    </row>
    <row r="28" spans="1:15" ht="13.5" thickBot="1" x14ac:dyDescent="0.25">
      <c r="A28" s="141"/>
      <c r="B28" s="173">
        <f t="shared" si="0"/>
        <v>1</v>
      </c>
      <c r="C28" s="173">
        <v>0</v>
      </c>
      <c r="D28" s="173">
        <v>0</v>
      </c>
      <c r="E28" s="173">
        <v>0</v>
      </c>
      <c r="F28" s="173">
        <v>0</v>
      </c>
      <c r="G28" s="173">
        <v>0</v>
      </c>
      <c r="H28" s="173">
        <v>0</v>
      </c>
      <c r="I28" s="173">
        <v>0</v>
      </c>
      <c r="J28" s="173">
        <v>0</v>
      </c>
      <c r="K28" s="173">
        <v>0</v>
      </c>
      <c r="L28" s="173">
        <v>1</v>
      </c>
      <c r="M28" s="168" t="s">
        <v>9</v>
      </c>
      <c r="N28" s="174"/>
      <c r="O28" s="141"/>
    </row>
    <row r="29" spans="1:15" ht="13.5" thickBot="1" x14ac:dyDescent="0.25">
      <c r="A29" s="141"/>
      <c r="B29" s="173">
        <f t="shared" si="0"/>
        <v>0</v>
      </c>
      <c r="C29" s="173">
        <v>0</v>
      </c>
      <c r="D29" s="173">
        <v>0</v>
      </c>
      <c r="E29" s="173">
        <v>0</v>
      </c>
      <c r="F29" s="173">
        <v>0</v>
      </c>
      <c r="G29" s="173">
        <v>0</v>
      </c>
      <c r="H29" s="173">
        <v>0</v>
      </c>
      <c r="I29" s="173">
        <v>0</v>
      </c>
      <c r="J29" s="173">
        <v>0</v>
      </c>
      <c r="K29" s="173">
        <v>0</v>
      </c>
      <c r="L29" s="173">
        <v>0</v>
      </c>
      <c r="M29" s="168" t="s">
        <v>10</v>
      </c>
      <c r="N29" s="174" t="s">
        <v>19</v>
      </c>
      <c r="O29" s="141"/>
    </row>
    <row r="30" spans="1:15" ht="13.5" thickBot="1" x14ac:dyDescent="0.25">
      <c r="A30" s="141"/>
      <c r="B30" s="173">
        <f t="shared" ref="B30:K30" si="9">SUM(B28:B29)</f>
        <v>1</v>
      </c>
      <c r="C30" s="173">
        <f t="shared" si="9"/>
        <v>0</v>
      </c>
      <c r="D30" s="173">
        <f t="shared" si="9"/>
        <v>0</v>
      </c>
      <c r="E30" s="173">
        <f t="shared" si="9"/>
        <v>0</v>
      </c>
      <c r="F30" s="173">
        <f t="shared" si="9"/>
        <v>0</v>
      </c>
      <c r="G30" s="173">
        <f t="shared" si="9"/>
        <v>0</v>
      </c>
      <c r="H30" s="173">
        <f t="shared" si="9"/>
        <v>0</v>
      </c>
      <c r="I30" s="173">
        <f t="shared" si="9"/>
        <v>0</v>
      </c>
      <c r="J30" s="173">
        <f t="shared" si="9"/>
        <v>0</v>
      </c>
      <c r="K30" s="173">
        <f t="shared" si="9"/>
        <v>0</v>
      </c>
      <c r="L30" s="173">
        <f>SUM(L28:L29)</f>
        <v>1</v>
      </c>
      <c r="M30" s="168" t="s">
        <v>12</v>
      </c>
      <c r="N30" s="175"/>
      <c r="O30" s="141"/>
    </row>
    <row r="31" spans="1:15" ht="13.5" thickBot="1" x14ac:dyDescent="0.25">
      <c r="A31" s="141"/>
      <c r="B31" s="173">
        <f t="shared" si="0"/>
        <v>28</v>
      </c>
      <c r="C31" s="173">
        <v>1</v>
      </c>
      <c r="D31" s="173">
        <v>0</v>
      </c>
      <c r="E31" s="173">
        <v>1</v>
      </c>
      <c r="F31" s="173">
        <v>0</v>
      </c>
      <c r="G31" s="173">
        <v>6</v>
      </c>
      <c r="H31" s="173">
        <v>3</v>
      </c>
      <c r="I31" s="173">
        <v>2</v>
      </c>
      <c r="J31" s="173">
        <v>4</v>
      </c>
      <c r="K31" s="173">
        <v>11</v>
      </c>
      <c r="L31" s="173">
        <v>0</v>
      </c>
      <c r="M31" s="168" t="s">
        <v>9</v>
      </c>
      <c r="N31" s="174"/>
      <c r="O31" s="141"/>
    </row>
    <row r="32" spans="1:15" ht="13.5" thickBot="1" x14ac:dyDescent="0.25">
      <c r="A32" s="141"/>
      <c r="B32" s="173">
        <f t="shared" si="0"/>
        <v>12</v>
      </c>
      <c r="C32" s="173">
        <v>0</v>
      </c>
      <c r="D32" s="173">
        <v>0</v>
      </c>
      <c r="E32" s="173">
        <v>0</v>
      </c>
      <c r="F32" s="173">
        <v>0</v>
      </c>
      <c r="G32" s="173">
        <v>3</v>
      </c>
      <c r="H32" s="173">
        <v>1</v>
      </c>
      <c r="I32" s="173">
        <v>2</v>
      </c>
      <c r="J32" s="173">
        <v>2</v>
      </c>
      <c r="K32" s="173">
        <v>3</v>
      </c>
      <c r="L32" s="173">
        <v>1</v>
      </c>
      <c r="M32" s="168" t="s">
        <v>10</v>
      </c>
      <c r="N32" s="174" t="s">
        <v>20</v>
      </c>
      <c r="O32" s="141"/>
    </row>
    <row r="33" spans="1:15" ht="13.5" thickBot="1" x14ac:dyDescent="0.25">
      <c r="A33" s="141"/>
      <c r="B33" s="173">
        <f t="shared" ref="B33:K33" si="10">SUM(B31:B32)</f>
        <v>40</v>
      </c>
      <c r="C33" s="173">
        <f t="shared" si="10"/>
        <v>1</v>
      </c>
      <c r="D33" s="173">
        <f t="shared" si="10"/>
        <v>0</v>
      </c>
      <c r="E33" s="173">
        <f t="shared" si="10"/>
        <v>1</v>
      </c>
      <c r="F33" s="173">
        <f t="shared" si="10"/>
        <v>0</v>
      </c>
      <c r="G33" s="173">
        <f t="shared" si="10"/>
        <v>9</v>
      </c>
      <c r="H33" s="173">
        <f t="shared" si="10"/>
        <v>4</v>
      </c>
      <c r="I33" s="173">
        <f t="shared" si="10"/>
        <v>4</v>
      </c>
      <c r="J33" s="173">
        <f t="shared" si="10"/>
        <v>6</v>
      </c>
      <c r="K33" s="173">
        <f t="shared" si="10"/>
        <v>14</v>
      </c>
      <c r="L33" s="173">
        <f>SUM(L31:L32)</f>
        <v>1</v>
      </c>
      <c r="M33" s="168" t="s">
        <v>12</v>
      </c>
      <c r="N33" s="175"/>
      <c r="O33" s="141"/>
    </row>
    <row r="34" spans="1:15" ht="13.5" thickBot="1" x14ac:dyDescent="0.25">
      <c r="A34" s="141"/>
      <c r="B34" s="173">
        <f t="shared" si="0"/>
        <v>8</v>
      </c>
      <c r="C34" s="173">
        <v>1</v>
      </c>
      <c r="D34" s="173">
        <v>0</v>
      </c>
      <c r="E34" s="173">
        <v>0</v>
      </c>
      <c r="F34" s="173">
        <v>0</v>
      </c>
      <c r="G34" s="173">
        <v>2</v>
      </c>
      <c r="H34" s="173">
        <v>1</v>
      </c>
      <c r="I34" s="173">
        <v>0</v>
      </c>
      <c r="J34" s="173">
        <v>2</v>
      </c>
      <c r="K34" s="173">
        <v>2</v>
      </c>
      <c r="L34" s="173">
        <v>0</v>
      </c>
      <c r="M34" s="168" t="s">
        <v>9</v>
      </c>
      <c r="N34" s="174"/>
      <c r="O34" s="141"/>
    </row>
    <row r="35" spans="1:15" ht="13.5" thickBot="1" x14ac:dyDescent="0.25">
      <c r="A35" s="141"/>
      <c r="B35" s="173">
        <f t="shared" si="0"/>
        <v>1</v>
      </c>
      <c r="C35" s="173">
        <v>0</v>
      </c>
      <c r="D35" s="173">
        <v>0</v>
      </c>
      <c r="E35" s="173">
        <v>0</v>
      </c>
      <c r="F35" s="173">
        <v>0</v>
      </c>
      <c r="G35" s="173">
        <v>1</v>
      </c>
      <c r="H35" s="173">
        <v>0</v>
      </c>
      <c r="I35" s="173">
        <v>0</v>
      </c>
      <c r="J35" s="173">
        <v>0</v>
      </c>
      <c r="K35" s="173">
        <v>0</v>
      </c>
      <c r="L35" s="173">
        <v>0</v>
      </c>
      <c r="M35" s="168" t="s">
        <v>10</v>
      </c>
      <c r="N35" s="174" t="s">
        <v>33</v>
      </c>
      <c r="O35" s="141"/>
    </row>
    <row r="36" spans="1:15" ht="13.5" thickBot="1" x14ac:dyDescent="0.25">
      <c r="A36" s="141"/>
      <c r="B36" s="173">
        <f t="shared" ref="B36:K36" si="11">SUM(B34:B35)</f>
        <v>9</v>
      </c>
      <c r="C36" s="173">
        <f t="shared" si="11"/>
        <v>1</v>
      </c>
      <c r="D36" s="173">
        <f t="shared" si="11"/>
        <v>0</v>
      </c>
      <c r="E36" s="173">
        <f t="shared" si="11"/>
        <v>0</v>
      </c>
      <c r="F36" s="173">
        <f t="shared" si="11"/>
        <v>0</v>
      </c>
      <c r="G36" s="173">
        <f t="shared" si="11"/>
        <v>3</v>
      </c>
      <c r="H36" s="173">
        <f t="shared" si="11"/>
        <v>1</v>
      </c>
      <c r="I36" s="173">
        <f t="shared" si="11"/>
        <v>0</v>
      </c>
      <c r="J36" s="173">
        <f t="shared" si="11"/>
        <v>2</v>
      </c>
      <c r="K36" s="173">
        <f t="shared" si="11"/>
        <v>2</v>
      </c>
      <c r="L36" s="173">
        <f>SUM(L34:L35)</f>
        <v>0</v>
      </c>
      <c r="M36" s="168" t="s">
        <v>12</v>
      </c>
      <c r="N36" s="175"/>
      <c r="O36" s="141"/>
    </row>
    <row r="37" spans="1:15" ht="13.5" thickBot="1" x14ac:dyDescent="0.25">
      <c r="A37" s="141"/>
      <c r="B37" s="173">
        <f t="shared" si="0"/>
        <v>26</v>
      </c>
      <c r="C37" s="173">
        <v>1</v>
      </c>
      <c r="D37" s="173">
        <v>0</v>
      </c>
      <c r="E37" s="173">
        <v>1</v>
      </c>
      <c r="F37" s="173">
        <v>0</v>
      </c>
      <c r="G37" s="173">
        <v>10</v>
      </c>
      <c r="H37" s="173">
        <v>5</v>
      </c>
      <c r="I37" s="173">
        <v>2</v>
      </c>
      <c r="J37" s="173">
        <v>4</v>
      </c>
      <c r="K37" s="173">
        <v>2</v>
      </c>
      <c r="L37" s="173">
        <v>1</v>
      </c>
      <c r="M37" s="168" t="s">
        <v>9</v>
      </c>
      <c r="N37" s="174"/>
      <c r="O37" s="141"/>
    </row>
    <row r="38" spans="1:15" ht="13.5" thickBot="1" x14ac:dyDescent="0.25">
      <c r="A38" s="141"/>
      <c r="B38" s="173">
        <f t="shared" si="0"/>
        <v>2</v>
      </c>
      <c r="C38" s="173">
        <v>0</v>
      </c>
      <c r="D38" s="173">
        <v>0</v>
      </c>
      <c r="E38" s="173">
        <v>0</v>
      </c>
      <c r="F38" s="173">
        <v>0</v>
      </c>
      <c r="G38" s="173">
        <v>1</v>
      </c>
      <c r="H38" s="173">
        <v>0</v>
      </c>
      <c r="I38" s="173">
        <v>0</v>
      </c>
      <c r="J38" s="173">
        <v>0</v>
      </c>
      <c r="K38" s="173">
        <v>1</v>
      </c>
      <c r="L38" s="173">
        <v>0</v>
      </c>
      <c r="M38" s="168" t="s">
        <v>10</v>
      </c>
      <c r="N38" s="174" t="s">
        <v>30</v>
      </c>
      <c r="O38" s="141"/>
    </row>
    <row r="39" spans="1:15" ht="13.5" thickBot="1" x14ac:dyDescent="0.25">
      <c r="A39" s="141"/>
      <c r="B39" s="173">
        <f t="shared" ref="B39:K39" si="12">SUM(B37:B38)</f>
        <v>28</v>
      </c>
      <c r="C39" s="173">
        <f t="shared" si="12"/>
        <v>1</v>
      </c>
      <c r="D39" s="173">
        <f t="shared" si="12"/>
        <v>0</v>
      </c>
      <c r="E39" s="173">
        <f t="shared" si="12"/>
        <v>1</v>
      </c>
      <c r="F39" s="173">
        <f t="shared" si="12"/>
        <v>0</v>
      </c>
      <c r="G39" s="173">
        <f t="shared" si="12"/>
        <v>11</v>
      </c>
      <c r="H39" s="173">
        <f t="shared" si="12"/>
        <v>5</v>
      </c>
      <c r="I39" s="173">
        <f t="shared" si="12"/>
        <v>2</v>
      </c>
      <c r="J39" s="173">
        <f t="shared" si="12"/>
        <v>4</v>
      </c>
      <c r="K39" s="173">
        <f t="shared" si="12"/>
        <v>3</v>
      </c>
      <c r="L39" s="173">
        <f>SUM(L37:L38)</f>
        <v>1</v>
      </c>
      <c r="M39" s="168" t="s">
        <v>12</v>
      </c>
      <c r="N39" s="175"/>
      <c r="O39" s="141"/>
    </row>
    <row r="40" spans="1:15" ht="13.5" thickBot="1" x14ac:dyDescent="0.25">
      <c r="A40" s="141"/>
      <c r="B40" s="173">
        <f t="shared" si="0"/>
        <v>369</v>
      </c>
      <c r="C40" s="173">
        <v>8</v>
      </c>
      <c r="D40" s="173">
        <v>0</v>
      </c>
      <c r="E40" s="173">
        <v>13</v>
      </c>
      <c r="F40" s="173">
        <v>1</v>
      </c>
      <c r="G40" s="173">
        <v>58</v>
      </c>
      <c r="H40" s="173">
        <v>31</v>
      </c>
      <c r="I40" s="173">
        <v>11</v>
      </c>
      <c r="J40" s="173">
        <v>54</v>
      </c>
      <c r="K40" s="173">
        <v>173</v>
      </c>
      <c r="L40" s="173">
        <v>20</v>
      </c>
      <c r="M40" s="168" t="s">
        <v>9</v>
      </c>
      <c r="N40" s="174"/>
      <c r="O40" s="141"/>
    </row>
    <row r="41" spans="1:15" ht="13.5" thickBot="1" x14ac:dyDescent="0.25">
      <c r="A41" s="141"/>
      <c r="B41" s="173">
        <f t="shared" si="0"/>
        <v>80</v>
      </c>
      <c r="C41" s="173">
        <v>1</v>
      </c>
      <c r="D41" s="173">
        <v>2</v>
      </c>
      <c r="E41" s="173">
        <v>1</v>
      </c>
      <c r="F41" s="173">
        <v>1</v>
      </c>
      <c r="G41" s="173">
        <v>10</v>
      </c>
      <c r="H41" s="173">
        <v>2</v>
      </c>
      <c r="I41" s="173">
        <v>4</v>
      </c>
      <c r="J41" s="173">
        <v>14</v>
      </c>
      <c r="K41" s="173">
        <v>34</v>
      </c>
      <c r="L41" s="173">
        <v>11</v>
      </c>
      <c r="M41" s="168" t="s">
        <v>10</v>
      </c>
      <c r="N41" s="174" t="s">
        <v>21</v>
      </c>
      <c r="O41" s="141"/>
    </row>
    <row r="42" spans="1:15" ht="13.5" thickBot="1" x14ac:dyDescent="0.25">
      <c r="A42" s="141"/>
      <c r="B42" s="173">
        <f t="shared" ref="B42:K42" si="13">SUM(B40:B41)</f>
        <v>449</v>
      </c>
      <c r="C42" s="173">
        <f t="shared" si="13"/>
        <v>9</v>
      </c>
      <c r="D42" s="173">
        <f t="shared" si="13"/>
        <v>2</v>
      </c>
      <c r="E42" s="173">
        <f t="shared" si="13"/>
        <v>14</v>
      </c>
      <c r="F42" s="173">
        <f t="shared" si="13"/>
        <v>2</v>
      </c>
      <c r="G42" s="173">
        <f t="shared" si="13"/>
        <v>68</v>
      </c>
      <c r="H42" s="173">
        <f t="shared" si="13"/>
        <v>33</v>
      </c>
      <c r="I42" s="173">
        <f t="shared" si="13"/>
        <v>15</v>
      </c>
      <c r="J42" s="173">
        <f t="shared" si="13"/>
        <v>68</v>
      </c>
      <c r="K42" s="173">
        <f t="shared" si="13"/>
        <v>207</v>
      </c>
      <c r="L42" s="173">
        <f>SUM(L40:L41)</f>
        <v>31</v>
      </c>
      <c r="M42" s="168" t="s">
        <v>12</v>
      </c>
      <c r="N42" s="175"/>
      <c r="O42" s="141"/>
    </row>
    <row r="43" spans="1:15" ht="13.5" thickBot="1" x14ac:dyDescent="0.25">
      <c r="A43" s="141"/>
      <c r="B43" s="173">
        <f t="shared" si="0"/>
        <v>147</v>
      </c>
      <c r="C43" s="173">
        <v>12</v>
      </c>
      <c r="D43" s="173">
        <v>1</v>
      </c>
      <c r="E43" s="173">
        <v>4</v>
      </c>
      <c r="F43" s="173">
        <v>0</v>
      </c>
      <c r="G43" s="173">
        <v>57</v>
      </c>
      <c r="H43" s="173">
        <v>26</v>
      </c>
      <c r="I43" s="173">
        <v>10</v>
      </c>
      <c r="J43" s="173">
        <v>22</v>
      </c>
      <c r="K43" s="173">
        <v>12</v>
      </c>
      <c r="L43" s="173">
        <v>3</v>
      </c>
      <c r="M43" s="168" t="s">
        <v>9</v>
      </c>
      <c r="N43" s="174"/>
      <c r="O43" s="141"/>
    </row>
    <row r="44" spans="1:15" ht="13.5" thickBot="1" x14ac:dyDescent="0.25">
      <c r="A44" s="141"/>
      <c r="B44" s="173">
        <f t="shared" si="0"/>
        <v>53</v>
      </c>
      <c r="C44" s="173">
        <v>2</v>
      </c>
      <c r="D44" s="173">
        <v>1</v>
      </c>
      <c r="E44" s="173">
        <v>1</v>
      </c>
      <c r="F44" s="173">
        <v>1</v>
      </c>
      <c r="G44" s="173">
        <v>18</v>
      </c>
      <c r="H44" s="173">
        <v>3</v>
      </c>
      <c r="I44" s="173">
        <v>4</v>
      </c>
      <c r="J44" s="173">
        <v>6</v>
      </c>
      <c r="K44" s="173">
        <v>11</v>
      </c>
      <c r="L44" s="173">
        <v>6</v>
      </c>
      <c r="M44" s="168" t="s">
        <v>10</v>
      </c>
      <c r="N44" s="174" t="s">
        <v>38</v>
      </c>
      <c r="O44" s="141"/>
    </row>
    <row r="45" spans="1:15" ht="13.5" thickBot="1" x14ac:dyDescent="0.25">
      <c r="A45" s="141"/>
      <c r="B45" s="173">
        <f t="shared" ref="B45:K45" si="14">SUM(B43:B44)</f>
        <v>200</v>
      </c>
      <c r="C45" s="173">
        <f t="shared" si="14"/>
        <v>14</v>
      </c>
      <c r="D45" s="173">
        <f t="shared" si="14"/>
        <v>2</v>
      </c>
      <c r="E45" s="173">
        <f t="shared" si="14"/>
        <v>5</v>
      </c>
      <c r="F45" s="173">
        <f t="shared" si="14"/>
        <v>1</v>
      </c>
      <c r="G45" s="173">
        <f t="shared" si="14"/>
        <v>75</v>
      </c>
      <c r="H45" s="173">
        <f t="shared" si="14"/>
        <v>29</v>
      </c>
      <c r="I45" s="173">
        <f t="shared" si="14"/>
        <v>14</v>
      </c>
      <c r="J45" s="173">
        <f t="shared" si="14"/>
        <v>28</v>
      </c>
      <c r="K45" s="173">
        <f t="shared" si="14"/>
        <v>23</v>
      </c>
      <c r="L45" s="173">
        <f>SUM(L43:L44)</f>
        <v>9</v>
      </c>
      <c r="M45" s="168" t="s">
        <v>12</v>
      </c>
      <c r="N45" s="175"/>
      <c r="O45" s="141"/>
    </row>
    <row r="46" spans="1:15" ht="13.5" thickBot="1" x14ac:dyDescent="0.25">
      <c r="A46" s="141"/>
      <c r="B46" s="173">
        <f t="shared" si="0"/>
        <v>12</v>
      </c>
      <c r="C46" s="173">
        <v>1</v>
      </c>
      <c r="D46" s="173">
        <v>0</v>
      </c>
      <c r="E46" s="173">
        <v>0</v>
      </c>
      <c r="F46" s="173">
        <v>0</v>
      </c>
      <c r="G46" s="173">
        <v>5</v>
      </c>
      <c r="H46" s="173">
        <v>2</v>
      </c>
      <c r="I46" s="173">
        <v>1</v>
      </c>
      <c r="J46" s="173">
        <v>2</v>
      </c>
      <c r="K46" s="173">
        <v>1</v>
      </c>
      <c r="L46" s="173">
        <v>0</v>
      </c>
      <c r="M46" s="168" t="s">
        <v>9</v>
      </c>
      <c r="N46" s="174"/>
      <c r="O46" s="141"/>
    </row>
    <row r="47" spans="1:15" ht="13.5" thickBot="1" x14ac:dyDescent="0.25">
      <c r="A47" s="141"/>
      <c r="B47" s="173">
        <f t="shared" si="0"/>
        <v>2</v>
      </c>
      <c r="C47" s="173">
        <v>0</v>
      </c>
      <c r="D47" s="173">
        <v>0</v>
      </c>
      <c r="E47" s="173">
        <v>0</v>
      </c>
      <c r="F47" s="173">
        <v>0</v>
      </c>
      <c r="G47" s="173">
        <v>1</v>
      </c>
      <c r="H47" s="173">
        <v>0</v>
      </c>
      <c r="I47" s="173">
        <v>1</v>
      </c>
      <c r="J47" s="173">
        <v>0</v>
      </c>
      <c r="K47" s="173">
        <v>0</v>
      </c>
      <c r="L47" s="173">
        <v>0</v>
      </c>
      <c r="M47" s="168" t="s">
        <v>10</v>
      </c>
      <c r="N47" s="174" t="s">
        <v>22</v>
      </c>
      <c r="O47" s="141"/>
    </row>
    <row r="48" spans="1:15" ht="13.5" thickBot="1" x14ac:dyDescent="0.25">
      <c r="A48" s="141"/>
      <c r="B48" s="173">
        <f t="shared" ref="B48:K48" si="15">SUM(B46:B47)</f>
        <v>14</v>
      </c>
      <c r="C48" s="173">
        <f t="shared" si="15"/>
        <v>1</v>
      </c>
      <c r="D48" s="173">
        <f t="shared" si="15"/>
        <v>0</v>
      </c>
      <c r="E48" s="173">
        <f t="shared" si="15"/>
        <v>0</v>
      </c>
      <c r="F48" s="173">
        <f t="shared" si="15"/>
        <v>0</v>
      </c>
      <c r="G48" s="173">
        <f t="shared" si="15"/>
        <v>6</v>
      </c>
      <c r="H48" s="173">
        <f t="shared" si="15"/>
        <v>2</v>
      </c>
      <c r="I48" s="173">
        <f t="shared" si="15"/>
        <v>2</v>
      </c>
      <c r="J48" s="173">
        <f t="shared" si="15"/>
        <v>2</v>
      </c>
      <c r="K48" s="173">
        <f t="shared" si="15"/>
        <v>1</v>
      </c>
      <c r="L48" s="173">
        <f>SUM(L46:L47)</f>
        <v>0</v>
      </c>
      <c r="M48" s="168" t="s">
        <v>12</v>
      </c>
      <c r="N48" s="175"/>
      <c r="O48" s="141"/>
    </row>
    <row r="49" spans="1:15" ht="13.5" thickBot="1" x14ac:dyDescent="0.25">
      <c r="A49" s="141"/>
      <c r="B49" s="173">
        <f t="shared" si="0"/>
        <v>16</v>
      </c>
      <c r="C49" s="173">
        <v>1</v>
      </c>
      <c r="D49" s="173">
        <v>0</v>
      </c>
      <c r="E49" s="173">
        <v>1</v>
      </c>
      <c r="F49" s="173">
        <v>0</v>
      </c>
      <c r="G49" s="173">
        <v>7</v>
      </c>
      <c r="H49" s="173">
        <v>3</v>
      </c>
      <c r="I49" s="173">
        <v>1</v>
      </c>
      <c r="J49" s="173">
        <v>2</v>
      </c>
      <c r="K49" s="173">
        <v>1</v>
      </c>
      <c r="L49" s="173">
        <v>0</v>
      </c>
      <c r="M49" s="168" t="s">
        <v>9</v>
      </c>
      <c r="N49" s="174"/>
      <c r="O49" s="141"/>
    </row>
    <row r="50" spans="1:15" ht="13.5" thickBot="1" x14ac:dyDescent="0.25">
      <c r="A50" s="141"/>
      <c r="B50" s="173">
        <f t="shared" si="0"/>
        <v>7</v>
      </c>
      <c r="C50" s="173">
        <v>1</v>
      </c>
      <c r="D50" s="173">
        <v>0</v>
      </c>
      <c r="E50" s="173">
        <v>0</v>
      </c>
      <c r="F50" s="173">
        <v>0</v>
      </c>
      <c r="G50" s="173">
        <v>2</v>
      </c>
      <c r="H50" s="173">
        <v>0</v>
      </c>
      <c r="I50" s="173">
        <v>1</v>
      </c>
      <c r="J50" s="173">
        <v>1</v>
      </c>
      <c r="K50" s="173">
        <v>1</v>
      </c>
      <c r="L50" s="173">
        <v>1</v>
      </c>
      <c r="M50" s="168" t="s">
        <v>10</v>
      </c>
      <c r="N50" s="174" t="s">
        <v>34</v>
      </c>
      <c r="O50" s="141"/>
    </row>
    <row r="51" spans="1:15" ht="13.5" thickBot="1" x14ac:dyDescent="0.25">
      <c r="A51" s="141"/>
      <c r="B51" s="173">
        <f t="shared" ref="B51:K51" si="16">SUM(B49:B50)</f>
        <v>23</v>
      </c>
      <c r="C51" s="173">
        <f t="shared" si="16"/>
        <v>2</v>
      </c>
      <c r="D51" s="173">
        <f t="shared" si="16"/>
        <v>0</v>
      </c>
      <c r="E51" s="173">
        <f t="shared" si="16"/>
        <v>1</v>
      </c>
      <c r="F51" s="173">
        <f t="shared" si="16"/>
        <v>0</v>
      </c>
      <c r="G51" s="173">
        <f t="shared" si="16"/>
        <v>9</v>
      </c>
      <c r="H51" s="173">
        <f t="shared" si="16"/>
        <v>3</v>
      </c>
      <c r="I51" s="173">
        <f t="shared" si="16"/>
        <v>2</v>
      </c>
      <c r="J51" s="173">
        <f t="shared" si="16"/>
        <v>3</v>
      </c>
      <c r="K51" s="173">
        <f t="shared" si="16"/>
        <v>2</v>
      </c>
      <c r="L51" s="173">
        <f>SUM(L49:L50)</f>
        <v>1</v>
      </c>
      <c r="M51" s="168" t="s">
        <v>12</v>
      </c>
      <c r="N51" s="175"/>
      <c r="O51" s="141"/>
    </row>
    <row r="52" spans="1:15" ht="13.5" thickBot="1" x14ac:dyDescent="0.25">
      <c r="A52" s="141"/>
      <c r="B52" s="173">
        <f t="shared" si="0"/>
        <v>266</v>
      </c>
      <c r="C52" s="173">
        <v>22</v>
      </c>
      <c r="D52" s="173">
        <v>1</v>
      </c>
      <c r="E52" s="173">
        <v>8</v>
      </c>
      <c r="F52" s="173">
        <v>1</v>
      </c>
      <c r="G52" s="173">
        <v>104</v>
      </c>
      <c r="H52" s="173">
        <v>46</v>
      </c>
      <c r="I52" s="173">
        <v>17</v>
      </c>
      <c r="J52" s="173">
        <v>39</v>
      </c>
      <c r="K52" s="173">
        <v>22</v>
      </c>
      <c r="L52" s="173">
        <v>6</v>
      </c>
      <c r="M52" s="168" t="s">
        <v>9</v>
      </c>
      <c r="N52" s="174"/>
      <c r="O52" s="141"/>
    </row>
    <row r="53" spans="1:15" ht="13.5" thickBot="1" x14ac:dyDescent="0.25">
      <c r="A53" s="141"/>
      <c r="B53" s="173">
        <f t="shared" si="0"/>
        <v>66</v>
      </c>
      <c r="C53" s="173">
        <v>3</v>
      </c>
      <c r="D53" s="173">
        <v>2</v>
      </c>
      <c r="E53" s="173">
        <v>1</v>
      </c>
      <c r="F53" s="173">
        <v>0</v>
      </c>
      <c r="G53" s="173">
        <v>21</v>
      </c>
      <c r="H53" s="173">
        <v>4</v>
      </c>
      <c r="I53" s="173">
        <v>5</v>
      </c>
      <c r="J53" s="173">
        <v>8</v>
      </c>
      <c r="K53" s="173">
        <v>14</v>
      </c>
      <c r="L53" s="173">
        <v>8</v>
      </c>
      <c r="M53" s="168" t="s">
        <v>10</v>
      </c>
      <c r="N53" s="174" t="s">
        <v>39</v>
      </c>
      <c r="O53" s="141"/>
    </row>
    <row r="54" spans="1:15" ht="13.5" thickBot="1" x14ac:dyDescent="0.25">
      <c r="A54" s="141"/>
      <c r="B54" s="173">
        <f t="shared" ref="B54:K54" si="17">SUM(B52:B53)</f>
        <v>332</v>
      </c>
      <c r="C54" s="173">
        <f t="shared" si="17"/>
        <v>25</v>
      </c>
      <c r="D54" s="173">
        <f t="shared" si="17"/>
        <v>3</v>
      </c>
      <c r="E54" s="173">
        <f t="shared" si="17"/>
        <v>9</v>
      </c>
      <c r="F54" s="173">
        <f t="shared" si="17"/>
        <v>1</v>
      </c>
      <c r="G54" s="173">
        <f t="shared" si="17"/>
        <v>125</v>
      </c>
      <c r="H54" s="173">
        <f t="shared" si="17"/>
        <v>50</v>
      </c>
      <c r="I54" s="173">
        <f t="shared" si="17"/>
        <v>22</v>
      </c>
      <c r="J54" s="173">
        <f t="shared" si="17"/>
        <v>47</v>
      </c>
      <c r="K54" s="173">
        <f t="shared" si="17"/>
        <v>36</v>
      </c>
      <c r="L54" s="173">
        <f>SUM(L52:L53)</f>
        <v>14</v>
      </c>
      <c r="M54" s="168" t="s">
        <v>12</v>
      </c>
      <c r="N54" s="175"/>
      <c r="O54" s="141"/>
    </row>
    <row r="55" spans="1:15" ht="13.5" thickBot="1" x14ac:dyDescent="0.25">
      <c r="A55" s="141"/>
      <c r="B55" s="173">
        <f t="shared" si="0"/>
        <v>1</v>
      </c>
      <c r="C55" s="173">
        <v>0</v>
      </c>
      <c r="D55" s="173">
        <v>0</v>
      </c>
      <c r="E55" s="173">
        <v>0</v>
      </c>
      <c r="F55" s="173">
        <v>0</v>
      </c>
      <c r="G55" s="173">
        <v>0</v>
      </c>
      <c r="H55" s="173">
        <v>0</v>
      </c>
      <c r="I55" s="173">
        <v>0</v>
      </c>
      <c r="J55" s="173">
        <v>0</v>
      </c>
      <c r="K55" s="173">
        <v>1</v>
      </c>
      <c r="L55" s="173">
        <v>0</v>
      </c>
      <c r="M55" s="168" t="s">
        <v>9</v>
      </c>
      <c r="N55" s="174"/>
      <c r="O55" s="141"/>
    </row>
    <row r="56" spans="1:15" ht="13.5" thickBot="1" x14ac:dyDescent="0.25">
      <c r="A56" s="141"/>
      <c r="B56" s="173">
        <f t="shared" si="0"/>
        <v>1</v>
      </c>
      <c r="C56" s="173">
        <v>0</v>
      </c>
      <c r="D56" s="173">
        <v>0</v>
      </c>
      <c r="E56" s="173">
        <v>0</v>
      </c>
      <c r="F56" s="173">
        <v>0</v>
      </c>
      <c r="G56" s="173">
        <v>1</v>
      </c>
      <c r="H56" s="173">
        <v>0</v>
      </c>
      <c r="I56" s="173">
        <v>0</v>
      </c>
      <c r="J56" s="173">
        <v>0</v>
      </c>
      <c r="K56" s="173">
        <v>0</v>
      </c>
      <c r="L56" s="173">
        <v>0</v>
      </c>
      <c r="M56" s="168" t="s">
        <v>10</v>
      </c>
      <c r="N56" s="174" t="s">
        <v>35</v>
      </c>
      <c r="O56" s="141"/>
    </row>
    <row r="57" spans="1:15" ht="13.5" thickBot="1" x14ac:dyDescent="0.25">
      <c r="A57" s="141"/>
      <c r="B57" s="173">
        <f t="shared" ref="B57:K57" si="18">SUM(B55:B56)</f>
        <v>2</v>
      </c>
      <c r="C57" s="173">
        <f t="shared" si="18"/>
        <v>0</v>
      </c>
      <c r="D57" s="173">
        <f t="shared" si="18"/>
        <v>0</v>
      </c>
      <c r="E57" s="173">
        <f t="shared" si="18"/>
        <v>0</v>
      </c>
      <c r="F57" s="173">
        <f t="shared" si="18"/>
        <v>0</v>
      </c>
      <c r="G57" s="173">
        <f t="shared" si="18"/>
        <v>1</v>
      </c>
      <c r="H57" s="173">
        <f t="shared" si="18"/>
        <v>0</v>
      </c>
      <c r="I57" s="173">
        <f t="shared" si="18"/>
        <v>0</v>
      </c>
      <c r="J57" s="173">
        <f t="shared" si="18"/>
        <v>0</v>
      </c>
      <c r="K57" s="173">
        <f t="shared" si="18"/>
        <v>1</v>
      </c>
      <c r="L57" s="173">
        <f>SUM(L55:L56)</f>
        <v>0</v>
      </c>
      <c r="M57" s="168" t="s">
        <v>12</v>
      </c>
      <c r="N57" s="175"/>
      <c r="O57" s="141"/>
    </row>
    <row r="58" spans="1:15" ht="13.5" thickBot="1" x14ac:dyDescent="0.25">
      <c r="A58" s="141"/>
      <c r="B58" s="173">
        <f t="shared" si="0"/>
        <v>224</v>
      </c>
      <c r="C58" s="173">
        <v>10</v>
      </c>
      <c r="D58" s="173">
        <v>0</v>
      </c>
      <c r="E58" s="173">
        <v>7</v>
      </c>
      <c r="F58" s="173">
        <v>0</v>
      </c>
      <c r="G58" s="173">
        <v>56</v>
      </c>
      <c r="H58" s="173">
        <v>27</v>
      </c>
      <c r="I58" s="173">
        <v>10</v>
      </c>
      <c r="J58" s="173">
        <v>34</v>
      </c>
      <c r="K58" s="173">
        <v>70</v>
      </c>
      <c r="L58" s="173">
        <v>10</v>
      </c>
      <c r="M58" s="168" t="s">
        <v>9</v>
      </c>
      <c r="N58" s="174"/>
      <c r="O58" s="141"/>
    </row>
    <row r="59" spans="1:15" ht="13.5" thickBot="1" x14ac:dyDescent="0.25">
      <c r="A59" s="141"/>
      <c r="B59" s="173">
        <f t="shared" si="0"/>
        <v>31</v>
      </c>
      <c r="C59" s="173">
        <v>0</v>
      </c>
      <c r="D59" s="173">
        <v>0</v>
      </c>
      <c r="E59" s="173">
        <v>0</v>
      </c>
      <c r="F59" s="173">
        <v>0</v>
      </c>
      <c r="G59" s="173">
        <v>5</v>
      </c>
      <c r="H59" s="173">
        <v>1</v>
      </c>
      <c r="I59" s="173">
        <v>2</v>
      </c>
      <c r="J59" s="173">
        <v>6</v>
      </c>
      <c r="K59" s="173">
        <v>13</v>
      </c>
      <c r="L59" s="173">
        <v>4</v>
      </c>
      <c r="M59" s="168" t="s">
        <v>10</v>
      </c>
      <c r="N59" s="174" t="s">
        <v>23</v>
      </c>
      <c r="O59" s="141"/>
    </row>
    <row r="60" spans="1:15" ht="13.5" thickBot="1" x14ac:dyDescent="0.25">
      <c r="A60" s="141"/>
      <c r="B60" s="173">
        <f t="shared" ref="B60:K60" si="19">SUM(B58:B59)</f>
        <v>255</v>
      </c>
      <c r="C60" s="173">
        <f t="shared" si="19"/>
        <v>10</v>
      </c>
      <c r="D60" s="173">
        <f t="shared" si="19"/>
        <v>0</v>
      </c>
      <c r="E60" s="173">
        <f t="shared" si="19"/>
        <v>7</v>
      </c>
      <c r="F60" s="173">
        <f t="shared" si="19"/>
        <v>0</v>
      </c>
      <c r="G60" s="173">
        <f t="shared" si="19"/>
        <v>61</v>
      </c>
      <c r="H60" s="173">
        <f t="shared" si="19"/>
        <v>28</v>
      </c>
      <c r="I60" s="173">
        <f t="shared" si="19"/>
        <v>12</v>
      </c>
      <c r="J60" s="173">
        <f t="shared" si="19"/>
        <v>40</v>
      </c>
      <c r="K60" s="173">
        <f t="shared" si="19"/>
        <v>83</v>
      </c>
      <c r="L60" s="173">
        <f>SUM(L58:L59)</f>
        <v>14</v>
      </c>
      <c r="M60" s="168" t="s">
        <v>12</v>
      </c>
      <c r="N60" s="175"/>
      <c r="O60" s="141"/>
    </row>
    <row r="61" spans="1:15" ht="13.5" thickBot="1" x14ac:dyDescent="0.25">
      <c r="A61" s="141"/>
      <c r="B61" s="173">
        <f t="shared" si="0"/>
        <v>22</v>
      </c>
      <c r="C61" s="173">
        <v>1</v>
      </c>
      <c r="D61" s="173">
        <v>0</v>
      </c>
      <c r="E61" s="173">
        <v>0</v>
      </c>
      <c r="F61" s="173">
        <v>0</v>
      </c>
      <c r="G61" s="173">
        <v>4</v>
      </c>
      <c r="H61" s="173">
        <v>3</v>
      </c>
      <c r="I61" s="173">
        <v>1</v>
      </c>
      <c r="J61" s="173">
        <v>3</v>
      </c>
      <c r="K61" s="173">
        <v>9</v>
      </c>
      <c r="L61" s="173">
        <v>1</v>
      </c>
      <c r="M61" s="168" t="s">
        <v>9</v>
      </c>
      <c r="N61" s="174"/>
      <c r="O61" s="141"/>
    </row>
    <row r="62" spans="1:15" ht="13.5" thickBot="1" x14ac:dyDescent="0.25">
      <c r="A62" s="141"/>
      <c r="B62" s="173">
        <f t="shared" si="0"/>
        <v>11</v>
      </c>
      <c r="C62" s="173">
        <v>0</v>
      </c>
      <c r="D62" s="173">
        <v>0</v>
      </c>
      <c r="E62" s="173">
        <v>1</v>
      </c>
      <c r="F62" s="173">
        <v>0</v>
      </c>
      <c r="G62" s="173">
        <v>1</v>
      </c>
      <c r="H62" s="173">
        <v>0</v>
      </c>
      <c r="I62" s="173">
        <v>2</v>
      </c>
      <c r="J62" s="173">
        <v>2</v>
      </c>
      <c r="K62" s="173">
        <v>4</v>
      </c>
      <c r="L62" s="173">
        <v>1</v>
      </c>
      <c r="M62" s="168" t="s">
        <v>10</v>
      </c>
      <c r="N62" s="174" t="s">
        <v>24</v>
      </c>
      <c r="O62" s="141"/>
    </row>
    <row r="63" spans="1:15" ht="13.5" thickBot="1" x14ac:dyDescent="0.25">
      <c r="A63" s="141"/>
      <c r="B63" s="173">
        <f t="shared" ref="B63:K63" si="20">SUM(B61:B62)</f>
        <v>33</v>
      </c>
      <c r="C63" s="173">
        <f t="shared" si="20"/>
        <v>1</v>
      </c>
      <c r="D63" s="173">
        <f t="shared" si="20"/>
        <v>0</v>
      </c>
      <c r="E63" s="173">
        <f t="shared" si="20"/>
        <v>1</v>
      </c>
      <c r="F63" s="173">
        <f t="shared" si="20"/>
        <v>0</v>
      </c>
      <c r="G63" s="173">
        <f t="shared" si="20"/>
        <v>5</v>
      </c>
      <c r="H63" s="173">
        <f t="shared" si="20"/>
        <v>3</v>
      </c>
      <c r="I63" s="173">
        <f t="shared" si="20"/>
        <v>3</v>
      </c>
      <c r="J63" s="173">
        <f t="shared" si="20"/>
        <v>5</v>
      </c>
      <c r="K63" s="173">
        <f t="shared" si="20"/>
        <v>13</v>
      </c>
      <c r="L63" s="173">
        <f>SUM(L61:L62)</f>
        <v>2</v>
      </c>
      <c r="M63" s="168" t="s">
        <v>12</v>
      </c>
      <c r="N63" s="175"/>
      <c r="O63" s="141"/>
    </row>
    <row r="64" spans="1:15" ht="13.5" thickBot="1" x14ac:dyDescent="0.25">
      <c r="A64" s="141"/>
      <c r="B64" s="173">
        <f t="shared" si="0"/>
        <v>25</v>
      </c>
      <c r="C64" s="173">
        <v>1</v>
      </c>
      <c r="D64" s="173">
        <v>0</v>
      </c>
      <c r="E64" s="173">
        <v>1</v>
      </c>
      <c r="F64" s="173">
        <v>0</v>
      </c>
      <c r="G64" s="173">
        <v>4</v>
      </c>
      <c r="H64" s="173">
        <v>2</v>
      </c>
      <c r="I64" s="173">
        <v>0</v>
      </c>
      <c r="J64" s="173">
        <v>4</v>
      </c>
      <c r="K64" s="173">
        <v>12</v>
      </c>
      <c r="L64" s="173">
        <v>1</v>
      </c>
      <c r="M64" s="168" t="s">
        <v>9</v>
      </c>
      <c r="N64" s="174"/>
      <c r="O64" s="141"/>
    </row>
    <row r="65" spans="1:15" ht="13.5" thickBot="1" x14ac:dyDescent="0.25">
      <c r="A65" s="141"/>
      <c r="B65" s="173">
        <f t="shared" si="0"/>
        <v>5</v>
      </c>
      <c r="C65" s="173">
        <v>0</v>
      </c>
      <c r="D65" s="173">
        <v>0</v>
      </c>
      <c r="E65" s="173">
        <v>0</v>
      </c>
      <c r="F65" s="173">
        <v>0</v>
      </c>
      <c r="G65" s="173">
        <v>2</v>
      </c>
      <c r="H65" s="173">
        <v>0</v>
      </c>
      <c r="I65" s="173">
        <v>0</v>
      </c>
      <c r="J65" s="173">
        <v>1</v>
      </c>
      <c r="K65" s="173">
        <v>1</v>
      </c>
      <c r="L65" s="173">
        <v>1</v>
      </c>
      <c r="M65" s="168" t="s">
        <v>10</v>
      </c>
      <c r="N65" s="174" t="s">
        <v>25</v>
      </c>
      <c r="O65" s="141"/>
    </row>
    <row r="66" spans="1:15" ht="13.5" thickBot="1" x14ac:dyDescent="0.25">
      <c r="A66" s="141"/>
      <c r="B66" s="173">
        <f t="shared" ref="B66:K66" si="21">SUM(B64:B65)</f>
        <v>30</v>
      </c>
      <c r="C66" s="173">
        <f t="shared" si="21"/>
        <v>1</v>
      </c>
      <c r="D66" s="173">
        <f t="shared" si="21"/>
        <v>0</v>
      </c>
      <c r="E66" s="173">
        <f t="shared" si="21"/>
        <v>1</v>
      </c>
      <c r="F66" s="173">
        <f t="shared" si="21"/>
        <v>0</v>
      </c>
      <c r="G66" s="173">
        <f t="shared" si="21"/>
        <v>6</v>
      </c>
      <c r="H66" s="173">
        <f t="shared" si="21"/>
        <v>2</v>
      </c>
      <c r="I66" s="173">
        <f t="shared" si="21"/>
        <v>0</v>
      </c>
      <c r="J66" s="173">
        <f t="shared" si="21"/>
        <v>5</v>
      </c>
      <c r="K66" s="173">
        <f t="shared" si="21"/>
        <v>13</v>
      </c>
      <c r="L66" s="173">
        <f>SUM(L64:L65)</f>
        <v>2</v>
      </c>
      <c r="M66" s="168" t="s">
        <v>12</v>
      </c>
      <c r="N66" s="175"/>
      <c r="O66" s="141"/>
    </row>
    <row r="67" spans="1:15" ht="13.5" thickBot="1" x14ac:dyDescent="0.25">
      <c r="A67" s="141"/>
      <c r="B67" s="173">
        <f t="shared" si="0"/>
        <v>146</v>
      </c>
      <c r="C67" s="173">
        <v>12</v>
      </c>
      <c r="D67" s="173">
        <v>0</v>
      </c>
      <c r="E67" s="173">
        <v>5</v>
      </c>
      <c r="F67" s="173">
        <v>1</v>
      </c>
      <c r="G67" s="173">
        <v>57</v>
      </c>
      <c r="H67" s="173">
        <v>25</v>
      </c>
      <c r="I67" s="173">
        <v>9</v>
      </c>
      <c r="J67" s="173">
        <v>22</v>
      </c>
      <c r="K67" s="173">
        <v>12</v>
      </c>
      <c r="L67" s="173">
        <v>3</v>
      </c>
      <c r="M67" s="168" t="s">
        <v>9</v>
      </c>
      <c r="N67" s="174"/>
      <c r="O67" s="141"/>
    </row>
    <row r="68" spans="1:15" ht="13.5" thickBot="1" x14ac:dyDescent="0.25">
      <c r="A68" s="141"/>
      <c r="B68" s="173">
        <f t="shared" si="0"/>
        <v>12</v>
      </c>
      <c r="C68" s="173">
        <v>1</v>
      </c>
      <c r="D68" s="173">
        <v>1</v>
      </c>
      <c r="E68" s="173">
        <v>0</v>
      </c>
      <c r="F68" s="173">
        <v>0</v>
      </c>
      <c r="G68" s="173">
        <v>3</v>
      </c>
      <c r="H68" s="173">
        <v>1</v>
      </c>
      <c r="I68" s="173">
        <v>1</v>
      </c>
      <c r="J68" s="173">
        <v>1</v>
      </c>
      <c r="K68" s="173">
        <v>3</v>
      </c>
      <c r="L68" s="173">
        <v>1</v>
      </c>
      <c r="M68" s="168" t="s">
        <v>10</v>
      </c>
      <c r="N68" s="174" t="s">
        <v>31</v>
      </c>
      <c r="O68" s="141"/>
    </row>
    <row r="69" spans="1:15" ht="13.5" thickBot="1" x14ac:dyDescent="0.25">
      <c r="A69" s="141"/>
      <c r="B69" s="173">
        <f t="shared" ref="B69:K69" si="22">SUM(B67:B68)</f>
        <v>158</v>
      </c>
      <c r="C69" s="173">
        <f t="shared" si="22"/>
        <v>13</v>
      </c>
      <c r="D69" s="173">
        <f t="shared" si="22"/>
        <v>1</v>
      </c>
      <c r="E69" s="173">
        <f t="shared" si="22"/>
        <v>5</v>
      </c>
      <c r="F69" s="173">
        <f t="shared" si="22"/>
        <v>1</v>
      </c>
      <c r="G69" s="173">
        <f t="shared" si="22"/>
        <v>60</v>
      </c>
      <c r="H69" s="173">
        <f t="shared" si="22"/>
        <v>26</v>
      </c>
      <c r="I69" s="173">
        <f t="shared" si="22"/>
        <v>10</v>
      </c>
      <c r="J69" s="173">
        <f t="shared" si="22"/>
        <v>23</v>
      </c>
      <c r="K69" s="173">
        <f t="shared" si="22"/>
        <v>15</v>
      </c>
      <c r="L69" s="173">
        <f>SUM(L67:L68)</f>
        <v>4</v>
      </c>
      <c r="M69" s="168" t="s">
        <v>12</v>
      </c>
      <c r="N69" s="175"/>
      <c r="O69" s="141"/>
    </row>
    <row r="70" spans="1:15" ht="13.5" thickBot="1" x14ac:dyDescent="0.25">
      <c r="A70" s="141"/>
      <c r="B70" s="176">
        <f t="shared" ref="B70:L72" si="23">B4+B7+B10+B13+B16+B19+B22+B25+B28+B31+B34+B37+B40+B43+B46+B49+B52+B55+B58+B61+B64+B67</f>
        <v>1431</v>
      </c>
      <c r="C70" s="176">
        <f t="shared" si="23"/>
        <v>82</v>
      </c>
      <c r="D70" s="176">
        <f t="shared" si="23"/>
        <v>2</v>
      </c>
      <c r="E70" s="176">
        <f t="shared" si="23"/>
        <v>45</v>
      </c>
      <c r="F70" s="176">
        <f t="shared" si="23"/>
        <v>4</v>
      </c>
      <c r="G70" s="176">
        <f t="shared" si="23"/>
        <v>419</v>
      </c>
      <c r="H70" s="176">
        <f t="shared" si="23"/>
        <v>196</v>
      </c>
      <c r="I70" s="176">
        <f t="shared" si="23"/>
        <v>72</v>
      </c>
      <c r="J70" s="176">
        <f t="shared" si="23"/>
        <v>212</v>
      </c>
      <c r="K70" s="176">
        <f t="shared" si="23"/>
        <v>349</v>
      </c>
      <c r="L70" s="176">
        <f>L4+L7+L10+L13+L16+L19+L22+L25+L28+L31+L34+L37+L40+L43+L46+L49+L52+L55+L58+L61+L64+L67</f>
        <v>50</v>
      </c>
      <c r="M70" s="168" t="s">
        <v>9</v>
      </c>
      <c r="N70" s="171"/>
      <c r="O70" s="141"/>
    </row>
    <row r="71" spans="1:15" ht="13.5" thickBot="1" x14ac:dyDescent="0.25">
      <c r="A71" s="141"/>
      <c r="B71" s="176">
        <f t="shared" si="23"/>
        <v>373</v>
      </c>
      <c r="C71" s="176">
        <f t="shared" si="23"/>
        <v>11</v>
      </c>
      <c r="D71" s="176">
        <f t="shared" si="23"/>
        <v>8</v>
      </c>
      <c r="E71" s="176">
        <f t="shared" si="23"/>
        <v>5</v>
      </c>
      <c r="F71" s="176">
        <f t="shared" si="23"/>
        <v>2</v>
      </c>
      <c r="G71" s="176">
        <f t="shared" si="23"/>
        <v>98</v>
      </c>
      <c r="H71" s="176">
        <f t="shared" si="23"/>
        <v>16</v>
      </c>
      <c r="I71" s="176">
        <f t="shared" si="23"/>
        <v>29</v>
      </c>
      <c r="J71" s="176">
        <f t="shared" si="23"/>
        <v>53</v>
      </c>
      <c r="K71" s="176">
        <f t="shared" si="23"/>
        <v>106</v>
      </c>
      <c r="L71" s="176">
        <f t="shared" si="23"/>
        <v>45</v>
      </c>
      <c r="M71" s="168" t="s">
        <v>10</v>
      </c>
      <c r="N71" s="177" t="s">
        <v>188</v>
      </c>
      <c r="O71" s="141"/>
    </row>
    <row r="72" spans="1:15" ht="13.5" thickBot="1" x14ac:dyDescent="0.25">
      <c r="A72" s="141"/>
      <c r="B72" s="176">
        <f t="shared" si="23"/>
        <v>1804</v>
      </c>
      <c r="C72" s="176">
        <f t="shared" si="23"/>
        <v>93</v>
      </c>
      <c r="D72" s="176">
        <f t="shared" si="23"/>
        <v>10</v>
      </c>
      <c r="E72" s="176">
        <f t="shared" si="23"/>
        <v>50</v>
      </c>
      <c r="F72" s="176">
        <f t="shared" si="23"/>
        <v>6</v>
      </c>
      <c r="G72" s="176">
        <f t="shared" si="23"/>
        <v>517</v>
      </c>
      <c r="H72" s="176">
        <f t="shared" si="23"/>
        <v>212</v>
      </c>
      <c r="I72" s="176">
        <f t="shared" si="23"/>
        <v>101</v>
      </c>
      <c r="J72" s="176">
        <f t="shared" si="23"/>
        <v>265</v>
      </c>
      <c r="K72" s="176">
        <f t="shared" si="23"/>
        <v>455</v>
      </c>
      <c r="L72" s="176">
        <f t="shared" si="23"/>
        <v>95</v>
      </c>
      <c r="M72" s="168" t="s">
        <v>12</v>
      </c>
      <c r="N72" s="178"/>
      <c r="O72" s="141"/>
    </row>
  </sheetData>
  <mergeCells count="2">
    <mergeCell ref="B1:N1"/>
    <mergeCell ref="B2:N2"/>
  </mergeCells>
  <pageMargins left="0.4" right="0.4" top="0.8" bottom="0.8" header="0.8" footer="0.8"/>
  <pageSetup paperSize="9" orientation="landscape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72"/>
  <sheetViews>
    <sheetView showGridLines="0" topLeftCell="A55" workbookViewId="0">
      <selection activeCell="N22" sqref="N22"/>
    </sheetView>
  </sheetViews>
  <sheetFormatPr defaultRowHeight="12.75" x14ac:dyDescent="0.2"/>
  <cols>
    <col min="1" max="1" width="3.75" style="142" customWidth="1"/>
    <col min="2" max="12" width="7.25" style="142" customWidth="1"/>
    <col min="13" max="13" width="9.625" style="142" customWidth="1"/>
    <col min="14" max="14" width="24" style="142" customWidth="1"/>
    <col min="15" max="15" width="3.5" style="142" customWidth="1"/>
    <col min="16" max="16384" width="9" style="142"/>
  </cols>
  <sheetData>
    <row r="1" spans="1:15" ht="20.100000000000001" customHeight="1" x14ac:dyDescent="0.2">
      <c r="A1" s="141"/>
      <c r="B1" s="593" t="s">
        <v>904</v>
      </c>
      <c r="C1" s="594"/>
      <c r="D1" s="594"/>
      <c r="E1" s="594"/>
      <c r="F1" s="594"/>
      <c r="G1" s="594"/>
      <c r="H1" s="594"/>
      <c r="I1" s="594"/>
      <c r="J1" s="594"/>
      <c r="K1" s="594"/>
      <c r="L1" s="594"/>
      <c r="M1" s="594"/>
      <c r="N1" s="594"/>
      <c r="O1" s="141"/>
    </row>
    <row r="2" spans="1:15" ht="20.100000000000001" customHeight="1" thickBot="1" x14ac:dyDescent="0.25">
      <c r="A2" s="141"/>
      <c r="B2" s="595" t="s">
        <v>905</v>
      </c>
      <c r="C2" s="595"/>
      <c r="D2" s="595"/>
      <c r="E2" s="595"/>
      <c r="F2" s="595"/>
      <c r="G2" s="595"/>
      <c r="H2" s="595"/>
      <c r="I2" s="595"/>
      <c r="J2" s="595"/>
      <c r="K2" s="595"/>
      <c r="L2" s="595"/>
      <c r="M2" s="595"/>
      <c r="N2" s="595"/>
      <c r="O2" s="141"/>
    </row>
    <row r="3" spans="1:15" ht="26.25" thickBot="1" x14ac:dyDescent="0.25">
      <c r="A3" s="141"/>
      <c r="B3" s="173" t="s">
        <v>244</v>
      </c>
      <c r="C3" s="173" t="s">
        <v>53</v>
      </c>
      <c r="D3" s="173" t="s">
        <v>52</v>
      </c>
      <c r="E3" s="173" t="s">
        <v>902</v>
      </c>
      <c r="F3" s="173" t="s">
        <v>50</v>
      </c>
      <c r="G3" s="173" t="s">
        <v>49</v>
      </c>
      <c r="H3" s="173" t="s">
        <v>48</v>
      </c>
      <c r="I3" s="173" t="s">
        <v>47</v>
      </c>
      <c r="J3" s="173" t="s">
        <v>903</v>
      </c>
      <c r="K3" s="173" t="s">
        <v>45</v>
      </c>
      <c r="L3" s="173" t="s">
        <v>44</v>
      </c>
      <c r="M3" s="179" t="s">
        <v>7</v>
      </c>
      <c r="N3" s="180" t="s">
        <v>895</v>
      </c>
      <c r="O3" s="141"/>
    </row>
    <row r="4" spans="1:15" ht="13.5" thickBot="1" x14ac:dyDescent="0.25">
      <c r="A4" s="141"/>
      <c r="B4" s="173">
        <f>SUM(C4:L4)</f>
        <v>1</v>
      </c>
      <c r="C4" s="173">
        <v>0</v>
      </c>
      <c r="D4" s="173">
        <v>0</v>
      </c>
      <c r="E4" s="173">
        <v>0</v>
      </c>
      <c r="F4" s="173">
        <v>0</v>
      </c>
      <c r="G4" s="173">
        <v>1</v>
      </c>
      <c r="H4" s="173">
        <v>0</v>
      </c>
      <c r="I4" s="173">
        <v>0</v>
      </c>
      <c r="J4" s="173">
        <v>0</v>
      </c>
      <c r="K4" s="173">
        <v>0</v>
      </c>
      <c r="L4" s="173">
        <v>0</v>
      </c>
      <c r="M4" s="173" t="s">
        <v>9</v>
      </c>
      <c r="N4" s="181"/>
      <c r="O4" s="141"/>
    </row>
    <row r="5" spans="1:15" ht="13.5" thickBot="1" x14ac:dyDescent="0.25">
      <c r="A5" s="141"/>
      <c r="B5" s="173">
        <f t="shared" ref="B5" si="0">SUM(C5:L5)</f>
        <v>1</v>
      </c>
      <c r="C5" s="173">
        <v>0</v>
      </c>
      <c r="D5" s="173">
        <v>0</v>
      </c>
      <c r="E5" s="173">
        <v>0</v>
      </c>
      <c r="F5" s="173">
        <v>0</v>
      </c>
      <c r="G5" s="173">
        <v>0</v>
      </c>
      <c r="H5" s="173">
        <v>0</v>
      </c>
      <c r="I5" s="173">
        <v>0</v>
      </c>
      <c r="J5" s="173">
        <v>1</v>
      </c>
      <c r="K5" s="173">
        <v>0</v>
      </c>
      <c r="L5" s="173">
        <v>0</v>
      </c>
      <c r="M5" s="173" t="s">
        <v>10</v>
      </c>
      <c r="N5" s="181" t="s">
        <v>11</v>
      </c>
      <c r="O5" s="141"/>
    </row>
    <row r="6" spans="1:15" ht="13.5" thickBot="1" x14ac:dyDescent="0.25">
      <c r="A6" s="141"/>
      <c r="B6" s="173">
        <f t="shared" ref="B6:K6" si="1">SUM(B4:B5)</f>
        <v>2</v>
      </c>
      <c r="C6" s="173">
        <f t="shared" si="1"/>
        <v>0</v>
      </c>
      <c r="D6" s="173">
        <f t="shared" si="1"/>
        <v>0</v>
      </c>
      <c r="E6" s="173">
        <f t="shared" si="1"/>
        <v>0</v>
      </c>
      <c r="F6" s="173">
        <f t="shared" si="1"/>
        <v>0</v>
      </c>
      <c r="G6" s="173">
        <f t="shared" si="1"/>
        <v>1</v>
      </c>
      <c r="H6" s="173">
        <f t="shared" si="1"/>
        <v>0</v>
      </c>
      <c r="I6" s="173">
        <f t="shared" si="1"/>
        <v>0</v>
      </c>
      <c r="J6" s="173">
        <f t="shared" si="1"/>
        <v>1</v>
      </c>
      <c r="K6" s="173">
        <f t="shared" si="1"/>
        <v>0</v>
      </c>
      <c r="L6" s="173">
        <f>SUM(L4:L5)</f>
        <v>0</v>
      </c>
      <c r="M6" s="173" t="s">
        <v>12</v>
      </c>
      <c r="N6" s="182"/>
      <c r="O6" s="141"/>
    </row>
    <row r="7" spans="1:15" ht="13.5" thickBot="1" x14ac:dyDescent="0.25">
      <c r="A7" s="141"/>
      <c r="B7" s="173">
        <f t="shared" ref="B7:B8" si="2">SUM(C7:L7)</f>
        <v>2</v>
      </c>
      <c r="C7" s="173">
        <v>0</v>
      </c>
      <c r="D7" s="173">
        <v>0</v>
      </c>
      <c r="E7" s="173">
        <v>0</v>
      </c>
      <c r="F7" s="173">
        <v>0</v>
      </c>
      <c r="G7" s="173">
        <v>1</v>
      </c>
      <c r="H7" s="173">
        <v>1</v>
      </c>
      <c r="I7" s="173">
        <v>0</v>
      </c>
      <c r="J7" s="173">
        <v>0</v>
      </c>
      <c r="K7" s="173">
        <v>0</v>
      </c>
      <c r="L7" s="173">
        <v>0</v>
      </c>
      <c r="M7" s="173" t="s">
        <v>9</v>
      </c>
      <c r="N7" s="181"/>
      <c r="O7" s="141"/>
    </row>
    <row r="8" spans="1:15" ht="13.5" thickBot="1" x14ac:dyDescent="0.25">
      <c r="A8" s="141"/>
      <c r="B8" s="173">
        <f t="shared" si="2"/>
        <v>0</v>
      </c>
      <c r="C8" s="173">
        <v>0</v>
      </c>
      <c r="D8" s="173">
        <v>0</v>
      </c>
      <c r="E8" s="173">
        <v>0</v>
      </c>
      <c r="F8" s="173">
        <v>0</v>
      </c>
      <c r="G8" s="173">
        <v>0</v>
      </c>
      <c r="H8" s="173">
        <v>0</v>
      </c>
      <c r="I8" s="173">
        <v>0</v>
      </c>
      <c r="J8" s="173">
        <v>0</v>
      </c>
      <c r="K8" s="173">
        <v>0</v>
      </c>
      <c r="L8" s="173">
        <v>0</v>
      </c>
      <c r="M8" s="173" t="s">
        <v>10</v>
      </c>
      <c r="N8" s="181" t="s">
        <v>13</v>
      </c>
      <c r="O8" s="141"/>
    </row>
    <row r="9" spans="1:15" ht="13.5" thickBot="1" x14ac:dyDescent="0.25">
      <c r="A9" s="141"/>
      <c r="B9" s="173">
        <f t="shared" ref="B9:K9" si="3">SUM(B7:B8)</f>
        <v>2</v>
      </c>
      <c r="C9" s="173">
        <f t="shared" si="3"/>
        <v>0</v>
      </c>
      <c r="D9" s="173">
        <f t="shared" si="3"/>
        <v>0</v>
      </c>
      <c r="E9" s="173">
        <f t="shared" si="3"/>
        <v>0</v>
      </c>
      <c r="F9" s="173">
        <f t="shared" si="3"/>
        <v>0</v>
      </c>
      <c r="G9" s="173">
        <f t="shared" si="3"/>
        <v>1</v>
      </c>
      <c r="H9" s="173">
        <f t="shared" si="3"/>
        <v>1</v>
      </c>
      <c r="I9" s="173">
        <f t="shared" si="3"/>
        <v>0</v>
      </c>
      <c r="J9" s="173">
        <f t="shared" si="3"/>
        <v>0</v>
      </c>
      <c r="K9" s="173">
        <f t="shared" si="3"/>
        <v>0</v>
      </c>
      <c r="L9" s="173">
        <f>SUM(L7:L8)</f>
        <v>0</v>
      </c>
      <c r="M9" s="173" t="s">
        <v>12</v>
      </c>
      <c r="N9" s="182"/>
      <c r="O9" s="141"/>
    </row>
    <row r="10" spans="1:15" ht="13.5" thickBot="1" x14ac:dyDescent="0.25">
      <c r="A10" s="141"/>
      <c r="B10" s="173">
        <f t="shared" ref="B10:B11" si="4">SUM(C10:L10)</f>
        <v>100</v>
      </c>
      <c r="C10" s="173">
        <v>8</v>
      </c>
      <c r="D10" s="173">
        <v>0</v>
      </c>
      <c r="E10" s="173">
        <v>3</v>
      </c>
      <c r="F10" s="173">
        <v>1</v>
      </c>
      <c r="G10" s="173">
        <v>39</v>
      </c>
      <c r="H10" s="173">
        <v>17</v>
      </c>
      <c r="I10" s="173">
        <v>7</v>
      </c>
      <c r="J10" s="173">
        <v>15</v>
      </c>
      <c r="K10" s="173">
        <v>8</v>
      </c>
      <c r="L10" s="173">
        <v>2</v>
      </c>
      <c r="M10" s="173" t="s">
        <v>9</v>
      </c>
      <c r="N10" s="181"/>
      <c r="O10" s="141"/>
    </row>
    <row r="11" spans="1:15" ht="13.5" thickBot="1" x14ac:dyDescent="0.25">
      <c r="A11" s="141"/>
      <c r="B11" s="173">
        <f t="shared" si="4"/>
        <v>67</v>
      </c>
      <c r="C11" s="173">
        <v>3</v>
      </c>
      <c r="D11" s="173">
        <v>2</v>
      </c>
      <c r="E11" s="173">
        <v>1</v>
      </c>
      <c r="F11" s="173">
        <v>0</v>
      </c>
      <c r="G11" s="173">
        <v>22</v>
      </c>
      <c r="H11" s="173">
        <v>4</v>
      </c>
      <c r="I11" s="173">
        <v>5</v>
      </c>
      <c r="J11" s="173">
        <v>8</v>
      </c>
      <c r="K11" s="173">
        <v>14</v>
      </c>
      <c r="L11" s="173">
        <v>8</v>
      </c>
      <c r="M11" s="173" t="s">
        <v>10</v>
      </c>
      <c r="N11" s="181" t="s">
        <v>14</v>
      </c>
      <c r="O11" s="141"/>
    </row>
    <row r="12" spans="1:15" ht="13.5" thickBot="1" x14ac:dyDescent="0.25">
      <c r="A12" s="141"/>
      <c r="B12" s="173">
        <f t="shared" ref="B12:K12" si="5">SUM(B10:B11)</f>
        <v>167</v>
      </c>
      <c r="C12" s="173">
        <f t="shared" si="5"/>
        <v>11</v>
      </c>
      <c r="D12" s="173">
        <f t="shared" si="5"/>
        <v>2</v>
      </c>
      <c r="E12" s="173">
        <f t="shared" si="5"/>
        <v>4</v>
      </c>
      <c r="F12" s="173">
        <f t="shared" si="5"/>
        <v>1</v>
      </c>
      <c r="G12" s="173">
        <f t="shared" si="5"/>
        <v>61</v>
      </c>
      <c r="H12" s="173">
        <f t="shared" si="5"/>
        <v>21</v>
      </c>
      <c r="I12" s="173">
        <f t="shared" si="5"/>
        <v>12</v>
      </c>
      <c r="J12" s="173">
        <f t="shared" si="5"/>
        <v>23</v>
      </c>
      <c r="K12" s="173">
        <f t="shared" si="5"/>
        <v>22</v>
      </c>
      <c r="L12" s="173">
        <f>SUM(L10:L11)</f>
        <v>10</v>
      </c>
      <c r="M12" s="173" t="s">
        <v>12</v>
      </c>
      <c r="N12" s="182"/>
      <c r="O12" s="141"/>
    </row>
    <row r="13" spans="1:15" ht="13.5" thickBot="1" x14ac:dyDescent="0.25">
      <c r="A13" s="141"/>
      <c r="B13" s="173">
        <f t="shared" ref="B13:B14" si="6">SUM(C13:L13)</f>
        <v>1</v>
      </c>
      <c r="C13" s="173">
        <v>0</v>
      </c>
      <c r="D13" s="173">
        <v>0</v>
      </c>
      <c r="E13" s="173">
        <v>0</v>
      </c>
      <c r="F13" s="173">
        <v>0</v>
      </c>
      <c r="G13" s="173">
        <v>0</v>
      </c>
      <c r="H13" s="173">
        <v>0</v>
      </c>
      <c r="I13" s="173">
        <v>0</v>
      </c>
      <c r="J13" s="173">
        <v>0</v>
      </c>
      <c r="K13" s="173">
        <v>1</v>
      </c>
      <c r="L13" s="173">
        <v>0</v>
      </c>
      <c r="M13" s="173" t="s">
        <v>9</v>
      </c>
      <c r="N13" s="181"/>
      <c r="O13" s="141"/>
    </row>
    <row r="14" spans="1:15" ht="13.5" thickBot="1" x14ac:dyDescent="0.25">
      <c r="A14" s="141"/>
      <c r="B14" s="173">
        <f t="shared" si="6"/>
        <v>1</v>
      </c>
      <c r="C14" s="173">
        <v>0</v>
      </c>
      <c r="D14" s="173">
        <v>0</v>
      </c>
      <c r="E14" s="173">
        <v>0</v>
      </c>
      <c r="F14" s="173">
        <v>0</v>
      </c>
      <c r="G14" s="173">
        <v>1</v>
      </c>
      <c r="H14" s="173">
        <v>0</v>
      </c>
      <c r="I14" s="173">
        <v>0</v>
      </c>
      <c r="J14" s="173">
        <v>0</v>
      </c>
      <c r="K14" s="173">
        <v>0</v>
      </c>
      <c r="L14" s="173">
        <v>0</v>
      </c>
      <c r="M14" s="173" t="s">
        <v>10</v>
      </c>
      <c r="N14" s="181" t="s">
        <v>15</v>
      </c>
      <c r="O14" s="141"/>
    </row>
    <row r="15" spans="1:15" ht="13.5" thickBot="1" x14ac:dyDescent="0.25">
      <c r="A15" s="141"/>
      <c r="B15" s="173">
        <f t="shared" ref="B15:K15" si="7">SUM(B13:B14)</f>
        <v>2</v>
      </c>
      <c r="C15" s="173">
        <f t="shared" si="7"/>
        <v>0</v>
      </c>
      <c r="D15" s="173">
        <f t="shared" si="7"/>
        <v>0</v>
      </c>
      <c r="E15" s="173">
        <f t="shared" si="7"/>
        <v>0</v>
      </c>
      <c r="F15" s="173">
        <f t="shared" si="7"/>
        <v>0</v>
      </c>
      <c r="G15" s="173">
        <f t="shared" si="7"/>
        <v>1</v>
      </c>
      <c r="H15" s="173">
        <f t="shared" si="7"/>
        <v>0</v>
      </c>
      <c r="I15" s="173">
        <f t="shared" si="7"/>
        <v>0</v>
      </c>
      <c r="J15" s="173">
        <f t="shared" si="7"/>
        <v>0</v>
      </c>
      <c r="K15" s="173">
        <f t="shared" si="7"/>
        <v>1</v>
      </c>
      <c r="L15" s="173">
        <f>SUM(L13:L14)</f>
        <v>0</v>
      </c>
      <c r="M15" s="173" t="s">
        <v>12</v>
      </c>
      <c r="N15" s="182"/>
      <c r="O15" s="141"/>
    </row>
    <row r="16" spans="1:15" ht="13.5" thickBot="1" x14ac:dyDescent="0.25">
      <c r="A16" s="141"/>
      <c r="B16" s="173">
        <f t="shared" ref="B16:B17" si="8">SUM(C16:L16)</f>
        <v>1</v>
      </c>
      <c r="C16" s="173">
        <v>1</v>
      </c>
      <c r="D16" s="173">
        <v>0</v>
      </c>
      <c r="E16" s="173">
        <v>0</v>
      </c>
      <c r="F16" s="173">
        <v>0</v>
      </c>
      <c r="G16" s="173">
        <v>0</v>
      </c>
      <c r="H16" s="173">
        <v>0</v>
      </c>
      <c r="I16" s="173">
        <v>0</v>
      </c>
      <c r="J16" s="173">
        <v>0</v>
      </c>
      <c r="K16" s="173">
        <v>0</v>
      </c>
      <c r="L16" s="173">
        <v>0</v>
      </c>
      <c r="M16" s="173" t="s">
        <v>9</v>
      </c>
      <c r="N16" s="181"/>
      <c r="O16" s="141"/>
    </row>
    <row r="17" spans="1:15" ht="13.5" thickBot="1" x14ac:dyDescent="0.25">
      <c r="A17" s="141"/>
      <c r="B17" s="173">
        <f t="shared" si="8"/>
        <v>0</v>
      </c>
      <c r="C17" s="173">
        <v>0</v>
      </c>
      <c r="D17" s="173">
        <v>0</v>
      </c>
      <c r="E17" s="173">
        <v>0</v>
      </c>
      <c r="F17" s="173">
        <v>0</v>
      </c>
      <c r="G17" s="173">
        <v>0</v>
      </c>
      <c r="H17" s="173">
        <v>0</v>
      </c>
      <c r="I17" s="173">
        <v>0</v>
      </c>
      <c r="J17" s="173">
        <v>0</v>
      </c>
      <c r="K17" s="173">
        <v>0</v>
      </c>
      <c r="L17" s="173">
        <v>0</v>
      </c>
      <c r="M17" s="173" t="s">
        <v>10</v>
      </c>
      <c r="N17" s="181" t="s">
        <v>16</v>
      </c>
      <c r="O17" s="141"/>
    </row>
    <row r="18" spans="1:15" ht="13.5" thickBot="1" x14ac:dyDescent="0.25">
      <c r="A18" s="141"/>
      <c r="B18" s="173">
        <f t="shared" ref="B18:K18" si="9">SUM(B16:B17)</f>
        <v>1</v>
      </c>
      <c r="C18" s="173">
        <f t="shared" si="9"/>
        <v>1</v>
      </c>
      <c r="D18" s="173">
        <f t="shared" si="9"/>
        <v>0</v>
      </c>
      <c r="E18" s="173">
        <f t="shared" si="9"/>
        <v>0</v>
      </c>
      <c r="F18" s="173">
        <f t="shared" si="9"/>
        <v>0</v>
      </c>
      <c r="G18" s="173">
        <f t="shared" si="9"/>
        <v>0</v>
      </c>
      <c r="H18" s="173">
        <f t="shared" si="9"/>
        <v>0</v>
      </c>
      <c r="I18" s="173">
        <f t="shared" si="9"/>
        <v>0</v>
      </c>
      <c r="J18" s="173">
        <f t="shared" si="9"/>
        <v>0</v>
      </c>
      <c r="K18" s="173">
        <f t="shared" si="9"/>
        <v>0</v>
      </c>
      <c r="L18" s="173">
        <f>SUM(L16:L17)</f>
        <v>0</v>
      </c>
      <c r="M18" s="173" t="s">
        <v>12</v>
      </c>
      <c r="N18" s="182"/>
      <c r="O18" s="141"/>
    </row>
    <row r="19" spans="1:15" ht="13.5" thickBot="1" x14ac:dyDescent="0.25">
      <c r="A19" s="141"/>
      <c r="B19" s="173">
        <f t="shared" ref="B19:B20" si="10">SUM(C19:L19)</f>
        <v>8</v>
      </c>
      <c r="C19" s="173">
        <v>1</v>
      </c>
      <c r="D19" s="173">
        <v>0</v>
      </c>
      <c r="E19" s="173">
        <v>0</v>
      </c>
      <c r="F19" s="173">
        <v>0</v>
      </c>
      <c r="G19" s="173">
        <v>3</v>
      </c>
      <c r="H19" s="173">
        <v>1</v>
      </c>
      <c r="I19" s="173">
        <v>1</v>
      </c>
      <c r="J19" s="173">
        <v>1</v>
      </c>
      <c r="K19" s="173">
        <v>1</v>
      </c>
      <c r="L19" s="173">
        <v>0</v>
      </c>
      <c r="M19" s="173" t="s">
        <v>9</v>
      </c>
      <c r="N19" s="181"/>
      <c r="O19" s="141"/>
    </row>
    <row r="20" spans="1:15" ht="13.5" thickBot="1" x14ac:dyDescent="0.25">
      <c r="A20" s="141"/>
      <c r="B20" s="173">
        <f t="shared" si="10"/>
        <v>7</v>
      </c>
      <c r="C20" s="173">
        <v>0</v>
      </c>
      <c r="D20" s="173">
        <v>0</v>
      </c>
      <c r="E20" s="173">
        <v>0</v>
      </c>
      <c r="F20" s="173">
        <v>0</v>
      </c>
      <c r="G20" s="173">
        <v>2</v>
      </c>
      <c r="H20" s="173">
        <v>0</v>
      </c>
      <c r="I20" s="173">
        <v>2</v>
      </c>
      <c r="J20" s="173">
        <v>1</v>
      </c>
      <c r="K20" s="173">
        <v>1</v>
      </c>
      <c r="L20" s="173">
        <v>1</v>
      </c>
      <c r="M20" s="173" t="s">
        <v>10</v>
      </c>
      <c r="N20" s="181" t="s">
        <v>17</v>
      </c>
      <c r="O20" s="141"/>
    </row>
    <row r="21" spans="1:15" ht="13.5" thickBot="1" x14ac:dyDescent="0.25">
      <c r="A21" s="141"/>
      <c r="B21" s="173">
        <f t="shared" ref="B21:K21" si="11">SUM(B19:B20)</f>
        <v>15</v>
      </c>
      <c r="C21" s="173">
        <f t="shared" si="11"/>
        <v>1</v>
      </c>
      <c r="D21" s="173">
        <f t="shared" si="11"/>
        <v>0</v>
      </c>
      <c r="E21" s="173">
        <f t="shared" si="11"/>
        <v>0</v>
      </c>
      <c r="F21" s="173">
        <f t="shared" si="11"/>
        <v>0</v>
      </c>
      <c r="G21" s="173">
        <f t="shared" si="11"/>
        <v>5</v>
      </c>
      <c r="H21" s="173">
        <f t="shared" si="11"/>
        <v>1</v>
      </c>
      <c r="I21" s="173">
        <f t="shared" si="11"/>
        <v>3</v>
      </c>
      <c r="J21" s="173">
        <f t="shared" si="11"/>
        <v>2</v>
      </c>
      <c r="K21" s="173">
        <f t="shared" si="11"/>
        <v>2</v>
      </c>
      <c r="L21" s="173">
        <f>SUM(L19:L20)</f>
        <v>1</v>
      </c>
      <c r="M21" s="173" t="s">
        <v>12</v>
      </c>
      <c r="N21" s="182"/>
      <c r="O21" s="141"/>
    </row>
    <row r="22" spans="1:15" ht="13.5" thickBot="1" x14ac:dyDescent="0.25">
      <c r="A22" s="141"/>
      <c r="B22" s="173">
        <f t="shared" ref="B22:B23" si="12">SUM(C22:L22)</f>
        <v>6</v>
      </c>
      <c r="C22" s="173">
        <v>1</v>
      </c>
      <c r="D22" s="173">
        <v>0</v>
      </c>
      <c r="E22" s="173">
        <v>0</v>
      </c>
      <c r="F22" s="173">
        <v>0</v>
      </c>
      <c r="G22" s="173">
        <v>2</v>
      </c>
      <c r="H22" s="173">
        <v>1</v>
      </c>
      <c r="I22" s="173">
        <v>0</v>
      </c>
      <c r="J22" s="173">
        <v>1</v>
      </c>
      <c r="K22" s="173">
        <v>1</v>
      </c>
      <c r="L22" s="173">
        <v>0</v>
      </c>
      <c r="M22" s="173" t="s">
        <v>9</v>
      </c>
      <c r="N22" s="181"/>
      <c r="O22" s="141"/>
    </row>
    <row r="23" spans="1:15" ht="13.5" thickBot="1" x14ac:dyDescent="0.25">
      <c r="A23" s="141"/>
      <c r="B23" s="173">
        <f t="shared" si="12"/>
        <v>1</v>
      </c>
      <c r="C23" s="173">
        <v>0</v>
      </c>
      <c r="D23" s="173">
        <v>0</v>
      </c>
      <c r="E23" s="173">
        <v>0</v>
      </c>
      <c r="F23" s="173">
        <v>0</v>
      </c>
      <c r="G23" s="173">
        <v>1</v>
      </c>
      <c r="H23" s="173">
        <v>0</v>
      </c>
      <c r="I23" s="173">
        <v>0</v>
      </c>
      <c r="J23" s="173">
        <v>0</v>
      </c>
      <c r="K23" s="173">
        <v>0</v>
      </c>
      <c r="L23" s="173">
        <v>0</v>
      </c>
      <c r="M23" s="173" t="s">
        <v>10</v>
      </c>
      <c r="N23" s="181" t="s">
        <v>32</v>
      </c>
      <c r="O23" s="141"/>
    </row>
    <row r="24" spans="1:15" ht="13.5" thickBot="1" x14ac:dyDescent="0.25">
      <c r="A24" s="141"/>
      <c r="B24" s="173">
        <f t="shared" ref="B24:K24" si="13">SUM(B22:B23)</f>
        <v>7</v>
      </c>
      <c r="C24" s="173">
        <f t="shared" si="13"/>
        <v>1</v>
      </c>
      <c r="D24" s="173">
        <f t="shared" si="13"/>
        <v>0</v>
      </c>
      <c r="E24" s="173">
        <f t="shared" si="13"/>
        <v>0</v>
      </c>
      <c r="F24" s="173">
        <f t="shared" si="13"/>
        <v>0</v>
      </c>
      <c r="G24" s="173">
        <f t="shared" si="13"/>
        <v>3</v>
      </c>
      <c r="H24" s="173">
        <f t="shared" si="13"/>
        <v>1</v>
      </c>
      <c r="I24" s="173">
        <f t="shared" si="13"/>
        <v>0</v>
      </c>
      <c r="J24" s="173">
        <f t="shared" si="13"/>
        <v>1</v>
      </c>
      <c r="K24" s="173">
        <f t="shared" si="13"/>
        <v>1</v>
      </c>
      <c r="L24" s="173">
        <f>SUM(L22:L23)</f>
        <v>0</v>
      </c>
      <c r="M24" s="173" t="s">
        <v>12</v>
      </c>
      <c r="N24" s="182"/>
      <c r="O24" s="141"/>
    </row>
    <row r="25" spans="1:15" ht="13.5" thickBot="1" x14ac:dyDescent="0.25">
      <c r="A25" s="141"/>
      <c r="B25" s="173">
        <f t="shared" ref="B25:B26" si="14">SUM(C25:L25)</f>
        <v>4</v>
      </c>
      <c r="C25" s="173">
        <v>0</v>
      </c>
      <c r="D25" s="173">
        <v>0</v>
      </c>
      <c r="E25" s="173">
        <v>0</v>
      </c>
      <c r="F25" s="173">
        <v>0</v>
      </c>
      <c r="G25" s="173">
        <v>2</v>
      </c>
      <c r="H25" s="173">
        <v>1</v>
      </c>
      <c r="I25" s="173">
        <v>0</v>
      </c>
      <c r="J25" s="173">
        <v>1</v>
      </c>
      <c r="K25" s="173">
        <v>0</v>
      </c>
      <c r="L25" s="173">
        <v>0</v>
      </c>
      <c r="M25" s="173" t="s">
        <v>9</v>
      </c>
      <c r="N25" s="181"/>
      <c r="O25" s="141"/>
    </row>
    <row r="26" spans="1:15" ht="13.5" thickBot="1" x14ac:dyDescent="0.25">
      <c r="A26" s="141"/>
      <c r="B26" s="173">
        <f t="shared" si="14"/>
        <v>1</v>
      </c>
      <c r="C26" s="173">
        <v>0</v>
      </c>
      <c r="D26" s="173">
        <v>0</v>
      </c>
      <c r="E26" s="173">
        <v>0</v>
      </c>
      <c r="F26" s="173">
        <v>0</v>
      </c>
      <c r="G26" s="173">
        <v>0</v>
      </c>
      <c r="H26" s="173">
        <v>0</v>
      </c>
      <c r="I26" s="173">
        <v>0</v>
      </c>
      <c r="J26" s="173">
        <v>0</v>
      </c>
      <c r="K26" s="173">
        <v>1</v>
      </c>
      <c r="L26" s="173">
        <v>0</v>
      </c>
      <c r="M26" s="173" t="s">
        <v>10</v>
      </c>
      <c r="N26" s="181" t="s">
        <v>18</v>
      </c>
      <c r="O26" s="141"/>
    </row>
    <row r="27" spans="1:15" ht="13.5" thickBot="1" x14ac:dyDescent="0.25">
      <c r="A27" s="141"/>
      <c r="B27" s="173">
        <f t="shared" ref="B27:K27" si="15">SUM(B25:B26)</f>
        <v>5</v>
      </c>
      <c r="C27" s="173">
        <f t="shared" si="15"/>
        <v>0</v>
      </c>
      <c r="D27" s="173">
        <f t="shared" si="15"/>
        <v>0</v>
      </c>
      <c r="E27" s="173">
        <f t="shared" si="15"/>
        <v>0</v>
      </c>
      <c r="F27" s="173">
        <f t="shared" si="15"/>
        <v>0</v>
      </c>
      <c r="G27" s="173">
        <f t="shared" si="15"/>
        <v>2</v>
      </c>
      <c r="H27" s="173">
        <f t="shared" si="15"/>
        <v>1</v>
      </c>
      <c r="I27" s="173">
        <f t="shared" si="15"/>
        <v>0</v>
      </c>
      <c r="J27" s="173">
        <f t="shared" si="15"/>
        <v>1</v>
      </c>
      <c r="K27" s="173">
        <f t="shared" si="15"/>
        <v>1</v>
      </c>
      <c r="L27" s="173">
        <f>SUM(L25:L26)</f>
        <v>0</v>
      </c>
      <c r="M27" s="173" t="s">
        <v>12</v>
      </c>
      <c r="N27" s="182"/>
      <c r="O27" s="141"/>
    </row>
    <row r="28" spans="1:15" ht="13.5" thickBot="1" x14ac:dyDescent="0.25">
      <c r="A28" s="141"/>
      <c r="B28" s="173">
        <f t="shared" ref="B28:B29" si="16">SUM(C28:L28)</f>
        <v>1</v>
      </c>
      <c r="C28" s="173">
        <v>0</v>
      </c>
      <c r="D28" s="173">
        <v>0</v>
      </c>
      <c r="E28" s="173">
        <v>0</v>
      </c>
      <c r="F28" s="173">
        <v>0</v>
      </c>
      <c r="G28" s="173">
        <v>0</v>
      </c>
      <c r="H28" s="173">
        <v>0</v>
      </c>
      <c r="I28" s="173">
        <v>0</v>
      </c>
      <c r="J28" s="173">
        <v>0</v>
      </c>
      <c r="K28" s="173">
        <v>0</v>
      </c>
      <c r="L28" s="173">
        <v>1</v>
      </c>
      <c r="M28" s="173" t="s">
        <v>9</v>
      </c>
      <c r="N28" s="181"/>
      <c r="O28" s="141"/>
    </row>
    <row r="29" spans="1:15" ht="13.5" thickBot="1" x14ac:dyDescent="0.25">
      <c r="A29" s="141"/>
      <c r="B29" s="173">
        <f t="shared" si="16"/>
        <v>0</v>
      </c>
      <c r="C29" s="173">
        <v>0</v>
      </c>
      <c r="D29" s="173">
        <v>0</v>
      </c>
      <c r="E29" s="173">
        <v>0</v>
      </c>
      <c r="F29" s="173">
        <v>0</v>
      </c>
      <c r="G29" s="173">
        <v>0</v>
      </c>
      <c r="H29" s="173">
        <v>0</v>
      </c>
      <c r="I29" s="173">
        <v>0</v>
      </c>
      <c r="J29" s="173">
        <v>0</v>
      </c>
      <c r="K29" s="173">
        <v>0</v>
      </c>
      <c r="L29" s="173">
        <v>0</v>
      </c>
      <c r="M29" s="173" t="s">
        <v>10</v>
      </c>
      <c r="N29" s="181" t="s">
        <v>19</v>
      </c>
      <c r="O29" s="141"/>
    </row>
    <row r="30" spans="1:15" ht="13.5" thickBot="1" x14ac:dyDescent="0.25">
      <c r="A30" s="141"/>
      <c r="B30" s="173">
        <f t="shared" ref="B30:K30" si="17">SUM(B28:B29)</f>
        <v>1</v>
      </c>
      <c r="C30" s="173">
        <f t="shared" si="17"/>
        <v>0</v>
      </c>
      <c r="D30" s="173">
        <f t="shared" si="17"/>
        <v>0</v>
      </c>
      <c r="E30" s="173">
        <f t="shared" si="17"/>
        <v>0</v>
      </c>
      <c r="F30" s="173">
        <f t="shared" si="17"/>
        <v>0</v>
      </c>
      <c r="G30" s="173">
        <f t="shared" si="17"/>
        <v>0</v>
      </c>
      <c r="H30" s="173">
        <f t="shared" si="17"/>
        <v>0</v>
      </c>
      <c r="I30" s="173">
        <f t="shared" si="17"/>
        <v>0</v>
      </c>
      <c r="J30" s="173">
        <f t="shared" si="17"/>
        <v>0</v>
      </c>
      <c r="K30" s="173">
        <f t="shared" si="17"/>
        <v>0</v>
      </c>
      <c r="L30" s="173">
        <f>SUM(L28:L29)</f>
        <v>1</v>
      </c>
      <c r="M30" s="173" t="s">
        <v>12</v>
      </c>
      <c r="N30" s="182"/>
      <c r="O30" s="141"/>
    </row>
    <row r="31" spans="1:15" ht="13.5" thickBot="1" x14ac:dyDescent="0.25">
      <c r="A31" s="141"/>
      <c r="B31" s="173">
        <f t="shared" ref="B31:B32" si="18">SUM(C31:L31)</f>
        <v>9</v>
      </c>
      <c r="C31" s="173">
        <v>1</v>
      </c>
      <c r="D31" s="173">
        <v>0</v>
      </c>
      <c r="E31" s="173">
        <v>0</v>
      </c>
      <c r="F31" s="173">
        <v>0</v>
      </c>
      <c r="G31" s="173">
        <v>4</v>
      </c>
      <c r="H31" s="173">
        <v>2</v>
      </c>
      <c r="I31" s="173">
        <v>1</v>
      </c>
      <c r="J31" s="173">
        <v>1</v>
      </c>
      <c r="K31" s="173">
        <v>0</v>
      </c>
      <c r="L31" s="173">
        <v>0</v>
      </c>
      <c r="M31" s="173" t="s">
        <v>9</v>
      </c>
      <c r="N31" s="181"/>
      <c r="O31" s="141"/>
    </row>
    <row r="32" spans="1:15" ht="13.5" thickBot="1" x14ac:dyDescent="0.25">
      <c r="A32" s="141"/>
      <c r="B32" s="173">
        <f t="shared" si="18"/>
        <v>9</v>
      </c>
      <c r="C32" s="173">
        <v>0</v>
      </c>
      <c r="D32" s="173">
        <v>0</v>
      </c>
      <c r="E32" s="173">
        <v>0</v>
      </c>
      <c r="F32" s="173">
        <v>0</v>
      </c>
      <c r="G32" s="173">
        <v>3</v>
      </c>
      <c r="H32" s="173">
        <v>1</v>
      </c>
      <c r="I32" s="173">
        <v>1</v>
      </c>
      <c r="J32" s="173">
        <v>1</v>
      </c>
      <c r="K32" s="173">
        <v>2</v>
      </c>
      <c r="L32" s="173">
        <v>1</v>
      </c>
      <c r="M32" s="173" t="s">
        <v>10</v>
      </c>
      <c r="N32" s="181" t="s">
        <v>20</v>
      </c>
      <c r="O32" s="141"/>
    </row>
    <row r="33" spans="1:15" ht="13.5" thickBot="1" x14ac:dyDescent="0.25">
      <c r="A33" s="141"/>
      <c r="B33" s="173">
        <f t="shared" ref="B33:K33" si="19">SUM(B31:B32)</f>
        <v>18</v>
      </c>
      <c r="C33" s="173">
        <f t="shared" si="19"/>
        <v>1</v>
      </c>
      <c r="D33" s="173">
        <f t="shared" si="19"/>
        <v>0</v>
      </c>
      <c r="E33" s="173">
        <f t="shared" si="19"/>
        <v>0</v>
      </c>
      <c r="F33" s="173">
        <f t="shared" si="19"/>
        <v>0</v>
      </c>
      <c r="G33" s="173">
        <f t="shared" si="19"/>
        <v>7</v>
      </c>
      <c r="H33" s="173">
        <f t="shared" si="19"/>
        <v>3</v>
      </c>
      <c r="I33" s="173">
        <f t="shared" si="19"/>
        <v>2</v>
      </c>
      <c r="J33" s="173">
        <f t="shared" si="19"/>
        <v>2</v>
      </c>
      <c r="K33" s="173">
        <f t="shared" si="19"/>
        <v>2</v>
      </c>
      <c r="L33" s="173">
        <f>SUM(L31:L32)</f>
        <v>1</v>
      </c>
      <c r="M33" s="173" t="s">
        <v>12</v>
      </c>
      <c r="N33" s="182"/>
      <c r="O33" s="141"/>
    </row>
    <row r="34" spans="1:15" ht="13.5" thickBot="1" x14ac:dyDescent="0.25">
      <c r="A34" s="141"/>
      <c r="B34" s="173">
        <f t="shared" ref="B34:B35" si="20">SUM(C34:L34)</f>
        <v>6</v>
      </c>
      <c r="C34" s="173">
        <v>1</v>
      </c>
      <c r="D34" s="173">
        <v>0</v>
      </c>
      <c r="E34" s="173">
        <v>0</v>
      </c>
      <c r="F34" s="173">
        <v>0</v>
      </c>
      <c r="G34" s="173">
        <v>2</v>
      </c>
      <c r="H34" s="173">
        <v>1</v>
      </c>
      <c r="I34" s="173">
        <v>0</v>
      </c>
      <c r="J34" s="173">
        <v>1</v>
      </c>
      <c r="K34" s="173">
        <v>1</v>
      </c>
      <c r="L34" s="173">
        <v>0</v>
      </c>
      <c r="M34" s="173" t="s">
        <v>9</v>
      </c>
      <c r="N34" s="181"/>
      <c r="O34" s="141"/>
    </row>
    <row r="35" spans="1:15" ht="13.5" thickBot="1" x14ac:dyDescent="0.25">
      <c r="A35" s="141"/>
      <c r="B35" s="173">
        <f t="shared" si="20"/>
        <v>1</v>
      </c>
      <c r="C35" s="173">
        <v>0</v>
      </c>
      <c r="D35" s="173">
        <v>0</v>
      </c>
      <c r="E35" s="173">
        <v>0</v>
      </c>
      <c r="F35" s="173">
        <v>0</v>
      </c>
      <c r="G35" s="173">
        <v>1</v>
      </c>
      <c r="H35" s="173">
        <v>0</v>
      </c>
      <c r="I35" s="173">
        <v>0</v>
      </c>
      <c r="J35" s="173">
        <v>0</v>
      </c>
      <c r="K35" s="173">
        <v>0</v>
      </c>
      <c r="L35" s="173">
        <v>0</v>
      </c>
      <c r="M35" s="173" t="s">
        <v>10</v>
      </c>
      <c r="N35" s="181" t="s">
        <v>33</v>
      </c>
      <c r="O35" s="141"/>
    </row>
    <row r="36" spans="1:15" ht="13.5" thickBot="1" x14ac:dyDescent="0.25">
      <c r="A36" s="141"/>
      <c r="B36" s="173">
        <f t="shared" ref="B36:K36" si="21">SUM(B34:B35)</f>
        <v>7</v>
      </c>
      <c r="C36" s="173">
        <f t="shared" si="21"/>
        <v>1</v>
      </c>
      <c r="D36" s="173">
        <f t="shared" si="21"/>
        <v>0</v>
      </c>
      <c r="E36" s="173">
        <f t="shared" si="21"/>
        <v>0</v>
      </c>
      <c r="F36" s="173">
        <f t="shared" si="21"/>
        <v>0</v>
      </c>
      <c r="G36" s="173">
        <f t="shared" si="21"/>
        <v>3</v>
      </c>
      <c r="H36" s="173">
        <f t="shared" si="21"/>
        <v>1</v>
      </c>
      <c r="I36" s="173">
        <f t="shared" si="21"/>
        <v>0</v>
      </c>
      <c r="J36" s="173">
        <f t="shared" si="21"/>
        <v>1</v>
      </c>
      <c r="K36" s="173">
        <f t="shared" si="21"/>
        <v>1</v>
      </c>
      <c r="L36" s="173">
        <f>SUM(L34:L35)</f>
        <v>0</v>
      </c>
      <c r="M36" s="173" t="s">
        <v>12</v>
      </c>
      <c r="N36" s="182"/>
      <c r="O36" s="141"/>
    </row>
    <row r="37" spans="1:15" ht="13.5" thickBot="1" x14ac:dyDescent="0.25">
      <c r="A37" s="141"/>
      <c r="B37" s="173">
        <f t="shared" ref="B37:B38" si="22">SUM(C37:L37)</f>
        <v>26</v>
      </c>
      <c r="C37" s="173">
        <v>1</v>
      </c>
      <c r="D37" s="173">
        <v>0</v>
      </c>
      <c r="E37" s="173">
        <v>1</v>
      </c>
      <c r="F37" s="173">
        <v>0</v>
      </c>
      <c r="G37" s="173">
        <v>10</v>
      </c>
      <c r="H37" s="173">
        <v>5</v>
      </c>
      <c r="I37" s="173">
        <v>2</v>
      </c>
      <c r="J37" s="173">
        <v>4</v>
      </c>
      <c r="K37" s="173">
        <v>2</v>
      </c>
      <c r="L37" s="173">
        <v>1</v>
      </c>
      <c r="M37" s="173" t="s">
        <v>9</v>
      </c>
      <c r="N37" s="181"/>
      <c r="O37" s="141"/>
    </row>
    <row r="38" spans="1:15" ht="13.5" thickBot="1" x14ac:dyDescent="0.25">
      <c r="A38" s="141"/>
      <c r="B38" s="173">
        <f t="shared" si="22"/>
        <v>2</v>
      </c>
      <c r="C38" s="173">
        <v>0</v>
      </c>
      <c r="D38" s="173">
        <v>0</v>
      </c>
      <c r="E38" s="173">
        <v>0</v>
      </c>
      <c r="F38" s="173">
        <v>0</v>
      </c>
      <c r="G38" s="173">
        <v>1</v>
      </c>
      <c r="H38" s="173">
        <v>0</v>
      </c>
      <c r="I38" s="173">
        <v>0</v>
      </c>
      <c r="J38" s="173">
        <v>0</v>
      </c>
      <c r="K38" s="173">
        <v>1</v>
      </c>
      <c r="L38" s="173">
        <v>0</v>
      </c>
      <c r="M38" s="173" t="s">
        <v>10</v>
      </c>
      <c r="N38" s="181" t="s">
        <v>30</v>
      </c>
      <c r="O38" s="141"/>
    </row>
    <row r="39" spans="1:15" ht="13.5" thickBot="1" x14ac:dyDescent="0.25">
      <c r="A39" s="141"/>
      <c r="B39" s="173">
        <f t="shared" ref="B39:K39" si="23">SUM(B37:B38)</f>
        <v>28</v>
      </c>
      <c r="C39" s="173">
        <f t="shared" si="23"/>
        <v>1</v>
      </c>
      <c r="D39" s="173">
        <f t="shared" si="23"/>
        <v>0</v>
      </c>
      <c r="E39" s="173">
        <f t="shared" si="23"/>
        <v>1</v>
      </c>
      <c r="F39" s="173">
        <f t="shared" si="23"/>
        <v>0</v>
      </c>
      <c r="G39" s="173">
        <f t="shared" si="23"/>
        <v>11</v>
      </c>
      <c r="H39" s="173">
        <f t="shared" si="23"/>
        <v>5</v>
      </c>
      <c r="I39" s="173">
        <f t="shared" si="23"/>
        <v>2</v>
      </c>
      <c r="J39" s="173">
        <f t="shared" si="23"/>
        <v>4</v>
      </c>
      <c r="K39" s="173">
        <f t="shared" si="23"/>
        <v>3</v>
      </c>
      <c r="L39" s="173">
        <f>SUM(L37:L38)</f>
        <v>1</v>
      </c>
      <c r="M39" s="173" t="s">
        <v>12</v>
      </c>
      <c r="N39" s="182"/>
      <c r="O39" s="141"/>
    </row>
    <row r="40" spans="1:15" ht="13.5" thickBot="1" x14ac:dyDescent="0.25">
      <c r="A40" s="141"/>
      <c r="B40" s="173">
        <f t="shared" ref="B40:B41" si="24">SUM(C40:L40)</f>
        <v>82</v>
      </c>
      <c r="C40" s="173">
        <v>7</v>
      </c>
      <c r="D40" s="173">
        <v>0</v>
      </c>
      <c r="E40" s="173">
        <v>3</v>
      </c>
      <c r="F40" s="173">
        <v>0</v>
      </c>
      <c r="G40" s="173">
        <v>32</v>
      </c>
      <c r="H40" s="173">
        <v>14</v>
      </c>
      <c r="I40" s="173">
        <v>5</v>
      </c>
      <c r="J40" s="173">
        <v>12</v>
      </c>
      <c r="K40" s="173">
        <v>7</v>
      </c>
      <c r="L40" s="173">
        <v>2</v>
      </c>
      <c r="M40" s="173" t="s">
        <v>9</v>
      </c>
      <c r="N40" s="181"/>
      <c r="O40" s="141"/>
    </row>
    <row r="41" spans="1:15" ht="13.5" thickBot="1" x14ac:dyDescent="0.25">
      <c r="A41" s="141"/>
      <c r="B41" s="173">
        <f t="shared" si="24"/>
        <v>10</v>
      </c>
      <c r="C41" s="173">
        <v>0</v>
      </c>
      <c r="D41" s="173">
        <v>0</v>
      </c>
      <c r="E41" s="173">
        <v>0</v>
      </c>
      <c r="F41" s="173">
        <v>0</v>
      </c>
      <c r="G41" s="173">
        <v>3</v>
      </c>
      <c r="H41" s="173">
        <v>1</v>
      </c>
      <c r="I41" s="173">
        <v>1</v>
      </c>
      <c r="J41" s="173">
        <v>1</v>
      </c>
      <c r="K41" s="173">
        <v>2</v>
      </c>
      <c r="L41" s="173">
        <v>2</v>
      </c>
      <c r="M41" s="173" t="s">
        <v>10</v>
      </c>
      <c r="N41" s="181" t="s">
        <v>21</v>
      </c>
      <c r="O41" s="141"/>
    </row>
    <row r="42" spans="1:15" ht="13.5" thickBot="1" x14ac:dyDescent="0.25">
      <c r="A42" s="141"/>
      <c r="B42" s="173">
        <f t="shared" ref="B42:K42" si="25">SUM(B40:B41)</f>
        <v>92</v>
      </c>
      <c r="C42" s="173">
        <f t="shared" si="25"/>
        <v>7</v>
      </c>
      <c r="D42" s="173">
        <f t="shared" si="25"/>
        <v>0</v>
      </c>
      <c r="E42" s="173">
        <f t="shared" si="25"/>
        <v>3</v>
      </c>
      <c r="F42" s="173">
        <f t="shared" si="25"/>
        <v>0</v>
      </c>
      <c r="G42" s="173">
        <f t="shared" si="25"/>
        <v>35</v>
      </c>
      <c r="H42" s="173">
        <f t="shared" si="25"/>
        <v>15</v>
      </c>
      <c r="I42" s="173">
        <f t="shared" si="25"/>
        <v>6</v>
      </c>
      <c r="J42" s="173">
        <f t="shared" si="25"/>
        <v>13</v>
      </c>
      <c r="K42" s="173">
        <f t="shared" si="25"/>
        <v>9</v>
      </c>
      <c r="L42" s="173">
        <f>SUM(L40:L41)</f>
        <v>4</v>
      </c>
      <c r="M42" s="173" t="s">
        <v>12</v>
      </c>
      <c r="N42" s="182"/>
      <c r="O42" s="141"/>
    </row>
    <row r="43" spans="1:15" ht="13.5" thickBot="1" x14ac:dyDescent="0.25">
      <c r="A43" s="141"/>
      <c r="B43" s="173">
        <f t="shared" ref="B43:B44" si="26">SUM(C43:L43)</f>
        <v>147</v>
      </c>
      <c r="C43" s="173">
        <v>12</v>
      </c>
      <c r="D43" s="173">
        <v>1</v>
      </c>
      <c r="E43" s="173">
        <v>4</v>
      </c>
      <c r="F43" s="173">
        <v>0</v>
      </c>
      <c r="G43" s="173">
        <v>57</v>
      </c>
      <c r="H43" s="173">
        <v>26</v>
      </c>
      <c r="I43" s="173">
        <v>10</v>
      </c>
      <c r="J43" s="173">
        <v>22</v>
      </c>
      <c r="K43" s="173">
        <v>12</v>
      </c>
      <c r="L43" s="173">
        <v>3</v>
      </c>
      <c r="M43" s="173" t="s">
        <v>9</v>
      </c>
      <c r="N43" s="181"/>
      <c r="O43" s="141"/>
    </row>
    <row r="44" spans="1:15" ht="13.5" thickBot="1" x14ac:dyDescent="0.25">
      <c r="A44" s="141"/>
      <c r="B44" s="173">
        <f t="shared" si="26"/>
        <v>53</v>
      </c>
      <c r="C44" s="173">
        <v>2</v>
      </c>
      <c r="D44" s="173">
        <v>1</v>
      </c>
      <c r="E44" s="173">
        <v>1</v>
      </c>
      <c r="F44" s="173">
        <v>1</v>
      </c>
      <c r="G44" s="173">
        <v>18</v>
      </c>
      <c r="H44" s="173">
        <v>3</v>
      </c>
      <c r="I44" s="173">
        <v>4</v>
      </c>
      <c r="J44" s="173">
        <v>6</v>
      </c>
      <c r="K44" s="173">
        <v>11</v>
      </c>
      <c r="L44" s="173">
        <v>6</v>
      </c>
      <c r="M44" s="173" t="s">
        <v>10</v>
      </c>
      <c r="N44" s="181" t="s">
        <v>38</v>
      </c>
      <c r="O44" s="141"/>
    </row>
    <row r="45" spans="1:15" ht="13.5" thickBot="1" x14ac:dyDescent="0.25">
      <c r="A45" s="141"/>
      <c r="B45" s="173">
        <f t="shared" ref="B45:K45" si="27">SUM(B43:B44)</f>
        <v>200</v>
      </c>
      <c r="C45" s="173">
        <f t="shared" si="27"/>
        <v>14</v>
      </c>
      <c r="D45" s="173">
        <f t="shared" si="27"/>
        <v>2</v>
      </c>
      <c r="E45" s="173">
        <f t="shared" si="27"/>
        <v>5</v>
      </c>
      <c r="F45" s="173">
        <f t="shared" si="27"/>
        <v>1</v>
      </c>
      <c r="G45" s="173">
        <f t="shared" si="27"/>
        <v>75</v>
      </c>
      <c r="H45" s="173">
        <f t="shared" si="27"/>
        <v>29</v>
      </c>
      <c r="I45" s="173">
        <f t="shared" si="27"/>
        <v>14</v>
      </c>
      <c r="J45" s="173">
        <f t="shared" si="27"/>
        <v>28</v>
      </c>
      <c r="K45" s="173">
        <f t="shared" si="27"/>
        <v>23</v>
      </c>
      <c r="L45" s="173">
        <f>SUM(L43:L44)</f>
        <v>9</v>
      </c>
      <c r="M45" s="173" t="s">
        <v>12</v>
      </c>
      <c r="N45" s="182"/>
      <c r="O45" s="141"/>
    </row>
    <row r="46" spans="1:15" ht="13.5" thickBot="1" x14ac:dyDescent="0.25">
      <c r="A46" s="141"/>
      <c r="B46" s="173">
        <f t="shared" ref="B46:B47" si="28">SUM(C46:L46)</f>
        <v>12</v>
      </c>
      <c r="C46" s="173">
        <v>1</v>
      </c>
      <c r="D46" s="173">
        <v>0</v>
      </c>
      <c r="E46" s="173">
        <v>0</v>
      </c>
      <c r="F46" s="173">
        <v>0</v>
      </c>
      <c r="G46" s="173">
        <v>5</v>
      </c>
      <c r="H46" s="173">
        <v>2</v>
      </c>
      <c r="I46" s="173">
        <v>1</v>
      </c>
      <c r="J46" s="173">
        <v>2</v>
      </c>
      <c r="K46" s="173">
        <v>1</v>
      </c>
      <c r="L46" s="173">
        <v>0</v>
      </c>
      <c r="M46" s="173" t="s">
        <v>9</v>
      </c>
      <c r="N46" s="181"/>
      <c r="O46" s="141"/>
    </row>
    <row r="47" spans="1:15" ht="13.5" thickBot="1" x14ac:dyDescent="0.25">
      <c r="A47" s="141"/>
      <c r="B47" s="173">
        <f t="shared" si="28"/>
        <v>2</v>
      </c>
      <c r="C47" s="173">
        <v>0</v>
      </c>
      <c r="D47" s="173">
        <v>0</v>
      </c>
      <c r="E47" s="173">
        <v>0</v>
      </c>
      <c r="F47" s="173">
        <v>0</v>
      </c>
      <c r="G47" s="173">
        <v>1</v>
      </c>
      <c r="H47" s="173">
        <v>0</v>
      </c>
      <c r="I47" s="173">
        <v>1</v>
      </c>
      <c r="J47" s="173">
        <v>0</v>
      </c>
      <c r="K47" s="173">
        <v>0</v>
      </c>
      <c r="L47" s="173">
        <v>0</v>
      </c>
      <c r="M47" s="173" t="s">
        <v>10</v>
      </c>
      <c r="N47" s="181" t="s">
        <v>22</v>
      </c>
      <c r="O47" s="141"/>
    </row>
    <row r="48" spans="1:15" ht="13.5" thickBot="1" x14ac:dyDescent="0.25">
      <c r="A48" s="141"/>
      <c r="B48" s="173">
        <f t="shared" ref="B48:K48" si="29">SUM(B46:B47)</f>
        <v>14</v>
      </c>
      <c r="C48" s="173">
        <f t="shared" si="29"/>
        <v>1</v>
      </c>
      <c r="D48" s="173">
        <f t="shared" si="29"/>
        <v>0</v>
      </c>
      <c r="E48" s="173">
        <f t="shared" si="29"/>
        <v>0</v>
      </c>
      <c r="F48" s="173">
        <f t="shared" si="29"/>
        <v>0</v>
      </c>
      <c r="G48" s="173">
        <f t="shared" si="29"/>
        <v>6</v>
      </c>
      <c r="H48" s="173">
        <f t="shared" si="29"/>
        <v>2</v>
      </c>
      <c r="I48" s="173">
        <f t="shared" si="29"/>
        <v>2</v>
      </c>
      <c r="J48" s="173">
        <f t="shared" si="29"/>
        <v>2</v>
      </c>
      <c r="K48" s="173">
        <f t="shared" si="29"/>
        <v>1</v>
      </c>
      <c r="L48" s="173">
        <f>SUM(L46:L47)</f>
        <v>0</v>
      </c>
      <c r="M48" s="173" t="s">
        <v>12</v>
      </c>
      <c r="N48" s="182"/>
      <c r="O48" s="141"/>
    </row>
    <row r="49" spans="1:15" ht="13.5" thickBot="1" x14ac:dyDescent="0.25">
      <c r="A49" s="141"/>
      <c r="B49" s="173">
        <f t="shared" ref="B49:B50" si="30">SUM(C49:L49)</f>
        <v>16</v>
      </c>
      <c r="C49" s="173">
        <v>1</v>
      </c>
      <c r="D49" s="173">
        <v>0</v>
      </c>
      <c r="E49" s="173">
        <v>1</v>
      </c>
      <c r="F49" s="173">
        <v>0</v>
      </c>
      <c r="G49" s="173">
        <v>7</v>
      </c>
      <c r="H49" s="173">
        <v>3</v>
      </c>
      <c r="I49" s="173">
        <v>1</v>
      </c>
      <c r="J49" s="173">
        <v>2</v>
      </c>
      <c r="K49" s="173">
        <v>1</v>
      </c>
      <c r="L49" s="173">
        <v>0</v>
      </c>
      <c r="M49" s="173" t="s">
        <v>9</v>
      </c>
      <c r="N49" s="181"/>
      <c r="O49" s="141"/>
    </row>
    <row r="50" spans="1:15" ht="13.5" thickBot="1" x14ac:dyDescent="0.25">
      <c r="A50" s="141"/>
      <c r="B50" s="173">
        <f t="shared" si="30"/>
        <v>7</v>
      </c>
      <c r="C50" s="173">
        <v>1</v>
      </c>
      <c r="D50" s="173">
        <v>0</v>
      </c>
      <c r="E50" s="173">
        <v>0</v>
      </c>
      <c r="F50" s="173">
        <v>0</v>
      </c>
      <c r="G50" s="173">
        <v>2</v>
      </c>
      <c r="H50" s="173">
        <v>0</v>
      </c>
      <c r="I50" s="173">
        <v>1</v>
      </c>
      <c r="J50" s="173">
        <v>1</v>
      </c>
      <c r="K50" s="173">
        <v>1</v>
      </c>
      <c r="L50" s="173">
        <v>1</v>
      </c>
      <c r="M50" s="173" t="s">
        <v>10</v>
      </c>
      <c r="N50" s="181" t="s">
        <v>34</v>
      </c>
      <c r="O50" s="141"/>
    </row>
    <row r="51" spans="1:15" ht="13.5" thickBot="1" x14ac:dyDescent="0.25">
      <c r="A51" s="141"/>
      <c r="B51" s="173">
        <f t="shared" ref="B51:K51" si="31">SUM(B49:B50)</f>
        <v>23</v>
      </c>
      <c r="C51" s="173">
        <f t="shared" si="31"/>
        <v>2</v>
      </c>
      <c r="D51" s="173">
        <f t="shared" si="31"/>
        <v>0</v>
      </c>
      <c r="E51" s="173">
        <f t="shared" si="31"/>
        <v>1</v>
      </c>
      <c r="F51" s="173">
        <f t="shared" si="31"/>
        <v>0</v>
      </c>
      <c r="G51" s="173">
        <f t="shared" si="31"/>
        <v>9</v>
      </c>
      <c r="H51" s="173">
        <f t="shared" si="31"/>
        <v>3</v>
      </c>
      <c r="I51" s="173">
        <f t="shared" si="31"/>
        <v>2</v>
      </c>
      <c r="J51" s="173">
        <f t="shared" si="31"/>
        <v>3</v>
      </c>
      <c r="K51" s="173">
        <f t="shared" si="31"/>
        <v>2</v>
      </c>
      <c r="L51" s="173">
        <f>SUM(L49:L50)</f>
        <v>1</v>
      </c>
      <c r="M51" s="173" t="s">
        <v>12</v>
      </c>
      <c r="N51" s="182"/>
      <c r="O51" s="141"/>
    </row>
    <row r="52" spans="1:15" ht="13.5" thickBot="1" x14ac:dyDescent="0.25">
      <c r="A52" s="141"/>
      <c r="B52" s="173">
        <f t="shared" ref="B52:B53" si="32">SUM(C52:L52)</f>
        <v>266</v>
      </c>
      <c r="C52" s="173">
        <v>22</v>
      </c>
      <c r="D52" s="173">
        <v>1</v>
      </c>
      <c r="E52" s="173">
        <v>8</v>
      </c>
      <c r="F52" s="173">
        <v>1</v>
      </c>
      <c r="G52" s="173">
        <v>104</v>
      </c>
      <c r="H52" s="173">
        <v>46</v>
      </c>
      <c r="I52" s="173">
        <v>17</v>
      </c>
      <c r="J52" s="173">
        <v>39</v>
      </c>
      <c r="K52" s="173">
        <v>22</v>
      </c>
      <c r="L52" s="173">
        <v>6</v>
      </c>
      <c r="M52" s="173" t="s">
        <v>9</v>
      </c>
      <c r="N52" s="181"/>
      <c r="O52" s="141"/>
    </row>
    <row r="53" spans="1:15" ht="13.5" thickBot="1" x14ac:dyDescent="0.25">
      <c r="A53" s="141"/>
      <c r="B53" s="173">
        <f t="shared" si="32"/>
        <v>66</v>
      </c>
      <c r="C53" s="173">
        <v>3</v>
      </c>
      <c r="D53" s="173">
        <v>2</v>
      </c>
      <c r="E53" s="173">
        <v>1</v>
      </c>
      <c r="F53" s="173">
        <v>0</v>
      </c>
      <c r="G53" s="173">
        <v>21</v>
      </c>
      <c r="H53" s="173">
        <v>4</v>
      </c>
      <c r="I53" s="173">
        <v>5</v>
      </c>
      <c r="J53" s="173">
        <v>8</v>
      </c>
      <c r="K53" s="173">
        <v>14</v>
      </c>
      <c r="L53" s="173">
        <v>8</v>
      </c>
      <c r="M53" s="173" t="s">
        <v>10</v>
      </c>
      <c r="N53" s="181" t="s">
        <v>39</v>
      </c>
      <c r="O53" s="141"/>
    </row>
    <row r="54" spans="1:15" ht="13.5" thickBot="1" x14ac:dyDescent="0.25">
      <c r="A54" s="141"/>
      <c r="B54" s="173">
        <f t="shared" ref="B54:K54" si="33">SUM(B52:B53)</f>
        <v>332</v>
      </c>
      <c r="C54" s="173">
        <f t="shared" si="33"/>
        <v>25</v>
      </c>
      <c r="D54" s="173">
        <f t="shared" si="33"/>
        <v>3</v>
      </c>
      <c r="E54" s="173">
        <f t="shared" si="33"/>
        <v>9</v>
      </c>
      <c r="F54" s="173">
        <f t="shared" si="33"/>
        <v>1</v>
      </c>
      <c r="G54" s="173">
        <f t="shared" si="33"/>
        <v>125</v>
      </c>
      <c r="H54" s="173">
        <f t="shared" si="33"/>
        <v>50</v>
      </c>
      <c r="I54" s="173">
        <f t="shared" si="33"/>
        <v>22</v>
      </c>
      <c r="J54" s="173">
        <f t="shared" si="33"/>
        <v>47</v>
      </c>
      <c r="K54" s="173">
        <f t="shared" si="33"/>
        <v>36</v>
      </c>
      <c r="L54" s="173">
        <f>SUM(L52:L53)</f>
        <v>14</v>
      </c>
      <c r="M54" s="173" t="s">
        <v>12</v>
      </c>
      <c r="N54" s="182"/>
      <c r="O54" s="141"/>
    </row>
    <row r="55" spans="1:15" ht="13.5" thickBot="1" x14ac:dyDescent="0.25">
      <c r="A55" s="141"/>
      <c r="B55" s="173">
        <f t="shared" ref="B55:B56" si="34">SUM(C55:L55)</f>
        <v>1</v>
      </c>
      <c r="C55" s="173">
        <v>0</v>
      </c>
      <c r="D55" s="173">
        <v>0</v>
      </c>
      <c r="E55" s="173">
        <v>0</v>
      </c>
      <c r="F55" s="173">
        <v>0</v>
      </c>
      <c r="G55" s="173">
        <v>0</v>
      </c>
      <c r="H55" s="173">
        <v>0</v>
      </c>
      <c r="I55" s="173">
        <v>0</v>
      </c>
      <c r="J55" s="173">
        <v>0</v>
      </c>
      <c r="K55" s="173">
        <v>1</v>
      </c>
      <c r="L55" s="173">
        <v>0</v>
      </c>
      <c r="M55" s="173" t="s">
        <v>9</v>
      </c>
      <c r="N55" s="181"/>
      <c r="O55" s="141"/>
    </row>
    <row r="56" spans="1:15" ht="13.5" thickBot="1" x14ac:dyDescent="0.25">
      <c r="A56" s="141"/>
      <c r="B56" s="173">
        <f t="shared" si="34"/>
        <v>1</v>
      </c>
      <c r="C56" s="173">
        <v>0</v>
      </c>
      <c r="D56" s="173">
        <v>0</v>
      </c>
      <c r="E56" s="173">
        <v>0</v>
      </c>
      <c r="F56" s="173">
        <v>0</v>
      </c>
      <c r="G56" s="173">
        <v>1</v>
      </c>
      <c r="H56" s="173">
        <v>0</v>
      </c>
      <c r="I56" s="173">
        <v>0</v>
      </c>
      <c r="J56" s="173">
        <v>0</v>
      </c>
      <c r="K56" s="173">
        <v>0</v>
      </c>
      <c r="L56" s="173">
        <v>0</v>
      </c>
      <c r="M56" s="173" t="s">
        <v>10</v>
      </c>
      <c r="N56" s="181" t="s">
        <v>35</v>
      </c>
      <c r="O56" s="141"/>
    </row>
    <row r="57" spans="1:15" ht="13.5" thickBot="1" x14ac:dyDescent="0.25">
      <c r="A57" s="141"/>
      <c r="B57" s="173">
        <f t="shared" ref="B57:K57" si="35">SUM(B55:B56)</f>
        <v>2</v>
      </c>
      <c r="C57" s="173">
        <f t="shared" si="35"/>
        <v>0</v>
      </c>
      <c r="D57" s="173">
        <f t="shared" si="35"/>
        <v>0</v>
      </c>
      <c r="E57" s="173">
        <f t="shared" si="35"/>
        <v>0</v>
      </c>
      <c r="F57" s="173">
        <f t="shared" si="35"/>
        <v>0</v>
      </c>
      <c r="G57" s="173">
        <f t="shared" si="35"/>
        <v>1</v>
      </c>
      <c r="H57" s="173">
        <f t="shared" si="35"/>
        <v>0</v>
      </c>
      <c r="I57" s="173">
        <f t="shared" si="35"/>
        <v>0</v>
      </c>
      <c r="J57" s="173">
        <f t="shared" si="35"/>
        <v>0</v>
      </c>
      <c r="K57" s="173">
        <f t="shared" si="35"/>
        <v>1</v>
      </c>
      <c r="L57" s="173">
        <f>SUM(L55:L56)</f>
        <v>0</v>
      </c>
      <c r="M57" s="173" t="s">
        <v>12</v>
      </c>
      <c r="N57" s="182"/>
      <c r="O57" s="141"/>
    </row>
    <row r="58" spans="1:15" ht="13.5" thickBot="1" x14ac:dyDescent="0.25">
      <c r="A58" s="141"/>
      <c r="B58" s="173">
        <f t="shared" ref="B58:B59" si="36">SUM(C58:L58)</f>
        <v>120</v>
      </c>
      <c r="C58" s="173">
        <v>10</v>
      </c>
      <c r="D58" s="173">
        <v>0</v>
      </c>
      <c r="E58" s="173">
        <v>3</v>
      </c>
      <c r="F58" s="173">
        <v>0</v>
      </c>
      <c r="G58" s="173">
        <v>47</v>
      </c>
      <c r="H58" s="173">
        <v>21</v>
      </c>
      <c r="I58" s="173">
        <v>8</v>
      </c>
      <c r="J58" s="173">
        <v>18</v>
      </c>
      <c r="K58" s="173">
        <v>10</v>
      </c>
      <c r="L58" s="173">
        <v>3</v>
      </c>
      <c r="M58" s="173" t="s">
        <v>9</v>
      </c>
      <c r="N58" s="181"/>
      <c r="O58" s="141"/>
    </row>
    <row r="59" spans="1:15" ht="13.5" thickBot="1" x14ac:dyDescent="0.25">
      <c r="A59" s="141"/>
      <c r="B59" s="173">
        <f t="shared" si="36"/>
        <v>5</v>
      </c>
      <c r="C59" s="173">
        <v>0</v>
      </c>
      <c r="D59" s="173">
        <v>0</v>
      </c>
      <c r="E59" s="173">
        <v>0</v>
      </c>
      <c r="F59" s="173">
        <v>0</v>
      </c>
      <c r="G59" s="173">
        <v>2</v>
      </c>
      <c r="H59" s="173">
        <v>0</v>
      </c>
      <c r="I59" s="173">
        <v>0</v>
      </c>
      <c r="J59" s="173">
        <v>1</v>
      </c>
      <c r="K59" s="173">
        <v>1</v>
      </c>
      <c r="L59" s="173">
        <v>1</v>
      </c>
      <c r="M59" s="173" t="s">
        <v>10</v>
      </c>
      <c r="N59" s="181" t="s">
        <v>23</v>
      </c>
      <c r="O59" s="141"/>
    </row>
    <row r="60" spans="1:15" ht="13.5" thickBot="1" x14ac:dyDescent="0.25">
      <c r="A60" s="141"/>
      <c r="B60" s="173">
        <f t="shared" ref="B60:K60" si="37">SUM(B58:B59)</f>
        <v>125</v>
      </c>
      <c r="C60" s="173">
        <f t="shared" si="37"/>
        <v>10</v>
      </c>
      <c r="D60" s="173">
        <f t="shared" si="37"/>
        <v>0</v>
      </c>
      <c r="E60" s="173">
        <f t="shared" si="37"/>
        <v>3</v>
      </c>
      <c r="F60" s="173">
        <f t="shared" si="37"/>
        <v>0</v>
      </c>
      <c r="G60" s="173">
        <f t="shared" si="37"/>
        <v>49</v>
      </c>
      <c r="H60" s="173">
        <f t="shared" si="37"/>
        <v>21</v>
      </c>
      <c r="I60" s="173">
        <f t="shared" si="37"/>
        <v>8</v>
      </c>
      <c r="J60" s="173">
        <f t="shared" si="37"/>
        <v>19</v>
      </c>
      <c r="K60" s="173">
        <f t="shared" si="37"/>
        <v>11</v>
      </c>
      <c r="L60" s="173">
        <f>SUM(L58:L59)</f>
        <v>4</v>
      </c>
      <c r="M60" s="173" t="s">
        <v>12</v>
      </c>
      <c r="N60" s="182"/>
      <c r="O60" s="141"/>
    </row>
    <row r="61" spans="1:15" ht="13.5" thickBot="1" x14ac:dyDescent="0.25">
      <c r="A61" s="141"/>
      <c r="B61" s="173">
        <f t="shared" ref="B61:B62" si="38">SUM(C61:L61)</f>
        <v>9</v>
      </c>
      <c r="C61" s="173">
        <v>1</v>
      </c>
      <c r="D61" s="173">
        <v>0</v>
      </c>
      <c r="E61" s="173">
        <v>0</v>
      </c>
      <c r="F61" s="173">
        <v>0</v>
      </c>
      <c r="G61" s="173">
        <v>3</v>
      </c>
      <c r="H61" s="173">
        <v>2</v>
      </c>
      <c r="I61" s="173">
        <v>1</v>
      </c>
      <c r="J61" s="173">
        <v>1</v>
      </c>
      <c r="K61" s="173">
        <v>1</v>
      </c>
      <c r="L61" s="173">
        <v>0</v>
      </c>
      <c r="M61" s="173" t="s">
        <v>9</v>
      </c>
      <c r="N61" s="181"/>
      <c r="O61" s="141"/>
    </row>
    <row r="62" spans="1:15" ht="13.5" thickBot="1" x14ac:dyDescent="0.25">
      <c r="A62" s="141"/>
      <c r="B62" s="173">
        <f t="shared" si="38"/>
        <v>1</v>
      </c>
      <c r="C62" s="173">
        <v>0</v>
      </c>
      <c r="D62" s="173">
        <v>0</v>
      </c>
      <c r="E62" s="173">
        <v>0</v>
      </c>
      <c r="F62" s="173">
        <v>0</v>
      </c>
      <c r="G62" s="173">
        <v>0</v>
      </c>
      <c r="H62" s="173">
        <v>0</v>
      </c>
      <c r="I62" s="173">
        <v>1</v>
      </c>
      <c r="J62" s="173">
        <v>0</v>
      </c>
      <c r="K62" s="173">
        <v>0</v>
      </c>
      <c r="L62" s="173">
        <v>0</v>
      </c>
      <c r="M62" s="173" t="s">
        <v>10</v>
      </c>
      <c r="N62" s="181" t="s">
        <v>24</v>
      </c>
      <c r="O62" s="141"/>
    </row>
    <row r="63" spans="1:15" ht="13.5" thickBot="1" x14ac:dyDescent="0.25">
      <c r="A63" s="141"/>
      <c r="B63" s="173">
        <f t="shared" ref="B63:K63" si="39">SUM(B61:B62)</f>
        <v>10</v>
      </c>
      <c r="C63" s="173">
        <f t="shared" si="39"/>
        <v>1</v>
      </c>
      <c r="D63" s="173">
        <f t="shared" si="39"/>
        <v>0</v>
      </c>
      <c r="E63" s="173">
        <f t="shared" si="39"/>
        <v>0</v>
      </c>
      <c r="F63" s="173">
        <f t="shared" si="39"/>
        <v>0</v>
      </c>
      <c r="G63" s="173">
        <f t="shared" si="39"/>
        <v>3</v>
      </c>
      <c r="H63" s="173">
        <f t="shared" si="39"/>
        <v>2</v>
      </c>
      <c r="I63" s="173">
        <f t="shared" si="39"/>
        <v>2</v>
      </c>
      <c r="J63" s="173">
        <f t="shared" si="39"/>
        <v>1</v>
      </c>
      <c r="K63" s="173">
        <f t="shared" si="39"/>
        <v>1</v>
      </c>
      <c r="L63" s="173">
        <f>SUM(L61:L62)</f>
        <v>0</v>
      </c>
      <c r="M63" s="173" t="s">
        <v>12</v>
      </c>
      <c r="N63" s="182"/>
      <c r="O63" s="141"/>
    </row>
    <row r="64" spans="1:15" ht="13.5" thickBot="1" x14ac:dyDescent="0.25">
      <c r="A64" s="141"/>
      <c r="B64" s="173">
        <f t="shared" ref="B64:B65" si="40">SUM(C64:L64)</f>
        <v>5</v>
      </c>
      <c r="C64" s="173">
        <v>1</v>
      </c>
      <c r="D64" s="173">
        <v>0</v>
      </c>
      <c r="E64" s="173">
        <v>0</v>
      </c>
      <c r="F64" s="173">
        <v>0</v>
      </c>
      <c r="G64" s="173">
        <v>2</v>
      </c>
      <c r="H64" s="173">
        <v>1</v>
      </c>
      <c r="I64" s="173">
        <v>0</v>
      </c>
      <c r="J64" s="173">
        <v>1</v>
      </c>
      <c r="K64" s="173">
        <v>0</v>
      </c>
      <c r="L64" s="173">
        <v>0</v>
      </c>
      <c r="M64" s="173" t="s">
        <v>9</v>
      </c>
      <c r="N64" s="181"/>
      <c r="O64" s="141"/>
    </row>
    <row r="65" spans="1:15" ht="13.5" thickBot="1" x14ac:dyDescent="0.25">
      <c r="A65" s="141"/>
      <c r="B65" s="173">
        <f t="shared" si="40"/>
        <v>5</v>
      </c>
      <c r="C65" s="173">
        <v>0</v>
      </c>
      <c r="D65" s="173">
        <v>0</v>
      </c>
      <c r="E65" s="173">
        <v>0</v>
      </c>
      <c r="F65" s="173">
        <v>0</v>
      </c>
      <c r="G65" s="173">
        <v>2</v>
      </c>
      <c r="H65" s="173">
        <v>0</v>
      </c>
      <c r="I65" s="173">
        <v>0</v>
      </c>
      <c r="J65" s="173">
        <v>1</v>
      </c>
      <c r="K65" s="173">
        <v>1</v>
      </c>
      <c r="L65" s="173">
        <v>1</v>
      </c>
      <c r="M65" s="173" t="s">
        <v>10</v>
      </c>
      <c r="N65" s="181" t="s">
        <v>25</v>
      </c>
      <c r="O65" s="141"/>
    </row>
    <row r="66" spans="1:15" ht="13.5" thickBot="1" x14ac:dyDescent="0.25">
      <c r="A66" s="141"/>
      <c r="B66" s="173">
        <f t="shared" ref="B66:K66" si="41">SUM(B64:B65)</f>
        <v>10</v>
      </c>
      <c r="C66" s="173">
        <f t="shared" si="41"/>
        <v>1</v>
      </c>
      <c r="D66" s="173">
        <f t="shared" si="41"/>
        <v>0</v>
      </c>
      <c r="E66" s="173">
        <f t="shared" si="41"/>
        <v>0</v>
      </c>
      <c r="F66" s="173">
        <f t="shared" si="41"/>
        <v>0</v>
      </c>
      <c r="G66" s="173">
        <f t="shared" si="41"/>
        <v>4</v>
      </c>
      <c r="H66" s="173">
        <f t="shared" si="41"/>
        <v>1</v>
      </c>
      <c r="I66" s="173">
        <f t="shared" si="41"/>
        <v>0</v>
      </c>
      <c r="J66" s="173">
        <f t="shared" si="41"/>
        <v>2</v>
      </c>
      <c r="K66" s="173">
        <f t="shared" si="41"/>
        <v>1</v>
      </c>
      <c r="L66" s="173">
        <f>SUM(L64:L65)</f>
        <v>1</v>
      </c>
      <c r="M66" s="173" t="s">
        <v>12</v>
      </c>
      <c r="N66" s="182"/>
      <c r="O66" s="141"/>
    </row>
    <row r="67" spans="1:15" ht="13.5" thickBot="1" x14ac:dyDescent="0.25">
      <c r="A67" s="141"/>
      <c r="B67" s="173">
        <f t="shared" ref="B67:B68" si="42">SUM(C67:L67)</f>
        <v>146</v>
      </c>
      <c r="C67" s="173">
        <v>12</v>
      </c>
      <c r="D67" s="173">
        <v>0</v>
      </c>
      <c r="E67" s="173">
        <v>5</v>
      </c>
      <c r="F67" s="173">
        <v>1</v>
      </c>
      <c r="G67" s="173">
        <v>57</v>
      </c>
      <c r="H67" s="173">
        <v>25</v>
      </c>
      <c r="I67" s="173">
        <v>9</v>
      </c>
      <c r="J67" s="173">
        <v>22</v>
      </c>
      <c r="K67" s="173">
        <v>12</v>
      </c>
      <c r="L67" s="173">
        <v>3</v>
      </c>
      <c r="M67" s="173" t="s">
        <v>9</v>
      </c>
      <c r="N67" s="181"/>
      <c r="O67" s="141"/>
    </row>
    <row r="68" spans="1:15" ht="13.5" thickBot="1" x14ac:dyDescent="0.25">
      <c r="A68" s="141"/>
      <c r="B68" s="173">
        <f t="shared" si="42"/>
        <v>12</v>
      </c>
      <c r="C68" s="173">
        <v>1</v>
      </c>
      <c r="D68" s="173">
        <v>1</v>
      </c>
      <c r="E68" s="173">
        <v>0</v>
      </c>
      <c r="F68" s="173">
        <v>0</v>
      </c>
      <c r="G68" s="173">
        <v>3</v>
      </c>
      <c r="H68" s="173">
        <v>1</v>
      </c>
      <c r="I68" s="173">
        <v>1</v>
      </c>
      <c r="J68" s="173">
        <v>1</v>
      </c>
      <c r="K68" s="173">
        <v>3</v>
      </c>
      <c r="L68" s="173">
        <v>1</v>
      </c>
      <c r="M68" s="173" t="s">
        <v>10</v>
      </c>
      <c r="N68" s="181" t="s">
        <v>31</v>
      </c>
      <c r="O68" s="141"/>
    </row>
    <row r="69" spans="1:15" ht="13.5" thickBot="1" x14ac:dyDescent="0.25">
      <c r="A69" s="141"/>
      <c r="B69" s="173">
        <f t="shared" ref="B69:K69" si="43">SUM(B67:B68)</f>
        <v>158</v>
      </c>
      <c r="C69" s="173">
        <f t="shared" si="43"/>
        <v>13</v>
      </c>
      <c r="D69" s="173">
        <f t="shared" si="43"/>
        <v>1</v>
      </c>
      <c r="E69" s="173">
        <f t="shared" si="43"/>
        <v>5</v>
      </c>
      <c r="F69" s="173">
        <f t="shared" si="43"/>
        <v>1</v>
      </c>
      <c r="G69" s="173">
        <f t="shared" si="43"/>
        <v>60</v>
      </c>
      <c r="H69" s="173">
        <f t="shared" si="43"/>
        <v>26</v>
      </c>
      <c r="I69" s="173">
        <f t="shared" si="43"/>
        <v>10</v>
      </c>
      <c r="J69" s="173">
        <f t="shared" si="43"/>
        <v>23</v>
      </c>
      <c r="K69" s="173">
        <f t="shared" si="43"/>
        <v>15</v>
      </c>
      <c r="L69" s="173">
        <f>SUM(L67:L68)</f>
        <v>4</v>
      </c>
      <c r="M69" s="173" t="s">
        <v>12</v>
      </c>
      <c r="N69" s="182"/>
      <c r="O69" s="141"/>
    </row>
    <row r="70" spans="1:15" ht="13.5" thickBot="1" x14ac:dyDescent="0.25">
      <c r="A70" s="141"/>
      <c r="B70" s="176">
        <f t="shared" ref="B70:L72" si="44">B4+B7+B10+B13+B16+B19+B22+B25+B28+B31+B34+B37+B40+B43+B46+B49+B52+B55+B58+B61+B64+B67</f>
        <v>969</v>
      </c>
      <c r="C70" s="176">
        <f t="shared" si="44"/>
        <v>81</v>
      </c>
      <c r="D70" s="176">
        <f t="shared" si="44"/>
        <v>2</v>
      </c>
      <c r="E70" s="176">
        <f t="shared" si="44"/>
        <v>28</v>
      </c>
      <c r="F70" s="176">
        <f t="shared" si="44"/>
        <v>3</v>
      </c>
      <c r="G70" s="176">
        <f t="shared" si="44"/>
        <v>378</v>
      </c>
      <c r="H70" s="176">
        <f t="shared" si="44"/>
        <v>169</v>
      </c>
      <c r="I70" s="176">
        <f t="shared" si="44"/>
        <v>63</v>
      </c>
      <c r="J70" s="176">
        <f t="shared" si="44"/>
        <v>143</v>
      </c>
      <c r="K70" s="176">
        <f t="shared" si="44"/>
        <v>81</v>
      </c>
      <c r="L70" s="176">
        <f>L4+L7+L10+L13+L16+L19+L22+L25+L28+L31+L34+L37+L40+L43+L46+L49+L52+L55+L58+L61+L64+L67</f>
        <v>21</v>
      </c>
      <c r="M70" s="173" t="s">
        <v>9</v>
      </c>
      <c r="N70" s="179"/>
      <c r="O70" s="141"/>
    </row>
    <row r="71" spans="1:15" ht="13.5" thickBot="1" x14ac:dyDescent="0.25">
      <c r="A71" s="141"/>
      <c r="B71" s="176">
        <f t="shared" si="44"/>
        <v>252</v>
      </c>
      <c r="C71" s="176">
        <f t="shared" si="44"/>
        <v>10</v>
      </c>
      <c r="D71" s="176">
        <f t="shared" si="44"/>
        <v>6</v>
      </c>
      <c r="E71" s="176">
        <f t="shared" si="44"/>
        <v>3</v>
      </c>
      <c r="F71" s="176">
        <f t="shared" si="44"/>
        <v>1</v>
      </c>
      <c r="G71" s="176">
        <f t="shared" si="44"/>
        <v>84</v>
      </c>
      <c r="H71" s="176">
        <f t="shared" si="44"/>
        <v>14</v>
      </c>
      <c r="I71" s="176">
        <f t="shared" si="44"/>
        <v>22</v>
      </c>
      <c r="J71" s="176">
        <f t="shared" si="44"/>
        <v>30</v>
      </c>
      <c r="K71" s="176">
        <f t="shared" si="44"/>
        <v>52</v>
      </c>
      <c r="L71" s="176">
        <f t="shared" si="44"/>
        <v>30</v>
      </c>
      <c r="M71" s="173" t="s">
        <v>10</v>
      </c>
      <c r="N71" s="183" t="s">
        <v>188</v>
      </c>
      <c r="O71" s="141"/>
    </row>
    <row r="72" spans="1:15" ht="13.5" thickBot="1" x14ac:dyDescent="0.25">
      <c r="A72" s="141"/>
      <c r="B72" s="176">
        <f t="shared" si="44"/>
        <v>1221</v>
      </c>
      <c r="C72" s="176">
        <f t="shared" si="44"/>
        <v>91</v>
      </c>
      <c r="D72" s="176">
        <f t="shared" si="44"/>
        <v>8</v>
      </c>
      <c r="E72" s="176">
        <f t="shared" si="44"/>
        <v>31</v>
      </c>
      <c r="F72" s="176">
        <f t="shared" si="44"/>
        <v>4</v>
      </c>
      <c r="G72" s="176">
        <f t="shared" si="44"/>
        <v>462</v>
      </c>
      <c r="H72" s="176">
        <f t="shared" si="44"/>
        <v>183</v>
      </c>
      <c r="I72" s="176">
        <f t="shared" si="44"/>
        <v>85</v>
      </c>
      <c r="J72" s="176">
        <f t="shared" si="44"/>
        <v>173</v>
      </c>
      <c r="K72" s="176">
        <f t="shared" si="44"/>
        <v>133</v>
      </c>
      <c r="L72" s="176">
        <f t="shared" si="44"/>
        <v>51</v>
      </c>
      <c r="M72" s="173" t="s">
        <v>12</v>
      </c>
      <c r="N72" s="184"/>
      <c r="O72" s="141"/>
    </row>
  </sheetData>
  <mergeCells count="2">
    <mergeCell ref="B1:N1"/>
    <mergeCell ref="B2:N2"/>
  </mergeCells>
  <pageMargins left="0.4" right="0.4" top="0.8" bottom="0.8" header="0.8" footer="0.8"/>
  <pageSetup paperSize="9" orientation="landscape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33"/>
  <sheetViews>
    <sheetView showGridLines="0" workbookViewId="0">
      <selection activeCell="S32" sqref="S32"/>
    </sheetView>
  </sheetViews>
  <sheetFormatPr defaultRowHeight="12.75" x14ac:dyDescent="0.2"/>
  <cols>
    <col min="1" max="1" width="3.75" style="142" customWidth="1"/>
    <col min="2" max="12" width="7.25" style="142" customWidth="1"/>
    <col min="13" max="13" width="9.625" style="142" customWidth="1"/>
    <col min="14" max="14" width="24" style="142" customWidth="1"/>
    <col min="15" max="15" width="3.5" style="142" customWidth="1"/>
    <col min="16" max="16384" width="9" style="142"/>
  </cols>
  <sheetData>
    <row r="1" spans="1:15" ht="20.100000000000001" customHeight="1" x14ac:dyDescent="0.2">
      <c r="A1" s="141"/>
      <c r="B1" s="593" t="s">
        <v>906</v>
      </c>
      <c r="C1" s="594"/>
      <c r="D1" s="594"/>
      <c r="E1" s="594"/>
      <c r="F1" s="594"/>
      <c r="G1" s="594"/>
      <c r="H1" s="594"/>
      <c r="I1" s="594"/>
      <c r="J1" s="594"/>
      <c r="K1" s="594"/>
      <c r="L1" s="594"/>
      <c r="M1" s="594"/>
      <c r="N1" s="594"/>
      <c r="O1" s="141"/>
    </row>
    <row r="2" spans="1:15" ht="20.100000000000001" customHeight="1" thickBot="1" x14ac:dyDescent="0.25">
      <c r="A2" s="141"/>
      <c r="B2" s="595" t="s">
        <v>907</v>
      </c>
      <c r="C2" s="595"/>
      <c r="D2" s="595"/>
      <c r="E2" s="595"/>
      <c r="F2" s="595"/>
      <c r="G2" s="595"/>
      <c r="H2" s="595"/>
      <c r="I2" s="595"/>
      <c r="J2" s="595"/>
      <c r="K2" s="595"/>
      <c r="L2" s="595"/>
      <c r="M2" s="595"/>
      <c r="N2" s="595"/>
      <c r="O2" s="141"/>
    </row>
    <row r="3" spans="1:15" ht="26.25" thickBot="1" x14ac:dyDescent="0.25">
      <c r="A3" s="141"/>
      <c r="B3" s="166" t="s">
        <v>244</v>
      </c>
      <c r="C3" s="166" t="s">
        <v>53</v>
      </c>
      <c r="D3" s="166" t="s">
        <v>52</v>
      </c>
      <c r="E3" s="166" t="s">
        <v>902</v>
      </c>
      <c r="F3" s="166" t="s">
        <v>50</v>
      </c>
      <c r="G3" s="166" t="s">
        <v>49</v>
      </c>
      <c r="H3" s="166" t="s">
        <v>48</v>
      </c>
      <c r="I3" s="166" t="s">
        <v>47</v>
      </c>
      <c r="J3" s="166" t="s">
        <v>903</v>
      </c>
      <c r="K3" s="166" t="s">
        <v>45</v>
      </c>
      <c r="L3" s="166" t="s">
        <v>44</v>
      </c>
      <c r="M3" s="167" t="s">
        <v>7</v>
      </c>
      <c r="N3" s="152" t="s">
        <v>895</v>
      </c>
      <c r="O3" s="141"/>
    </row>
    <row r="4" spans="1:15" ht="13.5" thickBot="1" x14ac:dyDescent="0.25">
      <c r="A4" s="141"/>
      <c r="B4" s="154">
        <f>SUM(C4:L4)</f>
        <v>1</v>
      </c>
      <c r="C4" s="168">
        <v>0</v>
      </c>
      <c r="D4" s="168">
        <v>0</v>
      </c>
      <c r="E4" s="168">
        <v>0</v>
      </c>
      <c r="F4" s="168">
        <v>0</v>
      </c>
      <c r="G4" s="168">
        <v>0</v>
      </c>
      <c r="H4" s="168">
        <v>0</v>
      </c>
      <c r="I4" s="168">
        <v>0</v>
      </c>
      <c r="J4" s="168">
        <v>0</v>
      </c>
      <c r="K4" s="168">
        <v>1</v>
      </c>
      <c r="L4" s="168">
        <v>0</v>
      </c>
      <c r="M4" s="166" t="s">
        <v>9</v>
      </c>
      <c r="N4" s="159"/>
      <c r="O4" s="141"/>
    </row>
    <row r="5" spans="1:15" ht="13.5" thickBot="1" x14ac:dyDescent="0.25">
      <c r="A5" s="141"/>
      <c r="B5" s="154">
        <f t="shared" ref="B5" si="0">SUM(C5:L5)</f>
        <v>6</v>
      </c>
      <c r="C5" s="168">
        <v>0</v>
      </c>
      <c r="D5" s="168">
        <v>0</v>
      </c>
      <c r="E5" s="168">
        <v>0</v>
      </c>
      <c r="F5" s="168">
        <v>0</v>
      </c>
      <c r="G5" s="168">
        <v>1</v>
      </c>
      <c r="H5" s="168">
        <v>0</v>
      </c>
      <c r="I5" s="168">
        <v>0</v>
      </c>
      <c r="J5" s="168">
        <v>1</v>
      </c>
      <c r="K5" s="168">
        <v>3</v>
      </c>
      <c r="L5" s="168">
        <v>1</v>
      </c>
      <c r="M5" s="166" t="s">
        <v>10</v>
      </c>
      <c r="N5" s="159" t="s">
        <v>13</v>
      </c>
      <c r="O5" s="141"/>
    </row>
    <row r="6" spans="1:15" ht="13.5" thickBot="1" x14ac:dyDescent="0.25">
      <c r="A6" s="141"/>
      <c r="B6" s="168">
        <f>SUM(B4:B5)</f>
        <v>7</v>
      </c>
      <c r="C6" s="168">
        <f t="shared" ref="C6:K6" si="1">SUM(C4:C5)</f>
        <v>0</v>
      </c>
      <c r="D6" s="168">
        <f t="shared" si="1"/>
        <v>0</v>
      </c>
      <c r="E6" s="168">
        <f t="shared" si="1"/>
        <v>0</v>
      </c>
      <c r="F6" s="168">
        <f t="shared" si="1"/>
        <v>0</v>
      </c>
      <c r="G6" s="168">
        <f t="shared" si="1"/>
        <v>1</v>
      </c>
      <c r="H6" s="168">
        <f t="shared" si="1"/>
        <v>0</v>
      </c>
      <c r="I6" s="168">
        <f t="shared" si="1"/>
        <v>0</v>
      </c>
      <c r="J6" s="168">
        <f t="shared" si="1"/>
        <v>1</v>
      </c>
      <c r="K6" s="168">
        <f t="shared" si="1"/>
        <v>4</v>
      </c>
      <c r="L6" s="168">
        <f>SUM(L4:L5)</f>
        <v>1</v>
      </c>
      <c r="M6" s="166" t="s">
        <v>12</v>
      </c>
      <c r="N6" s="170"/>
      <c r="O6" s="141"/>
    </row>
    <row r="7" spans="1:15" ht="13.5" thickBot="1" x14ac:dyDescent="0.25">
      <c r="A7" s="141"/>
      <c r="B7" s="154">
        <f t="shared" ref="B7:B8" si="2">SUM(C7:L7)</f>
        <v>2</v>
      </c>
      <c r="C7" s="168">
        <v>0</v>
      </c>
      <c r="D7" s="168">
        <v>0</v>
      </c>
      <c r="E7" s="168">
        <v>0</v>
      </c>
      <c r="F7" s="168">
        <v>0</v>
      </c>
      <c r="G7" s="168">
        <v>0</v>
      </c>
      <c r="H7" s="168">
        <v>0</v>
      </c>
      <c r="I7" s="168">
        <v>0</v>
      </c>
      <c r="J7" s="168">
        <v>0</v>
      </c>
      <c r="K7" s="168">
        <v>1</v>
      </c>
      <c r="L7" s="168">
        <v>1</v>
      </c>
      <c r="M7" s="166" t="s">
        <v>9</v>
      </c>
      <c r="N7" s="159"/>
      <c r="O7" s="141"/>
    </row>
    <row r="8" spans="1:15" ht="13.5" thickBot="1" x14ac:dyDescent="0.25">
      <c r="A8" s="141"/>
      <c r="B8" s="154">
        <f t="shared" si="2"/>
        <v>1</v>
      </c>
      <c r="C8" s="168">
        <v>0</v>
      </c>
      <c r="D8" s="168">
        <v>0</v>
      </c>
      <c r="E8" s="168">
        <v>0</v>
      </c>
      <c r="F8" s="168">
        <v>0</v>
      </c>
      <c r="G8" s="168">
        <v>1</v>
      </c>
      <c r="H8" s="168">
        <v>0</v>
      </c>
      <c r="I8" s="168">
        <v>0</v>
      </c>
      <c r="J8" s="168">
        <v>0</v>
      </c>
      <c r="K8" s="168">
        <v>0</v>
      </c>
      <c r="L8" s="168">
        <v>0</v>
      </c>
      <c r="M8" s="166" t="s">
        <v>10</v>
      </c>
      <c r="N8" s="159" t="s">
        <v>15</v>
      </c>
      <c r="O8" s="141"/>
    </row>
    <row r="9" spans="1:15" ht="13.5" thickBot="1" x14ac:dyDescent="0.25">
      <c r="A9" s="141"/>
      <c r="B9" s="168">
        <f>SUM(B7:B8)</f>
        <v>3</v>
      </c>
      <c r="C9" s="168">
        <f t="shared" ref="C9:K9" si="3">SUM(C7:C8)</f>
        <v>0</v>
      </c>
      <c r="D9" s="168">
        <f t="shared" si="3"/>
        <v>0</v>
      </c>
      <c r="E9" s="168">
        <f t="shared" si="3"/>
        <v>0</v>
      </c>
      <c r="F9" s="168">
        <f t="shared" si="3"/>
        <v>0</v>
      </c>
      <c r="G9" s="168">
        <f t="shared" si="3"/>
        <v>1</v>
      </c>
      <c r="H9" s="168">
        <f t="shared" si="3"/>
        <v>0</v>
      </c>
      <c r="I9" s="168">
        <f t="shared" si="3"/>
        <v>0</v>
      </c>
      <c r="J9" s="168">
        <f t="shared" si="3"/>
        <v>0</v>
      </c>
      <c r="K9" s="168">
        <f t="shared" si="3"/>
        <v>1</v>
      </c>
      <c r="L9" s="168">
        <f>SUM(L7:L8)</f>
        <v>1</v>
      </c>
      <c r="M9" s="166" t="s">
        <v>12</v>
      </c>
      <c r="N9" s="170"/>
      <c r="O9" s="141"/>
    </row>
    <row r="10" spans="1:15" ht="13.5" thickBot="1" x14ac:dyDescent="0.25">
      <c r="A10" s="141"/>
      <c r="B10" s="154">
        <f t="shared" ref="B10:B11" si="4">SUM(C10:L10)</f>
        <v>14</v>
      </c>
      <c r="C10" s="168">
        <v>0</v>
      </c>
      <c r="D10" s="168">
        <v>0</v>
      </c>
      <c r="E10" s="168">
        <v>1</v>
      </c>
      <c r="F10" s="168">
        <v>0</v>
      </c>
      <c r="G10" s="168">
        <v>1</v>
      </c>
      <c r="H10" s="168">
        <v>1</v>
      </c>
      <c r="I10" s="168">
        <v>0</v>
      </c>
      <c r="J10" s="168">
        <v>2</v>
      </c>
      <c r="K10" s="168">
        <v>8</v>
      </c>
      <c r="L10" s="168">
        <v>1</v>
      </c>
      <c r="M10" s="166" t="s">
        <v>9</v>
      </c>
      <c r="N10" s="159"/>
      <c r="O10" s="141"/>
    </row>
    <row r="11" spans="1:15" ht="13.5" thickBot="1" x14ac:dyDescent="0.25">
      <c r="A11" s="141"/>
      <c r="B11" s="154">
        <f t="shared" si="4"/>
        <v>5</v>
      </c>
      <c r="C11" s="168">
        <v>0</v>
      </c>
      <c r="D11" s="168">
        <v>0</v>
      </c>
      <c r="E11" s="168">
        <v>0</v>
      </c>
      <c r="F11" s="168">
        <v>0</v>
      </c>
      <c r="G11" s="168">
        <v>1</v>
      </c>
      <c r="H11" s="168">
        <v>0</v>
      </c>
      <c r="I11" s="168">
        <v>0</v>
      </c>
      <c r="J11" s="168">
        <v>1</v>
      </c>
      <c r="K11" s="168">
        <v>2</v>
      </c>
      <c r="L11" s="168">
        <v>1</v>
      </c>
      <c r="M11" s="166" t="s">
        <v>10</v>
      </c>
      <c r="N11" s="159" t="s">
        <v>17</v>
      </c>
      <c r="O11" s="141"/>
    </row>
    <row r="12" spans="1:15" ht="13.5" thickBot="1" x14ac:dyDescent="0.25">
      <c r="A12" s="141"/>
      <c r="B12" s="168">
        <f>SUM(B10:B11)</f>
        <v>19</v>
      </c>
      <c r="C12" s="168">
        <f t="shared" ref="C12:K12" si="5">SUM(C10:C11)</f>
        <v>0</v>
      </c>
      <c r="D12" s="168">
        <f t="shared" si="5"/>
        <v>0</v>
      </c>
      <c r="E12" s="168">
        <f t="shared" si="5"/>
        <v>1</v>
      </c>
      <c r="F12" s="168">
        <f t="shared" si="5"/>
        <v>0</v>
      </c>
      <c r="G12" s="168">
        <f t="shared" si="5"/>
        <v>2</v>
      </c>
      <c r="H12" s="168">
        <f t="shared" si="5"/>
        <v>1</v>
      </c>
      <c r="I12" s="168">
        <f t="shared" si="5"/>
        <v>0</v>
      </c>
      <c r="J12" s="168">
        <f t="shared" si="5"/>
        <v>3</v>
      </c>
      <c r="K12" s="168">
        <f t="shared" si="5"/>
        <v>10</v>
      </c>
      <c r="L12" s="168">
        <f>SUM(L10:L11)</f>
        <v>2</v>
      </c>
      <c r="M12" s="166" t="s">
        <v>12</v>
      </c>
      <c r="N12" s="170"/>
      <c r="O12" s="141"/>
    </row>
    <row r="13" spans="1:15" ht="13.5" thickBot="1" x14ac:dyDescent="0.25">
      <c r="A13" s="141"/>
      <c r="B13" s="154">
        <f t="shared" ref="B13:B14" si="6">SUM(C13:L13)</f>
        <v>19</v>
      </c>
      <c r="C13" s="168">
        <v>0</v>
      </c>
      <c r="D13" s="168">
        <v>0</v>
      </c>
      <c r="E13" s="168">
        <v>1</v>
      </c>
      <c r="F13" s="168">
        <v>0</v>
      </c>
      <c r="G13" s="168">
        <v>2</v>
      </c>
      <c r="H13" s="168">
        <v>1</v>
      </c>
      <c r="I13" s="168">
        <v>1</v>
      </c>
      <c r="J13" s="168">
        <v>3</v>
      </c>
      <c r="K13" s="168">
        <v>11</v>
      </c>
      <c r="L13" s="168">
        <v>0</v>
      </c>
      <c r="M13" s="166" t="s">
        <v>9</v>
      </c>
      <c r="N13" s="159"/>
      <c r="O13" s="141"/>
    </row>
    <row r="14" spans="1:15" ht="13.5" thickBot="1" x14ac:dyDescent="0.25">
      <c r="A14" s="141"/>
      <c r="B14" s="154">
        <f t="shared" si="6"/>
        <v>3</v>
      </c>
      <c r="C14" s="168">
        <v>0</v>
      </c>
      <c r="D14" s="168">
        <v>0</v>
      </c>
      <c r="E14" s="168">
        <v>0</v>
      </c>
      <c r="F14" s="168">
        <v>0</v>
      </c>
      <c r="G14" s="168">
        <v>0</v>
      </c>
      <c r="H14" s="168">
        <v>0</v>
      </c>
      <c r="I14" s="168">
        <v>1</v>
      </c>
      <c r="J14" s="168">
        <v>1</v>
      </c>
      <c r="K14" s="168">
        <v>1</v>
      </c>
      <c r="L14" s="168">
        <v>0</v>
      </c>
      <c r="M14" s="166" t="s">
        <v>10</v>
      </c>
      <c r="N14" s="159" t="s">
        <v>20</v>
      </c>
      <c r="O14" s="141"/>
    </row>
    <row r="15" spans="1:15" ht="13.5" thickBot="1" x14ac:dyDescent="0.25">
      <c r="A15" s="141"/>
      <c r="B15" s="168">
        <f>SUM(B13:B14)</f>
        <v>22</v>
      </c>
      <c r="C15" s="168">
        <f t="shared" ref="C15:K15" si="7">SUM(C13:C14)</f>
        <v>0</v>
      </c>
      <c r="D15" s="168">
        <f t="shared" si="7"/>
        <v>0</v>
      </c>
      <c r="E15" s="168">
        <f t="shared" si="7"/>
        <v>1</v>
      </c>
      <c r="F15" s="168">
        <f t="shared" si="7"/>
        <v>0</v>
      </c>
      <c r="G15" s="168">
        <f t="shared" si="7"/>
        <v>2</v>
      </c>
      <c r="H15" s="168">
        <f t="shared" si="7"/>
        <v>1</v>
      </c>
      <c r="I15" s="168">
        <f t="shared" si="7"/>
        <v>2</v>
      </c>
      <c r="J15" s="168">
        <f t="shared" si="7"/>
        <v>4</v>
      </c>
      <c r="K15" s="168">
        <f t="shared" si="7"/>
        <v>12</v>
      </c>
      <c r="L15" s="168">
        <f>SUM(L13:L14)</f>
        <v>0</v>
      </c>
      <c r="M15" s="166" t="s">
        <v>12</v>
      </c>
      <c r="N15" s="170"/>
      <c r="O15" s="141"/>
    </row>
    <row r="16" spans="1:15" ht="13.5" thickBot="1" x14ac:dyDescent="0.25">
      <c r="A16" s="141"/>
      <c r="B16" s="154">
        <f t="shared" ref="B16:B17" si="8">SUM(C16:L16)</f>
        <v>2</v>
      </c>
      <c r="C16" s="168">
        <v>0</v>
      </c>
      <c r="D16" s="168">
        <v>0</v>
      </c>
      <c r="E16" s="168">
        <v>0</v>
      </c>
      <c r="F16" s="168">
        <v>0</v>
      </c>
      <c r="G16" s="168">
        <v>0</v>
      </c>
      <c r="H16" s="168">
        <v>0</v>
      </c>
      <c r="I16" s="168">
        <v>0</v>
      </c>
      <c r="J16" s="168">
        <v>1</v>
      </c>
      <c r="K16" s="168">
        <v>1</v>
      </c>
      <c r="L16" s="168">
        <v>0</v>
      </c>
      <c r="M16" s="166" t="s">
        <v>9</v>
      </c>
      <c r="N16" s="159"/>
      <c r="O16" s="141"/>
    </row>
    <row r="17" spans="1:15" ht="13.5" thickBot="1" x14ac:dyDescent="0.25">
      <c r="A17" s="141"/>
      <c r="B17" s="154">
        <f t="shared" si="8"/>
        <v>0</v>
      </c>
      <c r="C17" s="168">
        <v>0</v>
      </c>
      <c r="D17" s="168">
        <v>0</v>
      </c>
      <c r="E17" s="168">
        <v>0</v>
      </c>
      <c r="F17" s="168">
        <v>0</v>
      </c>
      <c r="G17" s="168">
        <v>0</v>
      </c>
      <c r="H17" s="168">
        <v>0</v>
      </c>
      <c r="I17" s="168">
        <v>0</v>
      </c>
      <c r="J17" s="168">
        <v>0</v>
      </c>
      <c r="K17" s="168">
        <v>0</v>
      </c>
      <c r="L17" s="168">
        <v>0</v>
      </c>
      <c r="M17" s="166" t="s">
        <v>10</v>
      </c>
      <c r="N17" s="159" t="s">
        <v>33</v>
      </c>
      <c r="O17" s="141"/>
    </row>
    <row r="18" spans="1:15" ht="13.5" thickBot="1" x14ac:dyDescent="0.25">
      <c r="A18" s="141"/>
      <c r="B18" s="168">
        <f t="shared" ref="B18:K18" si="9">SUM(B16:B17)</f>
        <v>2</v>
      </c>
      <c r="C18" s="168">
        <f t="shared" si="9"/>
        <v>0</v>
      </c>
      <c r="D18" s="168">
        <f t="shared" si="9"/>
        <v>0</v>
      </c>
      <c r="E18" s="168">
        <f t="shared" si="9"/>
        <v>0</v>
      </c>
      <c r="F18" s="168">
        <f t="shared" si="9"/>
        <v>0</v>
      </c>
      <c r="G18" s="168">
        <f t="shared" si="9"/>
        <v>0</v>
      </c>
      <c r="H18" s="168">
        <f t="shared" si="9"/>
        <v>0</v>
      </c>
      <c r="I18" s="168">
        <f t="shared" si="9"/>
        <v>0</v>
      </c>
      <c r="J18" s="168">
        <f t="shared" si="9"/>
        <v>1</v>
      </c>
      <c r="K18" s="168">
        <f t="shared" si="9"/>
        <v>1</v>
      </c>
      <c r="L18" s="168">
        <f>SUM(L16:L17)</f>
        <v>0</v>
      </c>
      <c r="M18" s="166" t="s">
        <v>12</v>
      </c>
      <c r="N18" s="170"/>
      <c r="O18" s="141"/>
    </row>
    <row r="19" spans="1:15" ht="13.5" thickBot="1" x14ac:dyDescent="0.25">
      <c r="A19" s="141"/>
      <c r="B19" s="154">
        <f t="shared" ref="B19:B20" si="10">SUM(C19:L19)</f>
        <v>287</v>
      </c>
      <c r="C19" s="168">
        <v>1</v>
      </c>
      <c r="D19" s="168">
        <v>0</v>
      </c>
      <c r="E19" s="168">
        <v>10</v>
      </c>
      <c r="F19" s="168">
        <v>1</v>
      </c>
      <c r="G19" s="168">
        <v>26</v>
      </c>
      <c r="H19" s="168">
        <v>17</v>
      </c>
      <c r="I19" s="168">
        <v>6</v>
      </c>
      <c r="J19" s="168">
        <v>42</v>
      </c>
      <c r="K19" s="168">
        <v>166</v>
      </c>
      <c r="L19" s="168">
        <v>18</v>
      </c>
      <c r="M19" s="166" t="s">
        <v>9</v>
      </c>
      <c r="N19" s="159"/>
      <c r="O19" s="141"/>
    </row>
    <row r="20" spans="1:15" ht="13.5" thickBot="1" x14ac:dyDescent="0.25">
      <c r="A20" s="141"/>
      <c r="B20" s="154">
        <f t="shared" si="10"/>
        <v>70</v>
      </c>
      <c r="C20" s="168">
        <v>1</v>
      </c>
      <c r="D20" s="168">
        <v>2</v>
      </c>
      <c r="E20" s="168">
        <v>1</v>
      </c>
      <c r="F20" s="168">
        <v>1</v>
      </c>
      <c r="G20" s="168">
        <v>7</v>
      </c>
      <c r="H20" s="168">
        <v>1</v>
      </c>
      <c r="I20" s="168">
        <v>3</v>
      </c>
      <c r="J20" s="168">
        <v>13</v>
      </c>
      <c r="K20" s="168">
        <v>32</v>
      </c>
      <c r="L20" s="168">
        <v>9</v>
      </c>
      <c r="M20" s="166" t="s">
        <v>10</v>
      </c>
      <c r="N20" s="159" t="s">
        <v>21</v>
      </c>
      <c r="O20" s="141"/>
    </row>
    <row r="21" spans="1:15" ht="13.5" thickBot="1" x14ac:dyDescent="0.25">
      <c r="A21" s="141"/>
      <c r="B21" s="168">
        <f t="shared" ref="B21:K21" si="11">SUM(B19:B20)</f>
        <v>357</v>
      </c>
      <c r="C21" s="168">
        <f t="shared" si="11"/>
        <v>2</v>
      </c>
      <c r="D21" s="168">
        <f t="shared" si="11"/>
        <v>2</v>
      </c>
      <c r="E21" s="168">
        <f t="shared" si="11"/>
        <v>11</v>
      </c>
      <c r="F21" s="168">
        <f t="shared" si="11"/>
        <v>2</v>
      </c>
      <c r="G21" s="168">
        <f t="shared" si="11"/>
        <v>33</v>
      </c>
      <c r="H21" s="168">
        <f t="shared" si="11"/>
        <v>18</v>
      </c>
      <c r="I21" s="168">
        <f t="shared" si="11"/>
        <v>9</v>
      </c>
      <c r="J21" s="168">
        <f t="shared" si="11"/>
        <v>55</v>
      </c>
      <c r="K21" s="168">
        <f t="shared" si="11"/>
        <v>198</v>
      </c>
      <c r="L21" s="168">
        <f>SUM(L19:L20)</f>
        <v>27</v>
      </c>
      <c r="M21" s="166" t="s">
        <v>12</v>
      </c>
      <c r="N21" s="170"/>
      <c r="O21" s="141"/>
    </row>
    <row r="22" spans="1:15" ht="13.5" thickBot="1" x14ac:dyDescent="0.25">
      <c r="A22" s="141"/>
      <c r="B22" s="154">
        <f t="shared" ref="B22:B23" si="12">SUM(C22:L22)</f>
        <v>104</v>
      </c>
      <c r="C22" s="168">
        <v>0</v>
      </c>
      <c r="D22" s="168">
        <v>0</v>
      </c>
      <c r="E22" s="168">
        <v>4</v>
      </c>
      <c r="F22" s="168">
        <v>0</v>
      </c>
      <c r="G22" s="168">
        <v>9</v>
      </c>
      <c r="H22" s="168">
        <v>6</v>
      </c>
      <c r="I22" s="168">
        <v>2</v>
      </c>
      <c r="J22" s="168">
        <v>16</v>
      </c>
      <c r="K22" s="168">
        <v>60</v>
      </c>
      <c r="L22" s="168">
        <v>7</v>
      </c>
      <c r="M22" s="166" t="s">
        <v>9</v>
      </c>
      <c r="N22" s="159"/>
      <c r="O22" s="141"/>
    </row>
    <row r="23" spans="1:15" ht="13.5" thickBot="1" x14ac:dyDescent="0.25">
      <c r="A23" s="141"/>
      <c r="B23" s="154">
        <f t="shared" si="12"/>
        <v>26</v>
      </c>
      <c r="C23" s="168">
        <v>0</v>
      </c>
      <c r="D23" s="168">
        <v>0</v>
      </c>
      <c r="E23" s="168">
        <v>0</v>
      </c>
      <c r="F23" s="168">
        <v>0</v>
      </c>
      <c r="G23" s="168">
        <v>3</v>
      </c>
      <c r="H23" s="168">
        <v>1</v>
      </c>
      <c r="I23" s="168">
        <v>2</v>
      </c>
      <c r="J23" s="168">
        <v>5</v>
      </c>
      <c r="K23" s="168">
        <v>12</v>
      </c>
      <c r="L23" s="168">
        <v>3</v>
      </c>
      <c r="M23" s="166" t="s">
        <v>10</v>
      </c>
      <c r="N23" s="159" t="s">
        <v>23</v>
      </c>
      <c r="O23" s="141"/>
    </row>
    <row r="24" spans="1:15" ht="13.5" thickBot="1" x14ac:dyDescent="0.25">
      <c r="A24" s="141"/>
      <c r="B24" s="168">
        <f t="shared" ref="B24:K24" si="13">SUM(B22:B23)</f>
        <v>130</v>
      </c>
      <c r="C24" s="168">
        <f t="shared" si="13"/>
        <v>0</v>
      </c>
      <c r="D24" s="168">
        <f t="shared" si="13"/>
        <v>0</v>
      </c>
      <c r="E24" s="168">
        <f t="shared" si="13"/>
        <v>4</v>
      </c>
      <c r="F24" s="168">
        <f t="shared" si="13"/>
        <v>0</v>
      </c>
      <c r="G24" s="168">
        <f t="shared" si="13"/>
        <v>12</v>
      </c>
      <c r="H24" s="168">
        <f t="shared" si="13"/>
        <v>7</v>
      </c>
      <c r="I24" s="168">
        <f t="shared" si="13"/>
        <v>4</v>
      </c>
      <c r="J24" s="168">
        <f t="shared" si="13"/>
        <v>21</v>
      </c>
      <c r="K24" s="168">
        <f t="shared" si="13"/>
        <v>72</v>
      </c>
      <c r="L24" s="168">
        <f>SUM(L22:L23)</f>
        <v>10</v>
      </c>
      <c r="M24" s="166" t="s">
        <v>12</v>
      </c>
      <c r="N24" s="170"/>
      <c r="O24" s="141"/>
    </row>
    <row r="25" spans="1:15" ht="13.5" thickBot="1" x14ac:dyDescent="0.25">
      <c r="A25" s="141"/>
      <c r="B25" s="154">
        <f t="shared" ref="B25:B26" si="14">SUM(C25:L25)</f>
        <v>13</v>
      </c>
      <c r="C25" s="168">
        <v>0</v>
      </c>
      <c r="D25" s="168">
        <v>0</v>
      </c>
      <c r="E25" s="168">
        <v>0</v>
      </c>
      <c r="F25" s="168">
        <v>0</v>
      </c>
      <c r="G25" s="168">
        <v>1</v>
      </c>
      <c r="H25" s="168">
        <v>1</v>
      </c>
      <c r="I25" s="168">
        <v>0</v>
      </c>
      <c r="J25" s="168">
        <v>2</v>
      </c>
      <c r="K25" s="168">
        <v>8</v>
      </c>
      <c r="L25" s="168">
        <v>1</v>
      </c>
      <c r="M25" s="166" t="s">
        <v>9</v>
      </c>
      <c r="N25" s="159"/>
      <c r="O25" s="141"/>
    </row>
    <row r="26" spans="1:15" ht="13.5" thickBot="1" x14ac:dyDescent="0.25">
      <c r="A26" s="141"/>
      <c r="B26" s="154">
        <f t="shared" si="14"/>
        <v>10</v>
      </c>
      <c r="C26" s="168">
        <v>0</v>
      </c>
      <c r="D26" s="168">
        <v>0</v>
      </c>
      <c r="E26" s="168">
        <v>1</v>
      </c>
      <c r="F26" s="168">
        <v>0</v>
      </c>
      <c r="G26" s="168">
        <v>1</v>
      </c>
      <c r="H26" s="168">
        <v>0</v>
      </c>
      <c r="I26" s="168">
        <v>1</v>
      </c>
      <c r="J26" s="168">
        <v>2</v>
      </c>
      <c r="K26" s="168">
        <v>4</v>
      </c>
      <c r="L26" s="168">
        <v>1</v>
      </c>
      <c r="M26" s="166" t="s">
        <v>10</v>
      </c>
      <c r="N26" s="159" t="s">
        <v>24</v>
      </c>
      <c r="O26" s="141"/>
    </row>
    <row r="27" spans="1:15" ht="13.5" thickBot="1" x14ac:dyDescent="0.25">
      <c r="A27" s="141"/>
      <c r="B27" s="168">
        <f t="shared" ref="B27:K27" si="15">SUM(B25:B26)</f>
        <v>23</v>
      </c>
      <c r="C27" s="168">
        <f t="shared" si="15"/>
        <v>0</v>
      </c>
      <c r="D27" s="168">
        <f t="shared" si="15"/>
        <v>0</v>
      </c>
      <c r="E27" s="168">
        <f t="shared" si="15"/>
        <v>1</v>
      </c>
      <c r="F27" s="168">
        <f t="shared" si="15"/>
        <v>0</v>
      </c>
      <c r="G27" s="168">
        <f t="shared" si="15"/>
        <v>2</v>
      </c>
      <c r="H27" s="168">
        <f t="shared" si="15"/>
        <v>1</v>
      </c>
      <c r="I27" s="168">
        <f t="shared" si="15"/>
        <v>1</v>
      </c>
      <c r="J27" s="168">
        <f t="shared" si="15"/>
        <v>4</v>
      </c>
      <c r="K27" s="168">
        <f t="shared" si="15"/>
        <v>12</v>
      </c>
      <c r="L27" s="168">
        <f>SUM(L25:L26)</f>
        <v>2</v>
      </c>
      <c r="M27" s="166" t="s">
        <v>12</v>
      </c>
      <c r="N27" s="170"/>
      <c r="O27" s="141"/>
    </row>
    <row r="28" spans="1:15" ht="13.5" thickBot="1" x14ac:dyDescent="0.25">
      <c r="A28" s="141"/>
      <c r="B28" s="154">
        <f t="shared" ref="B28:B29" si="16">SUM(C28:L28)</f>
        <v>20</v>
      </c>
      <c r="C28" s="168">
        <v>0</v>
      </c>
      <c r="D28" s="168">
        <v>0</v>
      </c>
      <c r="E28" s="168">
        <v>1</v>
      </c>
      <c r="F28" s="168">
        <v>0</v>
      </c>
      <c r="G28" s="168">
        <v>2</v>
      </c>
      <c r="H28" s="168">
        <v>1</v>
      </c>
      <c r="I28" s="168">
        <v>0</v>
      </c>
      <c r="J28" s="168">
        <v>3</v>
      </c>
      <c r="K28" s="168">
        <v>12</v>
      </c>
      <c r="L28" s="168">
        <v>1</v>
      </c>
      <c r="M28" s="166" t="s">
        <v>9</v>
      </c>
      <c r="N28" s="159"/>
      <c r="O28" s="141"/>
    </row>
    <row r="29" spans="1:15" ht="13.5" thickBot="1" x14ac:dyDescent="0.25">
      <c r="A29" s="141"/>
      <c r="B29" s="154">
        <f t="shared" si="16"/>
        <v>0</v>
      </c>
      <c r="C29" s="168">
        <v>0</v>
      </c>
      <c r="D29" s="168">
        <v>0</v>
      </c>
      <c r="E29" s="168">
        <v>0</v>
      </c>
      <c r="F29" s="168">
        <v>0</v>
      </c>
      <c r="G29" s="168">
        <v>0</v>
      </c>
      <c r="H29" s="168">
        <v>0</v>
      </c>
      <c r="I29" s="168">
        <v>0</v>
      </c>
      <c r="J29" s="168">
        <v>0</v>
      </c>
      <c r="K29" s="168">
        <v>0</v>
      </c>
      <c r="L29" s="168">
        <v>0</v>
      </c>
      <c r="M29" s="166" t="s">
        <v>10</v>
      </c>
      <c r="N29" s="159" t="s">
        <v>25</v>
      </c>
      <c r="O29" s="141"/>
    </row>
    <row r="30" spans="1:15" ht="13.5" thickBot="1" x14ac:dyDescent="0.25">
      <c r="A30" s="141"/>
      <c r="B30" s="168">
        <f t="shared" ref="B30:K30" si="17">SUM(B28:B29)</f>
        <v>20</v>
      </c>
      <c r="C30" s="168">
        <f t="shared" si="17"/>
        <v>0</v>
      </c>
      <c r="D30" s="168">
        <f t="shared" si="17"/>
        <v>0</v>
      </c>
      <c r="E30" s="168">
        <f t="shared" si="17"/>
        <v>1</v>
      </c>
      <c r="F30" s="168">
        <f t="shared" si="17"/>
        <v>0</v>
      </c>
      <c r="G30" s="168">
        <f t="shared" si="17"/>
        <v>2</v>
      </c>
      <c r="H30" s="168">
        <f t="shared" si="17"/>
        <v>1</v>
      </c>
      <c r="I30" s="168">
        <f t="shared" si="17"/>
        <v>0</v>
      </c>
      <c r="J30" s="168">
        <f t="shared" si="17"/>
        <v>3</v>
      </c>
      <c r="K30" s="168">
        <f t="shared" si="17"/>
        <v>12</v>
      </c>
      <c r="L30" s="168">
        <f>SUM(L28:L29)</f>
        <v>1</v>
      </c>
      <c r="M30" s="166" t="s">
        <v>12</v>
      </c>
      <c r="N30" s="170"/>
      <c r="O30" s="141"/>
    </row>
    <row r="31" spans="1:15" ht="13.5" thickBot="1" x14ac:dyDescent="0.25">
      <c r="A31" s="141"/>
      <c r="B31" s="154">
        <f t="shared" ref="B31:L33" si="18">B4+B7+B10+B13+B16+B19+B22+B25+B28</f>
        <v>462</v>
      </c>
      <c r="C31" s="154">
        <f t="shared" si="18"/>
        <v>1</v>
      </c>
      <c r="D31" s="154">
        <f t="shared" si="18"/>
        <v>0</v>
      </c>
      <c r="E31" s="154">
        <f t="shared" si="18"/>
        <v>17</v>
      </c>
      <c r="F31" s="154">
        <f t="shared" si="18"/>
        <v>1</v>
      </c>
      <c r="G31" s="154">
        <f t="shared" si="18"/>
        <v>41</v>
      </c>
      <c r="H31" s="154">
        <f t="shared" si="18"/>
        <v>27</v>
      </c>
      <c r="I31" s="154">
        <f t="shared" si="18"/>
        <v>9</v>
      </c>
      <c r="J31" s="154">
        <f t="shared" si="18"/>
        <v>69</v>
      </c>
      <c r="K31" s="154">
        <f t="shared" si="18"/>
        <v>268</v>
      </c>
      <c r="L31" s="154">
        <f>L4+L7+L10+L13+L16+L19+L22+L25+L28</f>
        <v>29</v>
      </c>
      <c r="M31" s="166" t="s">
        <v>9</v>
      </c>
      <c r="N31" s="167"/>
      <c r="O31" s="141"/>
    </row>
    <row r="32" spans="1:15" ht="13.5" thickBot="1" x14ac:dyDescent="0.25">
      <c r="A32" s="141"/>
      <c r="B32" s="154">
        <f t="shared" si="18"/>
        <v>121</v>
      </c>
      <c r="C32" s="154">
        <f t="shared" si="18"/>
        <v>1</v>
      </c>
      <c r="D32" s="154">
        <f t="shared" si="18"/>
        <v>2</v>
      </c>
      <c r="E32" s="154">
        <f t="shared" si="18"/>
        <v>2</v>
      </c>
      <c r="F32" s="154">
        <f t="shared" si="18"/>
        <v>1</v>
      </c>
      <c r="G32" s="154">
        <f t="shared" si="18"/>
        <v>14</v>
      </c>
      <c r="H32" s="154">
        <f t="shared" si="18"/>
        <v>2</v>
      </c>
      <c r="I32" s="154">
        <f t="shared" si="18"/>
        <v>7</v>
      </c>
      <c r="J32" s="154">
        <f t="shared" si="18"/>
        <v>23</v>
      </c>
      <c r="K32" s="154">
        <f t="shared" si="18"/>
        <v>54</v>
      </c>
      <c r="L32" s="154">
        <f t="shared" si="18"/>
        <v>15</v>
      </c>
      <c r="M32" s="166" t="s">
        <v>10</v>
      </c>
      <c r="N32" s="169" t="s">
        <v>188</v>
      </c>
      <c r="O32" s="141"/>
    </row>
    <row r="33" spans="1:15" ht="13.5" thickBot="1" x14ac:dyDescent="0.25">
      <c r="A33" s="141"/>
      <c r="B33" s="154">
        <f t="shared" si="18"/>
        <v>583</v>
      </c>
      <c r="C33" s="154">
        <f t="shared" si="18"/>
        <v>2</v>
      </c>
      <c r="D33" s="154">
        <f t="shared" si="18"/>
        <v>2</v>
      </c>
      <c r="E33" s="154">
        <f t="shared" si="18"/>
        <v>19</v>
      </c>
      <c r="F33" s="154">
        <f t="shared" si="18"/>
        <v>2</v>
      </c>
      <c r="G33" s="154">
        <f t="shared" si="18"/>
        <v>55</v>
      </c>
      <c r="H33" s="154">
        <f t="shared" si="18"/>
        <v>29</v>
      </c>
      <c r="I33" s="154">
        <f t="shared" si="18"/>
        <v>16</v>
      </c>
      <c r="J33" s="154">
        <f t="shared" si="18"/>
        <v>92</v>
      </c>
      <c r="K33" s="154">
        <f t="shared" si="18"/>
        <v>322</v>
      </c>
      <c r="L33" s="154">
        <f t="shared" si="18"/>
        <v>44</v>
      </c>
      <c r="M33" s="166" t="s">
        <v>12</v>
      </c>
      <c r="N33" s="153"/>
      <c r="O33" s="141"/>
    </row>
  </sheetData>
  <mergeCells count="2">
    <mergeCell ref="B1:N1"/>
    <mergeCell ref="B2:N2"/>
  </mergeCells>
  <pageMargins left="0.4" right="0.4" top="0.8" bottom="0.8" header="0.8" footer="0.8"/>
  <pageSetup paperSize="9" orientation="landscape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Barcode" staticId="0x0101|-708099503" UniqueId="3f693ad3-acb8-494f-99f6-725bdbf0c17d">
      <p:Name>الرموز الشريطية</p:Name>
      <p:Description>إنشاء معرفات فريدة يمكن إدراجها في مستندات Microsoft Office. يمكن أيضاً استخدام الرموز الشريطية للبحث عن هذه المستندات.</p:Description>
      <p:CustomData>
        <barcode/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مستند" ma:contentTypeID="0x01010077FA9A447727C943A80461C05F2BEA8D" ma:contentTypeVersion="18" ma:contentTypeDescription="إنشاء مستند جديد." ma:contentTypeScope="" ma:versionID="ce32acbebf9c1f0900cfdafb745b8721">
  <xsd:schema xmlns:xsd="http://www.w3.org/2001/XMLSchema" xmlns:xs="http://www.w3.org/2001/XMLSchema" xmlns:p="http://schemas.microsoft.com/office/2006/metadata/properties" xmlns:ns1="http://schemas.microsoft.com/sharepoint/v3" xmlns:ns2="bed48c4c-d1e5-4ba6-b25d-447413ee045a" xmlns:ns3="a597eca6-c928-49ca-a345-1a204b4ed132" targetNamespace="http://schemas.microsoft.com/office/2006/metadata/properties" ma:root="true" ma:fieldsID="f60f2439f57dbafba15b6e2fe4b4e2de" ns1:_="" ns2:_="" ns3:_="">
    <xsd:import namespace="http://schemas.microsoft.com/sharepoint/v3"/>
    <xsd:import namespace="bed48c4c-d1e5-4ba6-b25d-447413ee045a"/>
    <xsd:import namespace="a597eca6-c928-49ca-a345-1a204b4ed132"/>
    <xsd:element name="properties">
      <xsd:complexType>
        <xsd:sequence>
          <xsd:element name="documentManagement">
            <xsd:complexType>
              <xsd:all>
                <xsd:element ref="ns2:_x0627__x0644__x0633__x0646__x0629_" minOccurs="0"/>
                <xsd:element ref="ns1:_dlc_Exempt" minOccurs="0"/>
                <xsd:element ref="ns3:_dlc_BarcodeValue" minOccurs="0"/>
                <xsd:element ref="ns3:_dlc_BarcodeImage" minOccurs="0"/>
                <xsd:element ref="ns3:_dlc_BarcodePreview" minOccurs="0"/>
                <xsd:element ref="ns3:_dlc_DocId" minOccurs="0"/>
                <xsd:element ref="ns3:_dlc_DocIdUrl" minOccurs="0"/>
                <xsd:element ref="ns3:_dlc_DocIdPersistId" minOccurs="0"/>
                <xsd:element ref="ns2:Order0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9" nillable="true" ma:displayName="الاستثناء من النهج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d48c4c-d1e5-4ba6-b25d-447413ee045a" elementFormDefault="qualified">
    <xsd:import namespace="http://schemas.microsoft.com/office/2006/documentManagement/types"/>
    <xsd:import namespace="http://schemas.microsoft.com/office/infopath/2007/PartnerControls"/>
    <xsd:element name="_x0627__x0644__x0633__x0646__x0629_" ma:index="8" nillable="true" ma:displayName="السنة" ma:list="{75bf000a-4366-4210-9c32-fc1765d92700}" ma:internalName="_x0627__x0644__x0633__x0646__x0629_" ma:showField="Title">
      <xsd:simpleType>
        <xsd:restriction base="dms:Lookup"/>
      </xsd:simpleType>
    </xsd:element>
    <xsd:element name="Order0" ma:index="16" nillable="true" ma:displayName="Order" ma:internalName="Order0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97eca6-c928-49ca-a345-1a204b4ed132" elementFormDefault="qualified">
    <xsd:import namespace="http://schemas.microsoft.com/office/2006/documentManagement/types"/>
    <xsd:import namespace="http://schemas.microsoft.com/office/infopath/2007/PartnerControls"/>
    <xsd:element name="_dlc_BarcodeValue" ma:index="10" nillable="true" ma:displayName="قيمة الرمز الشريطي" ma:description="قيمة الرمز الشريطي المعين إلى هذا العنصر." ma:internalName="_dlc_BarcodeValue" ma:readOnly="true">
      <xsd:simpleType>
        <xsd:restriction base="dms:Text"/>
      </xsd:simpleType>
    </xsd:element>
    <xsd:element name="_dlc_BarcodeImage" ma:index="11" nillable="true" ma:displayName="صورة الرمز الشريطي" ma:description="" ma:hidden="true" ma:internalName="_dlc_BarcodeImage" ma:readOnly="false">
      <xsd:simpleType>
        <xsd:restriction base="dms:Note"/>
      </xsd:simpleType>
    </xsd:element>
    <xsd:element name="_dlc_BarcodePreview" ma:index="12" nillable="true" ma:displayName="الرمز الشريطي" ma:description="الرمز الشريطي المعين إلى هذا العنصر." ma:format="Image" ma:hidden="true" ma:internalName="_dlc_BarcodePreview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" ma:index="13" nillable="true" ma:displayName="قيمة معرّف المستند" ma:description="قيمة معرّف المستند المحددة لهذا العنصر." ma:internalName="_dlc_DocId" ma:readOnly="true">
      <xsd:simpleType>
        <xsd:restriction base="dms:Text"/>
      </xsd:simpleType>
    </xsd:element>
    <xsd:element name="_dlc_DocIdUrl" ma:index="14" nillable="true" ma:displayName="معرّف المستند" ma:description="ارتباط دائم إلى هذا المستند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5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نوع المحتوى"/>
        <xsd:element ref="dc:title" minOccurs="0" maxOccurs="1" ma:index="4" ma:displayName="العنوان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BarcodeImage xmlns="a597eca6-c928-49ca-a345-1a204b4ed132">iVBORw0KGgoAAAANSUhEUgAAAYIAAABtCAYAAACsn2ZqAAAAAXNSR0IArs4c6QAAAARnQU1BAACxjwv8YQUAAAAJcEhZcwAADsMAAA7DAcdvqGQAABD4SURBVHhe7Z0NctvIDoRzPB/Ix8ldcpW9iVeyJJs/Q6IbgBQy/rbq1atYwwGmgekGhqT064P/QAAEQAAEfjQCv3706lk8CIAACIDAB0JAEoAACIDAD0cAIfjhCcDyQQAEQAAhIAdAAARA4IcjgBD88ARg+SAAAiDQLgS/fv36uP5v9N/ys8e/p///uE75zBk7sjH1ccu3pQ3136O599bprGXLB9em44/in4KnY1MZ6645it+ZbFbWkl2nkgfuXnJjqPjucI1rP8L9ldzXJWEIwR1JN3mj8dXkyiS7azNjY0+gEYJ5ERTliFPsKNg6JK3EXrGpzBPhcMS8fda6nhmjiiggBAjBrIOLNi1CMN9uDpk7VWqms34myVR8j3IKIRgXEIoYVch/hnvXRM5xRXfCKpuRo6FvzVfwitrfLJ5Kcjv+uSSSWZdCys66nPx3jhmceRV/6QhyHZ4Ts704uDGqcDkdAR0BHcElB84oPhVRc0mGjuA7RyLcEYLJhnolGMomzlawatC7q0Zlo1ZtZmxwNMTR0BUBZc+pe8ft6l6RtxUbr+S+ShfA0dAAvegc0/3cTW6nrXeO4aqtp1MJdh8lKJuxinMG96PYjIi2GvvueJ4pb5Xcizihip/iA0IweURVqU7oCLhHcM2BCnnuVXrKpnVEVen2KmtR/K0SWeRfFk/FdwfrbmGnI5i0jK8EAyFYo53FJKpyOBqaY63gHBGiQmwKKTvdTZdNZZ4op1wirthUC8KKjVdyHx0BHcHXOe2RKyuHnDJjXRJ5FilXiEO5FiHouS+BEIylg6eG7rhEVYv7eZWgFHJQjg+q58TVFjtD7k6VXcU5499RbFZETckvRXyUeaK94+JZsYkQIARSBR1tLvVzN7kzhIQQHOeYppuclNhGuVgtAhAC3iNIHz1lEriasEoFqVYC0eZSP0cI8m9LKvHMHodF8VMIvRrbjOgrpOzMm12nYyPCOhtDxfdqJ1uxsbcuBz/FhzRRLy7kaOgOSNS+up9XyUJJAkV0u0RWSWCFrJx1KWOrOCvrquIcEWJ2nZV5u2wq80R7x41hxaZaEFZsIAQXBJRN42w+JyAu6SnEFW22rc/d5HYw6bLpYKv4p+Dp2FTGVnFW1qXktOKrU6UqNqPcdPdDxmZl3XQEt665Ky8q3QEdAR0BXzExKWAUYjuK+CAE8XshitB3x5OOgI5gKMpTcona5MzYI1dWykbsqogq2DnXdhNHVnwQAoSg0gXM8rhrIue4wiEHZZMom1g9G4w2l/p5lSycdSMENwSUPIjip+Beja2T/0516cybXadjI8L6yHmr4BMVdaM8cfBTfOjib46G7khGQXU/r5KFkgTKmW71DNKp1quJ72ySLIlE5KTgXo1t1zora8muM+N7tHdcPBXfq3lbseGId3V/IgS8WSzdmK8mWnVDVYhD2YwuiVTI82jiU1lLFttKPLf8dWOo+F7N24oNhOCCgFKlOsnkBMQlPaWCjTZbV3I7mHTZdLBV/FPwdGwqY10SieJ5JpuVtWTXqeRB1AEoHOHuZdXmaN7uHEIIEIJhpzZNvkrCRte6Ca2QQbWyqhCH4p+75gp50hH0foNtFk8lL6p5W7GBECAECMEdAWcjVsYiBNu/nFWtqrs7vDN1sgjBkMr0Pyptn1MlOgFxE19J9KiC7EpuB5Mumw62in8Kno5NZSxCgBBccyDqlve68u4coiOgI6AjoCP4yoEKOWUKKkWsnWPKbmE/UwGjFCFRfKv4KT7oJfr+SB4fDYiLjkD/8rhq4jtEtld1KRvoXziOinLT7ZAz4lPBOhvDis3RtXQEl46qS1EctXc2vBN0N/EV4oo2m7PurrV02XT8UWKm4OnYVMZ2b+Iz2Yxy090PCEHPS4kcDXE0xNEQR0McDd2/SC0SKjoCvnTuMweU80qlQsvOo1SwajIr1VTXWugIxo2skgdRPJUYHaULqawlu06lM4zOzqt7RfHdOfrrjicdAR0BHQEdAR0BHcGKBxxhcgqaIeEk/sg9goC4oqqrqzrvqLTcyuYVlVVlXYp/7pqjeJ7JZmUt2XVW4tm1VxTfHeLtziE6AjoCOgI6AjoCOgI6AuX8z6kqHPV3n5IYVQJRlaV+Xq0ynHXvVSAuJur57mheBU9nXcrYKs5OLmZxjnImu87KvF02lXminHJjWLGp5m3FBh0BHQEdAR0BHQEdAR0BHcFaC5ybP5mx2Uq1UvWolVWm4nYwcKvJShWdxflZNivzKrHv7vC2/HVjqPjOPYJhTbr5R24WBxVstNm6krtCmFmCesWGqqxL8c8lkSieZ7JZWUt2nZV4du0VxXeEACEY/hh7toKNNltXcndsMJcUX7GhKutS/HPXHMXzTDYra8musxLPrr2i+I4QIAQIwSUHlOOVV2yoCnEo/iEEfPvoNQeiG9J7+6E7h/Y6dGc/uPnvUf98NEdDdzzURIqqsOwxjZMgZ6qsKutyN4IiflH8zmSzspbsOivxPFPeKvhEnDESGAc/xYcK+c/865rICXI3GAoBcDTU++tSWTyV5Fbi2SW4Ti4ezSZCsM7pDCZ0BHz76FcOROrufl5NLocwswSVseG22BmiRQhyv/3tYK3EvlrRRqR85LxV8Ik4oYqf4kNXIc/R0B3JKKju5wiB/jsGzo295dgqzg55ZokrIkR3w6u5uDdvl01lnshfN4YVm2onW7GxlydOvik+IASXl1aqoCqKHW1i50hMCaxTDVdJ0fFHwVrB07GpjHVJJIrnmWxW1pJdp5IHEfGfIW8VfKJ1VveD4gNCgBCsnpRwSVFJNKdaryZ+hmTcNVfIk47AK74irLN4viJvKzboCC4IKGrvbHgnIG4rrBCXmszKurvW0tWFOP4oMVPwdGwqYxECHh+95kBUne912t05hBAgBMNOLXPco5BgVXwyNtwNpQiI03VU1xwJu4JJN3FkbVbW0mVTmSciaRfPis3Rta79CHeEACFACO4IVMjdEc7uTayQzFFsRoTkdsiKyFaE/UydrJIHGYFz8FN8GBJO4o88NRQQV7TZupLbSZAum0qiOYTO0dD4Sakoh5Q4KNg6OdRlU5knQ5hVEavm7bPW9cwYJfj/6xKEACEYfiVHhrwUsnI2mDL2KNW54qtDTpnq/JkkU/EdIXjNfRyE4P79524VoRBXRIhd1bmzibtsdpOXgqdjUxmLELyGZBAC/Yb0iJAz+Ln5jxAgBKscUM7ZlURzEhgh4GjomgNRB6B0O25Rp9oczdtdTCAEgySokoNDVm7yKL7REehvCCt4dsVzb7M5NjKdWDdxKP4q2Dpr6bKpzBORtItnxSZCMO4buEdwxyVKVvdzN7mdTczR0DhtlS4oEnaFZKqxzcQaIdC+Wj0T3+540hHQEQzlNkNQCiGdocXOkJ6DV/cmVnA/is0M6VWxrcTzTAWMkgdRcaiIt3uKsbfnx7W+9lc6AjoCnhqaFDAKASAEPdV59nhPiVH13lbFBh0BHQEdQSCszgZTxh6FlBVfHXJSuj06An6PQKv341F0BHQEdAR0BJ+7ICM+FQGkI7g9iNFVIMR0vz0CIUAIEAKEACFY8MCzBM65x6L4UCH/WTfdNZFzI6gbDOUGmPrYWNRuq59XjyyUJFAquGrF4VQrozU7sc6MreJ8ZptRLlZj3x1PhyOqvlfzNrP/lP3o5JviQxd/0xHQEdAR0BHQEdARdGnKbZ6/oYp0BOsYZjHZqqSUSqa7gnQrImXNlSp6tFP+ps3KWrLYKnmg5lAWT8V3OgKP1+kI6AjoCOgInlLERUKFEHCzeJZ4XeeB7jxKBasms9IJOZWMM/bIG6pSQSoYjGKoXOdUjN2xzWCSyVV3PyjrzPgedQhuDLvj69pXOUGJWWeMvB5gPpqOgI6AjoCOgI5gwQMVsdkrzBwhVXyokP9MqLom2lLJV6iick47AlXxTVV/pZpSAqusxcG6WnE4lbOCZzcG3dWc4t9RbEa5WY19dzzPlLdKHmQ6HYRgUnV1g6GQJ0KwfguzkuxZPB2bytijkLLiqyOqSmGBEPBmcVchz9EQR0McDXE0xNEQR0NdmnKbJ1PJVFtYOoJ1DLOYRO3u3rzdRwlKlU1HwC+UjXjH6b66c2jEqI4/yt7tZe1LDrVPeP/ujFeCoQCXPcqI2u+uc0/nuKzLpkK0TgIjBPxCmUPKexzRVRwq+wohQAi+ckCthFVhqCZXhqRdmxkbdARz+lKKkChnlDgoIquQnuOvYlPxPdpbR8zbZ63rmTGqFPV0BHf0omR1P3eT20kQOgJ+oeyajxWBUYgOIch1eK88DamQ/yy+XRM55OSQnpKwSpXD0RBPDVXJM3uUUSFsh1S69xVCgBCk9WFZOVeTCSGIK78sQTnYKiRTjbViQ8mv7nUd1WZFYBSMuuPpFIvcI9j/+ok0QW9cyNEQR0M8PnrJAaWrzApuhbDpCP5OJ6sIZXRcXBVSxYcuQUAIEAKEACH43AVK55Pp2jKESUdw8o6gS6GYBwRAAARA4DUItHcEr3EbKyAAAiAAAl0IIARdSDIPCIAACJwUAYTgpIHDbRAAARDoQgAh6EKSeUAABEDgpAggBCcNHG6DAAiAQBcCCEEXkswDAiAAAidFACE4aeBwGwRAAAS6EEAIupBkni8E/rzPX4a5vhz0/mcPoP8+fr9dr3n/WA777/fb7K3f0TzzMW8fv/+b21rO8fWy0tvvj8dQZcz3rDd/t9a0XP/b0qHLRMq6rvbUcaQfCFQQQAgq6HHtAIE/H+8LQn+QWUyccyG4XTch9j/v839frN9I9/u61TVfZLoWmanzt+v2x0yU7lOcRutZ+nNh8o+3y9ipGCjrutr6nGsiVqQbCDwLAYTgWcgy7wSBqzhcSG3AnA8C/r0i4lvVPa+m753DY547yc6nXYzpFIJPIfrudtbLua1z2QHMCV1Yl+gzKQYCXQggBF1IMs8OAmOCvJS8XxX+qiIfkvyiAxh0CN/HKcsuobEj2PBtVP2vKntlXZcDq7UIkmAg8DwEEILnYcvMdwRWxyWff5+Lw0oI7tX3suqejhsdA30LwfeR0uj8fzzv/N7G5n2NLSH4OqqadAXLscK6HoLy/vt2rPTVhezfaCHfQCCNAEKQho4L9xF43ABeH5VcboHebg5PiM0TgjvJ75Lq+qbxw9/onsW3mGzcEN4Rgum1DwKf8bfi8+MIanp/4G5zdLxGJoJAFQGEoIog14cILCv30U3QlBA8BGV2Q3X7CaRvR+9jdm/E7oyJOoLHvJN7Cl9iYAjBuGvZFrgwEAwAgQ0EEAJS4wUIzDuA0eOlq5uwG2S7frrnu/O4zfH28f4ePwE0Pq6aQ7E5ZksIhiS/ECZlXRtiMb2n8oKgYeIHIYAQ/KBg/72lxhV46mbxxoI+CTw4T1cezdwcs0vmW+8x3P+u3CzeFRo6gr+Xx/+uZYTg343tgVa2/fjo/Nx++mSP9pjlapHB+f1tfOzP7hirI1i+66Csa30P5dPrxTsTBwowrpwcAYTg5AE8nPvXY43F2fuNwPYr2dELXeqLV98YjB5TXb/gtvZHGTNBelNsBvcnsi+ULY+HBvMcLvY4dFoEEILThu6ojt+r7eljj8Ibu1tv9kZfsRB9/vWE0q4/y/sM46+7uJ3Rr78+Y/jS2+6LZ+JXR4QvsB01B/DrbAggBGeLGP6CAAiAQDMCCEEzoEwHAiAAAmdDACE4W8TwFwRAAASaEUAImgFlOhAAARA4GwIIwdkihr8gAAIg0IwAQtAMKNOBAAiAwNkQQAjOFjH8BQEQAIFmBBCCZkCZDgRAAATOhsD//y4kY/RbwRcAAAAASUVORK5CYII=</_dlc_BarcodeImage>
    <_dlc_BarcodeValue xmlns="a597eca6-c928-49ca-a345-1a204b4ed132">3409551806</_dlc_BarcodeValue>
    <_x0627__x0644__x0633__x0646__x0629_ xmlns="bed48c4c-d1e5-4ba6-b25d-447413ee045a">49</_x0627__x0644__x0633__x0646__x0629_>
    <_dlc_BarcodePreview xmlns="a597eca6-c928-49ca-a345-1a204b4ed132">
      <Url>http://www.moe.gov.sa/ar/Ministry/Deputy-Ministry-for-Planning-and-Information-affairs/HESC/Ehsaat/_layouts/barcodeimagefromitem.aspx?ID=34&amp;list=bed48c4c-d1e5-4ba6-b25d-447413ee045a</Url>
      <Description>الرمز الشريطي: 3409551806</Description>
    </_dlc_BarcodePreview>
    <_dlc_DocId xmlns="a597eca6-c928-49ca-a345-1a204b4ed132">MOHE-136-34</_dlc_DocId>
    <_dlc_DocIdUrl xmlns="a597eca6-c928-49ca-a345-1a204b4ed132">
      <Url>http://www.moe.gov.sa/ar/Ministry/Deputy-Ministry-for-Planning-and-Information-affairs/HESC/Ehsaat/_layouts/15/DocIdRedir.aspx?ID=MOHE-136-34</Url>
      <Description>MOHE-136-34</Description>
    </_dlc_DocIdUrl>
    <Order0 xmlns="bed48c4c-d1e5-4ba6-b25d-447413ee045a" xsi:nil="true"/>
  </documentManagement>
</p:properties>
</file>

<file path=customXml/item5.xml><?xml version="1.0" encoding="utf-8"?>
<?mso-contentType ?>
<spe:Receivers xmlns:spe="http://schemas.microsoft.com/sharepoint/events">
  <Receiver>
    <Name>Policy Barcode Generator</Name>
    <Synchronization>Synchronous</Synchronization>
    <Type>10001</Type>
    <SequenceNumber>1000</SequenceNumber>
    <Url/>
    <Assembly>Microsoft.Office.Policy, Version=14.0.0.0, Culture=neutral, PublicKeyToken=71e9bce111e9429c</Assembly>
    <Class>Microsoft.Office.RecordsManagement.Internal.BarcodeHandler</Class>
    <Data/>
    <Filter/>
  </Receiver>
  <Receiver>
    <Name>Policy Barcode Generator</Name>
    <Synchronization>Synchronous</Synchronization>
    <Type>10002</Type>
    <SequenceNumber>1001</SequenceNumber>
    <Url/>
    <Assembly>Microsoft.Office.Policy, Version=14.0.0.0, Culture=neutral, PublicKeyToken=71e9bce111e9429c</Assembly>
    <Class>Microsoft.Office.RecordsManagement.Internal.BarcodeHandler</Class>
    <Data/>
    <Filter/>
  </Receiver>
  <Receiver>
    <Name>Policy Barcode Generator</Name>
    <Synchronization>Synchronous</Synchronization>
    <Type>10004</Type>
    <SequenceNumber>1002</SequenceNumber>
    <Url/>
    <Assembly>Microsoft.Office.Policy, Version=14.0.0.0, Culture=neutral, PublicKeyToken=71e9bce111e9429c</Assembly>
    <Class>Microsoft.Office.RecordsManagement.Internal.BarcodeHandler</Class>
    <Data/>
    <Filter/>
  </Receiver>
  <Receiver>
    <Name>Policy Barcode Generator</Name>
    <Synchronization>Synchronous</Synchronization>
    <Type>10006</Type>
    <SequenceNumber>1003</SequenceNumber>
    <Url/>
    <Assembly>Microsoft.Office.Policy, Version=14.0.0.0, Culture=neutral, PublicKeyToken=71e9bce111e9429c</Assembly>
    <Class>Microsoft.Office.RecordsManagement.Internal.BarcodeHandler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Policy Auditing</Name>
    <Synchronization>Synchronous</Synchronization>
    <Type>10001</Type>
    <SequenceNumber>1100</SequenceNumber>
    <Url/>
    <Assembly>Microsoft.Office.Policy, Version=14.0.0.0, Culture=neutral, PublicKeyToken=71e9bce111e9429c</Assembly>
    <Class>Microsoft.Office.RecordsManagement.Internal.AuditHandler</Class>
    <Data/>
    <Filter/>
  </Receiver>
  <Receiver>
    <Name>Policy Auditing</Name>
    <Synchronization>Synchronous</Synchronization>
    <Type>10002</Type>
    <SequenceNumber>1101</SequenceNumber>
    <Url/>
    <Assembly>Microsoft.Office.Policy, Version=14.0.0.0, Culture=neutral, PublicKeyToken=71e9bce111e9429c</Assembly>
    <Class>Microsoft.Office.RecordsManagement.Internal.AuditHandler</Class>
    <Data/>
    <Filter/>
  </Receiver>
  <Receiver>
    <Name>Policy Auditing</Name>
    <Synchronization>Synchronous</Synchronization>
    <Type>10004</Type>
    <SequenceNumber>1102</SequenceNumber>
    <Url/>
    <Assembly>Microsoft.Office.Policy, Version=14.0.0.0, Culture=neutral, PublicKeyToken=71e9bce111e9429c</Assembly>
    <Class>Microsoft.Office.RecordsManagement.Internal.AuditHandler</Class>
    <Data/>
    <Filter/>
  </Receiver>
  <Receiver>
    <Name>Policy Auditing</Name>
    <Synchronization>Synchronous</Synchronization>
    <Type>10006</Type>
    <SequenceNumber>1103</SequenceNumber>
    <Url/>
    <Assembly>Microsoft.Office.Policy, Version=14.0.0.0, Culture=neutral, PublicKeyToken=71e9bce111e9429c</Assembly>
    <Class>Microsoft.Office.RecordsManagement.Internal.AuditHandler</Class>
    <Data/>
    <Filter/>
  </Receiver>
</spe:Receivers>
</file>

<file path=customXml/itemProps1.xml><?xml version="1.0" encoding="utf-8"?>
<ds:datastoreItem xmlns:ds="http://schemas.openxmlformats.org/officeDocument/2006/customXml" ds:itemID="{C078A154-4CA1-4910-9A3B-BD2243B68262}"/>
</file>

<file path=customXml/itemProps2.xml><?xml version="1.0" encoding="utf-8"?>
<ds:datastoreItem xmlns:ds="http://schemas.openxmlformats.org/officeDocument/2006/customXml" ds:itemID="{B37DF087-8777-47CD-BA8E-E3BA77303FDD}"/>
</file>

<file path=customXml/itemProps3.xml><?xml version="1.0" encoding="utf-8"?>
<ds:datastoreItem xmlns:ds="http://schemas.openxmlformats.org/officeDocument/2006/customXml" ds:itemID="{A8DB0DA5-2951-4CE7-925F-4A5B0D1A454A}"/>
</file>

<file path=customXml/itemProps4.xml><?xml version="1.0" encoding="utf-8"?>
<ds:datastoreItem xmlns:ds="http://schemas.openxmlformats.org/officeDocument/2006/customXml" ds:itemID="{C558FBCF-D2A4-4688-958A-D0F1E26A89A4}"/>
</file>

<file path=customXml/itemProps5.xml><?xml version="1.0" encoding="utf-8"?>
<ds:datastoreItem xmlns:ds="http://schemas.openxmlformats.org/officeDocument/2006/customXml" ds:itemID="{0B8BB534-32DC-4A02-91A5-C7E05E09B90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74</vt:i4>
      </vt:variant>
      <vt:variant>
        <vt:lpstr>نطاقات تمت تسميتها</vt:lpstr>
      </vt:variant>
      <vt:variant>
        <vt:i4>52</vt:i4>
      </vt:variant>
    </vt:vector>
  </HeadingPairs>
  <TitlesOfParts>
    <vt:vector size="126" baseType="lpstr">
      <vt:lpstr>فهرس </vt:lpstr>
      <vt:lpstr>1-1</vt:lpstr>
      <vt:lpstr>1-2</vt:lpstr>
      <vt:lpstr>1-3</vt:lpstr>
      <vt:lpstr>1-4</vt:lpstr>
      <vt:lpstr>1-5</vt:lpstr>
      <vt:lpstr>1-6</vt:lpstr>
      <vt:lpstr>1-7</vt:lpstr>
      <vt:lpstr>1-8</vt:lpstr>
      <vt:lpstr>1-9</vt:lpstr>
      <vt:lpstr>1-10</vt:lpstr>
      <vt:lpstr>1-11</vt:lpstr>
      <vt:lpstr>2-1</vt:lpstr>
      <vt:lpstr>2-2</vt:lpstr>
      <vt:lpstr>2-3</vt:lpstr>
      <vt:lpstr>2-4</vt:lpstr>
      <vt:lpstr>2-5</vt:lpstr>
      <vt:lpstr>2-6</vt:lpstr>
      <vt:lpstr>2-7</vt:lpstr>
      <vt:lpstr>2-8</vt:lpstr>
      <vt:lpstr>2-9</vt:lpstr>
      <vt:lpstr>3-1</vt:lpstr>
      <vt:lpstr>3-2</vt:lpstr>
      <vt:lpstr>3-3</vt:lpstr>
      <vt:lpstr>3-4</vt:lpstr>
      <vt:lpstr>3-5</vt:lpstr>
      <vt:lpstr>3-6</vt:lpstr>
      <vt:lpstr>3-7</vt:lpstr>
      <vt:lpstr>3-8</vt:lpstr>
      <vt:lpstr>3-9</vt:lpstr>
      <vt:lpstr>4-1</vt:lpstr>
      <vt:lpstr>4-2</vt:lpstr>
      <vt:lpstr>ST4_3</vt:lpstr>
      <vt:lpstr>4-4</vt:lpstr>
      <vt:lpstr>4-5</vt:lpstr>
      <vt:lpstr>4-6</vt:lpstr>
      <vt:lpstr>4-7</vt:lpstr>
      <vt:lpstr>4-8</vt:lpstr>
      <vt:lpstr>4-9</vt:lpstr>
      <vt:lpstr>5-1</vt:lpstr>
      <vt:lpstr>5-2</vt:lpstr>
      <vt:lpstr>5-3</vt:lpstr>
      <vt:lpstr>5-4</vt:lpstr>
      <vt:lpstr>6-1</vt:lpstr>
      <vt:lpstr>6-2</vt:lpstr>
      <vt:lpstr>6-3</vt:lpstr>
      <vt:lpstr>6-4</vt:lpstr>
      <vt:lpstr>7-1</vt:lpstr>
      <vt:lpstr>7-2</vt:lpstr>
      <vt:lpstr>7-3</vt:lpstr>
      <vt:lpstr>7-4</vt:lpstr>
      <vt:lpstr>7-5</vt:lpstr>
      <vt:lpstr>7-6</vt:lpstr>
      <vt:lpstr>7-7</vt:lpstr>
      <vt:lpstr>7-8</vt:lpstr>
      <vt:lpstr>7-9</vt:lpstr>
      <vt:lpstr>8-1</vt:lpstr>
      <vt:lpstr>8-2</vt:lpstr>
      <vt:lpstr>8-3</vt:lpstr>
      <vt:lpstr>8-4</vt:lpstr>
      <vt:lpstr>8-5</vt:lpstr>
      <vt:lpstr>8-6</vt:lpstr>
      <vt:lpstr>8-7</vt:lpstr>
      <vt:lpstr>8-8</vt:lpstr>
      <vt:lpstr>8-9</vt:lpstr>
      <vt:lpstr>9-1</vt:lpstr>
      <vt:lpstr>9-2</vt:lpstr>
      <vt:lpstr>9-3</vt:lpstr>
      <vt:lpstr>9-4</vt:lpstr>
      <vt:lpstr>9-5</vt:lpstr>
      <vt:lpstr>9-6</vt:lpstr>
      <vt:lpstr>9-7</vt:lpstr>
      <vt:lpstr>9-8</vt:lpstr>
      <vt:lpstr>9-9</vt:lpstr>
      <vt:lpstr>'1-11'!Print_Area</vt:lpstr>
      <vt:lpstr>'1-2'!Print_Area</vt:lpstr>
      <vt:lpstr>'1-3'!Print_Area</vt:lpstr>
      <vt:lpstr>'2-1'!Print_Area</vt:lpstr>
      <vt:lpstr>'2-2'!Print_Area</vt:lpstr>
      <vt:lpstr>'2-4'!Print_Area</vt:lpstr>
      <vt:lpstr>'2-6'!Print_Area</vt:lpstr>
      <vt:lpstr>'2-7'!Print_Area</vt:lpstr>
      <vt:lpstr>'2-8'!Print_Area</vt:lpstr>
      <vt:lpstr>'2-9'!Print_Area</vt:lpstr>
      <vt:lpstr>'3-1'!Print_Area</vt:lpstr>
      <vt:lpstr>'3-2'!Print_Area</vt:lpstr>
      <vt:lpstr>'3-4'!Print_Area</vt:lpstr>
      <vt:lpstr>'3-7'!Print_Area</vt:lpstr>
      <vt:lpstr>'3-8'!Print_Area</vt:lpstr>
      <vt:lpstr>'3-9'!Print_Area</vt:lpstr>
      <vt:lpstr>'4-1'!Print_Area</vt:lpstr>
      <vt:lpstr>'4-2'!Print_Area</vt:lpstr>
      <vt:lpstr>'4-4'!Print_Area</vt:lpstr>
      <vt:lpstr>'4-7'!Print_Area</vt:lpstr>
      <vt:lpstr>'4-8'!Print_Area</vt:lpstr>
      <vt:lpstr>'4-9'!Print_Area</vt:lpstr>
      <vt:lpstr>'5-1'!Print_Area</vt:lpstr>
      <vt:lpstr>'5-2'!Print_Area</vt:lpstr>
      <vt:lpstr>'5-3'!Print_Area</vt:lpstr>
      <vt:lpstr>'5-4'!Print_Area</vt:lpstr>
      <vt:lpstr>'6-1'!Print_Area</vt:lpstr>
      <vt:lpstr>'6-2'!Print_Area</vt:lpstr>
      <vt:lpstr>'6-3'!Print_Area</vt:lpstr>
      <vt:lpstr>'8-1'!Print_Area</vt:lpstr>
      <vt:lpstr>'9-1'!Print_Area</vt:lpstr>
      <vt:lpstr>'9-2'!Print_Area</vt:lpstr>
      <vt:lpstr>'9-3'!Print_Area</vt:lpstr>
      <vt:lpstr>'9-5'!Print_Area</vt:lpstr>
      <vt:lpstr>'9-6'!Print_Area</vt:lpstr>
      <vt:lpstr>'فهرس '!Print_Area</vt:lpstr>
      <vt:lpstr>'1-2'!Print_Titles</vt:lpstr>
      <vt:lpstr>'1-7'!Print_Titles</vt:lpstr>
      <vt:lpstr>'2-2'!Print_Titles</vt:lpstr>
      <vt:lpstr>'2-4'!Print_Titles</vt:lpstr>
      <vt:lpstr>'2-6'!Print_Titles</vt:lpstr>
      <vt:lpstr>'2-7'!Print_Titles</vt:lpstr>
      <vt:lpstr>'2-8'!Print_Titles</vt:lpstr>
      <vt:lpstr>'2-9'!Print_Titles</vt:lpstr>
      <vt:lpstr>'3-3'!Print_Titles</vt:lpstr>
      <vt:lpstr>'3-7'!Print_Titles</vt:lpstr>
      <vt:lpstr>'3-8'!Print_Titles</vt:lpstr>
      <vt:lpstr>'3-9'!Print_Titles</vt:lpstr>
      <vt:lpstr>'4-7'!Print_Titles</vt:lpstr>
      <vt:lpstr>'4-9'!Print_Titles</vt:lpstr>
      <vt:lpstr>'5-1'!Print_Titles</vt:lpstr>
      <vt:lpstr>'6-3'!Print_Titles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احصاءات التعليم العالي لعام 1429-1430</dc:title>
  <dc:creator/>
  <cp:lastModifiedBy/>
  <dcterms:created xsi:type="dcterms:W3CDTF">2006-09-13T11:26:54Z</dcterms:created>
  <dcterms:modified xsi:type="dcterms:W3CDTF">2012-01-03T08:54:27Z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28d2eb94-3600-4d39-9c62-fc9e8d4487f1</vt:lpwstr>
  </property>
  <property fmtid="{D5CDD505-2E9C-101B-9397-08002B2CF9AE}" pid="3" name="ContentTypeId">
    <vt:lpwstr>0x01010077FA9A447727C943A80461C05F2BEA8D</vt:lpwstr>
  </property>
</Properties>
</file>